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3.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6.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HM\SkyDrive\Dokumentumok\HASE\2015 év\"/>
    </mc:Choice>
  </mc:AlternateContent>
  <bookViews>
    <workbookView showSheetTabs="0" xWindow="0" yWindow="0" windowWidth="19200" windowHeight="11595" tabRatio="612" activeTab="4"/>
  </bookViews>
  <sheets>
    <sheet name="ASZ" sheetId="1" r:id="rId1"/>
    <sheet name="ASZTAB" sheetId="2" r:id="rId2"/>
    <sheet name="ASZKER" sheetId="3" r:id="rId3"/>
    <sheet name="RCSOP" sheetId="7951" r:id="rId4"/>
    <sheet name="RTAB" sheetId="7949" r:id="rId5"/>
    <sheet name="RKER" sheetId="7947" r:id="rId6"/>
    <sheet name="REKI" sheetId="7950" state="hidden" r:id="rId7"/>
    <sheet name="RAGR" sheetId="7948" state="hidden" r:id="rId8"/>
    <sheet name="VEGER" sheetId="7952" state="hidden" r:id="rId9"/>
    <sheet name="Kedvenc" sheetId="7953" state="hidden" r:id="rId10"/>
    <sheet name="Gszer" sheetId="7955" r:id="rId11"/>
    <sheet name="Glis" sheetId="7954" r:id="rId12"/>
    <sheet name="Kiírás" sheetId="7956" r:id="rId13"/>
    <sheet name="Kapcsolat" sheetId="7957" r:id="rId14"/>
    <sheet name="Súgó" sheetId="7945" r:id="rId15"/>
    <sheet name="Adatok" sheetId="7946" state="hidden" r:id="rId16"/>
  </sheets>
  <externalReferences>
    <externalReference r:id="rId17"/>
  </externalReferences>
  <definedNames>
    <definedName name="away.aa" localSheetId="11">OFFSET([1]Sorsolás!$AA$42,[1]Sorsolás!$AV$52,[1]Sorsolás!$AV$53,[1]Sorsolás!$AV$54,[1]Sorsolás!$AV$55)</definedName>
    <definedName name="away.aa">OFFSET(ASZ!$AB$42,ASZ!$AW$52,ASZ!$AW$53,ASZ!$AW$54,ASZ!$AW$55)</definedName>
    <definedName name="away.av" localSheetId="11">OFFSET([1]Sorsolás!$AA$42,[1]Sorsolás!$AV$45,[1]Sorsolás!$AV$46,[1]Sorsolás!$AV$47,[1]Sorsolás!$AV$48)</definedName>
    <definedName name="away.av">OFFSET(ASZ!$AB$42,ASZ!$AW$45,ASZ!$AW$46,ASZ!$AW$47,ASZ!$AW$48)</definedName>
    <definedName name="away.rr">OFFSET(RCSOP!$AF$56,RCSOP!$AV$64,RCSOP!$AV$65,RCSOP!$AV$66,RCSOP!$AV$67)</definedName>
    <definedName name="away.rv">OFFSET(RCSOP!$AF$56,RCSOP!$AV$57,RCSOP!$AV$58,RCSOP!$AV$59,RCSOP!$AV$60)</definedName>
    <definedName name="calend">Adatok!$C$1:$C$37</definedName>
    <definedName name="drawa.aa">OFFSET(ASZ!$AB$42,ASZ!$AT$52,ASZ!$AT$53,ASZ!$AT$54,ASZ!$AT$55)</definedName>
    <definedName name="drawa.av">OFFSET(ASZ!$AB$42,ASZ!$AT$45,ASZ!$AT$46,ASZ!$AT$47,ASZ!$AT$48)</definedName>
    <definedName name="drawa.rr">OFFSET(RCSOP!$AF$56,RCSOP!$AS$64,RCSOP!$AS$65,RCSOP!$AS$66,RCSOP!$AS$67)</definedName>
    <definedName name="drawa.rv">OFFSET(RCSOP!$AF$56,RCSOP!$AS$57,RCSOP!$AS$58,RCSOP!$AS$59,RCSOP!$AS$60)</definedName>
    <definedName name="drawh.aa">OFFSET(ASZ!$AB$42,ASZ!$AQ$52,ASZ!$AQ$53,ASZ!$AQ$54,ASZ!$AQ$55)</definedName>
    <definedName name="drawh.av">OFFSET(ASZ!$AB$42,ASZ!$AQ$45,ASZ!$AQ$46,ASZ!$AQ$47,ASZ!$AQ$48)</definedName>
    <definedName name="drawh.rr">OFFSET(RCSOP!$AF$56,RCSOP!$AP$64,RCSOP!$AP$65,RCSOP!$AP$66,RCSOP!$AP$67)</definedName>
    <definedName name="drawh.rv">OFFSET(RCSOP!$AF$56,RCSOP!$AP$57,RCSOP!$AP$58,RCSOP!$AP$59,RCSOP!$AP$60)</definedName>
    <definedName name="eee.aa">ASZTAB!$DV$41:$EK$340</definedName>
    <definedName name="eee.an">ASZTAB!$DV$643:$EK$941</definedName>
    <definedName name="eee.av">ASZTAB!$DV$342:$EK$641</definedName>
    <definedName name="eee.rn">RTAB!$DG$595:$DV$865</definedName>
    <definedName name="eee.rr">RTAB!$DG$41:$DV$310</definedName>
    <definedName name="eee.rv">RTAB!$DG$318:$DV$588</definedName>
    <definedName name="GAA.aa">OFFSET(ASZ!$AB$42,ASZ!$AX$52,ASZ!$AX$53,ASZ!$AX$54,ASZ!$AX$55)</definedName>
    <definedName name="GAA.av">OFFSET(ASZ!$AB$42,ASZ!$AX$45,ASZ!$AX$46,ASZ!$AX$47,ASZ!$AX$48)</definedName>
    <definedName name="GAA.rr">OFFSET(RCSOP!$AF$56,RCSOP!$AW$64,RCSOP!$AW$65,RCSOP!$AW$66,RCSOP!$AW$67)</definedName>
    <definedName name="GAA.rv">OFFSET(RCSOP!$AF$56,RCSOP!$AW$57,RCSOP!$AW$58,RCSOP!$AW$59,RCSOP!$AW$60)</definedName>
    <definedName name="games.a">ASZ!$U$43:$AI$390</definedName>
    <definedName name="games.an">OFFSET(ASZ!$AB$42,ASZ!$AY$66,ASZ!$AY$67,ASZ!$AY$68,ASZ!$AY$69)</definedName>
    <definedName name="games.av">OFFSET(ASZ!$AB$42,ASZ!$AX$66,ASZ!$AX$67,ASZ!$AX$68,ASZ!$AX$69)</definedName>
    <definedName name="games.r">RCSOP!$Y$57:$AM$142</definedName>
    <definedName name="games.rn">OFFSET(RCSOP!$AF$56,RCSOP!$AX$77,RCSOP!$AX$78,RCSOP!$AX$79,RCSOP!$AX$80)</definedName>
    <definedName name="games.rv">OFFSET(RCSOP!$AF$56,RCSOP!$AW$77,RCSOP!$AW$78,RCSOP!$AW$79,RCSOP!$AW$80)</definedName>
    <definedName name="gamesfav">ASZ!$AL$43:$AM$390</definedName>
    <definedName name="GBB.aa">OFFSET(ASZ!$AB$42,ASZ!$AY$52,ASZ!$AY$53,ASZ!$AY$54,ASZ!$AY$55)</definedName>
    <definedName name="GBB.av">OFFSET(ASZ!$AB$42,ASZ!$AY$45,ASZ!$AY$46,ASZ!$AY$47,ASZ!$AY$48)</definedName>
    <definedName name="GBB.rr">OFFSET(RCSOP!$AF$56,RCSOP!$AX$64,RCSOP!$AX$65,RCSOP!$AX$66,RCSOP!$AX$67)</definedName>
    <definedName name="GBB.rv">OFFSET(RCSOP!$AF$56,RCSOP!$AX$57,RCSOP!$AX$58,RCSOP!$AX$59,RCSOP!$AX$60)</definedName>
    <definedName name="gdays.a">Adatok!$E$1:$E$22</definedName>
    <definedName name="gdays.r">Adatok!$F$1:$F$5</definedName>
    <definedName name="goalname">Gszer!$AX$67:$AZ$597</definedName>
    <definedName name="goalrank">Gszer!$AX$67:$AX$597</definedName>
    <definedName name="home.aa" localSheetId="11">OFFSET([1]Sorsolás!$AA$42,[1]Sorsolás!$AU$52,[1]Sorsolás!$AU$53,[1]Sorsolás!$AU$54,[1]Sorsolás!$AU$55)</definedName>
    <definedName name="home.aa">OFFSET(ASZ!$AB$42,ASZ!$AV$52,ASZ!$AV$53,ASZ!$AV$54,ASZ!$AV$55)</definedName>
    <definedName name="home.av" localSheetId="11">OFFSET([1]Sorsolás!$AA$42,[1]Sorsolás!$AU$45,[1]Sorsolás!$AU$46,[1]Sorsolás!$AU$47,[1]Sorsolás!$AU$48)</definedName>
    <definedName name="home.av">OFFSET(ASZ!$AB$42,ASZ!$AV$45,ASZ!$AV$46,ASZ!$AV$47,ASZ!$AV$48)</definedName>
    <definedName name="home.rr">OFFSET(RCSOP!$AF$56,RCSOP!$AU$64,RCSOP!$AU$65,RCSOP!$AU$66,RCSOP!$AU$67)</definedName>
    <definedName name="home.rv">OFFSET(RCSOP!$AF$56,RCSOP!$AU$57,RCSOP!$AU$58,RCSOP!$AU$59,RCSOP!$AU$60)</definedName>
    <definedName name="index.a">ASZ!$AB$43:$AB$390</definedName>
    <definedName name="index.r">RCSOP!$AF$57:$AF$142</definedName>
    <definedName name="lossa.aa">OFFSET(ASZ!$AB$42,ASZ!$AU$52,ASZ!$AU$53,ASZ!$AU$54,ASZ!$AU$55)</definedName>
    <definedName name="lossa.av">OFFSET(ASZ!$AB$42,ASZ!$AU$45,ASZ!$AU$46,ASZ!$AU$47,ASZ!$AU$48)</definedName>
    <definedName name="lossa.rr">OFFSET(RCSOP!$AF$56,RCSOP!$AT$64,RCSOP!$AT$65,RCSOP!$AT$66,RCSOP!$AT$67)</definedName>
    <definedName name="lossa.rv">OFFSET(RCSOP!$AF$56,RCSOP!$AT$57,RCSOP!$AT$58,RCSOP!$AT$59,RCSOP!$AT$60)</definedName>
    <definedName name="lossh.aa">OFFSET(ASZ!$AB$42,ASZ!$AR$52,ASZ!$AR$53,ASZ!$AR$54,ASZ!$AR$55)</definedName>
    <definedName name="lossh.av">OFFSET(ASZ!$AB$42,ASZ!$AR$45,ASZ!$AR$46,ASZ!$AR$47,ASZ!$AR$48)</definedName>
    <definedName name="lossh.rr">OFFSET(RCSOP!$AF$56,RCSOP!$AQ$64,RCSOP!$AQ$65,RCSOP!$AQ$66,RCSOP!$AQ$67)</definedName>
    <definedName name="lossh.rv">OFFSET(RCSOP!$AF$56,RCSOP!$AQ$57,RCSOP!$AQ$58,RCSOP!$AQ$59,RCSOP!$AQ$60)</definedName>
    <definedName name="_xlnm.Print_Titles" localSheetId="0">ASZ!$1:$39</definedName>
    <definedName name="_xlnm.Print_Titles" localSheetId="2">ASZKER!$1:$39</definedName>
    <definedName name="_xlnm.Print_Titles" localSheetId="1">ASZTAB!$1:$39</definedName>
    <definedName name="_xlnm.Print_Titles" localSheetId="11">Glis!$1:$40</definedName>
    <definedName name="_xlnm.Print_Titles" localSheetId="10">Gszer!$1:$47</definedName>
    <definedName name="_xlnm.Print_Titles" localSheetId="13">Kapcsolat!$1:$40</definedName>
    <definedName name="_xlnm.Print_Titles" localSheetId="9">Kedvenc!$1:$39</definedName>
    <definedName name="_xlnm.Print_Titles" localSheetId="12">Kiírás!$1:$40</definedName>
    <definedName name="_xlnm.Print_Titles" localSheetId="7">RAGR!$1:$39</definedName>
    <definedName name="_xlnm.Print_Titles" localSheetId="3">RCSOP!$1:$53</definedName>
    <definedName name="_xlnm.Print_Titles" localSheetId="6">REKI!$1:$39</definedName>
    <definedName name="_xlnm.Print_Titles" localSheetId="5">RKER!$1:$39</definedName>
    <definedName name="_xlnm.Print_Titles" localSheetId="4">RTAB!$1:$39</definedName>
    <definedName name="_xlnm.Print_Titles" localSheetId="14">Súgó!$1:$40</definedName>
    <definedName name="_xlnm.Print_Titles" localSheetId="8">VEGER!$1:$39</definedName>
    <definedName name="_xlnm.Print_Area" localSheetId="0">ASZ!$A$1:$M$390</definedName>
    <definedName name="_xlnm.Print_Area" localSheetId="2">ASZKER!$A$1:$BT$70</definedName>
    <definedName name="_xlnm.Print_Area" localSheetId="1">ASZTAB!$A$1:$S$72</definedName>
    <definedName name="_xlnm.Print_Area" localSheetId="11">Glis!$A$1:$Q$370</definedName>
    <definedName name="_xlnm.Print_Area" localSheetId="10">Gszer!$A$1:$AT$597</definedName>
    <definedName name="_xlnm.Print_Area" localSheetId="13">Kapcsolat!$A$1:$H$67</definedName>
    <definedName name="_xlnm.Print_Area" localSheetId="9">Kedvenc!$A$1:$J$69</definedName>
    <definedName name="_xlnm.Print_Area" localSheetId="12">Kiírás!$A$1:$E$141</definedName>
    <definedName name="_xlnm.Print_Area" localSheetId="7">RAGR!$A$1:$R$64</definedName>
    <definedName name="_xlnm.Print_Area" localSheetId="3">RCSOP!$A$1:$P$142</definedName>
    <definedName name="_xlnm.Print_Area" localSheetId="6">REKI!$A$1:$R$423</definedName>
    <definedName name="_xlnm.Print_Area" localSheetId="5">RKER!$A$1:$AU$70</definedName>
    <definedName name="_xlnm.Print_Area" localSheetId="4">RTAB!$A$1:$S$73</definedName>
    <definedName name="_xlnm.Print_Area" localSheetId="14">Súgó!$A$1:$E$111</definedName>
    <definedName name="_xlnm.Print_Area" localSheetId="8">VEGER!$A$1:$H$69</definedName>
    <definedName name="penalty.a">ASZTAB!$O$60:$R$69</definedName>
    <definedName name="penalty.r">RTAB!$O$61:$R$70</definedName>
    <definedName name="rank.a1">ASZTAB!$AU$68:$AV$91</definedName>
    <definedName name="rank.a2">ASZTAB!$AU$106:$AV$115</definedName>
    <definedName name="rank.r1">RTAB!$AO$54:$AP$63</definedName>
    <definedName name="rank.r2">RTAB!$AO$78:$AP$87</definedName>
    <definedName name="rank.r3">RTAB!$AO$102:$AP$111</definedName>
    <definedName name="rank.v1">VEGER!$AQ$42:$AR$51</definedName>
    <definedName name="rankname.a">ASZTAB!$AV$68:$AW$115</definedName>
    <definedName name="rankname.r">RTAB!$AP$54:$AQ$111</definedName>
    <definedName name="result.e">REKI!$AF$41:$AH$423</definedName>
    <definedName name="round.a" localSheetId="11">OFFSET([1]Sorsolás!$AA$42,[1]Sorsolás!$AV$66,[1]Sorsolás!$AV$67,[1]Sorsolás!$AV$68,[1]Sorsolás!$AV$69)</definedName>
    <definedName name="round.a">OFFSET(ASZ!$AB$42,ASZ!$AW$66,ASZ!$AW$67,ASZ!$AW$68,ASZ!$AW$69)</definedName>
    <definedName name="round.r">OFFSET(RCSOP!$AF$56,RCSOP!$AV$77,RCSOP!$AV$78,RCSOP!$AV$79,RCSOP!$AV$80)</definedName>
    <definedName name="rsors">RCSOP!$BD$55:$BE$90</definedName>
    <definedName name="table.aa1">ASZTAB!$BA$68:$BQ$91</definedName>
    <definedName name="table.aa2">ASZTAB!$BA$106:$BQ$115</definedName>
    <definedName name="table.ad.av1">ASZTAB!$BA$119:$BC$142</definedName>
    <definedName name="table.ad.av2">ASZTAB!$BA$173:$BC$182</definedName>
    <definedName name="table.ad.rv1">RTAB!$AU$117:$AW$126</definedName>
    <definedName name="table.ad.rv2">RTAB!$AU$142:$AW$151</definedName>
    <definedName name="table.ad.rv3">RTAB!$AU$168:$AW$177</definedName>
    <definedName name="table.aur">ASZTAB!$BC$68:$BM$91</definedName>
    <definedName name="table.av1">ASZTAB!$BA$42:$BQ$65</definedName>
    <definedName name="table.av2">ASZTAB!$BA$94:$BQ$103</definedName>
    <definedName name="table.n.av1">ASZTAB!$BC$42:$BQ$65</definedName>
    <definedName name="table.n.av2">ASZTAB!$BC$94:$BQ$103</definedName>
    <definedName name="table.n.rv1">RTAB!$AW$42:$BK$51</definedName>
    <definedName name="table.n.rv2">RTAB!$AW$66:$BK$75</definedName>
    <definedName name="table.n.rv3">RTAB!$AW$90:$BK$99</definedName>
    <definedName name="table.rr1">RTAB!$AU$54:$BK$63</definedName>
    <definedName name="table.rr2">RTAB!$AU$78:$BK$87</definedName>
    <definedName name="table.rr3">RTAB!$AU$102:$BK$111</definedName>
    <definedName name="table.rv1">RTAB!$AU$42:$BK$51</definedName>
    <definedName name="table.rv2">RTAB!$AU$66:$BK$75</definedName>
    <definedName name="table.rv3">RTAB!$AU$90:$BK$99</definedName>
    <definedName name="teams">Adatok!$E$1:$F$12</definedName>
    <definedName name="teams.a">INDIRECT(ASZTAB!$AE$68)</definedName>
    <definedName name="teams.r">INDIRECT(RTAB!$Y$64)</definedName>
    <definedName name="times">Adatok!$D$1:$D$6</definedName>
    <definedName name="wina.aa">OFFSET(ASZ!$AB$42,ASZ!$AS$52,ASZ!$AS$53,ASZ!$AS$54,ASZ!$AS$55)</definedName>
    <definedName name="wina.av">OFFSET(ASZ!$AB$42,ASZ!$AS$45,ASZ!$AS$46,ASZ!$AS$47,ASZ!$AS$48)</definedName>
    <definedName name="wina.rr">OFFSET(RCSOP!$AF$56,RCSOP!$AR$64,RCSOP!$AR$65,RCSOP!$AR$66,RCSOP!$AR$67)</definedName>
    <definedName name="wina.rv">OFFSET(RCSOP!$AF$56,RCSOP!$AR$57,RCSOP!$AR$58,RCSOP!$AR$59,RCSOP!$AR$60)</definedName>
    <definedName name="winh.aa">OFFSET(ASZ!$AB$42,ASZ!$AP$52,ASZ!$AP$53,ASZ!$AP$54,ASZ!$AP$55)</definedName>
    <definedName name="winh.av">OFFSET(ASZ!$AB$42,ASZ!$AP$45,ASZ!$AP$46,ASZ!$AP$47,ASZ!$AP$48)</definedName>
    <definedName name="winh.rr">OFFSET(RCSOP!$AF$56,RCSOP!$AO$64,RCSOP!$AO$65,RCSOP!$AO$66,RCSOP!$AO$67)</definedName>
    <definedName name="winh.rv">OFFSET(RCSOP!$AF$56,RCSOP!$AO$57,RCSOP!$AO$58,RCSOP!$AO$59,RCSOP!$AO$60)</definedName>
    <definedName name="xxd.aa">ASZTAB!$DL$41:$DM$340</definedName>
    <definedName name="xxd.an">ASZTAB!$DL$643:$DM$941</definedName>
    <definedName name="xxd.av">ASZTAB!$DL$342:$DM$640</definedName>
    <definedName name="xxd.rn">RTAB!$CW$595:$CX$869</definedName>
    <definedName name="xxd.rr">RTAB!$CW$41:$CX$315</definedName>
    <definedName name="xxd.rv">RTAB!$CW$318:$CX$592</definedName>
    <definedName name="xxgy.aa">ASZTAB!$DK$41:$DK$340</definedName>
    <definedName name="xxgy.an">ASZTAB!$DK$643:$DK$941</definedName>
    <definedName name="xxgy.av">ASZTAB!$DK$342:$DK$640</definedName>
    <definedName name="xxgy.rn">RTAB!$CV$595:$CV$869</definedName>
    <definedName name="xxgy.rr">RTAB!$CV$41:$CV$315</definedName>
    <definedName name="xxgy.rv">RTAB!$CV$318:$CV$592</definedName>
    <definedName name="xxi.aa">ASZTAB!$DP$41:$DP$340</definedName>
    <definedName name="xxi.an">ASZTAB!$DP$643:$DP$941</definedName>
    <definedName name="xxi.av">ASZTAB!$DP$342:$DP$640</definedName>
    <definedName name="xxi.rn">RTAB!$DA$595:$DA$869</definedName>
    <definedName name="xxi.rr">RTAB!$DA$41:$DA$315</definedName>
    <definedName name="xxi.rv">RTAB!$DA$318:$DA$592</definedName>
    <definedName name="xxk.aa">ASZTAB!$DO$41:$DO$340</definedName>
    <definedName name="xxk.an">ASZTAB!$DO$643:$DO$941</definedName>
    <definedName name="xxk.av">ASZTAB!$DO$342:$DO$640</definedName>
    <definedName name="xxk.rn">RTAB!$CZ$595:$CZ$869</definedName>
    <definedName name="xxk.rr">RTAB!$CZ$41:$CZ$315</definedName>
    <definedName name="xxk.rv">RTAB!$CZ$318:$CZ$592</definedName>
    <definedName name="xxl.aa">ASZTAB!$DN$41:$DN$340</definedName>
    <definedName name="xxl.an">ASZTAB!$DN$643:$DN$941</definedName>
    <definedName name="xxl.av">ASZTAB!$DN$342:$DN$640</definedName>
    <definedName name="xxl.rn">RTAB!$CY$595:$CY$869</definedName>
    <definedName name="xxl.rr">RTAB!$CY$41:$CY$315</definedName>
    <definedName name="xxl.rv">RTAB!$CY$318:$CY$592</definedName>
    <definedName name="xxo.aa">ASZTAB!$DI$41:$DI$340</definedName>
    <definedName name="xxo.an">ASZTAB!$DI$643:$DI$941</definedName>
    <definedName name="xxo.av">ASZTAB!$DI$342:$DI$640</definedName>
    <definedName name="xxo.rn">RTAB!$CT$595:$CT$869</definedName>
    <definedName name="xxo.rr">RTAB!$CT$41:$CT$315</definedName>
    <definedName name="xxo.rv">RTAB!$CT$318:$CT$592</definedName>
    <definedName name="xxx.aa1">ASZTAB!$CL$42:$DF$65</definedName>
    <definedName name="xxx.aa2">ASZTAB!$CL$68:$CW$77</definedName>
    <definedName name="xxx.an1">ASZTAB!$CL$644:$DF$667</definedName>
    <definedName name="xxx.an2">ASZTAB!$CL$670:$CW$679</definedName>
    <definedName name="xxx.av1">ASZTAB!$CL$343:$DF$366</definedName>
    <definedName name="xxx.av2">ASZTAB!$CL$369:$CW$378</definedName>
    <definedName name="xxx.rn1">RTAB!$CF$596:$CQ$605</definedName>
    <definedName name="xxx.rn2">RTAB!$CF$620:$CQ$629</definedName>
    <definedName name="xxx.rn3">RTAB!$CF$644:$CQ$653</definedName>
    <definedName name="xxx.rr1">RTAB!$CF$42:$CQ$51</definedName>
    <definedName name="xxx.rr2">RTAB!$CF$66:$CQ$75</definedName>
    <definedName name="xxx.rr3">RTAB!$CF$90:$CQ$99</definedName>
    <definedName name="xxx.rv1">RTAB!$CF$319:$CQ$328</definedName>
    <definedName name="xxx.rv2">RTAB!$CF$343:$CQ$352</definedName>
    <definedName name="xxx.rv3">RTAB!$CF$367:$CQ$376</definedName>
    <definedName name="yygy.aa">ASZTAB!$ET$53:$ET$313</definedName>
    <definedName name="yygy.an">ASZTAB!$ET$655:$ET$915</definedName>
    <definedName name="yygy.av">ASZTAB!$ET$354:$ET$614</definedName>
    <definedName name="yygy.rn">RTAB!$EE$602:$EE$819</definedName>
    <definedName name="yygy.rr">RTAB!$EE$48:$EE$265</definedName>
    <definedName name="yygy.rv">RTAB!$EE$325:$EE$542</definedName>
    <definedName name="yyi.aa">ASZTAB!$EY$53:$EY$313</definedName>
    <definedName name="yyi.an">ASZTAB!$EY$655:$EY$915</definedName>
    <definedName name="yyi.av">ASZTAB!$EY$354:$EY$614</definedName>
    <definedName name="yyi.rn">RTAB!$EJ$602:$EJ$819</definedName>
    <definedName name="yyi.rr">RTAB!$EJ$48:$EJ$265</definedName>
    <definedName name="yyi.rv">RTAB!$EJ$325:$EJ$542</definedName>
    <definedName name="yyk.aa">ASZTAB!$EX$53:$EX$313</definedName>
    <definedName name="yyk.an">ASZTAB!$EX$655:$EX$915</definedName>
    <definedName name="yyk.av">ASZTAB!$EX$354:$EX$614</definedName>
    <definedName name="yyk.rn">RTAB!$EI$602:$EI$819</definedName>
    <definedName name="yyk.rr">RTAB!$EI$48:$EI$265</definedName>
    <definedName name="yyk.rv">RTAB!$EI$325:$EI$542</definedName>
    <definedName name="yyl.aa">ASZTAB!$EW$53:$EW$313</definedName>
    <definedName name="yyl.an">ASZTAB!$EW$655:$EW$915</definedName>
    <definedName name="yyl.av">ASZTAB!$EW$354:$EW$614</definedName>
    <definedName name="yyl.rn">RTAB!$EH$602:$EH$819</definedName>
    <definedName name="yyl.rr">RTAB!$EH$48:$EH$265</definedName>
    <definedName name="yyl.rv">RTAB!$EH$325:$EH$542</definedName>
    <definedName name="yyo.aa">ASZTAB!$ER$53:$ER$313</definedName>
    <definedName name="yyo.an">ASZTAB!$ER$655:$ER$915</definedName>
    <definedName name="yyo.av">ASZTAB!$ER$354:$ER$614</definedName>
    <definedName name="yyo.rn">RTAB!$EC$602:$EC$819</definedName>
    <definedName name="yyo.rr">RTAB!$EC$48:$EC$265</definedName>
    <definedName name="yyo.rv">RTAB!$EC$325:$EC$542</definedName>
    <definedName name="yyy.aa1.10">ASZTAB!$EP$42:$FA$51</definedName>
    <definedName name="yyy.aa1.7">ASZTAB!$EP$154:$FA$160</definedName>
    <definedName name="yyy.aa2">ASZTAB!$EP$288:$EX$292</definedName>
    <definedName name="yyy.an1.10">ASZTAB!$EP$644:$FA$653</definedName>
    <definedName name="yyy.an1.7">ASZTAB!$EP$756:$FA$762</definedName>
    <definedName name="yyy.an2">ASZTAB!$EP$890:$EX$894</definedName>
    <definedName name="yyy.av1.10">ASZTAB!$EP$343:$FA$352</definedName>
    <definedName name="yyy.av1.7">ASZTAB!$EP$455:$FA$461</definedName>
    <definedName name="yyy.av2">ASZTAB!$EP$589:$EX$593</definedName>
    <definedName name="yyy.rn1">RTAB!$EA$596:$EI$600</definedName>
    <definedName name="yyy.rn2">RTAB!$EA$688:$EI$692</definedName>
    <definedName name="yyy.rn3">RTAB!$EA$780:$EI$784</definedName>
    <definedName name="yyy.rr1">RTAB!$EA$42:$EI$46</definedName>
    <definedName name="yyy.rr2">RTAB!$EA$134:$EI$138</definedName>
    <definedName name="yyy.rr3">RTAB!$EA$226:$EI$230</definedName>
    <definedName name="yyy.rv1">RTAB!$EA$319:$EI$323</definedName>
    <definedName name="yyy.rv2">RTAB!$EA$411:$EI$415</definedName>
    <definedName name="yyy.rv3">RTAB!$EA$503:$EI$507</definedName>
    <definedName name="zagainst">ASZTAB!$FY$42:$FY$350</definedName>
    <definedName name="zaway">ASZTAB!$FZ$42:$FZ$350</definedName>
    <definedName name="zdrawa">ASZTAB!$FV$42:$FV$350</definedName>
    <definedName name="zdrawh">ASZTAB!$FS$42:$FS$350</definedName>
    <definedName name="zfor">ASZTAB!$FX$42:$FX$350</definedName>
    <definedName name="zhome">ASZTAB!$FP$42:$FP$350</definedName>
    <definedName name="zlossa">ASZTAB!$FW$42:$FW$350</definedName>
    <definedName name="zlossh">ASZTAB!$FT$42:$FT$350</definedName>
    <definedName name="zpoint">ASZTAB!$FK$95:$FL$114</definedName>
    <definedName name="zwina">ASZTAB!$FU$42:$FU$350</definedName>
    <definedName name="zwinh">ASZTAB!$FR$42:$FR$350</definedName>
  </definedNames>
  <calcPr calcId="152511"/>
</workbook>
</file>

<file path=xl/calcChain.xml><?xml version="1.0" encoding="utf-8"?>
<calcChain xmlns="http://schemas.openxmlformats.org/spreadsheetml/2006/main">
  <c r="AS59" i="1" l="1"/>
  <c r="AS60" i="1"/>
  <c r="AS61" i="1"/>
  <c r="AS62" i="1"/>
  <c r="AS63" i="1"/>
  <c r="AS64" i="1"/>
  <c r="AS65" i="1"/>
  <c r="AS66" i="1"/>
  <c r="AS67" i="1"/>
  <c r="AS68" i="1"/>
  <c r="AS69" i="1"/>
  <c r="AS70" i="1"/>
  <c r="AS71" i="1"/>
  <c r="AS72" i="1"/>
  <c r="AS73" i="1"/>
  <c r="AS74" i="1"/>
  <c r="AS75" i="1"/>
  <c r="AS76" i="1"/>
  <c r="AS77" i="1"/>
  <c r="AS78" i="1"/>
  <c r="AS79" i="1"/>
  <c r="AS80" i="1"/>
  <c r="V383" i="1"/>
  <c r="Z383" i="1" s="1"/>
  <c r="V382" i="1"/>
  <c r="V381" i="1"/>
  <c r="Z381" i="1" s="1"/>
  <c r="V380" i="1"/>
  <c r="V379" i="1"/>
  <c r="Z379" i="1" s="1"/>
  <c r="V367" i="1"/>
  <c r="V366" i="1"/>
  <c r="Z366" i="1" s="1"/>
  <c r="V365" i="1"/>
  <c r="V364" i="1"/>
  <c r="Z364" i="1" s="1"/>
  <c r="V363" i="1"/>
  <c r="V351" i="1"/>
  <c r="Z351" i="1" s="1"/>
  <c r="V350" i="1"/>
  <c r="V349" i="1"/>
  <c r="Z349" i="1" s="1"/>
  <c r="V348" i="1"/>
  <c r="V347" i="1"/>
  <c r="Z347" i="1" s="1"/>
  <c r="V335" i="1"/>
  <c r="V334" i="1"/>
  <c r="Z334" i="1" s="1"/>
  <c r="V333" i="1"/>
  <c r="V332" i="1"/>
  <c r="Z332" i="1" s="1"/>
  <c r="V331" i="1"/>
  <c r="V319" i="1"/>
  <c r="Z319" i="1" s="1"/>
  <c r="V318" i="1"/>
  <c r="V317" i="1"/>
  <c r="Z317" i="1" s="1"/>
  <c r="V316" i="1"/>
  <c r="V315" i="1"/>
  <c r="Z315" i="1" s="1"/>
  <c r="V303" i="1"/>
  <c r="V302" i="1"/>
  <c r="Z302" i="1" s="1"/>
  <c r="V301" i="1"/>
  <c r="V300" i="1"/>
  <c r="Z300" i="1" s="1"/>
  <c r="V299" i="1"/>
  <c r="V287" i="1"/>
  <c r="Z287" i="1" s="1"/>
  <c r="V286" i="1"/>
  <c r="V285" i="1"/>
  <c r="Z285" i="1" s="1"/>
  <c r="V284" i="1"/>
  <c r="V283" i="1"/>
  <c r="Z283" i="1" s="1"/>
  <c r="V271" i="1"/>
  <c r="V270" i="1"/>
  <c r="Z270" i="1" s="1"/>
  <c r="V269" i="1"/>
  <c r="V268" i="1"/>
  <c r="Z268" i="1" s="1"/>
  <c r="V267" i="1"/>
  <c r="V255" i="1"/>
  <c r="Z255" i="1" s="1"/>
  <c r="V254" i="1"/>
  <c r="Z254" i="1" s="1"/>
  <c r="AB59" i="1"/>
  <c r="AB75" i="1" s="1"/>
  <c r="V262" i="1"/>
  <c r="V261" i="1"/>
  <c r="Z261" i="1" s="1"/>
  <c r="AA261" i="1"/>
  <c r="V260" i="1"/>
  <c r="Z260" i="1" s="1"/>
  <c r="AA260" i="1"/>
  <c r="V259" i="1"/>
  <c r="Z259" i="1"/>
  <c r="AA259" i="1"/>
  <c r="AD259" i="1"/>
  <c r="V258" i="1"/>
  <c r="Z258" i="1"/>
  <c r="AA258" i="1"/>
  <c r="V257" i="1"/>
  <c r="V256" i="1"/>
  <c r="V239" i="1"/>
  <c r="V238" i="1"/>
  <c r="Z238" i="1"/>
  <c r="AD258" i="1"/>
  <c r="AG258" i="1"/>
  <c r="AW61" i="1"/>
  <c r="X262" i="1"/>
  <c r="X261" i="1"/>
  <c r="X260" i="1"/>
  <c r="X259" i="1"/>
  <c r="X258" i="1"/>
  <c r="X257" i="1"/>
  <c r="X256" i="1"/>
  <c r="AL256" i="1" s="1"/>
  <c r="AM256" i="1" s="1"/>
  <c r="Y262" i="1"/>
  <c r="Y261" i="1"/>
  <c r="Y260" i="1"/>
  <c r="Y259" i="1"/>
  <c r="U259" i="1" s="1"/>
  <c r="Y258" i="1"/>
  <c r="Y257" i="1"/>
  <c r="Y256" i="1"/>
  <c r="U256" i="1"/>
  <c r="BM106" i="2"/>
  <c r="BM107" i="2"/>
  <c r="BM108" i="2"/>
  <c r="BM109" i="2"/>
  <c r="BM110" i="2"/>
  <c r="BM111" i="2"/>
  <c r="BM112" i="2"/>
  <c r="BM113" i="2"/>
  <c r="BM114" i="2"/>
  <c r="BM115" i="2"/>
  <c r="BO106" i="2"/>
  <c r="BO107" i="2"/>
  <c r="BO108" i="2"/>
  <c r="BO109" i="2"/>
  <c r="BO110" i="2"/>
  <c r="BO111" i="2"/>
  <c r="BO112" i="2"/>
  <c r="BO113" i="2"/>
  <c r="BO114" i="2"/>
  <c r="BO115" i="2"/>
  <c r="AQ125" i="7955"/>
  <c r="AX125" i="7955" s="1"/>
  <c r="AQ596" i="7955"/>
  <c r="AQ595" i="7955"/>
  <c r="AQ594" i="7955"/>
  <c r="AQ593" i="7955"/>
  <c r="AQ592" i="7955"/>
  <c r="AQ591" i="7955"/>
  <c r="AQ590" i="7955"/>
  <c r="AQ589" i="7955"/>
  <c r="AQ588" i="7955"/>
  <c r="AQ587" i="7955"/>
  <c r="AQ586" i="7955"/>
  <c r="AQ585" i="7955"/>
  <c r="AQ584" i="7955"/>
  <c r="AQ583" i="7955"/>
  <c r="AQ582" i="7955"/>
  <c r="AQ581" i="7955"/>
  <c r="AQ580" i="7955"/>
  <c r="AQ579" i="7955"/>
  <c r="AQ578" i="7955"/>
  <c r="AQ577" i="7955"/>
  <c r="AQ576" i="7955"/>
  <c r="AQ575" i="7955"/>
  <c r="AQ574" i="7955"/>
  <c r="AQ573" i="7955"/>
  <c r="AQ572" i="7955"/>
  <c r="AQ571" i="7955"/>
  <c r="AQ570" i="7955"/>
  <c r="AQ569" i="7955"/>
  <c r="AQ568" i="7955"/>
  <c r="AQ567" i="7955"/>
  <c r="AQ546" i="7955"/>
  <c r="AQ545" i="7955"/>
  <c r="AQ544" i="7955"/>
  <c r="AQ543" i="7955"/>
  <c r="AQ542" i="7955"/>
  <c r="AQ541" i="7955"/>
  <c r="AQ540" i="7955"/>
  <c r="AQ539" i="7955"/>
  <c r="AQ538" i="7955"/>
  <c r="AQ537" i="7955"/>
  <c r="AQ536" i="7955"/>
  <c r="AQ535" i="7955"/>
  <c r="AQ534" i="7955"/>
  <c r="AQ533" i="7955"/>
  <c r="AQ532" i="7955"/>
  <c r="AQ531" i="7955"/>
  <c r="AQ530" i="7955"/>
  <c r="AQ529" i="7955"/>
  <c r="AQ528" i="7955"/>
  <c r="AQ527" i="7955"/>
  <c r="AQ526" i="7955"/>
  <c r="AQ525" i="7955"/>
  <c r="AQ524" i="7955"/>
  <c r="AQ523" i="7955"/>
  <c r="AQ522" i="7955"/>
  <c r="AQ521" i="7955"/>
  <c r="AQ520" i="7955"/>
  <c r="AQ519" i="7955"/>
  <c r="AQ518" i="7955"/>
  <c r="AQ517" i="7955"/>
  <c r="AQ496" i="7955"/>
  <c r="AQ495" i="7955"/>
  <c r="AQ494" i="7955"/>
  <c r="AQ493" i="7955"/>
  <c r="AQ492" i="7955"/>
  <c r="AQ491" i="7955"/>
  <c r="AQ490" i="7955"/>
  <c r="AQ489" i="7955"/>
  <c r="AQ488" i="7955"/>
  <c r="AQ487" i="7955"/>
  <c r="AQ486" i="7955"/>
  <c r="AQ485" i="7955"/>
  <c r="AQ484" i="7955"/>
  <c r="AQ483" i="7955"/>
  <c r="AQ482" i="7955"/>
  <c r="AQ481" i="7955"/>
  <c r="AQ480" i="7955"/>
  <c r="AQ479" i="7955"/>
  <c r="AQ478" i="7955"/>
  <c r="AQ477" i="7955"/>
  <c r="AQ476" i="7955"/>
  <c r="AQ475" i="7955"/>
  <c r="AQ474" i="7955"/>
  <c r="AQ473" i="7955"/>
  <c r="AQ472" i="7955"/>
  <c r="AQ471" i="7955"/>
  <c r="AQ470" i="7955"/>
  <c r="AQ469" i="7955"/>
  <c r="AQ468" i="7955"/>
  <c r="AQ467" i="7955"/>
  <c r="AQ446" i="7955"/>
  <c r="AQ445" i="7955"/>
  <c r="AQ444" i="7955"/>
  <c r="AQ443" i="7955"/>
  <c r="AQ442" i="7955"/>
  <c r="AQ441" i="7955"/>
  <c r="AQ440" i="7955"/>
  <c r="AQ439" i="7955"/>
  <c r="AQ438" i="7955"/>
  <c r="AQ437" i="7955"/>
  <c r="AQ436" i="7955"/>
  <c r="AQ435" i="7955"/>
  <c r="AQ434" i="7955"/>
  <c r="AQ433" i="7955"/>
  <c r="AQ432" i="7955"/>
  <c r="AQ431" i="7955"/>
  <c r="AQ430" i="7955"/>
  <c r="AQ429" i="7955"/>
  <c r="AQ428" i="7955"/>
  <c r="AQ427" i="7955"/>
  <c r="AX427" i="7955" s="1"/>
  <c r="AQ426" i="7955"/>
  <c r="AQ425" i="7955"/>
  <c r="AX425" i="7955" s="1"/>
  <c r="AQ424" i="7955"/>
  <c r="AQ423" i="7955"/>
  <c r="AX423" i="7955" s="1"/>
  <c r="AQ422" i="7955"/>
  <c r="AQ421" i="7955"/>
  <c r="AX421" i="7955" s="1"/>
  <c r="AQ420" i="7955"/>
  <c r="AQ419" i="7955"/>
  <c r="AX419" i="7955" s="1"/>
  <c r="AQ418" i="7955"/>
  <c r="AX418" i="7955" s="1"/>
  <c r="AQ417" i="7955"/>
  <c r="AQ396" i="7955"/>
  <c r="AQ395" i="7955"/>
  <c r="AQ394" i="7955"/>
  <c r="AQ393" i="7955"/>
  <c r="AQ392" i="7955"/>
  <c r="AQ391" i="7955"/>
  <c r="AQ390" i="7955"/>
  <c r="AQ389" i="7955"/>
  <c r="AQ388" i="7955"/>
  <c r="AQ387" i="7955"/>
  <c r="AQ386" i="7955"/>
  <c r="AQ385" i="7955"/>
  <c r="AQ384" i="7955"/>
  <c r="AQ383" i="7955"/>
  <c r="AQ382" i="7955"/>
  <c r="AQ381" i="7955"/>
  <c r="AQ380" i="7955"/>
  <c r="AQ379" i="7955"/>
  <c r="AQ378" i="7955"/>
  <c r="AQ377" i="7955"/>
  <c r="AQ376" i="7955"/>
  <c r="AQ375" i="7955"/>
  <c r="AQ374" i="7955"/>
  <c r="AQ373" i="7955"/>
  <c r="AQ372" i="7955"/>
  <c r="AQ371" i="7955"/>
  <c r="AQ370" i="7955"/>
  <c r="AQ369" i="7955"/>
  <c r="AQ368" i="7955"/>
  <c r="AQ367" i="7955"/>
  <c r="AQ346" i="7955"/>
  <c r="AQ345" i="7955"/>
  <c r="AQ344" i="7955"/>
  <c r="AQ343" i="7955"/>
  <c r="AQ342" i="7955"/>
  <c r="AQ341" i="7955"/>
  <c r="AQ340" i="7955"/>
  <c r="AQ339" i="7955"/>
  <c r="AQ338" i="7955"/>
  <c r="AQ337" i="7955"/>
  <c r="AQ336" i="7955"/>
  <c r="AQ335" i="7955"/>
  <c r="AQ334" i="7955"/>
  <c r="AQ333" i="7955"/>
  <c r="AQ332" i="7955"/>
  <c r="AQ331" i="7955"/>
  <c r="AQ330" i="7955"/>
  <c r="AQ329" i="7955"/>
  <c r="AQ328" i="7955"/>
  <c r="AQ327" i="7955"/>
  <c r="AQ326" i="7955"/>
  <c r="AQ325" i="7955"/>
  <c r="AQ324" i="7955"/>
  <c r="AQ323" i="7955"/>
  <c r="AQ322" i="7955"/>
  <c r="AQ321" i="7955"/>
  <c r="AQ320" i="7955"/>
  <c r="AQ319" i="7955"/>
  <c r="AQ318" i="7955"/>
  <c r="AQ317" i="7955"/>
  <c r="AQ296" i="7955"/>
  <c r="AQ295" i="7955"/>
  <c r="AQ294" i="7955"/>
  <c r="AQ293" i="7955"/>
  <c r="AQ292" i="7955"/>
  <c r="AQ291" i="7955"/>
  <c r="AQ290" i="7955"/>
  <c r="AQ289" i="7955"/>
  <c r="AQ288" i="7955"/>
  <c r="AQ287" i="7955"/>
  <c r="AQ286" i="7955"/>
  <c r="AQ285" i="7955"/>
  <c r="AQ284" i="7955"/>
  <c r="AQ283" i="7955"/>
  <c r="AQ282" i="7955"/>
  <c r="AQ281" i="7955"/>
  <c r="AQ280" i="7955"/>
  <c r="AQ279" i="7955"/>
  <c r="AQ278" i="7955"/>
  <c r="AQ277" i="7955"/>
  <c r="AQ276" i="7955"/>
  <c r="AQ275" i="7955"/>
  <c r="AQ274" i="7955"/>
  <c r="AQ273" i="7955"/>
  <c r="AQ272" i="7955"/>
  <c r="AQ271" i="7955"/>
  <c r="AQ270" i="7955"/>
  <c r="AQ269" i="7955"/>
  <c r="AQ268" i="7955"/>
  <c r="AQ267" i="7955"/>
  <c r="AQ246" i="7955"/>
  <c r="AQ245" i="7955"/>
  <c r="AQ244" i="7955"/>
  <c r="AQ243" i="7955"/>
  <c r="AQ242" i="7955"/>
  <c r="AQ241" i="7955"/>
  <c r="AQ240" i="7955"/>
  <c r="AQ239" i="7955"/>
  <c r="AQ238" i="7955"/>
  <c r="AQ237" i="7955"/>
  <c r="AQ236" i="7955"/>
  <c r="AQ235" i="7955"/>
  <c r="AQ234" i="7955"/>
  <c r="AQ233" i="7955"/>
  <c r="AQ232" i="7955"/>
  <c r="AQ231" i="7955"/>
  <c r="AQ230" i="7955"/>
  <c r="AQ229" i="7955"/>
  <c r="AQ228" i="7955"/>
  <c r="AQ227" i="7955"/>
  <c r="AX227" i="7955" s="1"/>
  <c r="AQ226" i="7955"/>
  <c r="AQ225" i="7955"/>
  <c r="AX225" i="7955" s="1"/>
  <c r="AQ224" i="7955"/>
  <c r="AQ223" i="7955"/>
  <c r="AX223" i="7955" s="1"/>
  <c r="AQ222" i="7955"/>
  <c r="AQ221" i="7955"/>
  <c r="AX221" i="7955" s="1"/>
  <c r="AQ220" i="7955"/>
  <c r="AQ219" i="7955"/>
  <c r="AX219" i="7955" s="1"/>
  <c r="AQ218" i="7955"/>
  <c r="AQ217" i="7955"/>
  <c r="AX217" i="7955" s="1"/>
  <c r="AQ196" i="7955"/>
  <c r="AQ195" i="7955"/>
  <c r="AX195" i="7955" s="1"/>
  <c r="AQ194" i="7955"/>
  <c r="AQ193" i="7955"/>
  <c r="AX193" i="7955" s="1"/>
  <c r="AQ192" i="7955"/>
  <c r="AQ191" i="7955"/>
  <c r="AX191" i="7955" s="1"/>
  <c r="AQ190" i="7955"/>
  <c r="AQ189" i="7955"/>
  <c r="AX189" i="7955" s="1"/>
  <c r="AQ188" i="7955"/>
  <c r="AQ187" i="7955"/>
  <c r="AX187" i="7955" s="1"/>
  <c r="AQ186" i="7955"/>
  <c r="AQ185" i="7955"/>
  <c r="AX185" i="7955" s="1"/>
  <c r="AQ184" i="7955"/>
  <c r="AQ183" i="7955"/>
  <c r="AX183" i="7955" s="1"/>
  <c r="AQ182" i="7955"/>
  <c r="AQ181" i="7955"/>
  <c r="AX181" i="7955" s="1"/>
  <c r="AQ180" i="7955"/>
  <c r="AQ179" i="7955"/>
  <c r="AX179" i="7955" s="1"/>
  <c r="AQ178" i="7955"/>
  <c r="AQ177" i="7955"/>
  <c r="AX177" i="7955" s="1"/>
  <c r="AQ176" i="7955"/>
  <c r="AQ175" i="7955"/>
  <c r="AX175" i="7955" s="1"/>
  <c r="AQ174" i="7955"/>
  <c r="AQ173" i="7955"/>
  <c r="AX173" i="7955" s="1"/>
  <c r="AQ172" i="7955"/>
  <c r="AQ171" i="7955"/>
  <c r="AX171" i="7955" s="1"/>
  <c r="AQ170" i="7955"/>
  <c r="AQ169" i="7955"/>
  <c r="AX169" i="7955" s="1"/>
  <c r="AQ168" i="7955"/>
  <c r="AQ167" i="7955"/>
  <c r="AX167" i="7955" s="1"/>
  <c r="AQ146" i="7955"/>
  <c r="AQ145" i="7955"/>
  <c r="AX145" i="7955" s="1"/>
  <c r="AQ144" i="7955"/>
  <c r="AQ143" i="7955"/>
  <c r="AX143" i="7955" s="1"/>
  <c r="AQ142" i="7955"/>
  <c r="AQ141" i="7955"/>
  <c r="AX141" i="7955" s="1"/>
  <c r="AQ140" i="7955"/>
  <c r="AQ139" i="7955"/>
  <c r="AX139" i="7955" s="1"/>
  <c r="AQ138" i="7955"/>
  <c r="AQ137" i="7955"/>
  <c r="AX137" i="7955" s="1"/>
  <c r="AQ136" i="7955"/>
  <c r="AQ135" i="7955"/>
  <c r="AX135" i="7955" s="1"/>
  <c r="AQ134" i="7955"/>
  <c r="AQ133" i="7955"/>
  <c r="AX133" i="7955" s="1"/>
  <c r="AQ132" i="7955"/>
  <c r="AQ131" i="7955"/>
  <c r="AX131" i="7955" s="1"/>
  <c r="AQ130" i="7955"/>
  <c r="AQ129" i="7955"/>
  <c r="AX129" i="7955" s="1"/>
  <c r="AQ128" i="7955"/>
  <c r="AQ127" i="7955"/>
  <c r="AX127" i="7955" s="1"/>
  <c r="AQ126" i="7955"/>
  <c r="AQ124" i="7955"/>
  <c r="AX124" i="7955" s="1"/>
  <c r="AQ123" i="7955"/>
  <c r="AQ122" i="7955"/>
  <c r="AX122" i="7955" s="1"/>
  <c r="AQ121" i="7955"/>
  <c r="AQ120" i="7955"/>
  <c r="AX120" i="7955" s="1"/>
  <c r="AQ119" i="7955"/>
  <c r="AQ118" i="7955"/>
  <c r="AX118" i="7955" s="1"/>
  <c r="AQ117" i="7955"/>
  <c r="AQ68" i="7955"/>
  <c r="AX68" i="7955" s="1"/>
  <c r="AQ69" i="7955"/>
  <c r="AQ70" i="7955"/>
  <c r="AX70" i="7955" s="1"/>
  <c r="AQ71" i="7955"/>
  <c r="AQ72" i="7955"/>
  <c r="AX72" i="7955" s="1"/>
  <c r="AQ73" i="7955"/>
  <c r="AQ74" i="7955"/>
  <c r="AX74" i="7955" s="1"/>
  <c r="AQ75" i="7955"/>
  <c r="AQ76" i="7955"/>
  <c r="AX76" i="7955" s="1"/>
  <c r="AQ77" i="7955"/>
  <c r="AQ78" i="7955"/>
  <c r="AX78" i="7955" s="1"/>
  <c r="AQ79" i="7955"/>
  <c r="AQ80" i="7955"/>
  <c r="AX80" i="7955" s="1"/>
  <c r="AQ81" i="7955"/>
  <c r="AQ82" i="7955"/>
  <c r="AX82" i="7955" s="1"/>
  <c r="AQ83" i="7955"/>
  <c r="AQ84" i="7955"/>
  <c r="AX84" i="7955" s="1"/>
  <c r="AQ85" i="7955"/>
  <c r="AQ86" i="7955"/>
  <c r="AX86" i="7955" s="1"/>
  <c r="AQ87" i="7955"/>
  <c r="AQ88" i="7955"/>
  <c r="AX88" i="7955" s="1"/>
  <c r="AQ89" i="7955"/>
  <c r="AQ90" i="7955"/>
  <c r="AX90" i="7955" s="1"/>
  <c r="AQ91" i="7955"/>
  <c r="AQ92" i="7955"/>
  <c r="AX92" i="7955" s="1"/>
  <c r="AQ93" i="7955"/>
  <c r="AQ94" i="7955"/>
  <c r="AX94" i="7955" s="1"/>
  <c r="AQ95" i="7955"/>
  <c r="AQ96" i="7955"/>
  <c r="AX96" i="7955" s="1"/>
  <c r="AQ67" i="7955"/>
  <c r="V111" i="1"/>
  <c r="AP53" i="1"/>
  <c r="V54" i="1"/>
  <c r="Z54" i="1" s="1"/>
  <c r="AA54" i="1"/>
  <c r="V53" i="1"/>
  <c r="Z53" i="1" s="1"/>
  <c r="AA53" i="1"/>
  <c r="V52" i="1"/>
  <c r="Z52" i="1" s="1"/>
  <c r="AA52" i="1"/>
  <c r="V51" i="1"/>
  <c r="Z51" i="1" s="1"/>
  <c r="AA51" i="1"/>
  <c r="V50" i="1"/>
  <c r="Z50" i="1" s="1"/>
  <c r="AA50" i="1"/>
  <c r="V49" i="1"/>
  <c r="Z49" i="1" s="1"/>
  <c r="AA49" i="1"/>
  <c r="V70" i="1"/>
  <c r="Z70" i="1" s="1"/>
  <c r="AA70" i="1"/>
  <c r="V69" i="1"/>
  <c r="Z69" i="1" s="1"/>
  <c r="AA69" i="1"/>
  <c r="V68" i="1"/>
  <c r="Z68" i="1"/>
  <c r="AA68" i="1"/>
  <c r="V67" i="1"/>
  <c r="V66" i="1"/>
  <c r="Z66" i="1" s="1"/>
  <c r="AA66" i="1"/>
  <c r="V65" i="1"/>
  <c r="Z65" i="1" s="1"/>
  <c r="AA65" i="1"/>
  <c r="V63" i="1"/>
  <c r="Z63" i="1"/>
  <c r="AA63" i="1"/>
  <c r="AC63" i="1"/>
  <c r="V86" i="1"/>
  <c r="Z86" i="1"/>
  <c r="AA86" i="1"/>
  <c r="AC86" i="1"/>
  <c r="V85" i="1"/>
  <c r="Z85" i="1"/>
  <c r="AA85" i="1"/>
  <c r="AC85" i="1"/>
  <c r="V84" i="1"/>
  <c r="Z84" i="1"/>
  <c r="AA84" i="1"/>
  <c r="AC84" i="1"/>
  <c r="V83" i="1"/>
  <c r="Z83" i="1"/>
  <c r="AA83" i="1"/>
  <c r="AC83" i="1"/>
  <c r="V82" i="1"/>
  <c r="Z82" i="1"/>
  <c r="AA82" i="1"/>
  <c r="AC82" i="1"/>
  <c r="V81" i="1"/>
  <c r="Z81" i="1"/>
  <c r="AA81" i="1"/>
  <c r="AC81" i="1"/>
  <c r="V102" i="1"/>
  <c r="Z102" i="1"/>
  <c r="AA102" i="1"/>
  <c r="AC102" i="1"/>
  <c r="V101" i="1"/>
  <c r="Z101" i="1"/>
  <c r="AA101" i="1"/>
  <c r="AC101" i="1"/>
  <c r="V100" i="1"/>
  <c r="Z100" i="1"/>
  <c r="AA100" i="1"/>
  <c r="AC100" i="1"/>
  <c r="V99" i="1"/>
  <c r="Z99" i="1"/>
  <c r="AA99" i="1"/>
  <c r="AC99" i="1"/>
  <c r="V98" i="1"/>
  <c r="Z98" i="1"/>
  <c r="AA98" i="1"/>
  <c r="AC98" i="1"/>
  <c r="V97" i="1"/>
  <c r="Z97" i="1"/>
  <c r="AA97" i="1"/>
  <c r="AC97" i="1"/>
  <c r="V118" i="1"/>
  <c r="Z118" i="1"/>
  <c r="AA118" i="1"/>
  <c r="AC118" i="1"/>
  <c r="V117" i="1"/>
  <c r="Z117" i="1"/>
  <c r="AA117" i="1"/>
  <c r="AC117" i="1"/>
  <c r="V116" i="1"/>
  <c r="Z116" i="1"/>
  <c r="AA116" i="1"/>
  <c r="AC116" i="1"/>
  <c r="V115" i="1"/>
  <c r="Z115" i="1"/>
  <c r="AA115" i="1"/>
  <c r="AC115" i="1"/>
  <c r="V114" i="1"/>
  <c r="Z114" i="1"/>
  <c r="AA114" i="1"/>
  <c r="AC114" i="1"/>
  <c r="V113" i="1"/>
  <c r="Z113" i="1"/>
  <c r="AA113" i="1"/>
  <c r="AC113" i="1"/>
  <c r="V134" i="1"/>
  <c r="Z134" i="1"/>
  <c r="AA134" i="1"/>
  <c r="V133" i="1"/>
  <c r="V132" i="1"/>
  <c r="Z132" i="1" s="1"/>
  <c r="V131" i="1"/>
  <c r="V130" i="1"/>
  <c r="Z130" i="1" s="1"/>
  <c r="V129" i="1"/>
  <c r="V150" i="1"/>
  <c r="Z150" i="1" s="1"/>
  <c r="V149" i="1"/>
  <c r="V148" i="1"/>
  <c r="Z148" i="1" s="1"/>
  <c r="V147" i="1"/>
  <c r="V146" i="1"/>
  <c r="Z146" i="1" s="1"/>
  <c r="V145" i="1"/>
  <c r="V166" i="1"/>
  <c r="Z166" i="1" s="1"/>
  <c r="V165" i="1"/>
  <c r="V164" i="1"/>
  <c r="Z164" i="1" s="1"/>
  <c r="V163" i="1"/>
  <c r="V162" i="1"/>
  <c r="Z162" i="1" s="1"/>
  <c r="V161" i="1"/>
  <c r="V182" i="1"/>
  <c r="Z182" i="1" s="1"/>
  <c r="V181" i="1"/>
  <c r="V180" i="1"/>
  <c r="Z180" i="1" s="1"/>
  <c r="V179" i="1"/>
  <c r="V178" i="1"/>
  <c r="Z178" i="1" s="1"/>
  <c r="V177" i="1"/>
  <c r="V198" i="1"/>
  <c r="Z198" i="1" s="1"/>
  <c r="V197" i="1"/>
  <c r="V196" i="1"/>
  <c r="Z196" i="1" s="1"/>
  <c r="V195" i="1"/>
  <c r="V194" i="1"/>
  <c r="Z194" i="1" s="1"/>
  <c r="V193" i="1"/>
  <c r="V214" i="1"/>
  <c r="Z214" i="1" s="1"/>
  <c r="V213" i="1"/>
  <c r="V212" i="1"/>
  <c r="Z212" i="1" s="1"/>
  <c r="V211" i="1"/>
  <c r="V210" i="1"/>
  <c r="Z210" i="1" s="1"/>
  <c r="V209" i="1"/>
  <c r="V230" i="1"/>
  <c r="Z230" i="1" s="1"/>
  <c r="V229" i="1"/>
  <c r="V228" i="1"/>
  <c r="Z228" i="1" s="1"/>
  <c r="V227" i="1"/>
  <c r="V226" i="1"/>
  <c r="Z226" i="1" s="1"/>
  <c r="V225" i="1"/>
  <c r="V246" i="1"/>
  <c r="Z246" i="1" s="1"/>
  <c r="V245" i="1"/>
  <c r="V244" i="1"/>
  <c r="Z244" i="1" s="1"/>
  <c r="V243" i="1"/>
  <c r="V242" i="1"/>
  <c r="Z242" i="1" s="1"/>
  <c r="V241" i="1"/>
  <c r="V278" i="1"/>
  <c r="Z278" i="1" s="1"/>
  <c r="V277" i="1"/>
  <c r="V276" i="1"/>
  <c r="Z276" i="1" s="1"/>
  <c r="V275" i="1"/>
  <c r="V274" i="1"/>
  <c r="Z274" i="1" s="1"/>
  <c r="V273" i="1"/>
  <c r="V294" i="1"/>
  <c r="Z294" i="1" s="1"/>
  <c r="V293" i="1"/>
  <c r="Z293" i="1" s="1"/>
  <c r="V292" i="1"/>
  <c r="Z292" i="1" s="1"/>
  <c r="V291" i="1"/>
  <c r="Z291" i="1" s="1"/>
  <c r="V290" i="1"/>
  <c r="Z290" i="1" s="1"/>
  <c r="V289" i="1"/>
  <c r="Z289" i="1" s="1"/>
  <c r="V310" i="1"/>
  <c r="Z310" i="1" s="1"/>
  <c r="V309" i="1"/>
  <c r="V308" i="1"/>
  <c r="Z308" i="1" s="1"/>
  <c r="V307" i="1"/>
  <c r="V306" i="1"/>
  <c r="Z306" i="1" s="1"/>
  <c r="V305" i="1"/>
  <c r="V326" i="1"/>
  <c r="Z326" i="1" s="1"/>
  <c r="V325" i="1"/>
  <c r="Z325" i="1" s="1"/>
  <c r="V324" i="1"/>
  <c r="Z324" i="1" s="1"/>
  <c r="V323" i="1"/>
  <c r="Z323" i="1" s="1"/>
  <c r="V322" i="1"/>
  <c r="Z322" i="1" s="1"/>
  <c r="AA322" i="1"/>
  <c r="V321" i="1"/>
  <c r="Z321" i="1" s="1"/>
  <c r="V342" i="1"/>
  <c r="V341" i="1"/>
  <c r="Z341" i="1" s="1"/>
  <c r="V340" i="1"/>
  <c r="V339" i="1"/>
  <c r="Z339" i="1" s="1"/>
  <c r="V338" i="1"/>
  <c r="V337" i="1"/>
  <c r="Z337" i="1" s="1"/>
  <c r="V358" i="1"/>
  <c r="V357" i="1"/>
  <c r="Z357" i="1" s="1"/>
  <c r="V356" i="1"/>
  <c r="Z356" i="1" s="1"/>
  <c r="AA356" i="1"/>
  <c r="AD356" i="1" s="1"/>
  <c r="V355" i="1"/>
  <c r="Z355" i="1" s="1"/>
  <c r="V354" i="1"/>
  <c r="V353" i="1"/>
  <c r="Z353" i="1" s="1"/>
  <c r="V374" i="1"/>
  <c r="Z374" i="1" s="1"/>
  <c r="V373" i="1"/>
  <c r="V372" i="1"/>
  <c r="Z372" i="1" s="1"/>
  <c r="V371" i="1"/>
  <c r="V370" i="1"/>
  <c r="Z370" i="1" s="1"/>
  <c r="V369" i="1"/>
  <c r="AS53" i="1"/>
  <c r="AF54" i="1"/>
  <c r="AQ53" i="1"/>
  <c r="AD68" i="1"/>
  <c r="AD86" i="1"/>
  <c r="AD85" i="1"/>
  <c r="AD84" i="1"/>
  <c r="AD83" i="1"/>
  <c r="AD82" i="1"/>
  <c r="AD81" i="1"/>
  <c r="AD102" i="1"/>
  <c r="AD101" i="1"/>
  <c r="AD100" i="1"/>
  <c r="AD99" i="1"/>
  <c r="AD98" i="1"/>
  <c r="AD97" i="1"/>
  <c r="AD118" i="1"/>
  <c r="AD117" i="1"/>
  <c r="AD116" i="1"/>
  <c r="AD115" i="1"/>
  <c r="AD114" i="1"/>
  <c r="AD113" i="1"/>
  <c r="AD134" i="1"/>
  <c r="AT53" i="1"/>
  <c r="AG68" i="1"/>
  <c r="AG86" i="1"/>
  <c r="AG85" i="1"/>
  <c r="AG84" i="1"/>
  <c r="AG83" i="1"/>
  <c r="AG82" i="1"/>
  <c r="AG81" i="1"/>
  <c r="AG102" i="1"/>
  <c r="AG101" i="1"/>
  <c r="AG100" i="1"/>
  <c r="AG99" i="1"/>
  <c r="AG98" i="1"/>
  <c r="AG97" i="1"/>
  <c r="AG118" i="1"/>
  <c r="AG117" i="1"/>
  <c r="AG116" i="1"/>
  <c r="AG115" i="1"/>
  <c r="AG114" i="1"/>
  <c r="AG113" i="1"/>
  <c r="AG134" i="1"/>
  <c r="AR53" i="1"/>
  <c r="AU53" i="1"/>
  <c r="C101" i="7955"/>
  <c r="C151" i="7955"/>
  <c r="C201" i="7955" s="1"/>
  <c r="C251" i="7955" s="1"/>
  <c r="C301" i="7955" s="1"/>
  <c r="X54" i="1"/>
  <c r="X53" i="1"/>
  <c r="X52" i="1"/>
  <c r="X51" i="1"/>
  <c r="X50" i="1"/>
  <c r="X49" i="1"/>
  <c r="X70" i="1"/>
  <c r="X69" i="1"/>
  <c r="X68" i="1"/>
  <c r="X67" i="1"/>
  <c r="X66" i="1"/>
  <c r="X65" i="1"/>
  <c r="X86" i="1"/>
  <c r="X85" i="1"/>
  <c r="X84" i="1"/>
  <c r="X83" i="1"/>
  <c r="X82" i="1"/>
  <c r="X81" i="1"/>
  <c r="X102" i="1"/>
  <c r="X101" i="1"/>
  <c r="X100" i="1"/>
  <c r="X99" i="1"/>
  <c r="X98" i="1"/>
  <c r="X97" i="1"/>
  <c r="X118" i="1"/>
  <c r="X117" i="1"/>
  <c r="X116" i="1"/>
  <c r="X115" i="1"/>
  <c r="X114" i="1"/>
  <c r="X113" i="1"/>
  <c r="X134" i="1"/>
  <c r="X133" i="1"/>
  <c r="X132" i="1"/>
  <c r="X131" i="1"/>
  <c r="X130" i="1"/>
  <c r="X129" i="1"/>
  <c r="X150" i="1"/>
  <c r="X149" i="1"/>
  <c r="X148" i="1"/>
  <c r="X147" i="1"/>
  <c r="X146" i="1"/>
  <c r="X145" i="1"/>
  <c r="X166" i="1"/>
  <c r="X165" i="1"/>
  <c r="X164" i="1"/>
  <c r="X163" i="1"/>
  <c r="X162" i="1"/>
  <c r="X161" i="1"/>
  <c r="X182" i="1"/>
  <c r="X181" i="1"/>
  <c r="X180" i="1"/>
  <c r="X179" i="1"/>
  <c r="X178" i="1"/>
  <c r="X177" i="1"/>
  <c r="X198" i="1"/>
  <c r="X197" i="1"/>
  <c r="X196" i="1"/>
  <c r="X195" i="1"/>
  <c r="X194" i="1"/>
  <c r="X193" i="1"/>
  <c r="X214" i="1"/>
  <c r="X213" i="1"/>
  <c r="X212" i="1"/>
  <c r="X211" i="1"/>
  <c r="X210" i="1"/>
  <c r="X209" i="1"/>
  <c r="X230" i="1"/>
  <c r="X229" i="1"/>
  <c r="X228" i="1"/>
  <c r="X227" i="1"/>
  <c r="X226" i="1"/>
  <c r="X225" i="1"/>
  <c r="X246" i="1"/>
  <c r="X245" i="1"/>
  <c r="X244" i="1"/>
  <c r="X243" i="1"/>
  <c r="X242" i="1"/>
  <c r="X241" i="1"/>
  <c r="X278" i="1"/>
  <c r="X277" i="1"/>
  <c r="X276" i="1"/>
  <c r="X275" i="1"/>
  <c r="X274" i="1"/>
  <c r="X273" i="1"/>
  <c r="X294" i="1"/>
  <c r="X293" i="1"/>
  <c r="X292" i="1"/>
  <c r="X291" i="1"/>
  <c r="X290" i="1"/>
  <c r="X289" i="1"/>
  <c r="X310" i="1"/>
  <c r="X309" i="1"/>
  <c r="X308" i="1"/>
  <c r="X307" i="1"/>
  <c r="X306" i="1"/>
  <c r="X305" i="1"/>
  <c r="X326" i="1"/>
  <c r="X325" i="1"/>
  <c r="X324" i="1"/>
  <c r="X323" i="1"/>
  <c r="X322" i="1"/>
  <c r="X321" i="1"/>
  <c r="X342" i="1"/>
  <c r="X341" i="1"/>
  <c r="X340" i="1"/>
  <c r="X339" i="1"/>
  <c r="X338" i="1"/>
  <c r="X337" i="1"/>
  <c r="X358" i="1"/>
  <c r="X357" i="1"/>
  <c r="X356" i="1"/>
  <c r="X355" i="1"/>
  <c r="X354" i="1"/>
  <c r="X353" i="1"/>
  <c r="X374" i="1"/>
  <c r="X373" i="1"/>
  <c r="X372" i="1"/>
  <c r="X371" i="1"/>
  <c r="X370" i="1"/>
  <c r="X369" i="1"/>
  <c r="Y54" i="1"/>
  <c r="Y53" i="1"/>
  <c r="Y52" i="1"/>
  <c r="Y51" i="1"/>
  <c r="Y50" i="1"/>
  <c r="Y49" i="1"/>
  <c r="Y70" i="1"/>
  <c r="Y69" i="1"/>
  <c r="Y68" i="1"/>
  <c r="Y67" i="1"/>
  <c r="Y66" i="1"/>
  <c r="Y65" i="1"/>
  <c r="Y86" i="1"/>
  <c r="Y85" i="1"/>
  <c r="Y84" i="1"/>
  <c r="Y83" i="1"/>
  <c r="Y82" i="1"/>
  <c r="Y81" i="1"/>
  <c r="Y102" i="1"/>
  <c r="Y101" i="1"/>
  <c r="Y100" i="1"/>
  <c r="Y99" i="1"/>
  <c r="Y98" i="1"/>
  <c r="Y97" i="1"/>
  <c r="Y118" i="1"/>
  <c r="Y117" i="1"/>
  <c r="Y116" i="1"/>
  <c r="Y115" i="1"/>
  <c r="Y114" i="1"/>
  <c r="Y113" i="1"/>
  <c r="Y134" i="1"/>
  <c r="Y133" i="1"/>
  <c r="Y132" i="1"/>
  <c r="Y131" i="1"/>
  <c r="Y130" i="1"/>
  <c r="Y129" i="1"/>
  <c r="Y150" i="1"/>
  <c r="Y149" i="1"/>
  <c r="Y148" i="1"/>
  <c r="Y147" i="1"/>
  <c r="Y146" i="1"/>
  <c r="Y145" i="1"/>
  <c r="Y166" i="1"/>
  <c r="Y165" i="1"/>
  <c r="Y164" i="1"/>
  <c r="Y163" i="1"/>
  <c r="Y162" i="1"/>
  <c r="Y161" i="1"/>
  <c r="Y182" i="1"/>
  <c r="Y181" i="1"/>
  <c r="Y180" i="1"/>
  <c r="Y179" i="1"/>
  <c r="Y178" i="1"/>
  <c r="Y177" i="1"/>
  <c r="Y198" i="1"/>
  <c r="Y197" i="1"/>
  <c r="Y196" i="1"/>
  <c r="Y195" i="1"/>
  <c r="Y194" i="1"/>
  <c r="Y193" i="1"/>
  <c r="Y214" i="1"/>
  <c r="Y213" i="1"/>
  <c r="Y212" i="1"/>
  <c r="Y211" i="1"/>
  <c r="Y210" i="1"/>
  <c r="Y209" i="1"/>
  <c r="Y230" i="1"/>
  <c r="Y229" i="1"/>
  <c r="Y228" i="1"/>
  <c r="Y227" i="1"/>
  <c r="Y226" i="1"/>
  <c r="Y225" i="1"/>
  <c r="Y246" i="1"/>
  <c r="Y245" i="1"/>
  <c r="Y244" i="1"/>
  <c r="Y243" i="1"/>
  <c r="Y242" i="1"/>
  <c r="Y241" i="1"/>
  <c r="Y278" i="1"/>
  <c r="Y277" i="1"/>
  <c r="Y276" i="1"/>
  <c r="Y275" i="1"/>
  <c r="Y274" i="1"/>
  <c r="Y273" i="1"/>
  <c r="Y294" i="1"/>
  <c r="Y293" i="1"/>
  <c r="Y292" i="1"/>
  <c r="Y291" i="1"/>
  <c r="Y290" i="1"/>
  <c r="Y289" i="1"/>
  <c r="Y310" i="1"/>
  <c r="Y309" i="1"/>
  <c r="Y308" i="1"/>
  <c r="Y307" i="1"/>
  <c r="Y306" i="1"/>
  <c r="Y305" i="1"/>
  <c r="Y326" i="1"/>
  <c r="Y325" i="1"/>
  <c r="Y324" i="1"/>
  <c r="Y323" i="1"/>
  <c r="Y322" i="1"/>
  <c r="Y321" i="1"/>
  <c r="Y342" i="1"/>
  <c r="Y341" i="1"/>
  <c r="Y340" i="1"/>
  <c r="Y339" i="1"/>
  <c r="Y338" i="1"/>
  <c r="Y337" i="1"/>
  <c r="Y358" i="1"/>
  <c r="Y357" i="1"/>
  <c r="Y356" i="1"/>
  <c r="Y355" i="1"/>
  <c r="Y354" i="1"/>
  <c r="Y353" i="1"/>
  <c r="Y374" i="1"/>
  <c r="Y373" i="1"/>
  <c r="Y372" i="1"/>
  <c r="Y371" i="1"/>
  <c r="Y370" i="1"/>
  <c r="Y369" i="1"/>
  <c r="BC70" i="7951"/>
  <c r="BC69" i="7951"/>
  <c r="BC60" i="7951"/>
  <c r="AC132" i="7951"/>
  <c r="AB132" i="7951"/>
  <c r="AC142" i="7951"/>
  <c r="Y142" i="7951" s="1"/>
  <c r="AB142" i="7951"/>
  <c r="AC141" i="7951"/>
  <c r="AB141" i="7951"/>
  <c r="AC140" i="7951"/>
  <c r="Y140" i="7951" s="1"/>
  <c r="AB140" i="7951"/>
  <c r="AC139" i="7951"/>
  <c r="AB139" i="7951"/>
  <c r="AC137" i="7951"/>
  <c r="Y137" i="7951" s="1"/>
  <c r="AB137" i="7951"/>
  <c r="Z130" i="7951"/>
  <c r="AE130" i="7951" s="1"/>
  <c r="AC114" i="7951"/>
  <c r="AB114" i="7951"/>
  <c r="AC124" i="7951"/>
  <c r="AB124" i="7951"/>
  <c r="Y124" i="7951" s="1"/>
  <c r="AC123" i="7951"/>
  <c r="AB123" i="7951"/>
  <c r="AC122" i="7951"/>
  <c r="AB122" i="7951"/>
  <c r="Y122" i="7951" s="1"/>
  <c r="AC121" i="7951"/>
  <c r="AB121" i="7951"/>
  <c r="AC119" i="7951"/>
  <c r="AB119" i="7951"/>
  <c r="Y119" i="7951" s="1"/>
  <c r="Z112" i="7951"/>
  <c r="AE112" i="7951" s="1"/>
  <c r="AC96" i="7951"/>
  <c r="AB96" i="7951"/>
  <c r="AC106" i="7951"/>
  <c r="Y106" i="7951" s="1"/>
  <c r="AB106" i="7951"/>
  <c r="AC105" i="7951"/>
  <c r="AB105" i="7951"/>
  <c r="AC104" i="7951"/>
  <c r="Y104" i="7951" s="1"/>
  <c r="AB104" i="7951"/>
  <c r="AC103" i="7951"/>
  <c r="AB103" i="7951"/>
  <c r="AC101" i="7951"/>
  <c r="Y101" i="7951" s="1"/>
  <c r="AB101" i="7951"/>
  <c r="Z95" i="7951"/>
  <c r="AC78" i="7951"/>
  <c r="AB78" i="7951"/>
  <c r="AC88" i="7951"/>
  <c r="AB88" i="7951"/>
  <c r="Y88" i="7951" s="1"/>
  <c r="AC87" i="7951"/>
  <c r="AB87" i="7951"/>
  <c r="AC86" i="7951"/>
  <c r="AB86" i="7951"/>
  <c r="Y86" i="7951" s="1"/>
  <c r="AC85" i="7951"/>
  <c r="AB85" i="7951"/>
  <c r="AC83" i="7951"/>
  <c r="AB83" i="7951"/>
  <c r="Y83" i="7951" s="1"/>
  <c r="Z77" i="7951"/>
  <c r="AE77" i="7951" s="1"/>
  <c r="AC70" i="7951"/>
  <c r="Y70" i="7951" s="1"/>
  <c r="AB70" i="7951"/>
  <c r="AC69" i="7951"/>
  <c r="AB69" i="7951"/>
  <c r="AC68" i="7951"/>
  <c r="Y68" i="7951" s="1"/>
  <c r="AB68" i="7951"/>
  <c r="AC67" i="7951"/>
  <c r="AB67" i="7951"/>
  <c r="AC65" i="7951"/>
  <c r="Y65" i="7951" s="1"/>
  <c r="AB65" i="7951"/>
  <c r="Z57" i="7951"/>
  <c r="AE57" i="7951" s="1"/>
  <c r="Y390" i="1"/>
  <c r="X390" i="1"/>
  <c r="Y389" i="1"/>
  <c r="X389" i="1"/>
  <c r="U389" i="1" s="1"/>
  <c r="Y388" i="1"/>
  <c r="X388" i="1"/>
  <c r="Y387" i="1"/>
  <c r="X387" i="1"/>
  <c r="U387" i="1" s="1"/>
  <c r="Y386" i="1"/>
  <c r="X386" i="1"/>
  <c r="Y385" i="1"/>
  <c r="X385" i="1"/>
  <c r="U385" i="1" s="1"/>
  <c r="F53" i="7955"/>
  <c r="E53" i="7955"/>
  <c r="Z135" i="7951"/>
  <c r="AE135" i="7951" s="1"/>
  <c r="Z117" i="7951"/>
  <c r="AE117" i="7951" s="1"/>
  <c r="Z80" i="7951"/>
  <c r="AE80" i="7951" s="1"/>
  <c r="Z63" i="7951"/>
  <c r="AE63" i="7951" s="1"/>
  <c r="Z134" i="7951"/>
  <c r="AE134" i="7951" s="1"/>
  <c r="Z99" i="7951"/>
  <c r="AD99" i="7951" s="1"/>
  <c r="Z81" i="7951"/>
  <c r="AD81" i="7951" s="1"/>
  <c r="AD130" i="7951"/>
  <c r="Z113" i="7951"/>
  <c r="AD113" i="7951" s="1"/>
  <c r="Z93" i="7951"/>
  <c r="AE93" i="7951" s="1"/>
  <c r="Z76" i="7951"/>
  <c r="AE76" i="7951" s="1"/>
  <c r="Z59" i="7951"/>
  <c r="AE59" i="7951" s="1"/>
  <c r="Z129" i="7951"/>
  <c r="AE129" i="7951" s="1"/>
  <c r="Z94" i="7951"/>
  <c r="AD94" i="7951" s="1"/>
  <c r="Z58" i="7951"/>
  <c r="AD58" i="7951" s="1"/>
  <c r="F353" i="7955"/>
  <c r="Z116" i="7951"/>
  <c r="AE116" i="7951" s="1"/>
  <c r="AE99" i="7951"/>
  <c r="Z62" i="7951"/>
  <c r="AD62" i="7951" s="1"/>
  <c r="AD116" i="7951"/>
  <c r="Z98" i="7951"/>
  <c r="AD98" i="7951" s="1"/>
  <c r="Z131" i="7951"/>
  <c r="Z111" i="7951"/>
  <c r="AE111" i="7951" s="1"/>
  <c r="AD77" i="7951"/>
  <c r="Z75" i="7951"/>
  <c r="AD57" i="7951"/>
  <c r="AX67" i="7955"/>
  <c r="AX69" i="7955"/>
  <c r="AX71" i="7955"/>
  <c r="AX73" i="7955"/>
  <c r="AX75" i="7955"/>
  <c r="AX77" i="7955"/>
  <c r="AX79" i="7955"/>
  <c r="AX81" i="7955"/>
  <c r="AX83" i="7955"/>
  <c r="AX85" i="7955"/>
  <c r="AX87" i="7955"/>
  <c r="AX89" i="7955"/>
  <c r="AX91" i="7955"/>
  <c r="AX93" i="7955"/>
  <c r="AX95" i="7955"/>
  <c r="AX117" i="7955"/>
  <c r="AX119" i="7955"/>
  <c r="AX121" i="7955"/>
  <c r="AX123" i="7955"/>
  <c r="AX126" i="7955"/>
  <c r="AX128" i="7955"/>
  <c r="AX130" i="7955"/>
  <c r="AX132" i="7955"/>
  <c r="AX134" i="7955"/>
  <c r="AX136" i="7955"/>
  <c r="AX138" i="7955"/>
  <c r="AX140" i="7955"/>
  <c r="AX142" i="7955"/>
  <c r="AX144" i="7955"/>
  <c r="AX146" i="7955"/>
  <c r="AX168" i="7955"/>
  <c r="AX170" i="7955"/>
  <c r="AX172" i="7955"/>
  <c r="AX174" i="7955"/>
  <c r="AX176" i="7955"/>
  <c r="AX178" i="7955"/>
  <c r="AX180" i="7955"/>
  <c r="AX182" i="7955"/>
  <c r="AX184" i="7955"/>
  <c r="AX186" i="7955"/>
  <c r="AX188" i="7955"/>
  <c r="AX190" i="7955"/>
  <c r="AX192" i="7955"/>
  <c r="AX194" i="7955"/>
  <c r="AX196" i="7955"/>
  <c r="AX218" i="7955"/>
  <c r="AX220" i="7955"/>
  <c r="AX222" i="7955"/>
  <c r="AX224" i="7955"/>
  <c r="AX226" i="7955"/>
  <c r="AX228" i="7955"/>
  <c r="AX229" i="7955"/>
  <c r="AX230" i="7955"/>
  <c r="AX231" i="7955"/>
  <c r="AX232" i="7955"/>
  <c r="AX233" i="7955"/>
  <c r="AX234" i="7955"/>
  <c r="AX235" i="7955"/>
  <c r="AX236" i="7955"/>
  <c r="AX237" i="7955"/>
  <c r="AX238" i="7955"/>
  <c r="AX239" i="7955"/>
  <c r="AX240" i="7955"/>
  <c r="AX241" i="7955"/>
  <c r="AX242" i="7955"/>
  <c r="AX243" i="7955"/>
  <c r="AX244" i="7955"/>
  <c r="AX245" i="7955"/>
  <c r="AX246" i="7955"/>
  <c r="AX267" i="7955"/>
  <c r="AX268" i="7955"/>
  <c r="AX269" i="7955"/>
  <c r="AX270" i="7955"/>
  <c r="AX271" i="7955"/>
  <c r="AX272" i="7955"/>
  <c r="AX273" i="7955"/>
  <c r="AX274" i="7955"/>
  <c r="AX275" i="7955"/>
  <c r="AX276" i="7955"/>
  <c r="AX277" i="7955"/>
  <c r="AX278" i="7955"/>
  <c r="AX279" i="7955"/>
  <c r="AX280" i="7955"/>
  <c r="AX281" i="7955"/>
  <c r="AX282" i="7955"/>
  <c r="AX283" i="7955"/>
  <c r="AX284" i="7955"/>
  <c r="AX285" i="7955"/>
  <c r="AX286" i="7955"/>
  <c r="AX287" i="7955"/>
  <c r="AX288" i="7955"/>
  <c r="AX289" i="7955"/>
  <c r="AX290" i="7955"/>
  <c r="AX291" i="7955"/>
  <c r="AX292" i="7955"/>
  <c r="AX293" i="7955"/>
  <c r="AX294" i="7955"/>
  <c r="AX295" i="7955"/>
  <c r="AX296" i="7955"/>
  <c r="AX317" i="7955"/>
  <c r="AX318" i="7955"/>
  <c r="AX319" i="7955"/>
  <c r="AX320" i="7955"/>
  <c r="AX321" i="7955"/>
  <c r="AX322" i="7955"/>
  <c r="AX323" i="7955"/>
  <c r="AX324" i="7955"/>
  <c r="AX325" i="7955"/>
  <c r="AX326" i="7955"/>
  <c r="AX327" i="7955"/>
  <c r="AX328" i="7955"/>
  <c r="AX329" i="7955"/>
  <c r="AX330" i="7955"/>
  <c r="AX331" i="7955"/>
  <c r="AX332" i="7955"/>
  <c r="AX333" i="7955"/>
  <c r="AX334" i="7955"/>
  <c r="AX335" i="7955"/>
  <c r="AX336" i="7955"/>
  <c r="AX337" i="7955"/>
  <c r="AX338" i="7955"/>
  <c r="AX339" i="7955"/>
  <c r="AX340" i="7955"/>
  <c r="AX341" i="7955"/>
  <c r="AX342" i="7955"/>
  <c r="AX343" i="7955"/>
  <c r="AX344" i="7955"/>
  <c r="AX345" i="7955"/>
  <c r="AX346" i="7955"/>
  <c r="AX367" i="7955"/>
  <c r="AX368" i="7955"/>
  <c r="AX369" i="7955"/>
  <c r="AX370" i="7955"/>
  <c r="AX371" i="7955"/>
  <c r="AX372" i="7955"/>
  <c r="AX373" i="7955"/>
  <c r="AX374" i="7955"/>
  <c r="AX375" i="7955"/>
  <c r="AX376" i="7955"/>
  <c r="AX377" i="7955"/>
  <c r="AX378" i="7955"/>
  <c r="AX379" i="7955"/>
  <c r="AX380" i="7955"/>
  <c r="AX381" i="7955"/>
  <c r="AX382" i="7955"/>
  <c r="AX383" i="7955"/>
  <c r="AX384" i="7955"/>
  <c r="AX385" i="7955"/>
  <c r="AX386" i="7955"/>
  <c r="AX387" i="7955"/>
  <c r="AX388" i="7955"/>
  <c r="AX389" i="7955"/>
  <c r="AX390" i="7955"/>
  <c r="AX391" i="7955"/>
  <c r="AX392" i="7955"/>
  <c r="AX393" i="7955"/>
  <c r="AX394" i="7955"/>
  <c r="AX395" i="7955"/>
  <c r="AX396" i="7955"/>
  <c r="AX417" i="7955"/>
  <c r="AX420" i="7955"/>
  <c r="AX422" i="7955"/>
  <c r="AX424" i="7955"/>
  <c r="AX426" i="7955"/>
  <c r="AX428" i="7955"/>
  <c r="AX429" i="7955"/>
  <c r="AX430" i="7955"/>
  <c r="AX431" i="7955"/>
  <c r="AX432" i="7955"/>
  <c r="AX433" i="7955"/>
  <c r="AX434" i="7955"/>
  <c r="AX435" i="7955"/>
  <c r="AX436" i="7955"/>
  <c r="AX437" i="7955"/>
  <c r="AX438" i="7955"/>
  <c r="AX439" i="7955"/>
  <c r="AX440" i="7955"/>
  <c r="AX441" i="7955"/>
  <c r="AX442" i="7955"/>
  <c r="AX443" i="7955"/>
  <c r="AX444" i="7955"/>
  <c r="AX445" i="7955"/>
  <c r="AX446" i="7955"/>
  <c r="AX467" i="7955"/>
  <c r="AX468" i="7955"/>
  <c r="AX469" i="7955"/>
  <c r="AX470" i="7955"/>
  <c r="AX471" i="7955"/>
  <c r="AX472" i="7955"/>
  <c r="AX473" i="7955"/>
  <c r="AX474" i="7955"/>
  <c r="AX475" i="7955"/>
  <c r="AX476" i="7955"/>
  <c r="AX477" i="7955"/>
  <c r="AX478" i="7955"/>
  <c r="AX479" i="7955"/>
  <c r="AX480" i="7955"/>
  <c r="AX481" i="7955"/>
  <c r="AX482" i="7955"/>
  <c r="AX483" i="7955"/>
  <c r="AX484" i="7955"/>
  <c r="AX485" i="7955"/>
  <c r="AX486" i="7955"/>
  <c r="AX487" i="7955"/>
  <c r="AX488" i="7955"/>
  <c r="AX489" i="7955"/>
  <c r="AX490" i="7955"/>
  <c r="AX491" i="7955"/>
  <c r="AX492" i="7955"/>
  <c r="AX493" i="7955"/>
  <c r="AX494" i="7955"/>
  <c r="AX495" i="7955"/>
  <c r="AX496" i="7955"/>
  <c r="AX517" i="7955"/>
  <c r="AX518" i="7955"/>
  <c r="AX519" i="7955"/>
  <c r="AX520" i="7955"/>
  <c r="AX521" i="7955"/>
  <c r="AX522" i="7955"/>
  <c r="AX523" i="7955"/>
  <c r="AX524" i="7955"/>
  <c r="AX525" i="7955"/>
  <c r="AX526" i="7955"/>
  <c r="AX527" i="7955"/>
  <c r="AX528" i="7955"/>
  <c r="AX529" i="7955"/>
  <c r="AX530" i="7955"/>
  <c r="AX531" i="7955"/>
  <c r="AX532" i="7955"/>
  <c r="AX533" i="7955"/>
  <c r="AX534" i="7955"/>
  <c r="AX535" i="7955"/>
  <c r="AX536" i="7955"/>
  <c r="AX537" i="7955"/>
  <c r="AX538" i="7955"/>
  <c r="AX539" i="7955"/>
  <c r="AX540" i="7955"/>
  <c r="AX541" i="7955"/>
  <c r="AX542" i="7955"/>
  <c r="AX543" i="7955"/>
  <c r="AX544" i="7955"/>
  <c r="AX545" i="7955"/>
  <c r="AX546" i="7955"/>
  <c r="AX567" i="7955"/>
  <c r="AX568" i="7955"/>
  <c r="AX569" i="7955"/>
  <c r="AX570" i="7955"/>
  <c r="AX571" i="7955"/>
  <c r="AX572" i="7955"/>
  <c r="AX573" i="7955"/>
  <c r="AX574" i="7955"/>
  <c r="AX575" i="7955"/>
  <c r="AX576" i="7955"/>
  <c r="AX577" i="7955"/>
  <c r="AX578" i="7955"/>
  <c r="AX579" i="7955"/>
  <c r="AX580" i="7955"/>
  <c r="AX581" i="7955"/>
  <c r="AX582" i="7955"/>
  <c r="AX583" i="7955"/>
  <c r="AX584" i="7955"/>
  <c r="AX585" i="7955"/>
  <c r="AX586" i="7955"/>
  <c r="AX587" i="7955"/>
  <c r="AX588" i="7955"/>
  <c r="AX589" i="7955"/>
  <c r="AX590" i="7955"/>
  <c r="AX591" i="7955"/>
  <c r="AX592" i="7955"/>
  <c r="AX593" i="7955"/>
  <c r="AX594" i="7955"/>
  <c r="AX595" i="7955"/>
  <c r="AX596" i="7955"/>
  <c r="AZ67" i="7955"/>
  <c r="AZ127" i="7955"/>
  <c r="AZ369" i="7955"/>
  <c r="AZ370" i="7955"/>
  <c r="AZ371" i="7955"/>
  <c r="AZ68" i="7955"/>
  <c r="AZ125" i="7955"/>
  <c r="AZ426" i="7955"/>
  <c r="AZ123" i="7955"/>
  <c r="AZ228" i="7955"/>
  <c r="AZ571" i="7955"/>
  <c r="AZ570" i="7955"/>
  <c r="AZ576" i="7955"/>
  <c r="AZ577" i="7955"/>
  <c r="AZ578" i="7955"/>
  <c r="AZ579" i="7955"/>
  <c r="AZ424" i="7955"/>
  <c r="AZ423" i="7955"/>
  <c r="AZ176" i="7955"/>
  <c r="AZ177" i="7955"/>
  <c r="AZ178" i="7955"/>
  <c r="AZ129" i="7955"/>
  <c r="AZ130" i="7955"/>
  <c r="AZ427" i="7955"/>
  <c r="AZ326" i="7955"/>
  <c r="AZ327" i="7955"/>
  <c r="AZ377" i="7955"/>
  <c r="AZ174" i="7955"/>
  <c r="AZ175" i="7955"/>
  <c r="AZ128" i="7955"/>
  <c r="AZ572" i="7955"/>
  <c r="AZ378" i="7955"/>
  <c r="AZ381" i="7955"/>
  <c r="AZ382" i="7955"/>
  <c r="AZ379" i="7955"/>
  <c r="AZ173" i="7955"/>
  <c r="AZ425" i="7955"/>
  <c r="AZ325" i="7955"/>
  <c r="AZ170" i="7955"/>
  <c r="AZ171" i="7955"/>
  <c r="AZ124" i="7955"/>
  <c r="AZ422" i="7955"/>
  <c r="AZ419" i="7955"/>
  <c r="AZ380" i="7955"/>
  <c r="AZ73" i="7955"/>
  <c r="AZ77" i="7955"/>
  <c r="AZ79" i="7955"/>
  <c r="AZ376" i="7955"/>
  <c r="AZ575" i="7955"/>
  <c r="AZ522" i="7955"/>
  <c r="AZ428" i="7955"/>
  <c r="AZ421" i="7955"/>
  <c r="AZ368" i="7955"/>
  <c r="AZ321" i="7955"/>
  <c r="AZ322" i="7955"/>
  <c r="AZ375" i="7955"/>
  <c r="AZ172" i="7955"/>
  <c r="AZ126" i="7955"/>
  <c r="AZ121" i="7955"/>
  <c r="AZ574" i="7955"/>
  <c r="AZ573" i="7955"/>
  <c r="AZ69" i="7955"/>
  <c r="AZ525" i="7955"/>
  <c r="AZ524" i="7955"/>
  <c r="AZ523" i="7955"/>
  <c r="AZ521" i="7955"/>
  <c r="AZ417" i="7955"/>
  <c r="AZ418" i="7955"/>
  <c r="AZ323" i="7955"/>
  <c r="AZ324" i="7955"/>
  <c r="AZ320" i="7955"/>
  <c r="AZ318" i="7955"/>
  <c r="AZ120" i="7955"/>
  <c r="AZ72" i="7955"/>
  <c r="AZ76" i="7955"/>
  <c r="AZ78" i="7955"/>
  <c r="AZ420" i="7955"/>
  <c r="AZ373" i="7955"/>
  <c r="AZ374" i="7955"/>
  <c r="AZ319" i="7955"/>
  <c r="AZ169" i="7955"/>
  <c r="AZ122" i="7955"/>
  <c r="AZ70" i="7955"/>
  <c r="AZ74" i="7955"/>
  <c r="AZ569" i="7955"/>
  <c r="AZ568" i="7955"/>
  <c r="AZ567" i="7955"/>
  <c r="AZ520" i="7955"/>
  <c r="AZ372" i="7955"/>
  <c r="AZ179" i="7955"/>
  <c r="AZ180" i="7955"/>
  <c r="AZ168" i="7955"/>
  <c r="AZ81" i="7955"/>
  <c r="X42" i="2"/>
  <c r="AB42" i="2" s="1"/>
  <c r="X43" i="2"/>
  <c r="X44" i="2"/>
  <c r="AB44" i="2" s="1"/>
  <c r="X45" i="2"/>
  <c r="X46" i="2"/>
  <c r="AB46" i="2" s="1"/>
  <c r="X47" i="2"/>
  <c r="BC73" i="2" s="1"/>
  <c r="X48" i="2"/>
  <c r="AB48" i="2" s="1"/>
  <c r="X49" i="2"/>
  <c r="X50" i="2"/>
  <c r="AB50" i="2" s="1"/>
  <c r="X51" i="2"/>
  <c r="X52" i="2"/>
  <c r="AB52" i="2" s="1"/>
  <c r="X53" i="2"/>
  <c r="X54" i="2"/>
  <c r="AB54" i="2" s="1"/>
  <c r="X55" i="2"/>
  <c r="BC81" i="2" s="1"/>
  <c r="X56" i="2"/>
  <c r="AB56" i="2" s="1"/>
  <c r="X57" i="2"/>
  <c r="X58" i="2"/>
  <c r="AB58" i="2" s="1"/>
  <c r="X59" i="2"/>
  <c r="X60" i="2"/>
  <c r="AB60" i="2" s="1"/>
  <c r="X61" i="2"/>
  <c r="X62" i="2"/>
  <c r="AB62" i="2" s="1"/>
  <c r="X63" i="2"/>
  <c r="AB63" i="2" s="1"/>
  <c r="X64" i="2"/>
  <c r="AB64" i="2" s="1"/>
  <c r="X65" i="2"/>
  <c r="X72" i="2"/>
  <c r="AB67" i="2" s="1"/>
  <c r="X73" i="2"/>
  <c r="X74" i="2"/>
  <c r="AB69" i="2" s="1"/>
  <c r="X75" i="2"/>
  <c r="X76" i="2"/>
  <c r="AB71" i="2" s="1"/>
  <c r="X77" i="2"/>
  <c r="X78" i="2"/>
  <c r="AB73" i="2" s="1"/>
  <c r="X79" i="2"/>
  <c r="X80" i="2"/>
  <c r="AB75" i="2" s="1"/>
  <c r="X81" i="2"/>
  <c r="AC42" i="2"/>
  <c r="AC43" i="2"/>
  <c r="AC44" i="2"/>
  <c r="AC45" i="2"/>
  <c r="AC46" i="2"/>
  <c r="AC47" i="2"/>
  <c r="AC48" i="2"/>
  <c r="AC49" i="2"/>
  <c r="AC50" i="2"/>
  <c r="AC51" i="2"/>
  <c r="AC52" i="2"/>
  <c r="AZ80" i="7955"/>
  <c r="AZ119" i="7955"/>
  <c r="AZ71" i="7955"/>
  <c r="AZ75" i="7955"/>
  <c r="AQ64" i="7955"/>
  <c r="AZ82" i="7955"/>
  <c r="AZ83" i="7955"/>
  <c r="AZ84" i="7955"/>
  <c r="AZ85" i="7955"/>
  <c r="AZ86" i="7955"/>
  <c r="AZ87" i="7955"/>
  <c r="AZ88" i="7955"/>
  <c r="AZ89" i="7955"/>
  <c r="AZ90" i="7955"/>
  <c r="AZ91" i="7955"/>
  <c r="AZ92" i="7955"/>
  <c r="AZ93" i="7955"/>
  <c r="AZ94" i="7955"/>
  <c r="AZ95" i="7955"/>
  <c r="AZ96" i="7955"/>
  <c r="AQ114" i="7955"/>
  <c r="AZ117" i="7955"/>
  <c r="AZ118" i="7955"/>
  <c r="AZ131" i="7955"/>
  <c r="AZ132" i="7955"/>
  <c r="AZ133" i="7955"/>
  <c r="AZ134" i="7955"/>
  <c r="AZ135" i="7955"/>
  <c r="AZ136" i="7955"/>
  <c r="AZ137" i="7955"/>
  <c r="AZ138" i="7955"/>
  <c r="AZ139" i="7955"/>
  <c r="AZ140" i="7955"/>
  <c r="AZ141" i="7955"/>
  <c r="AZ142" i="7955"/>
  <c r="AZ143" i="7955"/>
  <c r="AZ144" i="7955"/>
  <c r="AZ145" i="7955"/>
  <c r="AZ146" i="7955"/>
  <c r="AQ164" i="7955"/>
  <c r="AZ167" i="7955"/>
  <c r="AZ181" i="7955"/>
  <c r="AZ182" i="7955"/>
  <c r="AZ183" i="7955"/>
  <c r="AZ184" i="7955"/>
  <c r="AZ185" i="7955"/>
  <c r="AZ186" i="7955"/>
  <c r="AZ187" i="7955"/>
  <c r="AZ188" i="7955"/>
  <c r="AZ189" i="7955"/>
  <c r="AZ190" i="7955"/>
  <c r="AZ191" i="7955"/>
  <c r="AZ192" i="7955"/>
  <c r="AZ193" i="7955"/>
  <c r="AZ194" i="7955"/>
  <c r="AZ195" i="7955"/>
  <c r="AZ196" i="7955"/>
  <c r="AQ214" i="7955"/>
  <c r="AZ217" i="7955"/>
  <c r="AZ218" i="7955"/>
  <c r="AZ219" i="7955"/>
  <c r="AZ220" i="7955"/>
  <c r="AZ221" i="7955"/>
  <c r="AZ222" i="7955"/>
  <c r="AZ223" i="7955"/>
  <c r="AZ224" i="7955"/>
  <c r="AZ225" i="7955"/>
  <c r="AZ226" i="7955"/>
  <c r="AZ227" i="7955"/>
  <c r="AZ229" i="7955"/>
  <c r="AZ230" i="7955"/>
  <c r="AZ231" i="7955"/>
  <c r="AZ232" i="7955"/>
  <c r="AZ233" i="7955"/>
  <c r="AZ234" i="7955"/>
  <c r="AZ235" i="7955"/>
  <c r="AZ236" i="7955"/>
  <c r="AZ237" i="7955"/>
  <c r="AZ238" i="7955"/>
  <c r="AZ239" i="7955"/>
  <c r="AZ240" i="7955"/>
  <c r="AZ241" i="7955"/>
  <c r="AZ242" i="7955"/>
  <c r="AZ243" i="7955"/>
  <c r="AZ244" i="7955"/>
  <c r="AZ245" i="7955"/>
  <c r="AZ246" i="7955"/>
  <c r="AQ264" i="7955"/>
  <c r="AZ267" i="7955"/>
  <c r="AZ268" i="7955"/>
  <c r="AZ269" i="7955"/>
  <c r="AZ270" i="7955"/>
  <c r="AZ271" i="7955"/>
  <c r="AZ272" i="7955"/>
  <c r="AZ273" i="7955"/>
  <c r="AZ274" i="7955"/>
  <c r="AZ275" i="7955"/>
  <c r="AZ276" i="7955"/>
  <c r="AZ277" i="7955"/>
  <c r="AZ278" i="7955"/>
  <c r="AZ279" i="7955"/>
  <c r="AZ280" i="7955"/>
  <c r="AZ281" i="7955"/>
  <c r="AZ282" i="7955"/>
  <c r="AZ283" i="7955"/>
  <c r="AZ284" i="7955"/>
  <c r="AZ285" i="7955"/>
  <c r="AZ286" i="7955"/>
  <c r="AZ287" i="7955"/>
  <c r="AZ288" i="7955"/>
  <c r="AZ289" i="7955"/>
  <c r="AZ290" i="7955"/>
  <c r="AZ291" i="7955"/>
  <c r="AZ292" i="7955"/>
  <c r="AZ293" i="7955"/>
  <c r="AZ294" i="7955"/>
  <c r="AZ295" i="7955"/>
  <c r="AZ296" i="7955"/>
  <c r="AQ314" i="7955"/>
  <c r="AZ317" i="7955"/>
  <c r="AZ328" i="7955"/>
  <c r="AZ329" i="7955"/>
  <c r="AZ330" i="7955"/>
  <c r="AZ331" i="7955"/>
  <c r="AZ332" i="7955"/>
  <c r="AZ333" i="7955"/>
  <c r="AZ334" i="7955"/>
  <c r="AZ335" i="7955"/>
  <c r="AZ336" i="7955"/>
  <c r="AZ337" i="7955"/>
  <c r="AZ338" i="7955"/>
  <c r="AZ339" i="7955"/>
  <c r="AZ340" i="7955"/>
  <c r="AZ341" i="7955"/>
  <c r="AZ342" i="7955"/>
  <c r="AZ343" i="7955"/>
  <c r="AZ344" i="7955"/>
  <c r="AZ345" i="7955"/>
  <c r="AZ346" i="7955"/>
  <c r="AQ364" i="7955"/>
  <c r="AZ367" i="7955"/>
  <c r="AZ383" i="7955"/>
  <c r="AZ384" i="7955"/>
  <c r="AZ385" i="7955"/>
  <c r="AZ386" i="7955"/>
  <c r="AZ387" i="7955"/>
  <c r="AZ388" i="7955"/>
  <c r="AZ389" i="7955"/>
  <c r="AZ390" i="7955"/>
  <c r="AZ391" i="7955"/>
  <c r="AZ392" i="7955"/>
  <c r="AZ393" i="7955"/>
  <c r="AZ394" i="7955"/>
  <c r="AZ395" i="7955"/>
  <c r="AZ396" i="7955"/>
  <c r="AQ414" i="7955"/>
  <c r="AZ429" i="7955"/>
  <c r="AZ430" i="7955"/>
  <c r="AZ431" i="7955"/>
  <c r="AZ432" i="7955"/>
  <c r="AZ433" i="7955"/>
  <c r="AZ434" i="7955"/>
  <c r="AZ435" i="7955"/>
  <c r="AZ436" i="7955"/>
  <c r="AZ437" i="7955"/>
  <c r="AZ438" i="7955"/>
  <c r="AZ439" i="7955"/>
  <c r="AZ440" i="7955"/>
  <c r="AZ441" i="7955"/>
  <c r="AZ442" i="7955"/>
  <c r="AZ443" i="7955"/>
  <c r="AZ444" i="7955"/>
  <c r="AZ445" i="7955"/>
  <c r="AZ446" i="7955"/>
  <c r="AQ464" i="7955"/>
  <c r="AZ467" i="7955"/>
  <c r="AZ468" i="7955"/>
  <c r="AZ469" i="7955"/>
  <c r="AZ470" i="7955"/>
  <c r="AZ471" i="7955"/>
  <c r="AZ472" i="7955"/>
  <c r="AZ473" i="7955"/>
  <c r="AZ474" i="7955"/>
  <c r="AZ475" i="7955"/>
  <c r="AZ476" i="7955"/>
  <c r="AZ477" i="7955"/>
  <c r="AZ478" i="7955"/>
  <c r="AZ479" i="7955"/>
  <c r="AZ480" i="7955"/>
  <c r="AZ481" i="7955"/>
  <c r="AZ482" i="7955"/>
  <c r="AZ483" i="7955"/>
  <c r="AZ484" i="7955"/>
  <c r="AZ485" i="7955"/>
  <c r="AZ486" i="7955"/>
  <c r="AZ487" i="7955"/>
  <c r="AZ488" i="7955"/>
  <c r="AZ489" i="7955"/>
  <c r="AZ490" i="7955"/>
  <c r="AZ491" i="7955"/>
  <c r="AZ492" i="7955"/>
  <c r="AZ493" i="7955"/>
  <c r="AZ494" i="7955"/>
  <c r="AZ495" i="7955"/>
  <c r="AZ496" i="7955"/>
  <c r="AQ514" i="7955"/>
  <c r="AZ517" i="7955"/>
  <c r="AZ518" i="7955"/>
  <c r="AZ519" i="7955"/>
  <c r="AZ526" i="7955"/>
  <c r="AZ527" i="7955"/>
  <c r="AZ528" i="7955"/>
  <c r="AZ529" i="7955"/>
  <c r="AZ530" i="7955"/>
  <c r="AZ531" i="7955"/>
  <c r="AZ532" i="7955"/>
  <c r="AZ533" i="7955"/>
  <c r="AZ534" i="7955"/>
  <c r="AZ535" i="7955"/>
  <c r="AZ536" i="7955"/>
  <c r="AZ537" i="7955"/>
  <c r="AZ538" i="7955"/>
  <c r="AZ539" i="7955"/>
  <c r="AZ540" i="7955"/>
  <c r="AZ541" i="7955"/>
  <c r="AZ542" i="7955"/>
  <c r="AZ543" i="7955"/>
  <c r="AZ544" i="7955"/>
  <c r="AZ545" i="7955"/>
  <c r="AZ546" i="7955"/>
  <c r="AQ564" i="7955"/>
  <c r="AZ580" i="7955"/>
  <c r="AZ581" i="7955"/>
  <c r="AZ582" i="7955"/>
  <c r="AZ583" i="7955"/>
  <c r="AZ584" i="7955"/>
  <c r="AZ585" i="7955"/>
  <c r="AZ586" i="7955"/>
  <c r="AZ587" i="7955"/>
  <c r="AZ588" i="7955"/>
  <c r="AZ589" i="7955"/>
  <c r="AZ590" i="7955"/>
  <c r="AZ591" i="7955"/>
  <c r="AZ592" i="7955"/>
  <c r="AZ593" i="7955"/>
  <c r="AZ594" i="7955"/>
  <c r="AZ595" i="7955"/>
  <c r="AZ596" i="7955"/>
  <c r="X254" i="1"/>
  <c r="V253" i="1"/>
  <c r="X253" i="1"/>
  <c r="V252" i="1"/>
  <c r="AA252" i="1" s="1"/>
  <c r="X252" i="1"/>
  <c r="V251" i="1"/>
  <c r="Z251" i="1" s="1"/>
  <c r="V384" i="1"/>
  <c r="V368" i="1"/>
  <c r="AA368" i="1" s="1"/>
  <c r="V352" i="1"/>
  <c r="V336" i="1"/>
  <c r="AA336" i="1" s="1"/>
  <c r="V320" i="1"/>
  <c r="V304" i="1"/>
  <c r="AA304" i="1" s="1"/>
  <c r="V288" i="1"/>
  <c r="V272" i="1"/>
  <c r="AA272" i="1" s="1"/>
  <c r="Y255" i="1"/>
  <c r="X255" i="1"/>
  <c r="U255" i="1" s="1"/>
  <c r="BD255" i="1" s="1"/>
  <c r="Y254" i="1"/>
  <c r="Y253" i="1"/>
  <c r="AL253" i="1" s="1"/>
  <c r="AM253" i="1" s="1"/>
  <c r="Y252" i="1"/>
  <c r="BN57" i="7951"/>
  <c r="BN135" i="7951"/>
  <c r="BN134" i="7951"/>
  <c r="BN131" i="7951"/>
  <c r="BN130" i="7951"/>
  <c r="BN129" i="7951"/>
  <c r="BN59" i="7951"/>
  <c r="BN58" i="7951"/>
  <c r="BN63" i="7951"/>
  <c r="BN62" i="7951"/>
  <c r="BN81" i="7951"/>
  <c r="BN80" i="7951"/>
  <c r="BN77" i="7951"/>
  <c r="BN76" i="7951"/>
  <c r="BN75" i="7951"/>
  <c r="BN99" i="7951"/>
  <c r="BN98" i="7951"/>
  <c r="BN95" i="7951"/>
  <c r="BN94" i="7951"/>
  <c r="BN93" i="7951"/>
  <c r="BN117" i="7951"/>
  <c r="BN116" i="7951"/>
  <c r="BN113" i="7951"/>
  <c r="BN112" i="7951"/>
  <c r="BN111" i="7951"/>
  <c r="BO111" i="7951" s="1"/>
  <c r="AF57" i="7951"/>
  <c r="Z64" i="7951"/>
  <c r="Z70" i="7951"/>
  <c r="Z69" i="7951"/>
  <c r="Z68" i="7951"/>
  <c r="Z67" i="7951"/>
  <c r="Z60" i="7951"/>
  <c r="Z142" i="7951"/>
  <c r="Z141" i="7951"/>
  <c r="Z140" i="7951"/>
  <c r="Z139" i="7951"/>
  <c r="Z137" i="7951"/>
  <c r="Z136" i="7951"/>
  <c r="Z132" i="7951"/>
  <c r="AD132" i="7951"/>
  <c r="Z124" i="7951"/>
  <c r="AD124" i="7951"/>
  <c r="AE124" i="7951"/>
  <c r="Z123" i="7951"/>
  <c r="AD123" i="7951" s="1"/>
  <c r="Z122" i="7951"/>
  <c r="AD122" i="7951" s="1"/>
  <c r="Z121" i="7951"/>
  <c r="AD121" i="7951" s="1"/>
  <c r="AE121" i="7951"/>
  <c r="Z119" i="7951"/>
  <c r="AD119" i="7951" s="1"/>
  <c r="AE119" i="7951"/>
  <c r="Z118" i="7951"/>
  <c r="AD118" i="7951" s="1"/>
  <c r="AE118" i="7951"/>
  <c r="Z114" i="7951"/>
  <c r="AD114" i="7951"/>
  <c r="AJ114" i="7951" s="1"/>
  <c r="AE114" i="7951"/>
  <c r="AH114" i="7951" s="1"/>
  <c r="Z106" i="7951"/>
  <c r="AD106" i="7951" s="1"/>
  <c r="Z105" i="7951"/>
  <c r="Z104" i="7951"/>
  <c r="AD104" i="7951" s="1"/>
  <c r="Z103" i="7951"/>
  <c r="Z101" i="7951"/>
  <c r="AD101" i="7951" s="1"/>
  <c r="Z100" i="7951"/>
  <c r="Z96" i="7951"/>
  <c r="AD96" i="7951" s="1"/>
  <c r="Z88" i="7951"/>
  <c r="AD88" i="7951"/>
  <c r="AE88" i="7951"/>
  <c r="AG88" i="7951"/>
  <c r="Z87" i="7951"/>
  <c r="AD87" i="7951"/>
  <c r="AG87" i="7951" s="1"/>
  <c r="AE87" i="7951"/>
  <c r="Z86" i="7951"/>
  <c r="AD86" i="7951" s="1"/>
  <c r="Z85" i="7951"/>
  <c r="AD85" i="7951" s="1"/>
  <c r="Z83" i="7951"/>
  <c r="AD83" i="7951" s="1"/>
  <c r="Z82" i="7951"/>
  <c r="Z78" i="7951"/>
  <c r="Z65" i="7951"/>
  <c r="AJ99" i="7951"/>
  <c r="AH124" i="7951"/>
  <c r="AH119" i="7951"/>
  <c r="AH99" i="7951"/>
  <c r="AH88" i="7951"/>
  <c r="AH87" i="7951"/>
  <c r="AK124" i="7951"/>
  <c r="AK119" i="7951"/>
  <c r="AK99" i="7951"/>
  <c r="AK88" i="7951"/>
  <c r="AK87" i="7951"/>
  <c r="AD63" i="7949"/>
  <c r="AD81" i="7949"/>
  <c r="AV72" i="7951"/>
  <c r="CT328" i="7949"/>
  <c r="CT339" i="7949" s="1"/>
  <c r="U50" i="1"/>
  <c r="U52" i="1"/>
  <c r="U54" i="1"/>
  <c r="U66" i="1"/>
  <c r="U68" i="1"/>
  <c r="U70" i="1"/>
  <c r="U82" i="1"/>
  <c r="U84" i="1"/>
  <c r="U86" i="1"/>
  <c r="U98" i="1"/>
  <c r="U100" i="1"/>
  <c r="U102" i="1"/>
  <c r="U114" i="1"/>
  <c r="U116" i="1"/>
  <c r="U118" i="1"/>
  <c r="U130" i="1"/>
  <c r="U132" i="1"/>
  <c r="U134" i="1"/>
  <c r="U146" i="1"/>
  <c r="U148" i="1"/>
  <c r="U150" i="1"/>
  <c r="U162" i="1"/>
  <c r="U164" i="1"/>
  <c r="U166" i="1"/>
  <c r="U178" i="1"/>
  <c r="U180" i="1"/>
  <c r="U182" i="1"/>
  <c r="U194" i="1"/>
  <c r="U196" i="1"/>
  <c r="U198" i="1"/>
  <c r="U210" i="1"/>
  <c r="U212" i="1"/>
  <c r="U214" i="1"/>
  <c r="U226" i="1"/>
  <c r="U228" i="1"/>
  <c r="U230" i="1"/>
  <c r="U242" i="1"/>
  <c r="U244" i="1"/>
  <c r="U246" i="1"/>
  <c r="U274" i="1"/>
  <c r="U276" i="1"/>
  <c r="U278" i="1"/>
  <c r="U290" i="1"/>
  <c r="U292" i="1"/>
  <c r="U294" i="1"/>
  <c r="U306" i="1"/>
  <c r="U308" i="1"/>
  <c r="U310" i="1"/>
  <c r="U322" i="1"/>
  <c r="U324" i="1"/>
  <c r="U326" i="1"/>
  <c r="U338" i="1"/>
  <c r="U340" i="1"/>
  <c r="U342" i="1"/>
  <c r="U354" i="1"/>
  <c r="U356" i="1"/>
  <c r="U358" i="1"/>
  <c r="U370" i="1"/>
  <c r="U372" i="1"/>
  <c r="U374" i="1"/>
  <c r="U386" i="1"/>
  <c r="U388" i="1"/>
  <c r="U390" i="1"/>
  <c r="CT327" i="7949"/>
  <c r="CT338" i="7949" s="1"/>
  <c r="CT326" i="7949"/>
  <c r="CT325" i="7949"/>
  <c r="CT336" i="7949" s="1"/>
  <c r="CT324" i="7949"/>
  <c r="Y141" i="7951"/>
  <c r="Y139" i="7951"/>
  <c r="Y132" i="7951"/>
  <c r="Y123" i="7951"/>
  <c r="Y121" i="7951"/>
  <c r="Y114" i="7951"/>
  <c r="Y105" i="7951"/>
  <c r="Y103" i="7951"/>
  <c r="Y96" i="7951"/>
  <c r="Y87" i="7951"/>
  <c r="Y85" i="7951"/>
  <c r="Y78" i="7951"/>
  <c r="Y69" i="7951"/>
  <c r="Y67" i="7951"/>
  <c r="CT381" i="7949"/>
  <c r="CT380" i="7949"/>
  <c r="CT387" i="7949" s="1"/>
  <c r="CT394" i="7949" s="1"/>
  <c r="CT379" i="7949"/>
  <c r="CT386" i="7949" s="1"/>
  <c r="CT402" i="7949"/>
  <c r="CT407" i="7949" s="1"/>
  <c r="CT401" i="7949"/>
  <c r="CT406" i="7949" s="1"/>
  <c r="CT420" i="7949"/>
  <c r="CT419" i="7949"/>
  <c r="CT430" i="7949" s="1"/>
  <c r="CT441" i="7949" s="1"/>
  <c r="CT452" i="7949" s="1"/>
  <c r="CT463" i="7949" s="1"/>
  <c r="CT418" i="7949"/>
  <c r="CT417" i="7949"/>
  <c r="CT428" i="7949" s="1"/>
  <c r="CT416" i="7949"/>
  <c r="CT473" i="7949"/>
  <c r="CT480" i="7949" s="1"/>
  <c r="CT472" i="7949"/>
  <c r="CT479" i="7949" s="1"/>
  <c r="CT471" i="7949"/>
  <c r="CT478" i="7949" s="1"/>
  <c r="CT485" i="7949" s="1"/>
  <c r="CT494" i="7949"/>
  <c r="CT499" i="7949" s="1"/>
  <c r="CT493" i="7949"/>
  <c r="CT498" i="7949" s="1"/>
  <c r="BG90" i="7949"/>
  <c r="BG91" i="7949"/>
  <c r="BG92" i="7949"/>
  <c r="BG93" i="7949"/>
  <c r="BG94" i="7949"/>
  <c r="BG95" i="7949"/>
  <c r="BG96" i="7949"/>
  <c r="BG97" i="7949"/>
  <c r="BG98" i="7949"/>
  <c r="BG99" i="7949"/>
  <c r="BI90" i="7949"/>
  <c r="BI91" i="7949"/>
  <c r="BI92" i="7949"/>
  <c r="BI93" i="7949"/>
  <c r="BI94" i="7949"/>
  <c r="BI95" i="7949"/>
  <c r="BI96" i="7949"/>
  <c r="BI97" i="7949"/>
  <c r="BI98" i="7949"/>
  <c r="BI99" i="7949"/>
  <c r="CT512" i="7949"/>
  <c r="CT523" i="7949" s="1"/>
  <c r="CT534" i="7949" s="1"/>
  <c r="CT545" i="7949" s="1"/>
  <c r="CT511" i="7949"/>
  <c r="CT522" i="7949" s="1"/>
  <c r="CT533" i="7949" s="1"/>
  <c r="CT544" i="7949" s="1"/>
  <c r="CT555" i="7949" s="1"/>
  <c r="CT510" i="7949"/>
  <c r="CT509" i="7949"/>
  <c r="CT520" i="7949" s="1"/>
  <c r="CT531" i="7949" s="1"/>
  <c r="CT542" i="7949" s="1"/>
  <c r="CT553" i="7949" s="1"/>
  <c r="CT508" i="7949"/>
  <c r="CT565" i="7949"/>
  <c r="CT572" i="7949" s="1"/>
  <c r="CT579" i="7949" s="1"/>
  <c r="CT564" i="7949"/>
  <c r="CT571" i="7949"/>
  <c r="CT578" i="7949" s="1"/>
  <c r="CT563" i="7949"/>
  <c r="CT570" i="7949" s="1"/>
  <c r="CT586" i="7949"/>
  <c r="CT591" i="7949" s="1"/>
  <c r="CT585" i="7949"/>
  <c r="CT590" i="7949" s="1"/>
  <c r="BG181" i="7949"/>
  <c r="BG182" i="7949"/>
  <c r="BG183" i="7949"/>
  <c r="BG184" i="7949"/>
  <c r="BG185" i="7949"/>
  <c r="BG186" i="7949"/>
  <c r="BG187" i="7949"/>
  <c r="BG188" i="7949"/>
  <c r="BG189" i="7949"/>
  <c r="BG190" i="7949"/>
  <c r="CD647" i="7949"/>
  <c r="BI181" i="7949"/>
  <c r="BI182" i="7949"/>
  <c r="BI183" i="7949"/>
  <c r="BI184" i="7949"/>
  <c r="BI185" i="7949"/>
  <c r="BI186" i="7949"/>
  <c r="BI187" i="7949"/>
  <c r="BI188" i="7949"/>
  <c r="BI189" i="7949"/>
  <c r="BI190" i="7949"/>
  <c r="CT863" i="7949"/>
  <c r="CT868" i="7949" s="1"/>
  <c r="CT862" i="7949"/>
  <c r="CT867" i="7949" s="1"/>
  <c r="CT842" i="7949"/>
  <c r="CT849" i="7949" s="1"/>
  <c r="CT841" i="7949"/>
  <c r="CT848" i="7949" s="1"/>
  <c r="CT855" i="7949" s="1"/>
  <c r="CT840" i="7949"/>
  <c r="CT847" i="7949" s="1"/>
  <c r="CT854" i="7949" s="1"/>
  <c r="CT789" i="7949"/>
  <c r="CT800" i="7949" s="1"/>
  <c r="CT788" i="7949"/>
  <c r="CT799" i="7949" s="1"/>
  <c r="CT787" i="7949"/>
  <c r="CT798" i="7949" s="1"/>
  <c r="CT809" i="7949" s="1"/>
  <c r="CT820" i="7949" s="1"/>
  <c r="CT786" i="7949"/>
  <c r="CT797" i="7949" s="1"/>
  <c r="CT785" i="7949"/>
  <c r="CT796" i="7949" s="1"/>
  <c r="CT807" i="7949" s="1"/>
  <c r="AP71" i="7951"/>
  <c r="AP72" i="7951" s="1"/>
  <c r="CT771" i="7949"/>
  <c r="CT776" i="7949" s="1"/>
  <c r="CT770" i="7949"/>
  <c r="CT775" i="7949" s="1"/>
  <c r="CT750" i="7949"/>
  <c r="CT757" i="7949" s="1"/>
  <c r="CT764" i="7949" s="1"/>
  <c r="CT749" i="7949"/>
  <c r="CT756" i="7949" s="1"/>
  <c r="CT763" i="7949" s="1"/>
  <c r="CT748" i="7949"/>
  <c r="CT755" i="7949" s="1"/>
  <c r="CT697" i="7949"/>
  <c r="CT708" i="7949" s="1"/>
  <c r="CT696" i="7949"/>
  <c r="CT707" i="7949" s="1"/>
  <c r="CT718" i="7949" s="1"/>
  <c r="CT729" i="7949" s="1"/>
  <c r="CT695" i="7949"/>
  <c r="CT706" i="7949" s="1"/>
  <c r="CT694" i="7949"/>
  <c r="CT705" i="7949" s="1"/>
  <c r="CT716" i="7949" s="1"/>
  <c r="CT693" i="7949"/>
  <c r="CT704" i="7949" s="1"/>
  <c r="CT679" i="7949"/>
  <c r="CT684" i="7949" s="1"/>
  <c r="CT678" i="7949"/>
  <c r="CT683" i="7949" s="1"/>
  <c r="CT658" i="7949"/>
  <c r="CT665" i="7949" s="1"/>
  <c r="CT672" i="7949" s="1"/>
  <c r="CT657" i="7949"/>
  <c r="CT664" i="7949" s="1"/>
  <c r="CT671" i="7949" s="1"/>
  <c r="CT656" i="7949"/>
  <c r="CT663" i="7949" s="1"/>
  <c r="CT670" i="7949" s="1"/>
  <c r="CT605" i="7949"/>
  <c r="CT616" i="7949" s="1"/>
  <c r="CT627" i="7949" s="1"/>
  <c r="CT638" i="7949" s="1"/>
  <c r="CT649" i="7949" s="1"/>
  <c r="CT604" i="7949"/>
  <c r="CT615" i="7949" s="1"/>
  <c r="CT626" i="7949" s="1"/>
  <c r="CT637" i="7949" s="1"/>
  <c r="CT648" i="7949" s="1"/>
  <c r="CT603" i="7949"/>
  <c r="CT614" i="7949" s="1"/>
  <c r="CT625" i="7949" s="1"/>
  <c r="CT636" i="7949" s="1"/>
  <c r="CT647" i="7949" s="1"/>
  <c r="CT602" i="7949"/>
  <c r="CT613" i="7949" s="1"/>
  <c r="CT624" i="7949" s="1"/>
  <c r="CT635" i="7949" s="1"/>
  <c r="CT646" i="7949" s="1"/>
  <c r="CT601" i="7949"/>
  <c r="CT612" i="7949" s="1"/>
  <c r="BG102" i="7949"/>
  <c r="BG103" i="7949"/>
  <c r="BG104" i="7949"/>
  <c r="BG105" i="7949"/>
  <c r="BG106" i="7949"/>
  <c r="BG107" i="7949"/>
  <c r="BG108" i="7949"/>
  <c r="BG109" i="7949"/>
  <c r="BG110" i="7949"/>
  <c r="BG111" i="7949"/>
  <c r="CD98" i="7949"/>
  <c r="BI102" i="7949"/>
  <c r="BI103" i="7949"/>
  <c r="BI104" i="7949"/>
  <c r="BI105" i="7949"/>
  <c r="BI106" i="7949"/>
  <c r="BI107" i="7949"/>
  <c r="BI108" i="7949"/>
  <c r="BI109" i="7949"/>
  <c r="BI110" i="7949"/>
  <c r="BI111" i="7949"/>
  <c r="CT309" i="7949"/>
  <c r="CT314" i="7949" s="1"/>
  <c r="CT308" i="7949"/>
  <c r="CT313" i="7949" s="1"/>
  <c r="CT288" i="7949"/>
  <c r="CT295" i="7949" s="1"/>
  <c r="CT287" i="7949"/>
  <c r="CT294" i="7949" s="1"/>
  <c r="CT301" i="7949" s="1"/>
  <c r="CT286" i="7949"/>
  <c r="CT293" i="7949" s="1"/>
  <c r="CT300" i="7949" s="1"/>
  <c r="CT235" i="7949"/>
  <c r="CT246" i="7949" s="1"/>
  <c r="CT257" i="7949" s="1"/>
  <c r="CT234" i="7949"/>
  <c r="CT245" i="7949" s="1"/>
  <c r="CT233" i="7949"/>
  <c r="CT244" i="7949" s="1"/>
  <c r="CT255" i="7949" s="1"/>
  <c r="CT266" i="7949" s="1"/>
  <c r="CT232" i="7949"/>
  <c r="CT243" i="7949" s="1"/>
  <c r="CT231" i="7949"/>
  <c r="CT242" i="7949" s="1"/>
  <c r="CT253" i="7949" s="1"/>
  <c r="CT264" i="7949" s="1"/>
  <c r="CT275" i="7949" s="1"/>
  <c r="AD65" i="7949"/>
  <c r="AD66" i="7949"/>
  <c r="AD69" i="7949" s="1"/>
  <c r="AD67" i="7949"/>
  <c r="AQ64" i="7951"/>
  <c r="CT217" i="7949"/>
  <c r="CT222" i="7949"/>
  <c r="CT216" i="7949"/>
  <c r="CT221" i="7949"/>
  <c r="CT196" i="7949"/>
  <c r="CT195" i="7949"/>
  <c r="CT202" i="7949" s="1"/>
  <c r="CT209" i="7949" s="1"/>
  <c r="CT194" i="7949"/>
  <c r="CT143" i="7949"/>
  <c r="CT154" i="7949" s="1"/>
  <c r="CT165" i="7949" s="1"/>
  <c r="CT176" i="7949" s="1"/>
  <c r="CT142" i="7949"/>
  <c r="CT153" i="7949"/>
  <c r="CT164" i="7949" s="1"/>
  <c r="CT175" i="7949" s="1"/>
  <c r="CT186" i="7949" s="1"/>
  <c r="CT141" i="7949"/>
  <c r="CT152" i="7949" s="1"/>
  <c r="CT163" i="7949" s="1"/>
  <c r="CT174" i="7949" s="1"/>
  <c r="CT140" i="7949"/>
  <c r="CT151" i="7949" s="1"/>
  <c r="CT162" i="7949" s="1"/>
  <c r="CT173" i="7949" s="1"/>
  <c r="CT184" i="7949" s="1"/>
  <c r="CT139" i="7949"/>
  <c r="CT150" i="7949"/>
  <c r="CT161" i="7949" s="1"/>
  <c r="CT172" i="7949" s="1"/>
  <c r="CT125" i="7949"/>
  <c r="CT130" i="7949"/>
  <c r="CT124" i="7949"/>
  <c r="CT129" i="7949"/>
  <c r="CT104" i="7949"/>
  <c r="CT103" i="7949"/>
  <c r="CT110" i="7949" s="1"/>
  <c r="CT102" i="7949"/>
  <c r="CT51" i="7949"/>
  <c r="CT62" i="7949" s="1"/>
  <c r="CT73" i="7949" s="1"/>
  <c r="CT84" i="7949" s="1"/>
  <c r="CT95" i="7949" s="1"/>
  <c r="CT50" i="7949"/>
  <c r="CT61" i="7949" s="1"/>
  <c r="CT72" i="7949" s="1"/>
  <c r="CT49" i="7949"/>
  <c r="CT60" i="7949" s="1"/>
  <c r="CT71" i="7949" s="1"/>
  <c r="CT82" i="7949" s="1"/>
  <c r="CT48" i="7949"/>
  <c r="CT59" i="7949" s="1"/>
  <c r="CT70" i="7949" s="1"/>
  <c r="CT47" i="7949"/>
  <c r="CT58" i="7949" s="1"/>
  <c r="CT69" i="7949" s="1"/>
  <c r="CT80" i="7949" s="1"/>
  <c r="CT91" i="7949" s="1"/>
  <c r="FJ123" i="2"/>
  <c r="FL100" i="2"/>
  <c r="FJ128" i="2"/>
  <c r="FL105" i="2"/>
  <c r="AJ64" i="2"/>
  <c r="BB253" i="1"/>
  <c r="BB252" i="1"/>
  <c r="BB254" i="1"/>
  <c r="BC254" i="1" s="1"/>
  <c r="BB255" i="1"/>
  <c r="F2" i="7946"/>
  <c r="F3" i="7946" s="1"/>
  <c r="F4" i="7946" s="1"/>
  <c r="F5" i="7946" s="1"/>
  <c r="E2" i="7946"/>
  <c r="E3" i="7946" s="1"/>
  <c r="E4" i="7946" s="1"/>
  <c r="E5" i="7946" s="1"/>
  <c r="E6" i="7946" s="1"/>
  <c r="E7" i="7946" s="1"/>
  <c r="E8" i="7946" s="1"/>
  <c r="E9" i="7946" s="1"/>
  <c r="E10" i="7946" s="1"/>
  <c r="E11" i="7946" s="1"/>
  <c r="E12" i="7946" s="1"/>
  <c r="E13" i="7946" s="1"/>
  <c r="E14" i="7946" s="1"/>
  <c r="E15" i="7946" s="1"/>
  <c r="E16" i="7946" s="1"/>
  <c r="E17" i="7946" s="1"/>
  <c r="E18" i="7946" s="1"/>
  <c r="E19" i="7946" s="1"/>
  <c r="E20" i="7946" s="1"/>
  <c r="E21" i="7946" s="1"/>
  <c r="E22" i="7946" s="1"/>
  <c r="BM186" i="2"/>
  <c r="BM187" i="2"/>
  <c r="BM188" i="2"/>
  <c r="BM189" i="2"/>
  <c r="BM190" i="2"/>
  <c r="BM191" i="2"/>
  <c r="BM192" i="2"/>
  <c r="BM193" i="2"/>
  <c r="BM194" i="2"/>
  <c r="BM195" i="2"/>
  <c r="CJ670" i="2"/>
  <c r="CI670" i="2" s="1"/>
  <c r="BO186" i="2"/>
  <c r="BO187" i="2"/>
  <c r="BO188" i="2"/>
  <c r="BO189" i="2"/>
  <c r="BO190" i="2"/>
  <c r="BO191" i="2"/>
  <c r="BO192" i="2"/>
  <c r="BO193" i="2"/>
  <c r="BO194" i="2"/>
  <c r="BO195" i="2"/>
  <c r="V385" i="1"/>
  <c r="Z385" i="1"/>
  <c r="AA385" i="1"/>
  <c r="V386" i="1"/>
  <c r="V387" i="1"/>
  <c r="Z387" i="1" s="1"/>
  <c r="AA387" i="1"/>
  <c r="V388" i="1"/>
  <c r="Z388" i="1" s="1"/>
  <c r="AA388" i="1"/>
  <c r="V389" i="1"/>
  <c r="Z389" i="1" s="1"/>
  <c r="AA389" i="1"/>
  <c r="V390" i="1"/>
  <c r="Z390" i="1"/>
  <c r="AW68" i="1"/>
  <c r="AP45" i="1"/>
  <c r="AS45" i="1"/>
  <c r="AD389" i="1"/>
  <c r="AD385" i="1"/>
  <c r="AQ45" i="1"/>
  <c r="AG385" i="1"/>
  <c r="AT45" i="1"/>
  <c r="AR45" i="1"/>
  <c r="AU45" i="1"/>
  <c r="AX66" i="1"/>
  <c r="BM94" i="2"/>
  <c r="BM95" i="2"/>
  <c r="BM96" i="2"/>
  <c r="BM97" i="2"/>
  <c r="BM98" i="2"/>
  <c r="BM99" i="2"/>
  <c r="BM100" i="2"/>
  <c r="BM101" i="2"/>
  <c r="BM102" i="2"/>
  <c r="BM103" i="2"/>
  <c r="BO94" i="2"/>
  <c r="BO95" i="2"/>
  <c r="BO96" i="2"/>
  <c r="BO97" i="2"/>
  <c r="BO98" i="2"/>
  <c r="BO99" i="2"/>
  <c r="BO100" i="2"/>
  <c r="BO101" i="2"/>
  <c r="BO102" i="2"/>
  <c r="BO103" i="2"/>
  <c r="C2" i="7946"/>
  <c r="C3" i="7946" s="1"/>
  <c r="C4" i="7946" s="1"/>
  <c r="C5" i="7946" s="1"/>
  <c r="C6" i="7946" s="1"/>
  <c r="C7" i="7946" s="1"/>
  <c r="C8" i="7946" s="1"/>
  <c r="C9" i="7946" s="1"/>
  <c r="C10" i="7946" s="1"/>
  <c r="C11" i="7946" s="1"/>
  <c r="C12" i="7946" s="1"/>
  <c r="C13" i="7946" s="1"/>
  <c r="C14" i="7946" s="1"/>
  <c r="C15" i="7946" s="1"/>
  <c r="C16" i="7946" s="1"/>
  <c r="C17" i="7946" s="1"/>
  <c r="C18" i="7946" s="1"/>
  <c r="C19" i="7946" s="1"/>
  <c r="C20" i="7946" s="1"/>
  <c r="C21" i="7946" s="1"/>
  <c r="C22" i="7946" s="1"/>
  <c r="C23" i="7946" s="1"/>
  <c r="C24" i="7946" s="1"/>
  <c r="C25" i="7946" s="1"/>
  <c r="C26" i="7946" s="1"/>
  <c r="C27" i="7946" s="1"/>
  <c r="C28" i="7946" s="1"/>
  <c r="C29" i="7946" s="1"/>
  <c r="C30" i="7946" s="1"/>
  <c r="C31" i="7946" s="1"/>
  <c r="C32" i="7946" s="1"/>
  <c r="C33" i="7946" s="1"/>
  <c r="C34" i="7946" s="1"/>
  <c r="C35" i="7946" s="1"/>
  <c r="C36" i="7946" s="1"/>
  <c r="C37" i="7946" s="1"/>
  <c r="BB367" i="1"/>
  <c r="BB366" i="1"/>
  <c r="BB365" i="1"/>
  <c r="BB364" i="1"/>
  <c r="BB363" i="1"/>
  <c r="BB351" i="1"/>
  <c r="BB350" i="1"/>
  <c r="BB349" i="1"/>
  <c r="BB348" i="1"/>
  <c r="BB347" i="1"/>
  <c r="BB335" i="1"/>
  <c r="BB334" i="1"/>
  <c r="BB333" i="1"/>
  <c r="BB332" i="1"/>
  <c r="BB331" i="1"/>
  <c r="BB319" i="1"/>
  <c r="BB318" i="1"/>
  <c r="BB317" i="1"/>
  <c r="BB316" i="1"/>
  <c r="BB315" i="1"/>
  <c r="BB303" i="1"/>
  <c r="BB302" i="1"/>
  <c r="BB301" i="1"/>
  <c r="BB300" i="1"/>
  <c r="BB299" i="1"/>
  <c r="BB287" i="1"/>
  <c r="BB286" i="1"/>
  <c r="BB285" i="1"/>
  <c r="BB284" i="1"/>
  <c r="BB283" i="1"/>
  <c r="BB271" i="1"/>
  <c r="BB270" i="1"/>
  <c r="BB269" i="1"/>
  <c r="BB268" i="1"/>
  <c r="BB267" i="1"/>
  <c r="BB251" i="1"/>
  <c r="BB239" i="1"/>
  <c r="BB238" i="1"/>
  <c r="BB237" i="1"/>
  <c r="BB236" i="1"/>
  <c r="BB235" i="1"/>
  <c r="BB223" i="1"/>
  <c r="BB222" i="1"/>
  <c r="BB221" i="1"/>
  <c r="BB220" i="1"/>
  <c r="BB219" i="1"/>
  <c r="BB207" i="1"/>
  <c r="BB206" i="1"/>
  <c r="BB205" i="1"/>
  <c r="BB204" i="1"/>
  <c r="BB203" i="1"/>
  <c r="BB191" i="1"/>
  <c r="BB190" i="1"/>
  <c r="BB189" i="1"/>
  <c r="BB188" i="1"/>
  <c r="BB187" i="1"/>
  <c r="BB175" i="1"/>
  <c r="BB174" i="1"/>
  <c r="BB173" i="1"/>
  <c r="BB172" i="1"/>
  <c r="BB171" i="1"/>
  <c r="BB159" i="1"/>
  <c r="BB158" i="1"/>
  <c r="BB157" i="1"/>
  <c r="BB156" i="1"/>
  <c r="BB155" i="1"/>
  <c r="BB143" i="1"/>
  <c r="BB142" i="1"/>
  <c r="BB141" i="1"/>
  <c r="BB140" i="1"/>
  <c r="BB139" i="1"/>
  <c r="BB127" i="1"/>
  <c r="BB126" i="1"/>
  <c r="BB125" i="1"/>
  <c r="BB124" i="1"/>
  <c r="BB123" i="1"/>
  <c r="BB111" i="1"/>
  <c r="BB110" i="1"/>
  <c r="BB109" i="1"/>
  <c r="BB108" i="1"/>
  <c r="BB107" i="1"/>
  <c r="BB95" i="1"/>
  <c r="BB94" i="1"/>
  <c r="BB93" i="1"/>
  <c r="BB92" i="1"/>
  <c r="BB91" i="1"/>
  <c r="BB75" i="1"/>
  <c r="BB79" i="1"/>
  <c r="BB78" i="1"/>
  <c r="BB77" i="1"/>
  <c r="BB76" i="1"/>
  <c r="BB63" i="1"/>
  <c r="BB62" i="1"/>
  <c r="BB61" i="1"/>
  <c r="BB60" i="1"/>
  <c r="BB59" i="1"/>
  <c r="BB47" i="1"/>
  <c r="BB46" i="1"/>
  <c r="BB45" i="1"/>
  <c r="BB44" i="1"/>
  <c r="BB43" i="1"/>
  <c r="BB379" i="1"/>
  <c r="BB380" i="1"/>
  <c r="BB381" i="1"/>
  <c r="BB382" i="1"/>
  <c r="BB383" i="1"/>
  <c r="I377" i="1"/>
  <c r="I361" i="1"/>
  <c r="I345" i="1"/>
  <c r="I329" i="1"/>
  <c r="I313" i="1"/>
  <c r="I297" i="1"/>
  <c r="I281" i="1"/>
  <c r="D57" i="1"/>
  <c r="D73" i="1"/>
  <c r="I265" i="1"/>
  <c r="I249" i="1"/>
  <c r="I233" i="1"/>
  <c r="I217" i="1"/>
  <c r="I201" i="1"/>
  <c r="I185" i="1"/>
  <c r="I169" i="1"/>
  <c r="I153" i="1"/>
  <c r="I137" i="1"/>
  <c r="I121" i="1"/>
  <c r="I105" i="1"/>
  <c r="I89" i="1"/>
  <c r="I73" i="1"/>
  <c r="C73" i="1"/>
  <c r="I57" i="1"/>
  <c r="C57" i="1"/>
  <c r="D41" i="1"/>
  <c r="W43" i="1"/>
  <c r="W44" i="1" s="1"/>
  <c r="W45" i="1" s="1"/>
  <c r="W46" i="1" s="1"/>
  <c r="W47" i="1" s="1"/>
  <c r="W48" i="1" s="1"/>
  <c r="W49" i="1" s="1"/>
  <c r="W50" i="1" s="1"/>
  <c r="W51" i="1" s="1"/>
  <c r="W52" i="1" s="1"/>
  <c r="W53" i="1" s="1"/>
  <c r="W54" i="1" s="1"/>
  <c r="C41" i="1"/>
  <c r="BC88" i="2"/>
  <c r="BC86" i="2"/>
  <c r="BC84" i="2"/>
  <c r="BC82" i="2"/>
  <c r="BC80" i="2"/>
  <c r="BC78" i="2"/>
  <c r="BC76" i="2"/>
  <c r="BC74" i="2"/>
  <c r="BC72" i="2"/>
  <c r="BC70" i="2"/>
  <c r="BC68" i="2"/>
  <c r="V48" i="1"/>
  <c r="V47" i="1"/>
  <c r="V46" i="1"/>
  <c r="V45" i="1"/>
  <c r="V44" i="1"/>
  <c r="V43" i="1"/>
  <c r="Z43" i="1" s="1"/>
  <c r="AA43" i="1"/>
  <c r="V64" i="1"/>
  <c r="V62" i="1"/>
  <c r="V61" i="1"/>
  <c r="V60" i="1"/>
  <c r="V59" i="1"/>
  <c r="Z59" i="1"/>
  <c r="AA59" i="1"/>
  <c r="V80" i="1"/>
  <c r="V79" i="1"/>
  <c r="V78" i="1"/>
  <c r="V77" i="1"/>
  <c r="V76" i="1"/>
  <c r="V75" i="1"/>
  <c r="V96" i="1"/>
  <c r="V95" i="1"/>
  <c r="V94" i="1"/>
  <c r="V93" i="1"/>
  <c r="V92" i="1"/>
  <c r="V91" i="1"/>
  <c r="V112" i="1"/>
  <c r="V110" i="1"/>
  <c r="V109" i="1"/>
  <c r="V108" i="1"/>
  <c r="V107" i="1"/>
  <c r="V128" i="1"/>
  <c r="V127" i="1"/>
  <c r="V126" i="1"/>
  <c r="V125" i="1"/>
  <c r="V124" i="1"/>
  <c r="V123" i="1"/>
  <c r="V144" i="1"/>
  <c r="V143" i="1"/>
  <c r="V142" i="1"/>
  <c r="V141" i="1"/>
  <c r="V140" i="1"/>
  <c r="V139" i="1"/>
  <c r="V160" i="1"/>
  <c r="V159" i="1"/>
  <c r="V158" i="1"/>
  <c r="V157" i="1"/>
  <c r="V156" i="1"/>
  <c r="V155" i="1"/>
  <c r="V176" i="1"/>
  <c r="V175" i="1"/>
  <c r="V174" i="1"/>
  <c r="V173" i="1"/>
  <c r="V172" i="1"/>
  <c r="V171" i="1"/>
  <c r="V192" i="1"/>
  <c r="V191" i="1"/>
  <c r="V190" i="1"/>
  <c r="V189" i="1"/>
  <c r="V188" i="1"/>
  <c r="V187" i="1"/>
  <c r="V208" i="1"/>
  <c r="V207" i="1"/>
  <c r="V206" i="1"/>
  <c r="V205" i="1"/>
  <c r="V204" i="1"/>
  <c r="V203" i="1"/>
  <c r="V224" i="1"/>
  <c r="V223" i="1"/>
  <c r="V222" i="1"/>
  <c r="V221" i="1"/>
  <c r="V220" i="1"/>
  <c r="V219" i="1"/>
  <c r="V240" i="1"/>
  <c r="V237" i="1"/>
  <c r="V236" i="1"/>
  <c r="V235" i="1"/>
  <c r="Y45" i="1"/>
  <c r="Y44" i="1"/>
  <c r="AL44" i="1" s="1"/>
  <c r="Y43" i="1"/>
  <c r="X45" i="1"/>
  <c r="AL45" i="1" s="1"/>
  <c r="AM45" i="1" s="1"/>
  <c r="X44" i="1"/>
  <c r="U44" i="1"/>
  <c r="BD44" i="1" s="1"/>
  <c r="X43" i="1"/>
  <c r="U43" i="1" s="1"/>
  <c r="BD43" i="1" s="1"/>
  <c r="BC69" i="2"/>
  <c r="BC77" i="2"/>
  <c r="BC85" i="2"/>
  <c r="BC106" i="2"/>
  <c r="BT106" i="2"/>
  <c r="CA106" i="2"/>
  <c r="BU106" i="2"/>
  <c r="CB106" i="2"/>
  <c r="BS106" i="2"/>
  <c r="BV106" i="2" s="1"/>
  <c r="BZ106" i="2"/>
  <c r="CC106" i="2" s="1"/>
  <c r="BT107" i="2"/>
  <c r="CA107" i="2"/>
  <c r="BU107" i="2"/>
  <c r="CB107" i="2"/>
  <c r="BS107" i="2"/>
  <c r="BV107" i="2" s="1"/>
  <c r="BZ107" i="2"/>
  <c r="CC107" i="2" s="1"/>
  <c r="BC108" i="2"/>
  <c r="BT108" i="2"/>
  <c r="CA108" i="2"/>
  <c r="BU108" i="2"/>
  <c r="CB108" i="2"/>
  <c r="BS108" i="2"/>
  <c r="BV108" i="2" s="1"/>
  <c r="BZ108" i="2"/>
  <c r="CC108" i="2" s="1"/>
  <c r="BT109" i="2"/>
  <c r="CA109" i="2"/>
  <c r="BU109" i="2"/>
  <c r="CB109" i="2"/>
  <c r="BS109" i="2"/>
  <c r="BV109" i="2" s="1"/>
  <c r="BZ109" i="2"/>
  <c r="CC109" i="2" s="1"/>
  <c r="BC110" i="2"/>
  <c r="BT110" i="2"/>
  <c r="CA110" i="2"/>
  <c r="BU110" i="2"/>
  <c r="CB110" i="2"/>
  <c r="BS110" i="2"/>
  <c r="BV110" i="2" s="1"/>
  <c r="BZ110" i="2"/>
  <c r="CC110" i="2" s="1"/>
  <c r="BT111" i="2"/>
  <c r="CA111" i="2"/>
  <c r="BU111" i="2"/>
  <c r="CB111" i="2"/>
  <c r="BS111" i="2"/>
  <c r="BV111" i="2" s="1"/>
  <c r="BZ111" i="2"/>
  <c r="CC111" i="2" s="1"/>
  <c r="BC112" i="2"/>
  <c r="BT112" i="2"/>
  <c r="CA112" i="2"/>
  <c r="BU112" i="2"/>
  <c r="CB112" i="2"/>
  <c r="BS112" i="2"/>
  <c r="BV112" i="2" s="1"/>
  <c r="BZ112" i="2"/>
  <c r="CC112" i="2" s="1"/>
  <c r="BT113" i="2"/>
  <c r="CA113" i="2"/>
  <c r="BU113" i="2"/>
  <c r="CB113" i="2"/>
  <c r="BS113" i="2"/>
  <c r="BV113" i="2" s="1"/>
  <c r="BZ113" i="2"/>
  <c r="CC113" i="2" s="1"/>
  <c r="BC114" i="2"/>
  <c r="BT114" i="2"/>
  <c r="CA114" i="2"/>
  <c r="BU114" i="2"/>
  <c r="CB114" i="2"/>
  <c r="BS114" i="2"/>
  <c r="BV114" i="2" s="1"/>
  <c r="BZ114" i="2"/>
  <c r="CC114" i="2" s="1"/>
  <c r="BT115" i="2"/>
  <c r="CA115" i="2"/>
  <c r="BU115" i="2"/>
  <c r="CB115" i="2"/>
  <c r="BS115" i="2"/>
  <c r="BV115" i="2" s="1"/>
  <c r="BZ115" i="2"/>
  <c r="CC115" i="2" s="1"/>
  <c r="X82" i="2"/>
  <c r="AJ75" i="2"/>
  <c r="Z58" i="7952" s="1"/>
  <c r="X48" i="1"/>
  <c r="X47" i="1"/>
  <c r="X46" i="1"/>
  <c r="X64" i="1"/>
  <c r="X63" i="1"/>
  <c r="X62" i="1"/>
  <c r="X61" i="1"/>
  <c r="X60" i="1"/>
  <c r="X59" i="1"/>
  <c r="X80" i="1"/>
  <c r="X79" i="1"/>
  <c r="X78" i="1"/>
  <c r="X77" i="1"/>
  <c r="X76" i="1"/>
  <c r="X75" i="1"/>
  <c r="X96" i="1"/>
  <c r="X95" i="1"/>
  <c r="X94" i="1"/>
  <c r="X93" i="1"/>
  <c r="X92" i="1"/>
  <c r="X91" i="1"/>
  <c r="X112" i="1"/>
  <c r="X111" i="1"/>
  <c r="X110" i="1"/>
  <c r="X109" i="1"/>
  <c r="X108" i="1"/>
  <c r="X107" i="1"/>
  <c r="X128" i="1"/>
  <c r="X127" i="1"/>
  <c r="X126" i="1"/>
  <c r="X125" i="1"/>
  <c r="X124" i="1"/>
  <c r="X123" i="1"/>
  <c r="X144" i="1"/>
  <c r="X143" i="1"/>
  <c r="X142" i="1"/>
  <c r="X141" i="1"/>
  <c r="X140" i="1"/>
  <c r="X139" i="1"/>
  <c r="X160" i="1"/>
  <c r="X159" i="1"/>
  <c r="X158" i="1"/>
  <c r="X157" i="1"/>
  <c r="X156" i="1"/>
  <c r="X155" i="1"/>
  <c r="X176" i="1"/>
  <c r="X175" i="1"/>
  <c r="X174" i="1"/>
  <c r="X173" i="1"/>
  <c r="X172" i="1"/>
  <c r="X171" i="1"/>
  <c r="X192" i="1"/>
  <c r="X191" i="1"/>
  <c r="X190" i="1"/>
  <c r="X189" i="1"/>
  <c r="X188" i="1"/>
  <c r="X187" i="1"/>
  <c r="X208" i="1"/>
  <c r="X207" i="1"/>
  <c r="X206" i="1"/>
  <c r="X205" i="1"/>
  <c r="X204" i="1"/>
  <c r="X203" i="1"/>
  <c r="X224" i="1"/>
  <c r="X223" i="1"/>
  <c r="X222" i="1"/>
  <c r="X221" i="1"/>
  <c r="X220" i="1"/>
  <c r="X219" i="1"/>
  <c r="X240" i="1"/>
  <c r="X239" i="1"/>
  <c r="X238" i="1"/>
  <c r="X237" i="1"/>
  <c r="X236" i="1"/>
  <c r="X235" i="1"/>
  <c r="X251" i="1"/>
  <c r="X272" i="1"/>
  <c r="X271" i="1"/>
  <c r="X270" i="1"/>
  <c r="X269" i="1"/>
  <c r="X268" i="1"/>
  <c r="X267" i="1"/>
  <c r="X288" i="1"/>
  <c r="X287" i="1"/>
  <c r="X286" i="1"/>
  <c r="X285" i="1"/>
  <c r="X284" i="1"/>
  <c r="X283" i="1"/>
  <c r="X304" i="1"/>
  <c r="X303" i="1"/>
  <c r="X302" i="1"/>
  <c r="X301" i="1"/>
  <c r="X300" i="1"/>
  <c r="X299" i="1"/>
  <c r="X320" i="1"/>
  <c r="X319" i="1"/>
  <c r="X318" i="1"/>
  <c r="X317" i="1"/>
  <c r="X316" i="1"/>
  <c r="X315" i="1"/>
  <c r="X336" i="1"/>
  <c r="X335" i="1"/>
  <c r="X334" i="1"/>
  <c r="X333" i="1"/>
  <c r="X332" i="1"/>
  <c r="X331" i="1"/>
  <c r="X352" i="1"/>
  <c r="X351" i="1"/>
  <c r="AL351" i="1" s="1"/>
  <c r="AM351" i="1" s="1"/>
  <c r="X350" i="1"/>
  <c r="X349" i="1"/>
  <c r="AL349" i="1" s="1"/>
  <c r="AM349" i="1" s="1"/>
  <c r="X348" i="1"/>
  <c r="X347" i="1"/>
  <c r="AL347" i="1" s="1"/>
  <c r="AM347" i="1" s="1"/>
  <c r="X368" i="1"/>
  <c r="X367" i="1"/>
  <c r="AL367" i="1" s="1"/>
  <c r="AM367" i="1" s="1"/>
  <c r="X366" i="1"/>
  <c r="X365" i="1"/>
  <c r="AL365" i="1" s="1"/>
  <c r="AM365" i="1" s="1"/>
  <c r="X364" i="1"/>
  <c r="X363" i="1"/>
  <c r="AL363" i="1" s="1"/>
  <c r="AM363" i="1" s="1"/>
  <c r="X384" i="1"/>
  <c r="X383" i="1"/>
  <c r="AL383" i="1" s="1"/>
  <c r="AM383" i="1" s="1"/>
  <c r="X382" i="1"/>
  <c r="X381" i="1"/>
  <c r="AL381" i="1" s="1"/>
  <c r="X380" i="1"/>
  <c r="X379" i="1"/>
  <c r="AL379" i="1" s="1"/>
  <c r="Y63" i="1"/>
  <c r="Y48" i="1"/>
  <c r="Y47" i="1"/>
  <c r="Y46" i="1"/>
  <c r="Y64" i="1"/>
  <c r="Y62" i="1"/>
  <c r="Y61" i="1"/>
  <c r="AL61" i="1" s="1"/>
  <c r="AM61" i="1" s="1"/>
  <c r="Y60" i="1"/>
  <c r="Y59" i="1"/>
  <c r="AL59" i="1" s="1"/>
  <c r="AM59" i="1" s="1"/>
  <c r="Y80" i="1"/>
  <c r="Y79" i="1"/>
  <c r="AL79" i="1" s="1"/>
  <c r="AM79" i="1" s="1"/>
  <c r="Y78" i="1"/>
  <c r="Y77" i="1"/>
  <c r="AL77" i="1" s="1"/>
  <c r="AM77" i="1" s="1"/>
  <c r="Y76" i="1"/>
  <c r="Y75" i="1"/>
  <c r="AL75" i="1" s="1"/>
  <c r="AM75" i="1" s="1"/>
  <c r="Y96" i="1"/>
  <c r="Y95" i="1"/>
  <c r="Y94" i="1"/>
  <c r="Y93" i="1"/>
  <c r="AL93" i="1" s="1"/>
  <c r="AM93" i="1" s="1"/>
  <c r="Y92" i="1"/>
  <c r="Y91" i="1"/>
  <c r="AL91" i="1" s="1"/>
  <c r="AM91" i="1" s="1"/>
  <c r="Y112" i="1"/>
  <c r="Y111" i="1"/>
  <c r="Y110" i="1"/>
  <c r="Y109" i="1"/>
  <c r="Y108" i="1"/>
  <c r="Y107" i="1"/>
  <c r="AL107" i="1" s="1"/>
  <c r="AM107" i="1" s="1"/>
  <c r="Y128" i="1"/>
  <c r="Y127" i="1"/>
  <c r="Y126" i="1"/>
  <c r="Y125" i="1"/>
  <c r="AL125" i="1" s="1"/>
  <c r="AM125" i="1" s="1"/>
  <c r="Y124" i="1"/>
  <c r="Y123" i="1"/>
  <c r="Y144" i="1"/>
  <c r="Y143" i="1"/>
  <c r="AL143" i="1" s="1"/>
  <c r="AM143" i="1" s="1"/>
  <c r="Y142" i="1"/>
  <c r="Y141" i="1"/>
  <c r="Y140" i="1"/>
  <c r="Y139" i="1"/>
  <c r="AL139" i="1" s="1"/>
  <c r="AM139" i="1" s="1"/>
  <c r="Y160" i="1"/>
  <c r="Y159" i="1"/>
  <c r="Y158" i="1"/>
  <c r="Y157" i="1"/>
  <c r="AL157" i="1" s="1"/>
  <c r="AM157" i="1" s="1"/>
  <c r="Y156" i="1"/>
  <c r="Y155" i="1"/>
  <c r="Y176" i="1"/>
  <c r="Y175" i="1"/>
  <c r="AL175" i="1" s="1"/>
  <c r="Y174" i="1"/>
  <c r="Y173" i="1"/>
  <c r="Y172" i="1"/>
  <c r="Y171" i="1"/>
  <c r="AL171" i="1" s="1"/>
  <c r="Y192" i="1"/>
  <c r="Y191" i="1"/>
  <c r="Y190" i="1"/>
  <c r="Y189" i="1"/>
  <c r="AL189" i="1" s="1"/>
  <c r="AM189" i="1" s="1"/>
  <c r="Y188" i="1"/>
  <c r="Y187" i="1"/>
  <c r="Y208" i="1"/>
  <c r="Y207" i="1"/>
  <c r="AL207" i="1" s="1"/>
  <c r="AM207" i="1" s="1"/>
  <c r="Y206" i="1"/>
  <c r="AL206" i="1" s="1"/>
  <c r="AM206" i="1" s="1"/>
  <c r="Y205" i="1"/>
  <c r="Y204" i="1"/>
  <c r="Y203" i="1"/>
  <c r="AL203" i="1" s="1"/>
  <c r="AM203" i="1" s="1"/>
  <c r="Y224" i="1"/>
  <c r="AL224" i="1" s="1"/>
  <c r="AM224" i="1" s="1"/>
  <c r="Y223" i="1"/>
  <c r="Y222" i="1"/>
  <c r="AL222" i="1" s="1"/>
  <c r="AM222" i="1" s="1"/>
  <c r="Y221" i="1"/>
  <c r="AL221" i="1" s="1"/>
  <c r="AM221" i="1" s="1"/>
  <c r="Y220" i="1"/>
  <c r="AL220" i="1" s="1"/>
  <c r="AM220" i="1" s="1"/>
  <c r="Y219" i="1"/>
  <c r="Y240" i="1"/>
  <c r="Y239" i="1"/>
  <c r="AL239" i="1" s="1"/>
  <c r="AM239" i="1" s="1"/>
  <c r="Y238" i="1"/>
  <c r="Y237" i="1"/>
  <c r="Y236" i="1"/>
  <c r="Y235" i="1"/>
  <c r="AL235" i="1" s="1"/>
  <c r="AM235" i="1" s="1"/>
  <c r="Y251" i="1"/>
  <c r="Y272" i="1"/>
  <c r="Y271" i="1"/>
  <c r="Y270" i="1"/>
  <c r="Y269" i="1"/>
  <c r="Y268" i="1"/>
  <c r="AL268" i="1" s="1"/>
  <c r="Y267" i="1"/>
  <c r="Y288" i="1"/>
  <c r="AL288" i="1" s="1"/>
  <c r="Y287" i="1"/>
  <c r="Y286" i="1"/>
  <c r="AL286" i="1" s="1"/>
  <c r="Y285" i="1"/>
  <c r="Y284" i="1"/>
  <c r="AL284" i="1" s="1"/>
  <c r="AM284" i="1" s="1"/>
  <c r="Y283" i="1"/>
  <c r="Y304" i="1"/>
  <c r="Y303" i="1"/>
  <c r="Y302" i="1"/>
  <c r="AL302" i="1" s="1"/>
  <c r="AM302" i="1" s="1"/>
  <c r="Y301" i="1"/>
  <c r="Y300" i="1"/>
  <c r="Y299" i="1"/>
  <c r="Y320" i="1"/>
  <c r="Y319" i="1"/>
  <c r="Y318" i="1"/>
  <c r="Y317" i="1"/>
  <c r="Y316" i="1"/>
  <c r="Y315" i="1"/>
  <c r="Y336" i="1"/>
  <c r="Y335" i="1"/>
  <c r="Y334" i="1"/>
  <c r="AL334" i="1" s="1"/>
  <c r="AM334" i="1" s="1"/>
  <c r="Y333" i="1"/>
  <c r="Y332" i="1"/>
  <c r="AL332" i="1" s="1"/>
  <c r="Y331" i="1"/>
  <c r="Y352" i="1"/>
  <c r="Y351" i="1"/>
  <c r="Y350" i="1"/>
  <c r="AL350" i="1" s="1"/>
  <c r="AM350" i="1" s="1"/>
  <c r="Y349" i="1"/>
  <c r="Y348" i="1"/>
  <c r="Y347" i="1"/>
  <c r="Y368" i="1"/>
  <c r="Y367" i="1"/>
  <c r="Y366" i="1"/>
  <c r="Y365" i="1"/>
  <c r="Y364" i="1"/>
  <c r="Y363" i="1"/>
  <c r="Y384" i="1"/>
  <c r="Y383" i="1"/>
  <c r="Y382" i="1"/>
  <c r="Y381" i="1"/>
  <c r="Y380" i="1"/>
  <c r="Y379" i="1"/>
  <c r="AJ42" i="2"/>
  <c r="AJ47" i="2" s="1"/>
  <c r="AJ48" i="2" s="1"/>
  <c r="U59" i="1"/>
  <c r="BD59" i="1" s="1"/>
  <c r="BL106" i="2"/>
  <c r="BN106" i="2"/>
  <c r="BL107" i="2"/>
  <c r="BN107" i="2"/>
  <c r="BL108" i="2"/>
  <c r="BN108" i="2"/>
  <c r="BL109" i="2"/>
  <c r="BN109" i="2"/>
  <c r="BL110" i="2"/>
  <c r="BN110" i="2"/>
  <c r="BL111" i="2"/>
  <c r="BN111" i="2"/>
  <c r="BL112" i="2"/>
  <c r="BN112" i="2"/>
  <c r="BL113" i="2"/>
  <c r="BN113" i="2"/>
  <c r="BL114" i="2"/>
  <c r="BN114" i="2"/>
  <c r="BL115" i="2"/>
  <c r="BN115" i="2"/>
  <c r="CK68" i="2"/>
  <c r="CK70" i="2"/>
  <c r="CK72" i="2"/>
  <c r="CK74" i="2"/>
  <c r="CK76" i="2"/>
  <c r="BX106" i="2"/>
  <c r="BI106" i="2" s="1"/>
  <c r="BK106" i="2" s="1"/>
  <c r="CE106" i="2"/>
  <c r="BW106" i="2"/>
  <c r="CD106" i="2"/>
  <c r="BX107" i="2"/>
  <c r="BI107" i="2" s="1"/>
  <c r="BK107" i="2" s="1"/>
  <c r="CE107" i="2"/>
  <c r="BW107" i="2"/>
  <c r="BH107" i="2" s="1"/>
  <c r="BJ107" i="2" s="1"/>
  <c r="CD107" i="2"/>
  <c r="BX108" i="2"/>
  <c r="CE108" i="2"/>
  <c r="BW108" i="2"/>
  <c r="CD108" i="2"/>
  <c r="BX109" i="2"/>
  <c r="CE109" i="2"/>
  <c r="BW109" i="2"/>
  <c r="CD109" i="2"/>
  <c r="BX110" i="2"/>
  <c r="BI110" i="2" s="1"/>
  <c r="BK110" i="2" s="1"/>
  <c r="CE110" i="2"/>
  <c r="BW110" i="2"/>
  <c r="CD110" i="2"/>
  <c r="BX111" i="2"/>
  <c r="BI111" i="2" s="1"/>
  <c r="BK111" i="2" s="1"/>
  <c r="CE111" i="2"/>
  <c r="BW111" i="2"/>
  <c r="BH111" i="2" s="1"/>
  <c r="CD111" i="2"/>
  <c r="BX112" i="2"/>
  <c r="BI112" i="2" s="1"/>
  <c r="BK112" i="2" s="1"/>
  <c r="CE112" i="2"/>
  <c r="BW112" i="2"/>
  <c r="CD112" i="2"/>
  <c r="BX113" i="2"/>
  <c r="CE113" i="2"/>
  <c r="BW113" i="2"/>
  <c r="CD113" i="2"/>
  <c r="BX114" i="2"/>
  <c r="BI114" i="2" s="1"/>
  <c r="BK114" i="2" s="1"/>
  <c r="CE114" i="2"/>
  <c r="BW114" i="2"/>
  <c r="CD114" i="2"/>
  <c r="BX115" i="2"/>
  <c r="BI115" i="2" s="1"/>
  <c r="BK115" i="2" s="1"/>
  <c r="CE115" i="2"/>
  <c r="BW115" i="2"/>
  <c r="BH115" i="2" s="1"/>
  <c r="BJ115" i="2" s="1"/>
  <c r="CD115" i="2"/>
  <c r="BC61" i="7951"/>
  <c r="BC62" i="7951"/>
  <c r="BC73" i="7951"/>
  <c r="AD59" i="7949"/>
  <c r="AI66" i="7949"/>
  <c r="EC813" i="7949"/>
  <c r="EC818" i="7949" s="1"/>
  <c r="EC812" i="7949"/>
  <c r="EC817" i="7949" s="1"/>
  <c r="EC791" i="7949"/>
  <c r="EC792" i="7949"/>
  <c r="EC790" i="7949"/>
  <c r="EC797" i="7949" s="1"/>
  <c r="EC804" i="7949" s="1"/>
  <c r="EC799" i="7949"/>
  <c r="EC806" i="7949" s="1"/>
  <c r="EC798" i="7949"/>
  <c r="EC805" i="7949" s="1"/>
  <c r="EC721" i="7949"/>
  <c r="EC726" i="7949" s="1"/>
  <c r="EC720" i="7949"/>
  <c r="EC725" i="7949" s="1"/>
  <c r="EC699" i="7949"/>
  <c r="EC706" i="7949" s="1"/>
  <c r="EC713" i="7949" s="1"/>
  <c r="EC700" i="7949"/>
  <c r="EC698" i="7949"/>
  <c r="EC705" i="7949" s="1"/>
  <c r="EC712" i="7949" s="1"/>
  <c r="EC707" i="7949"/>
  <c r="EC714" i="7949" s="1"/>
  <c r="EC629" i="7949"/>
  <c r="EC634" i="7949" s="1"/>
  <c r="EC628" i="7949"/>
  <c r="EC633" i="7949" s="1"/>
  <c r="EC607" i="7949"/>
  <c r="EC614" i="7949" s="1"/>
  <c r="EC608" i="7949"/>
  <c r="EC606" i="7949"/>
  <c r="EC613" i="7949" s="1"/>
  <c r="EC620" i="7949" s="1"/>
  <c r="EC615" i="7949"/>
  <c r="EC622" i="7949" s="1"/>
  <c r="EC536" i="7949"/>
  <c r="EC541" i="7949" s="1"/>
  <c r="EC535" i="7949"/>
  <c r="EC540" i="7949" s="1"/>
  <c r="EC514" i="7949"/>
  <c r="EC521" i="7949" s="1"/>
  <c r="EC528" i="7949" s="1"/>
  <c r="EC515" i="7949"/>
  <c r="EC513" i="7949"/>
  <c r="EC520" i="7949" s="1"/>
  <c r="EC527" i="7949" s="1"/>
  <c r="EC522" i="7949"/>
  <c r="EC529" i="7949" s="1"/>
  <c r="EC444" i="7949"/>
  <c r="EC449" i="7949" s="1"/>
  <c r="EC443" i="7949"/>
  <c r="EC448" i="7949" s="1"/>
  <c r="EC422" i="7949"/>
  <c r="EC423" i="7949"/>
  <c r="EC421" i="7949"/>
  <c r="EC428" i="7949" s="1"/>
  <c r="EC435" i="7949" s="1"/>
  <c r="EC430" i="7949"/>
  <c r="EC437" i="7949" s="1"/>
  <c r="EC429" i="7949"/>
  <c r="EC436" i="7949" s="1"/>
  <c r="EC352" i="7949"/>
  <c r="EC357" i="7949" s="1"/>
  <c r="EC351" i="7949"/>
  <c r="EC356" i="7949" s="1"/>
  <c r="EC330" i="7949"/>
  <c r="EC337" i="7949" s="1"/>
  <c r="EC344" i="7949" s="1"/>
  <c r="EC331" i="7949"/>
  <c r="EC329" i="7949"/>
  <c r="EC336" i="7949" s="1"/>
  <c r="EC343" i="7949" s="1"/>
  <c r="EC338" i="7949"/>
  <c r="EC345" i="7949" s="1"/>
  <c r="EC259" i="7949"/>
  <c r="EC264" i="7949" s="1"/>
  <c r="EC258" i="7949"/>
  <c r="EC263" i="7949" s="1"/>
  <c r="EC237" i="7949"/>
  <c r="EC238" i="7949"/>
  <c r="EC245" i="7949" s="1"/>
  <c r="EC252" i="7949" s="1"/>
  <c r="EC236" i="7949"/>
  <c r="EC243" i="7949" s="1"/>
  <c r="EC250" i="7949" s="1"/>
  <c r="EC244" i="7949"/>
  <c r="EC251" i="7949" s="1"/>
  <c r="EC167" i="7949"/>
  <c r="EC172" i="7949" s="1"/>
  <c r="EC166" i="7949"/>
  <c r="EC171" i="7949" s="1"/>
  <c r="EC145" i="7949"/>
  <c r="EC152" i="7949" s="1"/>
  <c r="EC159" i="7949" s="1"/>
  <c r="EC146" i="7949"/>
  <c r="EC153" i="7949" s="1"/>
  <c r="EC160" i="7949" s="1"/>
  <c r="EC144" i="7949"/>
  <c r="EC151" i="7949" s="1"/>
  <c r="EC158" i="7949" s="1"/>
  <c r="EC75" i="7949"/>
  <c r="EC80" i="7949" s="1"/>
  <c r="EC74" i="7949"/>
  <c r="EC79" i="7949" s="1"/>
  <c r="EC54" i="7949"/>
  <c r="EC61" i="7949" s="1"/>
  <c r="EC53" i="7949"/>
  <c r="EC60" i="7949" s="1"/>
  <c r="EC67" i="7949" s="1"/>
  <c r="EC52" i="7949"/>
  <c r="EC59" i="7949" s="1"/>
  <c r="EC66" i="7949" s="1"/>
  <c r="BF182" i="7949"/>
  <c r="BF183" i="7949"/>
  <c r="BF184" i="7949"/>
  <c r="BF185" i="7949"/>
  <c r="BF186" i="7949"/>
  <c r="BF187" i="7949"/>
  <c r="BF188" i="7949"/>
  <c r="BF189" i="7949"/>
  <c r="BF190" i="7949"/>
  <c r="BF181" i="7949"/>
  <c r="BF103" i="7949"/>
  <c r="BF104" i="7949"/>
  <c r="BF105" i="7949"/>
  <c r="BF106" i="7949"/>
  <c r="BF107" i="7949"/>
  <c r="BF108" i="7949"/>
  <c r="BF109" i="7949"/>
  <c r="BF110" i="7949"/>
  <c r="BF111" i="7949"/>
  <c r="BF102" i="7949"/>
  <c r="BF91" i="7949"/>
  <c r="BF92" i="7949"/>
  <c r="BF93" i="7949"/>
  <c r="BF94" i="7949"/>
  <c r="BF95" i="7949"/>
  <c r="BF96" i="7949"/>
  <c r="BF97" i="7949"/>
  <c r="BF98" i="7949"/>
  <c r="BF99" i="7949"/>
  <c r="BF90" i="7949"/>
  <c r="AJ412" i="7950"/>
  <c r="AJ413" i="7950"/>
  <c r="AY410" i="7950"/>
  <c r="AZ410" i="7950"/>
  <c r="S409" i="7950"/>
  <c r="R409" i="7950"/>
  <c r="Q409" i="7950"/>
  <c r="P409" i="7950"/>
  <c r="D409" i="7950"/>
  <c r="AJ396" i="7950"/>
  <c r="AJ397" i="7950"/>
  <c r="AY394" i="7950"/>
  <c r="AZ394" i="7950"/>
  <c r="S393" i="7950"/>
  <c r="R393" i="7950"/>
  <c r="Q393" i="7950"/>
  <c r="P393" i="7950"/>
  <c r="D393" i="7950"/>
  <c r="AJ380" i="7950"/>
  <c r="AJ381" i="7950"/>
  <c r="AY378" i="7950"/>
  <c r="AZ378" i="7950"/>
  <c r="AG383" i="7950"/>
  <c r="S377" i="7950"/>
  <c r="R377" i="7950"/>
  <c r="Q377" i="7950"/>
  <c r="P377" i="7950"/>
  <c r="D377" i="7950"/>
  <c r="AJ364" i="7950"/>
  <c r="AJ365" i="7950"/>
  <c r="Z373" i="7950"/>
  <c r="AY362" i="7950"/>
  <c r="AZ362" i="7950"/>
  <c r="S361" i="7950"/>
  <c r="R361" i="7950"/>
  <c r="Q361" i="7950"/>
  <c r="P361" i="7950"/>
  <c r="D361" i="7950"/>
  <c r="AJ348" i="7950"/>
  <c r="AJ349" i="7950"/>
  <c r="AD349" i="7950" s="1"/>
  <c r="AG349" i="7950" s="1"/>
  <c r="AY346" i="7950"/>
  <c r="AZ346" i="7950"/>
  <c r="S345" i="7950"/>
  <c r="R345" i="7950"/>
  <c r="Q345" i="7950"/>
  <c r="P345" i="7950"/>
  <c r="D345" i="7950"/>
  <c r="AJ332" i="7950"/>
  <c r="AJ333" i="7950"/>
  <c r="AY330" i="7950"/>
  <c r="AZ330" i="7950"/>
  <c r="S329" i="7950"/>
  <c r="R329" i="7950"/>
  <c r="Q329" i="7950"/>
  <c r="P329" i="7950"/>
  <c r="D329" i="7950"/>
  <c r="AJ316" i="7950"/>
  <c r="AJ317" i="7950"/>
  <c r="AD317" i="7950"/>
  <c r="AG317" i="7950" s="1"/>
  <c r="AY314" i="7950"/>
  <c r="AZ314" i="7950"/>
  <c r="S313" i="7950"/>
  <c r="R313" i="7950"/>
  <c r="Q313" i="7950"/>
  <c r="P313" i="7950"/>
  <c r="D313" i="7950"/>
  <c r="AJ300" i="7950"/>
  <c r="AJ301" i="7950"/>
  <c r="Z309" i="7950"/>
  <c r="AY298" i="7950"/>
  <c r="AZ298" i="7950"/>
  <c r="S297" i="7950"/>
  <c r="R297" i="7950"/>
  <c r="Q297" i="7950"/>
  <c r="P297" i="7950"/>
  <c r="D297" i="7950"/>
  <c r="AJ284" i="7950"/>
  <c r="AP283" i="7950" s="1"/>
  <c r="I283" i="7950" s="1"/>
  <c r="AJ285" i="7950"/>
  <c r="AD285" i="7950" s="1"/>
  <c r="AG285" i="7950" s="1"/>
  <c r="AY282" i="7950"/>
  <c r="AZ282" i="7950"/>
  <c r="S281" i="7950"/>
  <c r="R281" i="7950"/>
  <c r="Q281" i="7950"/>
  <c r="P281" i="7950"/>
  <c r="D281" i="7950"/>
  <c r="AJ268" i="7950"/>
  <c r="AJ269" i="7950"/>
  <c r="AY266" i="7950"/>
  <c r="AZ266" i="7950"/>
  <c r="S265" i="7950"/>
  <c r="R265" i="7950"/>
  <c r="Q265" i="7950"/>
  <c r="P265" i="7950"/>
  <c r="D265" i="7950"/>
  <c r="AJ252" i="7950"/>
  <c r="AJ253" i="7950"/>
  <c r="AD253" i="7950"/>
  <c r="AG253" i="7950" s="1"/>
  <c r="AY250" i="7950"/>
  <c r="AZ250" i="7950"/>
  <c r="S249" i="7950"/>
  <c r="R249" i="7950"/>
  <c r="Q249" i="7950"/>
  <c r="P249" i="7950"/>
  <c r="D249" i="7950"/>
  <c r="AJ236" i="7950"/>
  <c r="AP235" i="7950" s="1"/>
  <c r="AJ237" i="7950"/>
  <c r="Z245" i="7950"/>
  <c r="AY234" i="7950"/>
  <c r="AZ234" i="7950"/>
  <c r="S233" i="7950"/>
  <c r="R233" i="7950"/>
  <c r="Q233" i="7950"/>
  <c r="P233" i="7950"/>
  <c r="D233" i="7950"/>
  <c r="BI44" i="7950"/>
  <c r="BI45" i="7950" s="1"/>
  <c r="AJ220" i="7950"/>
  <c r="AJ221" i="7950"/>
  <c r="AY218" i="7950"/>
  <c r="AZ218" i="7950"/>
  <c r="S217" i="7950"/>
  <c r="R217" i="7950"/>
  <c r="Q217" i="7950"/>
  <c r="P217" i="7950"/>
  <c r="D217" i="7950"/>
  <c r="AJ204" i="7950"/>
  <c r="AJ205" i="7950"/>
  <c r="AD205" i="7950" s="1"/>
  <c r="AG205" i="7950" s="1"/>
  <c r="AY202" i="7950"/>
  <c r="AZ202" i="7950"/>
  <c r="S201" i="7950"/>
  <c r="R201" i="7950"/>
  <c r="Q201" i="7950"/>
  <c r="P201" i="7950"/>
  <c r="D201" i="7950"/>
  <c r="AJ188" i="7950"/>
  <c r="AJ189" i="7950"/>
  <c r="AY186" i="7950"/>
  <c r="AZ186" i="7950"/>
  <c r="S185" i="7950"/>
  <c r="R185" i="7950"/>
  <c r="Q185" i="7950"/>
  <c r="P185" i="7950"/>
  <c r="D185" i="7950"/>
  <c r="AJ172" i="7950"/>
  <c r="AJ173" i="7950"/>
  <c r="AD173" i="7950" s="1"/>
  <c r="AG173" i="7950" s="1"/>
  <c r="AY170" i="7950"/>
  <c r="AZ170" i="7950"/>
  <c r="AY154" i="7950"/>
  <c r="AZ154" i="7950"/>
  <c r="AY138" i="7950"/>
  <c r="AZ138" i="7950"/>
  <c r="AY42" i="7950"/>
  <c r="AZ42" i="7950"/>
  <c r="AY58" i="7950"/>
  <c r="AZ58" i="7950"/>
  <c r="AY122" i="7950"/>
  <c r="AZ122" i="7950"/>
  <c r="AV64" i="7951"/>
  <c r="AY106" i="7950"/>
  <c r="AZ106" i="7950"/>
  <c r="AY90" i="7950"/>
  <c r="AZ90" i="7950"/>
  <c r="AY74" i="7950"/>
  <c r="AZ74" i="7950"/>
  <c r="AP46" i="1"/>
  <c r="AS46" i="1"/>
  <c r="AQ46" i="1"/>
  <c r="AT46" i="1"/>
  <c r="AR46" i="1"/>
  <c r="AU46" i="1"/>
  <c r="AV45" i="1"/>
  <c r="AY45" i="1"/>
  <c r="AW45" i="1"/>
  <c r="AX45" i="1"/>
  <c r="BC45" i="2"/>
  <c r="BC49" i="2"/>
  <c r="BC53" i="2"/>
  <c r="AZ53" i="2" s="1"/>
  <c r="AO53" i="2" s="1"/>
  <c r="BC57" i="2"/>
  <c r="AZ57" i="2" s="1"/>
  <c r="AO57" i="2" s="1"/>
  <c r="BC61" i="2"/>
  <c r="AZ61" i="2" s="1"/>
  <c r="AO61" i="2" s="1"/>
  <c r="BC94" i="2"/>
  <c r="BT94" i="2"/>
  <c r="CA94" i="2"/>
  <c r="BE94" i="2"/>
  <c r="BU94" i="2"/>
  <c r="CB94" i="2"/>
  <c r="BF94" i="2"/>
  <c r="BD94" i="2" s="1"/>
  <c r="BS94" i="2"/>
  <c r="BV94" i="2" s="1"/>
  <c r="BZ94" i="2"/>
  <c r="CC94" i="2" s="1"/>
  <c r="BG94" i="2"/>
  <c r="BL94" i="2"/>
  <c r="BN94" i="2"/>
  <c r="BT95" i="2"/>
  <c r="CA95" i="2"/>
  <c r="BE95" i="2"/>
  <c r="BU95" i="2"/>
  <c r="CB95" i="2"/>
  <c r="BF95" i="2"/>
  <c r="BS95" i="2"/>
  <c r="BV95" i="2" s="1"/>
  <c r="BZ95" i="2"/>
  <c r="CC95" i="2" s="1"/>
  <c r="BG95" i="2"/>
  <c r="BL95" i="2"/>
  <c r="BN95" i="2"/>
  <c r="BC96" i="2"/>
  <c r="AZ96" i="2" s="1"/>
  <c r="AO96" i="2" s="1"/>
  <c r="BT96" i="2"/>
  <c r="CA96" i="2"/>
  <c r="BE96" i="2"/>
  <c r="BU96" i="2"/>
  <c r="CB96" i="2"/>
  <c r="BF96" i="2"/>
  <c r="BS96" i="2"/>
  <c r="BV96" i="2" s="1"/>
  <c r="BZ96" i="2"/>
  <c r="CC96" i="2" s="1"/>
  <c r="BG96" i="2"/>
  <c r="BL96" i="2"/>
  <c r="BN96" i="2"/>
  <c r="BT97" i="2"/>
  <c r="CA97" i="2"/>
  <c r="BE97" i="2"/>
  <c r="BU97" i="2"/>
  <c r="CB97" i="2"/>
  <c r="BF97" i="2"/>
  <c r="BD97" i="2" s="1"/>
  <c r="BS97" i="2"/>
  <c r="BV97" i="2" s="1"/>
  <c r="BZ97" i="2"/>
  <c r="CC97" i="2" s="1"/>
  <c r="BG97" i="2"/>
  <c r="BL97" i="2"/>
  <c r="BN97" i="2"/>
  <c r="BT98" i="2"/>
  <c r="CA98" i="2"/>
  <c r="BE98" i="2"/>
  <c r="BU98" i="2"/>
  <c r="CB98" i="2"/>
  <c r="BF98" i="2"/>
  <c r="BS98" i="2"/>
  <c r="BV98" i="2" s="1"/>
  <c r="BZ98" i="2"/>
  <c r="CC98" i="2" s="1"/>
  <c r="BG98" i="2"/>
  <c r="BL98" i="2"/>
  <c r="BN98" i="2"/>
  <c r="BT99" i="2"/>
  <c r="CA99" i="2"/>
  <c r="BE99" i="2"/>
  <c r="BU99" i="2"/>
  <c r="CB99" i="2"/>
  <c r="BF99" i="2"/>
  <c r="BD99" i="2" s="1"/>
  <c r="BS99" i="2"/>
  <c r="BV99" i="2" s="1"/>
  <c r="BZ99" i="2"/>
  <c r="CC99" i="2" s="1"/>
  <c r="BG99" i="2"/>
  <c r="BL99" i="2"/>
  <c r="BN99" i="2"/>
  <c r="BT100" i="2"/>
  <c r="CA100" i="2"/>
  <c r="BE100" i="2"/>
  <c r="BF100" i="2"/>
  <c r="BG100" i="2"/>
  <c r="BU100" i="2"/>
  <c r="CB100" i="2"/>
  <c r="BS100" i="2"/>
  <c r="BV100" i="2" s="1"/>
  <c r="BZ100" i="2"/>
  <c r="CC100" i="2" s="1"/>
  <c r="BL100" i="2"/>
  <c r="BN100" i="2"/>
  <c r="BT101" i="2"/>
  <c r="CA101" i="2"/>
  <c r="BE101" i="2"/>
  <c r="BU101" i="2"/>
  <c r="CB101" i="2"/>
  <c r="BF101" i="2"/>
  <c r="BS101" i="2"/>
  <c r="BV101" i="2" s="1"/>
  <c r="BZ101" i="2"/>
  <c r="CC101" i="2" s="1"/>
  <c r="BG101" i="2"/>
  <c r="BL101" i="2"/>
  <c r="BN101" i="2"/>
  <c r="BC102" i="2"/>
  <c r="BT102" i="2"/>
  <c r="CA102" i="2"/>
  <c r="BE102" i="2"/>
  <c r="BU102" i="2"/>
  <c r="CB102" i="2"/>
  <c r="BF102" i="2"/>
  <c r="BS102" i="2"/>
  <c r="BV102" i="2" s="1"/>
  <c r="BZ102" i="2"/>
  <c r="CC102" i="2" s="1"/>
  <c r="BG102" i="2"/>
  <c r="BL102" i="2"/>
  <c r="BN102" i="2"/>
  <c r="BT103" i="2"/>
  <c r="CA103" i="2"/>
  <c r="BE103" i="2"/>
  <c r="BU103" i="2"/>
  <c r="CB103" i="2"/>
  <c r="BF103" i="2"/>
  <c r="BS103" i="2"/>
  <c r="BV103" i="2" s="1"/>
  <c r="BZ103" i="2"/>
  <c r="CC103" i="2" s="1"/>
  <c r="BG103" i="2"/>
  <c r="BL103" i="2"/>
  <c r="BN103" i="2"/>
  <c r="BX94" i="2"/>
  <c r="CE94" i="2"/>
  <c r="BI94" i="2"/>
  <c r="BW94" i="2"/>
  <c r="CD94" i="2"/>
  <c r="BH94" i="2"/>
  <c r="BK94" i="2"/>
  <c r="AJ74" i="2"/>
  <c r="BX95" i="2"/>
  <c r="CE95" i="2"/>
  <c r="BI95" i="2"/>
  <c r="BK95" i="2" s="1"/>
  <c r="BW95" i="2"/>
  <c r="CD95" i="2"/>
  <c r="BH95" i="2"/>
  <c r="BX96" i="2"/>
  <c r="CE96" i="2"/>
  <c r="BI96" i="2"/>
  <c r="BW96" i="2"/>
  <c r="CD96" i="2"/>
  <c r="BH96" i="2"/>
  <c r="BJ96" i="2" s="1"/>
  <c r="BX97" i="2"/>
  <c r="CE97" i="2"/>
  <c r="BI97" i="2"/>
  <c r="BK97" i="2" s="1"/>
  <c r="BW97" i="2"/>
  <c r="CD97" i="2"/>
  <c r="BH97" i="2"/>
  <c r="BX98" i="2"/>
  <c r="CE98" i="2"/>
  <c r="BI98" i="2"/>
  <c r="BW98" i="2"/>
  <c r="CD98" i="2"/>
  <c r="BH98" i="2"/>
  <c r="BJ98" i="2" s="1"/>
  <c r="BK98" i="2"/>
  <c r="BX99" i="2"/>
  <c r="CE99" i="2"/>
  <c r="BI99" i="2"/>
  <c r="BW99" i="2"/>
  <c r="CD99" i="2"/>
  <c r="BH99" i="2"/>
  <c r="BK99" i="2"/>
  <c r="BX100" i="2"/>
  <c r="CE100" i="2"/>
  <c r="BI100" i="2"/>
  <c r="BW100" i="2"/>
  <c r="CD100" i="2"/>
  <c r="BH100" i="2"/>
  <c r="BK100" i="2"/>
  <c r="BX101" i="2"/>
  <c r="CE101" i="2"/>
  <c r="BI101" i="2"/>
  <c r="BK101" i="2" s="1"/>
  <c r="BW101" i="2"/>
  <c r="CD101" i="2"/>
  <c r="BH101" i="2"/>
  <c r="BX102" i="2"/>
  <c r="CE102" i="2"/>
  <c r="BI102" i="2"/>
  <c r="BW102" i="2"/>
  <c r="CD102" i="2"/>
  <c r="BH102" i="2"/>
  <c r="BX103" i="2"/>
  <c r="CE103" i="2"/>
  <c r="BI103" i="2"/>
  <c r="BK103" i="2" s="1"/>
  <c r="BW103" i="2"/>
  <c r="CD103" i="2"/>
  <c r="BH103" i="2"/>
  <c r="AL46" i="1"/>
  <c r="AL48" i="1"/>
  <c r="AM48" i="1" s="1"/>
  <c r="AL49" i="1"/>
  <c r="AM49" i="1" s="1"/>
  <c r="AL50" i="1"/>
  <c r="AM50" i="1" s="1"/>
  <c r="AL51" i="1"/>
  <c r="AM51" i="1" s="1"/>
  <c r="AL52" i="1"/>
  <c r="AM52" i="1" s="1"/>
  <c r="AL53" i="1"/>
  <c r="AL54" i="1"/>
  <c r="AM54" i="1" s="1"/>
  <c r="W59" i="1"/>
  <c r="W60" i="1" s="1"/>
  <c r="W61" i="1" s="1"/>
  <c r="W62" i="1" s="1"/>
  <c r="W63" i="1" s="1"/>
  <c r="W64" i="1" s="1"/>
  <c r="W65" i="1" s="1"/>
  <c r="W66" i="1" s="1"/>
  <c r="W67" i="1" s="1"/>
  <c r="W68" i="1" s="1"/>
  <c r="W69" i="1" s="1"/>
  <c r="W70" i="1" s="1"/>
  <c r="AL63" i="1"/>
  <c r="AM63" i="1" s="1"/>
  <c r="AL65" i="1"/>
  <c r="AM65" i="1" s="1"/>
  <c r="AL66" i="1"/>
  <c r="AL67" i="1"/>
  <c r="AM67" i="1" s="1"/>
  <c r="AL68" i="1"/>
  <c r="AL69" i="1"/>
  <c r="AM69" i="1" s="1"/>
  <c r="AL70" i="1"/>
  <c r="AL81" i="1"/>
  <c r="AM81" i="1" s="1"/>
  <c r="AL82" i="1"/>
  <c r="AL83" i="1"/>
  <c r="AM83" i="1" s="1"/>
  <c r="AL84" i="1"/>
  <c r="AL85" i="1"/>
  <c r="AM85" i="1" s="1"/>
  <c r="AL86" i="1"/>
  <c r="AL95" i="1"/>
  <c r="AL97" i="1"/>
  <c r="AM97" i="1" s="1"/>
  <c r="AL98" i="1"/>
  <c r="AM98" i="1" s="1"/>
  <c r="AL99" i="1"/>
  <c r="AM99" i="1" s="1"/>
  <c r="AL100" i="1"/>
  <c r="AL101" i="1"/>
  <c r="AM101" i="1" s="1"/>
  <c r="AL102" i="1"/>
  <c r="AM102" i="1" s="1"/>
  <c r="AL109" i="1"/>
  <c r="AM109" i="1" s="1"/>
  <c r="AL113" i="1"/>
  <c r="AM113" i="1" s="1"/>
  <c r="AL114" i="1"/>
  <c r="AL115" i="1"/>
  <c r="AM115" i="1" s="1"/>
  <c r="AL116" i="1"/>
  <c r="AM116" i="1" s="1"/>
  <c r="AL117" i="1"/>
  <c r="AM117" i="1" s="1"/>
  <c r="AL118" i="1"/>
  <c r="AM118" i="1" s="1"/>
  <c r="AL123" i="1"/>
  <c r="AM123" i="1" s="1"/>
  <c r="AL127" i="1"/>
  <c r="AM127" i="1" s="1"/>
  <c r="AL129" i="1"/>
  <c r="AM129" i="1" s="1"/>
  <c r="AL130" i="1"/>
  <c r="AM130" i="1" s="1"/>
  <c r="AL131" i="1"/>
  <c r="AM131" i="1" s="1"/>
  <c r="AL132" i="1"/>
  <c r="AM132" i="1" s="1"/>
  <c r="AL133" i="1"/>
  <c r="AM133" i="1" s="1"/>
  <c r="AL134" i="1"/>
  <c r="AL141" i="1"/>
  <c r="AM141" i="1" s="1"/>
  <c r="AL145" i="1"/>
  <c r="AL146" i="1"/>
  <c r="AM146" i="1" s="1"/>
  <c r="AL147" i="1"/>
  <c r="AM147" i="1" s="1"/>
  <c r="AL148" i="1"/>
  <c r="AM148" i="1" s="1"/>
  <c r="AL149" i="1"/>
  <c r="AM149" i="1" s="1"/>
  <c r="AL150" i="1"/>
  <c r="AM150" i="1" s="1"/>
  <c r="AL155" i="1"/>
  <c r="AM155" i="1" s="1"/>
  <c r="AL159" i="1"/>
  <c r="AL161" i="1"/>
  <c r="AM161" i="1" s="1"/>
  <c r="AL162" i="1"/>
  <c r="AM162" i="1" s="1"/>
  <c r="AL163" i="1"/>
  <c r="AM163" i="1" s="1"/>
  <c r="AL164" i="1"/>
  <c r="AL165" i="1"/>
  <c r="AM165" i="1" s="1"/>
  <c r="AL166" i="1"/>
  <c r="AM166" i="1" s="1"/>
  <c r="AL173" i="1"/>
  <c r="AM173" i="1" s="1"/>
  <c r="AL177" i="1"/>
  <c r="AM177" i="1" s="1"/>
  <c r="AL178" i="1"/>
  <c r="AM178" i="1" s="1"/>
  <c r="AL179" i="1"/>
  <c r="AM179" i="1" s="1"/>
  <c r="AL180" i="1"/>
  <c r="AM180" i="1" s="1"/>
  <c r="AL181" i="1"/>
  <c r="AM181" i="1" s="1"/>
  <c r="AL182" i="1"/>
  <c r="AM182" i="1" s="1"/>
  <c r="AL187" i="1"/>
  <c r="AM187" i="1" s="1"/>
  <c r="AL191" i="1"/>
  <c r="AM191" i="1" s="1"/>
  <c r="AL193" i="1"/>
  <c r="AM193" i="1" s="1"/>
  <c r="AL194" i="1"/>
  <c r="AM194" i="1" s="1"/>
  <c r="AL195" i="1"/>
  <c r="AM195" i="1" s="1"/>
  <c r="AL196" i="1"/>
  <c r="AM196" i="1" s="1"/>
  <c r="AL197" i="1"/>
  <c r="AM197" i="1" s="1"/>
  <c r="AL198" i="1"/>
  <c r="AM198" i="1" s="1"/>
  <c r="AL205" i="1"/>
  <c r="AM205" i="1" s="1"/>
  <c r="AL209" i="1"/>
  <c r="AM209" i="1" s="1"/>
  <c r="AL210" i="1"/>
  <c r="AM210" i="1" s="1"/>
  <c r="AL211" i="1"/>
  <c r="AM211" i="1" s="1"/>
  <c r="AL212" i="1"/>
  <c r="AM212" i="1" s="1"/>
  <c r="AL213" i="1"/>
  <c r="AM213" i="1" s="1"/>
  <c r="AL214" i="1"/>
  <c r="AM214" i="1" s="1"/>
  <c r="AL219" i="1"/>
  <c r="AM219" i="1" s="1"/>
  <c r="AL223" i="1"/>
  <c r="AM223" i="1" s="1"/>
  <c r="AL225" i="1"/>
  <c r="AM225" i="1" s="1"/>
  <c r="AL226" i="1"/>
  <c r="AL227" i="1"/>
  <c r="AM227" i="1" s="1"/>
  <c r="AL228" i="1"/>
  <c r="AM228" i="1" s="1"/>
  <c r="AL229" i="1"/>
  <c r="AM229" i="1" s="1"/>
  <c r="AL230" i="1"/>
  <c r="AL237" i="1"/>
  <c r="AM237" i="1" s="1"/>
  <c r="AL241" i="1"/>
  <c r="AM241" i="1" s="1"/>
  <c r="AL242" i="1"/>
  <c r="AM242" i="1" s="1"/>
  <c r="AL243" i="1"/>
  <c r="AM243" i="1" s="1"/>
  <c r="AL244" i="1"/>
  <c r="AM244" i="1" s="1"/>
  <c r="AL245" i="1"/>
  <c r="AM245" i="1" s="1"/>
  <c r="AL246" i="1"/>
  <c r="AM246" i="1" s="1"/>
  <c r="AL251" i="1"/>
  <c r="AM251" i="1" s="1"/>
  <c r="AL254" i="1"/>
  <c r="AL267" i="1"/>
  <c r="AM267" i="1" s="1"/>
  <c r="AL270" i="1"/>
  <c r="AM270" i="1" s="1"/>
  <c r="AL271" i="1"/>
  <c r="AM271" i="1" s="1"/>
  <c r="AL272" i="1"/>
  <c r="AL273" i="1"/>
  <c r="AL274" i="1"/>
  <c r="AL275" i="1"/>
  <c r="AL276" i="1"/>
  <c r="AL277" i="1"/>
  <c r="AL278" i="1"/>
  <c r="AL285" i="1"/>
  <c r="AM285" i="1" s="1"/>
  <c r="AL287" i="1"/>
  <c r="AM287" i="1" s="1"/>
  <c r="AL289" i="1"/>
  <c r="AM289" i="1" s="1"/>
  <c r="AL290" i="1"/>
  <c r="AM290" i="1" s="1"/>
  <c r="AL291" i="1"/>
  <c r="AM291" i="1" s="1"/>
  <c r="AL292" i="1"/>
  <c r="AM292" i="1" s="1"/>
  <c r="AL293" i="1"/>
  <c r="AM293" i="1" s="1"/>
  <c r="AL294" i="1"/>
  <c r="AM294" i="1" s="1"/>
  <c r="AL300" i="1"/>
  <c r="AM300" i="1" s="1"/>
  <c r="AL304" i="1"/>
  <c r="AL305" i="1"/>
  <c r="AM305" i="1" s="1"/>
  <c r="AL306" i="1"/>
  <c r="AM306" i="1" s="1"/>
  <c r="AL307" i="1"/>
  <c r="AM307" i="1" s="1"/>
  <c r="AL308" i="1"/>
  <c r="AL309" i="1"/>
  <c r="AM309" i="1" s="1"/>
  <c r="AL310" i="1"/>
  <c r="AM310" i="1" s="1"/>
  <c r="AL315" i="1"/>
  <c r="AM315" i="1" s="1"/>
  <c r="AL316" i="1"/>
  <c r="AL317" i="1"/>
  <c r="AM317" i="1" s="1"/>
  <c r="AL318" i="1"/>
  <c r="AM318" i="1" s="1"/>
  <c r="AL319" i="1"/>
  <c r="AM319" i="1" s="1"/>
  <c r="AL320" i="1"/>
  <c r="AL321" i="1"/>
  <c r="AM321" i="1" s="1"/>
  <c r="AL322" i="1"/>
  <c r="AM322" i="1" s="1"/>
  <c r="AL323" i="1"/>
  <c r="AM323" i="1" s="1"/>
  <c r="AL324" i="1"/>
  <c r="AL325" i="1"/>
  <c r="AM325" i="1" s="1"/>
  <c r="AL326" i="1"/>
  <c r="AM326" i="1" s="1"/>
  <c r="AL333" i="1"/>
  <c r="AM333" i="1" s="1"/>
  <c r="AL336" i="1"/>
  <c r="AM336" i="1" s="1"/>
  <c r="AL337" i="1"/>
  <c r="AM337" i="1" s="1"/>
  <c r="AL338" i="1"/>
  <c r="AL339" i="1"/>
  <c r="AM339" i="1" s="1"/>
  <c r="AL340" i="1"/>
  <c r="AM340" i="1" s="1"/>
  <c r="AL341" i="1"/>
  <c r="AM341" i="1" s="1"/>
  <c r="AL342" i="1"/>
  <c r="AL348" i="1"/>
  <c r="AM348" i="1" s="1"/>
  <c r="AL352" i="1"/>
  <c r="AL353" i="1"/>
  <c r="AM353" i="1" s="1"/>
  <c r="AL354" i="1"/>
  <c r="AM354" i="1" s="1"/>
  <c r="AL355" i="1"/>
  <c r="AM355" i="1" s="1"/>
  <c r="AL356" i="1"/>
  <c r="AL357" i="1"/>
  <c r="AM357" i="1" s="1"/>
  <c r="AL358" i="1"/>
  <c r="AM358" i="1" s="1"/>
  <c r="AL364" i="1"/>
  <c r="AM364" i="1" s="1"/>
  <c r="AL366" i="1"/>
  <c r="AM366" i="1" s="1"/>
  <c r="AL368" i="1"/>
  <c r="AL369" i="1"/>
  <c r="AL370" i="1"/>
  <c r="AM370" i="1" s="1"/>
  <c r="AL371" i="1"/>
  <c r="AM371" i="1" s="1"/>
  <c r="AL372" i="1"/>
  <c r="AM372" i="1" s="1"/>
  <c r="AL373" i="1"/>
  <c r="AM373" i="1" s="1"/>
  <c r="AL374" i="1"/>
  <c r="AM374" i="1" s="1"/>
  <c r="AL380" i="1"/>
  <c r="AM380" i="1" s="1"/>
  <c r="AL382" i="1"/>
  <c r="AL384" i="1"/>
  <c r="AM384" i="1" s="1"/>
  <c r="AL385" i="1"/>
  <c r="AM385" i="1" s="1"/>
  <c r="AL386" i="1"/>
  <c r="AL387" i="1"/>
  <c r="AM387" i="1" s="1"/>
  <c r="AL388" i="1"/>
  <c r="AM388" i="1" s="1"/>
  <c r="AL389" i="1"/>
  <c r="AM389" i="1" s="1"/>
  <c r="AL390" i="1"/>
  <c r="AM382" i="1"/>
  <c r="AI59" i="1"/>
  <c r="AI64" i="1" s="1"/>
  <c r="AI347" i="1"/>
  <c r="AI352" i="1" s="1"/>
  <c r="AI91" i="1"/>
  <c r="AI96" i="1" s="1"/>
  <c r="AI123" i="1"/>
  <c r="AI128" i="1" s="1"/>
  <c r="AI382" i="1"/>
  <c r="AI155" i="1"/>
  <c r="AI160" i="1" s="1"/>
  <c r="AI187" i="1"/>
  <c r="AI192" i="1" s="1"/>
  <c r="AI222" i="1"/>
  <c r="AI251" i="1"/>
  <c r="AI256" i="1" s="1"/>
  <c r="AI284" i="1"/>
  <c r="AI317" i="1"/>
  <c r="BC57" i="7951"/>
  <c r="BC59" i="7951"/>
  <c r="AO65" i="7951"/>
  <c r="BC64" i="7951"/>
  <c r="AR65" i="7951"/>
  <c r="AP65" i="7951"/>
  <c r="AS65" i="7951"/>
  <c r="BC58" i="7951"/>
  <c r="AQ65" i="7951"/>
  <c r="BC63" i="7951"/>
  <c r="AT65" i="7951"/>
  <c r="AF47" i="7950"/>
  <c r="AF48" i="7950"/>
  <c r="AF49" i="7950"/>
  <c r="AF50" i="7950"/>
  <c r="AF51" i="7950"/>
  <c r="V57" i="7950"/>
  <c r="AK42" i="7952"/>
  <c r="AK43" i="7952"/>
  <c r="AM43" i="7952" s="1"/>
  <c r="AK44" i="7952"/>
  <c r="AL44" i="7952" s="1"/>
  <c r="AK45" i="7952"/>
  <c r="AK46" i="7952"/>
  <c r="AK47" i="7952"/>
  <c r="AL47" i="7952" s="1"/>
  <c r="AK48" i="7952"/>
  <c r="AL48" i="7952" s="1"/>
  <c r="AK49" i="7952"/>
  <c r="AL49" i="7952" s="1"/>
  <c r="AK50" i="7952"/>
  <c r="AL50" i="7952" s="1"/>
  <c r="AK51" i="7952"/>
  <c r="AM51" i="7952" s="1"/>
  <c r="C43" i="7952"/>
  <c r="C44" i="7952" s="1"/>
  <c r="C45" i="7952" s="1"/>
  <c r="C46" i="7952" s="1"/>
  <c r="C47" i="7952" s="1"/>
  <c r="C48" i="7952" s="1"/>
  <c r="C49" i="7952" s="1"/>
  <c r="C50" i="7952" s="1"/>
  <c r="C51" i="7952" s="1"/>
  <c r="C52" i="7952" s="1"/>
  <c r="C53" i="7952" s="1"/>
  <c r="C54" i="7952" s="1"/>
  <c r="C55" i="7952" s="1"/>
  <c r="C56" i="7952" s="1"/>
  <c r="C57" i="7952" s="1"/>
  <c r="C58" i="7952" s="1"/>
  <c r="C59" i="7952" s="1"/>
  <c r="C60" i="7952" s="1"/>
  <c r="C61" i="7952" s="1"/>
  <c r="BC71" i="7951"/>
  <c r="BC72" i="7951"/>
  <c r="BC74" i="7951"/>
  <c r="BC75" i="7951"/>
  <c r="BC76" i="7951"/>
  <c r="T58" i="7952"/>
  <c r="U58" i="7952" s="1"/>
  <c r="D58" i="7952" s="1"/>
  <c r="T59" i="7952"/>
  <c r="U59" i="7952" s="1"/>
  <c r="D59" i="7952" s="1"/>
  <c r="T60" i="7952"/>
  <c r="U60" i="7952" s="1"/>
  <c r="D60" i="7952" s="1"/>
  <c r="T61" i="7952"/>
  <c r="U61" i="7952" s="1"/>
  <c r="D61" i="7952" s="1"/>
  <c r="AY102" i="7949"/>
  <c r="AZ102" i="7949"/>
  <c r="BA102" i="7949"/>
  <c r="AY103" i="7949"/>
  <c r="AZ103" i="7949"/>
  <c r="AX103" i="7949" s="1"/>
  <c r="BA103" i="7949"/>
  <c r="AY104" i="7949"/>
  <c r="AZ104" i="7949"/>
  <c r="BA104" i="7949"/>
  <c r="AY105" i="7949"/>
  <c r="AZ105" i="7949"/>
  <c r="BA105" i="7949"/>
  <c r="AY106" i="7949"/>
  <c r="AZ106" i="7949"/>
  <c r="BA106" i="7949"/>
  <c r="AY107" i="7949"/>
  <c r="AZ107" i="7949"/>
  <c r="AX107" i="7949" s="1"/>
  <c r="BA107" i="7949"/>
  <c r="AY108" i="7949"/>
  <c r="AZ108" i="7949"/>
  <c r="BA108" i="7949"/>
  <c r="AY109" i="7949"/>
  <c r="AZ109" i="7949"/>
  <c r="AX109" i="7949" s="1"/>
  <c r="BA109" i="7949"/>
  <c r="AY110" i="7949"/>
  <c r="AZ110" i="7949"/>
  <c r="BA110" i="7949"/>
  <c r="AY111" i="7949"/>
  <c r="AZ111" i="7949"/>
  <c r="AX111" i="7949" s="1"/>
  <c r="BA111" i="7949"/>
  <c r="E44" i="7948"/>
  <c r="I46" i="7948"/>
  <c r="M46" i="7948"/>
  <c r="E48" i="7948"/>
  <c r="E56" i="7948"/>
  <c r="I58" i="7948"/>
  <c r="M58" i="7948"/>
  <c r="E60" i="7948"/>
  <c r="C41" i="7950"/>
  <c r="D41" i="7950"/>
  <c r="P41" i="7950"/>
  <c r="Q41" i="7950"/>
  <c r="R41" i="7950"/>
  <c r="S41" i="7950"/>
  <c r="AW59" i="1"/>
  <c r="AW60" i="1"/>
  <c r="BM42" i="7950" s="1"/>
  <c r="BM43" i="7950"/>
  <c r="AW62" i="1"/>
  <c r="BM44" i="7950" s="1"/>
  <c r="D57" i="7950"/>
  <c r="P57" i="7950"/>
  <c r="Q57" i="7950"/>
  <c r="R57" i="7950"/>
  <c r="S57" i="7950"/>
  <c r="D73" i="7950"/>
  <c r="P73" i="7950"/>
  <c r="Q73" i="7950"/>
  <c r="R73" i="7950"/>
  <c r="S73" i="7950"/>
  <c r="D89" i="7950"/>
  <c r="P89" i="7950"/>
  <c r="Q89" i="7950"/>
  <c r="R89" i="7950"/>
  <c r="S89" i="7950"/>
  <c r="D105" i="7950"/>
  <c r="P105" i="7950"/>
  <c r="Q105" i="7950"/>
  <c r="R105" i="7950"/>
  <c r="S105" i="7950"/>
  <c r="D121" i="7950"/>
  <c r="P121" i="7950"/>
  <c r="Q121" i="7950"/>
  <c r="R121" i="7950"/>
  <c r="S121" i="7950"/>
  <c r="D137" i="7950"/>
  <c r="P137" i="7950"/>
  <c r="Q137" i="7950"/>
  <c r="R137" i="7950"/>
  <c r="S137" i="7950"/>
  <c r="D153" i="7950"/>
  <c r="P153" i="7950"/>
  <c r="Q153" i="7950"/>
  <c r="R153" i="7950"/>
  <c r="S153" i="7950"/>
  <c r="D169" i="7950"/>
  <c r="P169" i="7950"/>
  <c r="Q169" i="7950"/>
  <c r="R169" i="7950"/>
  <c r="S169" i="7950"/>
  <c r="AH176" i="7950"/>
  <c r="AM129" i="7951"/>
  <c r="AM136" i="7951"/>
  <c r="AM111" i="7951"/>
  <c r="AM118" i="7951"/>
  <c r="AM93" i="7951"/>
  <c r="AM100" i="7951"/>
  <c r="AM75" i="7951"/>
  <c r="AM82" i="7951"/>
  <c r="AA57" i="7951"/>
  <c r="AM57" i="7951"/>
  <c r="AM64" i="7951" s="1"/>
  <c r="AA58" i="7951"/>
  <c r="AA59" i="7951" s="1"/>
  <c r="AA60" i="7951" s="1"/>
  <c r="AA62" i="7951" s="1"/>
  <c r="AA63" i="7951" s="1"/>
  <c r="AA64" i="7951" s="1"/>
  <c r="AA65" i="7951" s="1"/>
  <c r="AA67" i="7951" s="1"/>
  <c r="AA68" i="7951" s="1"/>
  <c r="AA69" i="7951" s="1"/>
  <c r="AA70" i="7951" s="1"/>
  <c r="AM59" i="7951"/>
  <c r="AM94" i="7951"/>
  <c r="AM76" i="7951"/>
  <c r="AM58" i="7951"/>
  <c r="AM112" i="7951"/>
  <c r="AM131" i="7951"/>
  <c r="AM77" i="7951"/>
  <c r="AM60" i="7951"/>
  <c r="AM113" i="7951"/>
  <c r="AM130" i="7951"/>
  <c r="AM95" i="7951"/>
  <c r="AM134" i="7951"/>
  <c r="AM116" i="7951"/>
  <c r="AM98" i="7951"/>
  <c r="AM80" i="7951"/>
  <c r="AM99" i="7951"/>
  <c r="AM81" i="7951"/>
  <c r="AM63" i="7951"/>
  <c r="AM62" i="7951"/>
  <c r="AM135" i="7951"/>
  <c r="AM117" i="7951"/>
  <c r="AW90" i="7949"/>
  <c r="C59" i="7947" s="1"/>
  <c r="I58" i="7947" s="1"/>
  <c r="AW91" i="7949"/>
  <c r="AW92" i="7949"/>
  <c r="AW93" i="7949"/>
  <c r="C62" i="7947" s="1"/>
  <c r="D62" i="7947" s="1"/>
  <c r="AW94" i="7949"/>
  <c r="AW95" i="7949"/>
  <c r="AW96" i="7949"/>
  <c r="AW108" i="7949" s="1"/>
  <c r="AW97" i="7949"/>
  <c r="AW98" i="7949"/>
  <c r="AW99" i="7949"/>
  <c r="AO58" i="7951"/>
  <c r="AR58" i="7951"/>
  <c r="AP58" i="7951"/>
  <c r="AS58" i="7951"/>
  <c r="AQ58" i="7951"/>
  <c r="AT58" i="7951"/>
  <c r="AY124" i="7949"/>
  <c r="AY125" i="7949"/>
  <c r="AY126" i="7949" s="1"/>
  <c r="AY120" i="7949"/>
  <c r="AY121" i="7949" s="1"/>
  <c r="AY116" i="7949"/>
  <c r="AY117" i="7949" s="1"/>
  <c r="AY118" i="7949" s="1"/>
  <c r="AI42" i="7949"/>
  <c r="BB90" i="7949"/>
  <c r="BC90" i="7949"/>
  <c r="BE90" i="7949" s="1"/>
  <c r="BB91" i="7949"/>
  <c r="BC91" i="7949"/>
  <c r="BB92" i="7949"/>
  <c r="BC92" i="7949"/>
  <c r="BB93" i="7949"/>
  <c r="BC93" i="7949"/>
  <c r="BE93" i="7949" s="1"/>
  <c r="BB94" i="7949"/>
  <c r="BC94" i="7949"/>
  <c r="BE94" i="7949" s="1"/>
  <c r="BB95" i="7949"/>
  <c r="BC95" i="7949"/>
  <c r="BE95" i="7949" s="1"/>
  <c r="BB96" i="7949"/>
  <c r="BD96" i="7949" s="1"/>
  <c r="BC96" i="7949"/>
  <c r="BE96" i="7949" s="1"/>
  <c r="BB97" i="7949"/>
  <c r="BC97" i="7949"/>
  <c r="BE97" i="7949" s="1"/>
  <c r="BB98" i="7949"/>
  <c r="BD98" i="7949" s="1"/>
  <c r="BC98" i="7949"/>
  <c r="BE98" i="7949" s="1"/>
  <c r="BB99" i="7949"/>
  <c r="BC99" i="7949"/>
  <c r="BE99" i="7949" s="1"/>
  <c r="AY90" i="7949"/>
  <c r="AZ90" i="7949"/>
  <c r="BA90" i="7949"/>
  <c r="AY91" i="7949"/>
  <c r="AZ91" i="7949"/>
  <c r="BA91" i="7949"/>
  <c r="AY92" i="7949"/>
  <c r="AZ92" i="7949"/>
  <c r="BA92" i="7949"/>
  <c r="AY93" i="7949"/>
  <c r="AZ93" i="7949"/>
  <c r="AX93" i="7949" s="1"/>
  <c r="BA93" i="7949"/>
  <c r="AY94" i="7949"/>
  <c r="AZ94" i="7949"/>
  <c r="BA94" i="7949"/>
  <c r="AY95" i="7949"/>
  <c r="AZ95" i="7949"/>
  <c r="BA95" i="7949"/>
  <c r="AY96" i="7949"/>
  <c r="AZ96" i="7949"/>
  <c r="BA96" i="7949"/>
  <c r="AY97" i="7949"/>
  <c r="AZ97" i="7949"/>
  <c r="AX97" i="7949" s="1"/>
  <c r="BA97" i="7949"/>
  <c r="AY98" i="7949"/>
  <c r="AZ98" i="7949"/>
  <c r="BA98" i="7949"/>
  <c r="AY99" i="7949"/>
  <c r="AZ99" i="7949"/>
  <c r="BA99" i="7949"/>
  <c r="AU90" i="7949"/>
  <c r="AU91" i="7949"/>
  <c r="AU92" i="7949"/>
  <c r="AU93" i="7949"/>
  <c r="AU94" i="7949"/>
  <c r="AU95" i="7949"/>
  <c r="AU96" i="7949"/>
  <c r="AU97" i="7949"/>
  <c r="AU98" i="7949"/>
  <c r="AK189" i="7949" s="1"/>
  <c r="AU99" i="7949"/>
  <c r="AW168" i="7949"/>
  <c r="AW169" i="7949"/>
  <c r="AW170" i="7949"/>
  <c r="AW171" i="7949"/>
  <c r="AW172" i="7949"/>
  <c r="AW173" i="7949"/>
  <c r="AW174" i="7949"/>
  <c r="AW175" i="7949"/>
  <c r="AW176" i="7949"/>
  <c r="AW177" i="7949"/>
  <c r="AI90" i="7949"/>
  <c r="AD68" i="7949"/>
  <c r="AD70" i="7949"/>
  <c r="AD87" i="7949"/>
  <c r="BH90" i="7949"/>
  <c r="BM90" i="7949"/>
  <c r="BN90" i="7949"/>
  <c r="BO90" i="7949"/>
  <c r="BP90" i="7949"/>
  <c r="BQ90" i="7949"/>
  <c r="BR90" i="7949"/>
  <c r="BT90" i="7949"/>
  <c r="BU90" i="7949"/>
  <c r="BV90" i="7949"/>
  <c r="BW90" i="7949"/>
  <c r="BX90" i="7949"/>
  <c r="BY90" i="7949"/>
  <c r="BH91" i="7949"/>
  <c r="BM91" i="7949"/>
  <c r="BN91" i="7949"/>
  <c r="BO91" i="7949"/>
  <c r="BP91" i="7949"/>
  <c r="BQ91" i="7949"/>
  <c r="BR91" i="7949"/>
  <c r="BT91" i="7949"/>
  <c r="BU91" i="7949"/>
  <c r="BV91" i="7949"/>
  <c r="BW91" i="7949"/>
  <c r="BX91" i="7949"/>
  <c r="BY91" i="7949"/>
  <c r="BH92" i="7949"/>
  <c r="BM92" i="7949"/>
  <c r="BN92" i="7949"/>
  <c r="BO92" i="7949"/>
  <c r="BP92" i="7949"/>
  <c r="BQ92" i="7949"/>
  <c r="BR92" i="7949"/>
  <c r="BT92" i="7949"/>
  <c r="BU92" i="7949"/>
  <c r="BV92" i="7949"/>
  <c r="BW92" i="7949"/>
  <c r="BX92" i="7949"/>
  <c r="BY92" i="7949"/>
  <c r="BH93" i="7949"/>
  <c r="BM93" i="7949"/>
  <c r="BN93" i="7949"/>
  <c r="BO93" i="7949"/>
  <c r="BP93" i="7949"/>
  <c r="BQ93" i="7949"/>
  <c r="BR93" i="7949"/>
  <c r="BT93" i="7949"/>
  <c r="BU93" i="7949"/>
  <c r="BV93" i="7949"/>
  <c r="BW93" i="7949"/>
  <c r="BX93" i="7949"/>
  <c r="BY93" i="7949"/>
  <c r="BH94" i="7949"/>
  <c r="BM94" i="7949"/>
  <c r="BN94" i="7949"/>
  <c r="BO94" i="7949"/>
  <c r="BP94" i="7949"/>
  <c r="BQ94" i="7949"/>
  <c r="BR94" i="7949"/>
  <c r="BT94" i="7949"/>
  <c r="BU94" i="7949"/>
  <c r="BV94" i="7949"/>
  <c r="BW94" i="7949"/>
  <c r="BX94" i="7949"/>
  <c r="BY94" i="7949"/>
  <c r="BH95" i="7949"/>
  <c r="BM95" i="7949"/>
  <c r="BN95" i="7949"/>
  <c r="BO95" i="7949"/>
  <c r="BP95" i="7949"/>
  <c r="BQ95" i="7949"/>
  <c r="BR95" i="7949"/>
  <c r="BT95" i="7949"/>
  <c r="BU95" i="7949"/>
  <c r="BV95" i="7949"/>
  <c r="BW95" i="7949"/>
  <c r="BX95" i="7949"/>
  <c r="BY95" i="7949"/>
  <c r="BH96" i="7949"/>
  <c r="BM96" i="7949"/>
  <c r="BN96" i="7949"/>
  <c r="BO96" i="7949"/>
  <c r="BP96" i="7949"/>
  <c r="BQ96" i="7949"/>
  <c r="BR96" i="7949"/>
  <c r="BT96" i="7949"/>
  <c r="BU96" i="7949"/>
  <c r="BV96" i="7949"/>
  <c r="BW96" i="7949"/>
  <c r="BX96" i="7949"/>
  <c r="BY96" i="7949"/>
  <c r="BH97" i="7949"/>
  <c r="BM97" i="7949"/>
  <c r="BN97" i="7949"/>
  <c r="BO97" i="7949"/>
  <c r="BP97" i="7949"/>
  <c r="BQ97" i="7949"/>
  <c r="BR97" i="7949"/>
  <c r="BT97" i="7949"/>
  <c r="BU97" i="7949"/>
  <c r="BV97" i="7949"/>
  <c r="BW97" i="7949"/>
  <c r="BX97" i="7949"/>
  <c r="BY97" i="7949"/>
  <c r="BH98" i="7949"/>
  <c r="BM98" i="7949"/>
  <c r="BN98" i="7949"/>
  <c r="BO98" i="7949"/>
  <c r="BP98" i="7949"/>
  <c r="BQ98" i="7949"/>
  <c r="BR98" i="7949"/>
  <c r="BT98" i="7949"/>
  <c r="BU98" i="7949"/>
  <c r="BV98" i="7949"/>
  <c r="BW98" i="7949"/>
  <c r="BX98" i="7949"/>
  <c r="BY98" i="7949"/>
  <c r="BH99" i="7949"/>
  <c r="BM99" i="7949"/>
  <c r="BN99" i="7949"/>
  <c r="BO99" i="7949"/>
  <c r="BP99" i="7949"/>
  <c r="BQ99" i="7949"/>
  <c r="BR99" i="7949"/>
  <c r="BT99" i="7949"/>
  <c r="BU99" i="7949"/>
  <c r="BV99" i="7949"/>
  <c r="BW99" i="7949"/>
  <c r="BX99" i="7949"/>
  <c r="BY99" i="7949"/>
  <c r="AU102" i="7949"/>
  <c r="AU103" i="7949"/>
  <c r="AU104" i="7949"/>
  <c r="AU105" i="7949"/>
  <c r="AU106" i="7949"/>
  <c r="AU107" i="7949"/>
  <c r="AU108" i="7949"/>
  <c r="AU109" i="7949"/>
  <c r="AU110" i="7949"/>
  <c r="AU111" i="7949"/>
  <c r="BB102" i="7949"/>
  <c r="BC102" i="7949"/>
  <c r="BH102" i="7949"/>
  <c r="BM102" i="7949"/>
  <c r="BN102" i="7949"/>
  <c r="BO102" i="7949"/>
  <c r="BP102" i="7949"/>
  <c r="BQ102" i="7949"/>
  <c r="BR102" i="7949"/>
  <c r="BT102" i="7949"/>
  <c r="BU102" i="7949"/>
  <c r="BV102" i="7949"/>
  <c r="BW102" i="7949"/>
  <c r="BX102" i="7949"/>
  <c r="BY102" i="7949"/>
  <c r="BB103" i="7949"/>
  <c r="BC103" i="7949"/>
  <c r="BE103" i="7949" s="1"/>
  <c r="BH103" i="7949"/>
  <c r="BM103" i="7949"/>
  <c r="BN103" i="7949"/>
  <c r="BO103" i="7949"/>
  <c r="BP103" i="7949"/>
  <c r="BQ103" i="7949"/>
  <c r="BR103" i="7949"/>
  <c r="BT103" i="7949"/>
  <c r="BU103" i="7949"/>
  <c r="BV103" i="7949"/>
  <c r="BW103" i="7949"/>
  <c r="BX103" i="7949"/>
  <c r="BY103" i="7949"/>
  <c r="BB104" i="7949"/>
  <c r="BC104" i="7949"/>
  <c r="BH104" i="7949"/>
  <c r="BM104" i="7949"/>
  <c r="BN104" i="7949"/>
  <c r="BO104" i="7949"/>
  <c r="BP104" i="7949"/>
  <c r="BQ104" i="7949"/>
  <c r="BR104" i="7949"/>
  <c r="BT104" i="7949"/>
  <c r="BU104" i="7949"/>
  <c r="BV104" i="7949"/>
  <c r="BW104" i="7949"/>
  <c r="BX104" i="7949"/>
  <c r="BY104" i="7949"/>
  <c r="BB105" i="7949"/>
  <c r="BC105" i="7949"/>
  <c r="BE105" i="7949" s="1"/>
  <c r="BH105" i="7949"/>
  <c r="BM105" i="7949"/>
  <c r="BN105" i="7949"/>
  <c r="BO105" i="7949"/>
  <c r="BP105" i="7949"/>
  <c r="BQ105" i="7949"/>
  <c r="BR105" i="7949"/>
  <c r="BT105" i="7949"/>
  <c r="BU105" i="7949"/>
  <c r="BV105" i="7949"/>
  <c r="BW105" i="7949"/>
  <c r="BX105" i="7949"/>
  <c r="BY105" i="7949"/>
  <c r="BB106" i="7949"/>
  <c r="BC106" i="7949"/>
  <c r="BH106" i="7949"/>
  <c r="BM106" i="7949"/>
  <c r="BN106" i="7949"/>
  <c r="BO106" i="7949"/>
  <c r="BP106" i="7949"/>
  <c r="BQ106" i="7949"/>
  <c r="BR106" i="7949"/>
  <c r="BT106" i="7949"/>
  <c r="BU106" i="7949"/>
  <c r="BV106" i="7949"/>
  <c r="BW106" i="7949"/>
  <c r="BX106" i="7949"/>
  <c r="BY106" i="7949"/>
  <c r="BB107" i="7949"/>
  <c r="BC107" i="7949"/>
  <c r="BH107" i="7949"/>
  <c r="BM107" i="7949"/>
  <c r="BN107" i="7949"/>
  <c r="BO107" i="7949"/>
  <c r="BP107" i="7949"/>
  <c r="BQ107" i="7949"/>
  <c r="BR107" i="7949"/>
  <c r="BT107" i="7949"/>
  <c r="BU107" i="7949"/>
  <c r="BV107" i="7949"/>
  <c r="BW107" i="7949"/>
  <c r="BX107" i="7949"/>
  <c r="BY107" i="7949"/>
  <c r="BB108" i="7949"/>
  <c r="BC108" i="7949"/>
  <c r="BH108" i="7949"/>
  <c r="BM108" i="7949"/>
  <c r="BN108" i="7949"/>
  <c r="BO108" i="7949"/>
  <c r="BP108" i="7949"/>
  <c r="BQ108" i="7949"/>
  <c r="BR108" i="7949"/>
  <c r="BT108" i="7949"/>
  <c r="BU108" i="7949"/>
  <c r="BV108" i="7949"/>
  <c r="BW108" i="7949"/>
  <c r="BX108" i="7949"/>
  <c r="BY108" i="7949"/>
  <c r="BB109" i="7949"/>
  <c r="BC109" i="7949"/>
  <c r="BE109" i="7949" s="1"/>
  <c r="BH109" i="7949"/>
  <c r="BM109" i="7949"/>
  <c r="BN109" i="7949"/>
  <c r="BO109" i="7949"/>
  <c r="BP109" i="7949"/>
  <c r="BQ109" i="7949"/>
  <c r="BR109" i="7949"/>
  <c r="BT109" i="7949"/>
  <c r="BU109" i="7949"/>
  <c r="BV109" i="7949"/>
  <c r="BW109" i="7949"/>
  <c r="BX109" i="7949"/>
  <c r="BY109" i="7949"/>
  <c r="BB110" i="7949"/>
  <c r="BC110" i="7949"/>
  <c r="BE110" i="7949" s="1"/>
  <c r="BH110" i="7949"/>
  <c r="BM110" i="7949"/>
  <c r="BN110" i="7949"/>
  <c r="BO110" i="7949"/>
  <c r="BP110" i="7949"/>
  <c r="BQ110" i="7949"/>
  <c r="BR110" i="7949"/>
  <c r="BT110" i="7949"/>
  <c r="BU110" i="7949"/>
  <c r="BV110" i="7949"/>
  <c r="BW110" i="7949"/>
  <c r="BX110" i="7949"/>
  <c r="BY110" i="7949"/>
  <c r="BB111" i="7949"/>
  <c r="BC111" i="7949"/>
  <c r="BH111" i="7949"/>
  <c r="BM111" i="7949"/>
  <c r="BN111" i="7949"/>
  <c r="BO111" i="7949"/>
  <c r="BP111" i="7949"/>
  <c r="BQ111" i="7949"/>
  <c r="BR111" i="7949"/>
  <c r="BT111" i="7949"/>
  <c r="BU111" i="7949"/>
  <c r="BV111" i="7949"/>
  <c r="BW111" i="7949"/>
  <c r="BX111" i="7949"/>
  <c r="BY111" i="7949"/>
  <c r="AW181" i="7949"/>
  <c r="AH181" i="7949" s="1"/>
  <c r="BC181" i="7949"/>
  <c r="BE181" i="7949" s="1"/>
  <c r="BB181" i="7949"/>
  <c r="BD181" i="7949" s="1"/>
  <c r="AS181" i="7949" s="1"/>
  <c r="BC182" i="7949"/>
  <c r="BE182" i="7949" s="1"/>
  <c r="AW182" i="7949"/>
  <c r="AH182" i="7949" s="1"/>
  <c r="BB182" i="7949"/>
  <c r="BC183" i="7949"/>
  <c r="BE183" i="7949" s="1"/>
  <c r="AW183" i="7949"/>
  <c r="AH183" i="7949" s="1"/>
  <c r="BB183" i="7949"/>
  <c r="BD183" i="7949" s="1"/>
  <c r="BC184" i="7949"/>
  <c r="BE184" i="7949" s="1"/>
  <c r="AW184" i="7949"/>
  <c r="BB184" i="7949"/>
  <c r="BC185" i="7949"/>
  <c r="BE185" i="7949" s="1"/>
  <c r="AW185" i="7949"/>
  <c r="AH185" i="7949" s="1"/>
  <c r="BB185" i="7949"/>
  <c r="BD185" i="7949" s="1"/>
  <c r="BC186" i="7949"/>
  <c r="BE186" i="7949" s="1"/>
  <c r="AW186" i="7949"/>
  <c r="AS186" i="7949" s="1"/>
  <c r="BB186" i="7949"/>
  <c r="BD186" i="7949" s="1"/>
  <c r="BC187" i="7949"/>
  <c r="AW187" i="7949"/>
  <c r="AH187" i="7949" s="1"/>
  <c r="BB187" i="7949"/>
  <c r="BD187" i="7949" s="1"/>
  <c r="BC188" i="7949"/>
  <c r="AW188" i="7949"/>
  <c r="BB188" i="7949"/>
  <c r="BD188" i="7949" s="1"/>
  <c r="BC189" i="7949"/>
  <c r="BE189" i="7949" s="1"/>
  <c r="AW189" i="7949"/>
  <c r="AH189" i="7949" s="1"/>
  <c r="BB189" i="7949"/>
  <c r="BD189" i="7949" s="1"/>
  <c r="BC190" i="7949"/>
  <c r="BE190" i="7949" s="1"/>
  <c r="AW190" i="7949"/>
  <c r="BB190" i="7949"/>
  <c r="AY181" i="7949"/>
  <c r="AZ181" i="7949"/>
  <c r="BA181" i="7949"/>
  <c r="BH181" i="7949"/>
  <c r="BM181" i="7949"/>
  <c r="BN181" i="7949"/>
  <c r="BO181" i="7949"/>
  <c r="BP181" i="7949"/>
  <c r="BQ181" i="7949"/>
  <c r="BR181" i="7949"/>
  <c r="BT181" i="7949"/>
  <c r="BU181" i="7949"/>
  <c r="BV181" i="7949"/>
  <c r="BW181" i="7949"/>
  <c r="BX181" i="7949"/>
  <c r="BY181" i="7949"/>
  <c r="AY182" i="7949"/>
  <c r="AZ182" i="7949"/>
  <c r="BA182" i="7949"/>
  <c r="BH182" i="7949"/>
  <c r="BM182" i="7949"/>
  <c r="BN182" i="7949"/>
  <c r="BO182" i="7949"/>
  <c r="BP182" i="7949"/>
  <c r="BQ182" i="7949"/>
  <c r="BR182" i="7949"/>
  <c r="BT182" i="7949"/>
  <c r="BU182" i="7949"/>
  <c r="BV182" i="7949"/>
  <c r="BW182" i="7949"/>
  <c r="BX182" i="7949"/>
  <c r="BY182" i="7949"/>
  <c r="AY183" i="7949"/>
  <c r="AZ183" i="7949"/>
  <c r="BA183" i="7949"/>
  <c r="BH183" i="7949"/>
  <c r="BM183" i="7949"/>
  <c r="BN183" i="7949"/>
  <c r="BO183" i="7949"/>
  <c r="BP183" i="7949"/>
  <c r="BQ183" i="7949"/>
  <c r="BR183" i="7949"/>
  <c r="BT183" i="7949"/>
  <c r="BU183" i="7949"/>
  <c r="BV183" i="7949"/>
  <c r="BW183" i="7949"/>
  <c r="BX183" i="7949"/>
  <c r="BY183" i="7949"/>
  <c r="AY184" i="7949"/>
  <c r="AZ184" i="7949"/>
  <c r="BA184" i="7949"/>
  <c r="BH184" i="7949"/>
  <c r="BM184" i="7949"/>
  <c r="BN184" i="7949"/>
  <c r="BO184" i="7949"/>
  <c r="BP184" i="7949"/>
  <c r="BQ184" i="7949"/>
  <c r="BR184" i="7949"/>
  <c r="BT184" i="7949"/>
  <c r="BU184" i="7949"/>
  <c r="BV184" i="7949"/>
  <c r="BW184" i="7949"/>
  <c r="BX184" i="7949"/>
  <c r="BY184" i="7949"/>
  <c r="AY185" i="7949"/>
  <c r="AZ185" i="7949"/>
  <c r="BA185" i="7949"/>
  <c r="BH185" i="7949"/>
  <c r="BM185" i="7949"/>
  <c r="BN185" i="7949"/>
  <c r="BO185" i="7949"/>
  <c r="BP185" i="7949"/>
  <c r="BQ185" i="7949"/>
  <c r="BR185" i="7949"/>
  <c r="BT185" i="7949"/>
  <c r="BU185" i="7949"/>
  <c r="BV185" i="7949"/>
  <c r="BW185" i="7949"/>
  <c r="BX185" i="7949"/>
  <c r="BY185" i="7949"/>
  <c r="AY186" i="7949"/>
  <c r="AZ186" i="7949"/>
  <c r="BA186" i="7949"/>
  <c r="BH186" i="7949"/>
  <c r="BM186" i="7949"/>
  <c r="BN186" i="7949"/>
  <c r="BO186" i="7949"/>
  <c r="BP186" i="7949"/>
  <c r="BQ186" i="7949"/>
  <c r="BR186" i="7949"/>
  <c r="BT186" i="7949"/>
  <c r="BU186" i="7949"/>
  <c r="BV186" i="7949"/>
  <c r="BW186" i="7949"/>
  <c r="BX186" i="7949"/>
  <c r="BY186" i="7949"/>
  <c r="AY187" i="7949"/>
  <c r="AZ187" i="7949"/>
  <c r="BA187" i="7949"/>
  <c r="BH187" i="7949"/>
  <c r="BM187" i="7949"/>
  <c r="BN187" i="7949"/>
  <c r="BO187" i="7949"/>
  <c r="BP187" i="7949"/>
  <c r="BQ187" i="7949"/>
  <c r="BR187" i="7949"/>
  <c r="BT187" i="7949"/>
  <c r="BU187" i="7949"/>
  <c r="BV187" i="7949"/>
  <c r="BW187" i="7949"/>
  <c r="BX187" i="7949"/>
  <c r="BY187" i="7949"/>
  <c r="AY188" i="7949"/>
  <c r="AZ188" i="7949"/>
  <c r="BA188" i="7949"/>
  <c r="BH188" i="7949"/>
  <c r="BM188" i="7949"/>
  <c r="BN188" i="7949"/>
  <c r="BO188" i="7949"/>
  <c r="BP188" i="7949"/>
  <c r="BQ188" i="7949"/>
  <c r="BR188" i="7949"/>
  <c r="BT188" i="7949"/>
  <c r="BU188" i="7949"/>
  <c r="BV188" i="7949"/>
  <c r="BW188" i="7949"/>
  <c r="BX188" i="7949"/>
  <c r="BY188" i="7949"/>
  <c r="AY189" i="7949"/>
  <c r="AZ189" i="7949"/>
  <c r="BA189" i="7949"/>
  <c r="BH189" i="7949"/>
  <c r="BM189" i="7949"/>
  <c r="BN189" i="7949"/>
  <c r="BO189" i="7949"/>
  <c r="BP189" i="7949"/>
  <c r="BQ189" i="7949"/>
  <c r="BR189" i="7949"/>
  <c r="BT189" i="7949"/>
  <c r="BU189" i="7949"/>
  <c r="BV189" i="7949"/>
  <c r="BW189" i="7949"/>
  <c r="BX189" i="7949"/>
  <c r="BY189" i="7949"/>
  <c r="AY190" i="7949"/>
  <c r="AZ190" i="7949"/>
  <c r="BA190" i="7949"/>
  <c r="BH190" i="7949"/>
  <c r="BM190" i="7949"/>
  <c r="BN190" i="7949"/>
  <c r="BO190" i="7949"/>
  <c r="BP190" i="7949"/>
  <c r="BQ190" i="7949"/>
  <c r="BR190" i="7949"/>
  <c r="BT190" i="7949"/>
  <c r="BU190" i="7949"/>
  <c r="BV190" i="7949"/>
  <c r="BW190" i="7949"/>
  <c r="BX190" i="7949"/>
  <c r="BY190" i="7949"/>
  <c r="H42" i="7951"/>
  <c r="J42" i="7951"/>
  <c r="H43" i="7951"/>
  <c r="J43" i="7951"/>
  <c r="H44" i="7951"/>
  <c r="J44" i="7951"/>
  <c r="H45" i="7951"/>
  <c r="J45" i="7951"/>
  <c r="H46" i="7951"/>
  <c r="J46" i="7951"/>
  <c r="H47" i="7951"/>
  <c r="G48" i="7951"/>
  <c r="J48" i="7951"/>
  <c r="G49" i="7951"/>
  <c r="J49" i="7951"/>
  <c r="G50" i="7951"/>
  <c r="J50" i="7951"/>
  <c r="G51" i="7951"/>
  <c r="J51" i="7951"/>
  <c r="I55" i="7951"/>
  <c r="BH66" i="7951"/>
  <c r="BH65" i="7951"/>
  <c r="BH64" i="7951"/>
  <c r="BH63" i="7951"/>
  <c r="BH62" i="7951"/>
  <c r="BH61" i="7951"/>
  <c r="BH60" i="7951"/>
  <c r="BH59" i="7951"/>
  <c r="BH58" i="7951"/>
  <c r="BH57" i="7951"/>
  <c r="BG57" i="7951"/>
  <c r="AM65" i="7951"/>
  <c r="BC65" i="7951"/>
  <c r="BC66" i="7951"/>
  <c r="AM67" i="7951"/>
  <c r="AM68" i="7951"/>
  <c r="AM69" i="7951"/>
  <c r="BH78" i="7951"/>
  <c r="BH77" i="7951"/>
  <c r="BH76" i="7951"/>
  <c r="BH75" i="7951"/>
  <c r="BH74" i="7951"/>
  <c r="BH73" i="7951"/>
  <c r="BH72" i="7951"/>
  <c r="BH71" i="7951"/>
  <c r="BH70" i="7951"/>
  <c r="BH69" i="7951"/>
  <c r="BG69" i="7951" s="1"/>
  <c r="AM70" i="7951"/>
  <c r="AV73" i="7951"/>
  <c r="BC77" i="7951"/>
  <c r="AM78" i="7951"/>
  <c r="BC78" i="7951"/>
  <c r="BC81" i="7951"/>
  <c r="BH90" i="7951"/>
  <c r="BH89" i="7951"/>
  <c r="BH88" i="7951"/>
  <c r="BH87" i="7951"/>
  <c r="BH86" i="7951"/>
  <c r="BH85" i="7951"/>
  <c r="BH84" i="7951"/>
  <c r="BH83" i="7951"/>
  <c r="BH82" i="7951"/>
  <c r="BH81" i="7951"/>
  <c r="BG81" i="7951" s="1"/>
  <c r="BC82" i="7951"/>
  <c r="AM83" i="7951"/>
  <c r="BC83" i="7951"/>
  <c r="BC84" i="7951"/>
  <c r="AM85" i="7951"/>
  <c r="BC85" i="7951"/>
  <c r="AM86" i="7951"/>
  <c r="BC86" i="7951"/>
  <c r="AM87" i="7951"/>
  <c r="BC87" i="7951"/>
  <c r="AM88" i="7951"/>
  <c r="BC88" i="7951"/>
  <c r="BC89" i="7951"/>
  <c r="BC90" i="7951"/>
  <c r="M91" i="7951"/>
  <c r="AM96" i="7951"/>
  <c r="AM101" i="7951"/>
  <c r="AM103" i="7951"/>
  <c r="AM104" i="7951"/>
  <c r="AM105" i="7951"/>
  <c r="AM106" i="7951"/>
  <c r="AM114" i="7951"/>
  <c r="AM119" i="7951"/>
  <c r="AM121" i="7951"/>
  <c r="AM122" i="7951"/>
  <c r="AM123" i="7951"/>
  <c r="AM124" i="7951"/>
  <c r="M127" i="7951"/>
  <c r="AM132" i="7951"/>
  <c r="AM137" i="7951"/>
  <c r="AM139" i="7951"/>
  <c r="AM140" i="7951"/>
  <c r="AM141" i="7951"/>
  <c r="AM142" i="7951"/>
  <c r="C42" i="3"/>
  <c r="C43" i="3"/>
  <c r="O41" i="3" s="1"/>
  <c r="C44" i="3"/>
  <c r="C45" i="3"/>
  <c r="AA41" i="3" s="1"/>
  <c r="C46" i="3"/>
  <c r="C47" i="3"/>
  <c r="AM41" i="3" s="1"/>
  <c r="C48" i="3"/>
  <c r="AS41" i="3" s="1"/>
  <c r="C49" i="3"/>
  <c r="AY41" i="3" s="1"/>
  <c r="C50" i="3"/>
  <c r="C51" i="3"/>
  <c r="BK41" i="3" s="1"/>
  <c r="C52" i="3"/>
  <c r="BQ41" i="3" s="1"/>
  <c r="AI363" i="1"/>
  <c r="AI368" i="1" s="1"/>
  <c r="AI334" i="1"/>
  <c r="AI267" i="1"/>
  <c r="AI272" i="1"/>
  <c r="AI238" i="1"/>
  <c r="AI221" i="1"/>
  <c r="W75" i="1"/>
  <c r="W76" i="1" s="1"/>
  <c r="W77" i="1" s="1"/>
  <c r="W78" i="1" s="1"/>
  <c r="W79" i="1" s="1"/>
  <c r="W80" i="1" s="1"/>
  <c r="W81" i="1" s="1"/>
  <c r="W82" i="1" s="1"/>
  <c r="W83" i="1" s="1"/>
  <c r="W84" i="1" s="1"/>
  <c r="W85" i="1" s="1"/>
  <c r="W86" i="1" s="1"/>
  <c r="AI77" i="1"/>
  <c r="AI143" i="1"/>
  <c r="AI236" i="1"/>
  <c r="AI171" i="1"/>
  <c r="AI176" i="1" s="1"/>
  <c r="AI253" i="1"/>
  <c r="AI255" i="1"/>
  <c r="AI109" i="1"/>
  <c r="AI269" i="1"/>
  <c r="AI207" i="1"/>
  <c r="AI301" i="1"/>
  <c r="AI285" i="1"/>
  <c r="AI139" i="1"/>
  <c r="AI144" i="1"/>
  <c r="AI158" i="1"/>
  <c r="AI237" i="1"/>
  <c r="AI43" i="1"/>
  <c r="AI48" i="1"/>
  <c r="AI331" i="1"/>
  <c r="AI336" i="1"/>
  <c r="AI381" i="1"/>
  <c r="AI124" i="1"/>
  <c r="AI299" i="1"/>
  <c r="AI304" i="1"/>
  <c r="AI348" i="1"/>
  <c r="AI190" i="1"/>
  <c r="AI172" i="1"/>
  <c r="AI315" i="1"/>
  <c r="AI320" i="1" s="1"/>
  <c r="AI62" i="1"/>
  <c r="AI46" i="1"/>
  <c r="AI219" i="1"/>
  <c r="AI224" i="1" s="1"/>
  <c r="AI140" i="1"/>
  <c r="AI174" i="1"/>
  <c r="AI159" i="1"/>
  <c r="AI332" i="1"/>
  <c r="AI316" i="1"/>
  <c r="AI283" i="1"/>
  <c r="AI288" i="1" s="1"/>
  <c r="AI95" i="1"/>
  <c r="AI254" i="1"/>
  <c r="AI239" i="1"/>
  <c r="AI45" i="1"/>
  <c r="AI107" i="1"/>
  <c r="AI112" i="1" s="1"/>
  <c r="AI205" i="1"/>
  <c r="AI364" i="1"/>
  <c r="AI268" i="1"/>
  <c r="AI76" i="1"/>
  <c r="AI173" i="1"/>
  <c r="AI61" i="1"/>
  <c r="AI78" i="1"/>
  <c r="AI141" i="1"/>
  <c r="AI367" i="1"/>
  <c r="AI300" i="1"/>
  <c r="AI319" i="1"/>
  <c r="AI203" i="1"/>
  <c r="AI208" i="1" s="1"/>
  <c r="AI335" i="1"/>
  <c r="AI44" i="1"/>
  <c r="AI252" i="1"/>
  <c r="AI333" i="1"/>
  <c r="AI286" i="1"/>
  <c r="AI235" i="1"/>
  <c r="AI240" i="1" s="1"/>
  <c r="AI365" i="1"/>
  <c r="AI270" i="1"/>
  <c r="AI350" i="1"/>
  <c r="AI204" i="1"/>
  <c r="AI60" i="1"/>
  <c r="AI108" i="1"/>
  <c r="AI92" i="1"/>
  <c r="AI111" i="1"/>
  <c r="AI366" i="1"/>
  <c r="AI75" i="1"/>
  <c r="AI80" i="1"/>
  <c r="AI206" i="1"/>
  <c r="AI110" i="1"/>
  <c r="AI303" i="1"/>
  <c r="AI175" i="1"/>
  <c r="AI220" i="1"/>
  <c r="AI93" i="1"/>
  <c r="AI302" i="1"/>
  <c r="AI156" i="1"/>
  <c r="AI188" i="1"/>
  <c r="AI142" i="1"/>
  <c r="AI127" i="1"/>
  <c r="AI79" i="1"/>
  <c r="AI383" i="1"/>
  <c r="AI271" i="1"/>
  <c r="AI189" i="1"/>
  <c r="AI287" i="1"/>
  <c r="AI351" i="1"/>
  <c r="AI223" i="1"/>
  <c r="AI125" i="1"/>
  <c r="AI191" i="1"/>
  <c r="AI94" i="1"/>
  <c r="AI380" i="1"/>
  <c r="AI157" i="1"/>
  <c r="AI349" i="1"/>
  <c r="AI47" i="1"/>
  <c r="AI318" i="1"/>
  <c r="AI63" i="1"/>
  <c r="AI379" i="1"/>
  <c r="AI384" i="1" s="1"/>
  <c r="AI126" i="1"/>
  <c r="C56" i="3"/>
  <c r="I55" i="3" s="1"/>
  <c r="C57" i="3"/>
  <c r="O55" i="3" s="1"/>
  <c r="C58" i="3"/>
  <c r="C59" i="3"/>
  <c r="AA55" i="3" s="1"/>
  <c r="C60" i="3"/>
  <c r="C61" i="3"/>
  <c r="AM55" i="3" s="1"/>
  <c r="C62" i="3"/>
  <c r="C63" i="3"/>
  <c r="AY55" i="3" s="1"/>
  <c r="C64" i="3"/>
  <c r="C65" i="3"/>
  <c r="BK55" i="3" s="1"/>
  <c r="BC149" i="2"/>
  <c r="AN149" i="2" s="1"/>
  <c r="BC153" i="2"/>
  <c r="BC157" i="2"/>
  <c r="BC161" i="2"/>
  <c r="AN161" i="2" s="1"/>
  <c r="BC165" i="2"/>
  <c r="AN165" i="2" s="1"/>
  <c r="BC186" i="2"/>
  <c r="AN186" i="2" s="1"/>
  <c r="BE186" i="2"/>
  <c r="BF186" i="2"/>
  <c r="BG186" i="2"/>
  <c r="BL186" i="2"/>
  <c r="BN186" i="2"/>
  <c r="BE187" i="2"/>
  <c r="BF187" i="2"/>
  <c r="BG187" i="2"/>
  <c r="BL187" i="2"/>
  <c r="BN187" i="2"/>
  <c r="BE188" i="2"/>
  <c r="BF188" i="2"/>
  <c r="BG188" i="2"/>
  <c r="BL188" i="2"/>
  <c r="BN188" i="2"/>
  <c r="BE189" i="2"/>
  <c r="BF189" i="2"/>
  <c r="BG189" i="2"/>
  <c r="BL189" i="2"/>
  <c r="BN189" i="2"/>
  <c r="BE190" i="2"/>
  <c r="BF190" i="2"/>
  <c r="BG190" i="2"/>
  <c r="BL190" i="2"/>
  <c r="BN190" i="2"/>
  <c r="BC191" i="2"/>
  <c r="AN191" i="2" s="1"/>
  <c r="BE191" i="2"/>
  <c r="BF191" i="2"/>
  <c r="BG191" i="2"/>
  <c r="BL191" i="2"/>
  <c r="BN191" i="2"/>
  <c r="BC192" i="2"/>
  <c r="AN192" i="2" s="1"/>
  <c r="BE192" i="2"/>
  <c r="BF192" i="2"/>
  <c r="BG192" i="2"/>
  <c r="BL192" i="2"/>
  <c r="BN192" i="2"/>
  <c r="BC193" i="2"/>
  <c r="AN193" i="2" s="1"/>
  <c r="BE193" i="2"/>
  <c r="BF193" i="2"/>
  <c r="BG193" i="2"/>
  <c r="BL193" i="2"/>
  <c r="BN193" i="2"/>
  <c r="BC194" i="2"/>
  <c r="AN194" i="2" s="1"/>
  <c r="BE194" i="2"/>
  <c r="BF194" i="2"/>
  <c r="BG194" i="2"/>
  <c r="BL194" i="2"/>
  <c r="BN194" i="2"/>
  <c r="BE195" i="2"/>
  <c r="BF195" i="2"/>
  <c r="BD195" i="2" s="1"/>
  <c r="BG195" i="2"/>
  <c r="BL195" i="2"/>
  <c r="BN195" i="2"/>
  <c r="CK671" i="2"/>
  <c r="CK679" i="2"/>
  <c r="AO42" i="2"/>
  <c r="FI44" i="2"/>
  <c r="FI45" i="2"/>
  <c r="FI46" i="2"/>
  <c r="FI47" i="2"/>
  <c r="FI48" i="2"/>
  <c r="FI49" i="2"/>
  <c r="AN157" i="2"/>
  <c r="AC67" i="2"/>
  <c r="FI50" i="2"/>
  <c r="AJ51" i="2"/>
  <c r="FI51" i="2"/>
  <c r="AC69" i="2"/>
  <c r="FI52" i="2"/>
  <c r="AC70" i="2"/>
  <c r="FI53" i="2"/>
  <c r="AC54" i="2"/>
  <c r="AC71" i="2"/>
  <c r="AC72" i="2"/>
  <c r="AC56" i="2"/>
  <c r="AC57" i="2"/>
  <c r="AC58" i="2"/>
  <c r="FI58" i="2"/>
  <c r="AC59" i="2"/>
  <c r="AJ59" i="2"/>
  <c r="FI59" i="2"/>
  <c r="AC60" i="2"/>
  <c r="FI60" i="2"/>
  <c r="FI61" i="2"/>
  <c r="AC62" i="2"/>
  <c r="AJ62" i="2"/>
  <c r="FI62" i="2"/>
  <c r="AC63" i="2"/>
  <c r="AJ63" i="2"/>
  <c r="FI63" i="2"/>
  <c r="AC64" i="2"/>
  <c r="FI64" i="2"/>
  <c r="FI65" i="2"/>
  <c r="AJ66" i="2"/>
  <c r="FI66" i="2"/>
  <c r="FI67" i="2"/>
  <c r="BI186" i="2"/>
  <c r="BK186" i="2" s="1"/>
  <c r="BH186" i="2"/>
  <c r="BI187" i="2"/>
  <c r="BK187" i="2" s="1"/>
  <c r="BH187" i="2"/>
  <c r="BI188" i="2"/>
  <c r="BK188" i="2" s="1"/>
  <c r="BH188" i="2"/>
  <c r="BI189" i="2"/>
  <c r="BK189" i="2" s="1"/>
  <c r="BH189" i="2"/>
  <c r="BI190" i="2"/>
  <c r="BK190" i="2" s="1"/>
  <c r="BH190" i="2"/>
  <c r="BI191" i="2"/>
  <c r="BH191" i="2"/>
  <c r="BK191" i="2"/>
  <c r="BI192" i="2"/>
  <c r="BH192" i="2"/>
  <c r="BK192" i="2"/>
  <c r="BI193" i="2"/>
  <c r="BH193" i="2"/>
  <c r="BK193" i="2"/>
  <c r="BI194" i="2"/>
  <c r="BK194" i="2" s="1"/>
  <c r="BH194" i="2"/>
  <c r="BI195" i="2"/>
  <c r="BK195" i="2" s="1"/>
  <c r="BH195" i="2"/>
  <c r="FI72" i="2"/>
  <c r="FI73" i="2"/>
  <c r="FI74" i="2"/>
  <c r="FI75" i="2"/>
  <c r="FI76" i="2"/>
  <c r="FI77" i="2"/>
  <c r="FI78" i="2"/>
  <c r="AZ102" i="2"/>
  <c r="AO102" i="2" s="1"/>
  <c r="FI83" i="2"/>
  <c r="FI84" i="2"/>
  <c r="FI85" i="2"/>
  <c r="FI86" i="2"/>
  <c r="FI87" i="2"/>
  <c r="FI88" i="2"/>
  <c r="FI89" i="2"/>
  <c r="AO94" i="2"/>
  <c r="FI95" i="2"/>
  <c r="FI96" i="2"/>
  <c r="FI97" i="2"/>
  <c r="FI98" i="2"/>
  <c r="FI99" i="2"/>
  <c r="FI100" i="2"/>
  <c r="FI101" i="2"/>
  <c r="FI102" i="2"/>
  <c r="FI103" i="2"/>
  <c r="FI104" i="2"/>
  <c r="FI105" i="2"/>
  <c r="FI106" i="2"/>
  <c r="FI107" i="2"/>
  <c r="FI108" i="2"/>
  <c r="FI109" i="2"/>
  <c r="FI110" i="2"/>
  <c r="FI111" i="2"/>
  <c r="FI112" i="2"/>
  <c r="FI113" i="2"/>
  <c r="FI114" i="2"/>
  <c r="BC119" i="2"/>
  <c r="BC120" i="2"/>
  <c r="BC121" i="2"/>
  <c r="BC122" i="2"/>
  <c r="BC123" i="2"/>
  <c r="BC124" i="2"/>
  <c r="BC125" i="2"/>
  <c r="BC126" i="2"/>
  <c r="BC127" i="2"/>
  <c r="BC128" i="2"/>
  <c r="BC129" i="2"/>
  <c r="BC130" i="2"/>
  <c r="BC131" i="2"/>
  <c r="BC132" i="2"/>
  <c r="BC133" i="2"/>
  <c r="BC134" i="2"/>
  <c r="BC135" i="2"/>
  <c r="BC136" i="2"/>
  <c r="BC137" i="2"/>
  <c r="BC138" i="2"/>
  <c r="BC139" i="2"/>
  <c r="BC140" i="2"/>
  <c r="BC141" i="2"/>
  <c r="BC142" i="2"/>
  <c r="BC173" i="2"/>
  <c r="BC174" i="2"/>
  <c r="BC175" i="2"/>
  <c r="BC176" i="2"/>
  <c r="BC177" i="2"/>
  <c r="BC178" i="2"/>
  <c r="BC179" i="2"/>
  <c r="BC180" i="2"/>
  <c r="BC181" i="2"/>
  <c r="BC182" i="2"/>
  <c r="I41" i="1"/>
  <c r="AI49" i="1"/>
  <c r="AI50" i="1"/>
  <c r="AI51" i="1"/>
  <c r="AI52" i="1"/>
  <c r="AI53" i="1"/>
  <c r="AM53" i="1"/>
  <c r="AI54" i="1"/>
  <c r="AI65" i="1"/>
  <c r="AI66" i="1"/>
  <c r="AM66" i="1"/>
  <c r="AI67" i="1"/>
  <c r="AI68" i="1"/>
  <c r="AM68" i="1"/>
  <c r="AI69" i="1"/>
  <c r="AI70" i="1"/>
  <c r="AM70" i="1"/>
  <c r="AI81" i="1"/>
  <c r="AI82" i="1"/>
  <c r="AM82" i="1"/>
  <c r="AI83" i="1"/>
  <c r="AI84" i="1"/>
  <c r="AM84" i="1"/>
  <c r="AI85" i="1"/>
  <c r="AI86" i="1"/>
  <c r="AM86" i="1"/>
  <c r="AM95" i="1"/>
  <c r="AI97" i="1"/>
  <c r="AI98" i="1"/>
  <c r="AI99" i="1"/>
  <c r="AI100" i="1"/>
  <c r="AM100" i="1"/>
  <c r="AI101" i="1"/>
  <c r="AI102" i="1"/>
  <c r="AI113" i="1"/>
  <c r="AI114" i="1"/>
  <c r="AM114" i="1"/>
  <c r="AI115" i="1"/>
  <c r="AI116" i="1"/>
  <c r="AI117" i="1"/>
  <c r="AI118" i="1"/>
  <c r="AI129" i="1"/>
  <c r="AI130" i="1"/>
  <c r="AI131" i="1"/>
  <c r="AI132" i="1"/>
  <c r="AI133" i="1"/>
  <c r="AI134" i="1"/>
  <c r="AM134" i="1"/>
  <c r="AI145" i="1"/>
  <c r="AM145" i="1"/>
  <c r="AI146" i="1"/>
  <c r="AI147" i="1"/>
  <c r="AI148" i="1"/>
  <c r="AI149" i="1"/>
  <c r="AI150" i="1"/>
  <c r="AM159" i="1"/>
  <c r="AI161" i="1"/>
  <c r="AI162" i="1"/>
  <c r="AI163" i="1"/>
  <c r="AI164" i="1"/>
  <c r="AM164" i="1"/>
  <c r="AI165" i="1"/>
  <c r="AI166" i="1"/>
  <c r="AM171" i="1"/>
  <c r="AM175" i="1"/>
  <c r="AI177" i="1"/>
  <c r="AI178" i="1"/>
  <c r="AI179" i="1"/>
  <c r="AI180" i="1"/>
  <c r="AI181" i="1"/>
  <c r="AI182" i="1"/>
  <c r="AI193" i="1"/>
  <c r="AI194" i="1"/>
  <c r="AI195" i="1"/>
  <c r="AI196" i="1"/>
  <c r="AI197" i="1"/>
  <c r="AI198" i="1"/>
  <c r="AI209" i="1"/>
  <c r="AI210" i="1"/>
  <c r="AI211" i="1"/>
  <c r="AI212" i="1"/>
  <c r="AI213" i="1"/>
  <c r="AI214" i="1"/>
  <c r="AI225" i="1"/>
  <c r="AI226" i="1"/>
  <c r="AM226" i="1"/>
  <c r="AI227" i="1"/>
  <c r="AI228" i="1"/>
  <c r="AI229" i="1"/>
  <c r="AI230" i="1"/>
  <c r="AM230" i="1"/>
  <c r="AI241" i="1"/>
  <c r="AI242" i="1"/>
  <c r="AI243" i="1"/>
  <c r="AI244" i="1"/>
  <c r="AI245" i="1"/>
  <c r="AI246" i="1"/>
  <c r="AM254" i="1"/>
  <c r="AI257" i="1"/>
  <c r="AI258" i="1"/>
  <c r="AI259" i="1"/>
  <c r="AI260" i="1"/>
  <c r="AI261" i="1"/>
  <c r="AI262" i="1"/>
  <c r="AM268" i="1"/>
  <c r="AM272" i="1"/>
  <c r="AI273" i="1"/>
  <c r="AM273" i="1"/>
  <c r="AI274" i="1"/>
  <c r="AM274" i="1"/>
  <c r="AI275" i="1"/>
  <c r="AM275" i="1"/>
  <c r="AI276" i="1"/>
  <c r="AM276" i="1"/>
  <c r="AI277" i="1"/>
  <c r="AM277" i="1"/>
  <c r="AI278" i="1"/>
  <c r="AM278" i="1"/>
  <c r="AM286" i="1"/>
  <c r="AM288" i="1"/>
  <c r="AI289" i="1"/>
  <c r="AI290" i="1"/>
  <c r="AI291" i="1"/>
  <c r="AI292" i="1"/>
  <c r="AI293" i="1"/>
  <c r="AI294" i="1"/>
  <c r="AM304" i="1"/>
  <c r="AI305" i="1"/>
  <c r="AI306" i="1"/>
  <c r="AI307" i="1"/>
  <c r="AI308" i="1"/>
  <c r="AM308" i="1"/>
  <c r="AI309" i="1"/>
  <c r="AI310" i="1"/>
  <c r="AM316" i="1"/>
  <c r="AM320" i="1"/>
  <c r="AI321" i="1"/>
  <c r="AI322" i="1"/>
  <c r="AI323" i="1"/>
  <c r="AI324" i="1"/>
  <c r="AM324" i="1"/>
  <c r="AI325" i="1"/>
  <c r="AI326" i="1"/>
  <c r="AM332" i="1"/>
  <c r="AI337" i="1"/>
  <c r="AI338" i="1"/>
  <c r="AM338" i="1"/>
  <c r="AI339" i="1"/>
  <c r="AI340" i="1"/>
  <c r="AI341" i="1"/>
  <c r="AI342" i="1"/>
  <c r="AM342" i="1"/>
  <c r="AM352" i="1"/>
  <c r="AI353" i="1"/>
  <c r="AI354" i="1"/>
  <c r="AI355" i="1"/>
  <c r="AI356" i="1"/>
  <c r="AM356" i="1"/>
  <c r="AI357" i="1"/>
  <c r="AI358" i="1"/>
  <c r="AM368" i="1"/>
  <c r="AI369" i="1"/>
  <c r="AI370" i="1"/>
  <c r="AI371" i="1"/>
  <c r="AI372" i="1"/>
  <c r="AI373" i="1"/>
  <c r="AI374" i="1"/>
  <c r="AM379" i="1"/>
  <c r="AM381" i="1"/>
  <c r="AI385" i="1"/>
  <c r="AI386" i="1"/>
  <c r="AM386" i="1"/>
  <c r="AI387" i="1"/>
  <c r="AI388" i="1"/>
  <c r="AI389" i="1"/>
  <c r="AI390" i="1"/>
  <c r="AM390" i="1"/>
  <c r="AF387" i="1"/>
  <c r="AG118" i="7951"/>
  <c r="AJ121" i="7951"/>
  <c r="AJ124" i="7951"/>
  <c r="AG124" i="7951"/>
  <c r="AJ116" i="7951"/>
  <c r="AL116" i="7951"/>
  <c r="AG116" i="7951"/>
  <c r="AF356" i="1"/>
  <c r="AC356" i="1"/>
  <c r="AF322" i="1"/>
  <c r="AM369" i="1"/>
  <c r="AC75" i="2"/>
  <c r="AC74" i="2"/>
  <c r="AC73" i="2"/>
  <c r="BC195" i="2"/>
  <c r="AN195" i="2" s="1"/>
  <c r="BC190" i="2"/>
  <c r="AN190" i="2" s="1"/>
  <c r="BC188" i="2"/>
  <c r="AN188" i="2" s="1"/>
  <c r="BC166" i="2"/>
  <c r="AN166" i="2" s="1"/>
  <c r="BC164" i="2"/>
  <c r="AN164" i="2" s="1"/>
  <c r="BC162" i="2"/>
  <c r="AN162" i="2" s="1"/>
  <c r="BC160" i="2"/>
  <c r="AN160" i="2" s="1"/>
  <c r="BC158" i="2"/>
  <c r="AN158" i="2" s="1"/>
  <c r="BC156" i="2"/>
  <c r="AN156" i="2" s="1"/>
  <c r="BC154" i="2"/>
  <c r="AN154" i="2" s="1"/>
  <c r="BC152" i="2"/>
  <c r="AN152" i="2" s="1"/>
  <c r="BC150" i="2"/>
  <c r="AN150" i="2" s="1"/>
  <c r="BC148" i="2"/>
  <c r="AN148" i="2" s="1"/>
  <c r="BC146" i="2"/>
  <c r="AS108" i="7949"/>
  <c r="BE106" i="7949"/>
  <c r="AT98" i="7949"/>
  <c r="AI98" i="7949" s="1"/>
  <c r="BE60" i="7950"/>
  <c r="AL43" i="1"/>
  <c r="BJ94" i="2"/>
  <c r="BC100" i="2"/>
  <c r="AZ100" i="2" s="1"/>
  <c r="AO100" i="2" s="1"/>
  <c r="BC98" i="2"/>
  <c r="AZ98" i="2" s="1"/>
  <c r="AO98" i="2" s="1"/>
  <c r="BC62" i="2"/>
  <c r="AZ62" i="2" s="1"/>
  <c r="AO62" i="2" s="1"/>
  <c r="BC60" i="2"/>
  <c r="AZ60" i="2" s="1"/>
  <c r="AO60" i="2" s="1"/>
  <c r="BC58" i="2"/>
  <c r="AZ58" i="2" s="1"/>
  <c r="AO58" i="2" s="1"/>
  <c r="BC56" i="2"/>
  <c r="AZ56" i="2" s="1"/>
  <c r="AO56" i="2" s="1"/>
  <c r="BC54" i="2"/>
  <c r="AZ54" i="2" s="1"/>
  <c r="AO54" i="2" s="1"/>
  <c r="BC52" i="2"/>
  <c r="BC50" i="2"/>
  <c r="BC48" i="2"/>
  <c r="BC46" i="2"/>
  <c r="BC44" i="2"/>
  <c r="BC42" i="2"/>
  <c r="AP187" i="7950"/>
  <c r="AB293" i="7950"/>
  <c r="AP363" i="7950"/>
  <c r="AD412" i="7950"/>
  <c r="AG412" i="7950" s="1"/>
  <c r="CE649" i="7949"/>
  <c r="BF115" i="2"/>
  <c r="BF113" i="2"/>
  <c r="BF111" i="2"/>
  <c r="BF109" i="2"/>
  <c r="BF107" i="2"/>
  <c r="U45" i="1"/>
  <c r="BD45" i="1" s="1"/>
  <c r="BC383" i="1"/>
  <c r="AH385" i="1"/>
  <c r="AF385" i="1"/>
  <c r="AA390" i="1"/>
  <c r="AD75" i="7949"/>
  <c r="AK114" i="7951"/>
  <c r="AE132" i="7951"/>
  <c r="BO59" i="7951"/>
  <c r="AD63" i="7951"/>
  <c r="AE259" i="1"/>
  <c r="CD94" i="7949"/>
  <c r="AA370" i="1"/>
  <c r="AA372" i="1"/>
  <c r="AA374" i="1"/>
  <c r="AA337" i="1"/>
  <c r="AA339" i="1"/>
  <c r="AA341" i="1"/>
  <c r="AA306" i="1"/>
  <c r="AA308" i="1"/>
  <c r="AA310" i="1"/>
  <c r="AA274" i="1"/>
  <c r="AA276" i="1"/>
  <c r="AA278" i="1"/>
  <c r="AA242" i="1"/>
  <c r="AA244" i="1"/>
  <c r="AA246" i="1"/>
  <c r="AA226" i="1"/>
  <c r="AA228" i="1"/>
  <c r="AA230" i="1"/>
  <c r="AA210" i="1"/>
  <c r="AA212" i="1"/>
  <c r="AA214" i="1"/>
  <c r="AA194" i="1"/>
  <c r="AA196" i="1"/>
  <c r="AA198" i="1"/>
  <c r="AA178" i="1"/>
  <c r="AA180" i="1"/>
  <c r="AA182" i="1"/>
  <c r="AA162" i="1"/>
  <c r="AA164" i="1"/>
  <c r="AA166" i="1"/>
  <c r="AA146" i="1"/>
  <c r="AA148" i="1"/>
  <c r="AA150" i="1"/>
  <c r="AA130" i="1"/>
  <c r="AA132" i="1"/>
  <c r="AG259" i="1"/>
  <c r="AA283" i="1"/>
  <c r="AA285" i="1"/>
  <c r="AA287" i="1"/>
  <c r="AA300" i="1"/>
  <c r="AA302" i="1"/>
  <c r="AA315" i="1"/>
  <c r="AA317" i="1"/>
  <c r="AA319" i="1"/>
  <c r="AA332" i="1"/>
  <c r="AA334" i="1"/>
  <c r="AA347" i="1"/>
  <c r="AA349" i="1"/>
  <c r="AA351" i="1"/>
  <c r="AA364" i="1"/>
  <c r="AA366" i="1"/>
  <c r="AA379" i="1"/>
  <c r="AA381" i="1"/>
  <c r="AA383" i="1"/>
  <c r="AS95" i="7949"/>
  <c r="AM48" i="7952"/>
  <c r="AM44" i="7952"/>
  <c r="AD172" i="7950"/>
  <c r="AF172" i="7950" s="1"/>
  <c r="AA180" i="7950"/>
  <c r="AP203" i="7950"/>
  <c r="AA261" i="7950"/>
  <c r="AH255" i="7950"/>
  <c r="Z293" i="7950"/>
  <c r="AA292" i="7950"/>
  <c r="AG321" i="7950"/>
  <c r="AH320" i="7950"/>
  <c r="AP347" i="7950"/>
  <c r="CK374" i="2"/>
  <c r="CJ672" i="2"/>
  <c r="AK184" i="7949"/>
  <c r="AX106" i="7949"/>
  <c r="BD102" i="2"/>
  <c r="BE187" i="7949"/>
  <c r="AL43" i="7952"/>
  <c r="AD189" i="7950"/>
  <c r="AG189" i="7950" s="1"/>
  <c r="AG225" i="7950"/>
  <c r="CD92" i="7949"/>
  <c r="BE111" i="7949"/>
  <c r="BD98" i="2"/>
  <c r="AA244" i="7950"/>
  <c r="AD237" i="7950"/>
  <c r="AG237" i="7950" s="1"/>
  <c r="AH240" i="7950"/>
  <c r="AH272" i="7950"/>
  <c r="AD301" i="7950"/>
  <c r="AG301" i="7950" s="1"/>
  <c r="AA340" i="7950"/>
  <c r="AA372" i="7950"/>
  <c r="AD365" i="7950"/>
  <c r="AG365" i="7950" s="1"/>
  <c r="AH368" i="7950"/>
  <c r="AD381" i="7950"/>
  <c r="AG381" i="7950" s="1"/>
  <c r="AB405" i="7950"/>
  <c r="AH399" i="7950"/>
  <c r="Z420" i="7950"/>
  <c r="CJ369" i="2"/>
  <c r="CI369" i="2" s="1"/>
  <c r="CJ377" i="2"/>
  <c r="CE97" i="7949"/>
  <c r="CD369" i="7949"/>
  <c r="AX94" i="7949"/>
  <c r="BD90" i="7949"/>
  <c r="AX105" i="7949"/>
  <c r="BJ100" i="2"/>
  <c r="BA179" i="2" s="1"/>
  <c r="BD103" i="2"/>
  <c r="BD95" i="2"/>
  <c r="AW64" i="7951"/>
  <c r="AX64" i="7951"/>
  <c r="CE376" i="7949"/>
  <c r="AP64" i="7951"/>
  <c r="CD649" i="7949"/>
  <c r="AT57" i="7951"/>
  <c r="AQ57" i="7951"/>
  <c r="AU57" i="7951"/>
  <c r="AR72" i="7951"/>
  <c r="AP73" i="7951"/>
  <c r="CD644" i="7949"/>
  <c r="CC644" i="7949" s="1"/>
  <c r="CD652" i="7949"/>
  <c r="CE373" i="7949"/>
  <c r="AO57" i="7951"/>
  <c r="AR57" i="7951"/>
  <c r="AP57" i="7951"/>
  <c r="AW57" i="7951"/>
  <c r="AX57" i="7951"/>
  <c r="AW77" i="7951"/>
  <c r="AX77" i="7951"/>
  <c r="AO64" i="7951"/>
  <c r="AR64" i="7951"/>
  <c r="AS64" i="7951"/>
  <c r="AT64" i="7951"/>
  <c r="AB91" i="1"/>
  <c r="G53" i="7955"/>
  <c r="H53" i="7955"/>
  <c r="AA245" i="7950"/>
  <c r="AA309" i="7950"/>
  <c r="AA373" i="7950"/>
  <c r="AA405" i="7950"/>
  <c r="BI108" i="2"/>
  <c r="BK108" i="2" s="1"/>
  <c r="BG108" i="2"/>
  <c r="BG107" i="2"/>
  <c r="BG106" i="2"/>
  <c r="AA238" i="1"/>
  <c r="AA270" i="1"/>
  <c r="AA268" i="1"/>
  <c r="BL44" i="3"/>
  <c r="BL49" i="3"/>
  <c r="BL52" i="3"/>
  <c r="AN52" i="3"/>
  <c r="AY122" i="7949"/>
  <c r="AA58" i="7947"/>
  <c r="V62" i="7947" s="1"/>
  <c r="EC68" i="7949"/>
  <c r="BF42" i="3"/>
  <c r="BF46" i="3"/>
  <c r="BF50" i="3"/>
  <c r="BF52" i="3"/>
  <c r="AT46" i="3"/>
  <c r="AT48" i="3"/>
  <c r="AT52" i="3"/>
  <c r="AH43" i="3"/>
  <c r="AH47" i="3"/>
  <c r="AH52" i="3"/>
  <c r="V43" i="3"/>
  <c r="V47" i="3"/>
  <c r="V50" i="3"/>
  <c r="J50" i="3"/>
  <c r="BI46" i="7950"/>
  <c r="BI47" i="7950"/>
  <c r="BI48" i="7950" s="1"/>
  <c r="EC621" i="7949"/>
  <c r="AP52" i="1"/>
  <c r="AS52" i="1"/>
  <c r="AQ52" i="1"/>
  <c r="AR52" i="1"/>
  <c r="AT52" i="1"/>
  <c r="AU52" i="1"/>
  <c r="AV52" i="1"/>
  <c r="AX52" i="1"/>
  <c r="AW52" i="1"/>
  <c r="AY52" i="1"/>
  <c r="AY66" i="1"/>
  <c r="BL85" i="2"/>
  <c r="BL81" i="2"/>
  <c r="BL77" i="2"/>
  <c r="BL73" i="2"/>
  <c r="BL69" i="2"/>
  <c r="AA235" i="1"/>
  <c r="Z235" i="1"/>
  <c r="AF235" i="1" s="1"/>
  <c r="AA237" i="1"/>
  <c r="Z237" i="1"/>
  <c r="AD237" i="1" s="1"/>
  <c r="AA219" i="1"/>
  <c r="Z219" i="1"/>
  <c r="AF219" i="1" s="1"/>
  <c r="AA221" i="1"/>
  <c r="Z221" i="1"/>
  <c r="AD221" i="1" s="1"/>
  <c r="AA223" i="1"/>
  <c r="Z223" i="1"/>
  <c r="AF223" i="1" s="1"/>
  <c r="AA203" i="1"/>
  <c r="Z203" i="1"/>
  <c r="AD203" i="1" s="1"/>
  <c r="AA205" i="1"/>
  <c r="Z205" i="1"/>
  <c r="AF205" i="1" s="1"/>
  <c r="AA207" i="1"/>
  <c r="Z207" i="1"/>
  <c r="AD207" i="1" s="1"/>
  <c r="AA187" i="1"/>
  <c r="Z187" i="1"/>
  <c r="AF187" i="1" s="1"/>
  <c r="AA189" i="1"/>
  <c r="Z189" i="1"/>
  <c r="AD189" i="1" s="1"/>
  <c r="AA191" i="1"/>
  <c r="Z191" i="1"/>
  <c r="AF191" i="1" s="1"/>
  <c r="AA171" i="1"/>
  <c r="Z171" i="1"/>
  <c r="AD171" i="1" s="1"/>
  <c r="AA173" i="1"/>
  <c r="Z173" i="1"/>
  <c r="AF173" i="1" s="1"/>
  <c r="AA175" i="1"/>
  <c r="Z175" i="1"/>
  <c r="AD175" i="1" s="1"/>
  <c r="AA155" i="1"/>
  <c r="Z155" i="1"/>
  <c r="AF155" i="1" s="1"/>
  <c r="AA157" i="1"/>
  <c r="Z157" i="1"/>
  <c r="AD157" i="1" s="1"/>
  <c r="AA159" i="1"/>
  <c r="Z159" i="1"/>
  <c r="AF159" i="1" s="1"/>
  <c r="AA139" i="1"/>
  <c r="Z139" i="1"/>
  <c r="AD139" i="1" s="1"/>
  <c r="AA141" i="1"/>
  <c r="Z141" i="1"/>
  <c r="AF141" i="1" s="1"/>
  <c r="AA143" i="1"/>
  <c r="Z143" i="1"/>
  <c r="AD143" i="1" s="1"/>
  <c r="AA123" i="1"/>
  <c r="Z123" i="1"/>
  <c r="AF123" i="1" s="1"/>
  <c r="AA125" i="1"/>
  <c r="Z125" i="1"/>
  <c r="AD125" i="1" s="1"/>
  <c r="AA127" i="1"/>
  <c r="Z127" i="1"/>
  <c r="AF127" i="1" s="1"/>
  <c r="AA107" i="1"/>
  <c r="Z107" i="1"/>
  <c r="AD107" i="1" s="1"/>
  <c r="AA109" i="1"/>
  <c r="Z109" i="1"/>
  <c r="AF109" i="1" s="1"/>
  <c r="AA112" i="1"/>
  <c r="Z112" i="1"/>
  <c r="AH112" i="1" s="1"/>
  <c r="AA92" i="1"/>
  <c r="Z92" i="1"/>
  <c r="AF92" i="1" s="1"/>
  <c r="AA94" i="1"/>
  <c r="Z94" i="1"/>
  <c r="AD94" i="1" s="1"/>
  <c r="AA96" i="1"/>
  <c r="Z96" i="1"/>
  <c r="AF96" i="1" s="1"/>
  <c r="AA76" i="1"/>
  <c r="Z76" i="1"/>
  <c r="AD76" i="1" s="1"/>
  <c r="AA78" i="1"/>
  <c r="Z78" i="1"/>
  <c r="AF78" i="1" s="1"/>
  <c r="AA80" i="1"/>
  <c r="Z80" i="1"/>
  <c r="AH80" i="1" s="1"/>
  <c r="AE59" i="1"/>
  <c r="AH59" i="1"/>
  <c r="AC59" i="1"/>
  <c r="AA60" i="1"/>
  <c r="AF60" i="1" s="1"/>
  <c r="Z60" i="1"/>
  <c r="AA62" i="1"/>
  <c r="AD62" i="1" s="1"/>
  <c r="Z62" i="1"/>
  <c r="AE43" i="1"/>
  <c r="AH43" i="1"/>
  <c r="AA44" i="1"/>
  <c r="AE44" i="1" s="1"/>
  <c r="Z44" i="1"/>
  <c r="AA46" i="1"/>
  <c r="AH46" i="1" s="1"/>
  <c r="Z46" i="1"/>
  <c r="AA48" i="1"/>
  <c r="AE48" i="1" s="1"/>
  <c r="Z48" i="1"/>
  <c r="BC89" i="2"/>
  <c r="BC167" i="2"/>
  <c r="BC63" i="2"/>
  <c r="AZ63" i="2" s="1"/>
  <c r="AO63" i="2" s="1"/>
  <c r="BC91" i="2"/>
  <c r="BC169" i="2"/>
  <c r="BC65" i="2"/>
  <c r="AC390" i="1"/>
  <c r="AH390" i="1"/>
  <c r="CT93" i="7949"/>
  <c r="CT83" i="7949"/>
  <c r="AN153" i="2"/>
  <c r="AN146" i="2"/>
  <c r="D64" i="3"/>
  <c r="BF63" i="3"/>
  <c r="D60" i="3"/>
  <c r="BF59" i="3"/>
  <c r="AT59" i="3"/>
  <c r="AH59" i="3"/>
  <c r="AN50" i="3"/>
  <c r="AT49" i="3"/>
  <c r="BL48" i="3"/>
  <c r="AN48" i="3"/>
  <c r="AH48" i="3"/>
  <c r="J48" i="3"/>
  <c r="BL47" i="3"/>
  <c r="BF47" i="3"/>
  <c r="AN47" i="3"/>
  <c r="J47" i="3"/>
  <c r="AN46" i="3"/>
  <c r="AH46" i="3"/>
  <c r="J46" i="3"/>
  <c r="BL45" i="3"/>
  <c r="BF45" i="3"/>
  <c r="AN45" i="3"/>
  <c r="V45" i="3"/>
  <c r="J45" i="3"/>
  <c r="BF44" i="3"/>
  <c r="AT44" i="3"/>
  <c r="AN44" i="3"/>
  <c r="AH44" i="3"/>
  <c r="V44" i="3"/>
  <c r="J44" i="3"/>
  <c r="AT43" i="3"/>
  <c r="AN43" i="3"/>
  <c r="J43" i="3"/>
  <c r="AT42" i="3"/>
  <c r="AN42" i="3"/>
  <c r="J42" i="3"/>
  <c r="AH190" i="7949"/>
  <c r="AH188" i="7949"/>
  <c r="AH186" i="7949"/>
  <c r="AH184" i="7949"/>
  <c r="AK182" i="7949"/>
  <c r="AK181" i="7949"/>
  <c r="AW105" i="7949"/>
  <c r="AS99" i="7949"/>
  <c r="AS94" i="7949"/>
  <c r="AS91" i="7949"/>
  <c r="D59" i="7947"/>
  <c r="U379" i="1"/>
  <c r="BD379" i="1" s="1"/>
  <c r="U381" i="1"/>
  <c r="BD381" i="1" s="1"/>
  <c r="U383" i="1"/>
  <c r="BD383" i="1" s="1"/>
  <c r="U363" i="1"/>
  <c r="BD363" i="1" s="1"/>
  <c r="U365" i="1"/>
  <c r="BD365" i="1" s="1"/>
  <c r="U367" i="1"/>
  <c r="BD367" i="1" s="1"/>
  <c r="U347" i="1"/>
  <c r="BD347" i="1" s="1"/>
  <c r="U349" i="1"/>
  <c r="BD349" i="1" s="1"/>
  <c r="U351" i="1"/>
  <c r="BD351" i="1" s="1"/>
  <c r="U331" i="1"/>
  <c r="BD331" i="1" s="1"/>
  <c r="U333" i="1"/>
  <c r="BD333" i="1" s="1"/>
  <c r="U335" i="1"/>
  <c r="BD335" i="1" s="1"/>
  <c r="U315" i="1"/>
  <c r="BD315" i="1" s="1"/>
  <c r="U317" i="1"/>
  <c r="BD317" i="1" s="1"/>
  <c r="U319" i="1"/>
  <c r="BD319" i="1" s="1"/>
  <c r="U299" i="1"/>
  <c r="BD299" i="1" s="1"/>
  <c r="U301" i="1"/>
  <c r="BD301" i="1" s="1"/>
  <c r="U303" i="1"/>
  <c r="BD303" i="1" s="1"/>
  <c r="U283" i="1"/>
  <c r="BD283" i="1" s="1"/>
  <c r="U285" i="1"/>
  <c r="BD285" i="1" s="1"/>
  <c r="U287" i="1"/>
  <c r="BD287" i="1" s="1"/>
  <c r="U267" i="1"/>
  <c r="BD267" i="1" s="1"/>
  <c r="U269" i="1"/>
  <c r="BD269" i="1" s="1"/>
  <c r="U271" i="1"/>
  <c r="BD271" i="1" s="1"/>
  <c r="U251" i="1"/>
  <c r="BD251" i="1" s="1"/>
  <c r="U236" i="1"/>
  <c r="BD236" i="1" s="1"/>
  <c r="U238" i="1"/>
  <c r="BD238" i="1" s="1"/>
  <c r="U240" i="1"/>
  <c r="U220" i="1"/>
  <c r="BD220" i="1" s="1"/>
  <c r="U222" i="1"/>
  <c r="BD222" i="1" s="1"/>
  <c r="U224" i="1"/>
  <c r="U204" i="1"/>
  <c r="BD204" i="1" s="1"/>
  <c r="U206" i="1"/>
  <c r="BD206" i="1" s="1"/>
  <c r="U208" i="1"/>
  <c r="U188" i="1"/>
  <c r="BD188" i="1" s="1"/>
  <c r="U190" i="1"/>
  <c r="BD190" i="1" s="1"/>
  <c r="U192" i="1"/>
  <c r="U172" i="1"/>
  <c r="BD172" i="1" s="1"/>
  <c r="U174" i="1"/>
  <c r="BD174" i="1" s="1"/>
  <c r="U176" i="1"/>
  <c r="U156" i="1"/>
  <c r="BD156" i="1" s="1"/>
  <c r="U158" i="1"/>
  <c r="BD158" i="1" s="1"/>
  <c r="U160" i="1"/>
  <c r="U140" i="1"/>
  <c r="BD140" i="1" s="1"/>
  <c r="U142" i="1"/>
  <c r="BD142" i="1" s="1"/>
  <c r="U144" i="1"/>
  <c r="U124" i="1"/>
  <c r="BD124" i="1" s="1"/>
  <c r="U126" i="1"/>
  <c r="BD126" i="1" s="1"/>
  <c r="U128" i="1"/>
  <c r="U108" i="1"/>
  <c r="BD108" i="1" s="1"/>
  <c r="U110" i="1"/>
  <c r="BD110" i="1" s="1"/>
  <c r="U112" i="1"/>
  <c r="U92" i="1"/>
  <c r="BD92" i="1" s="1"/>
  <c r="U94" i="1"/>
  <c r="BD94" i="1" s="1"/>
  <c r="U96" i="1"/>
  <c r="U76" i="1"/>
  <c r="BD76" i="1" s="1"/>
  <c r="U78" i="1"/>
  <c r="BD78" i="1" s="1"/>
  <c r="U80" i="1"/>
  <c r="U60" i="1"/>
  <c r="BD60" i="1" s="1"/>
  <c r="U62" i="1"/>
  <c r="BD62" i="1" s="1"/>
  <c r="U64" i="1"/>
  <c r="U47" i="1"/>
  <c r="BD47" i="1" s="1"/>
  <c r="BC47" i="1"/>
  <c r="BC59" i="1"/>
  <c r="BC63" i="1"/>
  <c r="BC365" i="1"/>
  <c r="BC350" i="1"/>
  <c r="BC335" i="1"/>
  <c r="BC331" i="1"/>
  <c r="BC316" i="1"/>
  <c r="BC301" i="1"/>
  <c r="BC286" i="1"/>
  <c r="BC271" i="1"/>
  <c r="BC267" i="1"/>
  <c r="BC252" i="1"/>
  <c r="BC237" i="1"/>
  <c r="BC222" i="1"/>
  <c r="BC207" i="1"/>
  <c r="BC203" i="1"/>
  <c r="BC188" i="1"/>
  <c r="BC173" i="1"/>
  <c r="BC158" i="1"/>
  <c r="BC143" i="1"/>
  <c r="BC139" i="1"/>
  <c r="BC124" i="1"/>
  <c r="BC109" i="1"/>
  <c r="BC94" i="1"/>
  <c r="BC79" i="1"/>
  <c r="BC75" i="1"/>
  <c r="U63" i="1"/>
  <c r="BD63" i="1" s="1"/>
  <c r="BL88" i="2"/>
  <c r="BL86" i="2"/>
  <c r="BL84" i="2"/>
  <c r="BL82" i="2"/>
  <c r="BL80" i="2"/>
  <c r="BL78" i="2"/>
  <c r="BL76" i="2"/>
  <c r="BL74" i="2"/>
  <c r="BL72" i="2"/>
  <c r="BL70" i="2"/>
  <c r="Z236" i="1"/>
  <c r="AE236" i="1" s="1"/>
  <c r="AA236" i="1"/>
  <c r="Z240" i="1"/>
  <c r="AH240" i="1" s="1"/>
  <c r="AA240" i="1"/>
  <c r="Z220" i="1"/>
  <c r="AE220" i="1" s="1"/>
  <c r="AA220" i="1"/>
  <c r="Z222" i="1"/>
  <c r="AH222" i="1" s="1"/>
  <c r="AA222" i="1"/>
  <c r="Z224" i="1"/>
  <c r="AE224" i="1" s="1"/>
  <c r="AA224" i="1"/>
  <c r="Z204" i="1"/>
  <c r="AH204" i="1" s="1"/>
  <c r="AA204" i="1"/>
  <c r="Z206" i="1"/>
  <c r="AE206" i="1" s="1"/>
  <c r="AA206" i="1"/>
  <c r="Z208" i="1"/>
  <c r="AH208" i="1" s="1"/>
  <c r="AA208" i="1"/>
  <c r="Z188" i="1"/>
  <c r="AE188" i="1" s="1"/>
  <c r="AA188" i="1"/>
  <c r="Z190" i="1"/>
  <c r="AH190" i="1" s="1"/>
  <c r="AA190" i="1"/>
  <c r="Z192" i="1"/>
  <c r="AE192" i="1" s="1"/>
  <c r="AA192" i="1"/>
  <c r="Z172" i="1"/>
  <c r="AH172" i="1" s="1"/>
  <c r="AA172" i="1"/>
  <c r="Z174" i="1"/>
  <c r="AE174" i="1" s="1"/>
  <c r="AA174" i="1"/>
  <c r="Z176" i="1"/>
  <c r="AH176" i="1" s="1"/>
  <c r="AA176" i="1"/>
  <c r="Z156" i="1"/>
  <c r="AE156" i="1" s="1"/>
  <c r="AA156" i="1"/>
  <c r="Z158" i="1"/>
  <c r="AH158" i="1" s="1"/>
  <c r="AA158" i="1"/>
  <c r="Z160" i="1"/>
  <c r="AE160" i="1" s="1"/>
  <c r="AA160" i="1"/>
  <c r="Z140" i="1"/>
  <c r="AH140" i="1" s="1"/>
  <c r="AA140" i="1"/>
  <c r="Z142" i="1"/>
  <c r="AE142" i="1" s="1"/>
  <c r="AA142" i="1"/>
  <c r="Z144" i="1"/>
  <c r="AH144" i="1" s="1"/>
  <c r="AA144" i="1"/>
  <c r="Z124" i="1"/>
  <c r="AE124" i="1" s="1"/>
  <c r="AA124" i="1"/>
  <c r="Z126" i="1"/>
  <c r="AH126" i="1" s="1"/>
  <c r="AA126" i="1"/>
  <c r="Z128" i="1"/>
  <c r="AE128" i="1" s="1"/>
  <c r="AA128" i="1"/>
  <c r="Z108" i="1"/>
  <c r="AH108" i="1" s="1"/>
  <c r="AA108" i="1"/>
  <c r="Z110" i="1"/>
  <c r="AE110" i="1" s="1"/>
  <c r="AA110" i="1"/>
  <c r="Z91" i="1"/>
  <c r="AE91" i="1" s="1"/>
  <c r="AA91" i="1"/>
  <c r="Z93" i="1"/>
  <c r="AH93" i="1" s="1"/>
  <c r="AA93" i="1"/>
  <c r="Z95" i="1"/>
  <c r="AE95" i="1" s="1"/>
  <c r="AA95" i="1"/>
  <c r="Z75" i="1"/>
  <c r="AE75" i="1" s="1"/>
  <c r="AA75" i="1"/>
  <c r="Z77" i="1"/>
  <c r="AH77" i="1" s="1"/>
  <c r="AA77" i="1"/>
  <c r="Z79" i="1"/>
  <c r="AE79" i="1" s="1"/>
  <c r="AA79" i="1"/>
  <c r="AF59" i="1"/>
  <c r="AD59" i="1"/>
  <c r="AG59" i="1"/>
  <c r="Z61" i="1"/>
  <c r="AA61" i="1"/>
  <c r="AD61" i="1" s="1"/>
  <c r="Z64" i="1"/>
  <c r="AA64" i="1"/>
  <c r="AF64" i="1" s="1"/>
  <c r="Z45" i="1"/>
  <c r="AA45" i="1"/>
  <c r="AD45" i="1" s="1"/>
  <c r="Z47" i="1"/>
  <c r="AA47" i="1"/>
  <c r="AF47" i="1" s="1"/>
  <c r="BL68" i="2"/>
  <c r="BC90" i="2"/>
  <c r="BC168" i="2"/>
  <c r="BC64" i="2"/>
  <c r="AE388" i="1"/>
  <c r="AF388" i="1"/>
  <c r="CT81" i="7949"/>
  <c r="CT183" i="7949"/>
  <c r="CT185" i="7949"/>
  <c r="CT187" i="7949"/>
  <c r="AG191" i="7950"/>
  <c r="AG192" i="7950"/>
  <c r="AD188" i="7950"/>
  <c r="AF188" i="7950" s="1"/>
  <c r="Z196" i="7950"/>
  <c r="AB196" i="7950"/>
  <c r="E203" i="7950"/>
  <c r="I203" i="7950"/>
  <c r="AR203" i="7950"/>
  <c r="AG207" i="7950"/>
  <c r="AG208" i="7950"/>
  <c r="AD204" i="7950"/>
  <c r="AF204" i="7950" s="1"/>
  <c r="Z212" i="7950"/>
  <c r="AB212" i="7950"/>
  <c r="AG223" i="7950"/>
  <c r="AG224" i="7950"/>
  <c r="AD220" i="7950"/>
  <c r="AF220" i="7950" s="1"/>
  <c r="Z228" i="7950"/>
  <c r="AB228" i="7950"/>
  <c r="I235" i="7950"/>
  <c r="AG239" i="7950"/>
  <c r="AG240" i="7950"/>
  <c r="AD236" i="7950"/>
  <c r="AF236" i="7950" s="1"/>
  <c r="Z244" i="7950"/>
  <c r="AB244" i="7950"/>
  <c r="AG255" i="7950"/>
  <c r="AG256" i="7950"/>
  <c r="AD252" i="7950"/>
  <c r="AF252" i="7950" s="1"/>
  <c r="Z260" i="7950"/>
  <c r="AB260" i="7950"/>
  <c r="AG271" i="7950"/>
  <c r="AG272" i="7950"/>
  <c r="AD268" i="7950"/>
  <c r="AG268" i="7950" s="1"/>
  <c r="Z276" i="7950"/>
  <c r="AB276" i="7950"/>
  <c r="E283" i="7950"/>
  <c r="AR283" i="7950"/>
  <c r="AG287" i="7950"/>
  <c r="AG288" i="7950"/>
  <c r="AD284" i="7950"/>
  <c r="AG284" i="7950" s="1"/>
  <c r="Z292" i="7950"/>
  <c r="AB292" i="7950"/>
  <c r="AG303" i="7950"/>
  <c r="AG304" i="7950"/>
  <c r="AD300" i="7950"/>
  <c r="AG300" i="7950" s="1"/>
  <c r="Z308" i="7950"/>
  <c r="AB308" i="7950"/>
  <c r="AG319" i="7950"/>
  <c r="AG320" i="7950"/>
  <c r="AD316" i="7950"/>
  <c r="AG316" i="7950" s="1"/>
  <c r="Z324" i="7950"/>
  <c r="AB324" i="7950"/>
  <c r="AG335" i="7950"/>
  <c r="AG336" i="7950"/>
  <c r="AD332" i="7950"/>
  <c r="AF332" i="7950" s="1"/>
  <c r="Z340" i="7950"/>
  <c r="AB340" i="7950"/>
  <c r="I347" i="7950"/>
  <c r="AG351" i="7950"/>
  <c r="AG352" i="7950"/>
  <c r="AD348" i="7950"/>
  <c r="AF348" i="7950" s="1"/>
  <c r="Z356" i="7950"/>
  <c r="AB356" i="7950"/>
  <c r="E363" i="7950"/>
  <c r="AG367" i="7950"/>
  <c r="AG368" i="7950"/>
  <c r="AD364" i="7950"/>
  <c r="AF364" i="7950" s="1"/>
  <c r="Z372" i="7950"/>
  <c r="AB372" i="7950"/>
  <c r="AD380" i="7950"/>
  <c r="AG380" i="7950" s="1"/>
  <c r="Z388" i="7950"/>
  <c r="AB388" i="7950"/>
  <c r="AD396" i="7950"/>
  <c r="AF396" i="7950" s="1"/>
  <c r="Z404" i="7950"/>
  <c r="AB404" i="7950"/>
  <c r="U380" i="1"/>
  <c r="BD380" i="1" s="1"/>
  <c r="U382" i="1"/>
  <c r="BD382" i="1" s="1"/>
  <c r="U384" i="1"/>
  <c r="U364" i="1"/>
  <c r="BD364" i="1" s="1"/>
  <c r="U366" i="1"/>
  <c r="BD366" i="1" s="1"/>
  <c r="U368" i="1"/>
  <c r="U348" i="1"/>
  <c r="BD348" i="1" s="1"/>
  <c r="U350" i="1"/>
  <c r="BD350" i="1" s="1"/>
  <c r="U352" i="1"/>
  <c r="U332" i="1"/>
  <c r="BD332" i="1" s="1"/>
  <c r="U334" i="1"/>
  <c r="BD334" i="1" s="1"/>
  <c r="U336" i="1"/>
  <c r="U316" i="1"/>
  <c r="BD316" i="1" s="1"/>
  <c r="U318" i="1"/>
  <c r="BD318" i="1" s="1"/>
  <c r="U320" i="1"/>
  <c r="U300" i="1"/>
  <c r="BD300" i="1" s="1"/>
  <c r="U302" i="1"/>
  <c r="BD302" i="1" s="1"/>
  <c r="U304" i="1"/>
  <c r="U284" i="1"/>
  <c r="BD284" i="1" s="1"/>
  <c r="U286" i="1"/>
  <c r="BD286" i="1" s="1"/>
  <c r="U288" i="1"/>
  <c r="U268" i="1"/>
  <c r="BD268" i="1" s="1"/>
  <c r="U270" i="1"/>
  <c r="BD270" i="1" s="1"/>
  <c r="U272" i="1"/>
  <c r="U235" i="1"/>
  <c r="BD235" i="1" s="1"/>
  <c r="U237" i="1"/>
  <c r="BD237" i="1" s="1"/>
  <c r="U239" i="1"/>
  <c r="BD239" i="1" s="1"/>
  <c r="U219" i="1"/>
  <c r="BD219" i="1" s="1"/>
  <c r="U221" i="1"/>
  <c r="BD221" i="1" s="1"/>
  <c r="U223" i="1"/>
  <c r="BD223" i="1" s="1"/>
  <c r="U203" i="1"/>
  <c r="BD203" i="1" s="1"/>
  <c r="U205" i="1"/>
  <c r="BD205" i="1" s="1"/>
  <c r="U207" i="1"/>
  <c r="BD207" i="1" s="1"/>
  <c r="U187" i="1"/>
  <c r="BD187" i="1" s="1"/>
  <c r="U189" i="1"/>
  <c r="BD189" i="1" s="1"/>
  <c r="U191" i="1"/>
  <c r="BD191" i="1" s="1"/>
  <c r="U171" i="1"/>
  <c r="BD171" i="1" s="1"/>
  <c r="U173" i="1"/>
  <c r="BD173" i="1" s="1"/>
  <c r="U175" i="1"/>
  <c r="BD175" i="1" s="1"/>
  <c r="U155" i="1"/>
  <c r="BD155" i="1" s="1"/>
  <c r="U157" i="1"/>
  <c r="BD157" i="1" s="1"/>
  <c r="U159" i="1"/>
  <c r="BD159" i="1" s="1"/>
  <c r="U139" i="1"/>
  <c r="BD139" i="1" s="1"/>
  <c r="U141" i="1"/>
  <c r="BD141" i="1" s="1"/>
  <c r="U143" i="1"/>
  <c r="BD143" i="1" s="1"/>
  <c r="U123" i="1"/>
  <c r="BD123" i="1" s="1"/>
  <c r="U125" i="1"/>
  <c r="BD125" i="1" s="1"/>
  <c r="U127" i="1"/>
  <c r="BD127" i="1" s="1"/>
  <c r="U107" i="1"/>
  <c r="BD107" i="1" s="1"/>
  <c r="U109" i="1"/>
  <c r="BD109" i="1" s="1"/>
  <c r="U111" i="1"/>
  <c r="BD111" i="1" s="1"/>
  <c r="U91" i="1"/>
  <c r="BD91" i="1" s="1"/>
  <c r="U93" i="1"/>
  <c r="BD93" i="1" s="1"/>
  <c r="U95" i="1"/>
  <c r="BD95" i="1" s="1"/>
  <c r="U75" i="1"/>
  <c r="BD75" i="1" s="1"/>
  <c r="U77" i="1"/>
  <c r="BD77" i="1" s="1"/>
  <c r="U79" i="1"/>
  <c r="BD79" i="1" s="1"/>
  <c r="U61" i="1"/>
  <c r="BD61" i="1" s="1"/>
  <c r="U46" i="1"/>
  <c r="U48" i="1"/>
  <c r="AD43" i="1"/>
  <c r="X66" i="2"/>
  <c r="BC43" i="1"/>
  <c r="BC44" i="1"/>
  <c r="BC62" i="1"/>
  <c r="BC366" i="1"/>
  <c r="BC351" i="1"/>
  <c r="BC347" i="1"/>
  <c r="BC332" i="1"/>
  <c r="BC317" i="1"/>
  <c r="BC302" i="1"/>
  <c r="BC287" i="1"/>
  <c r="BC283" i="1"/>
  <c r="BC268" i="1"/>
  <c r="BC253" i="1"/>
  <c r="BC238" i="1"/>
  <c r="BC223" i="1"/>
  <c r="BC219" i="1"/>
  <c r="BC204" i="1"/>
  <c r="BC189" i="1"/>
  <c r="BC174" i="1"/>
  <c r="BC159" i="1"/>
  <c r="BC155" i="1"/>
  <c r="BC140" i="1"/>
  <c r="BC125" i="1"/>
  <c r="BC110" i="1"/>
  <c r="BC95" i="1"/>
  <c r="BC91" i="1"/>
  <c r="CT254" i="7949"/>
  <c r="CT265" i="7949" s="1"/>
  <c r="CT302" i="7949"/>
  <c r="CT715" i="7949"/>
  <c r="CT719" i="7949"/>
  <c r="CT730" i="7949" s="1"/>
  <c r="CT741" i="7949" s="1"/>
  <c r="CT818" i="7949"/>
  <c r="CT808" i="7949"/>
  <c r="CT811" i="7949"/>
  <c r="CT856" i="7949"/>
  <c r="CT556" i="7949"/>
  <c r="CT109" i="7949"/>
  <c r="CT117" i="7949"/>
  <c r="CT111" i="7949"/>
  <c r="CT118" i="7949" s="1"/>
  <c r="CT201" i="7949"/>
  <c r="CT203" i="7949"/>
  <c r="CT256" i="7949"/>
  <c r="CT623" i="7949"/>
  <c r="CT634" i="7949" s="1"/>
  <c r="CT645" i="7949" s="1"/>
  <c r="CT727" i="7949"/>
  <c r="CT717" i="7949"/>
  <c r="CT762" i="7949"/>
  <c r="CT810" i="7949"/>
  <c r="CT427" i="7949"/>
  <c r="CT429" i="7949"/>
  <c r="CT431" i="7949"/>
  <c r="CT388" i="7949"/>
  <c r="CT395" i="7949" s="1"/>
  <c r="CT347" i="7949"/>
  <c r="CT358" i="7949" s="1"/>
  <c r="CT349" i="7949"/>
  <c r="AE96" i="7951"/>
  <c r="AE101" i="7951"/>
  <c r="AL101" i="7951" s="1"/>
  <c r="AE104" i="7951"/>
  <c r="AE106" i="7951"/>
  <c r="AG106" i="7951" s="1"/>
  <c r="AD136" i="7951"/>
  <c r="AE136" i="7951"/>
  <c r="AI136" i="7951" s="1"/>
  <c r="AD139" i="7951"/>
  <c r="AE139" i="7951"/>
  <c r="AG139" i="7951" s="1"/>
  <c r="AD141" i="7951"/>
  <c r="AE141" i="7951"/>
  <c r="AI141" i="7951" s="1"/>
  <c r="AD60" i="7951"/>
  <c r="AE60" i="7951"/>
  <c r="AL60" i="7951" s="1"/>
  <c r="AD68" i="7951"/>
  <c r="AE68" i="7951"/>
  <c r="AG68" i="7951" s="1"/>
  <c r="AD70" i="7951"/>
  <c r="AE70" i="7951"/>
  <c r="BO130" i="7951"/>
  <c r="BO113" i="7951"/>
  <c r="BO98" i="7951"/>
  <c r="BO63" i="7951"/>
  <c r="BO57" i="7951"/>
  <c r="AL87" i="7951"/>
  <c r="AI116" i="7951"/>
  <c r="BO116" i="7951"/>
  <c r="BO95" i="7951"/>
  <c r="BO76" i="7951"/>
  <c r="BO62" i="7951"/>
  <c r="CT577" i="7949"/>
  <c r="CT519" i="7949"/>
  <c r="CT530" i="7949" s="1"/>
  <c r="CT521" i="7949"/>
  <c r="CT532" i="7949" s="1"/>
  <c r="CT543" i="7949" s="1"/>
  <c r="CT554" i="7949" s="1"/>
  <c r="CT486" i="7949"/>
  <c r="CT439" i="7949"/>
  <c r="CT450" i="7949" s="1"/>
  <c r="CT335" i="7949"/>
  <c r="CT337" i="7949"/>
  <c r="CT348" i="7949" s="1"/>
  <c r="AI124" i="7951"/>
  <c r="AI114" i="7951"/>
  <c r="AI99" i="7951"/>
  <c r="AL124" i="7951"/>
  <c r="AL114" i="7951"/>
  <c r="AI88" i="7951"/>
  <c r="AD100" i="7951"/>
  <c r="AI100" i="7951" s="1"/>
  <c r="AE100" i="7951"/>
  <c r="AD103" i="7951"/>
  <c r="AG103" i="7951" s="1"/>
  <c r="AE103" i="7951"/>
  <c r="AD105" i="7951"/>
  <c r="AJ105" i="7951" s="1"/>
  <c r="AE105" i="7951"/>
  <c r="AJ132" i="7951"/>
  <c r="AI132" i="7951"/>
  <c r="AL132" i="7951"/>
  <c r="AD137" i="7951"/>
  <c r="AE137" i="7951"/>
  <c r="AD140" i="7951"/>
  <c r="AE140" i="7951"/>
  <c r="AD142" i="7951"/>
  <c r="AE142" i="7951"/>
  <c r="AD67" i="7951"/>
  <c r="AE67" i="7951"/>
  <c r="AD69" i="7951"/>
  <c r="AE69" i="7951"/>
  <c r="AD64" i="7951"/>
  <c r="AE64" i="7951"/>
  <c r="AA53" i="7955"/>
  <c r="AF75" i="7951"/>
  <c r="C55" i="7951"/>
  <c r="AA288" i="1"/>
  <c r="Z288" i="1"/>
  <c r="AA320" i="1"/>
  <c r="Z320" i="1"/>
  <c r="AA352" i="1"/>
  <c r="AF352" i="1" s="1"/>
  <c r="Z352" i="1"/>
  <c r="AA384" i="1"/>
  <c r="Z384" i="1"/>
  <c r="AG132" i="7951"/>
  <c r="U252" i="1"/>
  <c r="BD252" i="1" s="1"/>
  <c r="U254" i="1"/>
  <c r="BD254" i="1" s="1"/>
  <c r="Z272" i="1"/>
  <c r="AH272" i="1" s="1"/>
  <c r="Z304" i="1"/>
  <c r="AE304" i="1" s="1"/>
  <c r="Z336" i="1"/>
  <c r="AH336" i="1" s="1"/>
  <c r="Z368" i="1"/>
  <c r="AC368" i="1" s="1"/>
  <c r="AA251" i="1"/>
  <c r="AF251" i="1" s="1"/>
  <c r="Z252" i="1"/>
  <c r="AC252" i="1" s="1"/>
  <c r="AA253" i="1"/>
  <c r="Z253" i="1"/>
  <c r="AD75" i="7951"/>
  <c r="AE75" i="7951"/>
  <c r="AD131" i="7951"/>
  <c r="AJ131" i="7951" s="1"/>
  <c r="AE131" i="7951"/>
  <c r="C351" i="7955"/>
  <c r="C401" i="7955" s="1"/>
  <c r="AF337" i="1"/>
  <c r="AF339" i="1"/>
  <c r="AF341" i="1"/>
  <c r="AE370" i="1"/>
  <c r="AH370" i="1"/>
  <c r="AF370" i="1"/>
  <c r="AC370" i="1"/>
  <c r="AH372" i="1"/>
  <c r="AC372" i="1"/>
  <c r="AE374" i="1"/>
  <c r="AH374" i="1"/>
  <c r="AF374" i="1"/>
  <c r="AC374" i="1"/>
  <c r="AE337" i="1"/>
  <c r="AH337" i="1"/>
  <c r="AC337" i="1"/>
  <c r="AE339" i="1"/>
  <c r="AH339" i="1"/>
  <c r="AC339" i="1"/>
  <c r="AE341" i="1"/>
  <c r="AH341" i="1"/>
  <c r="AC341" i="1"/>
  <c r="AC306" i="1"/>
  <c r="AE308" i="1"/>
  <c r="AH308" i="1"/>
  <c r="AF308" i="1"/>
  <c r="AC308" i="1"/>
  <c r="AC310" i="1"/>
  <c r="AE274" i="1"/>
  <c r="AH274" i="1"/>
  <c r="AF274" i="1"/>
  <c r="AC274" i="1"/>
  <c r="AC276" i="1"/>
  <c r="AE278" i="1"/>
  <c r="AH278" i="1"/>
  <c r="AF278" i="1"/>
  <c r="AC278" i="1"/>
  <c r="AC242" i="1"/>
  <c r="AE244" i="1"/>
  <c r="AH244" i="1"/>
  <c r="AF244" i="1"/>
  <c r="AC244" i="1"/>
  <c r="AC246" i="1"/>
  <c r="AE226" i="1"/>
  <c r="AH226" i="1"/>
  <c r="AF226" i="1"/>
  <c r="AC226" i="1"/>
  <c r="AC228" i="1"/>
  <c r="AE230" i="1"/>
  <c r="AH230" i="1"/>
  <c r="AF230" i="1"/>
  <c r="AC230" i="1"/>
  <c r="AC210" i="1"/>
  <c r="AE212" i="1"/>
  <c r="AH212" i="1"/>
  <c r="AF212" i="1"/>
  <c r="AC212" i="1"/>
  <c r="AC214" i="1"/>
  <c r="AE194" i="1"/>
  <c r="AH194" i="1"/>
  <c r="AF194" i="1"/>
  <c r="AC194" i="1"/>
  <c r="AC196" i="1"/>
  <c r="AE198" i="1"/>
  <c r="AH198" i="1"/>
  <c r="AF198" i="1"/>
  <c r="AC198" i="1"/>
  <c r="AC178" i="1"/>
  <c r="AE180" i="1"/>
  <c r="AH180" i="1"/>
  <c r="AF180" i="1"/>
  <c r="AC180" i="1"/>
  <c r="AC182" i="1"/>
  <c r="AE162" i="1"/>
  <c r="AH162" i="1"/>
  <c r="AF162" i="1"/>
  <c r="AC162" i="1"/>
  <c r="AC164" i="1"/>
  <c r="AE166" i="1"/>
  <c r="AH166" i="1"/>
  <c r="AF166" i="1"/>
  <c r="AC166" i="1"/>
  <c r="AC146" i="1"/>
  <c r="AE148" i="1"/>
  <c r="AH148" i="1"/>
  <c r="AF148" i="1"/>
  <c r="AC148" i="1"/>
  <c r="AC150" i="1"/>
  <c r="AE130" i="1"/>
  <c r="AH130" i="1"/>
  <c r="AF130" i="1"/>
  <c r="AC130" i="1"/>
  <c r="AC132" i="1"/>
  <c r="AH134" i="1"/>
  <c r="AC134" i="1"/>
  <c r="AH65" i="1"/>
  <c r="AC65" i="1"/>
  <c r="AH66" i="1"/>
  <c r="AF66" i="1"/>
  <c r="AH68" i="1"/>
  <c r="AF68" i="1"/>
  <c r="AH69" i="1"/>
  <c r="AC69" i="1"/>
  <c r="AH70" i="1"/>
  <c r="AF70" i="1"/>
  <c r="AE113" i="7951"/>
  <c r="E103" i="7955"/>
  <c r="G103" i="7955"/>
  <c r="F153" i="7955"/>
  <c r="H153" i="7955"/>
  <c r="F203" i="7955"/>
  <c r="H203" i="7955"/>
  <c r="E253" i="7955"/>
  <c r="G253" i="7955"/>
  <c r="AD134" i="7951"/>
  <c r="AL134" i="7951" s="1"/>
  <c r="F303" i="7955"/>
  <c r="H303" i="7955"/>
  <c r="E353" i="7955"/>
  <c r="G353" i="7955"/>
  <c r="AD112" i="7951"/>
  <c r="F403" i="7955"/>
  <c r="H403" i="7955"/>
  <c r="F453" i="7955"/>
  <c r="H453" i="7955"/>
  <c r="F503" i="7955"/>
  <c r="H503" i="7955"/>
  <c r="AE356" i="1"/>
  <c r="AH356" i="1"/>
  <c r="AE322" i="1"/>
  <c r="AE113" i="1"/>
  <c r="AE114" i="1"/>
  <c r="AE115" i="1"/>
  <c r="AE116" i="1"/>
  <c r="AE117" i="1"/>
  <c r="AE118" i="1"/>
  <c r="AE97" i="1"/>
  <c r="AE98" i="1"/>
  <c r="AE99" i="1"/>
  <c r="AE100" i="1"/>
  <c r="AE101" i="1"/>
  <c r="AE102" i="1"/>
  <c r="AE81" i="1"/>
  <c r="AE82" i="1"/>
  <c r="AE83" i="1"/>
  <c r="AE84" i="1"/>
  <c r="AE85" i="1"/>
  <c r="AE86" i="1"/>
  <c r="AE63" i="1"/>
  <c r="AE49" i="1"/>
  <c r="AE50" i="1"/>
  <c r="AE51" i="1"/>
  <c r="AE52" i="1"/>
  <c r="AE53" i="1"/>
  <c r="AE54" i="1"/>
  <c r="AC268" i="1"/>
  <c r="AE268" i="1"/>
  <c r="AC270" i="1"/>
  <c r="AE270" i="1"/>
  <c r="AC283" i="1"/>
  <c r="AC285" i="1"/>
  <c r="AE285" i="1"/>
  <c r="AC300" i="1"/>
  <c r="AE300" i="1"/>
  <c r="AC302" i="1"/>
  <c r="AC315" i="1"/>
  <c r="AE315" i="1"/>
  <c r="AC319" i="1"/>
  <c r="AE319" i="1"/>
  <c r="AC332" i="1"/>
  <c r="AC334" i="1"/>
  <c r="AE334" i="1"/>
  <c r="AC349" i="1"/>
  <c r="AE349" i="1"/>
  <c r="AC351" i="1"/>
  <c r="AC364" i="1"/>
  <c r="AF364" i="1"/>
  <c r="AE364" i="1"/>
  <c r="AF366" i="1"/>
  <c r="AC379" i="1"/>
  <c r="AF379" i="1"/>
  <c r="AE379" i="1"/>
  <c r="AF381" i="1"/>
  <c r="AC383" i="1"/>
  <c r="AF383" i="1"/>
  <c r="AE383" i="1"/>
  <c r="AE261" i="1"/>
  <c r="AF268" i="1"/>
  <c r="AF270" i="1"/>
  <c r="AF285" i="1"/>
  <c r="AF300" i="1"/>
  <c r="AF315" i="1"/>
  <c r="AF319" i="1"/>
  <c r="AE260" i="1"/>
  <c r="AD268" i="1"/>
  <c r="AD270" i="1"/>
  <c r="AD285" i="1"/>
  <c r="AD300" i="1"/>
  <c r="AD315" i="1"/>
  <c r="AD319" i="1"/>
  <c r="AG383" i="1"/>
  <c r="AD383" i="1"/>
  <c r="AH383" i="1"/>
  <c r="AH381" i="1"/>
  <c r="AG379" i="1"/>
  <c r="AD379" i="1"/>
  <c r="AH379" i="1"/>
  <c r="AG366" i="1"/>
  <c r="AG364" i="1"/>
  <c r="AD364" i="1"/>
  <c r="AH364" i="1"/>
  <c r="AD351" i="1"/>
  <c r="AF349" i="1"/>
  <c r="AG349" i="1"/>
  <c r="AD349" i="1"/>
  <c r="AH349" i="1"/>
  <c r="AD347" i="1"/>
  <c r="AF334" i="1"/>
  <c r="AG334" i="1"/>
  <c r="AD334" i="1"/>
  <c r="AH334" i="1"/>
  <c r="AD332" i="1"/>
  <c r="AG319" i="1"/>
  <c r="AH319" i="1"/>
  <c r="AG315" i="1"/>
  <c r="AH315" i="1"/>
  <c r="AG302" i="1"/>
  <c r="AG300" i="1"/>
  <c r="AH300" i="1"/>
  <c r="AG285" i="1"/>
  <c r="AH285" i="1"/>
  <c r="AG283" i="1"/>
  <c r="AD341" i="1"/>
  <c r="AG341" i="1"/>
  <c r="AD339" i="1"/>
  <c r="AG339" i="1"/>
  <c r="AD337" i="1"/>
  <c r="AG337" i="1"/>
  <c r="AG390" i="1"/>
  <c r="AD390" i="1"/>
  <c r="BJ111" i="2"/>
  <c r="AG132" i="1"/>
  <c r="AD130" i="1"/>
  <c r="AG130" i="1"/>
  <c r="AD148" i="1"/>
  <c r="AG148" i="1"/>
  <c r="AG146" i="1"/>
  <c r="AD166" i="1"/>
  <c r="AG166" i="1"/>
  <c r="AD162" i="1"/>
  <c r="AG162" i="1"/>
  <c r="AG182" i="1"/>
  <c r="AD180" i="1"/>
  <c r="AG180" i="1"/>
  <c r="AD198" i="1"/>
  <c r="AG198" i="1"/>
  <c r="AG196" i="1"/>
  <c r="AD194" i="1"/>
  <c r="AG194" i="1"/>
  <c r="AD212" i="1"/>
  <c r="AG212" i="1"/>
  <c r="AG210" i="1"/>
  <c r="AD230" i="1"/>
  <c r="AG230" i="1"/>
  <c r="AD226" i="1"/>
  <c r="AG226" i="1"/>
  <c r="AG246" i="1"/>
  <c r="AD244" i="1"/>
  <c r="AG244" i="1"/>
  <c r="AD278" i="1"/>
  <c r="AG278" i="1"/>
  <c r="AG276" i="1"/>
  <c r="AD274" i="1"/>
  <c r="AG274" i="1"/>
  <c r="AD308" i="1"/>
  <c r="AG308" i="1"/>
  <c r="AG306" i="1"/>
  <c r="AD374" i="1"/>
  <c r="AG374" i="1"/>
  <c r="AG372" i="1"/>
  <c r="AD370" i="1"/>
  <c r="AG370" i="1"/>
  <c r="AH132" i="7951"/>
  <c r="AK132" i="7951"/>
  <c r="AM43" i="1"/>
  <c r="H553" i="7955"/>
  <c r="H353" i="7955"/>
  <c r="H253" i="7955"/>
  <c r="H103" i="7955"/>
  <c r="G553" i="7955"/>
  <c r="G503" i="7955"/>
  <c r="G453" i="7955"/>
  <c r="G403" i="7955"/>
  <c r="G303" i="7955"/>
  <c r="G203" i="7955"/>
  <c r="G153" i="7955"/>
  <c r="AB107" i="1"/>
  <c r="D89" i="1"/>
  <c r="W91" i="1"/>
  <c r="W92" i="1" s="1"/>
  <c r="C89" i="1"/>
  <c r="AR73" i="7951"/>
  <c r="AP74" i="7951"/>
  <c r="AT347" i="7950"/>
  <c r="AU347" i="7950" s="1"/>
  <c r="AV347" i="7950" s="1"/>
  <c r="AZ347" i="7950" s="1"/>
  <c r="AQ347" i="7950"/>
  <c r="AT283" i="7950"/>
  <c r="AU283" i="7950" s="1"/>
  <c r="K283" i="7950" s="1"/>
  <c r="G283" i="7950"/>
  <c r="AQ283" i="7950"/>
  <c r="AT203" i="7950"/>
  <c r="AU203" i="7950" s="1"/>
  <c r="G203" i="7950"/>
  <c r="AQ203" i="7950"/>
  <c r="AG238" i="1"/>
  <c r="AD238" i="1"/>
  <c r="AH238" i="1"/>
  <c r="AG270" i="1"/>
  <c r="AH270" i="1"/>
  <c r="AG268" i="1"/>
  <c r="AH268" i="1"/>
  <c r="AJ113" i="7951"/>
  <c r="AH113" i="7951"/>
  <c r="AI113" i="7951"/>
  <c r="AK113" i="7951"/>
  <c r="AE253" i="1"/>
  <c r="AG252" i="1"/>
  <c r="AF368" i="1"/>
  <c r="AD336" i="1"/>
  <c r="AG304" i="1"/>
  <c r="AD352" i="1"/>
  <c r="C73" i="7951"/>
  <c r="AH64" i="7951"/>
  <c r="AK67" i="7951"/>
  <c r="AJ142" i="7951"/>
  <c r="AK137" i="7951"/>
  <c r="AI103" i="7951"/>
  <c r="AG134" i="7951"/>
  <c r="AD253" i="1"/>
  <c r="AH252" i="1"/>
  <c r="AE368" i="1"/>
  <c r="AC304" i="1"/>
  <c r="AH352" i="1"/>
  <c r="AA553" i="7955"/>
  <c r="AA453" i="7955"/>
  <c r="AA353" i="7955"/>
  <c r="AA253" i="7955"/>
  <c r="AA203" i="7955"/>
  <c r="AA153" i="7955"/>
  <c r="AA503" i="7955"/>
  <c r="AA403" i="7955"/>
  <c r="AA303" i="7955"/>
  <c r="AA103" i="7955"/>
  <c r="AG64" i="7951"/>
  <c r="AL67" i="7951"/>
  <c r="AI137" i="7951"/>
  <c r="AK105" i="7951"/>
  <c r="AH103" i="7951"/>
  <c r="AK100" i="7951"/>
  <c r="CT350" i="7949"/>
  <c r="CT346" i="7949"/>
  <c r="CT357" i="7949" s="1"/>
  <c r="CT368" i="7949" s="1"/>
  <c r="CT487" i="7949"/>
  <c r="AJ70" i="7951"/>
  <c r="AL68" i="7951"/>
  <c r="AI139" i="7951"/>
  <c r="AI104" i="7951"/>
  <c r="CT360" i="7949"/>
  <c r="CT371" i="7949" s="1"/>
  <c r="CT393" i="7949"/>
  <c r="CT442" i="7949"/>
  <c r="CT453" i="7949" s="1"/>
  <c r="CT464" i="7949" s="1"/>
  <c r="CT440" i="7949"/>
  <c r="CT438" i="7949"/>
  <c r="CT449" i="7949" s="1"/>
  <c r="CT460" i="7949" s="1"/>
  <c r="CT831" i="7949"/>
  <c r="CT267" i="7949"/>
  <c r="CT277" i="7949"/>
  <c r="CT210" i="7949"/>
  <c r="CT208" i="7949"/>
  <c r="CT116" i="7949"/>
  <c r="CT822" i="7949"/>
  <c r="CT819" i="7949"/>
  <c r="CT740" i="7949"/>
  <c r="CT726" i="7949"/>
  <c r="CT268" i="7949"/>
  <c r="CT279" i="7949" s="1"/>
  <c r="BD46" i="1"/>
  <c r="AN168" i="2"/>
  <c r="AD47" i="1"/>
  <c r="AF45" i="1"/>
  <c r="AG45" i="1"/>
  <c r="AD64" i="1"/>
  <c r="AF61" i="1"/>
  <c r="AG61" i="1"/>
  <c r="AH79" i="1"/>
  <c r="AE77" i="1"/>
  <c r="AC77" i="1"/>
  <c r="AH75" i="1"/>
  <c r="AT61" i="1"/>
  <c r="AH95" i="1"/>
  <c r="AE93" i="1"/>
  <c r="AC93" i="1"/>
  <c r="AH91" i="1"/>
  <c r="AT62" i="1"/>
  <c r="AH110" i="1"/>
  <c r="AE108" i="1"/>
  <c r="AC108" i="1"/>
  <c r="AH128" i="1"/>
  <c r="AE126" i="1"/>
  <c r="AC126" i="1"/>
  <c r="AH124" i="1"/>
  <c r="AE144" i="1"/>
  <c r="AC144" i="1"/>
  <c r="AH142" i="1"/>
  <c r="AE140" i="1"/>
  <c r="AC140" i="1"/>
  <c r="AH160" i="1"/>
  <c r="AE158" i="1"/>
  <c r="AC158" i="1"/>
  <c r="AH156" i="1"/>
  <c r="AE176" i="1"/>
  <c r="AC176" i="1"/>
  <c r="AH174" i="1"/>
  <c r="AE172" i="1"/>
  <c r="AC172" i="1"/>
  <c r="AH192" i="1"/>
  <c r="AE190" i="1"/>
  <c r="AC190" i="1"/>
  <c r="AH188" i="1"/>
  <c r="AE208" i="1"/>
  <c r="AC208" i="1"/>
  <c r="AH206" i="1"/>
  <c r="AE204" i="1"/>
  <c r="AC204" i="1"/>
  <c r="AH224" i="1"/>
  <c r="AE222" i="1"/>
  <c r="AC222" i="1"/>
  <c r="AH220" i="1"/>
  <c r="AE240" i="1"/>
  <c r="AC240" i="1"/>
  <c r="AH236" i="1"/>
  <c r="CT94" i="7949"/>
  <c r="AZ65" i="2"/>
  <c r="AO65" i="2" s="1"/>
  <c r="BL91" i="2"/>
  <c r="AN167" i="2"/>
  <c r="AH48" i="1"/>
  <c r="AE46" i="1"/>
  <c r="AC46" i="1"/>
  <c r="AH44" i="1"/>
  <c r="AF62" i="1"/>
  <c r="AG62" i="1"/>
  <c r="AD60" i="1"/>
  <c r="AF80" i="1"/>
  <c r="AD80" i="1"/>
  <c r="AG80" i="1"/>
  <c r="AD78" i="1"/>
  <c r="AF76" i="1"/>
  <c r="AG76" i="1"/>
  <c r="AD96" i="1"/>
  <c r="AG96" i="1"/>
  <c r="AF94" i="1"/>
  <c r="AG94" i="1"/>
  <c r="AD92" i="1"/>
  <c r="AF112" i="1"/>
  <c r="AD112" i="1"/>
  <c r="AG112" i="1"/>
  <c r="AD109" i="1"/>
  <c r="AF107" i="1"/>
  <c r="AG107" i="1"/>
  <c r="AD127" i="1"/>
  <c r="AF125" i="1"/>
  <c r="AG125" i="1"/>
  <c r="AD123" i="1"/>
  <c r="AF143" i="1"/>
  <c r="AG143" i="1"/>
  <c r="AD141" i="1"/>
  <c r="AF139" i="1"/>
  <c r="AG139" i="1"/>
  <c r="AD159" i="1"/>
  <c r="AF157" i="1"/>
  <c r="AG157" i="1"/>
  <c r="AD155" i="1"/>
  <c r="AF175" i="1"/>
  <c r="AG175" i="1"/>
  <c r="AD173" i="1"/>
  <c r="AF171" i="1"/>
  <c r="AG171" i="1"/>
  <c r="AD191" i="1"/>
  <c r="AF189" i="1"/>
  <c r="AG189" i="1"/>
  <c r="AD187" i="1"/>
  <c r="AF207" i="1"/>
  <c r="AG207" i="1"/>
  <c r="AD205" i="1"/>
  <c r="AF203" i="1"/>
  <c r="AG203" i="1"/>
  <c r="AD223" i="1"/>
  <c r="AF221" i="1"/>
  <c r="AG221" i="1"/>
  <c r="AD219" i="1"/>
  <c r="AF237" i="1"/>
  <c r="AG237" i="1"/>
  <c r="AD235" i="1"/>
  <c r="AP52" i="3"/>
  <c r="AR52" i="3"/>
  <c r="AS52" i="3" s="1"/>
  <c r="AO52" i="3"/>
  <c r="AQ52" i="3"/>
  <c r="AH68" i="7951"/>
  <c r="AJ60" i="7951"/>
  <c r="AK60" i="7951"/>
  <c r="AH141" i="7951"/>
  <c r="AJ139" i="7951"/>
  <c r="AK139" i="7951"/>
  <c r="AH136" i="7951"/>
  <c r="AJ106" i="7951"/>
  <c r="AH106" i="7951"/>
  <c r="AH104" i="7951"/>
  <c r="AK104" i="7951"/>
  <c r="AJ104" i="7951"/>
  <c r="AJ101" i="7951"/>
  <c r="AH101" i="7951"/>
  <c r="AJ96" i="7951"/>
  <c r="AH96" i="7951"/>
  <c r="AK96" i="7951"/>
  <c r="CT821" i="7949"/>
  <c r="CT832" i="7949" s="1"/>
  <c r="CT728" i="7949"/>
  <c r="CT738" i="7949"/>
  <c r="CT829" i="7949"/>
  <c r="X68" i="2"/>
  <c r="X67" i="2"/>
  <c r="CT92" i="7949"/>
  <c r="BL90" i="2"/>
  <c r="AH47" i="1"/>
  <c r="AE45" i="1"/>
  <c r="AC45" i="1"/>
  <c r="AH64" i="1"/>
  <c r="AE61" i="1"/>
  <c r="AC61" i="1"/>
  <c r="AD79" i="1"/>
  <c r="AF77" i="1"/>
  <c r="AG77" i="1"/>
  <c r="AD75" i="1"/>
  <c r="AF95" i="1"/>
  <c r="AG95" i="1"/>
  <c r="AD93" i="1"/>
  <c r="AF91" i="1"/>
  <c r="AG91" i="1"/>
  <c r="AD110" i="1"/>
  <c r="AF108" i="1"/>
  <c r="AG108" i="1"/>
  <c r="AD128" i="1"/>
  <c r="AG128" i="1"/>
  <c r="AF126" i="1"/>
  <c r="AG126" i="1"/>
  <c r="AD124" i="1"/>
  <c r="AF144" i="1"/>
  <c r="AD144" i="1"/>
  <c r="AG144" i="1"/>
  <c r="AD142" i="1"/>
  <c r="AF140" i="1"/>
  <c r="AG140" i="1"/>
  <c r="AD160" i="1"/>
  <c r="AG160" i="1"/>
  <c r="AF158" i="1"/>
  <c r="AG158" i="1"/>
  <c r="AD156" i="1"/>
  <c r="AF176" i="1"/>
  <c r="AD176" i="1"/>
  <c r="AG176" i="1"/>
  <c r="AD174" i="1"/>
  <c r="AF172" i="1"/>
  <c r="AG172" i="1"/>
  <c r="AD192" i="1"/>
  <c r="AG192" i="1"/>
  <c r="AF190" i="1"/>
  <c r="AG190" i="1"/>
  <c r="AD188" i="1"/>
  <c r="AF208" i="1"/>
  <c r="AD208" i="1"/>
  <c r="AG208" i="1"/>
  <c r="AD206" i="1"/>
  <c r="AF204" i="1"/>
  <c r="AG204" i="1"/>
  <c r="AD224" i="1"/>
  <c r="AG224" i="1"/>
  <c r="AF222" i="1"/>
  <c r="AG222" i="1"/>
  <c r="AD220" i="1"/>
  <c r="AF240" i="1"/>
  <c r="AD240" i="1"/>
  <c r="AG240" i="1"/>
  <c r="AD236" i="1"/>
  <c r="AN169" i="2"/>
  <c r="BL89" i="2"/>
  <c r="AD48" i="1"/>
  <c r="AF46" i="1"/>
  <c r="AG46" i="1"/>
  <c r="AD44" i="1"/>
  <c r="AE62" i="1"/>
  <c r="AC62" i="1"/>
  <c r="AH60" i="1"/>
  <c r="AE80" i="1"/>
  <c r="AC80" i="1"/>
  <c r="AH78" i="1"/>
  <c r="AE76" i="1"/>
  <c r="AC76" i="1"/>
  <c r="AH96" i="1"/>
  <c r="AE94" i="1"/>
  <c r="AC94" i="1"/>
  <c r="AH92" i="1"/>
  <c r="AE112" i="1"/>
  <c r="AC112" i="1"/>
  <c r="AH109" i="1"/>
  <c r="AE107" i="1"/>
  <c r="AC107" i="1"/>
  <c r="AE127" i="1"/>
  <c r="AC127" i="1"/>
  <c r="AH125" i="1"/>
  <c r="AE123" i="1"/>
  <c r="AC123" i="1"/>
  <c r="AH143" i="1"/>
  <c r="AE141" i="1"/>
  <c r="AC141" i="1"/>
  <c r="AH139" i="1"/>
  <c r="AE159" i="1"/>
  <c r="AC159" i="1"/>
  <c r="AH157" i="1"/>
  <c r="AE155" i="1"/>
  <c r="AC155" i="1"/>
  <c r="AH175" i="1"/>
  <c r="AE173" i="1"/>
  <c r="AC173" i="1"/>
  <c r="AH171" i="1"/>
  <c r="AE191" i="1"/>
  <c r="AC191" i="1"/>
  <c r="AH189" i="1"/>
  <c r="AE187" i="1"/>
  <c r="AC187" i="1"/>
  <c r="AH207" i="1"/>
  <c r="AE205" i="1"/>
  <c r="AC205" i="1"/>
  <c r="AH203" i="1"/>
  <c r="AE223" i="1"/>
  <c r="AC223" i="1"/>
  <c r="AH221" i="1"/>
  <c r="AE219" i="1"/>
  <c r="AC219" i="1"/>
  <c r="AH237" i="1"/>
  <c r="AE235" i="1"/>
  <c r="AC235" i="1"/>
  <c r="AV283" i="7950"/>
  <c r="AZ283" i="7950" s="1"/>
  <c r="AR74" i="7951"/>
  <c r="AP75" i="7951"/>
  <c r="AR75" i="7951" s="1"/>
  <c r="K203" i="7950"/>
  <c r="AV203" i="7950"/>
  <c r="AX203" i="7950" s="1"/>
  <c r="K347" i="7950"/>
  <c r="D105" i="1"/>
  <c r="W107" i="1"/>
  <c r="W108" i="1" s="1"/>
  <c r="CT739" i="7949"/>
  <c r="CT737" i="7949"/>
  <c r="CT830" i="7949"/>
  <c r="CT833" i="7949"/>
  <c r="CT541" i="7949"/>
  <c r="CT552" i="7949" s="1"/>
  <c r="CT276" i="7949"/>
  <c r="CT278" i="7949"/>
  <c r="CT451" i="7949"/>
  <c r="CT462" i="7949" s="1"/>
  <c r="CT369" i="7949"/>
  <c r="CT461" i="7949"/>
  <c r="CT359" i="7949"/>
  <c r="CT370" i="7949" s="1"/>
  <c r="CT361" i="7949"/>
  <c r="CT372" i="7949" s="1"/>
  <c r="C451" i="7955"/>
  <c r="C501" i="7955" s="1"/>
  <c r="AH94" i="7949"/>
  <c r="AH95" i="7949"/>
  <c r="AH99" i="7949"/>
  <c r="AH91" i="7949"/>
  <c r="AT63" i="1" l="1"/>
  <c r="E64" i="3"/>
  <c r="AJ71" i="2"/>
  <c r="AJ77" i="2"/>
  <c r="AJ76" i="2"/>
  <c r="AF63" i="7950"/>
  <c r="AF64" i="7950"/>
  <c r="V73" i="7950"/>
  <c r="AF66" i="7950"/>
  <c r="Z369" i="1"/>
  <c r="AA369" i="1"/>
  <c r="Z371" i="1"/>
  <c r="AA371" i="1"/>
  <c r="Z373" i="1"/>
  <c r="AA373" i="1"/>
  <c r="Z358" i="1"/>
  <c r="AA358" i="1"/>
  <c r="Z338" i="1"/>
  <c r="AA338" i="1"/>
  <c r="Z340" i="1"/>
  <c r="AA340" i="1"/>
  <c r="Z342" i="1"/>
  <c r="AA342" i="1"/>
  <c r="AD322" i="1"/>
  <c r="AC322" i="1"/>
  <c r="AH322" i="1"/>
  <c r="Z305" i="1"/>
  <c r="AA305" i="1"/>
  <c r="Z307" i="1"/>
  <c r="AA307" i="1"/>
  <c r="Z309" i="1"/>
  <c r="AA309" i="1"/>
  <c r="Z273" i="1"/>
  <c r="AA273" i="1"/>
  <c r="Z275" i="1"/>
  <c r="AA275" i="1"/>
  <c r="Z277" i="1"/>
  <c r="AA277" i="1"/>
  <c r="Z241" i="1"/>
  <c r="AA241" i="1"/>
  <c r="Z243" i="1"/>
  <c r="AA243" i="1"/>
  <c r="Z245" i="1"/>
  <c r="AA245" i="1"/>
  <c r="Z225" i="1"/>
  <c r="AA225" i="1"/>
  <c r="Z227" i="1"/>
  <c r="AA227" i="1"/>
  <c r="Z229" i="1"/>
  <c r="AA229" i="1"/>
  <c r="Z209" i="1"/>
  <c r="AA209" i="1"/>
  <c r="Z211" i="1"/>
  <c r="AA211" i="1"/>
  <c r="Z213" i="1"/>
  <c r="AA213" i="1"/>
  <c r="Z193" i="1"/>
  <c r="AA193" i="1"/>
  <c r="Z195" i="1"/>
  <c r="AA195" i="1"/>
  <c r="Z197" i="1"/>
  <c r="AA197" i="1"/>
  <c r="Z177" i="1"/>
  <c r="AA177" i="1"/>
  <c r="Z179" i="1"/>
  <c r="AA179" i="1"/>
  <c r="Z181" i="1"/>
  <c r="AA181" i="1"/>
  <c r="Z161" i="1"/>
  <c r="AA161" i="1"/>
  <c r="Z163" i="1"/>
  <c r="AA163" i="1"/>
  <c r="Z165" i="1"/>
  <c r="AA165" i="1"/>
  <c r="Z145" i="1"/>
  <c r="AA145" i="1"/>
  <c r="Z147" i="1"/>
  <c r="AA147" i="1"/>
  <c r="Z149" i="1"/>
  <c r="AA149" i="1"/>
  <c r="Z129" i="1"/>
  <c r="AA129" i="1"/>
  <c r="Z131" i="1"/>
  <c r="AA131" i="1"/>
  <c r="Z133" i="1"/>
  <c r="AA133" i="1"/>
  <c r="AE134" i="1"/>
  <c r="AF134" i="1"/>
  <c r="AF113" i="1"/>
  <c r="AH113" i="1"/>
  <c r="AF114" i="1"/>
  <c r="AH114" i="1"/>
  <c r="AF115" i="1"/>
  <c r="AH115" i="1"/>
  <c r="AF116" i="1"/>
  <c r="AH116" i="1"/>
  <c r="AF117" i="1"/>
  <c r="AH117" i="1"/>
  <c r="AF118" i="1"/>
  <c r="AH118" i="1"/>
  <c r="AF97" i="1"/>
  <c r="AH97" i="1"/>
  <c r="AF98" i="1"/>
  <c r="AH98" i="1"/>
  <c r="AF99" i="1"/>
  <c r="AH99" i="1"/>
  <c r="AF100" i="1"/>
  <c r="AH100" i="1"/>
  <c r="AF101" i="1"/>
  <c r="AH101" i="1"/>
  <c r="AF102" i="1"/>
  <c r="AH102" i="1"/>
  <c r="AF81" i="1"/>
  <c r="AH81" i="1"/>
  <c r="AF82" i="1"/>
  <c r="AH82" i="1"/>
  <c r="AF83" i="1"/>
  <c r="AH83" i="1"/>
  <c r="AF84" i="1"/>
  <c r="AH84" i="1"/>
  <c r="AF85" i="1"/>
  <c r="AH85" i="1"/>
  <c r="AF86" i="1"/>
  <c r="AH86" i="1"/>
  <c r="AF63" i="1"/>
  <c r="AG63" i="1"/>
  <c r="AD63" i="1"/>
  <c r="AH63" i="1"/>
  <c r="AD65" i="1"/>
  <c r="AE65" i="1"/>
  <c r="AF65" i="1"/>
  <c r="AG66" i="1"/>
  <c r="AD66" i="1"/>
  <c r="AE66" i="1"/>
  <c r="AC66" i="1"/>
  <c r="Z67" i="1"/>
  <c r="AA67" i="1"/>
  <c r="AE68" i="1"/>
  <c r="AC68" i="1"/>
  <c r="AD69" i="1"/>
  <c r="AE69" i="1"/>
  <c r="AF69" i="1"/>
  <c r="AG70" i="1"/>
  <c r="AD70" i="1"/>
  <c r="AE70" i="1"/>
  <c r="AC70" i="1"/>
  <c r="AD49" i="1"/>
  <c r="AG49" i="1"/>
  <c r="AH49" i="1"/>
  <c r="AG50" i="1"/>
  <c r="AF50" i="1"/>
  <c r="AD50" i="1"/>
  <c r="AH50" i="1"/>
  <c r="AD51" i="1"/>
  <c r="AG51" i="1"/>
  <c r="AH51" i="1"/>
  <c r="AF52" i="1"/>
  <c r="AG52" i="1"/>
  <c r="AD52" i="1"/>
  <c r="AH52" i="1"/>
  <c r="AD53" i="1"/>
  <c r="AG53" i="1"/>
  <c r="AH53" i="1"/>
  <c r="AG54" i="1"/>
  <c r="AD54" i="1"/>
  <c r="AH54" i="1"/>
  <c r="U257" i="1"/>
  <c r="AL257" i="1"/>
  <c r="AM257" i="1" s="1"/>
  <c r="U261" i="1"/>
  <c r="AL261" i="1"/>
  <c r="AM261" i="1" s="1"/>
  <c r="U258" i="1"/>
  <c r="AL258" i="1"/>
  <c r="AM258" i="1" s="1"/>
  <c r="U260" i="1"/>
  <c r="AL260" i="1"/>
  <c r="AM260" i="1" s="1"/>
  <c r="U262" i="1"/>
  <c r="AL262" i="1"/>
  <c r="AM262" i="1" s="1"/>
  <c r="AF238" i="1"/>
  <c r="AE238" i="1"/>
  <c r="Z239" i="1"/>
  <c r="AA239" i="1"/>
  <c r="Z257" i="1"/>
  <c r="AA257" i="1"/>
  <c r="AC258" i="1"/>
  <c r="AH258" i="1"/>
  <c r="AE258" i="1"/>
  <c r="AC259" i="1"/>
  <c r="AF259" i="1"/>
  <c r="AH259" i="1"/>
  <c r="AD260" i="1"/>
  <c r="AF260" i="1"/>
  <c r="AH260" i="1"/>
  <c r="AH261" i="1"/>
  <c r="AC261" i="1"/>
  <c r="AD261" i="1"/>
  <c r="Z262" i="1"/>
  <c r="AA262" i="1"/>
  <c r="Z267" i="1"/>
  <c r="AA267" i="1"/>
  <c r="Z269" i="1"/>
  <c r="AA269" i="1"/>
  <c r="Z271" i="1"/>
  <c r="AA271" i="1"/>
  <c r="Z284" i="1"/>
  <c r="AA284" i="1"/>
  <c r="Z286" i="1"/>
  <c r="AA286" i="1"/>
  <c r="Z299" i="1"/>
  <c r="AA299" i="1"/>
  <c r="Z301" i="1"/>
  <c r="AA301" i="1"/>
  <c r="Z303" i="1"/>
  <c r="AA303" i="1"/>
  <c r="Z316" i="1"/>
  <c r="AA316" i="1"/>
  <c r="Z318" i="1"/>
  <c r="AA318" i="1"/>
  <c r="Z331" i="1"/>
  <c r="AA331" i="1"/>
  <c r="Z333" i="1"/>
  <c r="AA333" i="1"/>
  <c r="Z335" i="1"/>
  <c r="AA335" i="1"/>
  <c r="Z348" i="1"/>
  <c r="AA348" i="1"/>
  <c r="Z350" i="1"/>
  <c r="AA350" i="1"/>
  <c r="Z363" i="1"/>
  <c r="AA363" i="1"/>
  <c r="Z365" i="1"/>
  <c r="AA365" i="1"/>
  <c r="Z367" i="1"/>
  <c r="AA367" i="1"/>
  <c r="Z380" i="1"/>
  <c r="AA380" i="1"/>
  <c r="Z382" i="1"/>
  <c r="AA382" i="1"/>
  <c r="AK75" i="7951"/>
  <c r="AI75" i="7951"/>
  <c r="AD384" i="1"/>
  <c r="AG384" i="1"/>
  <c r="AC384" i="1"/>
  <c r="AD320" i="1"/>
  <c r="AF320" i="1"/>
  <c r="AE320" i="1"/>
  <c r="AF288" i="1"/>
  <c r="AD288" i="1"/>
  <c r="AH288" i="1"/>
  <c r="AF93" i="7951"/>
  <c r="AA75" i="7951"/>
  <c r="AA76" i="7951" s="1"/>
  <c r="AA77" i="7951" s="1"/>
  <c r="AA78" i="7951" s="1"/>
  <c r="AA80" i="7951" s="1"/>
  <c r="AA81" i="7951" s="1"/>
  <c r="AA82" i="7951" s="1"/>
  <c r="AA83" i="7951" s="1"/>
  <c r="AA85" i="7951" s="1"/>
  <c r="AA86" i="7951" s="1"/>
  <c r="AA87" i="7951" s="1"/>
  <c r="AA88" i="7951" s="1"/>
  <c r="AK64" i="7951"/>
  <c r="AL64" i="7951"/>
  <c r="AH69" i="7951"/>
  <c r="AJ69" i="7951"/>
  <c r="AH67" i="7951"/>
  <c r="AG67" i="7951"/>
  <c r="AK142" i="7951"/>
  <c r="AI142" i="7951"/>
  <c r="AK140" i="7951"/>
  <c r="AL140" i="7951"/>
  <c r="AH137" i="7951"/>
  <c r="AJ137" i="7951"/>
  <c r="AI70" i="7951"/>
  <c r="AH70" i="7951"/>
  <c r="BL64" i="2"/>
  <c r="BL169" i="2"/>
  <c r="AC381" i="1"/>
  <c r="AE381" i="1"/>
  <c r="AD381" i="1"/>
  <c r="AC366" i="1"/>
  <c r="AE366" i="1"/>
  <c r="AD366" i="1"/>
  <c r="AE351" i="1"/>
  <c r="AG351" i="1"/>
  <c r="AH351" i="1"/>
  <c r="AE347" i="1"/>
  <c r="AG347" i="1"/>
  <c r="AH347" i="1"/>
  <c r="AE332" i="1"/>
  <c r="AG332" i="1"/>
  <c r="AH332" i="1"/>
  <c r="AE317" i="1"/>
  <c r="AD317" i="1"/>
  <c r="AH317" i="1"/>
  <c r="AE302" i="1"/>
  <c r="AD302" i="1"/>
  <c r="AH302" i="1"/>
  <c r="AE287" i="1"/>
  <c r="AD287" i="1"/>
  <c r="AH287" i="1"/>
  <c r="AE283" i="1"/>
  <c r="AD283" i="1"/>
  <c r="AH283" i="1"/>
  <c r="AE132" i="1"/>
  <c r="AF132" i="1"/>
  <c r="AD132" i="1"/>
  <c r="AE150" i="1"/>
  <c r="AF150" i="1"/>
  <c r="AD150" i="1"/>
  <c r="AE146" i="1"/>
  <c r="AF146" i="1"/>
  <c r="AD146" i="1"/>
  <c r="AE164" i="1"/>
  <c r="AF164" i="1"/>
  <c r="AD164" i="1"/>
  <c r="AE182" i="1"/>
  <c r="AF182" i="1"/>
  <c r="AD182" i="1"/>
  <c r="AE178" i="1"/>
  <c r="AF178" i="1"/>
  <c r="AD178" i="1"/>
  <c r="AE196" i="1"/>
  <c r="AF196" i="1"/>
  <c r="AD196" i="1"/>
  <c r="AE214" i="1"/>
  <c r="AF214" i="1"/>
  <c r="AD214" i="1"/>
  <c r="AE210" i="1"/>
  <c r="AF210" i="1"/>
  <c r="AD210" i="1"/>
  <c r="AE228" i="1"/>
  <c r="AF228" i="1"/>
  <c r="AD228" i="1"/>
  <c r="AE246" i="1"/>
  <c r="AF246" i="1"/>
  <c r="AD246" i="1"/>
  <c r="AE242" i="1"/>
  <c r="AF242" i="1"/>
  <c r="AD242" i="1"/>
  <c r="AE276" i="1"/>
  <c r="AF276" i="1"/>
  <c r="AD276" i="1"/>
  <c r="AE310" i="1"/>
  <c r="AF310" i="1"/>
  <c r="AD310" i="1"/>
  <c r="AE306" i="1"/>
  <c r="AF306" i="1"/>
  <c r="AD306" i="1"/>
  <c r="AT363" i="7950"/>
  <c r="AU363" i="7950" s="1"/>
  <c r="I363" i="7950"/>
  <c r="E187" i="7950"/>
  <c r="AR187" i="7950"/>
  <c r="I53" i="7955"/>
  <c r="I403" i="7955" s="1"/>
  <c r="C105" i="1"/>
  <c r="AB123" i="1"/>
  <c r="AT64" i="1" s="1"/>
  <c r="AH235" i="1"/>
  <c r="AC237" i="1"/>
  <c r="AE237" i="1"/>
  <c r="AH219" i="1"/>
  <c r="AC221" i="1"/>
  <c r="AE221" i="1"/>
  <c r="AH223" i="1"/>
  <c r="AC203" i="1"/>
  <c r="AE203" i="1"/>
  <c r="AH205" i="1"/>
  <c r="AC207" i="1"/>
  <c r="AE207" i="1"/>
  <c r="AH187" i="1"/>
  <c r="AC189" i="1"/>
  <c r="AE189" i="1"/>
  <c r="AH191" i="1"/>
  <c r="AC171" i="1"/>
  <c r="AE171" i="1"/>
  <c r="AH173" i="1"/>
  <c r="AC175" i="1"/>
  <c r="AE175" i="1"/>
  <c r="AH155" i="1"/>
  <c r="AC157" i="1"/>
  <c r="AE157" i="1"/>
  <c r="AH159" i="1"/>
  <c r="AC139" i="1"/>
  <c r="AE139" i="1"/>
  <c r="AH141" i="1"/>
  <c r="AC143" i="1"/>
  <c r="AE143" i="1"/>
  <c r="AH123" i="1"/>
  <c r="AC125" i="1"/>
  <c r="AE125" i="1"/>
  <c r="AH127" i="1"/>
  <c r="AH107" i="1"/>
  <c r="AC109" i="1"/>
  <c r="AE109" i="1"/>
  <c r="AC92" i="1"/>
  <c r="AE92" i="1"/>
  <c r="AH94" i="1"/>
  <c r="AC96" i="1"/>
  <c r="AE96" i="1"/>
  <c r="AH76" i="1"/>
  <c r="AC78" i="1"/>
  <c r="AE78" i="1"/>
  <c r="AC60" i="1"/>
  <c r="AE60" i="1"/>
  <c r="AH62" i="1"/>
  <c r="AG44" i="1"/>
  <c r="AF44" i="1"/>
  <c r="AD46" i="1"/>
  <c r="AG48" i="1"/>
  <c r="AF48" i="1"/>
  <c r="M46" i="3"/>
  <c r="AG236" i="1"/>
  <c r="AF236" i="1"/>
  <c r="AG220" i="1"/>
  <c r="AF220" i="1"/>
  <c r="AD222" i="1"/>
  <c r="AF224" i="1"/>
  <c r="AD204" i="1"/>
  <c r="AG206" i="1"/>
  <c r="AF206" i="1"/>
  <c r="AG188" i="1"/>
  <c r="AF188" i="1"/>
  <c r="AD190" i="1"/>
  <c r="AF192" i="1"/>
  <c r="AD172" i="1"/>
  <c r="AG174" i="1"/>
  <c r="AF174" i="1"/>
  <c r="AG156" i="1"/>
  <c r="AF156" i="1"/>
  <c r="AD158" i="1"/>
  <c r="AF160" i="1"/>
  <c r="AD140" i="1"/>
  <c r="AG142" i="1"/>
  <c r="AF142" i="1"/>
  <c r="AG124" i="1"/>
  <c r="AF124" i="1"/>
  <c r="AD126" i="1"/>
  <c r="AF128" i="1"/>
  <c r="AD108" i="1"/>
  <c r="AG110" i="1"/>
  <c r="AF110" i="1"/>
  <c r="AD91" i="1"/>
  <c r="AG93" i="1"/>
  <c r="AF93" i="1"/>
  <c r="AD95" i="1"/>
  <c r="AG75" i="1"/>
  <c r="AF75" i="1"/>
  <c r="AD77" i="1"/>
  <c r="AG79" i="1"/>
  <c r="AF79" i="1"/>
  <c r="AH61" i="1"/>
  <c r="AC64" i="1"/>
  <c r="AE64" i="1"/>
  <c r="AH45" i="1"/>
  <c r="AC47" i="1"/>
  <c r="AE47" i="1"/>
  <c r="AZ64" i="2"/>
  <c r="AO64" i="2" s="1"/>
  <c r="AF284" i="7950"/>
  <c r="AK101" i="7951"/>
  <c r="AK106" i="7951"/>
  <c r="AK136" i="7951"/>
  <c r="AJ136" i="7951"/>
  <c r="AH139" i="7951"/>
  <c r="AK141" i="7951"/>
  <c r="AJ141" i="7951"/>
  <c r="AH60" i="7951"/>
  <c r="AK68" i="7951"/>
  <c r="AJ68" i="7951"/>
  <c r="AT59" i="1"/>
  <c r="V59" i="7947"/>
  <c r="AG235" i="1"/>
  <c r="AG219" i="1"/>
  <c r="AG223" i="1"/>
  <c r="AG205" i="1"/>
  <c r="AG187" i="1"/>
  <c r="AG191" i="1"/>
  <c r="AG173" i="1"/>
  <c r="AG155" i="1"/>
  <c r="AG159" i="1"/>
  <c r="AG141" i="1"/>
  <c r="AG123" i="1"/>
  <c r="AG127" i="1"/>
  <c r="AG109" i="1"/>
  <c r="AG92" i="1"/>
  <c r="AG78" i="1"/>
  <c r="AG60" i="1"/>
  <c r="AC44" i="1"/>
  <c r="AC48" i="1"/>
  <c r="F64" i="3"/>
  <c r="I64" i="3" s="1"/>
  <c r="AC236" i="1"/>
  <c r="AC220" i="1"/>
  <c r="AC224" i="1"/>
  <c r="AC206" i="1"/>
  <c r="AC188" i="1"/>
  <c r="AC192" i="1"/>
  <c r="AC174" i="1"/>
  <c r="AC156" i="1"/>
  <c r="AC160" i="1"/>
  <c r="AC142" i="1"/>
  <c r="AC124" i="1"/>
  <c r="AC128" i="1"/>
  <c r="AC110" i="1"/>
  <c r="AC91" i="1"/>
  <c r="AC95" i="1"/>
  <c r="AC75" i="1"/>
  <c r="AC79" i="1"/>
  <c r="AG64" i="1"/>
  <c r="AG47" i="1"/>
  <c r="AK70" i="7951"/>
  <c r="AJ100" i="7951"/>
  <c r="AG140" i="7951"/>
  <c r="AI69" i="7951"/>
  <c r="AC320" i="1"/>
  <c r="AE384" i="1"/>
  <c r="AI131" i="7951"/>
  <c r="AG70" i="7951"/>
  <c r="AI105" i="7951"/>
  <c r="AH140" i="7951"/>
  <c r="AH142" i="7951"/>
  <c r="AK69" i="7951"/>
  <c r="I73" i="7951"/>
  <c r="AG320" i="1"/>
  <c r="AF384" i="1"/>
  <c r="AJ75" i="7951"/>
  <c r="AG310" i="1"/>
  <c r="AG242" i="1"/>
  <c r="AG228" i="1"/>
  <c r="AG214" i="1"/>
  <c r="AG178" i="1"/>
  <c r="AG164" i="1"/>
  <c r="AG150" i="1"/>
  <c r="AG287" i="1"/>
  <c r="AG317" i="1"/>
  <c r="AF332" i="1"/>
  <c r="AF347" i="1"/>
  <c r="AF351" i="1"/>
  <c r="AH366" i="1"/>
  <c r="AG381" i="1"/>
  <c r="AF317" i="1"/>
  <c r="AF302" i="1"/>
  <c r="AF287" i="1"/>
  <c r="AF283" i="1"/>
  <c r="AC347" i="1"/>
  <c r="AC317" i="1"/>
  <c r="AC287" i="1"/>
  <c r="AH132" i="1"/>
  <c r="AH150" i="1"/>
  <c r="AH146" i="1"/>
  <c r="AH164" i="1"/>
  <c r="AH182" i="1"/>
  <c r="AH178" i="1"/>
  <c r="AH196" i="1"/>
  <c r="AH214" i="1"/>
  <c r="AH210" i="1"/>
  <c r="AH228" i="1"/>
  <c r="AH246" i="1"/>
  <c r="AH242" i="1"/>
  <c r="AH276" i="1"/>
  <c r="AH310" i="1"/>
  <c r="AH306" i="1"/>
  <c r="AR363" i="7950"/>
  <c r="I187" i="7950"/>
  <c r="CC649" i="7949"/>
  <c r="E347" i="7950"/>
  <c r="G347" i="7950"/>
  <c r="AQ187" i="7950"/>
  <c r="AG261" i="1"/>
  <c r="AE372" i="1"/>
  <c r="AF372" i="1"/>
  <c r="AD372" i="1"/>
  <c r="CC94" i="7949"/>
  <c r="AC260" i="1"/>
  <c r="AF258" i="1"/>
  <c r="AF261" i="1"/>
  <c r="BD193" i="2"/>
  <c r="BE55" i="3"/>
  <c r="AT64" i="3"/>
  <c r="AH64" i="3"/>
  <c r="V64" i="3"/>
  <c r="J64" i="3"/>
  <c r="AS55" i="3"/>
  <c r="AN65" i="3" s="1"/>
  <c r="D62" i="3"/>
  <c r="AG55" i="3"/>
  <c r="V60" i="3"/>
  <c r="J60" i="3"/>
  <c r="U55" i="3"/>
  <c r="D58" i="3"/>
  <c r="AX188" i="7949"/>
  <c r="AX186" i="7949"/>
  <c r="AS187" i="7949"/>
  <c r="AS109" i="7949"/>
  <c r="AK187" i="7949"/>
  <c r="AK185" i="7949"/>
  <c r="AK183" i="7949"/>
  <c r="AS90" i="7949"/>
  <c r="AS98" i="7949"/>
  <c r="AK188" i="7949"/>
  <c r="AK190" i="7949"/>
  <c r="AS97" i="7949"/>
  <c r="AX98" i="7949"/>
  <c r="AX90" i="7949"/>
  <c r="AU176" i="7949"/>
  <c r="AU174" i="7949"/>
  <c r="C68" i="7947"/>
  <c r="AW111" i="7949"/>
  <c r="C66" i="7947"/>
  <c r="AT97" i="7949"/>
  <c r="AI97" i="7949" s="1"/>
  <c r="C64" i="7947"/>
  <c r="AT95" i="7949"/>
  <c r="AI95" i="7949" s="1"/>
  <c r="AW107" i="7949"/>
  <c r="C60" i="7947"/>
  <c r="AW103" i="7949"/>
  <c r="AT91" i="7949"/>
  <c r="AI91" i="7949" s="1"/>
  <c r="C57" i="7950"/>
  <c r="BM41" i="7950"/>
  <c r="AV70" i="7951"/>
  <c r="AX110" i="7949"/>
  <c r="AX102" i="7949"/>
  <c r="AL46" i="7952"/>
  <c r="AM46" i="7952"/>
  <c r="AL42" i="7952"/>
  <c r="AM42" i="7952"/>
  <c r="Z62" i="7952"/>
  <c r="AL259" i="1"/>
  <c r="AM259" i="1" s="1"/>
  <c r="AE390" i="1"/>
  <c r="AF390" i="1"/>
  <c r="AG389" i="1"/>
  <c r="AH389" i="1"/>
  <c r="AE389" i="1"/>
  <c r="AF389" i="1"/>
  <c r="AD388" i="1"/>
  <c r="AG388" i="1"/>
  <c r="AC388" i="1"/>
  <c r="AH388" i="1"/>
  <c r="AG387" i="1"/>
  <c r="AD387" i="1"/>
  <c r="AC387" i="1"/>
  <c r="AE387" i="1"/>
  <c r="AH387" i="1"/>
  <c r="Z386" i="1"/>
  <c r="AA386" i="1"/>
  <c r="AC385" i="1"/>
  <c r="AE385" i="1"/>
  <c r="CK673" i="2"/>
  <c r="CK677" i="2"/>
  <c r="CK675" i="2"/>
  <c r="CJ677" i="2"/>
  <c r="CJ673" i="2"/>
  <c r="CI673" i="2" s="1"/>
  <c r="BC76" i="1"/>
  <c r="BC45" i="1"/>
  <c r="BC61" i="1"/>
  <c r="BC367" i="1"/>
  <c r="BC363" i="1"/>
  <c r="BC348" i="1"/>
  <c r="BC333" i="1"/>
  <c r="BC318" i="1"/>
  <c r="BC303" i="1"/>
  <c r="BC299" i="1"/>
  <c r="BC284" i="1"/>
  <c r="BC269" i="1"/>
  <c r="BC239" i="1"/>
  <c r="BC235" i="1"/>
  <c r="BC220" i="1"/>
  <c r="BC205" i="1"/>
  <c r="BC190" i="1"/>
  <c r="BC175" i="1"/>
  <c r="BC171" i="1"/>
  <c r="BC156" i="1"/>
  <c r="BC141" i="1"/>
  <c r="BC126" i="1"/>
  <c r="BC111" i="1"/>
  <c r="BC107" i="1"/>
  <c r="BC92" i="1"/>
  <c r="BC77" i="1"/>
  <c r="BC46" i="1"/>
  <c r="BC60" i="1"/>
  <c r="BC379" i="1"/>
  <c r="BC364" i="1"/>
  <c r="BC349" i="1"/>
  <c r="BC334" i="1"/>
  <c r="BC319" i="1"/>
  <c r="BC315" i="1"/>
  <c r="BC300" i="1"/>
  <c r="BC285" i="1"/>
  <c r="BC270" i="1"/>
  <c r="BC255" i="1"/>
  <c r="BC251" i="1"/>
  <c r="BC236" i="1"/>
  <c r="BC221" i="1"/>
  <c r="BC206" i="1"/>
  <c r="BC191" i="1"/>
  <c r="BC187" i="1"/>
  <c r="BC172" i="1"/>
  <c r="BC157" i="1"/>
  <c r="BC142" i="1"/>
  <c r="BC127" i="1"/>
  <c r="BC123" i="1"/>
  <c r="BC108" i="1"/>
  <c r="BC93" i="1"/>
  <c r="BC78" i="1"/>
  <c r="CE94" i="7949"/>
  <c r="CE96" i="7949"/>
  <c r="CE93" i="7949"/>
  <c r="CD97" i="7949"/>
  <c r="CC98" i="7949" s="1"/>
  <c r="CD93" i="7949"/>
  <c r="CC93" i="7949" s="1"/>
  <c r="CE644" i="7949"/>
  <c r="CE652" i="7949"/>
  <c r="CE648" i="7949"/>
  <c r="CD653" i="7949"/>
  <c r="CC653" i="7949" s="1"/>
  <c r="CD646" i="7949"/>
  <c r="CD650" i="7949"/>
  <c r="CD648" i="7949"/>
  <c r="CC648" i="7949" s="1"/>
  <c r="CE368" i="7949"/>
  <c r="CE372" i="7949"/>
  <c r="CE367" i="7949"/>
  <c r="CE371" i="7949"/>
  <c r="CE375" i="7949"/>
  <c r="CE369" i="7949"/>
  <c r="CD373" i="7949"/>
  <c r="AD78" i="7951"/>
  <c r="AE78" i="7951"/>
  <c r="AJ88" i="7951"/>
  <c r="AL88" i="7951"/>
  <c r="AG96" i="7951"/>
  <c r="AI96" i="7951"/>
  <c r="AI101" i="7951"/>
  <c r="AG101" i="7951"/>
  <c r="AG104" i="7951"/>
  <c r="AI106" i="7951"/>
  <c r="AL106" i="7951"/>
  <c r="AH118" i="7951"/>
  <c r="AJ118" i="7951"/>
  <c r="AI118" i="7951"/>
  <c r="AK118" i="7951"/>
  <c r="AL118" i="7951"/>
  <c r="AG119" i="7951"/>
  <c r="AJ119" i="7951"/>
  <c r="AI119" i="7951"/>
  <c r="AL119" i="7951"/>
  <c r="AH121" i="7951"/>
  <c r="AG121" i="7951"/>
  <c r="AK121" i="7951"/>
  <c r="AI121" i="7951"/>
  <c r="BO117" i="7951"/>
  <c r="BO94" i="7951"/>
  <c r="BO75" i="7951"/>
  <c r="BO77" i="7951"/>
  <c r="BO134" i="7951"/>
  <c r="BO58" i="7951"/>
  <c r="BO93" i="7951"/>
  <c r="BO99" i="7951"/>
  <c r="BO80" i="7951"/>
  <c r="BO131" i="7951"/>
  <c r="AF272" i="1"/>
  <c r="AD272" i="1"/>
  <c r="AD304" i="1"/>
  <c r="AF304" i="1"/>
  <c r="AF336" i="1"/>
  <c r="AD368" i="1"/>
  <c r="AG368" i="1"/>
  <c r="AC251" i="1"/>
  <c r="AE251" i="1"/>
  <c r="AD252" i="1"/>
  <c r="AF252" i="1"/>
  <c r="AH75" i="7951"/>
  <c r="AC253" i="1"/>
  <c r="AJ64" i="7951"/>
  <c r="AG69" i="7951"/>
  <c r="AJ67" i="7951"/>
  <c r="AG142" i="7951"/>
  <c r="AJ140" i="7951"/>
  <c r="AG137" i="7951"/>
  <c r="AG105" i="7951"/>
  <c r="AL103" i="7951"/>
  <c r="AG100" i="7951"/>
  <c r="AL70" i="7951"/>
  <c r="AI68" i="7951"/>
  <c r="AG60" i="7951"/>
  <c r="AG141" i="7951"/>
  <c r="AL139" i="7951"/>
  <c r="AG136" i="7951"/>
  <c r="BE41" i="3"/>
  <c r="BL50" i="3"/>
  <c r="AG41" i="3"/>
  <c r="BL46" i="3"/>
  <c r="U41" i="3"/>
  <c r="I41" i="3"/>
  <c r="D49" i="3" s="1"/>
  <c r="BL42" i="3"/>
  <c r="AZ42" i="3"/>
  <c r="AM46" i="1"/>
  <c r="AS79" i="7953"/>
  <c r="AH175" i="7950"/>
  <c r="AG175" i="7950"/>
  <c r="AB181" i="7950"/>
  <c r="AB197" i="7950"/>
  <c r="AA197" i="7950"/>
  <c r="Z213" i="7950"/>
  <c r="AH208" i="7950"/>
  <c r="AA229" i="7950"/>
  <c r="AH223" i="7950"/>
  <c r="E235" i="7950"/>
  <c r="AT235" i="7950"/>
  <c r="AU235" i="7950" s="1"/>
  <c r="AG257" i="7950"/>
  <c r="AH256" i="7950"/>
  <c r="AA276" i="7950"/>
  <c r="AA277" i="7950"/>
  <c r="AA308" i="7950"/>
  <c r="AH304" i="7950"/>
  <c r="AA325" i="7950"/>
  <c r="AH319" i="7950"/>
  <c r="AH335" i="7950"/>
  <c r="AH336" i="7950"/>
  <c r="AA341" i="7950"/>
  <c r="Z357" i="7950"/>
  <c r="AA356" i="7950"/>
  <c r="Z389" i="7950"/>
  <c r="AA388" i="7950"/>
  <c r="AH384" i="7950"/>
  <c r="AA389" i="7950"/>
  <c r="AG400" i="7950"/>
  <c r="AD397" i="7950"/>
  <c r="AA421" i="7950"/>
  <c r="AG416" i="7950"/>
  <c r="AL111" i="1"/>
  <c r="AM111" i="1" s="1"/>
  <c r="BC382" i="1"/>
  <c r="BC380" i="1"/>
  <c r="BC381" i="1"/>
  <c r="CK370" i="2"/>
  <c r="CK378" i="2"/>
  <c r="CJ376" i="2"/>
  <c r="CJ373" i="2"/>
  <c r="AD65" i="7951"/>
  <c r="AE65" i="7951"/>
  <c r="AC238" i="1"/>
  <c r="BL42" i="2"/>
  <c r="BL46" i="2"/>
  <c r="BL50" i="2"/>
  <c r="BL153" i="2"/>
  <c r="AC389" i="1"/>
  <c r="U253" i="1"/>
  <c r="BD253" i="1" s="1"/>
  <c r="E553" i="7955"/>
  <c r="E503" i="7955"/>
  <c r="E453" i="7955"/>
  <c r="E403" i="7955"/>
  <c r="E303" i="7955"/>
  <c r="AE95" i="7951"/>
  <c r="AD95" i="7951"/>
  <c r="U369" i="1"/>
  <c r="U371" i="1"/>
  <c r="U373" i="1"/>
  <c r="U353" i="1"/>
  <c r="U355" i="1"/>
  <c r="U357" i="1"/>
  <c r="U337" i="1"/>
  <c r="U339" i="1"/>
  <c r="U341" i="1"/>
  <c r="U321" i="1"/>
  <c r="U323" i="1"/>
  <c r="U325" i="1"/>
  <c r="U305" i="1"/>
  <c r="U307" i="1"/>
  <c r="U309" i="1"/>
  <c r="U289" i="1"/>
  <c r="U291" i="1"/>
  <c r="U293" i="1"/>
  <c r="U273" i="1"/>
  <c r="U275" i="1"/>
  <c r="U277" i="1"/>
  <c r="U241" i="1"/>
  <c r="U243" i="1"/>
  <c r="U245" i="1"/>
  <c r="U225" i="1"/>
  <c r="U227" i="1"/>
  <c r="U229" i="1"/>
  <c r="U209" i="1"/>
  <c r="U211" i="1"/>
  <c r="U213" i="1"/>
  <c r="U193" i="1"/>
  <c r="U195" i="1"/>
  <c r="U197" i="1"/>
  <c r="U177" i="1"/>
  <c r="U179" i="1"/>
  <c r="U181" i="1"/>
  <c r="U161" i="1"/>
  <c r="U163" i="1"/>
  <c r="U165" i="1"/>
  <c r="U145" i="1"/>
  <c r="U147" i="1"/>
  <c r="U149" i="1"/>
  <c r="U129" i="1"/>
  <c r="U131" i="1"/>
  <c r="U133" i="1"/>
  <c r="U113" i="1"/>
  <c r="U115" i="1"/>
  <c r="U117" i="1"/>
  <c r="U97" i="1"/>
  <c r="U99" i="1"/>
  <c r="U101" i="1"/>
  <c r="U81" i="1"/>
  <c r="U83" i="1"/>
  <c r="U85" i="1"/>
  <c r="U65" i="1"/>
  <c r="U67" i="1"/>
  <c r="U69" i="1"/>
  <c r="U49" i="1"/>
  <c r="U51" i="1"/>
  <c r="U53" i="1"/>
  <c r="Z111" i="1"/>
  <c r="AA111" i="1"/>
  <c r="AL331" i="1"/>
  <c r="AM331" i="1" s="1"/>
  <c r="AL335" i="1"/>
  <c r="AM335" i="1" s="1"/>
  <c r="AL299" i="1"/>
  <c r="AM299" i="1" s="1"/>
  <c r="AL301" i="1"/>
  <c r="AM301" i="1" s="1"/>
  <c r="AL303" i="1"/>
  <c r="AM303" i="1" s="1"/>
  <c r="AL283" i="1"/>
  <c r="AM283" i="1" s="1"/>
  <c r="AL269" i="1"/>
  <c r="AM269" i="1" s="1"/>
  <c r="AL236" i="1"/>
  <c r="AM236" i="1" s="1"/>
  <c r="AL238" i="1"/>
  <c r="AM238" i="1" s="1"/>
  <c r="AL240" i="1"/>
  <c r="AM240" i="1" s="1"/>
  <c r="AL204" i="1"/>
  <c r="AM204" i="1" s="1"/>
  <c r="AL208" i="1"/>
  <c r="AM208" i="1" s="1"/>
  <c r="AL188" i="1"/>
  <c r="AM188" i="1" s="1"/>
  <c r="AL190" i="1"/>
  <c r="AM190" i="1" s="1"/>
  <c r="AL192" i="1"/>
  <c r="AM192" i="1" s="1"/>
  <c r="AL172" i="1"/>
  <c r="AM172" i="1" s="1"/>
  <c r="AL174" i="1"/>
  <c r="AM174" i="1" s="1"/>
  <c r="AL176" i="1"/>
  <c r="AM176" i="1" s="1"/>
  <c r="AL156" i="1"/>
  <c r="AM156" i="1" s="1"/>
  <c r="AL158" i="1"/>
  <c r="AM158" i="1" s="1"/>
  <c r="AL160" i="1"/>
  <c r="AM160" i="1" s="1"/>
  <c r="AL140" i="1"/>
  <c r="AM140" i="1" s="1"/>
  <c r="AL142" i="1"/>
  <c r="AM142" i="1" s="1"/>
  <c r="AL144" i="1"/>
  <c r="AM144" i="1" s="1"/>
  <c r="AL124" i="1"/>
  <c r="AM124" i="1" s="1"/>
  <c r="AL126" i="1"/>
  <c r="AM126" i="1" s="1"/>
  <c r="AL128" i="1"/>
  <c r="AM128" i="1" s="1"/>
  <c r="AL108" i="1"/>
  <c r="AM108" i="1" s="1"/>
  <c r="AL110" i="1"/>
  <c r="AM110" i="1" s="1"/>
  <c r="AL112" i="1"/>
  <c r="AM112" i="1" s="1"/>
  <c r="AL92" i="1"/>
  <c r="AM92" i="1" s="1"/>
  <c r="AL94" i="1"/>
  <c r="AM94" i="1" s="1"/>
  <c r="AL96" i="1"/>
  <c r="AM96" i="1" s="1"/>
  <c r="AL76" i="1"/>
  <c r="AM76" i="1" s="1"/>
  <c r="AL78" i="1"/>
  <c r="AM78" i="1" s="1"/>
  <c r="AL80" i="1"/>
  <c r="AM80" i="1" s="1"/>
  <c r="AL60" i="1"/>
  <c r="AL62" i="1"/>
  <c r="AM62" i="1" s="1"/>
  <c r="AL64" i="1"/>
  <c r="AM64" i="1" s="1"/>
  <c r="AL47" i="1"/>
  <c r="BO81" i="7951"/>
  <c r="BO129" i="7951"/>
  <c r="BO135" i="7951"/>
  <c r="AL255" i="1"/>
  <c r="AM255" i="1" s="1"/>
  <c r="AL252" i="1"/>
  <c r="AM252" i="1" s="1"/>
  <c r="Z354" i="1"/>
  <c r="AA354" i="1"/>
  <c r="AF49" i="1"/>
  <c r="AC49" i="1"/>
  <c r="AC50" i="1"/>
  <c r="AF51" i="1"/>
  <c r="AC51" i="1"/>
  <c r="AC52" i="1"/>
  <c r="AF53" i="1"/>
  <c r="AC53" i="1"/>
  <c r="AC54" i="1"/>
  <c r="Z256" i="1"/>
  <c r="AA256" i="1"/>
  <c r="AD135" i="7951"/>
  <c r="AL135" i="7951"/>
  <c r="AI135" i="7951"/>
  <c r="AK134" i="7951"/>
  <c r="AH134" i="7951"/>
  <c r="AH130" i="7951"/>
  <c r="AL130" i="7951"/>
  <c r="AG130" i="7951"/>
  <c r="AK130" i="7951"/>
  <c r="AD129" i="7951"/>
  <c r="BD187" i="2"/>
  <c r="AD117" i="7951"/>
  <c r="AK117" i="7951" s="1"/>
  <c r="AH112" i="7951"/>
  <c r="AK112" i="7951"/>
  <c r="AI112" i="7951"/>
  <c r="AJ112" i="7951"/>
  <c r="AD111" i="7951"/>
  <c r="CD376" i="7949"/>
  <c r="AE98" i="7951"/>
  <c r="AH95" i="7951"/>
  <c r="AK95" i="7951"/>
  <c r="AE94" i="7951"/>
  <c r="AG94" i="7951" s="1"/>
  <c r="BA177" i="2"/>
  <c r="CI377" i="2"/>
  <c r="BA173" i="2"/>
  <c r="BJ195" i="2"/>
  <c r="BJ193" i="2"/>
  <c r="BJ191" i="2"/>
  <c r="BD192" i="2"/>
  <c r="BD191" i="2"/>
  <c r="AH62" i="3"/>
  <c r="V62" i="3"/>
  <c r="W62" i="3" s="1"/>
  <c r="BF48" i="3"/>
  <c r="AH42" i="3"/>
  <c r="AI42" i="3" s="1"/>
  <c r="V42" i="3"/>
  <c r="AV71" i="7951"/>
  <c r="AX99" i="7949"/>
  <c r="AX95" i="7949"/>
  <c r="AX91" i="7949"/>
  <c r="BD99" i="7949"/>
  <c r="AU177" i="7949" s="1"/>
  <c r="BD97" i="7949"/>
  <c r="BD95" i="7949"/>
  <c r="AU173" i="7949" s="1"/>
  <c r="BD94" i="7949"/>
  <c r="AU172" i="7949" s="1"/>
  <c r="BD93" i="7949"/>
  <c r="AU171" i="7949" s="1"/>
  <c r="J62" i="3"/>
  <c r="AT50" i="3"/>
  <c r="AU50" i="3" s="1"/>
  <c r="CJ76" i="2"/>
  <c r="AG204" i="7950"/>
  <c r="AJ57" i="7951"/>
  <c r="AH57" i="7951"/>
  <c r="AK57" i="7951"/>
  <c r="AD80" i="7951"/>
  <c r="AJ77" i="7951"/>
  <c r="AH77" i="7951"/>
  <c r="AK77" i="7951"/>
  <c r="AG188" i="7950"/>
  <c r="AG252" i="7950"/>
  <c r="AF316" i="7950"/>
  <c r="CJ72" i="2"/>
  <c r="BF112" i="2"/>
  <c r="BE112" i="2"/>
  <c r="BF108" i="2"/>
  <c r="BE108" i="2"/>
  <c r="BD108" i="2" s="1"/>
  <c r="CJ68" i="2"/>
  <c r="CI68" i="2" s="1"/>
  <c r="AG172" i="7950"/>
  <c r="AF253" i="7950"/>
  <c r="AJ63" i="7951"/>
  <c r="AG63" i="7951"/>
  <c r="AL63" i="7951"/>
  <c r="AI63" i="7951"/>
  <c r="AE62" i="7951"/>
  <c r="AE58" i="7951"/>
  <c r="AG220" i="7950"/>
  <c r="AG348" i="7950"/>
  <c r="AS189" i="7949"/>
  <c r="AF365" i="7950"/>
  <c r="AG396" i="7950"/>
  <c r="AG236" i="7950"/>
  <c r="AF268" i="7950"/>
  <c r="AF300" i="7950"/>
  <c r="AG332" i="7950"/>
  <c r="AG364" i="7950"/>
  <c r="AW347" i="7950"/>
  <c r="AU175" i="7949"/>
  <c r="AY283" i="7950"/>
  <c r="BA96" i="2"/>
  <c r="AA255" i="1"/>
  <c r="AF301" i="7950"/>
  <c r="AF412" i="7950"/>
  <c r="CC650" i="7949"/>
  <c r="J52" i="3"/>
  <c r="BF114" i="2"/>
  <c r="BE114" i="2"/>
  <c r="BF110" i="2"/>
  <c r="BE110" i="2"/>
  <c r="BF106" i="2"/>
  <c r="BE106" i="2"/>
  <c r="CJ70" i="2"/>
  <c r="M347" i="7950"/>
  <c r="AX347" i="7950"/>
  <c r="I553" i="7955"/>
  <c r="AX190" i="7949"/>
  <c r="BD111" i="7949"/>
  <c r="BD108" i="7949"/>
  <c r="AS105" i="7949"/>
  <c r="BJ97" i="2"/>
  <c r="AA254" i="1"/>
  <c r="AH254" i="1" s="1"/>
  <c r="AY193" i="2"/>
  <c r="BA193" i="2"/>
  <c r="AI62" i="3"/>
  <c r="AK62" i="3"/>
  <c r="Y62" i="3"/>
  <c r="K62" i="3"/>
  <c r="M62" i="3"/>
  <c r="BG48" i="3"/>
  <c r="BI48" i="3"/>
  <c r="AK42" i="3"/>
  <c r="Y42" i="3"/>
  <c r="L52" i="3"/>
  <c r="N52" i="3"/>
  <c r="G363" i="7950"/>
  <c r="AQ363" i="7950"/>
  <c r="G187" i="7950"/>
  <c r="AT187" i="7950"/>
  <c r="AU187" i="7950" s="1"/>
  <c r="AV187" i="7950" s="1"/>
  <c r="BE188" i="7949"/>
  <c r="AS188" i="7949"/>
  <c r="BD107" i="7949"/>
  <c r="BE107" i="7949"/>
  <c r="AS93" i="7949"/>
  <c r="AS96" i="7949"/>
  <c r="AK186" i="7949"/>
  <c r="AA181" i="7950"/>
  <c r="AB180" i="7950"/>
  <c r="AG177" i="7950"/>
  <c r="AG176" i="7950"/>
  <c r="Z181" i="7950"/>
  <c r="Z197" i="7950"/>
  <c r="AG193" i="7950"/>
  <c r="AA196" i="7950"/>
  <c r="AH192" i="7950"/>
  <c r="AA213" i="7950"/>
  <c r="AG209" i="7950"/>
  <c r="AH207" i="7950"/>
  <c r="AA212" i="7950"/>
  <c r="AA228" i="7950"/>
  <c r="AH224" i="7950"/>
  <c r="Z229" i="7950"/>
  <c r="AP219" i="7950"/>
  <c r="AG241" i="7950"/>
  <c r="AB245" i="7950"/>
  <c r="Z261" i="7950"/>
  <c r="AP251" i="7950"/>
  <c r="AA260" i="7950"/>
  <c r="AG273" i="7950"/>
  <c r="AH271" i="7950"/>
  <c r="AB277" i="7950"/>
  <c r="AD269" i="7950"/>
  <c r="AG269" i="7950" s="1"/>
  <c r="AA293" i="7950"/>
  <c r="AG289" i="7950"/>
  <c r="AH287" i="7950"/>
  <c r="AH288" i="7950"/>
  <c r="AG305" i="7950"/>
  <c r="AP299" i="7950"/>
  <c r="AB309" i="7950"/>
  <c r="Z325" i="7950"/>
  <c r="AP315" i="7950"/>
  <c r="AA324" i="7950"/>
  <c r="AG337" i="7950"/>
  <c r="AB341" i="7950"/>
  <c r="AD333" i="7950"/>
  <c r="AG333" i="7950" s="1"/>
  <c r="AB357" i="7950"/>
  <c r="AA357" i="7950"/>
  <c r="AG353" i="7950"/>
  <c r="AH351" i="7950"/>
  <c r="AH352" i="7950"/>
  <c r="AG369" i="7950"/>
  <c r="AG370" i="7950" s="1"/>
  <c r="AG371" i="7950" s="1"/>
  <c r="O361" i="7950" s="1"/>
  <c r="AB373" i="7950"/>
  <c r="AG384" i="7950"/>
  <c r="AB389" i="7950"/>
  <c r="AH383" i="7950"/>
  <c r="AG401" i="7950"/>
  <c r="Z405" i="7950"/>
  <c r="AA404" i="7950"/>
  <c r="AH400" i="7950"/>
  <c r="AH416" i="7950"/>
  <c r="AA420" i="7950"/>
  <c r="AB421" i="7950"/>
  <c r="AB420" i="7950"/>
  <c r="AP411" i="7950"/>
  <c r="AG415" i="7950"/>
  <c r="CD368" i="7949"/>
  <c r="CD374" i="7949"/>
  <c r="CC374" i="7949" s="1"/>
  <c r="CD367" i="7949"/>
  <c r="CC367" i="7949" s="1"/>
  <c r="CD371" i="7949"/>
  <c r="CD375" i="7949"/>
  <c r="F553" i="7955"/>
  <c r="F103" i="7955"/>
  <c r="CK69" i="2"/>
  <c r="CK71" i="2"/>
  <c r="CK73" i="2"/>
  <c r="CK75" i="2"/>
  <c r="CK77" i="2"/>
  <c r="AR347" i="7950"/>
  <c r="AR235" i="7950"/>
  <c r="J49" i="3"/>
  <c r="V49" i="3"/>
  <c r="AH49" i="3"/>
  <c r="AH50" i="3"/>
  <c r="J51" i="3"/>
  <c r="V51" i="3"/>
  <c r="AN51" i="3"/>
  <c r="BL51" i="3"/>
  <c r="AB59" i="3"/>
  <c r="AN59" i="3"/>
  <c r="AZ59" i="3"/>
  <c r="AT61" i="3"/>
  <c r="BF61" i="3"/>
  <c r="AZ63" i="3"/>
  <c r="BL62" i="2"/>
  <c r="BL58" i="2"/>
  <c r="BL54" i="2"/>
  <c r="BL161" i="2"/>
  <c r="V60" i="7947"/>
  <c r="V52" i="3"/>
  <c r="V48" i="3"/>
  <c r="V46" i="3"/>
  <c r="AH51" i="3"/>
  <c r="AH45" i="3"/>
  <c r="AT51" i="3"/>
  <c r="AT47" i="3"/>
  <c r="AT45" i="3"/>
  <c r="BF51" i="3"/>
  <c r="BF49" i="3"/>
  <c r="BF43" i="3"/>
  <c r="AN49" i="3"/>
  <c r="BL43" i="3"/>
  <c r="AF189" i="7950"/>
  <c r="AU168" i="7949"/>
  <c r="AL51" i="7952"/>
  <c r="AM49" i="7952"/>
  <c r="BA176" i="2"/>
  <c r="BD194" i="2"/>
  <c r="BD188" i="2"/>
  <c r="AX96" i="7949"/>
  <c r="AX92" i="7949"/>
  <c r="AX108" i="7949"/>
  <c r="AX104" i="7949"/>
  <c r="CJ74" i="2"/>
  <c r="AQ235" i="7950"/>
  <c r="G235" i="7950"/>
  <c r="AS81" i="7953"/>
  <c r="BE102" i="7949"/>
  <c r="BD102" i="7949"/>
  <c r="AS106" i="7949"/>
  <c r="AS111" i="7949"/>
  <c r="AS102" i="7949"/>
  <c r="BE92" i="7949"/>
  <c r="BD92" i="7949"/>
  <c r="AU170" i="7949" s="1"/>
  <c r="BE91" i="7949"/>
  <c r="BD91" i="7949"/>
  <c r="AU169" i="7949" s="1"/>
  <c r="C67" i="7947"/>
  <c r="D67" i="7947" s="1"/>
  <c r="AW110" i="7949"/>
  <c r="C65" i="7947"/>
  <c r="AT96" i="7949"/>
  <c r="AI96" i="7949" s="1"/>
  <c r="C63" i="7947"/>
  <c r="AT94" i="7949"/>
  <c r="AI94" i="7949" s="1"/>
  <c r="C61" i="7947"/>
  <c r="AT92" i="7949"/>
  <c r="AI92" i="7949" s="1"/>
  <c r="AW104" i="7949"/>
  <c r="AL45" i="7952"/>
  <c r="AO50" i="7952" s="1"/>
  <c r="AM45" i="7952"/>
  <c r="BK102" i="2"/>
  <c r="BJ102" i="2"/>
  <c r="BK96" i="2"/>
  <c r="BA175" i="2"/>
  <c r="X84" i="2"/>
  <c r="X83" i="2"/>
  <c r="X85" i="2" s="1"/>
  <c r="CK373" i="2"/>
  <c r="CK375" i="2"/>
  <c r="CK372" i="2"/>
  <c r="CK376" i="2"/>
  <c r="CJ371" i="2"/>
  <c r="CJ375" i="2"/>
  <c r="CK670" i="2"/>
  <c r="CK672" i="2"/>
  <c r="CK674" i="2"/>
  <c r="CK676" i="2"/>
  <c r="CK678" i="2"/>
  <c r="CJ671" i="2"/>
  <c r="CI671" i="2" s="1"/>
  <c r="CJ675" i="2"/>
  <c r="CJ679" i="2"/>
  <c r="CJ676" i="2"/>
  <c r="CE90" i="7949"/>
  <c r="CE98" i="7949"/>
  <c r="CE91" i="7949"/>
  <c r="CE95" i="7949"/>
  <c r="CE99" i="7949"/>
  <c r="CD91" i="7949"/>
  <c r="CD95" i="7949"/>
  <c r="CC95" i="7949" s="1"/>
  <c r="CD99" i="7949"/>
  <c r="CC99" i="7949" s="1"/>
  <c r="CD96" i="7949"/>
  <c r="CE647" i="7949"/>
  <c r="CE653" i="7949"/>
  <c r="CE646" i="7949"/>
  <c r="CE650" i="7949"/>
  <c r="AI77" i="7951"/>
  <c r="M55" i="7951"/>
  <c r="M73" i="7951"/>
  <c r="M109" i="7951"/>
  <c r="AL121" i="7951"/>
  <c r="AI87" i="7951"/>
  <c r="AS57" i="7951"/>
  <c r="AV57" i="7951"/>
  <c r="AU64" i="7951"/>
  <c r="AB76" i="2"/>
  <c r="BC115" i="2"/>
  <c r="BC103" i="2"/>
  <c r="AZ103" i="2" s="1"/>
  <c r="AO103" i="2" s="1"/>
  <c r="AC76" i="2"/>
  <c r="AB74" i="2"/>
  <c r="BC113" i="2"/>
  <c r="BC101" i="2"/>
  <c r="AZ101" i="2" s="1"/>
  <c r="AO101" i="2" s="1"/>
  <c r="AB72" i="2"/>
  <c r="BC111" i="2"/>
  <c r="BC99" i="2"/>
  <c r="AZ99" i="2" s="1"/>
  <c r="AO99" i="2" s="1"/>
  <c r="AB70" i="2"/>
  <c r="BC109" i="2"/>
  <c r="BC189" i="2"/>
  <c r="AN189" i="2" s="1"/>
  <c r="BC97" i="2"/>
  <c r="AB68" i="2"/>
  <c r="BC107" i="2"/>
  <c r="BC95" i="2"/>
  <c r="AZ95" i="2" s="1"/>
  <c r="AO95" i="2" s="1"/>
  <c r="AC68" i="2"/>
  <c r="BC187" i="2"/>
  <c r="AN187" i="2" s="1"/>
  <c r="AB65" i="2"/>
  <c r="AC65" i="2"/>
  <c r="AB61" i="2"/>
  <c r="BC87" i="2"/>
  <c r="BL87" i="2" s="1"/>
  <c r="AC61" i="2"/>
  <c r="AB59" i="2"/>
  <c r="BC59" i="2"/>
  <c r="BC163" i="2"/>
  <c r="AB57" i="2"/>
  <c r="BC83" i="2"/>
  <c r="BL83" i="2" s="1"/>
  <c r="AB55" i="2"/>
  <c r="BC55" i="2"/>
  <c r="BC159" i="2"/>
  <c r="AC55" i="2"/>
  <c r="AB53" i="2"/>
  <c r="BC79" i="2"/>
  <c r="BL79" i="2" s="1"/>
  <c r="AC53" i="2"/>
  <c r="AB51" i="2"/>
  <c r="BC51" i="2"/>
  <c r="BL51" i="2" s="1"/>
  <c r="BC155" i="2"/>
  <c r="AB49" i="2"/>
  <c r="BC75" i="2"/>
  <c r="BL75" i="2" s="1"/>
  <c r="AB47" i="2"/>
  <c r="BC47" i="2"/>
  <c r="BL47" i="2" s="1"/>
  <c r="BC151" i="2"/>
  <c r="AB45" i="2"/>
  <c r="BC71" i="2"/>
  <c r="BL71" i="2" s="1"/>
  <c r="AB43" i="2"/>
  <c r="BC43" i="2"/>
  <c r="BL43" i="2" s="1"/>
  <c r="BC147" i="2"/>
  <c r="CJ69" i="2"/>
  <c r="CI69" i="2" s="1"/>
  <c r="CJ71" i="2"/>
  <c r="CJ73" i="2"/>
  <c r="CI73" i="2" s="1"/>
  <c r="CJ75" i="2"/>
  <c r="CJ77" i="2"/>
  <c r="CI77" i="2" s="1"/>
  <c r="BD189" i="2"/>
  <c r="AX185" i="7949"/>
  <c r="AX184" i="7949"/>
  <c r="AX182" i="7949"/>
  <c r="BD101" i="2"/>
  <c r="CD645" i="7949"/>
  <c r="CC645" i="7949" s="1"/>
  <c r="CE374" i="7949"/>
  <c r="BD190" i="7949"/>
  <c r="AS190" i="7949" s="1"/>
  <c r="AS92" i="7949"/>
  <c r="BH110" i="2"/>
  <c r="BJ110" i="2" s="1"/>
  <c r="BI109" i="2"/>
  <c r="BK109" i="2" s="1"/>
  <c r="BH106" i="2"/>
  <c r="BJ106" i="2" s="1"/>
  <c r="BE115" i="2"/>
  <c r="K187" i="7950"/>
  <c r="K235" i="7950"/>
  <c r="AV235" i="7950"/>
  <c r="BD109" i="7949"/>
  <c r="BD104" i="7949"/>
  <c r="BD103" i="7949"/>
  <c r="AS110" i="7949"/>
  <c r="AH191" i="7950"/>
  <c r="AD221" i="7950"/>
  <c r="AG221" i="7950" s="1"/>
  <c r="BH113" i="2"/>
  <c r="BI113" i="2"/>
  <c r="BK113" i="2" s="1"/>
  <c r="BH112" i="2"/>
  <c r="BJ112" i="2" s="1"/>
  <c r="CJ370" i="2"/>
  <c r="CI370" i="2" s="1"/>
  <c r="AP284" i="7950"/>
  <c r="AQ284" i="7950" s="1"/>
  <c r="W109" i="1"/>
  <c r="M203" i="7950"/>
  <c r="BJ190" i="2"/>
  <c r="AY190" i="2" s="1"/>
  <c r="BD100" i="2"/>
  <c r="BG114" i="2"/>
  <c r="BE113" i="2"/>
  <c r="BG112" i="2"/>
  <c r="BE111" i="2"/>
  <c r="BG110" i="2"/>
  <c r="F41" i="7954"/>
  <c r="I41" i="7954" s="1"/>
  <c r="AG290" i="7950"/>
  <c r="AG291" i="7950" s="1"/>
  <c r="O281" i="7950" s="1"/>
  <c r="AF237" i="7950"/>
  <c r="AF349" i="7950"/>
  <c r="E284" i="7950"/>
  <c r="AS183" i="7949"/>
  <c r="BG115" i="2"/>
  <c r="BD114" i="2"/>
  <c r="BG113" i="2"/>
  <c r="BD112" i="2"/>
  <c r="BG111" i="2"/>
  <c r="BD110" i="2"/>
  <c r="BG109" i="2"/>
  <c r="CI371" i="2"/>
  <c r="AX189" i="7949"/>
  <c r="BE109" i="2"/>
  <c r="BE107" i="2"/>
  <c r="BD107" i="2" s="1"/>
  <c r="CJ678" i="2"/>
  <c r="CI678" i="2" s="1"/>
  <c r="V64" i="7947"/>
  <c r="CC647" i="7949"/>
  <c r="CC92" i="7949"/>
  <c r="AX181" i="7949"/>
  <c r="BD184" i="7949"/>
  <c r="BD110" i="7949"/>
  <c r="BE108" i="7949"/>
  <c r="BD106" i="7949"/>
  <c r="BE104" i="7949"/>
  <c r="AS107" i="7949"/>
  <c r="D66" i="7947"/>
  <c r="BJ103" i="2"/>
  <c r="BJ101" i="2"/>
  <c r="BJ99" i="2"/>
  <c r="BJ95" i="2"/>
  <c r="AB213" i="7950"/>
  <c r="AB229" i="7950"/>
  <c r="AB261" i="7950"/>
  <c r="AB325" i="7950"/>
  <c r="AG385" i="7950"/>
  <c r="AG386" i="7950" s="1"/>
  <c r="AG387" i="7950" s="1"/>
  <c r="O377" i="7950" s="1"/>
  <c r="Z421" i="7950"/>
  <c r="BH114" i="2"/>
  <c r="BJ114" i="2" s="1"/>
  <c r="BH109" i="2"/>
  <c r="BJ109" i="2" s="1"/>
  <c r="CJ378" i="2"/>
  <c r="CI378" i="2" s="1"/>
  <c r="CE645" i="7949"/>
  <c r="AS105" i="1"/>
  <c r="F54" i="2" s="1"/>
  <c r="G54" i="2" s="1"/>
  <c r="AG306" i="7950"/>
  <c r="AG307" i="7950" s="1"/>
  <c r="O297" i="7950" s="1"/>
  <c r="AF317" i="7950"/>
  <c r="AF381" i="7950"/>
  <c r="AF380" i="7950"/>
  <c r="AZ57" i="3"/>
  <c r="AZ62" i="3"/>
  <c r="AZ56" i="3"/>
  <c r="AZ58" i="3"/>
  <c r="AZ65" i="3"/>
  <c r="AZ60" i="3"/>
  <c r="AN58" i="3"/>
  <c r="AN60" i="3"/>
  <c r="AN63" i="3"/>
  <c r="AB57" i="3"/>
  <c r="AB63" i="3"/>
  <c r="AB61" i="3"/>
  <c r="AB56" i="3"/>
  <c r="AB58" i="3"/>
  <c r="AB65" i="3"/>
  <c r="P59" i="3"/>
  <c r="P65" i="3"/>
  <c r="P57" i="3"/>
  <c r="P63" i="3"/>
  <c r="P61" i="3"/>
  <c r="P56" i="3"/>
  <c r="D56" i="3"/>
  <c r="D63" i="3"/>
  <c r="D61" i="3"/>
  <c r="D59" i="3"/>
  <c r="D65" i="3"/>
  <c r="D57" i="3"/>
  <c r="AY347" i="7950"/>
  <c r="AP348" i="7950" s="1"/>
  <c r="W123" i="1"/>
  <c r="I253" i="7955"/>
  <c r="I453" i="7955"/>
  <c r="BF56" i="3"/>
  <c r="BF64" i="3"/>
  <c r="BF62" i="3"/>
  <c r="BF57" i="3"/>
  <c r="BF60" i="3"/>
  <c r="BF65" i="3"/>
  <c r="BF58" i="3"/>
  <c r="AT57" i="3"/>
  <c r="AT60" i="3"/>
  <c r="AT63" i="3"/>
  <c r="AT58" i="3"/>
  <c r="AT56" i="3"/>
  <c r="AT65" i="3"/>
  <c r="AT62" i="3"/>
  <c r="AH57" i="3"/>
  <c r="AH60" i="3"/>
  <c r="AH65" i="3"/>
  <c r="AH56" i="3"/>
  <c r="AH61" i="3"/>
  <c r="AH63" i="3"/>
  <c r="AH58" i="3"/>
  <c r="V56" i="3"/>
  <c r="V65" i="3"/>
  <c r="V63" i="3"/>
  <c r="V58" i="3"/>
  <c r="V57" i="3"/>
  <c r="V61" i="3"/>
  <c r="V59" i="3"/>
  <c r="J56" i="3"/>
  <c r="J61" i="3"/>
  <c r="J59" i="3"/>
  <c r="J58" i="3"/>
  <c r="J57" i="3"/>
  <c r="J65" i="3"/>
  <c r="J63" i="3"/>
  <c r="AD42" i="2"/>
  <c r="AE42" i="2" s="1"/>
  <c r="AD54" i="2"/>
  <c r="AE54" i="2" s="1"/>
  <c r="AD56" i="2"/>
  <c r="AE56" i="2" s="1"/>
  <c r="AD58" i="2"/>
  <c r="AE58" i="2" s="1"/>
  <c r="AD60" i="2"/>
  <c r="AE60" i="2" s="1"/>
  <c r="AD62" i="2"/>
  <c r="AE62" i="2" s="1"/>
  <c r="AD64" i="2"/>
  <c r="AE64" i="2" s="1"/>
  <c r="AD43" i="2"/>
  <c r="AE43" i="2" s="1"/>
  <c r="AD45" i="2"/>
  <c r="AE45" i="2" s="1"/>
  <c r="AD47" i="2"/>
  <c r="AE47" i="2" s="1"/>
  <c r="AD49" i="2"/>
  <c r="AE49" i="2" s="1"/>
  <c r="AD51" i="2"/>
  <c r="AE51" i="2" s="1"/>
  <c r="AD53" i="2"/>
  <c r="AE53" i="2" s="1"/>
  <c r="AD55" i="2"/>
  <c r="AE55" i="2" s="1"/>
  <c r="AD57" i="2"/>
  <c r="AE57" i="2" s="1"/>
  <c r="AD59" i="2"/>
  <c r="AE59" i="2" s="1"/>
  <c r="AD61" i="2"/>
  <c r="AE61" i="2" s="1"/>
  <c r="AD63" i="2"/>
  <c r="AE63" i="2" s="1"/>
  <c r="AD65" i="2"/>
  <c r="AE65" i="2" s="1"/>
  <c r="BJ194" i="2"/>
  <c r="BJ192" i="2"/>
  <c r="BJ189" i="2"/>
  <c r="BJ188" i="2"/>
  <c r="BJ187" i="2"/>
  <c r="BJ186" i="2"/>
  <c r="BD186" i="2"/>
  <c r="AX183" i="7949"/>
  <c r="AS185" i="7949"/>
  <c r="BD182" i="7949"/>
  <c r="BD105" i="7949"/>
  <c r="AS103" i="7949"/>
  <c r="AT103" i="7949" s="1"/>
  <c r="AM50" i="7952"/>
  <c r="BD96" i="2"/>
  <c r="AP171" i="7950"/>
  <c r="AH239" i="7950"/>
  <c r="Z277" i="7950"/>
  <c r="AH303" i="7950"/>
  <c r="Z341" i="7950"/>
  <c r="AH367" i="7950"/>
  <c r="AP379" i="7950"/>
  <c r="AP395" i="7950"/>
  <c r="AG417" i="7950"/>
  <c r="BH108" i="2"/>
  <c r="BJ108" i="2" s="1"/>
  <c r="CK371" i="2"/>
  <c r="CJ372" i="2"/>
  <c r="CI372" i="2" s="1"/>
  <c r="CJ674" i="2"/>
  <c r="CE651" i="7949"/>
  <c r="CI76" i="2"/>
  <c r="BD190" i="2"/>
  <c r="AX187" i="7949"/>
  <c r="BJ113" i="2"/>
  <c r="E153" i="7955"/>
  <c r="E203" i="7955"/>
  <c r="F253" i="7955"/>
  <c r="F56" i="7954"/>
  <c r="F57" i="7954"/>
  <c r="F76" i="7954"/>
  <c r="F78" i="7954"/>
  <c r="F84" i="7954"/>
  <c r="F85" i="7954"/>
  <c r="F86" i="7954"/>
  <c r="F87" i="7954"/>
  <c r="J87" i="7954" s="1"/>
  <c r="F88" i="7954"/>
  <c r="F89" i="7954"/>
  <c r="F90" i="7954"/>
  <c r="F91" i="7954"/>
  <c r="F92" i="7954"/>
  <c r="F93" i="7954"/>
  <c r="F95" i="7954"/>
  <c r="F96" i="7954"/>
  <c r="F99" i="7954"/>
  <c r="F100" i="7954"/>
  <c r="F102" i="7954"/>
  <c r="F103" i="7954"/>
  <c r="F104" i="7954"/>
  <c r="F110" i="7954"/>
  <c r="F111" i="7954"/>
  <c r="F112" i="7954"/>
  <c r="F115" i="7954"/>
  <c r="F117" i="7954"/>
  <c r="F120" i="7954"/>
  <c r="F122" i="7954"/>
  <c r="F124" i="7954"/>
  <c r="F126" i="7954"/>
  <c r="F128" i="7954"/>
  <c r="F130" i="7954"/>
  <c r="F131" i="7954"/>
  <c r="F133" i="7954"/>
  <c r="F134" i="7954"/>
  <c r="F137" i="7954"/>
  <c r="F139" i="7954"/>
  <c r="F141" i="7954"/>
  <c r="F143" i="7954"/>
  <c r="F145" i="7954"/>
  <c r="F147" i="7954"/>
  <c r="F149" i="7954"/>
  <c r="F151" i="7954"/>
  <c r="F153" i="7954"/>
  <c r="F155" i="7954"/>
  <c r="F157" i="7954"/>
  <c r="F159" i="7954"/>
  <c r="F161" i="7954"/>
  <c r="F163" i="7954"/>
  <c r="F165" i="7954"/>
  <c r="F167" i="7954"/>
  <c r="F169" i="7954"/>
  <c r="F171" i="7954"/>
  <c r="F173" i="7954"/>
  <c r="F175" i="7954"/>
  <c r="F177" i="7954"/>
  <c r="F179" i="7954"/>
  <c r="F181" i="7954"/>
  <c r="F183" i="7954"/>
  <c r="F185" i="7954"/>
  <c r="F187" i="7954"/>
  <c r="F189" i="7954"/>
  <c r="F191" i="7954"/>
  <c r="F193" i="7954"/>
  <c r="F195" i="7954"/>
  <c r="F197" i="7954"/>
  <c r="F199" i="7954"/>
  <c r="F201" i="7954"/>
  <c r="F203" i="7954"/>
  <c r="F205" i="7954"/>
  <c r="F207" i="7954"/>
  <c r="F209" i="7954"/>
  <c r="F211" i="7954"/>
  <c r="F213" i="7954"/>
  <c r="F215" i="7954"/>
  <c r="F217" i="7954"/>
  <c r="F219" i="7954"/>
  <c r="F221" i="7954"/>
  <c r="F223" i="7954"/>
  <c r="F225" i="7954"/>
  <c r="F227" i="7954"/>
  <c r="F229" i="7954"/>
  <c r="F231" i="7954"/>
  <c r="F233" i="7954"/>
  <c r="F235" i="7954"/>
  <c r="F237" i="7954"/>
  <c r="F239" i="7954"/>
  <c r="F241" i="7954"/>
  <c r="F243" i="7954"/>
  <c r="F245" i="7954"/>
  <c r="F247" i="7954"/>
  <c r="F249" i="7954"/>
  <c r="F251" i="7954"/>
  <c r="F253" i="7954"/>
  <c r="F255" i="7954"/>
  <c r="F257" i="7954"/>
  <c r="F259" i="7954"/>
  <c r="F261" i="7954"/>
  <c r="F263" i="7954"/>
  <c r="F265" i="7954"/>
  <c r="F267" i="7954"/>
  <c r="F269" i="7954"/>
  <c r="F271" i="7954"/>
  <c r="F273" i="7954"/>
  <c r="F275" i="7954"/>
  <c r="F277" i="7954"/>
  <c r="F279" i="7954"/>
  <c r="F281" i="7954"/>
  <c r="F283" i="7954"/>
  <c r="F285" i="7954"/>
  <c r="F287" i="7954"/>
  <c r="F289" i="7954"/>
  <c r="F291" i="7954"/>
  <c r="F293" i="7954"/>
  <c r="F295" i="7954"/>
  <c r="F297" i="7954"/>
  <c r="F299" i="7954"/>
  <c r="F301" i="7954"/>
  <c r="F303" i="7954"/>
  <c r="F305" i="7954"/>
  <c r="F307" i="7954"/>
  <c r="F309" i="7954"/>
  <c r="F311" i="7954"/>
  <c r="F313" i="7954"/>
  <c r="F315" i="7954"/>
  <c r="F317" i="7954"/>
  <c r="F319" i="7954"/>
  <c r="F321" i="7954"/>
  <c r="F323" i="7954"/>
  <c r="F325" i="7954"/>
  <c r="F327" i="7954"/>
  <c r="F329" i="7954"/>
  <c r="F331" i="7954"/>
  <c r="F333" i="7954"/>
  <c r="F335" i="7954"/>
  <c r="F337" i="7954"/>
  <c r="F339" i="7954"/>
  <c r="F341" i="7954"/>
  <c r="F343" i="7954"/>
  <c r="F345" i="7954"/>
  <c r="F347" i="7954"/>
  <c r="F349" i="7954"/>
  <c r="F351" i="7954"/>
  <c r="F353" i="7954"/>
  <c r="F355" i="7954"/>
  <c r="F357" i="7954"/>
  <c r="F359" i="7954"/>
  <c r="F361" i="7954"/>
  <c r="F363" i="7954"/>
  <c r="F365" i="7954"/>
  <c r="F367" i="7954"/>
  <c r="F369" i="7954"/>
  <c r="F71" i="7954"/>
  <c r="F69" i="7954"/>
  <c r="F52" i="7954"/>
  <c r="F70" i="7954"/>
  <c r="F62" i="7954"/>
  <c r="J62" i="7954" s="1"/>
  <c r="F60" i="7954"/>
  <c r="J60" i="7954" s="1"/>
  <c r="F47" i="7954"/>
  <c r="F61" i="7954"/>
  <c r="F55" i="7954"/>
  <c r="F44" i="7954"/>
  <c r="J44" i="7954" s="1"/>
  <c r="F46" i="7954"/>
  <c r="J46" i="7954" s="1"/>
  <c r="F48" i="7954"/>
  <c r="J48" i="7954" s="1"/>
  <c r="F49" i="7954"/>
  <c r="F59" i="7954"/>
  <c r="F72" i="7954"/>
  <c r="J72" i="7954" s="1"/>
  <c r="F73" i="7954"/>
  <c r="F75" i="7954"/>
  <c r="J75" i="7954" s="1"/>
  <c r="F77" i="7954"/>
  <c r="F79" i="7954"/>
  <c r="F80" i="7954"/>
  <c r="F81" i="7954"/>
  <c r="F82" i="7954"/>
  <c r="F83" i="7954"/>
  <c r="J83" i="7954" s="1"/>
  <c r="F94" i="7954"/>
  <c r="F97" i="7954"/>
  <c r="F98" i="7954"/>
  <c r="F101" i="7954"/>
  <c r="F105" i="7954"/>
  <c r="F106" i="7954"/>
  <c r="F107" i="7954"/>
  <c r="F108" i="7954"/>
  <c r="J108" i="7954" s="1"/>
  <c r="F109" i="7954"/>
  <c r="F113" i="7954"/>
  <c r="F114" i="7954"/>
  <c r="F116" i="7954"/>
  <c r="F118" i="7954"/>
  <c r="I118" i="7954" s="1"/>
  <c r="F119" i="7954"/>
  <c r="F121" i="7954"/>
  <c r="F123" i="7954"/>
  <c r="F125" i="7954"/>
  <c r="F127" i="7954"/>
  <c r="F129" i="7954"/>
  <c r="F132" i="7954"/>
  <c r="F135" i="7954"/>
  <c r="F136" i="7954"/>
  <c r="F138" i="7954"/>
  <c r="F140" i="7954"/>
  <c r="F142" i="7954"/>
  <c r="F144" i="7954"/>
  <c r="F146" i="7954"/>
  <c r="F148" i="7954"/>
  <c r="F150" i="7954"/>
  <c r="F152" i="7954"/>
  <c r="F154" i="7954"/>
  <c r="F156" i="7954"/>
  <c r="F158" i="7954"/>
  <c r="F160" i="7954"/>
  <c r="F162" i="7954"/>
  <c r="F164" i="7954"/>
  <c r="F166" i="7954"/>
  <c r="F168" i="7954"/>
  <c r="F170" i="7954"/>
  <c r="F172" i="7954"/>
  <c r="F174" i="7954"/>
  <c r="F176" i="7954"/>
  <c r="F178" i="7954"/>
  <c r="F180" i="7954"/>
  <c r="F182" i="7954"/>
  <c r="F184" i="7954"/>
  <c r="F186" i="7954"/>
  <c r="F188" i="7954"/>
  <c r="F190" i="7954"/>
  <c r="F192" i="7954"/>
  <c r="F194" i="7954"/>
  <c r="F196" i="7954"/>
  <c r="F198" i="7954"/>
  <c r="F200" i="7954"/>
  <c r="F202" i="7954"/>
  <c r="F204" i="7954"/>
  <c r="F206" i="7954"/>
  <c r="F208" i="7954"/>
  <c r="F210" i="7954"/>
  <c r="F212" i="7954"/>
  <c r="F214" i="7954"/>
  <c r="F216" i="7954"/>
  <c r="F218" i="7954"/>
  <c r="F220" i="7954"/>
  <c r="F222" i="7954"/>
  <c r="F224" i="7954"/>
  <c r="F226" i="7954"/>
  <c r="F228" i="7954"/>
  <c r="F230" i="7954"/>
  <c r="F232" i="7954"/>
  <c r="F234" i="7954"/>
  <c r="F236" i="7954"/>
  <c r="F238" i="7954"/>
  <c r="F240" i="7954"/>
  <c r="F242" i="7954"/>
  <c r="F244" i="7954"/>
  <c r="F246" i="7954"/>
  <c r="F248" i="7954"/>
  <c r="F250" i="7954"/>
  <c r="F252" i="7954"/>
  <c r="F254" i="7954"/>
  <c r="F256" i="7954"/>
  <c r="F258" i="7954"/>
  <c r="F260" i="7954"/>
  <c r="F262" i="7954"/>
  <c r="F264" i="7954"/>
  <c r="F266" i="7954"/>
  <c r="F268" i="7954"/>
  <c r="F270" i="7954"/>
  <c r="F272" i="7954"/>
  <c r="F274" i="7954"/>
  <c r="F276" i="7954"/>
  <c r="F278" i="7954"/>
  <c r="F280" i="7954"/>
  <c r="F282" i="7954"/>
  <c r="F284" i="7954"/>
  <c r="F286" i="7954"/>
  <c r="F288" i="7954"/>
  <c r="F290" i="7954"/>
  <c r="F292" i="7954"/>
  <c r="F294" i="7954"/>
  <c r="F296" i="7954"/>
  <c r="F298" i="7954"/>
  <c r="F300" i="7954"/>
  <c r="F302" i="7954"/>
  <c r="F304" i="7954"/>
  <c r="F306" i="7954"/>
  <c r="F308" i="7954"/>
  <c r="F310" i="7954"/>
  <c r="F312" i="7954"/>
  <c r="F314" i="7954"/>
  <c r="F316" i="7954"/>
  <c r="F318" i="7954"/>
  <c r="F320" i="7954"/>
  <c r="F322" i="7954"/>
  <c r="F324" i="7954"/>
  <c r="F326" i="7954"/>
  <c r="F328" i="7954"/>
  <c r="F330" i="7954"/>
  <c r="F332" i="7954"/>
  <c r="F334" i="7954"/>
  <c r="F336" i="7954"/>
  <c r="F338" i="7954"/>
  <c r="F340" i="7954"/>
  <c r="F342" i="7954"/>
  <c r="F344" i="7954"/>
  <c r="F346" i="7954"/>
  <c r="F348" i="7954"/>
  <c r="F350" i="7954"/>
  <c r="F352" i="7954"/>
  <c r="F354" i="7954"/>
  <c r="F356" i="7954"/>
  <c r="F358" i="7954"/>
  <c r="F360" i="7954"/>
  <c r="F362" i="7954"/>
  <c r="F364" i="7954"/>
  <c r="F366" i="7954"/>
  <c r="F368" i="7954"/>
  <c r="F370" i="7954"/>
  <c r="F53" i="7954"/>
  <c r="F68" i="7954"/>
  <c r="F66" i="7954"/>
  <c r="F63" i="7954"/>
  <c r="F50" i="7954"/>
  <c r="F64" i="7954"/>
  <c r="F45" i="7954"/>
  <c r="J76" i="7954"/>
  <c r="F58" i="7954"/>
  <c r="F54" i="7954"/>
  <c r="F51" i="7954"/>
  <c r="J118" i="7954"/>
  <c r="J56" i="7954"/>
  <c r="F67" i="7954"/>
  <c r="J67" i="7954" s="1"/>
  <c r="F43" i="7954"/>
  <c r="I44" i="7954" s="1"/>
  <c r="F42" i="7954"/>
  <c r="J42" i="7954" s="1"/>
  <c r="F74" i="7954"/>
  <c r="I60" i="7954"/>
  <c r="I45" i="7954"/>
  <c r="AG210" i="7950"/>
  <c r="AG211" i="7950" s="1"/>
  <c r="O201" i="7950" s="1"/>
  <c r="J61" i="7954"/>
  <c r="I61" i="7954"/>
  <c r="J70" i="7954"/>
  <c r="I70" i="7954"/>
  <c r="AF205" i="7950"/>
  <c r="AF285" i="7950"/>
  <c r="J96" i="7954"/>
  <c r="I87" i="7954"/>
  <c r="AC239" i="1"/>
  <c r="AE239" i="1"/>
  <c r="AF239" i="1"/>
  <c r="AH239" i="1"/>
  <c r="AG322" i="7950"/>
  <c r="AG323" i="7950" s="1"/>
  <c r="O313" i="7950" s="1"/>
  <c r="AK91" i="7949"/>
  <c r="AJ91" i="7949"/>
  <c r="AK94" i="7949"/>
  <c r="AJ94" i="7949"/>
  <c r="AK99" i="7949"/>
  <c r="AJ99" i="7949"/>
  <c r="AJ95" i="7949"/>
  <c r="AK95" i="7949"/>
  <c r="C551" i="7955"/>
  <c r="I284" i="7950"/>
  <c r="AR284" i="7950"/>
  <c r="AT284" i="7950"/>
  <c r="AU284" i="7950" s="1"/>
  <c r="G284" i="7950"/>
  <c r="AZ203" i="7950"/>
  <c r="AY203" i="7950"/>
  <c r="AW203" i="7950"/>
  <c r="AX283" i="7950"/>
  <c r="AW283" i="7950"/>
  <c r="M283" i="7950"/>
  <c r="AP47" i="3"/>
  <c r="W93" i="1"/>
  <c r="BI49" i="7950"/>
  <c r="BI50" i="7950" s="1"/>
  <c r="BI51" i="7950" s="1"/>
  <c r="BI52" i="7950" s="1"/>
  <c r="BI53" i="7950" s="1"/>
  <c r="BI54" i="7950" s="1"/>
  <c r="BI55" i="7950" s="1"/>
  <c r="BI56" i="7950" s="1"/>
  <c r="BI57" i="7950" s="1"/>
  <c r="BI58" i="7950" s="1"/>
  <c r="BI59" i="7950" s="1"/>
  <c r="BI60" i="7950" s="1"/>
  <c r="BI61" i="7950" s="1"/>
  <c r="BI62" i="7950" s="1"/>
  <c r="BI63" i="7950" s="1"/>
  <c r="BI64" i="7950" s="1"/>
  <c r="BI65" i="7950" s="1"/>
  <c r="BI66" i="7950" s="1"/>
  <c r="BI67" i="7950" s="1"/>
  <c r="BI68" i="7950" s="1"/>
  <c r="BI69" i="7950" s="1"/>
  <c r="BI70" i="7950" s="1"/>
  <c r="BI71" i="7950" s="1"/>
  <c r="BI72" i="7950" s="1"/>
  <c r="BI73" i="7950" s="1"/>
  <c r="BI74" i="7950" s="1"/>
  <c r="BI75" i="7950" s="1"/>
  <c r="BI76" i="7950" s="1"/>
  <c r="BI77" i="7950" s="1"/>
  <c r="BI78" i="7950" s="1"/>
  <c r="BI79" i="7950" s="1"/>
  <c r="BI80" i="7950" s="1"/>
  <c r="BI81" i="7950" s="1"/>
  <c r="BI82" i="7950" s="1"/>
  <c r="BI83" i="7950" s="1"/>
  <c r="BI84" i="7950" s="1"/>
  <c r="BI85" i="7950" s="1"/>
  <c r="BI86" i="7950" s="1"/>
  <c r="BI87" i="7950" s="1"/>
  <c r="BI88" i="7950" s="1"/>
  <c r="BI89" i="7950" s="1"/>
  <c r="BI90" i="7950" s="1"/>
  <c r="BI91" i="7950" s="1"/>
  <c r="BI92" i="7950" s="1"/>
  <c r="BI93" i="7950" s="1"/>
  <c r="BI94" i="7950" s="1"/>
  <c r="BI95" i="7950" s="1"/>
  <c r="BI96" i="7950" s="1"/>
  <c r="BI97" i="7950" s="1"/>
  <c r="BI98" i="7950" s="1"/>
  <c r="BI99" i="7950" s="1"/>
  <c r="BI100" i="7950" s="1"/>
  <c r="BI101" i="7950" s="1"/>
  <c r="BI102" i="7950" s="1"/>
  <c r="BI103" i="7950" s="1"/>
  <c r="BI104" i="7950" s="1"/>
  <c r="BI105" i="7950" s="1"/>
  <c r="BI106" i="7950" s="1"/>
  <c r="BI107" i="7950" s="1"/>
  <c r="BI108" i="7950" s="1"/>
  <c r="BI109" i="7950" s="1"/>
  <c r="BI110" i="7950" s="1"/>
  <c r="BI111" i="7950" s="1"/>
  <c r="BI112" i="7950" s="1"/>
  <c r="BI113" i="7950" s="1"/>
  <c r="BI114" i="7950" s="1"/>
  <c r="BI115" i="7950" s="1"/>
  <c r="BI116" i="7950" s="1"/>
  <c r="BI117" i="7950" s="1"/>
  <c r="BI118" i="7950" s="1"/>
  <c r="BI119" i="7950" s="1"/>
  <c r="BI120" i="7950" s="1"/>
  <c r="BI121" i="7950" s="1"/>
  <c r="BI122" i="7950" s="1"/>
  <c r="BI123" i="7950" s="1"/>
  <c r="BI124" i="7950" s="1"/>
  <c r="BI125" i="7950" s="1"/>
  <c r="BI126" i="7950" s="1"/>
  <c r="BI127" i="7950" s="1"/>
  <c r="BI128" i="7950" s="1"/>
  <c r="BI129" i="7950" s="1"/>
  <c r="BI130" i="7950" s="1"/>
  <c r="BI131" i="7950" s="1"/>
  <c r="BI132" i="7950" s="1"/>
  <c r="BI133" i="7950" s="1"/>
  <c r="BI134" i="7950" s="1"/>
  <c r="BI135" i="7950" s="1"/>
  <c r="BI136" i="7950" s="1"/>
  <c r="BI137" i="7950" s="1"/>
  <c r="BI138" i="7950" s="1"/>
  <c r="BI139" i="7950" s="1"/>
  <c r="BI140" i="7950" s="1"/>
  <c r="BI141" i="7950" s="1"/>
  <c r="BI142" i="7950" s="1"/>
  <c r="BI143" i="7950" s="1"/>
  <c r="BI144" i="7950" s="1"/>
  <c r="BI145" i="7950" s="1"/>
  <c r="BI146" i="7950" s="1"/>
  <c r="BI147" i="7950" s="1"/>
  <c r="BI148" i="7950" s="1"/>
  <c r="BI149" i="7950" s="1"/>
  <c r="BI150" i="7950" s="1"/>
  <c r="BI151" i="7950" s="1"/>
  <c r="BI152" i="7950" s="1"/>
  <c r="BI153" i="7950" s="1"/>
  <c r="BI154" i="7950" s="1"/>
  <c r="BI155" i="7950" s="1"/>
  <c r="BI156" i="7950" s="1"/>
  <c r="BI157" i="7950" s="1"/>
  <c r="BI158" i="7950" s="1"/>
  <c r="BI159" i="7950" s="1"/>
  <c r="BI160" i="7950" s="1"/>
  <c r="BI161" i="7950" s="1"/>
  <c r="BI162" i="7950" s="1"/>
  <c r="BI163" i="7950" s="1"/>
  <c r="BI164" i="7950" s="1"/>
  <c r="BI165" i="7950" s="1"/>
  <c r="BI166" i="7950" s="1"/>
  <c r="BI167" i="7950" s="1"/>
  <c r="BI168" i="7950" s="1"/>
  <c r="BI169" i="7950" s="1"/>
  <c r="BI170" i="7950" s="1"/>
  <c r="BI171" i="7950" s="1"/>
  <c r="BI172" i="7950" s="1"/>
  <c r="BI173" i="7950" s="1"/>
  <c r="BI174" i="7950" s="1"/>
  <c r="BI175" i="7950" s="1"/>
  <c r="BI176" i="7950" s="1"/>
  <c r="BI177" i="7950" s="1"/>
  <c r="BI178" i="7950" s="1"/>
  <c r="BI179" i="7950" s="1"/>
  <c r="BI180" i="7950" s="1"/>
  <c r="BI181" i="7950" s="1"/>
  <c r="BI182" i="7950" s="1"/>
  <c r="BI183" i="7950" s="1"/>
  <c r="BI184" i="7950" s="1"/>
  <c r="BI185" i="7950" s="1"/>
  <c r="BI186" i="7950" s="1"/>
  <c r="BI187" i="7950" s="1"/>
  <c r="BI188" i="7950" s="1"/>
  <c r="BI189" i="7950" s="1"/>
  <c r="BI190" i="7950" s="1"/>
  <c r="BI191" i="7950" s="1"/>
  <c r="BI192" i="7950" s="1"/>
  <c r="BI193" i="7950" s="1"/>
  <c r="BI194" i="7950" s="1"/>
  <c r="BI195" i="7950" s="1"/>
  <c r="BI196" i="7950" s="1"/>
  <c r="BI197" i="7950" s="1"/>
  <c r="BI198" i="7950" s="1"/>
  <c r="BI199" i="7950" s="1"/>
  <c r="BI200" i="7950" s="1"/>
  <c r="BI201" i="7950" s="1"/>
  <c r="BI202" i="7950" s="1"/>
  <c r="BI203" i="7950" s="1"/>
  <c r="BI204" i="7950" s="1"/>
  <c r="BI205" i="7950" s="1"/>
  <c r="BI206" i="7950" s="1"/>
  <c r="BI207" i="7950" s="1"/>
  <c r="BI208" i="7950" s="1"/>
  <c r="BI209" i="7950" s="1"/>
  <c r="BI210" i="7950" s="1"/>
  <c r="BI211" i="7950" s="1"/>
  <c r="BI212" i="7950" s="1"/>
  <c r="BI213" i="7950" s="1"/>
  <c r="BI214" i="7950" s="1"/>
  <c r="BI215" i="7950" s="1"/>
  <c r="BI216" i="7950" s="1"/>
  <c r="BI217" i="7950" s="1"/>
  <c r="BI218" i="7950" s="1"/>
  <c r="BI219" i="7950" s="1"/>
  <c r="BI220" i="7950" s="1"/>
  <c r="BI221" i="7950" s="1"/>
  <c r="BI222" i="7950" s="1"/>
  <c r="BI223" i="7950" s="1"/>
  <c r="K363" i="7950"/>
  <c r="AV363" i="7950"/>
  <c r="AC43" i="1"/>
  <c r="AG43" i="1"/>
  <c r="AF43" i="1"/>
  <c r="E171" i="7950"/>
  <c r="I171" i="7950"/>
  <c r="AQ171" i="7950"/>
  <c r="AR171" i="7950"/>
  <c r="AS45" i="7953"/>
  <c r="AS48" i="7953"/>
  <c r="AS52" i="7953"/>
  <c r="AS54" i="7953"/>
  <c r="AS57" i="7953"/>
  <c r="AM44" i="1"/>
  <c r="AS47" i="7953"/>
  <c r="AS51" i="7953"/>
  <c r="AS53" i="7953"/>
  <c r="AS55" i="7953"/>
  <c r="AS59" i="7953"/>
  <c r="AS61" i="7953"/>
  <c r="AS63" i="7953"/>
  <c r="AS65" i="7953"/>
  <c r="AS67" i="7953"/>
  <c r="AS69" i="7953"/>
  <c r="AS71" i="7953"/>
  <c r="AS73" i="7953"/>
  <c r="AS75" i="7953"/>
  <c r="BJ65" i="3"/>
  <c r="BD65" i="3"/>
  <c r="BB65" i="3"/>
  <c r="BE65" i="3" s="1"/>
  <c r="AF65" i="3"/>
  <c r="AD65" i="3"/>
  <c r="AG65" i="3" s="1"/>
  <c r="T65" i="3"/>
  <c r="R65" i="3"/>
  <c r="U65" i="3" s="1"/>
  <c r="H65" i="3"/>
  <c r="F65" i="3"/>
  <c r="I65" i="3" s="1"/>
  <c r="AX63" i="3"/>
  <c r="AR63" i="3"/>
  <c r="AP63" i="3"/>
  <c r="AS63" i="3" s="1"/>
  <c r="AF63" i="3"/>
  <c r="AD63" i="3"/>
  <c r="AG63" i="3" s="1"/>
  <c r="T63" i="3"/>
  <c r="R63" i="3"/>
  <c r="U63" i="3" s="1"/>
  <c r="H63" i="3"/>
  <c r="F63" i="3"/>
  <c r="I63" i="3" s="1"/>
  <c r="BD62" i="3"/>
  <c r="BB62" i="3"/>
  <c r="BE62" i="3" s="1"/>
  <c r="AL61" i="3"/>
  <c r="AF61" i="3"/>
  <c r="AD61" i="3"/>
  <c r="AG61" i="3" s="1"/>
  <c r="T61" i="3"/>
  <c r="R61" i="3"/>
  <c r="U61" i="3" s="1"/>
  <c r="H61" i="3"/>
  <c r="F61" i="3"/>
  <c r="I61" i="3" s="1"/>
  <c r="BD60" i="3"/>
  <c r="BB60" i="3"/>
  <c r="BE60" i="3" s="1"/>
  <c r="AR60" i="3"/>
  <c r="AP60" i="3"/>
  <c r="AS60" i="3" s="1"/>
  <c r="Z59" i="3"/>
  <c r="T59" i="3"/>
  <c r="R59" i="3"/>
  <c r="U59" i="3" s="1"/>
  <c r="H59" i="3"/>
  <c r="F59" i="3"/>
  <c r="I59" i="3" s="1"/>
  <c r="BD58" i="3"/>
  <c r="BB58" i="3"/>
  <c r="BE58" i="3" s="1"/>
  <c r="AR58" i="3"/>
  <c r="AP58" i="3"/>
  <c r="AS58" i="3" s="1"/>
  <c r="AF58" i="3"/>
  <c r="AD58" i="3"/>
  <c r="AG58" i="3" s="1"/>
  <c r="N57" i="3"/>
  <c r="H57" i="3"/>
  <c r="F57" i="3"/>
  <c r="I57" i="3" s="1"/>
  <c r="BD56" i="3"/>
  <c r="BB56" i="3"/>
  <c r="BE56" i="3" s="1"/>
  <c r="AF56" i="3"/>
  <c r="AD56" i="3"/>
  <c r="AG56" i="3" s="1"/>
  <c r="T56" i="3"/>
  <c r="R56" i="3"/>
  <c r="U56" i="3" s="1"/>
  <c r="AL96" i="7951"/>
  <c r="AL104" i="7951"/>
  <c r="AL136" i="7951"/>
  <c r="AL141" i="7951"/>
  <c r="AI60" i="7951"/>
  <c r="AH100" i="7951"/>
  <c r="AK103" i="7951"/>
  <c r="AJ103" i="7951"/>
  <c r="AH105" i="7951"/>
  <c r="AL137" i="7951"/>
  <c r="AI140" i="7951"/>
  <c r="AL142" i="7951"/>
  <c r="AI67" i="7951"/>
  <c r="AL69" i="7951"/>
  <c r="AI64" i="7951"/>
  <c r="AC288" i="1"/>
  <c r="AE288" i="1"/>
  <c r="AH320" i="1"/>
  <c r="AC352" i="1"/>
  <c r="AE352" i="1"/>
  <c r="AH384" i="1"/>
  <c r="AC272" i="1"/>
  <c r="AE272" i="1"/>
  <c r="AH304" i="1"/>
  <c r="AC336" i="1"/>
  <c r="AE336" i="1"/>
  <c r="AH368" i="1"/>
  <c r="AD251" i="1"/>
  <c r="AG251" i="1"/>
  <c r="AE252" i="1"/>
  <c r="AF253" i="1"/>
  <c r="AG253" i="1"/>
  <c r="AL131" i="7951"/>
  <c r="AG131" i="7951"/>
  <c r="J41" i="7954"/>
  <c r="AB53" i="7955"/>
  <c r="AL100" i="7951"/>
  <c r="AL105" i="7951"/>
  <c r="AG288" i="1"/>
  <c r="AG352" i="1"/>
  <c r="AG272" i="1"/>
  <c r="AG336" i="1"/>
  <c r="AH251" i="1"/>
  <c r="AH253" i="1"/>
  <c r="AI129" i="7951"/>
  <c r="AI57" i="7951"/>
  <c r="AL111" i="7951"/>
  <c r="AL80" i="7951"/>
  <c r="AD82" i="7951"/>
  <c r="AE82" i="7951"/>
  <c r="CD90" i="7949"/>
  <c r="J134" i="7954"/>
  <c r="CD370" i="7949"/>
  <c r="CD372" i="7949"/>
  <c r="AE301" i="1"/>
  <c r="AW109" i="7949"/>
  <c r="AW106" i="7949"/>
  <c r="AS104" i="7949"/>
  <c r="AW102" i="7949"/>
  <c r="AP110" i="7949" s="1"/>
  <c r="AT99" i="7949"/>
  <c r="AI99" i="7949" s="1"/>
  <c r="AT93" i="7949"/>
  <c r="AI93" i="7949" s="1"/>
  <c r="Z180" i="7950"/>
  <c r="AF173" i="7950"/>
  <c r="AM47" i="7952"/>
  <c r="AF83" i="7950"/>
  <c r="AF81" i="7950"/>
  <c r="AF67" i="7950"/>
  <c r="AF65" i="7950"/>
  <c r="CK377" i="2"/>
  <c r="CK369" i="2"/>
  <c r="AP267" i="7950"/>
  <c r="AP331" i="7950"/>
  <c r="AG399" i="7950"/>
  <c r="AH415" i="7950"/>
  <c r="AD413" i="7950"/>
  <c r="CJ374" i="2"/>
  <c r="CI374" i="2" s="1"/>
  <c r="CE92" i="7949"/>
  <c r="CD651" i="7949"/>
  <c r="CE370" i="7949"/>
  <c r="AE83" i="7951"/>
  <c r="AE85" i="7951"/>
  <c r="AG85" i="7951" s="1"/>
  <c r="AE86" i="7951"/>
  <c r="AJ87" i="7951"/>
  <c r="AG114" i="7951"/>
  <c r="AE122" i="7951"/>
  <c r="AE123" i="7951"/>
  <c r="BO112" i="7951"/>
  <c r="F65" i="7954"/>
  <c r="AD93" i="7951"/>
  <c r="AD59" i="7951"/>
  <c r="AE81" i="7951"/>
  <c r="AD76" i="7951"/>
  <c r="AK76" i="7951" s="1"/>
  <c r="AG354" i="1"/>
  <c r="AG356" i="1"/>
  <c r="AG358" i="1"/>
  <c r="AG322" i="1"/>
  <c r="AG65" i="1"/>
  <c r="AG67" i="1"/>
  <c r="AG69" i="1"/>
  <c r="AA353" i="1"/>
  <c r="AA355" i="1"/>
  <c r="AA357" i="1"/>
  <c r="AA321" i="1"/>
  <c r="AA323" i="1"/>
  <c r="AA324" i="1"/>
  <c r="AA325" i="1"/>
  <c r="AA326" i="1"/>
  <c r="AA289" i="1"/>
  <c r="AA290" i="1"/>
  <c r="AA291" i="1"/>
  <c r="AA292" i="1"/>
  <c r="AA293" i="1"/>
  <c r="AA294" i="1"/>
  <c r="AD52" i="2"/>
  <c r="AE52" i="2" s="1"/>
  <c r="AD50" i="2"/>
  <c r="AE50" i="2" s="1"/>
  <c r="AD48" i="2"/>
  <c r="AE48" i="2" s="1"/>
  <c r="AD46" i="2"/>
  <c r="AE46" i="2" s="1"/>
  <c r="AD44" i="2"/>
  <c r="AE44" i="2" s="1"/>
  <c r="AG256" i="1"/>
  <c r="AG260" i="1"/>
  <c r="AF254" i="1"/>
  <c r="AH90" i="7949"/>
  <c r="AH97" i="7949"/>
  <c r="AH98" i="7949"/>
  <c r="AH96" i="7949"/>
  <c r="AH92" i="7949"/>
  <c r="AH93" i="7949"/>
  <c r="AK98" i="7949" l="1"/>
  <c r="AJ98" i="7949"/>
  <c r="AK97" i="7949"/>
  <c r="AJ97" i="7949"/>
  <c r="AK90" i="7949"/>
  <c r="AJ90" i="7949"/>
  <c r="AR65" i="3"/>
  <c r="AP65" i="3"/>
  <c r="AS65" i="3" s="1"/>
  <c r="BI42" i="7950"/>
  <c r="I153" i="7955"/>
  <c r="I103" i="7955"/>
  <c r="D121" i="1"/>
  <c r="AN56" i="3"/>
  <c r="AN57" i="3"/>
  <c r="V67" i="7947"/>
  <c r="BA190" i="2"/>
  <c r="AL42" i="3"/>
  <c r="I353" i="7955"/>
  <c r="I203" i="7955"/>
  <c r="AG258" i="7950"/>
  <c r="AG259" i="7950" s="1"/>
  <c r="O249" i="7950" s="1"/>
  <c r="AG111" i="7951"/>
  <c r="AH111" i="7951"/>
  <c r="AG135" i="7951"/>
  <c r="AJ135" i="7951"/>
  <c r="AH256" i="1"/>
  <c r="AE256" i="1"/>
  <c r="AC256" i="1"/>
  <c r="AD354" i="1"/>
  <c r="AF354" i="1"/>
  <c r="AM60" i="1"/>
  <c r="AS77" i="7953"/>
  <c r="AH111" i="1"/>
  <c r="AE111" i="1"/>
  <c r="AC111" i="1"/>
  <c r="AJ62" i="3"/>
  <c r="AM62" i="3" s="1"/>
  <c r="AL62" i="3"/>
  <c r="L62" i="3"/>
  <c r="O62" i="3" s="1"/>
  <c r="N62" i="3"/>
  <c r="BJ48" i="3"/>
  <c r="Z42" i="3"/>
  <c r="W42" i="3"/>
  <c r="K52" i="3"/>
  <c r="M52" i="3"/>
  <c r="L51" i="3"/>
  <c r="AG95" i="7951"/>
  <c r="AL95" i="7951"/>
  <c r="AL65" i="7951"/>
  <c r="AI65" i="7951"/>
  <c r="AG65" i="7951"/>
  <c r="P42" i="3"/>
  <c r="P46" i="3"/>
  <c r="P50" i="3"/>
  <c r="P51" i="3"/>
  <c r="P44" i="3"/>
  <c r="P52" i="3"/>
  <c r="P49" i="3"/>
  <c r="P47" i="3"/>
  <c r="P45" i="3"/>
  <c r="P48" i="3"/>
  <c r="P43" i="3"/>
  <c r="AB43" i="3"/>
  <c r="AB45" i="3"/>
  <c r="AB47" i="3"/>
  <c r="AB50" i="3"/>
  <c r="AB49" i="3"/>
  <c r="AB44" i="3"/>
  <c r="AB48" i="3"/>
  <c r="AB51" i="3"/>
  <c r="AB42" i="3"/>
  <c r="AB46" i="3"/>
  <c r="AB52" i="3"/>
  <c r="AZ49" i="3"/>
  <c r="AZ43" i="3"/>
  <c r="AZ51" i="3"/>
  <c r="AZ46" i="3"/>
  <c r="AZ48" i="3"/>
  <c r="AZ45" i="3"/>
  <c r="AZ52" i="3"/>
  <c r="AZ50" i="3"/>
  <c r="AZ44" i="3"/>
  <c r="AZ47" i="3"/>
  <c r="AG78" i="7951"/>
  <c r="AI78" i="7951"/>
  <c r="AL78" i="7951"/>
  <c r="AE386" i="1"/>
  <c r="AH386" i="1"/>
  <c r="AC386" i="1"/>
  <c r="AM58" i="7947"/>
  <c r="AH66" i="7947" s="1"/>
  <c r="D64" i="7947"/>
  <c r="V66" i="7947"/>
  <c r="V68" i="7947"/>
  <c r="D68" i="7947"/>
  <c r="P64" i="3"/>
  <c r="P62" i="3"/>
  <c r="P58" i="3"/>
  <c r="P60" i="3"/>
  <c r="Y60" i="3"/>
  <c r="Z60" i="3"/>
  <c r="W60" i="3"/>
  <c r="X60" i="3"/>
  <c r="AA60" i="3" s="1"/>
  <c r="E62" i="3"/>
  <c r="F62" i="3"/>
  <c r="I62" i="3" s="1"/>
  <c r="G62" i="3"/>
  <c r="H62" i="3"/>
  <c r="N46" i="3"/>
  <c r="BA102" i="2"/>
  <c r="BA181" i="2"/>
  <c r="AG80" i="7951"/>
  <c r="AJ80" i="7951"/>
  <c r="AW50" i="3"/>
  <c r="AX50" i="3"/>
  <c r="X62" i="3"/>
  <c r="AA62" i="3" s="1"/>
  <c r="Z62" i="3"/>
  <c r="AG397" i="7950"/>
  <c r="AF397" i="7950"/>
  <c r="AR79" i="7953"/>
  <c r="AQ79" i="7953"/>
  <c r="BA42" i="3"/>
  <c r="BD42" i="3"/>
  <c r="BC42" i="3"/>
  <c r="D42" i="3"/>
  <c r="D44" i="3"/>
  <c r="D50" i="3"/>
  <c r="D46" i="3"/>
  <c r="D45" i="3"/>
  <c r="D48" i="3"/>
  <c r="D47" i="3"/>
  <c r="D43" i="3"/>
  <c r="D52" i="3"/>
  <c r="D51" i="3"/>
  <c r="AN61" i="3"/>
  <c r="AN64" i="3"/>
  <c r="AN62" i="3"/>
  <c r="Y64" i="3"/>
  <c r="Z64" i="3"/>
  <c r="W64" i="3"/>
  <c r="X64" i="3"/>
  <c r="AA64" i="3" s="1"/>
  <c r="AW64" i="3"/>
  <c r="AX64" i="3"/>
  <c r="AU64" i="3"/>
  <c r="AV64" i="3"/>
  <c r="AY64" i="3" s="1"/>
  <c r="J53" i="7955"/>
  <c r="AB139" i="1"/>
  <c r="C121" i="1"/>
  <c r="I303" i="7955"/>
  <c r="I503" i="7955"/>
  <c r="C91" i="7951"/>
  <c r="I91" i="7951"/>
  <c r="AF111" i="7951"/>
  <c r="AA93" i="7951"/>
  <c r="AA94" i="7951" s="1"/>
  <c r="AA95" i="7951" s="1"/>
  <c r="AA96" i="7951" s="1"/>
  <c r="AA98" i="7951" s="1"/>
  <c r="AA99" i="7951" s="1"/>
  <c r="AA100" i="7951" s="1"/>
  <c r="AA101" i="7951" s="1"/>
  <c r="AA103" i="7951" s="1"/>
  <c r="AA104" i="7951" s="1"/>
  <c r="AA105" i="7951" s="1"/>
  <c r="AA106" i="7951" s="1"/>
  <c r="AC53" i="7955"/>
  <c r="AC382" i="1"/>
  <c r="AD382" i="1"/>
  <c r="AG382" i="1"/>
  <c r="AF382" i="1"/>
  <c r="AF380" i="1"/>
  <c r="AD380" i="1"/>
  <c r="AG380" i="1"/>
  <c r="AC367" i="1"/>
  <c r="AF367" i="1"/>
  <c r="AD367" i="1"/>
  <c r="AG367" i="1"/>
  <c r="AD365" i="1"/>
  <c r="AF365" i="1"/>
  <c r="AG365" i="1"/>
  <c r="AC363" i="1"/>
  <c r="AD363" i="1"/>
  <c r="AG363" i="1"/>
  <c r="AF363" i="1"/>
  <c r="AF350" i="1"/>
  <c r="AD350" i="1"/>
  <c r="AG350" i="1"/>
  <c r="AC348" i="1"/>
  <c r="AF348" i="1"/>
  <c r="AG348" i="1"/>
  <c r="AD348" i="1"/>
  <c r="AD335" i="1"/>
  <c r="AF335" i="1"/>
  <c r="AG335" i="1"/>
  <c r="AC333" i="1"/>
  <c r="AD333" i="1"/>
  <c r="AG333" i="1"/>
  <c r="AF333" i="1"/>
  <c r="AG331" i="1"/>
  <c r="AF331" i="1"/>
  <c r="AD331" i="1"/>
  <c r="AC318" i="1"/>
  <c r="AD318" i="1"/>
  <c r="AG318" i="1"/>
  <c r="AF318" i="1"/>
  <c r="AH316" i="1"/>
  <c r="AD316" i="1"/>
  <c r="AG316" i="1"/>
  <c r="AF316" i="1"/>
  <c r="AC303" i="1"/>
  <c r="AF303" i="1"/>
  <c r="AG303" i="1"/>
  <c r="AD303" i="1"/>
  <c r="AH301" i="1"/>
  <c r="AF301" i="1"/>
  <c r="AD301" i="1"/>
  <c r="AG301" i="1"/>
  <c r="AC299" i="1"/>
  <c r="AF299" i="1"/>
  <c r="AG299" i="1"/>
  <c r="AD299" i="1"/>
  <c r="AH286" i="1"/>
  <c r="AF286" i="1"/>
  <c r="AG286" i="1"/>
  <c r="AD286" i="1"/>
  <c r="AC284" i="1"/>
  <c r="AF284" i="1"/>
  <c r="AD284" i="1"/>
  <c r="AG284" i="1"/>
  <c r="AC271" i="1"/>
  <c r="AG271" i="1"/>
  <c r="AF271" i="1"/>
  <c r="AD271" i="1"/>
  <c r="AF269" i="1"/>
  <c r="AG269" i="1"/>
  <c r="AD269" i="1"/>
  <c r="AG267" i="1"/>
  <c r="AD267" i="1"/>
  <c r="AF267" i="1"/>
  <c r="AD262" i="1"/>
  <c r="AG262" i="1"/>
  <c r="AF262" i="1"/>
  <c r="AF257" i="1"/>
  <c r="AD257" i="1"/>
  <c r="AG257" i="1"/>
  <c r="AD239" i="1"/>
  <c r="AG239" i="1"/>
  <c r="AE67" i="1"/>
  <c r="AH67" i="1"/>
  <c r="AC67" i="1"/>
  <c r="AT60" i="1"/>
  <c r="AG133" i="1"/>
  <c r="AF133" i="1"/>
  <c r="AD133" i="1"/>
  <c r="AG131" i="1"/>
  <c r="AD131" i="1"/>
  <c r="AF131" i="1"/>
  <c r="AG129" i="1"/>
  <c r="AF129" i="1"/>
  <c r="AD129" i="1"/>
  <c r="AG149" i="1"/>
  <c r="AD149" i="1"/>
  <c r="AF149" i="1"/>
  <c r="AG147" i="1"/>
  <c r="AF147" i="1"/>
  <c r="AD147" i="1"/>
  <c r="AG145" i="1"/>
  <c r="AD145" i="1"/>
  <c r="AF145" i="1"/>
  <c r="AG165" i="1"/>
  <c r="AF165" i="1"/>
  <c r="AD165" i="1"/>
  <c r="AG163" i="1"/>
  <c r="AD163" i="1"/>
  <c r="AF163" i="1"/>
  <c r="AG161" i="1"/>
  <c r="AF161" i="1"/>
  <c r="AD161" i="1"/>
  <c r="AG181" i="1"/>
  <c r="AD181" i="1"/>
  <c r="AF181" i="1"/>
  <c r="AG179" i="1"/>
  <c r="AF179" i="1"/>
  <c r="AD179" i="1"/>
  <c r="AG177" i="1"/>
  <c r="AD177" i="1"/>
  <c r="AF177" i="1"/>
  <c r="AG197" i="1"/>
  <c r="AF197" i="1"/>
  <c r="AD197" i="1"/>
  <c r="AG195" i="1"/>
  <c r="AD195" i="1"/>
  <c r="AF195" i="1"/>
  <c r="AG193" i="1"/>
  <c r="AF193" i="1"/>
  <c r="AD193" i="1"/>
  <c r="AG213" i="1"/>
  <c r="AD213" i="1"/>
  <c r="AF213" i="1"/>
  <c r="AG211" i="1"/>
  <c r="AF211" i="1"/>
  <c r="AD211" i="1"/>
  <c r="AG209" i="1"/>
  <c r="AD209" i="1"/>
  <c r="AF209" i="1"/>
  <c r="AG229" i="1"/>
  <c r="AF229" i="1"/>
  <c r="AD229" i="1"/>
  <c r="AD227" i="1"/>
  <c r="AG227" i="1"/>
  <c r="AF227" i="1"/>
  <c r="AD225" i="1"/>
  <c r="AF225" i="1"/>
  <c r="AG225" i="1"/>
  <c r="AD245" i="1"/>
  <c r="AG245" i="1"/>
  <c r="AF245" i="1"/>
  <c r="AD243" i="1"/>
  <c r="AF243" i="1"/>
  <c r="AG243" i="1"/>
  <c r="AD241" i="1"/>
  <c r="AG241" i="1"/>
  <c r="AF241" i="1"/>
  <c r="AD277" i="1"/>
  <c r="AF277" i="1"/>
  <c r="AG277" i="1"/>
  <c r="AD275" i="1"/>
  <c r="AG275" i="1"/>
  <c r="AF275" i="1"/>
  <c r="AD273" i="1"/>
  <c r="AF273" i="1"/>
  <c r="AG273" i="1"/>
  <c r="AD309" i="1"/>
  <c r="AG309" i="1"/>
  <c r="AF309" i="1"/>
  <c r="AD307" i="1"/>
  <c r="AF307" i="1"/>
  <c r="AG307" i="1"/>
  <c r="AD305" i="1"/>
  <c r="AG305" i="1"/>
  <c r="AF305" i="1"/>
  <c r="AE342" i="1"/>
  <c r="AH342" i="1"/>
  <c r="AC342" i="1"/>
  <c r="AH340" i="1"/>
  <c r="AC340" i="1"/>
  <c r="AE340" i="1"/>
  <c r="AE338" i="1"/>
  <c r="AH338" i="1"/>
  <c r="AC338" i="1"/>
  <c r="AC358" i="1"/>
  <c r="AH358" i="1"/>
  <c r="AE358" i="1"/>
  <c r="AE373" i="1"/>
  <c r="AC373" i="1"/>
  <c r="AH373" i="1"/>
  <c r="AH371" i="1"/>
  <c r="AE371" i="1"/>
  <c r="AC371" i="1"/>
  <c r="AE369" i="1"/>
  <c r="AC369" i="1"/>
  <c r="AH369" i="1"/>
  <c r="AF79" i="7950"/>
  <c r="AF82" i="7950"/>
  <c r="V89" i="7950"/>
  <c r="AF80" i="7950"/>
  <c r="C73" i="7950"/>
  <c r="CI75" i="2"/>
  <c r="CI71" i="2"/>
  <c r="CI376" i="2"/>
  <c r="AR50" i="7952"/>
  <c r="AR42" i="3"/>
  <c r="AD256" i="1"/>
  <c r="AF256" i="1"/>
  <c r="AC354" i="1"/>
  <c r="AH354" i="1"/>
  <c r="AE354" i="1"/>
  <c r="AM47" i="1"/>
  <c r="AS49" i="7953"/>
  <c r="AS70" i="7953"/>
  <c r="AS56" i="7953"/>
  <c r="AS64" i="7953"/>
  <c r="AS72" i="7953"/>
  <c r="AS80" i="7953"/>
  <c r="AS58" i="7953"/>
  <c r="AS74" i="7953"/>
  <c r="AS78" i="7953"/>
  <c r="AS50" i="7953"/>
  <c r="AS68" i="7953"/>
  <c r="AS46" i="7953"/>
  <c r="AS82" i="7953"/>
  <c r="AS62" i="7953"/>
  <c r="AS60" i="7953"/>
  <c r="AS76" i="7953"/>
  <c r="AS66" i="7953"/>
  <c r="AD111" i="1"/>
  <c r="AF111" i="1"/>
  <c r="K42" i="3"/>
  <c r="AX42" i="3"/>
  <c r="AW42" i="3"/>
  <c r="AQ43" i="3"/>
  <c r="N44" i="3"/>
  <c r="M44" i="3"/>
  <c r="AK44" i="3"/>
  <c r="AX44" i="3"/>
  <c r="AW44" i="3"/>
  <c r="M45" i="3"/>
  <c r="W45" i="3"/>
  <c r="X45" i="3"/>
  <c r="BI45" i="3"/>
  <c r="BJ45" i="3"/>
  <c r="AI46" i="3"/>
  <c r="AL46" i="3"/>
  <c r="K47" i="3"/>
  <c r="N47" i="3"/>
  <c r="AQ47" i="3"/>
  <c r="BM47" i="3"/>
  <c r="BP47" i="3"/>
  <c r="K48" i="3"/>
  <c r="AO48" i="3"/>
  <c r="AP48" i="3"/>
  <c r="E60" i="3"/>
  <c r="F60" i="3"/>
  <c r="I60" i="3" s="1"/>
  <c r="BP52" i="3"/>
  <c r="BO52" i="3"/>
  <c r="BM49" i="3"/>
  <c r="BM44" i="3"/>
  <c r="BO44" i="3"/>
  <c r="AO42" i="3"/>
  <c r="K43" i="3"/>
  <c r="L43" i="3"/>
  <c r="AX43" i="3"/>
  <c r="AW43" i="3"/>
  <c r="W44" i="3"/>
  <c r="AO44" i="3"/>
  <c r="AR44" i="3"/>
  <c r="BG44" i="3"/>
  <c r="AR45" i="3"/>
  <c r="AQ45" i="3"/>
  <c r="BO45" i="3"/>
  <c r="BI47" i="3"/>
  <c r="AI48" i="3"/>
  <c r="AL48" i="3"/>
  <c r="BP48" i="3"/>
  <c r="BO48" i="3"/>
  <c r="AQ50" i="3"/>
  <c r="AR50" i="3"/>
  <c r="AK59" i="3"/>
  <c r="AL59" i="3"/>
  <c r="AW59" i="3"/>
  <c r="AX59" i="3"/>
  <c r="BI59" i="3"/>
  <c r="BJ59" i="3"/>
  <c r="BI63" i="3"/>
  <c r="BJ63" i="3"/>
  <c r="N50" i="3"/>
  <c r="M50" i="3"/>
  <c r="W50" i="3"/>
  <c r="Z47" i="3"/>
  <c r="Y47" i="3"/>
  <c r="W43" i="3"/>
  <c r="AL52" i="3"/>
  <c r="AK52" i="3"/>
  <c r="AL47" i="3"/>
  <c r="AK47" i="3"/>
  <c r="AI43" i="3"/>
  <c r="AU52" i="3"/>
  <c r="AX52" i="3"/>
  <c r="AW48" i="3"/>
  <c r="AU46" i="3"/>
  <c r="AX46" i="3"/>
  <c r="BG52" i="3"/>
  <c r="BG50" i="3"/>
  <c r="BI50" i="3"/>
  <c r="BJ46" i="3"/>
  <c r="BG42" i="3"/>
  <c r="BI42" i="3"/>
  <c r="N42" i="3"/>
  <c r="M42" i="3"/>
  <c r="AU42" i="3"/>
  <c r="AO43" i="3"/>
  <c r="AR43" i="3"/>
  <c r="K44" i="3"/>
  <c r="AI44" i="3"/>
  <c r="AL44" i="3"/>
  <c r="AU44" i="3"/>
  <c r="K45" i="3"/>
  <c r="N45" i="3"/>
  <c r="Y45" i="3"/>
  <c r="Z45" i="3"/>
  <c r="BG45" i="3"/>
  <c r="AK46" i="3"/>
  <c r="M47" i="3"/>
  <c r="AR47" i="3"/>
  <c r="AS47" i="3" s="1"/>
  <c r="AO47" i="3"/>
  <c r="BO47" i="3"/>
  <c r="N48" i="3"/>
  <c r="M48" i="3"/>
  <c r="AQ48" i="3"/>
  <c r="AR48" i="3"/>
  <c r="G60" i="3"/>
  <c r="H60" i="3"/>
  <c r="G64" i="3"/>
  <c r="H64" i="3"/>
  <c r="BN52" i="3"/>
  <c r="BM52" i="3"/>
  <c r="BP49" i="3"/>
  <c r="BO49" i="3"/>
  <c r="BP44" i="3"/>
  <c r="AQ42" i="3"/>
  <c r="M43" i="3"/>
  <c r="N43" i="3"/>
  <c r="AU43" i="3"/>
  <c r="Z44" i="3"/>
  <c r="Y44" i="3"/>
  <c r="AQ44" i="3"/>
  <c r="BJ44" i="3"/>
  <c r="BI44" i="3"/>
  <c r="AP45" i="3"/>
  <c r="AS45" i="3" s="1"/>
  <c r="AO45" i="3"/>
  <c r="BM45" i="3"/>
  <c r="BP45" i="3"/>
  <c r="K46" i="3"/>
  <c r="AO46" i="3"/>
  <c r="AQ46" i="3"/>
  <c r="BG47" i="3"/>
  <c r="BJ47" i="3"/>
  <c r="AK48" i="3"/>
  <c r="BM48" i="3"/>
  <c r="AW49" i="3"/>
  <c r="AX49" i="3"/>
  <c r="AO50" i="3"/>
  <c r="AI59" i="3"/>
  <c r="AJ59" i="3"/>
  <c r="AM59" i="3" s="1"/>
  <c r="AU59" i="3"/>
  <c r="AV59" i="3"/>
  <c r="AY59" i="3" s="1"/>
  <c r="BG59" i="3"/>
  <c r="BH59" i="3"/>
  <c r="BK59" i="3" s="1"/>
  <c r="BG63" i="3"/>
  <c r="BH63" i="3"/>
  <c r="BK63" i="3" s="1"/>
  <c r="K50" i="3"/>
  <c r="Z50" i="3"/>
  <c r="Y50" i="3"/>
  <c r="W47" i="3"/>
  <c r="Z43" i="3"/>
  <c r="Y43" i="3"/>
  <c r="AI52" i="3"/>
  <c r="AJ47" i="3"/>
  <c r="AI47" i="3"/>
  <c r="AK43" i="3"/>
  <c r="AL43" i="3"/>
  <c r="AW52" i="3"/>
  <c r="AU48" i="3"/>
  <c r="AX48" i="3"/>
  <c r="AW46" i="3"/>
  <c r="BJ52" i="3"/>
  <c r="BI52" i="3"/>
  <c r="BJ50" i="3"/>
  <c r="BG46" i="3"/>
  <c r="BI46" i="3"/>
  <c r="BJ42" i="3"/>
  <c r="AJ65" i="7951"/>
  <c r="AK65" i="7951"/>
  <c r="AH65" i="7951"/>
  <c r="AG111" i="1"/>
  <c r="BP42" i="3"/>
  <c r="BM42" i="3"/>
  <c r="BO42" i="3"/>
  <c r="BO46" i="3"/>
  <c r="BM46" i="3"/>
  <c r="BP46" i="3"/>
  <c r="BP50" i="3"/>
  <c r="BO50" i="3"/>
  <c r="BM50" i="3"/>
  <c r="AH78" i="7951"/>
  <c r="AK78" i="7951"/>
  <c r="AJ78" i="7951"/>
  <c r="AF386" i="1"/>
  <c r="AG386" i="1"/>
  <c r="AD386" i="1"/>
  <c r="T48" i="7952"/>
  <c r="U48" i="7952" s="1"/>
  <c r="D48" i="7952" s="1"/>
  <c r="T49" i="7952"/>
  <c r="U49" i="7952" s="1"/>
  <c r="D49" i="7952" s="1"/>
  <c r="T46" i="7952"/>
  <c r="U46" i="7952" s="1"/>
  <c r="D46" i="7952" s="1"/>
  <c r="T47" i="7952"/>
  <c r="U47" i="7952" s="1"/>
  <c r="D47" i="7952" s="1"/>
  <c r="O58" i="7947"/>
  <c r="D60" i="7947"/>
  <c r="G58" i="3"/>
  <c r="H58" i="3"/>
  <c r="E58" i="3"/>
  <c r="F58" i="3"/>
  <c r="I58" i="3" s="1"/>
  <c r="M60" i="3"/>
  <c r="N60" i="3"/>
  <c r="K60" i="3"/>
  <c r="L60" i="3"/>
  <c r="O60" i="3" s="1"/>
  <c r="AB60" i="3"/>
  <c r="AB64" i="3"/>
  <c r="AB62" i="3"/>
  <c r="M64" i="3"/>
  <c r="N64" i="3"/>
  <c r="K64" i="3"/>
  <c r="L64" i="3"/>
  <c r="O64" i="3" s="1"/>
  <c r="AK64" i="3"/>
  <c r="AL64" i="3"/>
  <c r="AI64" i="3"/>
  <c r="AJ64" i="3"/>
  <c r="AM64" i="3" s="1"/>
  <c r="AZ64" i="3"/>
  <c r="AZ61" i="3"/>
  <c r="AV49" i="3"/>
  <c r="AH382" i="1"/>
  <c r="AE382" i="1"/>
  <c r="AE380" i="1"/>
  <c r="AH380" i="1"/>
  <c r="AC380" i="1"/>
  <c r="AE367" i="1"/>
  <c r="AH367" i="1"/>
  <c r="AE365" i="1"/>
  <c r="AC365" i="1"/>
  <c r="AH365" i="1"/>
  <c r="AE363" i="1"/>
  <c r="AH363" i="1"/>
  <c r="AE350" i="1"/>
  <c r="AC350" i="1"/>
  <c r="AH350" i="1"/>
  <c r="AE348" i="1"/>
  <c r="AH348" i="1"/>
  <c r="AE335" i="1"/>
  <c r="AC335" i="1"/>
  <c r="AH335" i="1"/>
  <c r="AE333" i="1"/>
  <c r="AH333" i="1"/>
  <c r="AH331" i="1"/>
  <c r="AE331" i="1"/>
  <c r="AC331" i="1"/>
  <c r="AE318" i="1"/>
  <c r="AH318" i="1"/>
  <c r="AC316" i="1"/>
  <c r="AE316" i="1"/>
  <c r="AH303" i="1"/>
  <c r="AE303" i="1"/>
  <c r="AC301" i="1"/>
  <c r="AE299" i="1"/>
  <c r="AH299" i="1"/>
  <c r="AE286" i="1"/>
  <c r="AC286" i="1"/>
  <c r="AH284" i="1"/>
  <c r="AE284" i="1"/>
  <c r="AE271" i="1"/>
  <c r="AH271" i="1"/>
  <c r="AE269" i="1"/>
  <c r="AH269" i="1"/>
  <c r="AC269" i="1"/>
  <c r="AE267" i="1"/>
  <c r="AH267" i="1"/>
  <c r="AC267" i="1"/>
  <c r="AC262" i="1"/>
  <c r="AH262" i="1"/>
  <c r="AE262" i="1"/>
  <c r="AH257" i="1"/>
  <c r="AC257" i="1"/>
  <c r="AE257" i="1"/>
  <c r="AD67" i="1"/>
  <c r="AF67" i="1"/>
  <c r="AE133" i="1"/>
  <c r="AC133" i="1"/>
  <c r="AH133" i="1"/>
  <c r="AE131" i="1"/>
  <c r="AC131" i="1"/>
  <c r="AH131" i="1"/>
  <c r="AE129" i="1"/>
  <c r="AC129" i="1"/>
  <c r="AH129" i="1"/>
  <c r="AE149" i="1"/>
  <c r="AC149" i="1"/>
  <c r="AH149" i="1"/>
  <c r="AE147" i="1"/>
  <c r="AC147" i="1"/>
  <c r="AH147" i="1"/>
  <c r="AE145" i="1"/>
  <c r="AC145" i="1"/>
  <c r="AH145" i="1"/>
  <c r="AE165" i="1"/>
  <c r="AC165" i="1"/>
  <c r="AH165" i="1"/>
  <c r="AE163" i="1"/>
  <c r="AC163" i="1"/>
  <c r="AH163" i="1"/>
  <c r="AE161" i="1"/>
  <c r="AC161" i="1"/>
  <c r="AH161" i="1"/>
  <c r="AE181" i="1"/>
  <c r="AC181" i="1"/>
  <c r="AH181" i="1"/>
  <c r="AE179" i="1"/>
  <c r="AC179" i="1"/>
  <c r="AH179" i="1"/>
  <c r="AE177" i="1"/>
  <c r="AC177" i="1"/>
  <c r="AH177" i="1"/>
  <c r="AE197" i="1"/>
  <c r="AC197" i="1"/>
  <c r="AH197" i="1"/>
  <c r="AE195" i="1"/>
  <c r="AC195" i="1"/>
  <c r="AH195" i="1"/>
  <c r="AE193" i="1"/>
  <c r="AC193" i="1"/>
  <c r="AH193" i="1"/>
  <c r="AE213" i="1"/>
  <c r="AC213" i="1"/>
  <c r="AH213" i="1"/>
  <c r="AE211" i="1"/>
  <c r="AC211" i="1"/>
  <c r="AH211" i="1"/>
  <c r="AE209" i="1"/>
  <c r="AC209" i="1"/>
  <c r="AH209" i="1"/>
  <c r="AE229" i="1"/>
  <c r="AC229" i="1"/>
  <c r="AH229" i="1"/>
  <c r="AE227" i="1"/>
  <c r="AC227" i="1"/>
  <c r="AH227" i="1"/>
  <c r="AE225" i="1"/>
  <c r="AC225" i="1"/>
  <c r="AH225" i="1"/>
  <c r="AE245" i="1"/>
  <c r="AC245" i="1"/>
  <c r="AH245" i="1"/>
  <c r="AE243" i="1"/>
  <c r="AC243" i="1"/>
  <c r="AH243" i="1"/>
  <c r="AE241" i="1"/>
  <c r="AC241" i="1"/>
  <c r="AH241" i="1"/>
  <c r="AE277" i="1"/>
  <c r="AC277" i="1"/>
  <c r="AH277" i="1"/>
  <c r="AE275" i="1"/>
  <c r="AC275" i="1"/>
  <c r="AH275" i="1"/>
  <c r="AE273" i="1"/>
  <c r="AC273" i="1"/>
  <c r="AH273" i="1"/>
  <c r="AE309" i="1"/>
  <c r="AC309" i="1"/>
  <c r="AH309" i="1"/>
  <c r="AE307" i="1"/>
  <c r="AC307" i="1"/>
  <c r="AH307" i="1"/>
  <c r="AE305" i="1"/>
  <c r="AC305" i="1"/>
  <c r="AH305" i="1"/>
  <c r="AF342" i="1"/>
  <c r="AD342" i="1"/>
  <c r="AG342" i="1"/>
  <c r="AD340" i="1"/>
  <c r="AF340" i="1"/>
  <c r="AG340" i="1"/>
  <c r="AF338" i="1"/>
  <c r="AD338" i="1"/>
  <c r="AG338" i="1"/>
  <c r="AD358" i="1"/>
  <c r="AF358" i="1"/>
  <c r="AF373" i="1"/>
  <c r="AD373" i="1"/>
  <c r="AG373" i="1"/>
  <c r="AD371" i="1"/>
  <c r="AG371" i="1"/>
  <c r="AF371" i="1"/>
  <c r="AF369" i="1"/>
  <c r="AD369" i="1"/>
  <c r="AG369" i="1"/>
  <c r="BA98" i="2"/>
  <c r="BA94" i="2"/>
  <c r="BA100" i="2"/>
  <c r="BL146" i="2"/>
  <c r="BL149" i="2"/>
  <c r="BL152" i="2"/>
  <c r="BL156" i="2"/>
  <c r="BL158" i="2"/>
  <c r="BL162" i="2"/>
  <c r="BL165" i="2"/>
  <c r="BL44" i="2"/>
  <c r="BL48" i="2"/>
  <c r="BL52" i="2"/>
  <c r="BL56" i="2"/>
  <c r="BL60" i="2"/>
  <c r="BL148" i="2"/>
  <c r="BL154" i="2"/>
  <c r="BL160" i="2"/>
  <c r="BL166" i="2"/>
  <c r="BL49" i="2"/>
  <c r="BL57" i="2"/>
  <c r="BL65" i="2"/>
  <c r="BL167" i="2"/>
  <c r="BL150" i="2"/>
  <c r="BL157" i="2"/>
  <c r="BL164" i="2"/>
  <c r="BL45" i="2"/>
  <c r="BL53" i="2"/>
  <c r="BL61" i="2"/>
  <c r="BL168" i="2"/>
  <c r="BL63" i="2"/>
  <c r="AR46" i="3"/>
  <c r="AU49" i="3"/>
  <c r="AH129" i="7951"/>
  <c r="AK129" i="7951"/>
  <c r="AJ129" i="7951"/>
  <c r="AG178" i="7950"/>
  <c r="AG179" i="7950" s="1"/>
  <c r="O169" i="7950" s="1"/>
  <c r="AG226" i="7950"/>
  <c r="AG227" i="7950" s="1"/>
  <c r="O217" i="7950" s="1"/>
  <c r="AH117" i="7951"/>
  <c r="AI117" i="7951"/>
  <c r="AJ117" i="7951"/>
  <c r="AK111" i="7951"/>
  <c r="BD113" i="2"/>
  <c r="BD115" i="2"/>
  <c r="AG354" i="7950"/>
  <c r="AG355" i="7950" s="1"/>
  <c r="O345" i="7950" s="1"/>
  <c r="AG194" i="7950"/>
  <c r="AG195" i="7950" s="1"/>
  <c r="O185" i="7950" s="1"/>
  <c r="AO47" i="7952"/>
  <c r="AR47" i="7952" s="1"/>
  <c r="AJ98" i="7951"/>
  <c r="AH98" i="7951"/>
  <c r="AK98" i="7951"/>
  <c r="AI98" i="7951"/>
  <c r="AL94" i="7951"/>
  <c r="AH94" i="7951"/>
  <c r="AK94" i="7951"/>
  <c r="AH93" i="7951"/>
  <c r="AK93" i="7951"/>
  <c r="AY191" i="2"/>
  <c r="BA191" i="2"/>
  <c r="AY195" i="2"/>
  <c r="BA195" i="2"/>
  <c r="CI672" i="2"/>
  <c r="AG274" i="7950"/>
  <c r="AG275" i="7950" s="1"/>
  <c r="O265" i="7950" s="1"/>
  <c r="AG402" i="7950"/>
  <c r="AG403" i="7950" s="1"/>
  <c r="O393" i="7950" s="1"/>
  <c r="AI80" i="7951"/>
  <c r="AH76" i="7951"/>
  <c r="AG338" i="7950"/>
  <c r="AG339" i="7950" s="1"/>
  <c r="O329" i="7950" s="1"/>
  <c r="AG242" i="7950"/>
  <c r="AG243" i="7950" s="1"/>
  <c r="O233" i="7950" s="1"/>
  <c r="AL62" i="7951"/>
  <c r="AH62" i="7951"/>
  <c r="AK62" i="7951"/>
  <c r="AG62" i="7951"/>
  <c r="AK59" i="7951"/>
  <c r="AH59" i="7951"/>
  <c r="AH58" i="7951"/>
  <c r="AI58" i="7951"/>
  <c r="AJ58" i="7951"/>
  <c r="AK58" i="7951"/>
  <c r="AF221" i="7950"/>
  <c r="AO48" i="7952"/>
  <c r="AR48" i="7952" s="1"/>
  <c r="AO44" i="7952"/>
  <c r="AR44" i="7952" s="1"/>
  <c r="AO43" i="7952"/>
  <c r="AR43" i="7952" s="1"/>
  <c r="BD109" i="2"/>
  <c r="CI679" i="2"/>
  <c r="CI72" i="2"/>
  <c r="AO49" i="7952"/>
  <c r="AR49" i="7952" s="1"/>
  <c r="AG255" i="1"/>
  <c r="AE255" i="1"/>
  <c r="AH255" i="1"/>
  <c r="AC255" i="1"/>
  <c r="AF255" i="1"/>
  <c r="AD255" i="1"/>
  <c r="BD111" i="2"/>
  <c r="AD85" i="7949"/>
  <c r="AD84" i="7949"/>
  <c r="AD86" i="7949" s="1"/>
  <c r="BD106" i="2"/>
  <c r="AG254" i="1"/>
  <c r="AD254" i="1"/>
  <c r="AC254" i="1"/>
  <c r="AE254" i="1"/>
  <c r="AR71" i="7951"/>
  <c r="AR117" i="7951" s="1"/>
  <c r="G41" i="7947" s="1"/>
  <c r="E41" i="7947" s="1"/>
  <c r="AF333" i="7950"/>
  <c r="AO42" i="7952"/>
  <c r="AR42" i="7952" s="1"/>
  <c r="AO51" i="7952"/>
  <c r="AR51" i="7952" s="1"/>
  <c r="AO45" i="7952"/>
  <c r="AR45" i="7952" s="1"/>
  <c r="AO46" i="7952"/>
  <c r="AR46" i="7952" s="1"/>
  <c r="AF269" i="7950"/>
  <c r="AK93" i="7949"/>
  <c r="AJ93" i="7949"/>
  <c r="AK92" i="7949"/>
  <c r="AJ92" i="7949"/>
  <c r="AK96" i="7949"/>
  <c r="AJ96" i="7949"/>
  <c r="AU185" i="7949"/>
  <c r="AU189" i="7949"/>
  <c r="AU186" i="7949"/>
  <c r="AU190" i="7949"/>
  <c r="AU183" i="7949"/>
  <c r="AU187" i="7949"/>
  <c r="AU181" i="7949"/>
  <c r="AU188" i="7949"/>
  <c r="BL151" i="2"/>
  <c r="AN151" i="2"/>
  <c r="AN159" i="2"/>
  <c r="BL159" i="2"/>
  <c r="AZ59" i="2"/>
  <c r="AO59" i="2" s="1"/>
  <c r="BL59" i="2"/>
  <c r="AZ97" i="2"/>
  <c r="AO97" i="2" s="1"/>
  <c r="BA97" i="2"/>
  <c r="CI676" i="2"/>
  <c r="CI677" i="2"/>
  <c r="U58" i="7947"/>
  <c r="D61" i="7947"/>
  <c r="AH61" i="7947"/>
  <c r="V61" i="7947"/>
  <c r="J61" i="7947"/>
  <c r="AG58" i="7947"/>
  <c r="AB63" i="7947" s="1"/>
  <c r="P63" i="7947"/>
  <c r="V63" i="7947"/>
  <c r="D63" i="7947"/>
  <c r="J63" i="7947"/>
  <c r="AH63" i="7947"/>
  <c r="D65" i="7947"/>
  <c r="V65" i="7947"/>
  <c r="J65" i="7947"/>
  <c r="P65" i="7947"/>
  <c r="AH65" i="7947"/>
  <c r="AR81" i="7953"/>
  <c r="AQ81" i="7953"/>
  <c r="BM43" i="3"/>
  <c r="BP43" i="3"/>
  <c r="BO43" i="3"/>
  <c r="AQ49" i="3"/>
  <c r="AO49" i="3"/>
  <c r="AR49" i="3"/>
  <c r="G49" i="3"/>
  <c r="E49" i="3"/>
  <c r="H49" i="3"/>
  <c r="BJ43" i="3"/>
  <c r="BI43" i="3"/>
  <c r="BG43" i="3"/>
  <c r="BJ51" i="3"/>
  <c r="BI51" i="3"/>
  <c r="BH51" i="3"/>
  <c r="BG51" i="3"/>
  <c r="AU47" i="3"/>
  <c r="AX47" i="3"/>
  <c r="AW47" i="3"/>
  <c r="AI45" i="3"/>
  <c r="AL45" i="3"/>
  <c r="AK45" i="3"/>
  <c r="W46" i="3"/>
  <c r="Z46" i="3"/>
  <c r="Y46" i="3"/>
  <c r="X52" i="3"/>
  <c r="W52" i="3"/>
  <c r="Z52" i="3"/>
  <c r="Y52" i="3"/>
  <c r="BA63" i="3"/>
  <c r="BB63" i="3"/>
  <c r="BE63" i="3" s="1"/>
  <c r="BC63" i="3"/>
  <c r="BD63" i="3"/>
  <c r="AU61" i="3"/>
  <c r="AV61" i="3"/>
  <c r="AY61" i="3" s="1"/>
  <c r="AW61" i="3"/>
  <c r="AX61" i="3"/>
  <c r="AO59" i="3"/>
  <c r="AP59" i="3"/>
  <c r="AS59" i="3" s="1"/>
  <c r="AQ59" i="3"/>
  <c r="AR59" i="3"/>
  <c r="BM51" i="3"/>
  <c r="BP51" i="3"/>
  <c r="BO51" i="3"/>
  <c r="Y51" i="3"/>
  <c r="W51" i="3"/>
  <c r="Z51" i="3"/>
  <c r="AK50" i="3"/>
  <c r="AL50" i="3"/>
  <c r="AI50" i="3"/>
  <c r="W49" i="3"/>
  <c r="Z49" i="3"/>
  <c r="Y49" i="3"/>
  <c r="CC376" i="7949"/>
  <c r="CC375" i="7949"/>
  <c r="CC368" i="7949"/>
  <c r="CC369" i="7949"/>
  <c r="AQ411" i="7950"/>
  <c r="E411" i="7950"/>
  <c r="AR411" i="7950"/>
  <c r="I411" i="7950"/>
  <c r="AT411" i="7950"/>
  <c r="AU411" i="7950" s="1"/>
  <c r="G411" i="7950"/>
  <c r="G299" i="7950"/>
  <c r="AQ299" i="7950"/>
  <c r="AT299" i="7950"/>
  <c r="AU299" i="7950" s="1"/>
  <c r="E299" i="7950"/>
  <c r="AR299" i="7950"/>
  <c r="I299" i="7950"/>
  <c r="CI74" i="2"/>
  <c r="AN147" i="2"/>
  <c r="BL147" i="2"/>
  <c r="AN155" i="2"/>
  <c r="BL155" i="2"/>
  <c r="AZ55" i="2"/>
  <c r="AO55" i="2" s="1"/>
  <c r="BL55" i="2"/>
  <c r="AN163" i="2"/>
  <c r="BL163" i="2"/>
  <c r="CC96" i="7949"/>
  <c r="CC97" i="7949"/>
  <c r="AR77" i="7953"/>
  <c r="AQ77" i="7953"/>
  <c r="Z61" i="7952"/>
  <c r="BE63" i="7950"/>
  <c r="BA47" i="3"/>
  <c r="BD47" i="3"/>
  <c r="BC47" i="3"/>
  <c r="T43" i="3"/>
  <c r="S43" i="3"/>
  <c r="R43" i="3"/>
  <c r="Q43" i="3"/>
  <c r="E51" i="3"/>
  <c r="H51" i="3"/>
  <c r="G51" i="3"/>
  <c r="BG49" i="3"/>
  <c r="BJ49" i="3"/>
  <c r="BI49" i="3"/>
  <c r="AX45" i="3"/>
  <c r="AW45" i="3"/>
  <c r="AU45" i="3"/>
  <c r="AU51" i="3"/>
  <c r="AX51" i="3"/>
  <c r="AW51" i="3"/>
  <c r="AK51" i="3"/>
  <c r="AI51" i="3"/>
  <c r="AL51" i="3"/>
  <c r="Z48" i="3"/>
  <c r="Y48" i="3"/>
  <c r="W48" i="3"/>
  <c r="BG61" i="3"/>
  <c r="BH61" i="3"/>
  <c r="BK61" i="3" s="1"/>
  <c r="BI61" i="3"/>
  <c r="BJ61" i="3"/>
  <c r="BA59" i="3"/>
  <c r="BB59" i="3"/>
  <c r="BE59" i="3" s="1"/>
  <c r="BC59" i="3"/>
  <c r="BD59" i="3"/>
  <c r="AC59" i="3"/>
  <c r="AD59" i="3"/>
  <c r="AG59" i="3" s="1"/>
  <c r="AE59" i="3"/>
  <c r="AF59" i="3"/>
  <c r="AR51" i="3"/>
  <c r="AQ51" i="3"/>
  <c r="AO51" i="3"/>
  <c r="K51" i="3"/>
  <c r="N51" i="3"/>
  <c r="M51" i="3"/>
  <c r="AI49" i="3"/>
  <c r="AL49" i="3"/>
  <c r="AK49" i="3"/>
  <c r="M49" i="3"/>
  <c r="K49" i="3"/>
  <c r="N49" i="3"/>
  <c r="E315" i="7950"/>
  <c r="AR315" i="7950"/>
  <c r="AT315" i="7950"/>
  <c r="AU315" i="7950" s="1"/>
  <c r="AQ315" i="7950"/>
  <c r="I315" i="7950"/>
  <c r="G315" i="7950"/>
  <c r="I251" i="7950"/>
  <c r="G251" i="7950"/>
  <c r="E251" i="7950"/>
  <c r="AR251" i="7950"/>
  <c r="AT251" i="7950"/>
  <c r="AU251" i="7950" s="1"/>
  <c r="AQ251" i="7950"/>
  <c r="I219" i="7950"/>
  <c r="AQ219" i="7950"/>
  <c r="E219" i="7950"/>
  <c r="AR219" i="7950"/>
  <c r="AT219" i="7950"/>
  <c r="AU219" i="7950" s="1"/>
  <c r="G219" i="7950"/>
  <c r="CC646" i="7949"/>
  <c r="CI70" i="2"/>
  <c r="CN69" i="2" s="1"/>
  <c r="CR67" i="2" s="1"/>
  <c r="O52" i="3"/>
  <c r="AY235" i="7950"/>
  <c r="M235" i="7950"/>
  <c r="AX235" i="7950"/>
  <c r="AZ235" i="7950"/>
  <c r="AW235" i="7950"/>
  <c r="W110" i="1"/>
  <c r="F52" i="3"/>
  <c r="AY187" i="7950"/>
  <c r="M187" i="7950"/>
  <c r="AW187" i="7950"/>
  <c r="AX187" i="7950"/>
  <c r="AZ187" i="7950"/>
  <c r="AP188" i="7950" s="1"/>
  <c r="I83" i="7954"/>
  <c r="I108" i="7954"/>
  <c r="G41" i="3"/>
  <c r="E41" i="3" s="1"/>
  <c r="V60" i="2"/>
  <c r="F59" i="2" s="1"/>
  <c r="V59" i="2"/>
  <c r="F58" i="2" s="1"/>
  <c r="V61" i="2"/>
  <c r="F60" i="2" s="1"/>
  <c r="V58" i="2"/>
  <c r="F57" i="2" s="1"/>
  <c r="V56" i="2"/>
  <c r="F55" i="2" s="1"/>
  <c r="V57" i="2"/>
  <c r="F56" i="2" s="1"/>
  <c r="BA178" i="2"/>
  <c r="BA99" i="2"/>
  <c r="BA182" i="2"/>
  <c r="BA103" i="2"/>
  <c r="BA174" i="2"/>
  <c r="BA95" i="2"/>
  <c r="BA180" i="2"/>
  <c r="BA101" i="2"/>
  <c r="AS184" i="7949"/>
  <c r="AU184" i="7949"/>
  <c r="AT348" i="7950"/>
  <c r="AU348" i="7950" s="1"/>
  <c r="AQ348" i="7950"/>
  <c r="E348" i="7950"/>
  <c r="I348" i="7950"/>
  <c r="AR348" i="7950"/>
  <c r="G348" i="7950"/>
  <c r="AT395" i="7950"/>
  <c r="AU395" i="7950" s="1"/>
  <c r="AR395" i="7950"/>
  <c r="E395" i="7950"/>
  <c r="I395" i="7950"/>
  <c r="AQ395" i="7950"/>
  <c r="G395" i="7950"/>
  <c r="AU182" i="7949"/>
  <c r="AS182" i="7949"/>
  <c r="AY186" i="2"/>
  <c r="BA186" i="2"/>
  <c r="AY188" i="2"/>
  <c r="BA188" i="2"/>
  <c r="AY192" i="2"/>
  <c r="BA192" i="2"/>
  <c r="N65" i="3"/>
  <c r="L65" i="3"/>
  <c r="O65" i="3" s="1"/>
  <c r="K65" i="3"/>
  <c r="M65" i="3"/>
  <c r="L58" i="3"/>
  <c r="O58" i="3" s="1"/>
  <c r="M58" i="3"/>
  <c r="K58" i="3"/>
  <c r="N58" i="3"/>
  <c r="N61" i="3"/>
  <c r="K61" i="3"/>
  <c r="L61" i="3"/>
  <c r="O61" i="3" s="1"/>
  <c r="M61" i="3"/>
  <c r="X59" i="3"/>
  <c r="W59" i="3"/>
  <c r="Y59" i="3"/>
  <c r="X57" i="3"/>
  <c r="AA57" i="3" s="1"/>
  <c r="Y57" i="3"/>
  <c r="W57" i="3"/>
  <c r="Z57" i="3"/>
  <c r="X63" i="3"/>
  <c r="AA63" i="3" s="1"/>
  <c r="W63" i="3"/>
  <c r="Z63" i="3"/>
  <c r="Y63" i="3"/>
  <c r="Z56" i="3"/>
  <c r="Y56" i="3"/>
  <c r="W56" i="3"/>
  <c r="X56" i="3"/>
  <c r="AA56" i="3" s="1"/>
  <c r="AJ63" i="3"/>
  <c r="AM63" i="3" s="1"/>
  <c r="AK63" i="3"/>
  <c r="AL63" i="3"/>
  <c r="AI63" i="3"/>
  <c r="AL56" i="3"/>
  <c r="AI56" i="3"/>
  <c r="AJ56" i="3"/>
  <c r="AM56" i="3" s="1"/>
  <c r="AK56" i="3"/>
  <c r="AL60" i="3"/>
  <c r="AK60" i="3"/>
  <c r="AJ60" i="3"/>
  <c r="AM60" i="3" s="1"/>
  <c r="AI60" i="3"/>
  <c r="AV62" i="3"/>
  <c r="AY62" i="3" s="1"/>
  <c r="AW62" i="3"/>
  <c r="AX62" i="3"/>
  <c r="AU62" i="3"/>
  <c r="AX56" i="3"/>
  <c r="AW56" i="3"/>
  <c r="AV56" i="3"/>
  <c r="AY56" i="3" s="1"/>
  <c r="AU56" i="3"/>
  <c r="AV63" i="3"/>
  <c r="AU63" i="3"/>
  <c r="AW63" i="3"/>
  <c r="AV57" i="3"/>
  <c r="AY57" i="3" s="1"/>
  <c r="AW57" i="3"/>
  <c r="AU57" i="3"/>
  <c r="AX57" i="3"/>
  <c r="BH65" i="3"/>
  <c r="BG65" i="3"/>
  <c r="BI65" i="3"/>
  <c r="BH57" i="3"/>
  <c r="BK57" i="3" s="1"/>
  <c r="BI57" i="3"/>
  <c r="BG57" i="3"/>
  <c r="BJ57" i="3"/>
  <c r="BJ64" i="3"/>
  <c r="BI64" i="3"/>
  <c r="BG64" i="3"/>
  <c r="BH64" i="3"/>
  <c r="BK64" i="3" s="1"/>
  <c r="W124" i="1"/>
  <c r="X47" i="3"/>
  <c r="AA47" i="3" s="1"/>
  <c r="G57" i="3"/>
  <c r="E57" i="3"/>
  <c r="G59" i="3"/>
  <c r="E59" i="3"/>
  <c r="G63" i="3"/>
  <c r="E63" i="3"/>
  <c r="S56" i="3"/>
  <c r="Q56" i="3"/>
  <c r="S63" i="3"/>
  <c r="Q63" i="3"/>
  <c r="Q65" i="3"/>
  <c r="S65" i="3"/>
  <c r="AE65" i="3"/>
  <c r="AC65" i="3"/>
  <c r="AE56" i="3"/>
  <c r="AC56" i="3"/>
  <c r="AE63" i="3"/>
  <c r="AC63" i="3"/>
  <c r="AO56" i="3"/>
  <c r="AQ56" i="3"/>
  <c r="AP57" i="3"/>
  <c r="AS57" i="3" s="1"/>
  <c r="AQ57" i="3"/>
  <c r="AO57" i="3"/>
  <c r="AR57" i="3"/>
  <c r="AQ65" i="3"/>
  <c r="AO65" i="3"/>
  <c r="BC60" i="3"/>
  <c r="BA60" i="3"/>
  <c r="BC58" i="3"/>
  <c r="BA58" i="3"/>
  <c r="BA62" i="3"/>
  <c r="BC62" i="3"/>
  <c r="CI373" i="2"/>
  <c r="CN68" i="2"/>
  <c r="CO67" i="2" s="1"/>
  <c r="CI675" i="2"/>
  <c r="CI674" i="2"/>
  <c r="G379" i="7950"/>
  <c r="AT379" i="7950"/>
  <c r="AU379" i="7950" s="1"/>
  <c r="I379" i="7950"/>
  <c r="AQ379" i="7950"/>
  <c r="AR379" i="7950"/>
  <c r="E379" i="7950"/>
  <c r="AT171" i="7950"/>
  <c r="AU171" i="7950" s="1"/>
  <c r="G171" i="7950"/>
  <c r="AY187" i="2"/>
  <c r="BA187" i="2"/>
  <c r="AY189" i="2"/>
  <c r="BA189" i="2"/>
  <c r="AY194" i="2"/>
  <c r="BA194" i="2"/>
  <c r="AP194" i="2" s="1"/>
  <c r="L63" i="3"/>
  <c r="O63" i="3" s="1"/>
  <c r="M63" i="3"/>
  <c r="K63" i="3"/>
  <c r="N63" i="3"/>
  <c r="M57" i="3"/>
  <c r="K57" i="3"/>
  <c r="L57" i="3"/>
  <c r="L59" i="3"/>
  <c r="O59" i="3" s="1"/>
  <c r="M59" i="3"/>
  <c r="N59" i="3"/>
  <c r="K59" i="3"/>
  <c r="N56" i="3"/>
  <c r="L56" i="3"/>
  <c r="O56" i="3" s="1"/>
  <c r="M56" i="3"/>
  <c r="K56" i="3"/>
  <c r="Z61" i="3"/>
  <c r="Y61" i="3"/>
  <c r="X61" i="3"/>
  <c r="AA61" i="3" s="1"/>
  <c r="W61" i="3"/>
  <c r="X58" i="3"/>
  <c r="AA58" i="3" s="1"/>
  <c r="Y58" i="3"/>
  <c r="Z58" i="3"/>
  <c r="W58" i="3"/>
  <c r="Z65" i="3"/>
  <c r="Y65" i="3"/>
  <c r="X65" i="3"/>
  <c r="AA65" i="3" s="1"/>
  <c r="W65" i="3"/>
  <c r="AJ58" i="3"/>
  <c r="AM58" i="3" s="1"/>
  <c r="AL58" i="3"/>
  <c r="AK58" i="3"/>
  <c r="AI58" i="3"/>
  <c r="AJ61" i="3"/>
  <c r="AK61" i="3"/>
  <c r="AI61" i="3"/>
  <c r="AL65" i="3"/>
  <c r="AI65" i="3"/>
  <c r="AJ65" i="3"/>
  <c r="AM65" i="3" s="1"/>
  <c r="AK65" i="3"/>
  <c r="AJ57" i="3"/>
  <c r="AM57" i="3" s="1"/>
  <c r="AK57" i="3"/>
  <c r="AI57" i="3"/>
  <c r="AL57" i="3"/>
  <c r="AX65" i="3"/>
  <c r="AW65" i="3"/>
  <c r="AU65" i="3"/>
  <c r="AV65" i="3"/>
  <c r="AY65" i="3" s="1"/>
  <c r="AV58" i="3"/>
  <c r="AY58" i="3" s="1"/>
  <c r="AU58" i="3"/>
  <c r="AW58" i="3"/>
  <c r="AX58" i="3"/>
  <c r="AX60" i="3"/>
  <c r="AV60" i="3"/>
  <c r="AY60" i="3" s="1"/>
  <c r="AW60" i="3"/>
  <c r="AU60" i="3"/>
  <c r="BH58" i="3"/>
  <c r="BK58" i="3" s="1"/>
  <c r="BJ58" i="3"/>
  <c r="BI58" i="3"/>
  <c r="BG58" i="3"/>
  <c r="BJ60" i="3"/>
  <c r="BG60" i="3"/>
  <c r="BI60" i="3"/>
  <c r="BH60" i="3"/>
  <c r="BK60" i="3" s="1"/>
  <c r="BH62" i="3"/>
  <c r="BK62" i="3" s="1"/>
  <c r="BJ62" i="3"/>
  <c r="BG62" i="3"/>
  <c r="BI62" i="3"/>
  <c r="BJ56" i="3"/>
  <c r="BH56" i="3"/>
  <c r="BK56" i="3" s="1"/>
  <c r="BI56" i="3"/>
  <c r="BG56" i="3"/>
  <c r="G65" i="3"/>
  <c r="E65" i="3"/>
  <c r="G61" i="3"/>
  <c r="E61" i="3"/>
  <c r="F56" i="3"/>
  <c r="G56" i="3"/>
  <c r="E56" i="3"/>
  <c r="H56" i="3"/>
  <c r="Q61" i="3"/>
  <c r="S61" i="3"/>
  <c r="R57" i="3"/>
  <c r="U57" i="3" s="1"/>
  <c r="S57" i="3"/>
  <c r="Q57" i="3"/>
  <c r="T57" i="3"/>
  <c r="Q59" i="3"/>
  <c r="S59" i="3"/>
  <c r="AC58" i="3"/>
  <c r="AE58" i="3"/>
  <c r="AE61" i="3"/>
  <c r="AC61" i="3"/>
  <c r="AD57" i="3"/>
  <c r="AG57" i="3" s="1"/>
  <c r="AE57" i="3"/>
  <c r="AC57" i="3"/>
  <c r="AF57" i="3"/>
  <c r="AO63" i="3"/>
  <c r="AQ63" i="3"/>
  <c r="AQ60" i="3"/>
  <c r="AO60" i="3"/>
  <c r="AQ58" i="3"/>
  <c r="AO58" i="3"/>
  <c r="BC65" i="3"/>
  <c r="BA65" i="3"/>
  <c r="BA56" i="3"/>
  <c r="BC56" i="3"/>
  <c r="BB57" i="3"/>
  <c r="BE57" i="3" s="1"/>
  <c r="BC57" i="3"/>
  <c r="BA57" i="3"/>
  <c r="BD57" i="3"/>
  <c r="AE67" i="2"/>
  <c r="AE68" i="2" s="1"/>
  <c r="I62" i="7954"/>
  <c r="I134" i="7954"/>
  <c r="I51" i="7954"/>
  <c r="J51" i="7954"/>
  <c r="I58" i="7954"/>
  <c r="J58" i="7954"/>
  <c r="I46" i="7954"/>
  <c r="J45" i="7954"/>
  <c r="I50" i="7954"/>
  <c r="J50" i="7954"/>
  <c r="I67" i="7954"/>
  <c r="J66" i="7954"/>
  <c r="I53" i="7954"/>
  <c r="J53" i="7954"/>
  <c r="K368" i="7954"/>
  <c r="I368" i="7954"/>
  <c r="J368" i="7954"/>
  <c r="K364" i="7954"/>
  <c r="J364" i="7954"/>
  <c r="I364" i="7954"/>
  <c r="K360" i="7954"/>
  <c r="I360" i="7954"/>
  <c r="J360" i="7954"/>
  <c r="I356" i="7954"/>
  <c r="J356" i="7954"/>
  <c r="K356" i="7954"/>
  <c r="I352" i="7954"/>
  <c r="J352" i="7954"/>
  <c r="K352" i="7954"/>
  <c r="I348" i="7954"/>
  <c r="J348" i="7954"/>
  <c r="K348" i="7954"/>
  <c r="I344" i="7954"/>
  <c r="J344" i="7954"/>
  <c r="K344" i="7954"/>
  <c r="I340" i="7954"/>
  <c r="J340" i="7954"/>
  <c r="K340" i="7954"/>
  <c r="I336" i="7954"/>
  <c r="J336" i="7954"/>
  <c r="K336" i="7954"/>
  <c r="I332" i="7954"/>
  <c r="J332" i="7954"/>
  <c r="K332" i="7954"/>
  <c r="I328" i="7954"/>
  <c r="J328" i="7954"/>
  <c r="K328" i="7954"/>
  <c r="I324" i="7954"/>
  <c r="J324" i="7954"/>
  <c r="K324" i="7954"/>
  <c r="I320" i="7954"/>
  <c r="J320" i="7954"/>
  <c r="K320" i="7954"/>
  <c r="I316" i="7954"/>
  <c r="J316" i="7954"/>
  <c r="K316" i="7954"/>
  <c r="J312" i="7954"/>
  <c r="I312" i="7954"/>
  <c r="K312" i="7954"/>
  <c r="J308" i="7954"/>
  <c r="I308" i="7954"/>
  <c r="K308" i="7954"/>
  <c r="I304" i="7954"/>
  <c r="J304" i="7954"/>
  <c r="K304" i="7954"/>
  <c r="I300" i="7954"/>
  <c r="J300" i="7954"/>
  <c r="K300" i="7954"/>
  <c r="I296" i="7954"/>
  <c r="J296" i="7954"/>
  <c r="K296" i="7954"/>
  <c r="I292" i="7954"/>
  <c r="J292" i="7954"/>
  <c r="K292" i="7954"/>
  <c r="I288" i="7954"/>
  <c r="J288" i="7954"/>
  <c r="K288" i="7954"/>
  <c r="I284" i="7954"/>
  <c r="J284" i="7954"/>
  <c r="K284" i="7954"/>
  <c r="I280" i="7954"/>
  <c r="J280" i="7954"/>
  <c r="K280" i="7954"/>
  <c r="I276" i="7954"/>
  <c r="J276" i="7954"/>
  <c r="K276" i="7954"/>
  <c r="I272" i="7954"/>
  <c r="J272" i="7954"/>
  <c r="K272" i="7954"/>
  <c r="I268" i="7954"/>
  <c r="J268" i="7954"/>
  <c r="K268" i="7954"/>
  <c r="I264" i="7954"/>
  <c r="J264" i="7954"/>
  <c r="K264" i="7954"/>
  <c r="I260" i="7954"/>
  <c r="J260" i="7954"/>
  <c r="K260" i="7954"/>
  <c r="I256" i="7954"/>
  <c r="J256" i="7954"/>
  <c r="K256" i="7954"/>
  <c r="I252" i="7954"/>
  <c r="J252" i="7954"/>
  <c r="K252" i="7954"/>
  <c r="I248" i="7954"/>
  <c r="J248" i="7954"/>
  <c r="K248" i="7954"/>
  <c r="I244" i="7954"/>
  <c r="J244" i="7954"/>
  <c r="K244" i="7954"/>
  <c r="I240" i="7954"/>
  <c r="J240" i="7954"/>
  <c r="K240" i="7954"/>
  <c r="I236" i="7954"/>
  <c r="J236" i="7954"/>
  <c r="K236" i="7954"/>
  <c r="I232" i="7954"/>
  <c r="J232" i="7954"/>
  <c r="K232" i="7954"/>
  <c r="I228" i="7954"/>
  <c r="J228" i="7954"/>
  <c r="K228" i="7954"/>
  <c r="I224" i="7954"/>
  <c r="J224" i="7954"/>
  <c r="K224" i="7954"/>
  <c r="I220" i="7954"/>
  <c r="J220" i="7954"/>
  <c r="K220" i="7954"/>
  <c r="I216" i="7954"/>
  <c r="J216" i="7954"/>
  <c r="K216" i="7954"/>
  <c r="I212" i="7954"/>
  <c r="J212" i="7954"/>
  <c r="K212" i="7954"/>
  <c r="I208" i="7954"/>
  <c r="J208" i="7954"/>
  <c r="K208" i="7954"/>
  <c r="I204" i="7954"/>
  <c r="J204" i="7954"/>
  <c r="K204" i="7954"/>
  <c r="I200" i="7954"/>
  <c r="J200" i="7954"/>
  <c r="K200" i="7954"/>
  <c r="I196" i="7954"/>
  <c r="J196" i="7954"/>
  <c r="K196" i="7954"/>
  <c r="I192" i="7954"/>
  <c r="J192" i="7954"/>
  <c r="K192" i="7954"/>
  <c r="I188" i="7954"/>
  <c r="J188" i="7954"/>
  <c r="K188" i="7954"/>
  <c r="I184" i="7954"/>
  <c r="J184" i="7954"/>
  <c r="K184" i="7954"/>
  <c r="I180" i="7954"/>
  <c r="J180" i="7954"/>
  <c r="K180" i="7954"/>
  <c r="I176" i="7954"/>
  <c r="J176" i="7954"/>
  <c r="K176" i="7954"/>
  <c r="I172" i="7954"/>
  <c r="J172" i="7954"/>
  <c r="K172" i="7954"/>
  <c r="I168" i="7954"/>
  <c r="J168" i="7954"/>
  <c r="K168" i="7954"/>
  <c r="I164" i="7954"/>
  <c r="J164" i="7954"/>
  <c r="K164" i="7954"/>
  <c r="I160" i="7954"/>
  <c r="J160" i="7954"/>
  <c r="K160" i="7954"/>
  <c r="I156" i="7954"/>
  <c r="J156" i="7954"/>
  <c r="I152" i="7954"/>
  <c r="J152" i="7954"/>
  <c r="I148" i="7954"/>
  <c r="J148" i="7954"/>
  <c r="I144" i="7954"/>
  <c r="J144" i="7954"/>
  <c r="I140" i="7954"/>
  <c r="J140" i="7954"/>
  <c r="J136" i="7954"/>
  <c r="I136" i="7954"/>
  <c r="I132" i="7954"/>
  <c r="J132" i="7954"/>
  <c r="I127" i="7954"/>
  <c r="J127" i="7954"/>
  <c r="I123" i="7954"/>
  <c r="J123" i="7954"/>
  <c r="J119" i="7954"/>
  <c r="I119" i="7954"/>
  <c r="J116" i="7954"/>
  <c r="I116" i="7954"/>
  <c r="I113" i="7954"/>
  <c r="J113" i="7954"/>
  <c r="I106" i="7954"/>
  <c r="J106" i="7954"/>
  <c r="I101" i="7954"/>
  <c r="J101" i="7954"/>
  <c r="I97" i="7954"/>
  <c r="J97" i="7954"/>
  <c r="I81" i="7954"/>
  <c r="J81" i="7954"/>
  <c r="I79" i="7954"/>
  <c r="J79" i="7954"/>
  <c r="I49" i="7954"/>
  <c r="J49" i="7954"/>
  <c r="I56" i="7954"/>
  <c r="J55" i="7954"/>
  <c r="I55" i="7954"/>
  <c r="I48" i="7954"/>
  <c r="I47" i="7954"/>
  <c r="J47" i="7954"/>
  <c r="J52" i="7954"/>
  <c r="I52" i="7954"/>
  <c r="I72" i="7954"/>
  <c r="J71" i="7954"/>
  <c r="K367" i="7954"/>
  <c r="J367" i="7954"/>
  <c r="I367" i="7954"/>
  <c r="K363" i="7954"/>
  <c r="I363" i="7954"/>
  <c r="J363" i="7954"/>
  <c r="K359" i="7954"/>
  <c r="J359" i="7954"/>
  <c r="I359" i="7954"/>
  <c r="I355" i="7954"/>
  <c r="K355" i="7954"/>
  <c r="J355" i="7954"/>
  <c r="I351" i="7954"/>
  <c r="K351" i="7954"/>
  <c r="J351" i="7954"/>
  <c r="I347" i="7954"/>
  <c r="K347" i="7954"/>
  <c r="J347" i="7954"/>
  <c r="I343" i="7954"/>
  <c r="K343" i="7954"/>
  <c r="J343" i="7954"/>
  <c r="I339" i="7954"/>
  <c r="K339" i="7954"/>
  <c r="J339" i="7954"/>
  <c r="I335" i="7954"/>
  <c r="K335" i="7954"/>
  <c r="J335" i="7954"/>
  <c r="I331" i="7954"/>
  <c r="K331" i="7954"/>
  <c r="J331" i="7954"/>
  <c r="I327" i="7954"/>
  <c r="K327" i="7954"/>
  <c r="J327" i="7954"/>
  <c r="I323" i="7954"/>
  <c r="K323" i="7954"/>
  <c r="J323" i="7954"/>
  <c r="I319" i="7954"/>
  <c r="K319" i="7954"/>
  <c r="J319" i="7954"/>
  <c r="I315" i="7954"/>
  <c r="K315" i="7954"/>
  <c r="J315" i="7954"/>
  <c r="J311" i="7954"/>
  <c r="I311" i="7954"/>
  <c r="K311" i="7954"/>
  <c r="J307" i="7954"/>
  <c r="I307" i="7954"/>
  <c r="K307" i="7954"/>
  <c r="I303" i="7954"/>
  <c r="J303" i="7954"/>
  <c r="K303" i="7954"/>
  <c r="I299" i="7954"/>
  <c r="J299" i="7954"/>
  <c r="K299" i="7954"/>
  <c r="I295" i="7954"/>
  <c r="J295" i="7954"/>
  <c r="K295" i="7954"/>
  <c r="I291" i="7954"/>
  <c r="J291" i="7954"/>
  <c r="K291" i="7954"/>
  <c r="I287" i="7954"/>
  <c r="J287" i="7954"/>
  <c r="K287" i="7954"/>
  <c r="I283" i="7954"/>
  <c r="J283" i="7954"/>
  <c r="K283" i="7954"/>
  <c r="I279" i="7954"/>
  <c r="J279" i="7954"/>
  <c r="K279" i="7954"/>
  <c r="I275" i="7954"/>
  <c r="J275" i="7954"/>
  <c r="K275" i="7954"/>
  <c r="I271" i="7954"/>
  <c r="J271" i="7954"/>
  <c r="K271" i="7954"/>
  <c r="I267" i="7954"/>
  <c r="J267" i="7954"/>
  <c r="K267" i="7954"/>
  <c r="I263" i="7954"/>
  <c r="J263" i="7954"/>
  <c r="K263" i="7954"/>
  <c r="I259" i="7954"/>
  <c r="J259" i="7954"/>
  <c r="K259" i="7954"/>
  <c r="I255" i="7954"/>
  <c r="J255" i="7954"/>
  <c r="K255" i="7954"/>
  <c r="I251" i="7954"/>
  <c r="J251" i="7954"/>
  <c r="K251" i="7954"/>
  <c r="I247" i="7954"/>
  <c r="J247" i="7954"/>
  <c r="K247" i="7954"/>
  <c r="I243" i="7954"/>
  <c r="J243" i="7954"/>
  <c r="K243" i="7954"/>
  <c r="I239" i="7954"/>
  <c r="J239" i="7954"/>
  <c r="K239" i="7954"/>
  <c r="I235" i="7954"/>
  <c r="J235" i="7954"/>
  <c r="K235" i="7954"/>
  <c r="I231" i="7954"/>
  <c r="J231" i="7954"/>
  <c r="K231" i="7954"/>
  <c r="I227" i="7954"/>
  <c r="J227" i="7954"/>
  <c r="K227" i="7954"/>
  <c r="I223" i="7954"/>
  <c r="J223" i="7954"/>
  <c r="K223" i="7954"/>
  <c r="I219" i="7954"/>
  <c r="J219" i="7954"/>
  <c r="K219" i="7954"/>
  <c r="I215" i="7954"/>
  <c r="J215" i="7954"/>
  <c r="K215" i="7954"/>
  <c r="I211" i="7954"/>
  <c r="J211" i="7954"/>
  <c r="K211" i="7954"/>
  <c r="I207" i="7954"/>
  <c r="J207" i="7954"/>
  <c r="K207" i="7954"/>
  <c r="I203" i="7954"/>
  <c r="J203" i="7954"/>
  <c r="K203" i="7954"/>
  <c r="I199" i="7954"/>
  <c r="J199" i="7954"/>
  <c r="K199" i="7954"/>
  <c r="I195" i="7954"/>
  <c r="J195" i="7954"/>
  <c r="K195" i="7954"/>
  <c r="I191" i="7954"/>
  <c r="J191" i="7954"/>
  <c r="K191" i="7954"/>
  <c r="I187" i="7954"/>
  <c r="J187" i="7954"/>
  <c r="K187" i="7954"/>
  <c r="I183" i="7954"/>
  <c r="J183" i="7954"/>
  <c r="K183" i="7954"/>
  <c r="I179" i="7954"/>
  <c r="J179" i="7954"/>
  <c r="K179" i="7954"/>
  <c r="I175" i="7954"/>
  <c r="J175" i="7954"/>
  <c r="K175" i="7954"/>
  <c r="I171" i="7954"/>
  <c r="J171" i="7954"/>
  <c r="K171" i="7954"/>
  <c r="I167" i="7954"/>
  <c r="J167" i="7954"/>
  <c r="K167" i="7954"/>
  <c r="I163" i="7954"/>
  <c r="J163" i="7954"/>
  <c r="K163" i="7954"/>
  <c r="I159" i="7954"/>
  <c r="J159" i="7954"/>
  <c r="K159" i="7954"/>
  <c r="I155" i="7954"/>
  <c r="J155" i="7954"/>
  <c r="I151" i="7954"/>
  <c r="J151" i="7954"/>
  <c r="I147" i="7954"/>
  <c r="J147" i="7954"/>
  <c r="I143" i="7954"/>
  <c r="J143" i="7954"/>
  <c r="I139" i="7954"/>
  <c r="J139" i="7954"/>
  <c r="J131" i="7954"/>
  <c r="I131" i="7954"/>
  <c r="I128" i="7954"/>
  <c r="J128" i="7954"/>
  <c r="I124" i="7954"/>
  <c r="J124" i="7954"/>
  <c r="J120" i="7954"/>
  <c r="I120" i="7954"/>
  <c r="J115" i="7954"/>
  <c r="I115" i="7954"/>
  <c r="I111" i="7954"/>
  <c r="J111" i="7954"/>
  <c r="I104" i="7954"/>
  <c r="J104" i="7954"/>
  <c r="I102" i="7954"/>
  <c r="J102" i="7954"/>
  <c r="J99" i="7954"/>
  <c r="I99" i="7954"/>
  <c r="I95" i="7954"/>
  <c r="J95" i="7954"/>
  <c r="I92" i="7954"/>
  <c r="J92" i="7954"/>
  <c r="I90" i="7954"/>
  <c r="J90" i="7954"/>
  <c r="I88" i="7954"/>
  <c r="J88" i="7954"/>
  <c r="I86" i="7954"/>
  <c r="J86" i="7954"/>
  <c r="I84" i="7954"/>
  <c r="J84" i="7954"/>
  <c r="I76" i="7954"/>
  <c r="J54" i="7954"/>
  <c r="I54" i="7954"/>
  <c r="I64" i="7954"/>
  <c r="J64" i="7954"/>
  <c r="J63" i="7954"/>
  <c r="I63" i="7954"/>
  <c r="J68" i="7954"/>
  <c r="I68" i="7954"/>
  <c r="I370" i="7954"/>
  <c r="J370" i="7954"/>
  <c r="K370" i="7954"/>
  <c r="I366" i="7954"/>
  <c r="J366" i="7954"/>
  <c r="K366" i="7954"/>
  <c r="I362" i="7954"/>
  <c r="J362" i="7954"/>
  <c r="K362" i="7954"/>
  <c r="I358" i="7954"/>
  <c r="J358" i="7954"/>
  <c r="K358" i="7954"/>
  <c r="I354" i="7954"/>
  <c r="J354" i="7954"/>
  <c r="K354" i="7954"/>
  <c r="I350" i="7954"/>
  <c r="J350" i="7954"/>
  <c r="K350" i="7954"/>
  <c r="I346" i="7954"/>
  <c r="J346" i="7954"/>
  <c r="K346" i="7954"/>
  <c r="I342" i="7954"/>
  <c r="J342" i="7954"/>
  <c r="K342" i="7954"/>
  <c r="I338" i="7954"/>
  <c r="J338" i="7954"/>
  <c r="K338" i="7954"/>
  <c r="I334" i="7954"/>
  <c r="J334" i="7954"/>
  <c r="K334" i="7954"/>
  <c r="I330" i="7954"/>
  <c r="J330" i="7954"/>
  <c r="K330" i="7954"/>
  <c r="I326" i="7954"/>
  <c r="J326" i="7954"/>
  <c r="K326" i="7954"/>
  <c r="I322" i="7954"/>
  <c r="J322" i="7954"/>
  <c r="K322" i="7954"/>
  <c r="I318" i="7954"/>
  <c r="J318" i="7954"/>
  <c r="K318" i="7954"/>
  <c r="I314" i="7954"/>
  <c r="J314" i="7954"/>
  <c r="K314" i="7954"/>
  <c r="J310" i="7954"/>
  <c r="I310" i="7954"/>
  <c r="K310" i="7954"/>
  <c r="I306" i="7954"/>
  <c r="J306" i="7954"/>
  <c r="K306" i="7954"/>
  <c r="I302" i="7954"/>
  <c r="J302" i="7954"/>
  <c r="K302" i="7954"/>
  <c r="I298" i="7954"/>
  <c r="J298" i="7954"/>
  <c r="K298" i="7954"/>
  <c r="I294" i="7954"/>
  <c r="J294" i="7954"/>
  <c r="K294" i="7954"/>
  <c r="I290" i="7954"/>
  <c r="J290" i="7954"/>
  <c r="K290" i="7954"/>
  <c r="I286" i="7954"/>
  <c r="J286" i="7954"/>
  <c r="K286" i="7954"/>
  <c r="I282" i="7954"/>
  <c r="J282" i="7954"/>
  <c r="K282" i="7954"/>
  <c r="I278" i="7954"/>
  <c r="J278" i="7954"/>
  <c r="K278" i="7954"/>
  <c r="I274" i="7954"/>
  <c r="J274" i="7954"/>
  <c r="K274" i="7954"/>
  <c r="I270" i="7954"/>
  <c r="J270" i="7954"/>
  <c r="K270" i="7954"/>
  <c r="I266" i="7954"/>
  <c r="J266" i="7954"/>
  <c r="K266" i="7954"/>
  <c r="I262" i="7954"/>
  <c r="J262" i="7954"/>
  <c r="K262" i="7954"/>
  <c r="I258" i="7954"/>
  <c r="J258" i="7954"/>
  <c r="K258" i="7954"/>
  <c r="I254" i="7954"/>
  <c r="J254" i="7954"/>
  <c r="K254" i="7954"/>
  <c r="I250" i="7954"/>
  <c r="J250" i="7954"/>
  <c r="K250" i="7954"/>
  <c r="I246" i="7954"/>
  <c r="J246" i="7954"/>
  <c r="K246" i="7954"/>
  <c r="I242" i="7954"/>
  <c r="J242" i="7954"/>
  <c r="K242" i="7954"/>
  <c r="I238" i="7954"/>
  <c r="J238" i="7954"/>
  <c r="K238" i="7954"/>
  <c r="I234" i="7954"/>
  <c r="J234" i="7954"/>
  <c r="K234" i="7954"/>
  <c r="I230" i="7954"/>
  <c r="J230" i="7954"/>
  <c r="K230" i="7954"/>
  <c r="I226" i="7954"/>
  <c r="J226" i="7954"/>
  <c r="K226" i="7954"/>
  <c r="I222" i="7954"/>
  <c r="J222" i="7954"/>
  <c r="K222" i="7954"/>
  <c r="I218" i="7954"/>
  <c r="J218" i="7954"/>
  <c r="K218" i="7954"/>
  <c r="I214" i="7954"/>
  <c r="J214" i="7954"/>
  <c r="K214" i="7954"/>
  <c r="I210" i="7954"/>
  <c r="J210" i="7954"/>
  <c r="K210" i="7954"/>
  <c r="I206" i="7954"/>
  <c r="J206" i="7954"/>
  <c r="K206" i="7954"/>
  <c r="I202" i="7954"/>
  <c r="J202" i="7954"/>
  <c r="K202" i="7954"/>
  <c r="I198" i="7954"/>
  <c r="J198" i="7954"/>
  <c r="K198" i="7954"/>
  <c r="I194" i="7954"/>
  <c r="J194" i="7954"/>
  <c r="K194" i="7954"/>
  <c r="I190" i="7954"/>
  <c r="J190" i="7954"/>
  <c r="K190" i="7954"/>
  <c r="I186" i="7954"/>
  <c r="J186" i="7954"/>
  <c r="K186" i="7954"/>
  <c r="I182" i="7954"/>
  <c r="J182" i="7954"/>
  <c r="K182" i="7954"/>
  <c r="I178" i="7954"/>
  <c r="J178" i="7954"/>
  <c r="K178" i="7954"/>
  <c r="I174" i="7954"/>
  <c r="J174" i="7954"/>
  <c r="K174" i="7954"/>
  <c r="I170" i="7954"/>
  <c r="J170" i="7954"/>
  <c r="K170" i="7954"/>
  <c r="I166" i="7954"/>
  <c r="J166" i="7954"/>
  <c r="K166" i="7954"/>
  <c r="I162" i="7954"/>
  <c r="J162" i="7954"/>
  <c r="K162" i="7954"/>
  <c r="I158" i="7954"/>
  <c r="J158" i="7954"/>
  <c r="K158" i="7954"/>
  <c r="I154" i="7954"/>
  <c r="J154" i="7954"/>
  <c r="I150" i="7954"/>
  <c r="J150" i="7954"/>
  <c r="I146" i="7954"/>
  <c r="J146" i="7954"/>
  <c r="I142" i="7954"/>
  <c r="J142" i="7954"/>
  <c r="J138" i="7954"/>
  <c r="I138" i="7954"/>
  <c r="I135" i="7954"/>
  <c r="J135" i="7954"/>
  <c r="I129" i="7954"/>
  <c r="J129" i="7954"/>
  <c r="J125" i="7954"/>
  <c r="I125" i="7954"/>
  <c r="I121" i="7954"/>
  <c r="J121" i="7954"/>
  <c r="I114" i="7954"/>
  <c r="J114" i="7954"/>
  <c r="I109" i="7954"/>
  <c r="J109" i="7954"/>
  <c r="I107" i="7954"/>
  <c r="J107" i="7954"/>
  <c r="I105" i="7954"/>
  <c r="J105" i="7954"/>
  <c r="I98" i="7954"/>
  <c r="J98" i="7954"/>
  <c r="I94" i="7954"/>
  <c r="J94" i="7954"/>
  <c r="I82" i="7954"/>
  <c r="J82" i="7954"/>
  <c r="I80" i="7954"/>
  <c r="J80" i="7954"/>
  <c r="I77" i="7954"/>
  <c r="J77" i="7954"/>
  <c r="I73" i="7954"/>
  <c r="J73" i="7954"/>
  <c r="I59" i="7954"/>
  <c r="J59" i="7954"/>
  <c r="J69" i="7954"/>
  <c r="I69" i="7954"/>
  <c r="I369" i="7954"/>
  <c r="J369" i="7954"/>
  <c r="K369" i="7954"/>
  <c r="I365" i="7954"/>
  <c r="J365" i="7954"/>
  <c r="K365" i="7954"/>
  <c r="I361" i="7954"/>
  <c r="J361" i="7954"/>
  <c r="K361" i="7954"/>
  <c r="I357" i="7954"/>
  <c r="J357" i="7954"/>
  <c r="K357" i="7954"/>
  <c r="I353" i="7954"/>
  <c r="J353" i="7954"/>
  <c r="K353" i="7954"/>
  <c r="I349" i="7954"/>
  <c r="J349" i="7954"/>
  <c r="K349" i="7954"/>
  <c r="I345" i="7954"/>
  <c r="J345" i="7954"/>
  <c r="K345" i="7954"/>
  <c r="I341" i="7954"/>
  <c r="J341" i="7954"/>
  <c r="K341" i="7954"/>
  <c r="I337" i="7954"/>
  <c r="J337" i="7954"/>
  <c r="K337" i="7954"/>
  <c r="I333" i="7954"/>
  <c r="J333" i="7954"/>
  <c r="K333" i="7954"/>
  <c r="I329" i="7954"/>
  <c r="J329" i="7954"/>
  <c r="K329" i="7954"/>
  <c r="I325" i="7954"/>
  <c r="J325" i="7954"/>
  <c r="K325" i="7954"/>
  <c r="I321" i="7954"/>
  <c r="J321" i="7954"/>
  <c r="K321" i="7954"/>
  <c r="I317" i="7954"/>
  <c r="J317" i="7954"/>
  <c r="K317" i="7954"/>
  <c r="I313" i="7954"/>
  <c r="J313" i="7954"/>
  <c r="K313" i="7954"/>
  <c r="J309" i="7954"/>
  <c r="I309" i="7954"/>
  <c r="K309" i="7954"/>
  <c r="I305" i="7954"/>
  <c r="J305" i="7954"/>
  <c r="K305" i="7954"/>
  <c r="I301" i="7954"/>
  <c r="J301" i="7954"/>
  <c r="K301" i="7954"/>
  <c r="I297" i="7954"/>
  <c r="J297" i="7954"/>
  <c r="K297" i="7954"/>
  <c r="I293" i="7954"/>
  <c r="J293" i="7954"/>
  <c r="K293" i="7954"/>
  <c r="I289" i="7954"/>
  <c r="J289" i="7954"/>
  <c r="K289" i="7954"/>
  <c r="I285" i="7954"/>
  <c r="J285" i="7954"/>
  <c r="K285" i="7954"/>
  <c r="I281" i="7954"/>
  <c r="J281" i="7954"/>
  <c r="K281" i="7954"/>
  <c r="I277" i="7954"/>
  <c r="J277" i="7954"/>
  <c r="K277" i="7954"/>
  <c r="I273" i="7954"/>
  <c r="J273" i="7954"/>
  <c r="K273" i="7954"/>
  <c r="I269" i="7954"/>
  <c r="J269" i="7954"/>
  <c r="K269" i="7954"/>
  <c r="I265" i="7954"/>
  <c r="J265" i="7954"/>
  <c r="K265" i="7954"/>
  <c r="I261" i="7954"/>
  <c r="J261" i="7954"/>
  <c r="K261" i="7954"/>
  <c r="I257" i="7954"/>
  <c r="J257" i="7954"/>
  <c r="K257" i="7954"/>
  <c r="I253" i="7954"/>
  <c r="J253" i="7954"/>
  <c r="K253" i="7954"/>
  <c r="I249" i="7954"/>
  <c r="J249" i="7954"/>
  <c r="K249" i="7954"/>
  <c r="I245" i="7954"/>
  <c r="J245" i="7954"/>
  <c r="K245" i="7954"/>
  <c r="I241" i="7954"/>
  <c r="J241" i="7954"/>
  <c r="K241" i="7954"/>
  <c r="I237" i="7954"/>
  <c r="J237" i="7954"/>
  <c r="K237" i="7954"/>
  <c r="I233" i="7954"/>
  <c r="J233" i="7954"/>
  <c r="K233" i="7954"/>
  <c r="I229" i="7954"/>
  <c r="J229" i="7954"/>
  <c r="K229" i="7954"/>
  <c r="I225" i="7954"/>
  <c r="J225" i="7954"/>
  <c r="K225" i="7954"/>
  <c r="I221" i="7954"/>
  <c r="J221" i="7954"/>
  <c r="K221" i="7954"/>
  <c r="I217" i="7954"/>
  <c r="J217" i="7954"/>
  <c r="K217" i="7954"/>
  <c r="I213" i="7954"/>
  <c r="J213" i="7954"/>
  <c r="K213" i="7954"/>
  <c r="I209" i="7954"/>
  <c r="J209" i="7954"/>
  <c r="K209" i="7954"/>
  <c r="I205" i="7954"/>
  <c r="J205" i="7954"/>
  <c r="K205" i="7954"/>
  <c r="I201" i="7954"/>
  <c r="J201" i="7954"/>
  <c r="K201" i="7954"/>
  <c r="I197" i="7954"/>
  <c r="J197" i="7954"/>
  <c r="K197" i="7954"/>
  <c r="I193" i="7954"/>
  <c r="J193" i="7954"/>
  <c r="K193" i="7954"/>
  <c r="I189" i="7954"/>
  <c r="J189" i="7954"/>
  <c r="K189" i="7954"/>
  <c r="J185" i="7954"/>
  <c r="I185" i="7954"/>
  <c r="K185" i="7954"/>
  <c r="I181" i="7954"/>
  <c r="J181" i="7954"/>
  <c r="K181" i="7954"/>
  <c r="J177" i="7954"/>
  <c r="I177" i="7954"/>
  <c r="K177" i="7954"/>
  <c r="I173" i="7954"/>
  <c r="J173" i="7954"/>
  <c r="K173" i="7954"/>
  <c r="J169" i="7954"/>
  <c r="I169" i="7954"/>
  <c r="K169" i="7954"/>
  <c r="I165" i="7954"/>
  <c r="J165" i="7954"/>
  <c r="K165" i="7954"/>
  <c r="J161" i="7954"/>
  <c r="I161" i="7954"/>
  <c r="K161" i="7954"/>
  <c r="I157" i="7954"/>
  <c r="J157" i="7954"/>
  <c r="J153" i="7954"/>
  <c r="I153" i="7954"/>
  <c r="I149" i="7954"/>
  <c r="J149" i="7954"/>
  <c r="J145" i="7954"/>
  <c r="I145" i="7954"/>
  <c r="I141" i="7954"/>
  <c r="J141" i="7954"/>
  <c r="I137" i="7954"/>
  <c r="J137" i="7954"/>
  <c r="I133" i="7954"/>
  <c r="J133" i="7954"/>
  <c r="I130" i="7954"/>
  <c r="J130" i="7954"/>
  <c r="J126" i="7954"/>
  <c r="I126" i="7954"/>
  <c r="I122" i="7954"/>
  <c r="J122" i="7954"/>
  <c r="J117" i="7954"/>
  <c r="I117" i="7954"/>
  <c r="J112" i="7954"/>
  <c r="I112" i="7954"/>
  <c r="I110" i="7954"/>
  <c r="J110" i="7954"/>
  <c r="I103" i="7954"/>
  <c r="J103" i="7954"/>
  <c r="J100" i="7954"/>
  <c r="I100" i="7954"/>
  <c r="I93" i="7954"/>
  <c r="J93" i="7954"/>
  <c r="I91" i="7954"/>
  <c r="J91" i="7954"/>
  <c r="I89" i="7954"/>
  <c r="J89" i="7954"/>
  <c r="I85" i="7954"/>
  <c r="J85" i="7954"/>
  <c r="J78" i="7954"/>
  <c r="I78" i="7954"/>
  <c r="I57" i="7954"/>
  <c r="J57" i="7954"/>
  <c r="I71" i="7954"/>
  <c r="I96" i="7954"/>
  <c r="I42" i="7954"/>
  <c r="I75" i="7954"/>
  <c r="I74" i="7954"/>
  <c r="J74" i="7954"/>
  <c r="I43" i="7954"/>
  <c r="J43" i="7954"/>
  <c r="AD293" i="1"/>
  <c r="AG293" i="1"/>
  <c r="AF293" i="1"/>
  <c r="AH293" i="1"/>
  <c r="AE293" i="1"/>
  <c r="AD289" i="1"/>
  <c r="AG289" i="1"/>
  <c r="AF289" i="1"/>
  <c r="AH289" i="1"/>
  <c r="AE289" i="1"/>
  <c r="AD323" i="1"/>
  <c r="AG323" i="1"/>
  <c r="AF323" i="1"/>
  <c r="AH323" i="1"/>
  <c r="AE323" i="1"/>
  <c r="AD357" i="1"/>
  <c r="AG357" i="1"/>
  <c r="AF357" i="1"/>
  <c r="AH357" i="1"/>
  <c r="AE357" i="1"/>
  <c r="AD353" i="1"/>
  <c r="AG353" i="1"/>
  <c r="AF353" i="1"/>
  <c r="AH353" i="1"/>
  <c r="AE353" i="1"/>
  <c r="AG76" i="7951"/>
  <c r="AL76" i="7951"/>
  <c r="AS72" i="7951"/>
  <c r="AJ59" i="7951"/>
  <c r="AI59" i="7951"/>
  <c r="AS71" i="7951"/>
  <c r="AF294" i="1"/>
  <c r="AD294" i="1"/>
  <c r="AG294" i="1"/>
  <c r="AH294" i="1"/>
  <c r="AE294" i="1"/>
  <c r="AF292" i="1"/>
  <c r="AD292" i="1"/>
  <c r="AG292" i="1"/>
  <c r="AH292" i="1"/>
  <c r="AE292" i="1"/>
  <c r="AF290" i="1"/>
  <c r="AD290" i="1"/>
  <c r="AG290" i="1"/>
  <c r="AH290" i="1"/>
  <c r="AE290" i="1"/>
  <c r="AF326" i="1"/>
  <c r="AD326" i="1"/>
  <c r="AG326" i="1"/>
  <c r="AH326" i="1"/>
  <c r="AE326" i="1"/>
  <c r="AF324" i="1"/>
  <c r="AD324" i="1"/>
  <c r="AG324" i="1"/>
  <c r="AH324" i="1"/>
  <c r="AE324" i="1"/>
  <c r="AG321" i="1"/>
  <c r="AD321" i="1"/>
  <c r="AF321" i="1"/>
  <c r="AH321" i="1"/>
  <c r="AE321" i="1"/>
  <c r="AF355" i="1"/>
  <c r="AG355" i="1"/>
  <c r="AD355" i="1"/>
  <c r="AH355" i="1"/>
  <c r="AE355" i="1"/>
  <c r="AJ81" i="7951"/>
  <c r="AH81" i="7951"/>
  <c r="AK81" i="7951"/>
  <c r="AI81" i="7951"/>
  <c r="AI93" i="7951"/>
  <c r="AJ123" i="7951"/>
  <c r="AG123" i="7951"/>
  <c r="AK123" i="7951"/>
  <c r="AH123" i="7951"/>
  <c r="AI123" i="7951"/>
  <c r="AL123" i="7951"/>
  <c r="AH86" i="7951"/>
  <c r="AK86" i="7951"/>
  <c r="AJ86" i="7951"/>
  <c r="AL86" i="7951"/>
  <c r="AI86" i="7951"/>
  <c r="AH83" i="7951"/>
  <c r="AK83" i="7951"/>
  <c r="AI83" i="7951"/>
  <c r="AJ83" i="7951"/>
  <c r="AL83" i="7951"/>
  <c r="AG413" i="7950"/>
  <c r="AG418" i="7950" s="1"/>
  <c r="AG419" i="7950" s="1"/>
  <c r="O409" i="7950" s="1"/>
  <c r="AF413" i="7950"/>
  <c r="G267" i="7950"/>
  <c r="E267" i="7950"/>
  <c r="AR267" i="7950"/>
  <c r="AT267" i="7950"/>
  <c r="AU267" i="7950" s="1"/>
  <c r="AQ267" i="7950"/>
  <c r="I267" i="7950"/>
  <c r="AP104" i="7949"/>
  <c r="AT104" i="7949"/>
  <c r="AT105" i="7949" s="1"/>
  <c r="AT106" i="7949" s="1"/>
  <c r="AT107" i="7949" s="1"/>
  <c r="AT108" i="7949" s="1"/>
  <c r="AT109" i="7949" s="1"/>
  <c r="AT110" i="7949" s="1"/>
  <c r="AT111" i="7949" s="1"/>
  <c r="CC372" i="7949"/>
  <c r="CC373" i="7949"/>
  <c r="CC90" i="7949"/>
  <c r="CC91" i="7949"/>
  <c r="AI82" i="7951"/>
  <c r="AG82" i="7951"/>
  <c r="AL82" i="7951"/>
  <c r="AB553" i="7955"/>
  <c r="AB403" i="7955"/>
  <c r="AB303" i="7955"/>
  <c r="AB203" i="7955"/>
  <c r="AB103" i="7955"/>
  <c r="AB503" i="7955"/>
  <c r="AB253" i="7955"/>
  <c r="AB453" i="7955"/>
  <c r="AB153" i="7955"/>
  <c r="AB353" i="7955"/>
  <c r="AR73" i="7953"/>
  <c r="AQ73" i="7953"/>
  <c r="AR69" i="7953"/>
  <c r="AQ69" i="7953"/>
  <c r="AR65" i="7953"/>
  <c r="AQ65" i="7953"/>
  <c r="AR61" i="7953"/>
  <c r="AQ61" i="7953"/>
  <c r="AR55" i="7953"/>
  <c r="AQ55" i="7953"/>
  <c r="AR51" i="7953"/>
  <c r="AQ51" i="7953"/>
  <c r="AR54" i="7953"/>
  <c r="AQ54" i="7953"/>
  <c r="AR48" i="7953"/>
  <c r="AQ48" i="7953"/>
  <c r="AC293" i="1"/>
  <c r="AC289" i="1"/>
  <c r="AC323" i="1"/>
  <c r="AC353" i="1"/>
  <c r="AC294" i="1"/>
  <c r="AC290" i="1"/>
  <c r="AC324" i="1"/>
  <c r="AC355" i="1"/>
  <c r="AJ93" i="7951"/>
  <c r="AD291" i="1"/>
  <c r="AG291" i="1"/>
  <c r="AF291" i="1"/>
  <c r="AH291" i="1"/>
  <c r="AE291" i="1"/>
  <c r="AD325" i="1"/>
  <c r="AG325" i="1"/>
  <c r="AF325" i="1"/>
  <c r="AH325" i="1"/>
  <c r="AE325" i="1"/>
  <c r="I66" i="7954"/>
  <c r="J65" i="7954"/>
  <c r="I65" i="7954"/>
  <c r="AK122" i="7951"/>
  <c r="AH122" i="7951"/>
  <c r="AG122" i="7951"/>
  <c r="AJ122" i="7951"/>
  <c r="AI122" i="7951"/>
  <c r="AL122" i="7951"/>
  <c r="AS74" i="7951"/>
  <c r="AH85" i="7951"/>
  <c r="AK85" i="7951"/>
  <c r="AJ85" i="7951"/>
  <c r="AI85" i="7951"/>
  <c r="CC652" i="7949"/>
  <c r="CC651" i="7949"/>
  <c r="G331" i="7950"/>
  <c r="E331" i="7950"/>
  <c r="AR331" i="7950"/>
  <c r="AT331" i="7950"/>
  <c r="AU331" i="7950" s="1"/>
  <c r="AQ331" i="7950"/>
  <c r="I331" i="7950"/>
  <c r="AP107" i="7949"/>
  <c r="AP102" i="7949"/>
  <c r="AP105" i="7949"/>
  <c r="AP106" i="7949"/>
  <c r="AP109" i="7949"/>
  <c r="AP111" i="7949"/>
  <c r="CC370" i="7949"/>
  <c r="CC371" i="7949"/>
  <c r="AJ82" i="7951"/>
  <c r="AH82" i="7951"/>
  <c r="AK82" i="7951"/>
  <c r="AR75" i="7953"/>
  <c r="AQ75" i="7953"/>
  <c r="AR71" i="7953"/>
  <c r="AQ71" i="7953"/>
  <c r="AR67" i="7953"/>
  <c r="AQ67" i="7953"/>
  <c r="AR63" i="7953"/>
  <c r="AQ63" i="7953"/>
  <c r="AR59" i="7953"/>
  <c r="AQ59" i="7953"/>
  <c r="AR53" i="7953"/>
  <c r="AQ53" i="7953"/>
  <c r="AR47" i="7953"/>
  <c r="AQ47" i="7953"/>
  <c r="AR57" i="7953"/>
  <c r="AQ57" i="7953"/>
  <c r="AR52" i="7953"/>
  <c r="AQ52" i="7953"/>
  <c r="AQ45" i="7953"/>
  <c r="AR45" i="7953"/>
  <c r="AY363" i="7950"/>
  <c r="M363" i="7950"/>
  <c r="AX363" i="7950"/>
  <c r="AZ363" i="7950"/>
  <c r="AW363" i="7950"/>
  <c r="W94" i="1"/>
  <c r="F49" i="3"/>
  <c r="I49" i="3" s="1"/>
  <c r="AV284" i="7950"/>
  <c r="K284" i="7950"/>
  <c r="AC291" i="1"/>
  <c r="AC325" i="1"/>
  <c r="AC357" i="1"/>
  <c r="AL85" i="7951"/>
  <c r="AC292" i="1"/>
  <c r="AC326" i="1"/>
  <c r="AC321" i="1"/>
  <c r="AG86" i="7951"/>
  <c r="AG83" i="7951"/>
  <c r="AP103" i="7949"/>
  <c r="AS73" i="7951"/>
  <c r="AP108" i="7949"/>
  <c r="CI375" i="2"/>
  <c r="CN370" i="2" s="1"/>
  <c r="CR368" i="2" s="1"/>
  <c r="AP204" i="7950"/>
  <c r="L43" i="7955"/>
  <c r="T41" i="7955"/>
  <c r="C212" i="7955"/>
  <c r="L41" i="7955"/>
  <c r="C262" i="7955"/>
  <c r="T43" i="7955"/>
  <c r="D41" i="7955"/>
  <c r="D44" i="7955"/>
  <c r="L42" i="7955"/>
  <c r="C412" i="7955"/>
  <c r="C112" i="7955"/>
  <c r="L44" i="7955"/>
  <c r="T42" i="7955"/>
  <c r="D42" i="7955"/>
  <c r="C162" i="7955"/>
  <c r="C312" i="7955"/>
  <c r="C362" i="7955"/>
  <c r="C462" i="7955"/>
  <c r="C512" i="7955"/>
  <c r="C562" i="7955"/>
  <c r="C62" i="7955"/>
  <c r="D43" i="7955"/>
  <c r="BA64" i="3" l="1"/>
  <c r="BB64" i="3"/>
  <c r="BC64" i="3"/>
  <c r="BD64" i="3"/>
  <c r="AC64" i="3"/>
  <c r="AD64" i="3"/>
  <c r="AG64" i="3" s="1"/>
  <c r="AE64" i="3"/>
  <c r="AF64" i="3"/>
  <c r="AQ76" i="7953"/>
  <c r="AR76" i="7953"/>
  <c r="AR62" i="7953"/>
  <c r="AQ62" i="7953"/>
  <c r="AR46" i="7953"/>
  <c r="AQ46" i="7953"/>
  <c r="AQ50" i="7953"/>
  <c r="AR50" i="7953"/>
  <c r="AR74" i="7953"/>
  <c r="AQ74" i="7953"/>
  <c r="AQ80" i="7953"/>
  <c r="AR80" i="7953"/>
  <c r="AQ64" i="7953"/>
  <c r="AR64" i="7953"/>
  <c r="AR70" i="7953"/>
  <c r="AQ70" i="7953"/>
  <c r="AD53" i="7955"/>
  <c r="J353" i="7955"/>
  <c r="J453" i="7955"/>
  <c r="J103" i="7955"/>
  <c r="J203" i="7955"/>
  <c r="J503" i="7955"/>
  <c r="J553" i="7955"/>
  <c r="J153" i="7955"/>
  <c r="J303" i="7955"/>
  <c r="J253" i="7955"/>
  <c r="J403" i="7955"/>
  <c r="AO64" i="3"/>
  <c r="AP64" i="3"/>
  <c r="AS64" i="3" s="1"/>
  <c r="AQ64" i="3"/>
  <c r="AR64" i="3"/>
  <c r="G43" i="3"/>
  <c r="E43" i="3"/>
  <c r="H43" i="3"/>
  <c r="E48" i="3"/>
  <c r="F48" i="3"/>
  <c r="G48" i="3"/>
  <c r="H48" i="3"/>
  <c r="G46" i="3"/>
  <c r="E46" i="3"/>
  <c r="H46" i="3"/>
  <c r="G44" i="3"/>
  <c r="E44" i="3"/>
  <c r="H44" i="3"/>
  <c r="Q60" i="3"/>
  <c r="R60" i="3"/>
  <c r="U60" i="3" s="1"/>
  <c r="S60" i="3"/>
  <c r="T60" i="3"/>
  <c r="Q62" i="3"/>
  <c r="R62" i="3"/>
  <c r="U62" i="3" s="1"/>
  <c r="S62" i="3"/>
  <c r="T62" i="3"/>
  <c r="BC50" i="3"/>
  <c r="BD50" i="3"/>
  <c r="BA50" i="3"/>
  <c r="BB50" i="3"/>
  <c r="BA45" i="3"/>
  <c r="BD45" i="3"/>
  <c r="BC45" i="3"/>
  <c r="BA46" i="3"/>
  <c r="BD46" i="3"/>
  <c r="BC46" i="3"/>
  <c r="BD43" i="3"/>
  <c r="BC43" i="3"/>
  <c r="BB43" i="3"/>
  <c r="BA43" i="3"/>
  <c r="AF52" i="3"/>
  <c r="AE52" i="3"/>
  <c r="AC52" i="3"/>
  <c r="AC42" i="3"/>
  <c r="AF42" i="3"/>
  <c r="AE42" i="3"/>
  <c r="AE48" i="3"/>
  <c r="AC48" i="3"/>
  <c r="AF48" i="3"/>
  <c r="AC49" i="3"/>
  <c r="AD49" i="3"/>
  <c r="AE49" i="3"/>
  <c r="AF49" i="3"/>
  <c r="AF47" i="3"/>
  <c r="AE47" i="3"/>
  <c r="AD47" i="3"/>
  <c r="AG47" i="3" s="1"/>
  <c r="AC47" i="3"/>
  <c r="AC43" i="3"/>
  <c r="AF43" i="3"/>
  <c r="AE43" i="3"/>
  <c r="T48" i="3"/>
  <c r="S48" i="3"/>
  <c r="Q48" i="3"/>
  <c r="T47" i="3"/>
  <c r="S47" i="3"/>
  <c r="Q47" i="3"/>
  <c r="R52" i="3"/>
  <c r="Q52" i="3"/>
  <c r="T52" i="3"/>
  <c r="S52" i="3"/>
  <c r="S51" i="3"/>
  <c r="T51" i="3"/>
  <c r="Q51" i="3"/>
  <c r="R51" i="3"/>
  <c r="U51" i="3" s="1"/>
  <c r="T46" i="3"/>
  <c r="Q46" i="3"/>
  <c r="S46" i="3"/>
  <c r="AP56" i="3"/>
  <c r="AS56" i="3" s="1"/>
  <c r="AR56" i="3"/>
  <c r="CN70" i="2"/>
  <c r="CU67" i="2" s="1"/>
  <c r="BA61" i="3"/>
  <c r="BB61" i="3"/>
  <c r="BE61" i="3" s="1"/>
  <c r="BC61" i="3"/>
  <c r="BD61" i="3"/>
  <c r="AC62" i="3"/>
  <c r="AD62" i="3"/>
  <c r="AG62" i="3" s="1"/>
  <c r="AE62" i="3"/>
  <c r="AF62" i="3"/>
  <c r="AC60" i="3"/>
  <c r="AD60" i="3"/>
  <c r="AE60" i="3"/>
  <c r="AF60" i="3"/>
  <c r="J59" i="7947"/>
  <c r="J62" i="7947"/>
  <c r="J60" i="7947"/>
  <c r="J67" i="7947"/>
  <c r="J68" i="7947"/>
  <c r="AR66" i="7953"/>
  <c r="AQ66" i="7953"/>
  <c r="AQ60" i="7953"/>
  <c r="AR60" i="7953"/>
  <c r="AR82" i="7953"/>
  <c r="AQ82" i="7953"/>
  <c r="AQ68" i="7953"/>
  <c r="AR68" i="7953"/>
  <c r="AR78" i="7953"/>
  <c r="AQ78" i="7953"/>
  <c r="AR58" i="7953"/>
  <c r="AQ58" i="7953"/>
  <c r="AQ72" i="7953"/>
  <c r="AR72" i="7953"/>
  <c r="AR56" i="7953"/>
  <c r="AQ56" i="7953"/>
  <c r="AQ49" i="7953"/>
  <c r="AR49" i="7953"/>
  <c r="AF95" i="7950"/>
  <c r="AF96" i="7950"/>
  <c r="V105" i="7950"/>
  <c r="C89" i="7950"/>
  <c r="AF98" i="7950"/>
  <c r="AF97" i="7950"/>
  <c r="AF99" i="7950"/>
  <c r="AC153" i="7955"/>
  <c r="AC353" i="7955"/>
  <c r="AC453" i="7955"/>
  <c r="AC253" i="7955"/>
  <c r="AC503" i="7955"/>
  <c r="AC553" i="7955"/>
  <c r="AC203" i="7955"/>
  <c r="AC403" i="7955"/>
  <c r="AC303" i="7955"/>
  <c r="AC103" i="7955"/>
  <c r="AF129" i="7951"/>
  <c r="AQ66" i="7951" s="1"/>
  <c r="AT59" i="7951"/>
  <c r="AW66" i="7951"/>
  <c r="AS75" i="7951"/>
  <c r="AP59" i="7951"/>
  <c r="AW59" i="7951"/>
  <c r="AS59" i="7951"/>
  <c r="AV66" i="7951"/>
  <c r="AX79" i="7951"/>
  <c r="AT66" i="7951"/>
  <c r="AA111" i="7951"/>
  <c r="AA112" i="7951" s="1"/>
  <c r="AA113" i="7951" s="1"/>
  <c r="AA114" i="7951" s="1"/>
  <c r="AA116" i="7951" s="1"/>
  <c r="AA117" i="7951" s="1"/>
  <c r="AA118" i="7951" s="1"/>
  <c r="AA119" i="7951" s="1"/>
  <c r="AA121" i="7951" s="1"/>
  <c r="AA122" i="7951" s="1"/>
  <c r="AA123" i="7951" s="1"/>
  <c r="AA124" i="7951" s="1"/>
  <c r="AX66" i="7951"/>
  <c r="AR59" i="7951"/>
  <c r="C109" i="7951"/>
  <c r="I109" i="7951"/>
  <c r="AP66" i="7951"/>
  <c r="AU59" i="7951"/>
  <c r="AQ59" i="7951"/>
  <c r="AU66" i="7951"/>
  <c r="D137" i="1"/>
  <c r="C137" i="1"/>
  <c r="K53" i="7955"/>
  <c r="AB155" i="1"/>
  <c r="W139" i="1"/>
  <c r="AO62" i="3"/>
  <c r="AP62" i="3"/>
  <c r="AQ62" i="3"/>
  <c r="AR62" i="3"/>
  <c r="AO61" i="3"/>
  <c r="AP61" i="3"/>
  <c r="AS61" i="3" s="1"/>
  <c r="AQ61" i="3"/>
  <c r="AR61" i="3"/>
  <c r="E52" i="3"/>
  <c r="H52" i="3"/>
  <c r="I52" i="3" s="1"/>
  <c r="G52" i="3"/>
  <c r="E47" i="3"/>
  <c r="F47" i="3"/>
  <c r="G47" i="3"/>
  <c r="H47" i="3"/>
  <c r="G45" i="3"/>
  <c r="H45" i="3"/>
  <c r="E45" i="3"/>
  <c r="F45" i="3"/>
  <c r="E50" i="3"/>
  <c r="G50" i="3"/>
  <c r="H50" i="3"/>
  <c r="F42" i="3"/>
  <c r="E42" i="3"/>
  <c r="H42" i="3"/>
  <c r="G42" i="3"/>
  <c r="Q58" i="3"/>
  <c r="R58" i="3"/>
  <c r="S58" i="3"/>
  <c r="T58" i="3"/>
  <c r="Q64" i="3"/>
  <c r="R64" i="3"/>
  <c r="U64" i="3" s="1"/>
  <c r="S64" i="3"/>
  <c r="T64" i="3"/>
  <c r="J66" i="7947"/>
  <c r="J64" i="7947"/>
  <c r="AH64" i="7947"/>
  <c r="AH62" i="7947"/>
  <c r="AH59" i="7947"/>
  <c r="AH60" i="7947"/>
  <c r="AH68" i="7947"/>
  <c r="AH67" i="7947"/>
  <c r="BA44" i="3"/>
  <c r="BD44" i="3"/>
  <c r="BC44" i="3"/>
  <c r="BD52" i="3"/>
  <c r="BC52" i="3"/>
  <c r="BA52" i="3"/>
  <c r="BC48" i="3"/>
  <c r="BA48" i="3"/>
  <c r="BD48" i="3"/>
  <c r="BB51" i="3"/>
  <c r="BA51" i="3"/>
  <c r="BD51" i="3"/>
  <c r="BC51" i="3"/>
  <c r="BB49" i="3"/>
  <c r="BA49" i="3"/>
  <c r="BD49" i="3"/>
  <c r="BC49" i="3"/>
  <c r="AD46" i="3"/>
  <c r="AC46" i="3"/>
  <c r="AF46" i="3"/>
  <c r="AE46" i="3"/>
  <c r="AC51" i="3"/>
  <c r="AF51" i="3"/>
  <c r="AE51" i="3"/>
  <c r="AC44" i="3"/>
  <c r="AF44" i="3"/>
  <c r="AE44" i="3"/>
  <c r="AC50" i="3"/>
  <c r="AF50" i="3"/>
  <c r="AE50" i="3"/>
  <c r="AF45" i="3"/>
  <c r="AE45" i="3"/>
  <c r="AD45" i="3"/>
  <c r="AC45" i="3"/>
  <c r="Q45" i="3"/>
  <c r="T45" i="3"/>
  <c r="S45" i="3"/>
  <c r="S49" i="3"/>
  <c r="Q49" i="3"/>
  <c r="T49" i="3"/>
  <c r="R49" i="3"/>
  <c r="T44" i="3"/>
  <c r="S44" i="3"/>
  <c r="R44" i="3"/>
  <c r="Q44" i="3"/>
  <c r="Q50" i="3"/>
  <c r="S50" i="3"/>
  <c r="T50" i="3"/>
  <c r="Q42" i="3"/>
  <c r="T42" i="3"/>
  <c r="S42" i="3"/>
  <c r="AE53" i="7955"/>
  <c r="AS66" i="7951"/>
  <c r="AT65" i="1"/>
  <c r="AO59" i="7951"/>
  <c r="AB65" i="7947"/>
  <c r="F56" i="7949"/>
  <c r="G56" i="7949" s="1"/>
  <c r="T62" i="7949" s="1"/>
  <c r="F62" i="7949" s="1"/>
  <c r="AP236" i="7950"/>
  <c r="AQ236" i="7950" s="1"/>
  <c r="O51" i="3"/>
  <c r="P59" i="7947"/>
  <c r="P62" i="7947"/>
  <c r="P64" i="7947"/>
  <c r="P60" i="7947"/>
  <c r="P68" i="7947"/>
  <c r="P66" i="7947"/>
  <c r="P67" i="7947"/>
  <c r="AV219" i="7950"/>
  <c r="K219" i="7950"/>
  <c r="K251" i="7950"/>
  <c r="AV251" i="7950"/>
  <c r="AV315" i="7950"/>
  <c r="K315" i="7950"/>
  <c r="AV299" i="7950"/>
  <c r="K299" i="7950"/>
  <c r="AV411" i="7950"/>
  <c r="K411" i="7950"/>
  <c r="AB59" i="7947"/>
  <c r="AB60" i="7947"/>
  <c r="AB68" i="7947"/>
  <c r="AB62" i="7947"/>
  <c r="AB64" i="7947"/>
  <c r="AB66" i="7947"/>
  <c r="AB67" i="7947"/>
  <c r="AQ195" i="2"/>
  <c r="U43" i="3"/>
  <c r="AA52" i="3"/>
  <c r="AB61" i="7947"/>
  <c r="P61" i="7947"/>
  <c r="AT188" i="7950"/>
  <c r="AU188" i="7950" s="1"/>
  <c r="AR188" i="7950"/>
  <c r="I188" i="7950"/>
  <c r="E188" i="7950"/>
  <c r="G188" i="7950"/>
  <c r="AQ188" i="7950"/>
  <c r="AT236" i="7950"/>
  <c r="AU236" i="7950" s="1"/>
  <c r="AR236" i="7950"/>
  <c r="G236" i="7950"/>
  <c r="AD48" i="3"/>
  <c r="AG48" i="3" s="1"/>
  <c r="W111" i="1"/>
  <c r="AQ187" i="2"/>
  <c r="AY96" i="2"/>
  <c r="AY100" i="2"/>
  <c r="AQ186" i="2"/>
  <c r="AQ192" i="2"/>
  <c r="AQ188" i="2"/>
  <c r="AQ189" i="2"/>
  <c r="AY95" i="2"/>
  <c r="AY97" i="2"/>
  <c r="AY99" i="2"/>
  <c r="AY101" i="2"/>
  <c r="AY103" i="2"/>
  <c r="AQ190" i="2"/>
  <c r="AQ194" i="2"/>
  <c r="AO194" i="2" s="1"/>
  <c r="AY94" i="2"/>
  <c r="AY98" i="2"/>
  <c r="AY102" i="2"/>
  <c r="AQ193" i="2"/>
  <c r="AQ191" i="2"/>
  <c r="K379" i="7950"/>
  <c r="AV379" i="7950"/>
  <c r="CN672" i="2"/>
  <c r="CU669" i="2" s="1"/>
  <c r="CN670" i="2"/>
  <c r="CO669" i="2" s="1"/>
  <c r="CN671" i="2"/>
  <c r="CR669" i="2" s="1"/>
  <c r="CU69" i="2"/>
  <c r="CV69" i="2" s="1"/>
  <c r="CU71" i="2"/>
  <c r="CV71" i="2" s="1"/>
  <c r="CU73" i="2"/>
  <c r="CV73" i="2" s="1"/>
  <c r="CU75" i="2"/>
  <c r="CV75" i="2" s="1"/>
  <c r="CU77" i="2"/>
  <c r="CV77" i="2" s="1"/>
  <c r="CU68" i="2"/>
  <c r="CV68" i="2" s="1"/>
  <c r="CU70" i="2"/>
  <c r="CV70" i="2" s="1"/>
  <c r="CU72" i="2"/>
  <c r="CV72" i="2" s="1"/>
  <c r="CU74" i="2"/>
  <c r="CV74" i="2" s="1"/>
  <c r="CU76" i="2"/>
  <c r="CV76" i="2" s="1"/>
  <c r="CR69" i="2"/>
  <c r="CS69" i="2" s="1"/>
  <c r="CR71" i="2"/>
  <c r="CS71" i="2" s="1"/>
  <c r="CR73" i="2"/>
  <c r="CS73" i="2" s="1"/>
  <c r="CR75" i="2"/>
  <c r="CS75" i="2" s="1"/>
  <c r="CR77" i="2"/>
  <c r="CS77" i="2" s="1"/>
  <c r="CR68" i="2"/>
  <c r="CS68" i="2" s="1"/>
  <c r="CR70" i="2"/>
  <c r="CS70" i="2" s="1"/>
  <c r="CR72" i="2"/>
  <c r="CS72" i="2" s="1"/>
  <c r="CR74" i="2"/>
  <c r="CS74" i="2" s="1"/>
  <c r="CR76" i="2"/>
  <c r="CS76" i="2" s="1"/>
  <c r="AD43" i="3"/>
  <c r="AG43" i="3" s="1"/>
  <c r="W125" i="1"/>
  <c r="AP193" i="2"/>
  <c r="AP195" i="2"/>
  <c r="AO195" i="2" s="1"/>
  <c r="AP191" i="2"/>
  <c r="AO191" i="2" s="1"/>
  <c r="AP190" i="2"/>
  <c r="AP186" i="2"/>
  <c r="K395" i="7950"/>
  <c r="AV395" i="7950"/>
  <c r="K348" i="7950"/>
  <c r="AV348" i="7950"/>
  <c r="AP192" i="2"/>
  <c r="AO192" i="2" s="1"/>
  <c r="AP188" i="2"/>
  <c r="AV171" i="7950"/>
  <c r="K171" i="7950"/>
  <c r="CO71" i="2"/>
  <c r="CP71" i="2" s="1"/>
  <c r="CO75" i="2"/>
  <c r="CP75" i="2" s="1"/>
  <c r="CO68" i="2"/>
  <c r="CP68" i="2" s="1"/>
  <c r="CO72" i="2"/>
  <c r="CP72" i="2" s="1"/>
  <c r="CO76" i="2"/>
  <c r="CP76" i="2" s="1"/>
  <c r="CO69" i="2"/>
  <c r="CP69" i="2" s="1"/>
  <c r="CO73" i="2"/>
  <c r="CP73" i="2" s="1"/>
  <c r="CO77" i="2"/>
  <c r="CP77" i="2" s="1"/>
  <c r="CO70" i="2"/>
  <c r="CP70" i="2" s="1"/>
  <c r="CO74" i="2"/>
  <c r="CP74" i="2" s="1"/>
  <c r="AJ190" i="7949"/>
  <c r="AI190" i="7949" s="1"/>
  <c r="AJ183" i="7949"/>
  <c r="AI183" i="7949" s="1"/>
  <c r="AJ189" i="7949"/>
  <c r="AI189" i="7949" s="1"/>
  <c r="AJ185" i="7949"/>
  <c r="AI185" i="7949" s="1"/>
  <c r="AJ181" i="7949"/>
  <c r="AI181" i="7949" s="1"/>
  <c r="AJ188" i="7949"/>
  <c r="AI188" i="7949" s="1"/>
  <c r="AJ186" i="7949"/>
  <c r="AI186" i="7949" s="1"/>
  <c r="AJ184" i="7949"/>
  <c r="AI184" i="7949" s="1"/>
  <c r="AJ182" i="7949"/>
  <c r="AI182" i="7949" s="1"/>
  <c r="AJ187" i="7949"/>
  <c r="AI187" i="7949" s="1"/>
  <c r="AP189" i="2"/>
  <c r="AO189" i="2" s="1"/>
  <c r="AP187" i="2"/>
  <c r="AO187" i="2" s="1"/>
  <c r="I505" i="7955"/>
  <c r="E505" i="7955"/>
  <c r="I504" i="7955"/>
  <c r="E504" i="7955"/>
  <c r="H505" i="7955"/>
  <c r="F505" i="7955"/>
  <c r="H504" i="7955"/>
  <c r="F504" i="7955"/>
  <c r="G505" i="7955"/>
  <c r="G504" i="7955"/>
  <c r="J505" i="7955"/>
  <c r="J504" i="7955"/>
  <c r="AY517" i="7955"/>
  <c r="AY518" i="7955" s="1"/>
  <c r="AY519" i="7955" s="1"/>
  <c r="AY520" i="7955" s="1"/>
  <c r="I405" i="7955"/>
  <c r="E405" i="7955"/>
  <c r="G404" i="7955"/>
  <c r="H405" i="7955"/>
  <c r="F405" i="7955"/>
  <c r="AY417" i="7955"/>
  <c r="AY418" i="7955" s="1"/>
  <c r="E404" i="7955"/>
  <c r="H404" i="7955"/>
  <c r="G405" i="7955"/>
  <c r="I404" i="7955"/>
  <c r="F404" i="7955"/>
  <c r="J405" i="7955"/>
  <c r="J404" i="7955"/>
  <c r="G205" i="7955"/>
  <c r="F205" i="7955"/>
  <c r="AY217" i="7955"/>
  <c r="AY218" i="7955" s="1"/>
  <c r="AY219" i="7955" s="1"/>
  <c r="AY220" i="7955" s="1"/>
  <c r="E204" i="7955"/>
  <c r="H204" i="7955"/>
  <c r="G204" i="7955"/>
  <c r="H205" i="7955"/>
  <c r="I205" i="7955"/>
  <c r="J204" i="7955"/>
  <c r="E205" i="7955"/>
  <c r="I204" i="7955"/>
  <c r="J205" i="7955"/>
  <c r="F204" i="7955"/>
  <c r="AY67" i="7955"/>
  <c r="AY68" i="7955" s="1"/>
  <c r="F54" i="7955"/>
  <c r="E54" i="7955"/>
  <c r="I54" i="7955"/>
  <c r="G55" i="7955"/>
  <c r="G54" i="7955"/>
  <c r="J54" i="7955"/>
  <c r="I55" i="7955"/>
  <c r="F55" i="7955"/>
  <c r="K55" i="7955"/>
  <c r="H55" i="7955"/>
  <c r="H54" i="7955"/>
  <c r="E55" i="7955"/>
  <c r="K54" i="7955"/>
  <c r="J55" i="7955"/>
  <c r="E555" i="7955"/>
  <c r="I555" i="7955"/>
  <c r="F555" i="7955"/>
  <c r="E554" i="7955"/>
  <c r="I554" i="7955"/>
  <c r="F554" i="7955"/>
  <c r="G555" i="7955"/>
  <c r="H555" i="7955"/>
  <c r="G554" i="7955"/>
  <c r="H554" i="7955"/>
  <c r="AY567" i="7955"/>
  <c r="J554" i="7955"/>
  <c r="J555" i="7955"/>
  <c r="G455" i="7955"/>
  <c r="G454" i="7955"/>
  <c r="E454" i="7955"/>
  <c r="F455" i="7955"/>
  <c r="J454" i="7955"/>
  <c r="H454" i="7955"/>
  <c r="E455" i="7955"/>
  <c r="J455" i="7955"/>
  <c r="F454" i="7955"/>
  <c r="AY467" i="7955"/>
  <c r="AY468" i="7955" s="1"/>
  <c r="AY469" i="7955" s="1"/>
  <c r="AY470" i="7955" s="1"/>
  <c r="I455" i="7955"/>
  <c r="I454" i="7955"/>
  <c r="H455" i="7955"/>
  <c r="H155" i="7955"/>
  <c r="G155" i="7955"/>
  <c r="G154" i="7955"/>
  <c r="F154" i="7955"/>
  <c r="E155" i="7955"/>
  <c r="E154" i="7955"/>
  <c r="H154" i="7955"/>
  <c r="AY167" i="7955"/>
  <c r="AY168" i="7955" s="1"/>
  <c r="F155" i="7955"/>
  <c r="I155" i="7955"/>
  <c r="I154" i="7955"/>
  <c r="J155" i="7955"/>
  <c r="J154" i="7955"/>
  <c r="AY267" i="7955"/>
  <c r="G255" i="7955"/>
  <c r="F255" i="7955"/>
  <c r="E255" i="7955"/>
  <c r="H255" i="7955"/>
  <c r="G254" i="7955"/>
  <c r="E254" i="7955"/>
  <c r="F254" i="7955"/>
  <c r="H254" i="7955"/>
  <c r="I254" i="7955"/>
  <c r="I255" i="7955"/>
  <c r="J255" i="7955"/>
  <c r="J254" i="7955"/>
  <c r="AY117" i="7955"/>
  <c r="AY118" i="7955" s="1"/>
  <c r="AY119" i="7955" s="1"/>
  <c r="G105" i="7955"/>
  <c r="H105" i="7955"/>
  <c r="F104" i="7955"/>
  <c r="E104" i="7955"/>
  <c r="G104" i="7955"/>
  <c r="E105" i="7955"/>
  <c r="F105" i="7955"/>
  <c r="I105" i="7955"/>
  <c r="H104" i="7955"/>
  <c r="J104" i="7955"/>
  <c r="J105" i="7955"/>
  <c r="I104" i="7955"/>
  <c r="E305" i="7955"/>
  <c r="F305" i="7955"/>
  <c r="G305" i="7955"/>
  <c r="F304" i="7955"/>
  <c r="H304" i="7955"/>
  <c r="H305" i="7955"/>
  <c r="AY317" i="7955"/>
  <c r="AY318" i="7955" s="1"/>
  <c r="I305" i="7955"/>
  <c r="E304" i="7955"/>
  <c r="G304" i="7955"/>
  <c r="I304" i="7955"/>
  <c r="J304" i="7955"/>
  <c r="J305" i="7955"/>
  <c r="H355" i="7955"/>
  <c r="E355" i="7955"/>
  <c r="F355" i="7955"/>
  <c r="G355" i="7955"/>
  <c r="F354" i="7955"/>
  <c r="H354" i="7955"/>
  <c r="I355" i="7955"/>
  <c r="J354" i="7955"/>
  <c r="AY367" i="7955"/>
  <c r="AY368" i="7955" s="1"/>
  <c r="G354" i="7955"/>
  <c r="J355" i="7955"/>
  <c r="E354" i="7955"/>
  <c r="I354" i="7955"/>
  <c r="CR370" i="2"/>
  <c r="CS370" i="2" s="1"/>
  <c r="CR372" i="2"/>
  <c r="CS372" i="2" s="1"/>
  <c r="CR374" i="2"/>
  <c r="CS374" i="2" s="1"/>
  <c r="CR376" i="2"/>
  <c r="CS376" i="2" s="1"/>
  <c r="CR378" i="2"/>
  <c r="CS378" i="2" s="1"/>
  <c r="CR369" i="2"/>
  <c r="CS369" i="2" s="1"/>
  <c r="CR371" i="2"/>
  <c r="CS371" i="2" s="1"/>
  <c r="CR373" i="2"/>
  <c r="CS373" i="2" s="1"/>
  <c r="CR375" i="2"/>
  <c r="CS375" i="2" s="1"/>
  <c r="CR377" i="2"/>
  <c r="CS377" i="2" s="1"/>
  <c r="W95" i="1"/>
  <c r="AD51" i="3"/>
  <c r="AG51" i="3" s="1"/>
  <c r="CH91" i="7949"/>
  <c r="CL89" i="7949" s="1"/>
  <c r="CH92" i="7949"/>
  <c r="CO89" i="7949" s="1"/>
  <c r="CH90" i="7949"/>
  <c r="CI89" i="7949" s="1"/>
  <c r="AP364" i="7950"/>
  <c r="CN369" i="2"/>
  <c r="CO368" i="2" s="1"/>
  <c r="CN371" i="2"/>
  <c r="CU368" i="2" s="1"/>
  <c r="AQ204" i="7950"/>
  <c r="E204" i="7950"/>
  <c r="I204" i="7950"/>
  <c r="AT204" i="7950"/>
  <c r="AU204" i="7950" s="1"/>
  <c r="AR204" i="7950"/>
  <c r="G204" i="7950"/>
  <c r="M284" i="7950"/>
  <c r="AW284" i="7950"/>
  <c r="AX284" i="7950"/>
  <c r="AY284" i="7950"/>
  <c r="AZ284" i="7950"/>
  <c r="AC46" i="7953"/>
  <c r="R51" i="7953"/>
  <c r="AC53" i="7953"/>
  <c r="R56" i="7953"/>
  <c r="R60" i="7953"/>
  <c r="R47" i="7953"/>
  <c r="AC50" i="7953"/>
  <c r="R57" i="7953"/>
  <c r="R61" i="7953"/>
  <c r="AC63" i="7953"/>
  <c r="R48" i="7953"/>
  <c r="AC51" i="7953"/>
  <c r="R54" i="7953"/>
  <c r="AC57" i="7953"/>
  <c r="R62" i="7953"/>
  <c r="AC47" i="7953"/>
  <c r="AC52" i="7953"/>
  <c r="R59" i="7953"/>
  <c r="AC61" i="7953"/>
  <c r="R49" i="7953"/>
  <c r="AC54" i="7953"/>
  <c r="AC45" i="7953"/>
  <c r="R55" i="7953"/>
  <c r="AC62" i="7953"/>
  <c r="R50" i="7953"/>
  <c r="AC55" i="7953"/>
  <c r="R46" i="7953"/>
  <c r="AC56" i="7953"/>
  <c r="R63" i="7953"/>
  <c r="R58" i="7953"/>
  <c r="AC59" i="7953"/>
  <c r="R53" i="7953"/>
  <c r="AC49" i="7953"/>
  <c r="R52" i="7953"/>
  <c r="AC48" i="7953"/>
  <c r="R45" i="7953"/>
  <c r="AC58" i="7953"/>
  <c r="AC60" i="7953"/>
  <c r="CH367" i="7949"/>
  <c r="CI366" i="7949" s="1"/>
  <c r="CH369" i="7949"/>
  <c r="CO366" i="7949" s="1"/>
  <c r="CH368" i="7949"/>
  <c r="CL366" i="7949" s="1"/>
  <c r="K331" i="7950"/>
  <c r="AV331" i="7950"/>
  <c r="CH646" i="7949"/>
  <c r="CO643" i="7949" s="1"/>
  <c r="CH644" i="7949"/>
  <c r="CI643" i="7949" s="1"/>
  <c r="CH645" i="7949"/>
  <c r="CL643" i="7949" s="1"/>
  <c r="K267" i="7950"/>
  <c r="AV267" i="7950"/>
  <c r="AS117" i="7951"/>
  <c r="AN96" i="2"/>
  <c r="AN97" i="2"/>
  <c r="AN95" i="2"/>
  <c r="AN100" i="2"/>
  <c r="AN94" i="2"/>
  <c r="AN101" i="2"/>
  <c r="AN98" i="2"/>
  <c r="AN99" i="2"/>
  <c r="AN102" i="2"/>
  <c r="AN103" i="2"/>
  <c r="AE303" i="7955" l="1"/>
  <c r="AE453" i="7955"/>
  <c r="AE503" i="7955"/>
  <c r="AE103" i="7955"/>
  <c r="AE153" i="7955"/>
  <c r="AE553" i="7955"/>
  <c r="AE203" i="7955"/>
  <c r="AE353" i="7955"/>
  <c r="AE253" i="7955"/>
  <c r="AE403" i="7955"/>
  <c r="BE49" i="3"/>
  <c r="BE51" i="3"/>
  <c r="W140" i="1"/>
  <c r="L49" i="3"/>
  <c r="O49" i="3" s="1"/>
  <c r="K153" i="7955"/>
  <c r="K103" i="7955"/>
  <c r="K403" i="7955"/>
  <c r="K503" i="7955"/>
  <c r="K353" i="7955"/>
  <c r="K303" i="7955"/>
  <c r="K453" i="7955"/>
  <c r="K553" i="7955"/>
  <c r="K253" i="7955"/>
  <c r="K203" i="7955"/>
  <c r="AF111" i="7950"/>
  <c r="AF114" i="7950"/>
  <c r="AF112" i="7950"/>
  <c r="C105" i="7950"/>
  <c r="V121" i="7950"/>
  <c r="AF113" i="7950"/>
  <c r="AF115" i="7950"/>
  <c r="U52" i="3"/>
  <c r="AG49" i="3"/>
  <c r="BE43" i="3"/>
  <c r="AD303" i="7955"/>
  <c r="AD353" i="7955"/>
  <c r="AD403" i="7955"/>
  <c r="AD253" i="7955"/>
  <c r="AD103" i="7955"/>
  <c r="AD203" i="7955"/>
  <c r="AD453" i="7955"/>
  <c r="AD153" i="7955"/>
  <c r="AD553" i="7955"/>
  <c r="AD503" i="7955"/>
  <c r="AO190" i="2"/>
  <c r="I236" i="7950"/>
  <c r="E236" i="7950"/>
  <c r="U49" i="3"/>
  <c r="AG45" i="3"/>
  <c r="I45" i="3"/>
  <c r="I47" i="3"/>
  <c r="AT66" i="1"/>
  <c r="W155" i="1"/>
  <c r="AB171" i="1"/>
  <c r="C153" i="1"/>
  <c r="L53" i="7955"/>
  <c r="D153" i="1"/>
  <c r="C127" i="7951"/>
  <c r="AA129" i="7951"/>
  <c r="AA130" i="7951" s="1"/>
  <c r="AA131" i="7951" s="1"/>
  <c r="AA132" i="7951" s="1"/>
  <c r="AA134" i="7951" s="1"/>
  <c r="AA135" i="7951" s="1"/>
  <c r="AA136" i="7951" s="1"/>
  <c r="AA137" i="7951" s="1"/>
  <c r="AA139" i="7951" s="1"/>
  <c r="AA140" i="7951" s="1"/>
  <c r="AA141" i="7951" s="1"/>
  <c r="AA142" i="7951" s="1"/>
  <c r="I127" i="7951"/>
  <c r="AX59" i="7951"/>
  <c r="AR66" i="7951"/>
  <c r="AO66" i="7951"/>
  <c r="I48" i="3"/>
  <c r="AW79" i="7951"/>
  <c r="AV59" i="7951"/>
  <c r="AO188" i="2"/>
  <c r="AO186" i="2"/>
  <c r="AO193" i="2"/>
  <c r="AZ411" i="7950"/>
  <c r="M411" i="7950"/>
  <c r="AX411" i="7950"/>
  <c r="AW411" i="7950"/>
  <c r="AY411" i="7950"/>
  <c r="AP412" i="7950" s="1"/>
  <c r="AY299" i="7950"/>
  <c r="AW299" i="7950"/>
  <c r="AZ299" i="7950"/>
  <c r="M299" i="7950"/>
  <c r="AX299" i="7950"/>
  <c r="AY315" i="7950"/>
  <c r="AZ315" i="7950"/>
  <c r="AX315" i="7950"/>
  <c r="AW315" i="7950"/>
  <c r="M315" i="7950"/>
  <c r="AZ219" i="7950"/>
  <c r="M219" i="7950"/>
  <c r="AW219" i="7950"/>
  <c r="AY219" i="7950"/>
  <c r="AX219" i="7950"/>
  <c r="M251" i="7950"/>
  <c r="AY251" i="7950"/>
  <c r="AZ251" i="7950"/>
  <c r="AX251" i="7950"/>
  <c r="AW251" i="7950"/>
  <c r="K236" i="7950"/>
  <c r="AV236" i="7950"/>
  <c r="K188" i="7950"/>
  <c r="AV188" i="7950"/>
  <c r="BB47" i="3"/>
  <c r="BE47" i="3" s="1"/>
  <c r="W112" i="1"/>
  <c r="W113" i="1" s="1"/>
  <c r="W114" i="1" s="1"/>
  <c r="W115" i="1" s="1"/>
  <c r="W116" i="1" s="1"/>
  <c r="W117" i="1" s="1"/>
  <c r="W118" i="1" s="1"/>
  <c r="AP102" i="2"/>
  <c r="AQ102" i="2"/>
  <c r="AQ94" i="2"/>
  <c r="AP94" i="2"/>
  <c r="AP101" i="2"/>
  <c r="AQ101" i="2"/>
  <c r="AQ97" i="2"/>
  <c r="AP97" i="2"/>
  <c r="AQ100" i="2"/>
  <c r="AP100" i="2"/>
  <c r="AQ98" i="2"/>
  <c r="AP98" i="2"/>
  <c r="AQ103" i="2"/>
  <c r="AP103" i="2"/>
  <c r="AP99" i="2"/>
  <c r="AQ99" i="2"/>
  <c r="AQ95" i="2"/>
  <c r="AP95" i="2"/>
  <c r="AP96" i="2"/>
  <c r="AQ96" i="2"/>
  <c r="CQ72" i="2"/>
  <c r="DI292" i="2" s="1"/>
  <c r="CQ70" i="2"/>
  <c r="DI290" i="2" s="1"/>
  <c r="CQ68" i="2"/>
  <c r="CQ71" i="2"/>
  <c r="DI291" i="2" s="1"/>
  <c r="CQ69" i="2"/>
  <c r="DI289" i="2" s="1"/>
  <c r="AZ171" i="7950"/>
  <c r="AY171" i="7950"/>
  <c r="M171" i="7950"/>
  <c r="AW171" i="7950"/>
  <c r="AX171" i="7950"/>
  <c r="F51" i="3"/>
  <c r="I51" i="3" s="1"/>
  <c r="W126" i="1"/>
  <c r="CT69" i="2"/>
  <c r="DI321" i="2" s="1"/>
  <c r="CT70" i="2"/>
  <c r="DI322" i="2" s="1"/>
  <c r="CT68" i="2"/>
  <c r="CW68" i="2"/>
  <c r="CW69" i="2"/>
  <c r="DI335" i="2" s="1"/>
  <c r="CR674" i="2"/>
  <c r="CS674" i="2" s="1"/>
  <c r="CR670" i="2"/>
  <c r="CS670" i="2" s="1"/>
  <c r="CR677" i="2"/>
  <c r="CS677" i="2" s="1"/>
  <c r="CR678" i="2"/>
  <c r="CS678" i="2" s="1"/>
  <c r="CR676" i="2"/>
  <c r="CS676" i="2" s="1"/>
  <c r="CR675" i="2"/>
  <c r="CS675" i="2" s="1"/>
  <c r="CR673" i="2"/>
  <c r="CS673" i="2" s="1"/>
  <c r="CR672" i="2"/>
  <c r="CS672" i="2" s="1"/>
  <c r="CR671" i="2"/>
  <c r="CS671" i="2" s="1"/>
  <c r="CR679" i="2"/>
  <c r="CS679" i="2" s="1"/>
  <c r="CU671" i="2"/>
  <c r="CV671" i="2" s="1"/>
  <c r="CU677" i="2"/>
  <c r="CV677" i="2" s="1"/>
  <c r="CU679" i="2"/>
  <c r="CV679" i="2" s="1"/>
  <c r="CU676" i="2"/>
  <c r="CV676" i="2" s="1"/>
  <c r="CU672" i="2"/>
  <c r="CV672" i="2" s="1"/>
  <c r="CU670" i="2"/>
  <c r="CV670" i="2" s="1"/>
  <c r="CU674" i="2"/>
  <c r="CV674" i="2" s="1"/>
  <c r="CU675" i="2"/>
  <c r="CV675" i="2" s="1"/>
  <c r="CU673" i="2"/>
  <c r="CV673" i="2" s="1"/>
  <c r="CU678" i="2"/>
  <c r="CV678" i="2" s="1"/>
  <c r="AY348" i="7950"/>
  <c r="M348" i="7950"/>
  <c r="AX348" i="7950"/>
  <c r="AZ348" i="7950"/>
  <c r="AW348" i="7950"/>
  <c r="AX395" i="7950"/>
  <c r="AZ395" i="7950"/>
  <c r="AY395" i="7950"/>
  <c r="M395" i="7950"/>
  <c r="AW395" i="7950"/>
  <c r="CO674" i="2"/>
  <c r="CP674" i="2" s="1"/>
  <c r="CO670" i="2"/>
  <c r="CP670" i="2" s="1"/>
  <c r="CO677" i="2"/>
  <c r="CP677" i="2" s="1"/>
  <c r="CO678" i="2"/>
  <c r="CP678" i="2" s="1"/>
  <c r="CO672" i="2"/>
  <c r="CP672" i="2" s="1"/>
  <c r="CO671" i="2"/>
  <c r="CP671" i="2" s="1"/>
  <c r="CO679" i="2"/>
  <c r="CP679" i="2" s="1"/>
  <c r="CO673" i="2"/>
  <c r="CP673" i="2" s="1"/>
  <c r="CO676" i="2"/>
  <c r="CP676" i="2" s="1"/>
  <c r="CO675" i="2"/>
  <c r="CP675" i="2" s="1"/>
  <c r="AX379" i="7950"/>
  <c r="AZ379" i="7950"/>
  <c r="AY379" i="7950"/>
  <c r="M379" i="7950"/>
  <c r="AW379" i="7950"/>
  <c r="AD76" i="7949"/>
  <c r="AD88" i="7949"/>
  <c r="AS118" i="7951"/>
  <c r="AV77" i="7951" s="1"/>
  <c r="AD82" i="7949"/>
  <c r="CL647" i="7949"/>
  <c r="CM647" i="7949" s="1"/>
  <c r="CL651" i="7949"/>
  <c r="CM651" i="7949" s="1"/>
  <c r="CL644" i="7949"/>
  <c r="CM644" i="7949" s="1"/>
  <c r="CL648" i="7949"/>
  <c r="CM648" i="7949" s="1"/>
  <c r="CL652" i="7949"/>
  <c r="CM652" i="7949" s="1"/>
  <c r="CL645" i="7949"/>
  <c r="CM645" i="7949" s="1"/>
  <c r="CL653" i="7949"/>
  <c r="CM653" i="7949" s="1"/>
  <c r="CL650" i="7949"/>
  <c r="CM650" i="7949" s="1"/>
  <c r="CL649" i="7949"/>
  <c r="CM649" i="7949" s="1"/>
  <c r="CL646" i="7949"/>
  <c r="CM646" i="7949" s="1"/>
  <c r="AY331" i="7950"/>
  <c r="M331" i="7950"/>
  <c r="AX331" i="7950"/>
  <c r="AZ331" i="7950"/>
  <c r="AW331" i="7950"/>
  <c r="AY267" i="7950"/>
  <c r="M267" i="7950"/>
  <c r="AX267" i="7950"/>
  <c r="AZ267" i="7950"/>
  <c r="AW267" i="7950"/>
  <c r="CI647" i="7949"/>
  <c r="CJ647" i="7949" s="1"/>
  <c r="CI651" i="7949"/>
  <c r="CJ651" i="7949" s="1"/>
  <c r="CI644" i="7949"/>
  <c r="CJ644" i="7949" s="1"/>
  <c r="CI648" i="7949"/>
  <c r="CJ648" i="7949" s="1"/>
  <c r="CI652" i="7949"/>
  <c r="CJ652" i="7949" s="1"/>
  <c r="CI649" i="7949"/>
  <c r="CJ649" i="7949" s="1"/>
  <c r="CI646" i="7949"/>
  <c r="CJ646" i="7949" s="1"/>
  <c r="CI645" i="7949"/>
  <c r="CJ645" i="7949" s="1"/>
  <c r="CI653" i="7949"/>
  <c r="CJ653" i="7949" s="1"/>
  <c r="CI650" i="7949"/>
  <c r="CJ650" i="7949" s="1"/>
  <c r="CL367" i="7949"/>
  <c r="CM367" i="7949" s="1"/>
  <c r="CL368" i="7949"/>
  <c r="CM368" i="7949" s="1"/>
  <c r="CL369" i="7949"/>
  <c r="CM369" i="7949" s="1"/>
  <c r="CL370" i="7949"/>
  <c r="CM370" i="7949" s="1"/>
  <c r="CL371" i="7949"/>
  <c r="CM371" i="7949" s="1"/>
  <c r="CL372" i="7949"/>
  <c r="CM372" i="7949" s="1"/>
  <c r="CL373" i="7949"/>
  <c r="CM373" i="7949" s="1"/>
  <c r="CL374" i="7949"/>
  <c r="CM374" i="7949" s="1"/>
  <c r="CL375" i="7949"/>
  <c r="CM375" i="7949" s="1"/>
  <c r="CL376" i="7949"/>
  <c r="CM376" i="7949" s="1"/>
  <c r="CI367" i="7949"/>
  <c r="CJ367" i="7949" s="1"/>
  <c r="CI369" i="7949"/>
  <c r="CJ369" i="7949" s="1"/>
  <c r="CI371" i="7949"/>
  <c r="CJ371" i="7949" s="1"/>
  <c r="CI373" i="7949"/>
  <c r="CJ373" i="7949" s="1"/>
  <c r="CI375" i="7949"/>
  <c r="CJ375" i="7949" s="1"/>
  <c r="CI368" i="7949"/>
  <c r="CJ368" i="7949" s="1"/>
  <c r="CI370" i="7949"/>
  <c r="CJ370" i="7949" s="1"/>
  <c r="CI372" i="7949"/>
  <c r="CJ372" i="7949" s="1"/>
  <c r="CI374" i="7949"/>
  <c r="CJ374" i="7949" s="1"/>
  <c r="CI376" i="7949"/>
  <c r="CJ376" i="7949" s="1"/>
  <c r="AE58" i="7953"/>
  <c r="AD58" i="7953"/>
  <c r="AJ58" i="7953"/>
  <c r="AG58" i="7953"/>
  <c r="AF58" i="7953"/>
  <c r="AF48" i="7953"/>
  <c r="AE48" i="7953"/>
  <c r="AD48" i="7953"/>
  <c r="AJ48" i="7953"/>
  <c r="AG48" i="7953"/>
  <c r="AF49" i="7953"/>
  <c r="AD49" i="7953"/>
  <c r="AJ49" i="7953"/>
  <c r="AE49" i="7953"/>
  <c r="AG49" i="7953"/>
  <c r="AF59" i="7953"/>
  <c r="AE59" i="7953"/>
  <c r="AD59" i="7953"/>
  <c r="AG59" i="7953"/>
  <c r="AJ59" i="7953"/>
  <c r="Y63" i="7953"/>
  <c r="V63" i="7953"/>
  <c r="S63" i="7953"/>
  <c r="U63" i="7953"/>
  <c r="T63" i="7953"/>
  <c r="Y46" i="7953"/>
  <c r="T46" i="7953"/>
  <c r="V46" i="7953"/>
  <c r="S46" i="7953"/>
  <c r="U46" i="7953"/>
  <c r="T50" i="7953"/>
  <c r="U50" i="7953"/>
  <c r="S50" i="7953"/>
  <c r="V50" i="7953"/>
  <c r="Y50" i="7953"/>
  <c r="S55" i="7953"/>
  <c r="T55" i="7953"/>
  <c r="Y55" i="7953"/>
  <c r="V55" i="7953"/>
  <c r="U55" i="7953"/>
  <c r="AG54" i="7953"/>
  <c r="AF54" i="7953"/>
  <c r="AD54" i="7953"/>
  <c r="AE54" i="7953"/>
  <c r="AJ54" i="7953"/>
  <c r="AD61" i="7953"/>
  <c r="AJ61" i="7953"/>
  <c r="AG61" i="7953"/>
  <c r="AE61" i="7953"/>
  <c r="AF61" i="7953"/>
  <c r="AD52" i="7953"/>
  <c r="AJ52" i="7953"/>
  <c r="AF52" i="7953"/>
  <c r="AE52" i="7953"/>
  <c r="AG52" i="7953"/>
  <c r="Y62" i="7953"/>
  <c r="V62" i="7953"/>
  <c r="U62" i="7953"/>
  <c r="S62" i="7953"/>
  <c r="T62" i="7953"/>
  <c r="U54" i="7953"/>
  <c r="S54" i="7953"/>
  <c r="V54" i="7953"/>
  <c r="Y54" i="7953"/>
  <c r="T54" i="7953"/>
  <c r="Y48" i="7953"/>
  <c r="T48" i="7953"/>
  <c r="U48" i="7953"/>
  <c r="S48" i="7953"/>
  <c r="V48" i="7953"/>
  <c r="T61" i="7953"/>
  <c r="Y61" i="7953"/>
  <c r="U61" i="7953"/>
  <c r="S61" i="7953"/>
  <c r="V61" i="7953"/>
  <c r="AD50" i="7953"/>
  <c r="AJ50" i="7953"/>
  <c r="AG50" i="7953"/>
  <c r="AE50" i="7953"/>
  <c r="AF50" i="7953"/>
  <c r="T60" i="7953"/>
  <c r="U60" i="7953"/>
  <c r="V60" i="7953"/>
  <c r="Y60" i="7953"/>
  <c r="S60" i="7953"/>
  <c r="AE53" i="7953"/>
  <c r="AF53" i="7953"/>
  <c r="AJ53" i="7953"/>
  <c r="AD53" i="7953"/>
  <c r="AG53" i="7953"/>
  <c r="AJ46" i="7953"/>
  <c r="AG46" i="7953"/>
  <c r="AE46" i="7953"/>
  <c r="AD46" i="7953"/>
  <c r="AF46" i="7953"/>
  <c r="CU371" i="2"/>
  <c r="CV371" i="2" s="1"/>
  <c r="CU375" i="2"/>
  <c r="CV375" i="2" s="1"/>
  <c r="CU370" i="2"/>
  <c r="CV370" i="2" s="1"/>
  <c r="CU374" i="2"/>
  <c r="CV374" i="2" s="1"/>
  <c r="CU378" i="2"/>
  <c r="CV378" i="2" s="1"/>
  <c r="CU369" i="2"/>
  <c r="CV369" i="2" s="1"/>
  <c r="CU373" i="2"/>
  <c r="CV373" i="2" s="1"/>
  <c r="CU377" i="2"/>
  <c r="CV377" i="2" s="1"/>
  <c r="CU372" i="2"/>
  <c r="CV372" i="2" s="1"/>
  <c r="CU376" i="2"/>
  <c r="CV376" i="2" s="1"/>
  <c r="AT364" i="7950"/>
  <c r="AU364" i="7950" s="1"/>
  <c r="AQ364" i="7950"/>
  <c r="AR364" i="7950"/>
  <c r="E364" i="7950"/>
  <c r="I364" i="7950"/>
  <c r="G364" i="7950"/>
  <c r="CI90" i="7949"/>
  <c r="CJ90" i="7949" s="1"/>
  <c r="CI92" i="7949"/>
  <c r="CJ92" i="7949" s="1"/>
  <c r="CI94" i="7949"/>
  <c r="CJ94" i="7949" s="1"/>
  <c r="CI96" i="7949"/>
  <c r="CJ96" i="7949" s="1"/>
  <c r="CI98" i="7949"/>
  <c r="CJ98" i="7949" s="1"/>
  <c r="CI91" i="7949"/>
  <c r="CJ91" i="7949" s="1"/>
  <c r="CI93" i="7949"/>
  <c r="CJ93" i="7949" s="1"/>
  <c r="CI95" i="7949"/>
  <c r="CJ95" i="7949" s="1"/>
  <c r="CI97" i="7949"/>
  <c r="CJ97" i="7949" s="1"/>
  <c r="CI99" i="7949"/>
  <c r="CJ99" i="7949" s="1"/>
  <c r="CL91" i="7949"/>
  <c r="CM91" i="7949" s="1"/>
  <c r="CL93" i="7949"/>
  <c r="CM93" i="7949" s="1"/>
  <c r="CL95" i="7949"/>
  <c r="CM95" i="7949" s="1"/>
  <c r="CL97" i="7949"/>
  <c r="CM97" i="7949" s="1"/>
  <c r="CL99" i="7949"/>
  <c r="CM99" i="7949" s="1"/>
  <c r="CL90" i="7949"/>
  <c r="CM90" i="7949" s="1"/>
  <c r="CL92" i="7949"/>
  <c r="CM92" i="7949" s="1"/>
  <c r="CL94" i="7949"/>
  <c r="CM94" i="7949" s="1"/>
  <c r="CL96" i="7949"/>
  <c r="CM96" i="7949" s="1"/>
  <c r="CL98" i="7949"/>
  <c r="CM98" i="7949" s="1"/>
  <c r="CT369" i="2"/>
  <c r="CT371" i="2"/>
  <c r="DI623" i="2" s="1"/>
  <c r="CT370" i="2"/>
  <c r="DI622" i="2" s="1"/>
  <c r="I362" i="7955"/>
  <c r="I363" i="7955"/>
  <c r="I365" i="7955" s="1"/>
  <c r="AY369" i="7955"/>
  <c r="AY370" i="7955" s="1"/>
  <c r="F363" i="7955"/>
  <c r="F365" i="7955" s="1"/>
  <c r="F362" i="7955"/>
  <c r="J313" i="7955"/>
  <c r="J315" i="7955" s="1"/>
  <c r="J312" i="7955"/>
  <c r="G313" i="7955"/>
  <c r="G315" i="7955" s="1"/>
  <c r="G312" i="7955"/>
  <c r="AY319" i="7955"/>
  <c r="AY320" i="7955" s="1"/>
  <c r="F313" i="7955"/>
  <c r="F315" i="7955" s="1"/>
  <c r="F312" i="7955"/>
  <c r="I113" i="7955"/>
  <c r="I115" i="7955" s="1"/>
  <c r="I112" i="7955"/>
  <c r="H113" i="7955"/>
  <c r="H115" i="7955" s="1"/>
  <c r="H112" i="7955"/>
  <c r="E113" i="7955"/>
  <c r="E112" i="7955"/>
  <c r="AY120" i="7955"/>
  <c r="J263" i="7955"/>
  <c r="J265" i="7955" s="1"/>
  <c r="J262" i="7955"/>
  <c r="H263" i="7955"/>
  <c r="H265" i="7955" s="1"/>
  <c r="H262" i="7955"/>
  <c r="F262" i="7955"/>
  <c r="F263" i="7955"/>
  <c r="F265" i="7955" s="1"/>
  <c r="G263" i="7955"/>
  <c r="G265" i="7955" s="1"/>
  <c r="G262" i="7955"/>
  <c r="J163" i="7955"/>
  <c r="J165" i="7955" s="1"/>
  <c r="J162" i="7955"/>
  <c r="AY169" i="7955"/>
  <c r="AY170" i="7955" s="1"/>
  <c r="G163" i="7955"/>
  <c r="G165" i="7955" s="1"/>
  <c r="G162" i="7955"/>
  <c r="F463" i="7955"/>
  <c r="F465" i="7955" s="1"/>
  <c r="F462" i="7955"/>
  <c r="H463" i="7955"/>
  <c r="H465" i="7955" s="1"/>
  <c r="H462" i="7955"/>
  <c r="G463" i="7955"/>
  <c r="G465" i="7955" s="1"/>
  <c r="G462" i="7955"/>
  <c r="AY568" i="7955"/>
  <c r="AY569" i="7955" s="1"/>
  <c r="G563" i="7955"/>
  <c r="G565" i="7955" s="1"/>
  <c r="G562" i="7955"/>
  <c r="I563" i="7955"/>
  <c r="I565" i="7955" s="1"/>
  <c r="I562" i="7955"/>
  <c r="G63" i="7955"/>
  <c r="G65" i="7955" s="1"/>
  <c r="G62" i="7955"/>
  <c r="I63" i="7955"/>
  <c r="I65" i="7955" s="1"/>
  <c r="I62" i="7955"/>
  <c r="F63" i="7955"/>
  <c r="F65" i="7955" s="1"/>
  <c r="F62" i="7955"/>
  <c r="I212" i="7955"/>
  <c r="I213" i="7955"/>
  <c r="I215" i="7955" s="1"/>
  <c r="J213" i="7955"/>
  <c r="J215" i="7955" s="1"/>
  <c r="J212" i="7955"/>
  <c r="H213" i="7955"/>
  <c r="H215" i="7955" s="1"/>
  <c r="H212" i="7955"/>
  <c r="AY221" i="7955"/>
  <c r="AY222" i="7955" s="1"/>
  <c r="J413" i="7955"/>
  <c r="J415" i="7955" s="1"/>
  <c r="J412" i="7955"/>
  <c r="F412" i="7955"/>
  <c r="F413" i="7955"/>
  <c r="F415" i="7955" s="1"/>
  <c r="H413" i="7955"/>
  <c r="H415" i="7955" s="1"/>
  <c r="H412" i="7955"/>
  <c r="AY419" i="7955"/>
  <c r="AY521" i="7955"/>
  <c r="H513" i="7955"/>
  <c r="H515" i="7955" s="1"/>
  <c r="H512" i="7955"/>
  <c r="I513" i="7955"/>
  <c r="I515" i="7955" s="1"/>
  <c r="I512" i="7955"/>
  <c r="AP285" i="7950"/>
  <c r="CO650" i="7949"/>
  <c r="CP650" i="7949" s="1"/>
  <c r="CO649" i="7949"/>
  <c r="CP649" i="7949" s="1"/>
  <c r="CO644" i="7949"/>
  <c r="CP644" i="7949" s="1"/>
  <c r="CO652" i="7949"/>
  <c r="CP652" i="7949" s="1"/>
  <c r="CO651" i="7949"/>
  <c r="CP651" i="7949" s="1"/>
  <c r="CO645" i="7949"/>
  <c r="CP645" i="7949" s="1"/>
  <c r="CO648" i="7949"/>
  <c r="CP648" i="7949" s="1"/>
  <c r="CO646" i="7949"/>
  <c r="CP646" i="7949" s="1"/>
  <c r="CO653" i="7949"/>
  <c r="CP653" i="7949" s="1"/>
  <c r="CO647" i="7949"/>
  <c r="CP647" i="7949" s="1"/>
  <c r="CO367" i="7949"/>
  <c r="CP367" i="7949" s="1"/>
  <c r="CO368" i="7949"/>
  <c r="CP368" i="7949" s="1"/>
  <c r="CO369" i="7949"/>
  <c r="CP369" i="7949" s="1"/>
  <c r="CO370" i="7949"/>
  <c r="CP370" i="7949" s="1"/>
  <c r="CO371" i="7949"/>
  <c r="CP371" i="7949" s="1"/>
  <c r="CO372" i="7949"/>
  <c r="CP372" i="7949" s="1"/>
  <c r="CO373" i="7949"/>
  <c r="CP373" i="7949" s="1"/>
  <c r="CO374" i="7949"/>
  <c r="CP374" i="7949" s="1"/>
  <c r="CO375" i="7949"/>
  <c r="CP375" i="7949" s="1"/>
  <c r="CO376" i="7949"/>
  <c r="CP376" i="7949" s="1"/>
  <c r="AF60" i="7953"/>
  <c r="AD60" i="7953"/>
  <c r="AE60" i="7953"/>
  <c r="AJ60" i="7953"/>
  <c r="AG60" i="7953"/>
  <c r="V45" i="7953"/>
  <c r="S45" i="7953"/>
  <c r="Y45" i="7953"/>
  <c r="T45" i="7953"/>
  <c r="U45" i="7953"/>
  <c r="V52" i="7953"/>
  <c r="S52" i="7953"/>
  <c r="Y52" i="7953"/>
  <c r="T52" i="7953"/>
  <c r="U52" i="7953"/>
  <c r="T53" i="7953"/>
  <c r="S53" i="7953"/>
  <c r="V53" i="7953"/>
  <c r="Y53" i="7953"/>
  <c r="U53" i="7953"/>
  <c r="V58" i="7953"/>
  <c r="T58" i="7953"/>
  <c r="U58" i="7953"/>
  <c r="Y58" i="7953"/>
  <c r="S58" i="7953"/>
  <c r="AJ56" i="7953"/>
  <c r="AG56" i="7953"/>
  <c r="AF56" i="7953"/>
  <c r="AE56" i="7953"/>
  <c r="AD56" i="7953"/>
  <c r="AF55" i="7953"/>
  <c r="AD55" i="7953"/>
  <c r="AE55" i="7953"/>
  <c r="AG55" i="7953"/>
  <c r="AJ55" i="7953"/>
  <c r="AJ62" i="7953"/>
  <c r="AG62" i="7953"/>
  <c r="AF62" i="7953"/>
  <c r="AE62" i="7953"/>
  <c r="AD62" i="7953"/>
  <c r="AJ45" i="7953"/>
  <c r="AE45" i="7953"/>
  <c r="AF45" i="7953"/>
  <c r="AD45" i="7953"/>
  <c r="AG45" i="7953"/>
  <c r="U49" i="7953"/>
  <c r="S49" i="7953"/>
  <c r="V49" i="7953"/>
  <c r="T49" i="7953"/>
  <c r="Y49" i="7953"/>
  <c r="V59" i="7953"/>
  <c r="U59" i="7953"/>
  <c r="S59" i="7953"/>
  <c r="Y59" i="7953"/>
  <c r="T59" i="7953"/>
  <c r="AE47" i="7953"/>
  <c r="AF47" i="7953"/>
  <c r="AD47" i="7953"/>
  <c r="AG47" i="7953"/>
  <c r="AJ47" i="7953"/>
  <c r="AD57" i="7953"/>
  <c r="AE57" i="7953"/>
  <c r="AJ57" i="7953"/>
  <c r="AF57" i="7953"/>
  <c r="AG57" i="7953"/>
  <c r="AF51" i="7953"/>
  <c r="AE51" i="7953"/>
  <c r="AD51" i="7953"/>
  <c r="AJ51" i="7953"/>
  <c r="AG51" i="7953"/>
  <c r="AG63" i="7953"/>
  <c r="AF63" i="7953"/>
  <c r="AE63" i="7953"/>
  <c r="AJ63" i="7953"/>
  <c r="AD63" i="7953"/>
  <c r="V57" i="7953"/>
  <c r="U57" i="7953"/>
  <c r="T57" i="7953"/>
  <c r="S57" i="7953"/>
  <c r="Y57" i="7953"/>
  <c r="V47" i="7953"/>
  <c r="U47" i="7953"/>
  <c r="S47" i="7953"/>
  <c r="T47" i="7953"/>
  <c r="Y47" i="7953"/>
  <c r="Y56" i="7953"/>
  <c r="V56" i="7953"/>
  <c r="S56" i="7953"/>
  <c r="T56" i="7953"/>
  <c r="U56" i="7953"/>
  <c r="Y51" i="7953"/>
  <c r="T51" i="7953"/>
  <c r="S51" i="7953"/>
  <c r="U51" i="7953"/>
  <c r="V51" i="7953"/>
  <c r="AV204" i="7950"/>
  <c r="K204" i="7950"/>
  <c r="CO370" i="2"/>
  <c r="CP370" i="2" s="1"/>
  <c r="CO372" i="2"/>
  <c r="CP372" i="2" s="1"/>
  <c r="CO374" i="2"/>
  <c r="CP374" i="2" s="1"/>
  <c r="CO376" i="2"/>
  <c r="CP376" i="2" s="1"/>
  <c r="CO378" i="2"/>
  <c r="CP378" i="2" s="1"/>
  <c r="CO369" i="2"/>
  <c r="CP369" i="2" s="1"/>
  <c r="CO371" i="2"/>
  <c r="CP371" i="2" s="1"/>
  <c r="CO373" i="2"/>
  <c r="CP373" i="2" s="1"/>
  <c r="CO375" i="2"/>
  <c r="CP375" i="2" s="1"/>
  <c r="CO377" i="2"/>
  <c r="CP377" i="2" s="1"/>
  <c r="CO91" i="7949"/>
  <c r="CP91" i="7949" s="1"/>
  <c r="CO95" i="7949"/>
  <c r="CP95" i="7949" s="1"/>
  <c r="CO99" i="7949"/>
  <c r="CP99" i="7949" s="1"/>
  <c r="CO92" i="7949"/>
  <c r="CP92" i="7949" s="1"/>
  <c r="CO96" i="7949"/>
  <c r="CP96" i="7949" s="1"/>
  <c r="CO93" i="7949"/>
  <c r="CP93" i="7949" s="1"/>
  <c r="CO97" i="7949"/>
  <c r="CP97" i="7949" s="1"/>
  <c r="CO90" i="7949"/>
  <c r="CP90" i="7949" s="1"/>
  <c r="CO94" i="7949"/>
  <c r="CP94" i="7949" s="1"/>
  <c r="CO98" i="7949"/>
  <c r="CP98" i="7949" s="1"/>
  <c r="W96" i="1"/>
  <c r="W97" i="1" s="1"/>
  <c r="W98" i="1" s="1"/>
  <c r="W99" i="1" s="1"/>
  <c r="W100" i="1" s="1"/>
  <c r="W101" i="1" s="1"/>
  <c r="W102" i="1" s="1"/>
  <c r="BB44" i="3"/>
  <c r="BE44" i="3" s="1"/>
  <c r="E363" i="7955"/>
  <c r="E362" i="7955"/>
  <c r="G363" i="7955"/>
  <c r="G365" i="7955" s="1"/>
  <c r="G362" i="7955"/>
  <c r="J362" i="7955"/>
  <c r="J363" i="7955"/>
  <c r="J365" i="7955" s="1"/>
  <c r="H363" i="7955"/>
  <c r="H365" i="7955" s="1"/>
  <c r="H362" i="7955"/>
  <c r="I312" i="7955"/>
  <c r="I313" i="7955"/>
  <c r="I315" i="7955" s="1"/>
  <c r="E313" i="7955"/>
  <c r="E312" i="7955"/>
  <c r="H313" i="7955"/>
  <c r="H315" i="7955" s="1"/>
  <c r="H312" i="7955"/>
  <c r="J113" i="7955"/>
  <c r="J115" i="7955" s="1"/>
  <c r="J112" i="7955"/>
  <c r="G113" i="7955"/>
  <c r="G115" i="7955" s="1"/>
  <c r="G112" i="7955"/>
  <c r="F113" i="7955"/>
  <c r="F115" i="7955" s="1"/>
  <c r="F112" i="7955"/>
  <c r="I263" i="7955"/>
  <c r="I265" i="7955" s="1"/>
  <c r="I262" i="7955"/>
  <c r="E263" i="7955"/>
  <c r="E262" i="7955"/>
  <c r="AY268" i="7955"/>
  <c r="I162" i="7955"/>
  <c r="I163" i="7955"/>
  <c r="I165" i="7955" s="1"/>
  <c r="H163" i="7955"/>
  <c r="H165" i="7955" s="1"/>
  <c r="H162" i="7955"/>
  <c r="E162" i="7955"/>
  <c r="E163" i="7955"/>
  <c r="F163" i="7955"/>
  <c r="F165" i="7955" s="1"/>
  <c r="F162" i="7955"/>
  <c r="I463" i="7955"/>
  <c r="I465" i="7955" s="1"/>
  <c r="I462" i="7955"/>
  <c r="AY471" i="7955"/>
  <c r="AY472" i="7955" s="1"/>
  <c r="J462" i="7955"/>
  <c r="J463" i="7955"/>
  <c r="J465" i="7955" s="1"/>
  <c r="E463" i="7955"/>
  <c r="E462" i="7955"/>
  <c r="J562" i="7955"/>
  <c r="J563" i="7955"/>
  <c r="J565" i="7955" s="1"/>
  <c r="H563" i="7955"/>
  <c r="H565" i="7955" s="1"/>
  <c r="H562" i="7955"/>
  <c r="F563" i="7955"/>
  <c r="F565" i="7955" s="1"/>
  <c r="F562" i="7955"/>
  <c r="E562" i="7955"/>
  <c r="E563" i="7955"/>
  <c r="K63" i="7955"/>
  <c r="K65" i="7955" s="1"/>
  <c r="K62" i="7955"/>
  <c r="H63" i="7955"/>
  <c r="H65" i="7955" s="1"/>
  <c r="H62" i="7955"/>
  <c r="J62" i="7955"/>
  <c r="J63" i="7955"/>
  <c r="J65" i="7955" s="1"/>
  <c r="E62" i="7955"/>
  <c r="E63" i="7955"/>
  <c r="AY69" i="7955"/>
  <c r="F212" i="7955"/>
  <c r="F213" i="7955"/>
  <c r="F215" i="7955" s="1"/>
  <c r="G213" i="7955"/>
  <c r="G215" i="7955" s="1"/>
  <c r="G212" i="7955"/>
  <c r="E212" i="7955"/>
  <c r="E213" i="7955"/>
  <c r="I412" i="7955"/>
  <c r="I413" i="7955"/>
  <c r="I415" i="7955" s="1"/>
  <c r="E412" i="7955"/>
  <c r="E413" i="7955"/>
  <c r="G413" i="7955"/>
  <c r="G415" i="7955" s="1"/>
  <c r="G412" i="7955"/>
  <c r="J513" i="7955"/>
  <c r="J515" i="7955" s="1"/>
  <c r="J512" i="7955"/>
  <c r="G513" i="7955"/>
  <c r="G515" i="7955" s="1"/>
  <c r="G512" i="7955"/>
  <c r="F513" i="7955"/>
  <c r="F515" i="7955" s="1"/>
  <c r="F512" i="7955"/>
  <c r="E512" i="7955"/>
  <c r="E513" i="7955"/>
  <c r="L353" i="7955" l="1"/>
  <c r="L203" i="7955"/>
  <c r="L103" i="7955"/>
  <c r="L253" i="7955"/>
  <c r="L503" i="7955"/>
  <c r="L303" i="7955"/>
  <c r="L54" i="7955"/>
  <c r="L55" i="7955"/>
  <c r="L453" i="7955"/>
  <c r="L153" i="7955"/>
  <c r="L553" i="7955"/>
  <c r="L403" i="7955"/>
  <c r="C169" i="1"/>
  <c r="M53" i="7955"/>
  <c r="AB187" i="1"/>
  <c r="W171" i="1"/>
  <c r="D169" i="1"/>
  <c r="AT67" i="1"/>
  <c r="K204" i="7955"/>
  <c r="K205" i="7955"/>
  <c r="K554" i="7955"/>
  <c r="K555" i="7955"/>
  <c r="K304" i="7955"/>
  <c r="K305" i="7955"/>
  <c r="K504" i="7955"/>
  <c r="K505" i="7955"/>
  <c r="K105" i="7955"/>
  <c r="K104" i="7955"/>
  <c r="AP252" i="7950"/>
  <c r="AP220" i="7950"/>
  <c r="AT220" i="7950" s="1"/>
  <c r="AU220" i="7950" s="1"/>
  <c r="AP316" i="7950"/>
  <c r="AJ52" i="3"/>
  <c r="AM52" i="3" s="1"/>
  <c r="W156" i="1"/>
  <c r="AF128" i="7950"/>
  <c r="V137" i="7950"/>
  <c r="AF129" i="7950"/>
  <c r="C121" i="7950"/>
  <c r="AF130" i="7950"/>
  <c r="AF127" i="7950"/>
  <c r="AF131" i="7950"/>
  <c r="K254" i="7955"/>
  <c r="K255" i="7955"/>
  <c r="K455" i="7955"/>
  <c r="K454" i="7955"/>
  <c r="K354" i="7955"/>
  <c r="K355" i="7955"/>
  <c r="K405" i="7955"/>
  <c r="K404" i="7955"/>
  <c r="K155" i="7955"/>
  <c r="K154" i="7955"/>
  <c r="R47" i="3"/>
  <c r="U47" i="3" s="1"/>
  <c r="W141" i="1"/>
  <c r="AQ220" i="7950"/>
  <c r="AR220" i="7950"/>
  <c r="E220" i="7950"/>
  <c r="G252" i="7950"/>
  <c r="AT252" i="7950"/>
  <c r="AU252" i="7950" s="1"/>
  <c r="AR252" i="7950"/>
  <c r="AQ252" i="7950"/>
  <c r="E252" i="7950"/>
  <c r="I252" i="7950"/>
  <c r="AP300" i="7950"/>
  <c r="I412" i="7950"/>
  <c r="G412" i="7950"/>
  <c r="E412" i="7950"/>
  <c r="AT412" i="7950"/>
  <c r="AU412" i="7950" s="1"/>
  <c r="AQ412" i="7950"/>
  <c r="AR412" i="7950"/>
  <c r="AZ188" i="7950"/>
  <c r="AY188" i="7950"/>
  <c r="AX188" i="7950"/>
  <c r="AW188" i="7950"/>
  <c r="M188" i="7950"/>
  <c r="AX236" i="7950"/>
  <c r="M236" i="7950"/>
  <c r="AZ236" i="7950"/>
  <c r="AW236" i="7950"/>
  <c r="AY236" i="7950"/>
  <c r="AP268" i="7950"/>
  <c r="AP349" i="7950"/>
  <c r="E349" i="7950" s="1"/>
  <c r="CW671" i="2"/>
  <c r="DI937" i="2" s="1"/>
  <c r="CW670" i="2"/>
  <c r="CT672" i="2"/>
  <c r="DI924" i="2" s="1"/>
  <c r="CT670" i="2"/>
  <c r="CT671" i="2"/>
  <c r="DI923" i="2" s="1"/>
  <c r="DI338" i="2"/>
  <c r="DP337" i="2"/>
  <c r="DP338" i="2" s="1"/>
  <c r="DP319" i="2"/>
  <c r="DI320" i="2"/>
  <c r="DI325" i="2"/>
  <c r="DP324" i="2"/>
  <c r="DP325" i="2" s="1"/>
  <c r="DP326" i="2" s="1"/>
  <c r="DI297" i="2"/>
  <c r="DP306" i="2"/>
  <c r="DP307" i="2" s="1"/>
  <c r="DP308" i="2" s="1"/>
  <c r="DP309" i="2" s="1"/>
  <c r="DP310" i="2" s="1"/>
  <c r="DP300" i="2"/>
  <c r="DP301" i="2" s="1"/>
  <c r="DP302" i="2" s="1"/>
  <c r="DP303" i="2" s="1"/>
  <c r="DP304" i="2" s="1"/>
  <c r="DI296" i="2"/>
  <c r="AP380" i="7950"/>
  <c r="CQ672" i="2"/>
  <c r="DI892" i="2" s="1"/>
  <c r="CQ673" i="2"/>
  <c r="DI893" i="2" s="1"/>
  <c r="CQ674" i="2"/>
  <c r="DI894" i="2" s="1"/>
  <c r="DI334" i="2"/>
  <c r="DP333" i="2"/>
  <c r="DI326" i="2"/>
  <c r="DP328" i="2"/>
  <c r="DP329" i="2" s="1"/>
  <c r="DP330" i="2" s="1"/>
  <c r="BB52" i="3"/>
  <c r="BE52" i="3" s="1"/>
  <c r="W127" i="1"/>
  <c r="DI295" i="2"/>
  <c r="DP294" i="2"/>
  <c r="DP295" i="2" s="1"/>
  <c r="DP296" i="2" s="1"/>
  <c r="DP297" i="2" s="1"/>
  <c r="DP298" i="2" s="1"/>
  <c r="DI288" i="2"/>
  <c r="DP287" i="2"/>
  <c r="DI298" i="2"/>
  <c r="DP312" i="2"/>
  <c r="DP313" i="2" s="1"/>
  <c r="DP314" i="2" s="1"/>
  <c r="DP315" i="2" s="1"/>
  <c r="DP316" i="2" s="1"/>
  <c r="AP332" i="7950"/>
  <c r="I332" i="7950" s="1"/>
  <c r="CQ671" i="2"/>
  <c r="DI891" i="2" s="1"/>
  <c r="CQ670" i="2"/>
  <c r="AP396" i="7950"/>
  <c r="AP172" i="7950"/>
  <c r="E515" i="7955"/>
  <c r="E215" i="7955"/>
  <c r="E65" i="7955"/>
  <c r="AY70" i="7955"/>
  <c r="AY71" i="7955" s="1"/>
  <c r="AY72" i="7955" s="1"/>
  <c r="K157" i="7954" s="1"/>
  <c r="E465" i="7955"/>
  <c r="AY473" i="7955"/>
  <c r="AY269" i="7955"/>
  <c r="E265" i="7955"/>
  <c r="E315" i="7955"/>
  <c r="E365" i="7955"/>
  <c r="CQ90" i="7949"/>
  <c r="CQ91" i="7949"/>
  <c r="CT307" i="7949" s="1"/>
  <c r="CQ373" i="2"/>
  <c r="DI593" i="2" s="1"/>
  <c r="CQ371" i="2"/>
  <c r="DI591" i="2" s="1"/>
  <c r="CQ369" i="2"/>
  <c r="CQ372" i="2"/>
  <c r="DI592" i="2" s="1"/>
  <c r="CQ370" i="2"/>
  <c r="DI590" i="2" s="1"/>
  <c r="W51" i="7953"/>
  <c r="E51" i="7953"/>
  <c r="AA51" i="7953"/>
  <c r="X51" i="7953"/>
  <c r="W56" i="7953"/>
  <c r="E56" i="7953"/>
  <c r="AA56" i="7953"/>
  <c r="X56" i="7953"/>
  <c r="X47" i="7953"/>
  <c r="AA47" i="7953"/>
  <c r="E47" i="7953"/>
  <c r="W47" i="7953"/>
  <c r="C57" i="7953"/>
  <c r="Z57" i="7953"/>
  <c r="AI63" i="7953"/>
  <c r="I63" i="7953"/>
  <c r="AL63" i="7953"/>
  <c r="AH63" i="7953"/>
  <c r="AH57" i="7953"/>
  <c r="I57" i="7953"/>
  <c r="AL57" i="7953"/>
  <c r="AI57" i="7953"/>
  <c r="AI47" i="7953"/>
  <c r="AL47" i="7953"/>
  <c r="AH47" i="7953"/>
  <c r="H47" i="7953" s="1"/>
  <c r="I47" i="7953"/>
  <c r="AK47" i="7953"/>
  <c r="G47" i="7953"/>
  <c r="W59" i="7953"/>
  <c r="E59" i="7953"/>
  <c r="X59" i="7953"/>
  <c r="AA59" i="7953"/>
  <c r="AI45" i="7953"/>
  <c r="AL45" i="7953"/>
  <c r="I45" i="7953"/>
  <c r="AH45" i="7953"/>
  <c r="AK45" i="7953"/>
  <c r="G45" i="7953"/>
  <c r="AL62" i="7953"/>
  <c r="AH62" i="7953"/>
  <c r="AI62" i="7953"/>
  <c r="I62" i="7953"/>
  <c r="AK55" i="7953"/>
  <c r="G55" i="7953"/>
  <c r="AH56" i="7953"/>
  <c r="I56" i="7953"/>
  <c r="AI56" i="7953"/>
  <c r="AL56" i="7953"/>
  <c r="C58" i="7953"/>
  <c r="Z58" i="7953"/>
  <c r="X58" i="7953"/>
  <c r="E58" i="7953"/>
  <c r="AA58" i="7953"/>
  <c r="W58" i="7953"/>
  <c r="Z52" i="7953"/>
  <c r="C52" i="7953"/>
  <c r="W52" i="7953"/>
  <c r="E52" i="7953"/>
  <c r="X52" i="7953"/>
  <c r="AA52" i="7953"/>
  <c r="AH60" i="7953"/>
  <c r="AL60" i="7953"/>
  <c r="I60" i="7953"/>
  <c r="AI60" i="7953"/>
  <c r="AK60" i="7953"/>
  <c r="G60" i="7953"/>
  <c r="CQ368" i="7949"/>
  <c r="CT584" i="7949" s="1"/>
  <c r="CQ367" i="7949"/>
  <c r="CQ645" i="7949"/>
  <c r="CT861" i="7949" s="1"/>
  <c r="CQ644" i="7949"/>
  <c r="AT285" i="7950"/>
  <c r="AU285" i="7950" s="1"/>
  <c r="I285" i="7950"/>
  <c r="AR285" i="7950"/>
  <c r="G285" i="7950"/>
  <c r="AQ285" i="7950"/>
  <c r="E285" i="7950"/>
  <c r="DI626" i="2"/>
  <c r="DP625" i="2"/>
  <c r="DP626" i="2" s="1"/>
  <c r="DP627" i="2" s="1"/>
  <c r="DP620" i="2"/>
  <c r="DI621" i="2"/>
  <c r="CN92" i="7949"/>
  <c r="CT285" i="7949" s="1"/>
  <c r="CN91" i="7949"/>
  <c r="CT284" i="7949" s="1"/>
  <c r="CN90" i="7949"/>
  <c r="K364" i="7950"/>
  <c r="AV364" i="7950"/>
  <c r="G46" i="7953"/>
  <c r="AK46" i="7953"/>
  <c r="AK53" i="7953"/>
  <c r="G53" i="7953"/>
  <c r="W60" i="7953"/>
  <c r="AA60" i="7953"/>
  <c r="E60" i="7953"/>
  <c r="X60" i="7953"/>
  <c r="W61" i="7953"/>
  <c r="AA61" i="7953"/>
  <c r="X61" i="7953"/>
  <c r="E61" i="7953"/>
  <c r="Z61" i="7953"/>
  <c r="C61" i="7953"/>
  <c r="X54" i="7953"/>
  <c r="AA54" i="7953"/>
  <c r="W54" i="7953"/>
  <c r="D54" i="7953" s="1"/>
  <c r="E54" i="7953"/>
  <c r="C54" i="7953"/>
  <c r="Z54" i="7953"/>
  <c r="X62" i="7953"/>
  <c r="AA62" i="7953"/>
  <c r="W62" i="7953"/>
  <c r="D62" i="7953" s="1"/>
  <c r="E62" i="7953"/>
  <c r="AI52" i="7953"/>
  <c r="I52" i="7953"/>
  <c r="AL52" i="7953"/>
  <c r="AH52" i="7953"/>
  <c r="G52" i="7953"/>
  <c r="AK52" i="7953"/>
  <c r="AH54" i="7953"/>
  <c r="AI54" i="7953"/>
  <c r="I54" i="7953"/>
  <c r="AL54" i="7953"/>
  <c r="AA55" i="7953"/>
  <c r="X55" i="7953"/>
  <c r="E55" i="7953"/>
  <c r="W55" i="7953"/>
  <c r="D55" i="7953" s="1"/>
  <c r="I59" i="7953"/>
  <c r="AI59" i="7953"/>
  <c r="AH59" i="7953"/>
  <c r="AL59" i="7953"/>
  <c r="AH49" i="7953"/>
  <c r="I49" i="7953"/>
  <c r="AI49" i="7953"/>
  <c r="AL49" i="7953"/>
  <c r="AK49" i="7953"/>
  <c r="G49" i="7953"/>
  <c r="AK58" i="7953"/>
  <c r="G58" i="7953"/>
  <c r="CK371" i="7949"/>
  <c r="CT507" i="7949" s="1"/>
  <c r="CK370" i="7949"/>
  <c r="CT506" i="7949" s="1"/>
  <c r="CK368" i="7949"/>
  <c r="CT504" i="7949" s="1"/>
  <c r="CK367" i="7949"/>
  <c r="CK369" i="7949"/>
  <c r="CT505" i="7949" s="1"/>
  <c r="CN368" i="7949"/>
  <c r="CT561" i="7949" s="1"/>
  <c r="CN369" i="7949"/>
  <c r="CT562" i="7949" s="1"/>
  <c r="CN367" i="7949"/>
  <c r="BE123" i="7949"/>
  <c r="BH123" i="7949"/>
  <c r="BG123" i="7949"/>
  <c r="BA123" i="7949"/>
  <c r="BB123" i="7949"/>
  <c r="BC119" i="7949"/>
  <c r="BD115" i="7949"/>
  <c r="AZ124" i="7949"/>
  <c r="BG118" i="7949"/>
  <c r="BD118" i="7949"/>
  <c r="BF121" i="7949"/>
  <c r="BC121" i="7949"/>
  <c r="BG126" i="7949"/>
  <c r="BC126" i="7949"/>
  <c r="AZ126" i="7949"/>
  <c r="BF124" i="7949"/>
  <c r="BI124" i="7949"/>
  <c r="BB124" i="7949"/>
  <c r="BH120" i="7949"/>
  <c r="BC120" i="7949"/>
  <c r="BH125" i="7949"/>
  <c r="BA125" i="7949"/>
  <c r="BF118" i="7949"/>
  <c r="BI118" i="7949"/>
  <c r="BH121" i="7949"/>
  <c r="BF126" i="7949"/>
  <c r="BI126" i="7949"/>
  <c r="BB126" i="7949"/>
  <c r="BH124" i="7949"/>
  <c r="BE124" i="7949"/>
  <c r="BD124" i="7949"/>
  <c r="BC117" i="7949"/>
  <c r="BI125" i="7949"/>
  <c r="BJ125" i="7949"/>
  <c r="BC125" i="7949"/>
  <c r="BG122" i="7949"/>
  <c r="BC122" i="7949"/>
  <c r="AZ122" i="7949"/>
  <c r="BJ122" i="7949"/>
  <c r="BA122" i="7949"/>
  <c r="BI123" i="7949"/>
  <c r="BF115" i="7949"/>
  <c r="BJ123" i="7949"/>
  <c r="BD119" i="7949"/>
  <c r="AZ123" i="7949"/>
  <c r="BE118" i="7949"/>
  <c r="BI121" i="7949"/>
  <c r="BD121" i="7949"/>
  <c r="BE126" i="7949"/>
  <c r="BF116" i="7949"/>
  <c r="BC116" i="7949"/>
  <c r="BA124" i="7949"/>
  <c r="BG120" i="7949"/>
  <c r="BE125" i="7949"/>
  <c r="BB125" i="7949"/>
  <c r="BG121" i="7949"/>
  <c r="BJ126" i="7949"/>
  <c r="BD116" i="7949"/>
  <c r="BC124" i="7949"/>
  <c r="BD125" i="7949"/>
  <c r="BE122" i="7949"/>
  <c r="BF122" i="7949"/>
  <c r="BB122" i="7949"/>
  <c r="BI115" i="7949"/>
  <c r="BF123" i="7949"/>
  <c r="BD123" i="7949"/>
  <c r="BC123" i="7949"/>
  <c r="BC115" i="7949"/>
  <c r="AZ125" i="7949"/>
  <c r="BH118" i="7949"/>
  <c r="BC118" i="7949"/>
  <c r="BJ121" i="7949"/>
  <c r="BH126" i="7949"/>
  <c r="BD126" i="7949"/>
  <c r="BI116" i="7949"/>
  <c r="BJ124" i="7949"/>
  <c r="BD117" i="7949"/>
  <c r="BD120" i="7949"/>
  <c r="BG125" i="7949"/>
  <c r="BJ118" i="7949"/>
  <c r="BE121" i="7949"/>
  <c r="BA126" i="7949"/>
  <c r="BG124" i="7949"/>
  <c r="BF125" i="7949"/>
  <c r="BH122" i="7949"/>
  <c r="BD122" i="7949"/>
  <c r="BI122" i="7949"/>
  <c r="E415" i="7955"/>
  <c r="E565" i="7955"/>
  <c r="E165" i="7955"/>
  <c r="AW204" i="7950"/>
  <c r="AX204" i="7950"/>
  <c r="M204" i="7950"/>
  <c r="AZ204" i="7950"/>
  <c r="AY204" i="7950"/>
  <c r="Z51" i="7953"/>
  <c r="C51" i="7953"/>
  <c r="Z56" i="7953"/>
  <c r="C56" i="7953"/>
  <c r="C47" i="7953"/>
  <c r="Z47" i="7953"/>
  <c r="W57" i="7953"/>
  <c r="AA57" i="7953"/>
  <c r="X57" i="7953"/>
  <c r="E57" i="7953"/>
  <c r="AK63" i="7953"/>
  <c r="G63" i="7953"/>
  <c r="AI51" i="7953"/>
  <c r="I51" i="7953"/>
  <c r="AH51" i="7953"/>
  <c r="H51" i="7953" s="1"/>
  <c r="AL51" i="7953"/>
  <c r="AK51" i="7953"/>
  <c r="G51" i="7953"/>
  <c r="G57" i="7953"/>
  <c r="AK57" i="7953"/>
  <c r="C59" i="7953"/>
  <c r="Z59" i="7953"/>
  <c r="X49" i="7953"/>
  <c r="AA49" i="7953"/>
  <c r="W49" i="7953"/>
  <c r="D49" i="7953" s="1"/>
  <c r="E49" i="7953"/>
  <c r="C49" i="7953"/>
  <c r="Z49" i="7953"/>
  <c r="AK62" i="7953"/>
  <c r="G62" i="7953"/>
  <c r="AH55" i="7953"/>
  <c r="I55" i="7953"/>
  <c r="AL55" i="7953"/>
  <c r="AI55" i="7953"/>
  <c r="G56" i="7953"/>
  <c r="AK56" i="7953"/>
  <c r="C53" i="7953"/>
  <c r="Z53" i="7953"/>
  <c r="X53" i="7953"/>
  <c r="E53" i="7953"/>
  <c r="AA53" i="7953"/>
  <c r="W53" i="7953"/>
  <c r="Z45" i="7953"/>
  <c r="C45" i="7953"/>
  <c r="X45" i="7953"/>
  <c r="AA45" i="7953"/>
  <c r="W45" i="7953"/>
  <c r="D45" i="7953" s="1"/>
  <c r="E45" i="7953"/>
  <c r="AY522" i="7955"/>
  <c r="AY420" i="7955"/>
  <c r="AY223" i="7955"/>
  <c r="AY570" i="7955"/>
  <c r="AY171" i="7955"/>
  <c r="AY121" i="7955"/>
  <c r="E115" i="7955"/>
  <c r="AY321" i="7955"/>
  <c r="K41" i="7954"/>
  <c r="AY371" i="7955"/>
  <c r="AY372" i="7955" s="1"/>
  <c r="AY373" i="7955" s="1"/>
  <c r="DI627" i="2"/>
  <c r="DP629" i="2"/>
  <c r="DP630" i="2" s="1"/>
  <c r="DP631" i="2" s="1"/>
  <c r="CK93" i="7949"/>
  <c r="CT229" i="7949" s="1"/>
  <c r="CK91" i="7949"/>
  <c r="CT227" i="7949" s="1"/>
  <c r="CK94" i="7949"/>
  <c r="CT230" i="7949" s="1"/>
  <c r="CK92" i="7949"/>
  <c r="CT228" i="7949" s="1"/>
  <c r="CK90" i="7949"/>
  <c r="CW369" i="2"/>
  <c r="CW370" i="2"/>
  <c r="DI636" i="2" s="1"/>
  <c r="AI46" i="7953"/>
  <c r="AH46" i="7953"/>
  <c r="I46" i="7953"/>
  <c r="AL46" i="7953"/>
  <c r="AH53" i="7953"/>
  <c r="AL53" i="7953"/>
  <c r="AI53" i="7953"/>
  <c r="I53" i="7953"/>
  <c r="C60" i="7953"/>
  <c r="Z60" i="7953"/>
  <c r="G50" i="7953"/>
  <c r="AK50" i="7953"/>
  <c r="AL50" i="7953"/>
  <c r="AH50" i="7953"/>
  <c r="I50" i="7953"/>
  <c r="AI50" i="7953"/>
  <c r="W48" i="7953"/>
  <c r="AA48" i="7953"/>
  <c r="X48" i="7953"/>
  <c r="E48" i="7953"/>
  <c r="C48" i="7953"/>
  <c r="Z48" i="7953"/>
  <c r="Z62" i="7953"/>
  <c r="C62" i="7953"/>
  <c r="G61" i="7953"/>
  <c r="AK61" i="7953"/>
  <c r="AI61" i="7953"/>
  <c r="I61" i="7953"/>
  <c r="AH61" i="7953"/>
  <c r="H61" i="7953" s="1"/>
  <c r="AL61" i="7953"/>
  <c r="AK54" i="7953"/>
  <c r="G54" i="7953"/>
  <c r="C55" i="7953"/>
  <c r="Z55" i="7953"/>
  <c r="X50" i="7953"/>
  <c r="E50" i="7953"/>
  <c r="W50" i="7953"/>
  <c r="D50" i="7953" s="1"/>
  <c r="AA50" i="7953"/>
  <c r="C50" i="7953"/>
  <c r="Z50" i="7953"/>
  <c r="C46" i="7953"/>
  <c r="Z46" i="7953"/>
  <c r="X46" i="7953"/>
  <c r="AA46" i="7953"/>
  <c r="W46" i="7953"/>
  <c r="D46" i="7953" s="1"/>
  <c r="E46" i="7953"/>
  <c r="C63" i="7953"/>
  <c r="Z63" i="7953"/>
  <c r="X63" i="7953"/>
  <c r="AA63" i="7953"/>
  <c r="E63" i="7953"/>
  <c r="W63" i="7953"/>
  <c r="AK59" i="7953"/>
  <c r="G59" i="7953"/>
  <c r="AH48" i="7953"/>
  <c r="AL48" i="7953"/>
  <c r="I48" i="7953"/>
  <c r="AI48" i="7953"/>
  <c r="AK48" i="7953"/>
  <c r="G48" i="7953"/>
  <c r="I58" i="7953"/>
  <c r="AL58" i="7953"/>
  <c r="AH58" i="7953"/>
  <c r="AI58" i="7953"/>
  <c r="CK647" i="7949"/>
  <c r="CT783" i="7949" s="1"/>
  <c r="CK645" i="7949"/>
  <c r="CT781" i="7949" s="1"/>
  <c r="CK646" i="7949"/>
  <c r="CT782" i="7949" s="1"/>
  <c r="CK648" i="7949"/>
  <c r="CT784" i="7949" s="1"/>
  <c r="CK644" i="7949"/>
  <c r="AT268" i="7950"/>
  <c r="AU268" i="7950" s="1"/>
  <c r="AQ268" i="7950"/>
  <c r="AR268" i="7950"/>
  <c r="E268" i="7950"/>
  <c r="G268" i="7950"/>
  <c r="I268" i="7950"/>
  <c r="CN644" i="7949"/>
  <c r="CN645" i="7949"/>
  <c r="CT838" i="7949" s="1"/>
  <c r="CN646" i="7949"/>
  <c r="CT839" i="7949" s="1"/>
  <c r="BB45" i="3" l="1"/>
  <c r="BE45" i="3" s="1"/>
  <c r="W142" i="1"/>
  <c r="K162" i="7955"/>
  <c r="K163" i="7955"/>
  <c r="K165" i="7955" s="1"/>
  <c r="K413" i="7955"/>
  <c r="K415" i="7955" s="1"/>
  <c r="K412" i="7955"/>
  <c r="K462" i="7955"/>
  <c r="K463" i="7955"/>
  <c r="K465" i="7955" s="1"/>
  <c r="K113" i="7955"/>
  <c r="K115" i="7955" s="1"/>
  <c r="K112" i="7955"/>
  <c r="W172" i="1"/>
  <c r="R45" i="3"/>
  <c r="U45" i="3" s="1"/>
  <c r="M55" i="7955"/>
  <c r="M54" i="7955"/>
  <c r="M203" i="7955"/>
  <c r="M303" i="7955"/>
  <c r="M253" i="7955"/>
  <c r="M503" i="7955"/>
  <c r="M153" i="7955"/>
  <c r="M403" i="7955"/>
  <c r="M453" i="7955"/>
  <c r="M553" i="7955"/>
  <c r="M353" i="7955"/>
  <c r="M103" i="7955"/>
  <c r="L404" i="7955"/>
  <c r="L405" i="7955"/>
  <c r="L154" i="7955"/>
  <c r="L155" i="7955"/>
  <c r="L305" i="7955"/>
  <c r="L304" i="7955"/>
  <c r="L255" i="7955"/>
  <c r="L254" i="7955"/>
  <c r="L205" i="7955"/>
  <c r="L204" i="7955"/>
  <c r="G220" i="7950"/>
  <c r="I220" i="7950"/>
  <c r="K363" i="7955"/>
  <c r="K365" i="7955" s="1"/>
  <c r="K362" i="7955"/>
  <c r="K262" i="7955"/>
  <c r="K263" i="7955"/>
  <c r="K265" i="7955" s="1"/>
  <c r="AF143" i="7950"/>
  <c r="V153" i="7950"/>
  <c r="AF147" i="7950"/>
  <c r="AF144" i="7950"/>
  <c r="AF146" i="7950"/>
  <c r="C137" i="7950"/>
  <c r="AF145" i="7950"/>
  <c r="W157" i="1"/>
  <c r="X49" i="3"/>
  <c r="AA49" i="3" s="1"/>
  <c r="AT316" i="7950"/>
  <c r="AU316" i="7950" s="1"/>
  <c r="I316" i="7950"/>
  <c r="E316" i="7950"/>
  <c r="AQ316" i="7950"/>
  <c r="G316" i="7950"/>
  <c r="AR316" i="7950"/>
  <c r="K512" i="7955"/>
  <c r="K513" i="7955"/>
  <c r="K515" i="7955" s="1"/>
  <c r="K313" i="7955"/>
  <c r="K315" i="7955" s="1"/>
  <c r="K312" i="7955"/>
  <c r="K563" i="7955"/>
  <c r="K565" i="7955" s="1"/>
  <c r="K562" i="7955"/>
  <c r="K212" i="7955"/>
  <c r="K213" i="7955"/>
  <c r="K215" i="7955" s="1"/>
  <c r="D185" i="1"/>
  <c r="W187" i="1"/>
  <c r="AT68" i="1"/>
  <c r="AB203" i="1"/>
  <c r="C185" i="1"/>
  <c r="N53" i="7955"/>
  <c r="L554" i="7955"/>
  <c r="L555" i="7955"/>
  <c r="L455" i="7955"/>
  <c r="L454" i="7955"/>
  <c r="L63" i="7955"/>
  <c r="L65" i="7955" s="1"/>
  <c r="L62" i="7955"/>
  <c r="L505" i="7955"/>
  <c r="L504" i="7955"/>
  <c r="L105" i="7955"/>
  <c r="L104" i="7955"/>
  <c r="L354" i="7955"/>
  <c r="L355" i="7955"/>
  <c r="AY73" i="7955"/>
  <c r="AY74" i="7955" s="1"/>
  <c r="AQ349" i="7950"/>
  <c r="AV412" i="7950"/>
  <c r="K412" i="7950"/>
  <c r="I300" i="7950"/>
  <c r="AR300" i="7950"/>
  <c r="E300" i="7950"/>
  <c r="G300" i="7950"/>
  <c r="AT300" i="7950"/>
  <c r="AU300" i="7950" s="1"/>
  <c r="AQ300" i="7950"/>
  <c r="K220" i="7950"/>
  <c r="AV220" i="7950"/>
  <c r="AR349" i="7950"/>
  <c r="I349" i="7950"/>
  <c r="K252" i="7950"/>
  <c r="AV252" i="7950"/>
  <c r="AP205" i="7950"/>
  <c r="AR205" i="7950" s="1"/>
  <c r="AT332" i="7950"/>
  <c r="AU332" i="7950" s="1"/>
  <c r="E332" i="7950"/>
  <c r="G332" i="7950"/>
  <c r="AP237" i="7950"/>
  <c r="AP189" i="7950"/>
  <c r="DJ338" i="2"/>
  <c r="AT349" i="7950"/>
  <c r="AU349" i="7950" s="1"/>
  <c r="G349" i="7950"/>
  <c r="DI890" i="2"/>
  <c r="DP889" i="2"/>
  <c r="DJ298" i="2"/>
  <c r="DI304" i="2"/>
  <c r="DP288" i="2"/>
  <c r="DI294" i="2"/>
  <c r="DI301" i="2"/>
  <c r="DJ295" i="2"/>
  <c r="DJ326" i="2"/>
  <c r="DI330" i="2"/>
  <c r="DJ330" i="2" s="1"/>
  <c r="DP334" i="2"/>
  <c r="DI337" i="2"/>
  <c r="DJ337" i="2" s="1"/>
  <c r="DP908" i="2"/>
  <c r="DP909" i="2" s="1"/>
  <c r="DP910" i="2" s="1"/>
  <c r="DP911" i="2" s="1"/>
  <c r="DP912" i="2" s="1"/>
  <c r="DI899" i="2"/>
  <c r="DI303" i="2"/>
  <c r="DJ297" i="2"/>
  <c r="DI329" i="2"/>
  <c r="DJ329" i="2" s="1"/>
  <c r="DJ325" i="2"/>
  <c r="DP921" i="2"/>
  <c r="DI922" i="2"/>
  <c r="DP935" i="2"/>
  <c r="DI936" i="2"/>
  <c r="AT172" i="7950"/>
  <c r="AU172" i="7950" s="1"/>
  <c r="I172" i="7950"/>
  <c r="G172" i="7950"/>
  <c r="E172" i="7950"/>
  <c r="AR172" i="7950"/>
  <c r="AQ172" i="7950"/>
  <c r="AT396" i="7950"/>
  <c r="AU396" i="7950" s="1"/>
  <c r="AQ396" i="7950"/>
  <c r="AR396" i="7950"/>
  <c r="E396" i="7950"/>
  <c r="G396" i="7950"/>
  <c r="I396" i="7950"/>
  <c r="DI897" i="2"/>
  <c r="DP896" i="2"/>
  <c r="DP897" i="2" s="1"/>
  <c r="DP898" i="2" s="1"/>
  <c r="DP899" i="2" s="1"/>
  <c r="DP900" i="2" s="1"/>
  <c r="W128" i="1"/>
  <c r="W129" i="1" s="1"/>
  <c r="W130" i="1" s="1"/>
  <c r="W131" i="1" s="1"/>
  <c r="W132" i="1" s="1"/>
  <c r="W133" i="1" s="1"/>
  <c r="W134" i="1" s="1"/>
  <c r="AP49" i="3"/>
  <c r="AS49" i="3" s="1"/>
  <c r="DP914" i="2"/>
  <c r="DP915" i="2" s="1"/>
  <c r="DP916" i="2" s="1"/>
  <c r="DP917" i="2" s="1"/>
  <c r="DP918" i="2" s="1"/>
  <c r="DI900" i="2"/>
  <c r="DP902" i="2"/>
  <c r="DP903" i="2" s="1"/>
  <c r="DP904" i="2" s="1"/>
  <c r="DP905" i="2" s="1"/>
  <c r="DP906" i="2" s="1"/>
  <c r="DI898" i="2"/>
  <c r="AT380" i="7950"/>
  <c r="AU380" i="7950" s="1"/>
  <c r="G380" i="7950"/>
  <c r="I380" i="7950"/>
  <c r="AQ380" i="7950"/>
  <c r="AR380" i="7950"/>
  <c r="E380" i="7950"/>
  <c r="DI302" i="2"/>
  <c r="DJ296" i="2"/>
  <c r="DI324" i="2"/>
  <c r="DP320" i="2"/>
  <c r="DI927" i="2"/>
  <c r="DP926" i="2"/>
  <c r="DP927" i="2" s="1"/>
  <c r="DP928" i="2" s="1"/>
  <c r="DI928" i="2"/>
  <c r="DI932" i="2" s="1"/>
  <c r="DP930" i="2"/>
  <c r="DP931" i="2" s="1"/>
  <c r="DP932" i="2" s="1"/>
  <c r="DP939" i="2"/>
  <c r="DP940" i="2" s="1"/>
  <c r="DI940" i="2"/>
  <c r="K349" i="7950"/>
  <c r="AV349" i="7950"/>
  <c r="D58" i="7953"/>
  <c r="H62" i="7953"/>
  <c r="H45" i="7953"/>
  <c r="H63" i="7953"/>
  <c r="D47" i="7953"/>
  <c r="AQ332" i="7950"/>
  <c r="AR332" i="7950"/>
  <c r="D63" i="7953"/>
  <c r="H46" i="7953"/>
  <c r="D53" i="7953"/>
  <c r="H52" i="7953"/>
  <c r="AT205" i="7950"/>
  <c r="AU205" i="7950" s="1"/>
  <c r="E205" i="7950"/>
  <c r="I205" i="7950"/>
  <c r="DA844" i="7949"/>
  <c r="DA845" i="7949" s="1"/>
  <c r="DA846" i="7949" s="1"/>
  <c r="DA847" i="7949" s="1"/>
  <c r="CT845" i="7949"/>
  <c r="CT795" i="7949"/>
  <c r="DA824" i="7949"/>
  <c r="DA825" i="7949" s="1"/>
  <c r="DA826" i="7949" s="1"/>
  <c r="DA827" i="7949" s="1"/>
  <c r="DA828" i="7949" s="1"/>
  <c r="DA829" i="7949" s="1"/>
  <c r="CT792" i="7949"/>
  <c r="DA791" i="7949"/>
  <c r="DA792" i="7949" s="1"/>
  <c r="DA793" i="7949" s="1"/>
  <c r="DA794" i="7949" s="1"/>
  <c r="DA795" i="7949" s="1"/>
  <c r="DA796" i="7949" s="1"/>
  <c r="DI635" i="2"/>
  <c r="DP634" i="2"/>
  <c r="CT239" i="7949"/>
  <c r="DA248" i="7949"/>
  <c r="DA249" i="7949" s="1"/>
  <c r="DA250" i="7949" s="1"/>
  <c r="DA251" i="7949" s="1"/>
  <c r="DA252" i="7949" s="1"/>
  <c r="DA253" i="7949" s="1"/>
  <c r="CT238" i="7949"/>
  <c r="DA237" i="7949"/>
  <c r="DA238" i="7949" s="1"/>
  <c r="DA239" i="7949" s="1"/>
  <c r="DA240" i="7949" s="1"/>
  <c r="DA241" i="7949" s="1"/>
  <c r="DA242" i="7949" s="1"/>
  <c r="DI631" i="2"/>
  <c r="AY322" i="7955"/>
  <c r="AY122" i="7955"/>
  <c r="AY172" i="7955"/>
  <c r="AY571" i="7955"/>
  <c r="AY224" i="7955"/>
  <c r="AY421" i="7955"/>
  <c r="AY523" i="7955"/>
  <c r="DA559" i="7949"/>
  <c r="CT560" i="7949"/>
  <c r="CT568" i="7949"/>
  <c r="DA567" i="7949"/>
  <c r="DA568" i="7949" s="1"/>
  <c r="DA569" i="7949" s="1"/>
  <c r="DA570" i="7949" s="1"/>
  <c r="DA502" i="7949"/>
  <c r="CT503" i="7949"/>
  <c r="DA536" i="7949"/>
  <c r="DA537" i="7949" s="1"/>
  <c r="DA538" i="7949" s="1"/>
  <c r="DA539" i="7949" s="1"/>
  <c r="DA540" i="7949" s="1"/>
  <c r="DA541" i="7949" s="1"/>
  <c r="CT517" i="7949"/>
  <c r="DA290" i="7949"/>
  <c r="DA291" i="7949" s="1"/>
  <c r="DA292" i="7949" s="1"/>
  <c r="DA293" i="7949" s="1"/>
  <c r="CT291" i="7949"/>
  <c r="DI625" i="2"/>
  <c r="DP621" i="2"/>
  <c r="DP622" i="2" s="1"/>
  <c r="DI630" i="2"/>
  <c r="K285" i="7950"/>
  <c r="AV285" i="7950"/>
  <c r="DA865" i="7949"/>
  <c r="DA866" i="7949" s="1"/>
  <c r="DA867" i="7949" s="1"/>
  <c r="CT866" i="7949"/>
  <c r="CT589" i="7949"/>
  <c r="DA588" i="7949"/>
  <c r="DA589" i="7949" s="1"/>
  <c r="DA590" i="7949" s="1"/>
  <c r="DP607" i="2"/>
  <c r="DP608" i="2" s="1"/>
  <c r="DP609" i="2" s="1"/>
  <c r="DP610" i="2" s="1"/>
  <c r="DP611" i="2" s="1"/>
  <c r="DI598" i="2"/>
  <c r="DI597" i="2"/>
  <c r="DP601" i="2"/>
  <c r="DP602" i="2" s="1"/>
  <c r="DP603" i="2" s="1"/>
  <c r="DP604" i="2" s="1"/>
  <c r="DP605" i="2" s="1"/>
  <c r="CT312" i="7949"/>
  <c r="DA311" i="7949"/>
  <c r="DA312" i="7949" s="1"/>
  <c r="DA313" i="7949" s="1"/>
  <c r="AY270" i="7955"/>
  <c r="AY474" i="7955"/>
  <c r="AY475" i="7955" s="1"/>
  <c r="AY75" i="7955"/>
  <c r="K156" i="7954" s="1"/>
  <c r="K332" i="7950"/>
  <c r="AV332" i="7950"/>
  <c r="H58" i="7953"/>
  <c r="H48" i="7953"/>
  <c r="D48" i="7953"/>
  <c r="H53" i="7953"/>
  <c r="H55" i="7953"/>
  <c r="D57" i="7953"/>
  <c r="H60" i="7953"/>
  <c r="D52" i="7953"/>
  <c r="H56" i="7953"/>
  <c r="D59" i="7953"/>
  <c r="H57" i="7953"/>
  <c r="D56" i="7953"/>
  <c r="D51" i="7953"/>
  <c r="CT846" i="7949"/>
  <c r="DA851" i="7949"/>
  <c r="DA852" i="7949" s="1"/>
  <c r="DA853" i="7949" s="1"/>
  <c r="DA854" i="7949" s="1"/>
  <c r="CT837" i="7949"/>
  <c r="DA836" i="7949"/>
  <c r="K268" i="7950"/>
  <c r="AV268" i="7950"/>
  <c r="CT780" i="7949"/>
  <c r="DA779" i="7949"/>
  <c r="DA802" i="7949"/>
  <c r="DA803" i="7949" s="1"/>
  <c r="DA804" i="7949" s="1"/>
  <c r="DA805" i="7949" s="1"/>
  <c r="DA806" i="7949" s="1"/>
  <c r="DA807" i="7949" s="1"/>
  <c r="CT793" i="7949"/>
  <c r="CT794" i="7949"/>
  <c r="DA813" i="7949"/>
  <c r="DA814" i="7949" s="1"/>
  <c r="DA815" i="7949" s="1"/>
  <c r="DA816" i="7949" s="1"/>
  <c r="DA817" i="7949" s="1"/>
  <c r="DA818" i="7949" s="1"/>
  <c r="DP638" i="2"/>
  <c r="DP639" i="2" s="1"/>
  <c r="DI639" i="2"/>
  <c r="DA225" i="7949"/>
  <c r="CT226" i="7949"/>
  <c r="CT241" i="7949"/>
  <c r="DA270" i="7949"/>
  <c r="DA271" i="7949" s="1"/>
  <c r="DA272" i="7949" s="1"/>
  <c r="DA273" i="7949" s="1"/>
  <c r="DA274" i="7949" s="1"/>
  <c r="DA275" i="7949" s="1"/>
  <c r="CT240" i="7949"/>
  <c r="DA259" i="7949"/>
  <c r="DA260" i="7949" s="1"/>
  <c r="DA261" i="7949" s="1"/>
  <c r="DA262" i="7949" s="1"/>
  <c r="DA263" i="7949" s="1"/>
  <c r="DA264" i="7949" s="1"/>
  <c r="AY374" i="7955"/>
  <c r="DA574" i="7949"/>
  <c r="DA575" i="7949" s="1"/>
  <c r="DA576" i="7949" s="1"/>
  <c r="DA577" i="7949" s="1"/>
  <c r="CT569" i="7949"/>
  <c r="CT516" i="7949"/>
  <c r="DA525" i="7949"/>
  <c r="DA526" i="7949" s="1"/>
  <c r="DA527" i="7949" s="1"/>
  <c r="DA528" i="7949" s="1"/>
  <c r="DA529" i="7949" s="1"/>
  <c r="DA530" i="7949" s="1"/>
  <c r="CT515" i="7949"/>
  <c r="DA514" i="7949"/>
  <c r="DA515" i="7949" s="1"/>
  <c r="DA516" i="7949" s="1"/>
  <c r="DA517" i="7949" s="1"/>
  <c r="DA518" i="7949" s="1"/>
  <c r="DA519" i="7949" s="1"/>
  <c r="CT518" i="7949"/>
  <c r="DA547" i="7949"/>
  <c r="DA548" i="7949" s="1"/>
  <c r="DA549" i="7949" s="1"/>
  <c r="DA550" i="7949" s="1"/>
  <c r="DA551" i="7949" s="1"/>
  <c r="DA552" i="7949" s="1"/>
  <c r="AX364" i="7950"/>
  <c r="M364" i="7950"/>
  <c r="AW364" i="7950"/>
  <c r="AZ364" i="7950"/>
  <c r="AY364" i="7950"/>
  <c r="DA282" i="7949"/>
  <c r="CT283" i="7949"/>
  <c r="DA297" i="7949"/>
  <c r="DA298" i="7949" s="1"/>
  <c r="DA299" i="7949" s="1"/>
  <c r="DA300" i="7949" s="1"/>
  <c r="CT292" i="7949"/>
  <c r="CT860" i="7949"/>
  <c r="DA859" i="7949"/>
  <c r="DA582" i="7949"/>
  <c r="CT583" i="7949"/>
  <c r="DI596" i="2"/>
  <c r="DP595" i="2"/>
  <c r="DP596" i="2" s="1"/>
  <c r="DP597" i="2" s="1"/>
  <c r="DP598" i="2" s="1"/>
  <c r="DP599" i="2" s="1"/>
  <c r="DI589" i="2"/>
  <c r="DP588" i="2"/>
  <c r="DI599" i="2"/>
  <c r="DP613" i="2"/>
  <c r="DP614" i="2" s="1"/>
  <c r="DP615" i="2" s="1"/>
  <c r="DP616" i="2" s="1"/>
  <c r="DP617" i="2" s="1"/>
  <c r="CT306" i="7949"/>
  <c r="DA305" i="7949"/>
  <c r="H50" i="7953"/>
  <c r="H49" i="7953"/>
  <c r="H59" i="7953"/>
  <c r="H54" i="7953"/>
  <c r="D61" i="7953"/>
  <c r="D60" i="7953"/>
  <c r="L363" i="7955" l="1"/>
  <c r="L365" i="7955" s="1"/>
  <c r="L362" i="7955"/>
  <c r="L563" i="7955"/>
  <c r="L565" i="7955" s="1"/>
  <c r="L562" i="7955"/>
  <c r="AV316" i="7950"/>
  <c r="K316" i="7950"/>
  <c r="W158" i="1"/>
  <c r="AP51" i="3"/>
  <c r="AS51" i="3" s="1"/>
  <c r="AF162" i="7950"/>
  <c r="C153" i="7950"/>
  <c r="AF159" i="7950"/>
  <c r="AF161" i="7950"/>
  <c r="AF163" i="7950"/>
  <c r="AF160" i="7950"/>
  <c r="V169" i="7950"/>
  <c r="L212" i="7955"/>
  <c r="L213" i="7955"/>
  <c r="L215" i="7955" s="1"/>
  <c r="L263" i="7955"/>
  <c r="L265" i="7955" s="1"/>
  <c r="L262" i="7955"/>
  <c r="L312" i="7955"/>
  <c r="L313" i="7955"/>
  <c r="L315" i="7955" s="1"/>
  <c r="M104" i="7955"/>
  <c r="M105" i="7955"/>
  <c r="M555" i="7955"/>
  <c r="M554" i="7955"/>
  <c r="M404" i="7955"/>
  <c r="M405" i="7955"/>
  <c r="M504" i="7955"/>
  <c r="M505" i="7955"/>
  <c r="M304" i="7955"/>
  <c r="M305" i="7955"/>
  <c r="M63" i="7955"/>
  <c r="M65" i="7955" s="1"/>
  <c r="M62" i="7955"/>
  <c r="W143" i="1"/>
  <c r="BH52" i="3"/>
  <c r="BK52" i="3" s="1"/>
  <c r="AQ205" i="7950"/>
  <c r="G205" i="7950"/>
  <c r="L113" i="7955"/>
  <c r="L115" i="7955" s="1"/>
  <c r="L112" i="7955"/>
  <c r="L512" i="7955"/>
  <c r="L513" i="7955"/>
  <c r="L515" i="7955" s="1"/>
  <c r="L463" i="7955"/>
  <c r="L465" i="7955" s="1"/>
  <c r="L462" i="7955"/>
  <c r="N403" i="7955"/>
  <c r="N203" i="7955"/>
  <c r="N54" i="7955"/>
  <c r="N153" i="7955"/>
  <c r="N103" i="7955"/>
  <c r="N55" i="7955"/>
  <c r="N253" i="7955"/>
  <c r="N353" i="7955"/>
  <c r="N453" i="7955"/>
  <c r="N553" i="7955"/>
  <c r="N303" i="7955"/>
  <c r="N503" i="7955"/>
  <c r="AB219" i="1"/>
  <c r="W203" i="1"/>
  <c r="C201" i="1"/>
  <c r="O53" i="7955"/>
  <c r="D201" i="1"/>
  <c r="AT69" i="1"/>
  <c r="AT70" i="1"/>
  <c r="W188" i="1"/>
  <c r="F44" i="3"/>
  <c r="I44" i="3" s="1"/>
  <c r="L162" i="7955"/>
  <c r="L163" i="7955"/>
  <c r="L165" i="7955" s="1"/>
  <c r="L413" i="7955"/>
  <c r="L415" i="7955" s="1"/>
  <c r="L412" i="7955"/>
  <c r="M355" i="7955"/>
  <c r="M354" i="7955"/>
  <c r="M455" i="7955"/>
  <c r="M454" i="7955"/>
  <c r="M155" i="7955"/>
  <c r="M154" i="7955"/>
  <c r="M254" i="7955"/>
  <c r="M255" i="7955"/>
  <c r="M204" i="7955"/>
  <c r="M205" i="7955"/>
  <c r="L47" i="3"/>
  <c r="O47" i="3" s="1"/>
  <c r="W173" i="1"/>
  <c r="K300" i="7950"/>
  <c r="AV300" i="7950"/>
  <c r="AW412" i="7950"/>
  <c r="AZ412" i="7950"/>
  <c r="AY412" i="7950"/>
  <c r="M412" i="7950"/>
  <c r="AX412" i="7950"/>
  <c r="M252" i="7950"/>
  <c r="AX252" i="7950"/>
  <c r="AZ252" i="7950"/>
  <c r="AW252" i="7950"/>
  <c r="AY252" i="7950"/>
  <c r="AP253" i="7950" s="1"/>
  <c r="I253" i="7950" s="1"/>
  <c r="M220" i="7950"/>
  <c r="AX220" i="7950"/>
  <c r="AY220" i="7950"/>
  <c r="AW220" i="7950"/>
  <c r="AZ220" i="7950"/>
  <c r="AQ237" i="7950"/>
  <c r="G237" i="7950"/>
  <c r="E237" i="7950"/>
  <c r="AR237" i="7950"/>
  <c r="I237" i="7950"/>
  <c r="AT237" i="7950"/>
  <c r="AU237" i="7950" s="1"/>
  <c r="I189" i="7950"/>
  <c r="AR189" i="7950"/>
  <c r="AT189" i="7950"/>
  <c r="AU189" i="7950" s="1"/>
  <c r="AQ189" i="7950"/>
  <c r="G189" i="7950"/>
  <c r="E189" i="7950"/>
  <c r="DO338" i="2"/>
  <c r="DN338" i="2"/>
  <c r="DK338" i="2"/>
  <c r="DM338" i="2"/>
  <c r="DL338" i="2"/>
  <c r="AP365" i="7950"/>
  <c r="AQ365" i="7950" s="1"/>
  <c r="M349" i="7950"/>
  <c r="AY349" i="7950"/>
  <c r="AW349" i="7950"/>
  <c r="AX349" i="7950"/>
  <c r="AZ349" i="7950"/>
  <c r="DP321" i="2"/>
  <c r="DJ320" i="2"/>
  <c r="DO296" i="2"/>
  <c r="DL296" i="2"/>
  <c r="DK296" i="2"/>
  <c r="DN296" i="2"/>
  <c r="DM296" i="2"/>
  <c r="K380" i="7950"/>
  <c r="AV380" i="7950"/>
  <c r="K396" i="7950"/>
  <c r="AV396" i="7950"/>
  <c r="DM329" i="2"/>
  <c r="DL329" i="2"/>
  <c r="DK329" i="2"/>
  <c r="DO329" i="2"/>
  <c r="DN329" i="2"/>
  <c r="DI309" i="2"/>
  <c r="DJ303" i="2"/>
  <c r="DP335" i="2"/>
  <c r="DJ335" i="2" s="1"/>
  <c r="DJ334" i="2"/>
  <c r="DL326" i="2"/>
  <c r="DO326" i="2"/>
  <c r="DN326" i="2"/>
  <c r="DK326" i="2"/>
  <c r="DM326" i="2"/>
  <c r="DJ301" i="2"/>
  <c r="DI307" i="2"/>
  <c r="DP289" i="2"/>
  <c r="DJ288" i="2"/>
  <c r="DK298" i="2"/>
  <c r="DN298" i="2"/>
  <c r="DM298" i="2"/>
  <c r="DO298" i="2"/>
  <c r="DL298" i="2"/>
  <c r="DP890" i="2"/>
  <c r="DP891" i="2" s="1"/>
  <c r="DI896" i="2"/>
  <c r="E253" i="7950"/>
  <c r="G253" i="7950"/>
  <c r="AT253" i="7950"/>
  <c r="AU253" i="7950" s="1"/>
  <c r="DI931" i="2"/>
  <c r="DI328" i="2"/>
  <c r="DJ328" i="2" s="1"/>
  <c r="DJ324" i="2"/>
  <c r="DJ302" i="2"/>
  <c r="DI308" i="2"/>
  <c r="DI904" i="2"/>
  <c r="DI906" i="2"/>
  <c r="DI903" i="2"/>
  <c r="K172" i="7950"/>
  <c r="AV172" i="7950"/>
  <c r="DP936" i="2"/>
  <c r="DP937" i="2" s="1"/>
  <c r="DI939" i="2"/>
  <c r="DP922" i="2"/>
  <c r="DP923" i="2" s="1"/>
  <c r="DI926" i="2"/>
  <c r="DM325" i="2"/>
  <c r="DO325" i="2"/>
  <c r="DN325" i="2"/>
  <c r="DL325" i="2"/>
  <c r="DK325" i="2"/>
  <c r="DM297" i="2"/>
  <c r="DL297" i="2"/>
  <c r="DK297" i="2"/>
  <c r="DO297" i="2"/>
  <c r="DN297" i="2"/>
  <c r="DI905" i="2"/>
  <c r="DK337" i="2"/>
  <c r="DM337" i="2"/>
  <c r="DO337" i="2"/>
  <c r="DL337" i="2"/>
  <c r="DN337" i="2"/>
  <c r="DO330" i="2"/>
  <c r="DL330" i="2"/>
  <c r="DK330" i="2"/>
  <c r="DN330" i="2"/>
  <c r="DM330" i="2"/>
  <c r="DK295" i="2"/>
  <c r="DO295" i="2"/>
  <c r="DN295" i="2"/>
  <c r="DM295" i="2"/>
  <c r="DL295" i="2"/>
  <c r="DJ294" i="2"/>
  <c r="DI300" i="2"/>
  <c r="DI310" i="2"/>
  <c r="DJ304" i="2"/>
  <c r="DA306" i="7949"/>
  <c r="DA307" i="7949" s="1"/>
  <c r="CT311" i="7949"/>
  <c r="DI602" i="2"/>
  <c r="CT865" i="7949"/>
  <c r="DA860" i="7949"/>
  <c r="DA861" i="7949" s="1"/>
  <c r="CT299" i="7949"/>
  <c r="CT290" i="7949"/>
  <c r="DA283" i="7949"/>
  <c r="DA284" i="7949" s="1"/>
  <c r="I365" i="7950"/>
  <c r="CU552" i="7949"/>
  <c r="DA553" i="7949"/>
  <c r="CT526" i="7949"/>
  <c r="CU530" i="7949"/>
  <c r="DA531" i="7949"/>
  <c r="CU577" i="7949"/>
  <c r="DA578" i="7949"/>
  <c r="AY375" i="7955"/>
  <c r="DA265" i="7949"/>
  <c r="CU264" i="7949"/>
  <c r="CT252" i="7949"/>
  <c r="CT805" i="7949"/>
  <c r="CT804" i="7949"/>
  <c r="CT844" i="7949"/>
  <c r="DA837" i="7949"/>
  <c r="DA838" i="7949" s="1"/>
  <c r="CU854" i="7949"/>
  <c r="DA855" i="7949"/>
  <c r="AX332" i="7950"/>
  <c r="AW332" i="7950"/>
  <c r="M332" i="7950"/>
  <c r="AZ332" i="7950"/>
  <c r="AY332" i="7950"/>
  <c r="DA314" i="7949"/>
  <c r="CU314" i="7949" s="1"/>
  <c r="CU313" i="7949"/>
  <c r="DI603" i="2"/>
  <c r="DI604" i="2"/>
  <c r="DA591" i="7949"/>
  <c r="CU591" i="7949" s="1"/>
  <c r="CU590" i="7949"/>
  <c r="DA868" i="7949"/>
  <c r="CU868" i="7949" s="1"/>
  <c r="CU867" i="7949"/>
  <c r="AW285" i="7950"/>
  <c r="M285" i="7950"/>
  <c r="AX285" i="7950"/>
  <c r="AZ285" i="7950"/>
  <c r="AY285" i="7950"/>
  <c r="DI629" i="2"/>
  <c r="DA294" i="7949"/>
  <c r="CU293" i="7949"/>
  <c r="CT528" i="7949"/>
  <c r="DA503" i="7949"/>
  <c r="DA504" i="7949" s="1"/>
  <c r="CT514" i="7949"/>
  <c r="CT575" i="7949"/>
  <c r="AY225" i="7955"/>
  <c r="AY572" i="7955"/>
  <c r="DA243" i="7949"/>
  <c r="CU242" i="7949"/>
  <c r="CT250" i="7949"/>
  <c r="CT803" i="7949"/>
  <c r="CU829" i="7949"/>
  <c r="DA830" i="7949"/>
  <c r="CT852" i="7949"/>
  <c r="AV205" i="7950"/>
  <c r="K205" i="7950"/>
  <c r="DI605" i="2"/>
  <c r="DI595" i="2"/>
  <c r="DP589" i="2"/>
  <c r="DP590" i="2" s="1"/>
  <c r="DA583" i="7949"/>
  <c r="DA584" i="7949" s="1"/>
  <c r="CT588" i="7949"/>
  <c r="CU300" i="7949"/>
  <c r="DA301" i="7949"/>
  <c r="CT529" i="7949"/>
  <c r="CU519" i="7949"/>
  <c r="DA520" i="7949"/>
  <c r="CT527" i="7949"/>
  <c r="CT576" i="7949"/>
  <c r="CT251" i="7949"/>
  <c r="DA276" i="7949"/>
  <c r="CU275" i="7949"/>
  <c r="CT237" i="7949"/>
  <c r="DA226" i="7949"/>
  <c r="DA227" i="7949" s="1"/>
  <c r="DA819" i="7949"/>
  <c r="CU818" i="7949"/>
  <c r="CU807" i="7949"/>
  <c r="DA808" i="7949"/>
  <c r="CT791" i="7949"/>
  <c r="DA780" i="7949"/>
  <c r="DA781" i="7949" s="1"/>
  <c r="AW268" i="7950"/>
  <c r="M268" i="7950"/>
  <c r="AX268" i="7950"/>
  <c r="AY268" i="7950"/>
  <c r="AZ268" i="7950"/>
  <c r="CT853" i="7949"/>
  <c r="AY76" i="7955"/>
  <c r="AY77" i="7955" s="1"/>
  <c r="AY78" i="7955" s="1"/>
  <c r="AY476" i="7955"/>
  <c r="AY477" i="7955" s="1"/>
  <c r="AY271" i="7955"/>
  <c r="DP623" i="2"/>
  <c r="CT298" i="7949"/>
  <c r="CU541" i="7949"/>
  <c r="DA542" i="7949"/>
  <c r="CU570" i="7949"/>
  <c r="DA571" i="7949"/>
  <c r="CT567" i="7949"/>
  <c r="DA560" i="7949"/>
  <c r="DA561" i="7949" s="1"/>
  <c r="AY524" i="7955"/>
  <c r="AY525" i="7955" s="1"/>
  <c r="AY422" i="7955"/>
  <c r="AY173" i="7955"/>
  <c r="AY123" i="7955"/>
  <c r="AY323" i="7955"/>
  <c r="CT249" i="7949"/>
  <c r="DA254" i="7949"/>
  <c r="CU253" i="7949"/>
  <c r="DP635" i="2"/>
  <c r="DP636" i="2" s="1"/>
  <c r="DI638" i="2"/>
  <c r="CU796" i="7949"/>
  <c r="DA797" i="7949"/>
  <c r="CT806" i="7949"/>
  <c r="DA848" i="7949"/>
  <c r="CU847" i="7949"/>
  <c r="W174" i="1" l="1"/>
  <c r="BH49" i="3"/>
  <c r="BK49" i="3" s="1"/>
  <c r="M163" i="7955"/>
  <c r="M165" i="7955" s="1"/>
  <c r="M162" i="7955"/>
  <c r="M462" i="7955"/>
  <c r="M463" i="7955"/>
  <c r="M465" i="7955" s="1"/>
  <c r="M362" i="7955"/>
  <c r="M363" i="7955"/>
  <c r="M365" i="7955" s="1"/>
  <c r="W219" i="1"/>
  <c r="AB235" i="1"/>
  <c r="P53" i="7955"/>
  <c r="C217" i="1"/>
  <c r="D217" i="1"/>
  <c r="N305" i="7955"/>
  <c r="N304" i="7955"/>
  <c r="N455" i="7955"/>
  <c r="N454" i="7955"/>
  <c r="N254" i="7955"/>
  <c r="N255" i="7955"/>
  <c r="N104" i="7955"/>
  <c r="N105" i="7955"/>
  <c r="N62" i="7955"/>
  <c r="N63" i="7955"/>
  <c r="N65" i="7955" s="1"/>
  <c r="N405" i="7955"/>
  <c r="N404" i="7955"/>
  <c r="W144" i="1"/>
  <c r="W145" i="1" s="1"/>
  <c r="W146" i="1" s="1"/>
  <c r="W147" i="1" s="1"/>
  <c r="W148" i="1" s="1"/>
  <c r="W149" i="1" s="1"/>
  <c r="W150" i="1" s="1"/>
  <c r="AD42" i="3"/>
  <c r="AG42" i="3" s="1"/>
  <c r="M312" i="7955"/>
  <c r="M313" i="7955"/>
  <c r="M315" i="7955" s="1"/>
  <c r="M513" i="7955"/>
  <c r="M515" i="7955" s="1"/>
  <c r="M512" i="7955"/>
  <c r="M413" i="7955"/>
  <c r="M415" i="7955" s="1"/>
  <c r="M412" i="7955"/>
  <c r="M112" i="7955"/>
  <c r="M113" i="7955"/>
  <c r="M115" i="7955" s="1"/>
  <c r="AR253" i="7950"/>
  <c r="AQ253" i="7950"/>
  <c r="AT71" i="1"/>
  <c r="M212" i="7955"/>
  <c r="M213" i="7955"/>
  <c r="M215" i="7955" s="1"/>
  <c r="M262" i="7955"/>
  <c r="M263" i="7955"/>
  <c r="M265" i="7955" s="1"/>
  <c r="W189" i="1"/>
  <c r="AJ49" i="3"/>
  <c r="AM49" i="3" s="1"/>
  <c r="O303" i="7955"/>
  <c r="O353" i="7955"/>
  <c r="O55" i="7955"/>
  <c r="O103" i="7955"/>
  <c r="O203" i="7955"/>
  <c r="O54" i="7955"/>
  <c r="O503" i="7955"/>
  <c r="O453" i="7955"/>
  <c r="O253" i="7955"/>
  <c r="O553" i="7955"/>
  <c r="O153" i="7955"/>
  <c r="O403" i="7955"/>
  <c r="W204" i="1"/>
  <c r="BN49" i="3"/>
  <c r="BQ49" i="3" s="1"/>
  <c r="N505" i="7955"/>
  <c r="N504" i="7955"/>
  <c r="N554" i="7955"/>
  <c r="N555" i="7955"/>
  <c r="N355" i="7955"/>
  <c r="N354" i="7955"/>
  <c r="N154" i="7955"/>
  <c r="N155" i="7955"/>
  <c r="N204" i="7955"/>
  <c r="N205" i="7955"/>
  <c r="M562" i="7955"/>
  <c r="M563" i="7955"/>
  <c r="M565" i="7955" s="1"/>
  <c r="V185" i="7950"/>
  <c r="AF179" i="7950"/>
  <c r="AF175" i="7950"/>
  <c r="AF178" i="7950"/>
  <c r="AF177" i="7950"/>
  <c r="C169" i="7950"/>
  <c r="AF176" i="7950"/>
  <c r="F43" i="3"/>
  <c r="I43" i="3" s="1"/>
  <c r="W159" i="1"/>
  <c r="M316" i="7950"/>
  <c r="AZ316" i="7950"/>
  <c r="AW316" i="7950"/>
  <c r="AY316" i="7950"/>
  <c r="AX316" i="7950"/>
  <c r="AP317" i="7950"/>
  <c r="AP413" i="7950"/>
  <c r="G413" i="7950" s="1"/>
  <c r="E365" i="7950"/>
  <c r="E413" i="7950"/>
  <c r="AP286" i="7950"/>
  <c r="AT365" i="7950"/>
  <c r="AU365" i="7950" s="1"/>
  <c r="AV365" i="7950" s="1"/>
  <c r="AP221" i="7950"/>
  <c r="AW300" i="7950"/>
  <c r="AX300" i="7950"/>
  <c r="AZ300" i="7950"/>
  <c r="M300" i="7950"/>
  <c r="AY300" i="7950"/>
  <c r="AP301" i="7950" s="1"/>
  <c r="AT301" i="7950" s="1"/>
  <c r="AU301" i="7950" s="1"/>
  <c r="G365" i="7950"/>
  <c r="AR365" i="7950"/>
  <c r="K189" i="7950"/>
  <c r="AV189" i="7950"/>
  <c r="AV237" i="7950"/>
  <c r="K237" i="7950"/>
  <c r="DI316" i="2"/>
  <c r="DJ316" i="2" s="1"/>
  <c r="DJ310" i="2"/>
  <c r="DM294" i="2"/>
  <c r="DK294" i="2"/>
  <c r="DN294" i="2"/>
  <c r="DL294" i="2"/>
  <c r="DO294" i="2"/>
  <c r="DP924" i="2"/>
  <c r="M172" i="7950"/>
  <c r="AW172" i="7950"/>
  <c r="AX172" i="7950"/>
  <c r="AZ172" i="7950"/>
  <c r="AY172" i="7950"/>
  <c r="DI314" i="2"/>
  <c r="DJ314" i="2" s="1"/>
  <c r="DJ308" i="2"/>
  <c r="DN324" i="2"/>
  <c r="DO324" i="2"/>
  <c r="DK324" i="2"/>
  <c r="DM324" i="2"/>
  <c r="DL324" i="2"/>
  <c r="K253" i="7950"/>
  <c r="AV253" i="7950"/>
  <c r="DP892" i="2"/>
  <c r="DM288" i="2"/>
  <c r="DK288" i="2"/>
  <c r="DN288" i="2"/>
  <c r="DO288" i="2"/>
  <c r="DL288" i="2"/>
  <c r="DI313" i="2"/>
  <c r="DJ313" i="2" s="1"/>
  <c r="DJ307" i="2"/>
  <c r="DK335" i="2"/>
  <c r="DM335" i="2"/>
  <c r="DL335" i="2"/>
  <c r="DN335" i="2"/>
  <c r="DO335" i="2"/>
  <c r="DI315" i="2"/>
  <c r="DJ315" i="2" s="1"/>
  <c r="DJ309" i="2"/>
  <c r="AW396" i="7950"/>
  <c r="M396" i="7950"/>
  <c r="AX396" i="7950"/>
  <c r="AY396" i="7950"/>
  <c r="AZ396" i="7950"/>
  <c r="AP397" i="7950" s="1"/>
  <c r="M380" i="7950"/>
  <c r="AW380" i="7950"/>
  <c r="AX380" i="7950"/>
  <c r="AY380" i="7950"/>
  <c r="AZ380" i="7950"/>
  <c r="DP322" i="2"/>
  <c r="DJ322" i="2" s="1"/>
  <c r="DJ321" i="2"/>
  <c r="AP269" i="7950"/>
  <c r="AR269" i="7950" s="1"/>
  <c r="AP333" i="7950"/>
  <c r="DL304" i="2"/>
  <c r="DO304" i="2"/>
  <c r="DK304" i="2"/>
  <c r="DN304" i="2"/>
  <c r="DM304" i="2"/>
  <c r="DJ300" i="2"/>
  <c r="DI306" i="2"/>
  <c r="DI911" i="2"/>
  <c r="DI930" i="2"/>
  <c r="DI909" i="2"/>
  <c r="DI912" i="2"/>
  <c r="DI910" i="2"/>
  <c r="DK302" i="2"/>
  <c r="DN302" i="2"/>
  <c r="DM302" i="2"/>
  <c r="DL302" i="2"/>
  <c r="DO302" i="2"/>
  <c r="DM328" i="2"/>
  <c r="DK328" i="2"/>
  <c r="DN328" i="2"/>
  <c r="DL328" i="2"/>
  <c r="DO328" i="2"/>
  <c r="DI902" i="2"/>
  <c r="DP290" i="2"/>
  <c r="DJ289" i="2"/>
  <c r="DK301" i="2"/>
  <c r="DN301" i="2"/>
  <c r="DM301" i="2"/>
  <c r="DO301" i="2"/>
  <c r="DL301" i="2"/>
  <c r="DM334" i="2"/>
  <c r="DL334" i="2"/>
  <c r="DN334" i="2"/>
  <c r="DO334" i="2"/>
  <c r="DK334" i="2"/>
  <c r="DM303" i="2"/>
  <c r="DK303" i="2"/>
  <c r="DN303" i="2"/>
  <c r="DL303" i="2"/>
  <c r="DO303" i="2"/>
  <c r="DM320" i="2"/>
  <c r="DK320" i="2"/>
  <c r="DN320" i="2"/>
  <c r="DL320" i="2"/>
  <c r="DO320" i="2"/>
  <c r="AP350" i="7950"/>
  <c r="E269" i="7950"/>
  <c r="AT333" i="7950"/>
  <c r="AU333" i="7950" s="1"/>
  <c r="AR333" i="7950"/>
  <c r="E333" i="7950"/>
  <c r="G333" i="7950"/>
  <c r="AQ333" i="7950"/>
  <c r="I333" i="7950"/>
  <c r="AR301" i="7950"/>
  <c r="G301" i="7950"/>
  <c r="I301" i="7950"/>
  <c r="DA849" i="7949"/>
  <c r="CU849" i="7949" s="1"/>
  <c r="CU848" i="7949"/>
  <c r="CT817" i="7949"/>
  <c r="CZ796" i="7949"/>
  <c r="CY796" i="7949"/>
  <c r="CW796" i="7949"/>
  <c r="CV796" i="7949"/>
  <c r="CX796" i="7949"/>
  <c r="DA255" i="7949"/>
  <c r="CU254" i="7949"/>
  <c r="CT260" i="7949"/>
  <c r="CT574" i="7949"/>
  <c r="CV570" i="7949"/>
  <c r="CW570" i="7949"/>
  <c r="CX570" i="7949"/>
  <c r="CZ570" i="7949"/>
  <c r="CY570" i="7949"/>
  <c r="CV541" i="7949"/>
  <c r="CZ541" i="7949"/>
  <c r="CY541" i="7949"/>
  <c r="CX541" i="7949"/>
  <c r="CW541" i="7949"/>
  <c r="AY272" i="7955"/>
  <c r="AY79" i="7955"/>
  <c r="DA782" i="7949"/>
  <c r="CU808" i="7949"/>
  <c r="DA809" i="7949"/>
  <c r="CW818" i="7949"/>
  <c r="CV818" i="7949"/>
  <c r="CX818" i="7949"/>
  <c r="CZ818" i="7949"/>
  <c r="CY818" i="7949"/>
  <c r="DA228" i="7949"/>
  <c r="CX275" i="7949"/>
  <c r="CV275" i="7949"/>
  <c r="CY275" i="7949"/>
  <c r="CW275" i="7949"/>
  <c r="CZ275" i="7949"/>
  <c r="DA521" i="7949"/>
  <c r="CU520" i="7949"/>
  <c r="DA302" i="7949"/>
  <c r="CU302" i="7949" s="1"/>
  <c r="CU301" i="7949"/>
  <c r="DI601" i="2"/>
  <c r="DI611" i="2"/>
  <c r="CY829" i="7949"/>
  <c r="CX829" i="7949"/>
  <c r="CV829" i="7949"/>
  <c r="CW829" i="7949"/>
  <c r="CZ829" i="7949"/>
  <c r="CT814" i="7949"/>
  <c r="CT261" i="7949"/>
  <c r="DA244" i="7949"/>
  <c r="CU243" i="7949"/>
  <c r="DA505" i="7949"/>
  <c r="CT539" i="7949"/>
  <c r="CU294" i="7949"/>
  <c r="DA295" i="7949"/>
  <c r="CU295" i="7949" s="1"/>
  <c r="CV868" i="7949"/>
  <c r="CY868" i="7949"/>
  <c r="CX868" i="7949"/>
  <c r="CZ868" i="7949"/>
  <c r="CW868" i="7949"/>
  <c r="CW591" i="7949"/>
  <c r="CZ591" i="7949"/>
  <c r="CV591" i="7949"/>
  <c r="CX591" i="7949"/>
  <c r="CY591" i="7949"/>
  <c r="CZ313" i="7949"/>
  <c r="CX313" i="7949"/>
  <c r="CV313" i="7949"/>
  <c r="CY313" i="7949"/>
  <c r="CW313" i="7949"/>
  <c r="DA856" i="7949"/>
  <c r="CU856" i="7949" s="1"/>
  <c r="CU855" i="7949"/>
  <c r="CT851" i="7949"/>
  <c r="CT815" i="7949"/>
  <c r="CT816" i="7949"/>
  <c r="CY264" i="7949"/>
  <c r="CW264" i="7949"/>
  <c r="CV264" i="7949"/>
  <c r="CX264" i="7949"/>
  <c r="CZ264" i="7949"/>
  <c r="CV577" i="7949"/>
  <c r="CZ577" i="7949"/>
  <c r="CW577" i="7949"/>
  <c r="CY577" i="7949"/>
  <c r="CX577" i="7949"/>
  <c r="CY530" i="7949"/>
  <c r="CZ530" i="7949"/>
  <c r="CV530" i="7949"/>
  <c r="CX530" i="7949"/>
  <c r="CW530" i="7949"/>
  <c r="CT537" i="7949"/>
  <c r="CV552" i="7949"/>
  <c r="CZ552" i="7949"/>
  <c r="CX552" i="7949"/>
  <c r="CY552" i="7949"/>
  <c r="CW552" i="7949"/>
  <c r="K365" i="7950"/>
  <c r="DA285" i="7949"/>
  <c r="DA308" i="7949"/>
  <c r="CW847" i="7949"/>
  <c r="CZ847" i="7949"/>
  <c r="CY847" i="7949"/>
  <c r="CX847" i="7949"/>
  <c r="CV847" i="7949"/>
  <c r="CU797" i="7949"/>
  <c r="DA798" i="7949"/>
  <c r="CX253" i="7949"/>
  <c r="CV253" i="7949"/>
  <c r="CZ253" i="7949"/>
  <c r="CY253" i="7949"/>
  <c r="CW253" i="7949"/>
  <c r="AY324" i="7955"/>
  <c r="AY124" i="7955"/>
  <c r="AY174" i="7955"/>
  <c r="AY175" i="7955" s="1"/>
  <c r="AY423" i="7955"/>
  <c r="AY526" i="7955"/>
  <c r="AY527" i="7955" s="1"/>
  <c r="AY528" i="7955" s="1"/>
  <c r="DA562" i="7949"/>
  <c r="DA572" i="7949"/>
  <c r="CU572" i="7949" s="1"/>
  <c r="CU571" i="7949"/>
  <c r="CU542" i="7949"/>
  <c r="DA543" i="7949"/>
  <c r="AY478" i="7955"/>
  <c r="AY479" i="7955" s="1"/>
  <c r="AY480" i="7955" s="1"/>
  <c r="AY481" i="7955" s="1"/>
  <c r="AY482" i="7955" s="1"/>
  <c r="AY483" i="7955" s="1"/>
  <c r="AY484" i="7955" s="1"/>
  <c r="AY485" i="7955" s="1"/>
  <c r="AY486" i="7955" s="1"/>
  <c r="AY487" i="7955" s="1"/>
  <c r="AY488" i="7955" s="1"/>
  <c r="AY489" i="7955" s="1"/>
  <c r="AY490" i="7955" s="1"/>
  <c r="AY491" i="7955" s="1"/>
  <c r="AY492" i="7955" s="1"/>
  <c r="AY493" i="7955" s="1"/>
  <c r="AY494" i="7955" s="1"/>
  <c r="AY495" i="7955" s="1"/>
  <c r="AY496" i="7955" s="1"/>
  <c r="CT802" i="7949"/>
  <c r="CZ807" i="7949"/>
  <c r="CY807" i="7949"/>
  <c r="CX807" i="7949"/>
  <c r="CV807" i="7949"/>
  <c r="CW807" i="7949"/>
  <c r="DA820" i="7949"/>
  <c r="CU819" i="7949"/>
  <c r="CT248" i="7949"/>
  <c r="DA277" i="7949"/>
  <c r="CU276" i="7949"/>
  <c r="CT262" i="7949"/>
  <c r="CT538" i="7949"/>
  <c r="CY519" i="7949"/>
  <c r="CW519" i="7949"/>
  <c r="CX519" i="7949"/>
  <c r="CV519" i="7949"/>
  <c r="CZ519" i="7949"/>
  <c r="CT540" i="7949"/>
  <c r="CV300" i="7949"/>
  <c r="CX300" i="7949"/>
  <c r="CZ300" i="7949"/>
  <c r="CY300" i="7949"/>
  <c r="CW300" i="7949"/>
  <c r="DA585" i="7949"/>
  <c r="DP591" i="2"/>
  <c r="M205" i="7950"/>
  <c r="AX205" i="7950"/>
  <c r="AW205" i="7950"/>
  <c r="AY205" i="7950"/>
  <c r="AZ205" i="7950"/>
  <c r="CU830" i="7949"/>
  <c r="DA831" i="7949"/>
  <c r="CZ242" i="7949"/>
  <c r="CY242" i="7949"/>
  <c r="CW242" i="7949"/>
  <c r="CV242" i="7949"/>
  <c r="CX242" i="7949"/>
  <c r="AY573" i="7955"/>
  <c r="AY574" i="7955" s="1"/>
  <c r="AY226" i="7955"/>
  <c r="CT525" i="7949"/>
  <c r="CZ293" i="7949"/>
  <c r="CX293" i="7949"/>
  <c r="CV293" i="7949"/>
  <c r="CY293" i="7949"/>
  <c r="CW293" i="7949"/>
  <c r="G286" i="7950"/>
  <c r="I286" i="7950"/>
  <c r="AQ286" i="7950"/>
  <c r="E286" i="7950"/>
  <c r="AT286" i="7950"/>
  <c r="AU286" i="7950" s="1"/>
  <c r="AR286" i="7950"/>
  <c r="CY867" i="7949"/>
  <c r="CX867" i="7949"/>
  <c r="CV867" i="7949"/>
  <c r="CW867" i="7949"/>
  <c r="CZ867" i="7949"/>
  <c r="CY590" i="7949"/>
  <c r="CW590" i="7949"/>
  <c r="CZ590" i="7949"/>
  <c r="CV590" i="7949"/>
  <c r="CX590" i="7949"/>
  <c r="DI610" i="2"/>
  <c r="DI609" i="2"/>
  <c r="CV314" i="7949"/>
  <c r="CX314" i="7949"/>
  <c r="CY314" i="7949"/>
  <c r="CZ314" i="7949"/>
  <c r="CW314" i="7949"/>
  <c r="CZ854" i="7949"/>
  <c r="CY854" i="7949"/>
  <c r="CW854" i="7949"/>
  <c r="CV854" i="7949"/>
  <c r="CX854" i="7949"/>
  <c r="DA839" i="7949"/>
  <c r="CT263" i="7949"/>
  <c r="DA266" i="7949"/>
  <c r="CU265" i="7949"/>
  <c r="AY376" i="7955"/>
  <c r="DA579" i="7949"/>
  <c r="CU579" i="7949" s="1"/>
  <c r="CU578" i="7949"/>
  <c r="DA532" i="7949"/>
  <c r="CU531" i="7949"/>
  <c r="CU553" i="7949"/>
  <c r="DA554" i="7949"/>
  <c r="CT297" i="7949"/>
  <c r="DA862" i="7949"/>
  <c r="DI608" i="2"/>
  <c r="N363" i="7955" l="1"/>
  <c r="N365" i="7955" s="1"/>
  <c r="N362" i="7955"/>
  <c r="N512" i="7955"/>
  <c r="N513" i="7955"/>
  <c r="N515" i="7955" s="1"/>
  <c r="O405" i="7955"/>
  <c r="O404" i="7955"/>
  <c r="O554" i="7955"/>
  <c r="O555" i="7955"/>
  <c r="O454" i="7955"/>
  <c r="O455" i="7955"/>
  <c r="O62" i="7955"/>
  <c r="O63" i="7955"/>
  <c r="O65" i="7955" s="1"/>
  <c r="O105" i="7955"/>
  <c r="O104" i="7955"/>
  <c r="O354" i="7955"/>
  <c r="O355" i="7955"/>
  <c r="N413" i="7955"/>
  <c r="N415" i="7955" s="1"/>
  <c r="N412" i="7955"/>
  <c r="N462" i="7955"/>
  <c r="N463" i="7955"/>
  <c r="N465" i="7955" s="1"/>
  <c r="N313" i="7955"/>
  <c r="N315" i="7955" s="1"/>
  <c r="N312" i="7955"/>
  <c r="P103" i="7955"/>
  <c r="P403" i="7955"/>
  <c r="P153" i="7955"/>
  <c r="P503" i="7955"/>
  <c r="P303" i="7955"/>
  <c r="P253" i="7955"/>
  <c r="P553" i="7955"/>
  <c r="P453" i="7955"/>
  <c r="P54" i="7955"/>
  <c r="P203" i="7955"/>
  <c r="P353" i="7955"/>
  <c r="P55" i="7955"/>
  <c r="D233" i="1"/>
  <c r="AB251" i="1"/>
  <c r="C233" i="1"/>
  <c r="R53" i="7955"/>
  <c r="W235" i="1"/>
  <c r="AQ301" i="7950"/>
  <c r="E301" i="7950"/>
  <c r="G317" i="7950"/>
  <c r="AT317" i="7950"/>
  <c r="AU317" i="7950" s="1"/>
  <c r="AQ317" i="7950"/>
  <c r="I317" i="7950"/>
  <c r="E317" i="7950"/>
  <c r="AR317" i="7950"/>
  <c r="W160" i="1"/>
  <c r="W161" i="1" s="1"/>
  <c r="W162" i="1" s="1"/>
  <c r="W163" i="1" s="1"/>
  <c r="W164" i="1" s="1"/>
  <c r="W165" i="1" s="1"/>
  <c r="W166" i="1" s="1"/>
  <c r="AD44" i="3"/>
  <c r="AG44" i="3" s="1"/>
  <c r="V201" i="7950"/>
  <c r="AF194" i="7950"/>
  <c r="AF192" i="7950"/>
  <c r="AF195" i="7950"/>
  <c r="AF193" i="7950"/>
  <c r="AF191" i="7950"/>
  <c r="C185" i="7950"/>
  <c r="N212" i="7955"/>
  <c r="N213" i="7955"/>
  <c r="N215" i="7955" s="1"/>
  <c r="N162" i="7955"/>
  <c r="N163" i="7955"/>
  <c r="N165" i="7955" s="1"/>
  <c r="N563" i="7955"/>
  <c r="N565" i="7955" s="1"/>
  <c r="N562" i="7955"/>
  <c r="BH47" i="3"/>
  <c r="BK47" i="3" s="1"/>
  <c r="W205" i="1"/>
  <c r="O154" i="7955"/>
  <c r="O155" i="7955"/>
  <c r="O254" i="7955"/>
  <c r="O255" i="7955"/>
  <c r="O504" i="7955"/>
  <c r="O505" i="7955"/>
  <c r="O205" i="7955"/>
  <c r="O204" i="7955"/>
  <c r="O305" i="7955"/>
  <c r="O304" i="7955"/>
  <c r="W190" i="1"/>
  <c r="AD50" i="3"/>
  <c r="AG50" i="3" s="1"/>
  <c r="AT72" i="1"/>
  <c r="N113" i="7955"/>
  <c r="N115" i="7955" s="1"/>
  <c r="N112" i="7955"/>
  <c r="N262" i="7955"/>
  <c r="N263" i="7955"/>
  <c r="N265" i="7955" s="1"/>
  <c r="Q53" i="7955"/>
  <c r="W220" i="1"/>
  <c r="L44" i="3"/>
  <c r="O44" i="3" s="1"/>
  <c r="W175" i="1"/>
  <c r="AD52" i="3"/>
  <c r="AG52" i="3" s="1"/>
  <c r="AQ413" i="7950"/>
  <c r="AT413" i="7950"/>
  <c r="AU413" i="7950" s="1"/>
  <c r="AV413" i="7950" s="1"/>
  <c r="AR413" i="7950"/>
  <c r="I413" i="7950"/>
  <c r="AT221" i="7950"/>
  <c r="AU221" i="7950" s="1"/>
  <c r="AR221" i="7950"/>
  <c r="AQ221" i="7950"/>
  <c r="E221" i="7950"/>
  <c r="I221" i="7950"/>
  <c r="G221" i="7950"/>
  <c r="K413" i="7950"/>
  <c r="AP206" i="7950"/>
  <c r="AQ269" i="7950"/>
  <c r="AT269" i="7950"/>
  <c r="AU269" i="7950" s="1"/>
  <c r="DI333" i="2"/>
  <c r="DV335" i="2" s="1"/>
  <c r="AW237" i="7950"/>
  <c r="M237" i="7950"/>
  <c r="AX237" i="7950"/>
  <c r="AZ237" i="7950"/>
  <c r="AY237" i="7950"/>
  <c r="M189" i="7950"/>
  <c r="AW189" i="7950"/>
  <c r="AZ189" i="7950"/>
  <c r="AX189" i="7950"/>
  <c r="AY189" i="7950"/>
  <c r="AP190" i="7950" s="1"/>
  <c r="I269" i="7950"/>
  <c r="G269" i="7950"/>
  <c r="AP381" i="7950"/>
  <c r="I381" i="7950" s="1"/>
  <c r="AT397" i="7950"/>
  <c r="AU397" i="7950" s="1"/>
  <c r="E397" i="7950"/>
  <c r="AQ397" i="7950"/>
  <c r="AR397" i="7950"/>
  <c r="G397" i="7950"/>
  <c r="I397" i="7950"/>
  <c r="AR350" i="7950"/>
  <c r="G350" i="7950"/>
  <c r="E350" i="7950"/>
  <c r="I350" i="7950"/>
  <c r="AT350" i="7950"/>
  <c r="AU350" i="7950" s="1"/>
  <c r="AQ350" i="7950"/>
  <c r="DV334" i="2"/>
  <c r="DK289" i="2"/>
  <c r="DN289" i="2"/>
  <c r="DL289" i="2"/>
  <c r="DO289" i="2"/>
  <c r="DM289" i="2"/>
  <c r="DJ306" i="2"/>
  <c r="DI312" i="2"/>
  <c r="DJ312" i="2" s="1"/>
  <c r="DL321" i="2"/>
  <c r="DK321" i="2"/>
  <c r="DN321" i="2"/>
  <c r="DM321" i="2"/>
  <c r="DO321" i="2"/>
  <c r="DL309" i="2"/>
  <c r="DM309" i="2"/>
  <c r="DN309" i="2"/>
  <c r="DK309" i="2"/>
  <c r="DO309" i="2"/>
  <c r="DK313" i="2"/>
  <c r="DN313" i="2"/>
  <c r="DL313" i="2"/>
  <c r="DO313" i="2"/>
  <c r="DM313" i="2"/>
  <c r="AW253" i="7950"/>
  <c r="M253" i="7950"/>
  <c r="AX253" i="7950"/>
  <c r="AY253" i="7950"/>
  <c r="AZ253" i="7950"/>
  <c r="DM314" i="2"/>
  <c r="DK314" i="2"/>
  <c r="DN314" i="2"/>
  <c r="DO314" i="2"/>
  <c r="DL314" i="2"/>
  <c r="DK310" i="2"/>
  <c r="DN310" i="2"/>
  <c r="DL310" i="2"/>
  <c r="DO310" i="2"/>
  <c r="DM310" i="2"/>
  <c r="DJ290" i="2"/>
  <c r="DP291" i="2"/>
  <c r="DI908" i="2"/>
  <c r="DI916" i="2"/>
  <c r="DI918" i="2"/>
  <c r="DI915" i="2"/>
  <c r="DI917" i="2"/>
  <c r="DN300" i="2"/>
  <c r="DO300" i="2"/>
  <c r="DL300" i="2"/>
  <c r="DM300" i="2"/>
  <c r="DK300" i="2"/>
  <c r="DK322" i="2"/>
  <c r="DN322" i="2"/>
  <c r="DL322" i="2"/>
  <c r="DO322" i="2"/>
  <c r="DM322" i="2"/>
  <c r="DN315" i="2"/>
  <c r="DL315" i="2"/>
  <c r="DO315" i="2"/>
  <c r="DM315" i="2"/>
  <c r="DK315" i="2"/>
  <c r="DN307" i="2"/>
  <c r="DK307" i="2"/>
  <c r="DO307" i="2"/>
  <c r="DL307" i="2"/>
  <c r="DM307" i="2"/>
  <c r="DP893" i="2"/>
  <c r="DN308" i="2"/>
  <c r="DL308" i="2"/>
  <c r="DO308" i="2"/>
  <c r="DM308" i="2"/>
  <c r="DK308" i="2"/>
  <c r="DL316" i="2"/>
  <c r="DM316" i="2"/>
  <c r="DK316" i="2"/>
  <c r="DN316" i="2"/>
  <c r="DO316" i="2"/>
  <c r="AP173" i="7950"/>
  <c r="G206" i="7950"/>
  <c r="I206" i="7950"/>
  <c r="AT206" i="7950"/>
  <c r="AU206" i="7950" s="1"/>
  <c r="AR206" i="7950"/>
  <c r="AQ206" i="7950"/>
  <c r="E206" i="7950"/>
  <c r="CY579" i="7949"/>
  <c r="CW579" i="7949"/>
  <c r="CX579" i="7949"/>
  <c r="CV579" i="7949"/>
  <c r="CZ579" i="7949"/>
  <c r="AY377" i="7955"/>
  <c r="DI614" i="2"/>
  <c r="DA863" i="7949"/>
  <c r="CU863" i="7949" s="1"/>
  <c r="CU862" i="7949"/>
  <c r="DA555" i="7949"/>
  <c r="CU554" i="7949"/>
  <c r="CW531" i="7949"/>
  <c r="CX531" i="7949"/>
  <c r="CV531" i="7949"/>
  <c r="CY531" i="7949"/>
  <c r="CZ531" i="7949"/>
  <c r="CV578" i="7949"/>
  <c r="CX578" i="7949"/>
  <c r="CY578" i="7949"/>
  <c r="CW578" i="7949"/>
  <c r="CZ578" i="7949"/>
  <c r="CU266" i="7949"/>
  <c r="DA267" i="7949"/>
  <c r="CT274" i="7949"/>
  <c r="DA840" i="7949"/>
  <c r="DI615" i="2"/>
  <c r="DI616" i="2"/>
  <c r="DA832" i="7949"/>
  <c r="CU831" i="7949"/>
  <c r="DP592" i="2"/>
  <c r="CU585" i="7949"/>
  <c r="DA586" i="7949"/>
  <c r="CU586" i="7949" s="1"/>
  <c r="CT549" i="7949"/>
  <c r="CT273" i="7949"/>
  <c r="DA278" i="7949"/>
  <c r="CU277" i="7949"/>
  <c r="CT259" i="7949"/>
  <c r="CU820" i="7949"/>
  <c r="DA821" i="7949"/>
  <c r="CU543" i="7949"/>
  <c r="DA544" i="7949"/>
  <c r="CW571" i="7949"/>
  <c r="CV571" i="7949"/>
  <c r="CZ571" i="7949"/>
  <c r="CY571" i="7949"/>
  <c r="CX571" i="7949"/>
  <c r="AY424" i="7955"/>
  <c r="AY425" i="7955" s="1"/>
  <c r="CY797" i="7949"/>
  <c r="CW797" i="7949"/>
  <c r="CZ797" i="7949"/>
  <c r="CX797" i="7949"/>
  <c r="CV797" i="7949"/>
  <c r="M365" i="7950"/>
  <c r="AX365" i="7950"/>
  <c r="AW365" i="7950"/>
  <c r="AY365" i="7950"/>
  <c r="AZ365" i="7950"/>
  <c r="CV855" i="7949"/>
  <c r="CW855" i="7949"/>
  <c r="CZ855" i="7949"/>
  <c r="CY855" i="7949"/>
  <c r="CX855" i="7949"/>
  <c r="CY295" i="7949"/>
  <c r="CW295" i="7949"/>
  <c r="CX295" i="7949"/>
  <c r="CV295" i="7949"/>
  <c r="CZ295" i="7949"/>
  <c r="CX243" i="7949"/>
  <c r="CV243" i="7949"/>
  <c r="CZ243" i="7949"/>
  <c r="CY243" i="7949"/>
  <c r="CW243" i="7949"/>
  <c r="CY301" i="7949"/>
  <c r="CW301" i="7949"/>
  <c r="CZ301" i="7949"/>
  <c r="CX301" i="7949"/>
  <c r="CV301" i="7949"/>
  <c r="CW520" i="7949"/>
  <c r="CX520" i="7949"/>
  <c r="CY520" i="7949"/>
  <c r="CV520" i="7949"/>
  <c r="CZ520" i="7949"/>
  <c r="DA229" i="7949"/>
  <c r="CU809" i="7949"/>
  <c r="DA810" i="7949"/>
  <c r="CZ254" i="7949"/>
  <c r="CW254" i="7949"/>
  <c r="CV254" i="7949"/>
  <c r="CX254" i="7949"/>
  <c r="CY254" i="7949"/>
  <c r="CW848" i="7949"/>
  <c r="CV848" i="7949"/>
  <c r="CY848" i="7949"/>
  <c r="CX848" i="7949"/>
  <c r="CZ848" i="7949"/>
  <c r="K269" i="7950"/>
  <c r="AV269" i="7950"/>
  <c r="CV553" i="7949"/>
  <c r="CX553" i="7949"/>
  <c r="CY553" i="7949"/>
  <c r="CW553" i="7949"/>
  <c r="CZ553" i="7949"/>
  <c r="DA533" i="7949"/>
  <c r="CU532" i="7949"/>
  <c r="CX265" i="7949"/>
  <c r="CV265" i="7949"/>
  <c r="CY265" i="7949"/>
  <c r="CW265" i="7949"/>
  <c r="CZ265" i="7949"/>
  <c r="AV286" i="7950"/>
  <c r="K286" i="7950"/>
  <c r="CT536" i="7949"/>
  <c r="AY227" i="7955"/>
  <c r="AY575" i="7955"/>
  <c r="CW830" i="7949"/>
  <c r="CV830" i="7949"/>
  <c r="CX830" i="7949"/>
  <c r="CZ830" i="7949"/>
  <c r="CY830" i="7949"/>
  <c r="CT551" i="7949"/>
  <c r="CY276" i="7949"/>
  <c r="CW276" i="7949"/>
  <c r="CV276" i="7949"/>
  <c r="CX276" i="7949"/>
  <c r="CZ276" i="7949"/>
  <c r="CW819" i="7949"/>
  <c r="CZ819" i="7949"/>
  <c r="CX819" i="7949"/>
  <c r="CV819" i="7949"/>
  <c r="CY819" i="7949"/>
  <c r="CT813" i="7949"/>
  <c r="CW542" i="7949"/>
  <c r="CX542" i="7949"/>
  <c r="CY542" i="7949"/>
  <c r="CV542" i="7949"/>
  <c r="CZ542" i="7949"/>
  <c r="CY572" i="7949"/>
  <c r="CZ572" i="7949"/>
  <c r="CV572" i="7949"/>
  <c r="CW572" i="7949"/>
  <c r="CX572" i="7949"/>
  <c r="DA563" i="7949"/>
  <c r="AY529" i="7955"/>
  <c r="AY530" i="7955" s="1"/>
  <c r="AY531" i="7955" s="1"/>
  <c r="AY532" i="7955" s="1"/>
  <c r="AY533" i="7955" s="1"/>
  <c r="AY534" i="7955" s="1"/>
  <c r="AY535" i="7955" s="1"/>
  <c r="AY536" i="7955" s="1"/>
  <c r="AY537" i="7955" s="1"/>
  <c r="AY538" i="7955" s="1"/>
  <c r="AY539" i="7955" s="1"/>
  <c r="AY540" i="7955" s="1"/>
  <c r="AY541" i="7955" s="1"/>
  <c r="AY542" i="7955" s="1"/>
  <c r="AY543" i="7955" s="1"/>
  <c r="AY544" i="7955" s="1"/>
  <c r="AY545" i="7955" s="1"/>
  <c r="AY546" i="7955" s="1"/>
  <c r="AY176" i="7955"/>
  <c r="AY125" i="7955"/>
  <c r="AY325" i="7955"/>
  <c r="CU798" i="7949"/>
  <c r="DA799" i="7949"/>
  <c r="CU308" i="7949"/>
  <c r="DA309" i="7949"/>
  <c r="CU309" i="7949" s="1"/>
  <c r="DA286" i="7949"/>
  <c r="CT548" i="7949"/>
  <c r="CT827" i="7949"/>
  <c r="CT826" i="7949"/>
  <c r="CY856" i="7949"/>
  <c r="CW856" i="7949"/>
  <c r="CV856" i="7949"/>
  <c r="CX856" i="7949"/>
  <c r="CZ856" i="7949"/>
  <c r="CY294" i="7949"/>
  <c r="CZ294" i="7949"/>
  <c r="CW294" i="7949"/>
  <c r="CV294" i="7949"/>
  <c r="CX294" i="7949"/>
  <c r="CT550" i="7949"/>
  <c r="DA506" i="7949"/>
  <c r="CU244" i="7949"/>
  <c r="DA245" i="7949"/>
  <c r="CT272" i="7949"/>
  <c r="CT825" i="7949"/>
  <c r="DI617" i="2"/>
  <c r="DI607" i="2"/>
  <c r="CV302" i="7949"/>
  <c r="CX302" i="7949"/>
  <c r="CZ302" i="7949"/>
  <c r="CY302" i="7949"/>
  <c r="CW302" i="7949"/>
  <c r="CU521" i="7949"/>
  <c r="DA522" i="7949"/>
  <c r="CW808" i="7949"/>
  <c r="CV808" i="7949"/>
  <c r="CY808" i="7949"/>
  <c r="CX808" i="7949"/>
  <c r="CZ808" i="7949"/>
  <c r="DA783" i="7949"/>
  <c r="AY80" i="7955"/>
  <c r="AY273" i="7955"/>
  <c r="CT271" i="7949"/>
  <c r="DA256" i="7949"/>
  <c r="CU255" i="7949"/>
  <c r="CT828" i="7949"/>
  <c r="CV849" i="7949"/>
  <c r="CW849" i="7949"/>
  <c r="CZ849" i="7949"/>
  <c r="CY849" i="7949"/>
  <c r="CX849" i="7949"/>
  <c r="AV301" i="7950"/>
  <c r="K301" i="7950"/>
  <c r="K333" i="7950"/>
  <c r="AV333" i="7950"/>
  <c r="Q553" i="7955" l="1"/>
  <c r="Q453" i="7955"/>
  <c r="Q353" i="7955"/>
  <c r="Q153" i="7955"/>
  <c r="Q253" i="7955"/>
  <c r="Q503" i="7955"/>
  <c r="Q103" i="7955"/>
  <c r="Q403" i="7955"/>
  <c r="Q55" i="7955"/>
  <c r="Q303" i="7955"/>
  <c r="Q203" i="7955"/>
  <c r="Q54" i="7955"/>
  <c r="O313" i="7955"/>
  <c r="O315" i="7955" s="1"/>
  <c r="O312" i="7955"/>
  <c r="O212" i="7955"/>
  <c r="O213" i="7955"/>
  <c r="O215" i="7955" s="1"/>
  <c r="L45" i="3"/>
  <c r="O45" i="3" s="1"/>
  <c r="W206" i="1"/>
  <c r="AF208" i="7950"/>
  <c r="AF207" i="7950"/>
  <c r="AF211" i="7950"/>
  <c r="AF210" i="7950"/>
  <c r="C201" i="7950"/>
  <c r="V217" i="7950"/>
  <c r="AF209" i="7950"/>
  <c r="R553" i="7955"/>
  <c r="R253" i="7955"/>
  <c r="R303" i="7955"/>
  <c r="R103" i="7955"/>
  <c r="R503" i="7955"/>
  <c r="R153" i="7955"/>
  <c r="R203" i="7955"/>
  <c r="R403" i="7955"/>
  <c r="R54" i="7955"/>
  <c r="R453" i="7955"/>
  <c r="R353" i="7955"/>
  <c r="R55" i="7955"/>
  <c r="AB267" i="1"/>
  <c r="D249" i="1"/>
  <c r="C249" i="1"/>
  <c r="W251" i="1"/>
  <c r="P205" i="7955"/>
  <c r="P204" i="7955"/>
  <c r="P454" i="7955"/>
  <c r="P455" i="7955"/>
  <c r="P255" i="7955"/>
  <c r="P254" i="7955"/>
  <c r="P504" i="7955"/>
  <c r="P505" i="7955"/>
  <c r="P404" i="7955"/>
  <c r="P405" i="7955"/>
  <c r="O113" i="7955"/>
  <c r="O115" i="7955" s="1"/>
  <c r="O112" i="7955"/>
  <c r="O412" i="7955"/>
  <c r="O413" i="7955"/>
  <c r="O415" i="7955" s="1"/>
  <c r="AP238" i="7950"/>
  <c r="BB48" i="3"/>
  <c r="BE48" i="3" s="1"/>
  <c r="W176" i="1"/>
  <c r="W177" i="1" s="1"/>
  <c r="W178" i="1" s="1"/>
  <c r="W179" i="1" s="1"/>
  <c r="W180" i="1" s="1"/>
  <c r="W181" i="1" s="1"/>
  <c r="W182" i="1" s="1"/>
  <c r="W221" i="1"/>
  <c r="BN48" i="3"/>
  <c r="BQ48" i="3" s="1"/>
  <c r="W191" i="1"/>
  <c r="AP43" i="3"/>
  <c r="AS43" i="3" s="1"/>
  <c r="O512" i="7955"/>
  <c r="O513" i="7955"/>
  <c r="O515" i="7955" s="1"/>
  <c r="O262" i="7955"/>
  <c r="O263" i="7955"/>
  <c r="O265" i="7955" s="1"/>
  <c r="O162" i="7955"/>
  <c r="O163" i="7955"/>
  <c r="O165" i="7955" s="1"/>
  <c r="AV317" i="7950"/>
  <c r="K317" i="7950"/>
  <c r="W236" i="1"/>
  <c r="AV46" i="3"/>
  <c r="AY46" i="3" s="1"/>
  <c r="P355" i="7955"/>
  <c r="P354" i="7955"/>
  <c r="P62" i="7955"/>
  <c r="P63" i="7955"/>
  <c r="P65" i="7955" s="1"/>
  <c r="P555" i="7955"/>
  <c r="P554" i="7955"/>
  <c r="P304" i="7955"/>
  <c r="P305" i="7955"/>
  <c r="P154" i="7955"/>
  <c r="P155" i="7955"/>
  <c r="P104" i="7955"/>
  <c r="P105" i="7955"/>
  <c r="O362" i="7955"/>
  <c r="O363" i="7955"/>
  <c r="O365" i="7955" s="1"/>
  <c r="O463" i="7955"/>
  <c r="O465" i="7955" s="1"/>
  <c r="O462" i="7955"/>
  <c r="O563" i="7955"/>
  <c r="O565" i="7955" s="1"/>
  <c r="O562" i="7955"/>
  <c r="AP254" i="7950"/>
  <c r="M413" i="7950"/>
  <c r="AW413" i="7950"/>
  <c r="AY413" i="7950"/>
  <c r="AX413" i="7950"/>
  <c r="AZ413" i="7950"/>
  <c r="AV221" i="7950"/>
  <c r="K221" i="7950"/>
  <c r="AQ381" i="7950"/>
  <c r="AQ190" i="7950"/>
  <c r="E190" i="7950"/>
  <c r="I190" i="7950"/>
  <c r="AT190" i="7950"/>
  <c r="AU190" i="7950" s="1"/>
  <c r="AR190" i="7950"/>
  <c r="G190" i="7950"/>
  <c r="AQ238" i="7950"/>
  <c r="E238" i="7950"/>
  <c r="I238" i="7950"/>
  <c r="AT238" i="7950"/>
  <c r="AU238" i="7950" s="1"/>
  <c r="AR238" i="7950"/>
  <c r="G238" i="7950"/>
  <c r="E381" i="7950"/>
  <c r="AR381" i="7950"/>
  <c r="G381" i="7950"/>
  <c r="AT381" i="7950"/>
  <c r="AU381" i="7950" s="1"/>
  <c r="AV381" i="7950" s="1"/>
  <c r="DI319" i="2"/>
  <c r="DV321" i="2" s="1"/>
  <c r="DP894" i="2"/>
  <c r="DI914" i="2"/>
  <c r="DJ291" i="2"/>
  <c r="DP292" i="2"/>
  <c r="DJ292" i="2" s="1"/>
  <c r="DK312" i="2"/>
  <c r="DN312" i="2"/>
  <c r="DO312" i="2"/>
  <c r="DL312" i="2"/>
  <c r="DM312" i="2"/>
  <c r="DY334" i="2"/>
  <c r="DX334" i="2"/>
  <c r="AV350" i="7950"/>
  <c r="K350" i="7950"/>
  <c r="AR173" i="7950"/>
  <c r="G173" i="7950"/>
  <c r="AT173" i="7950"/>
  <c r="AU173" i="7950" s="1"/>
  <c r="I173" i="7950"/>
  <c r="E173" i="7950"/>
  <c r="AQ173" i="7950"/>
  <c r="DN290" i="2"/>
  <c r="DO290" i="2"/>
  <c r="DL290" i="2"/>
  <c r="DM290" i="2"/>
  <c r="DK290" i="2"/>
  <c r="AT254" i="7950"/>
  <c r="AU254" i="7950" s="1"/>
  <c r="AR254" i="7950"/>
  <c r="G254" i="7950"/>
  <c r="AQ254" i="7950"/>
  <c r="E254" i="7950"/>
  <c r="I254" i="7950"/>
  <c r="DO306" i="2"/>
  <c r="DM306" i="2"/>
  <c r="DK306" i="2"/>
  <c r="DN306" i="2"/>
  <c r="DL306" i="2"/>
  <c r="DY335" i="2"/>
  <c r="DX335" i="2"/>
  <c r="AV397" i="7950"/>
  <c r="K397" i="7950"/>
  <c r="M333" i="7950"/>
  <c r="AX333" i="7950"/>
  <c r="AW333" i="7950"/>
  <c r="AZ333" i="7950"/>
  <c r="AY333" i="7950"/>
  <c r="M301" i="7950"/>
  <c r="AX301" i="7950"/>
  <c r="AW301" i="7950"/>
  <c r="AZ301" i="7950"/>
  <c r="AY301" i="7950"/>
  <c r="DA523" i="7949"/>
  <c r="CU523" i="7949" s="1"/>
  <c r="CU522" i="7949"/>
  <c r="DI613" i="2"/>
  <c r="CU286" i="7949"/>
  <c r="DA287" i="7949"/>
  <c r="CZ308" i="7949"/>
  <c r="CX308" i="7949"/>
  <c r="CY308" i="7949"/>
  <c r="CV308" i="7949"/>
  <c r="CW308" i="7949"/>
  <c r="CU799" i="7949"/>
  <c r="DA800" i="7949"/>
  <c r="CU800" i="7949" s="1"/>
  <c r="AW286" i="7950"/>
  <c r="M286" i="7950"/>
  <c r="AX286" i="7950"/>
  <c r="AY286" i="7950"/>
  <c r="AZ286" i="7950"/>
  <c r="DA534" i="7949"/>
  <c r="CU534" i="7949" s="1"/>
  <c r="CU533" i="7949"/>
  <c r="M269" i="7950"/>
  <c r="AX269" i="7950"/>
  <c r="AW269" i="7950"/>
  <c r="AZ269" i="7950"/>
  <c r="AY269" i="7950"/>
  <c r="CY809" i="7949"/>
  <c r="CZ809" i="7949"/>
  <c r="CX809" i="7949"/>
  <c r="CW809" i="7949"/>
  <c r="CV809" i="7949"/>
  <c r="DA230" i="7949"/>
  <c r="AY426" i="7955"/>
  <c r="K43" i="7954" s="1"/>
  <c r="DA545" i="7949"/>
  <c r="CU545" i="7949" s="1"/>
  <c r="CU544" i="7949"/>
  <c r="DA822" i="7949"/>
  <c r="CU822" i="7949" s="1"/>
  <c r="CU821" i="7949"/>
  <c r="CY277" i="7949"/>
  <c r="CW277" i="7949"/>
  <c r="CV277" i="7949"/>
  <c r="CX277" i="7949"/>
  <c r="CZ277" i="7949"/>
  <c r="CV586" i="7949"/>
  <c r="CW586" i="7949"/>
  <c r="CX586" i="7949"/>
  <c r="CY586" i="7949"/>
  <c r="CZ586" i="7949"/>
  <c r="CY831" i="7949"/>
  <c r="CX831" i="7949"/>
  <c r="CZ831" i="7949"/>
  <c r="CW831" i="7949"/>
  <c r="CV831" i="7949"/>
  <c r="DA268" i="7949"/>
  <c r="CU268" i="7949" s="1"/>
  <c r="CU267" i="7949"/>
  <c r="CV554" i="7949"/>
  <c r="CZ554" i="7949"/>
  <c r="CX554" i="7949"/>
  <c r="CW554" i="7949"/>
  <c r="CY554" i="7949"/>
  <c r="CY862" i="7949"/>
  <c r="CW862" i="7949"/>
  <c r="CX862" i="7949"/>
  <c r="CZ862" i="7949"/>
  <c r="CV862" i="7949"/>
  <c r="K206" i="7950"/>
  <c r="AV206" i="7950"/>
  <c r="CY255" i="7949"/>
  <c r="CV255" i="7949"/>
  <c r="CX255" i="7949"/>
  <c r="CW255" i="7949"/>
  <c r="CZ255" i="7949"/>
  <c r="AY274" i="7955"/>
  <c r="AY81" i="7955"/>
  <c r="DA784" i="7949"/>
  <c r="CV244" i="7949"/>
  <c r="CX244" i="7949"/>
  <c r="CZ244" i="7949"/>
  <c r="CY244" i="7949"/>
  <c r="CW244" i="7949"/>
  <c r="DA507" i="7949"/>
  <c r="DA257" i="7949"/>
  <c r="CU257" i="7949" s="1"/>
  <c r="CU256" i="7949"/>
  <c r="CV521" i="7949"/>
  <c r="CZ521" i="7949"/>
  <c r="CY521" i="7949"/>
  <c r="CW521" i="7949"/>
  <c r="CX521" i="7949"/>
  <c r="DA246" i="7949"/>
  <c r="CU246" i="7949" s="1"/>
  <c r="CU245" i="7949"/>
  <c r="CZ309" i="7949"/>
  <c r="CX309" i="7949"/>
  <c r="CW309" i="7949"/>
  <c r="CY309" i="7949"/>
  <c r="CV309" i="7949"/>
  <c r="CV798" i="7949"/>
  <c r="CX798" i="7949"/>
  <c r="CZ798" i="7949"/>
  <c r="CW798" i="7949"/>
  <c r="CY798" i="7949"/>
  <c r="AY326" i="7955"/>
  <c r="K63" i="7954" s="1"/>
  <c r="AY126" i="7955"/>
  <c r="K62" i="7954"/>
  <c r="AY177" i="7955"/>
  <c r="CU563" i="7949"/>
  <c r="DA564" i="7949"/>
  <c r="CT824" i="7949"/>
  <c r="AY576" i="7955"/>
  <c r="AY228" i="7955"/>
  <c r="AY229" i="7955" s="1"/>
  <c r="AY230" i="7955" s="1"/>
  <c r="AY231" i="7955" s="1"/>
  <c r="AY232" i="7955" s="1"/>
  <c r="AY233" i="7955" s="1"/>
  <c r="AY234" i="7955" s="1"/>
  <c r="AY235" i="7955" s="1"/>
  <c r="AY236" i="7955" s="1"/>
  <c r="AY237" i="7955" s="1"/>
  <c r="AY238" i="7955" s="1"/>
  <c r="AY239" i="7955" s="1"/>
  <c r="AY240" i="7955" s="1"/>
  <c r="AY241" i="7955" s="1"/>
  <c r="AY242" i="7955" s="1"/>
  <c r="AY243" i="7955" s="1"/>
  <c r="AY244" i="7955" s="1"/>
  <c r="AY245" i="7955" s="1"/>
  <c r="AY246" i="7955" s="1"/>
  <c r="CT547" i="7949"/>
  <c r="CY532" i="7949"/>
  <c r="CZ532" i="7949"/>
  <c r="CV532" i="7949"/>
  <c r="CW532" i="7949"/>
  <c r="CX532" i="7949"/>
  <c r="DA811" i="7949"/>
  <c r="CU811" i="7949" s="1"/>
  <c r="CU810" i="7949"/>
  <c r="CY543" i="7949"/>
  <c r="CW543" i="7949"/>
  <c r="CX543" i="7949"/>
  <c r="CV543" i="7949"/>
  <c r="CZ543" i="7949"/>
  <c r="CW820" i="7949"/>
  <c r="CV820" i="7949"/>
  <c r="CX820" i="7949"/>
  <c r="CZ820" i="7949"/>
  <c r="CY820" i="7949"/>
  <c r="CT270" i="7949"/>
  <c r="DA279" i="7949"/>
  <c r="CU279" i="7949" s="1"/>
  <c r="CU278" i="7949"/>
  <c r="CV585" i="7949"/>
  <c r="CY585" i="7949"/>
  <c r="CZ585" i="7949"/>
  <c r="CW585" i="7949"/>
  <c r="CX585" i="7949"/>
  <c r="DP593" i="2"/>
  <c r="CU832" i="7949"/>
  <c r="DA833" i="7949"/>
  <c r="CU833" i="7949" s="1"/>
  <c r="CU840" i="7949"/>
  <c r="DA841" i="7949"/>
  <c r="CZ266" i="7949"/>
  <c r="CY266" i="7949"/>
  <c r="CW266" i="7949"/>
  <c r="CV266" i="7949"/>
  <c r="CX266" i="7949"/>
  <c r="DA556" i="7949"/>
  <c r="CU556" i="7949" s="1"/>
  <c r="CU555" i="7949"/>
  <c r="CY863" i="7949"/>
  <c r="CW863" i="7949"/>
  <c r="CX863" i="7949"/>
  <c r="CV863" i="7949"/>
  <c r="CZ863" i="7949"/>
  <c r="AY378" i="7955"/>
  <c r="AY379" i="7955" s="1"/>
  <c r="AY380" i="7955" s="1"/>
  <c r="AY381" i="7955" s="1"/>
  <c r="AY382" i="7955" s="1"/>
  <c r="AY383" i="7955" s="1"/>
  <c r="AY384" i="7955" s="1"/>
  <c r="AY385" i="7955" s="1"/>
  <c r="AY386" i="7955" s="1"/>
  <c r="AY387" i="7955" s="1"/>
  <c r="AY388" i="7955" s="1"/>
  <c r="AY389" i="7955" s="1"/>
  <c r="AY390" i="7955" s="1"/>
  <c r="AY391" i="7955" s="1"/>
  <c r="AY392" i="7955" s="1"/>
  <c r="AY393" i="7955" s="1"/>
  <c r="AY394" i="7955" s="1"/>
  <c r="AY395" i="7955" s="1"/>
  <c r="AY396" i="7955" s="1"/>
  <c r="AP366" i="7950"/>
  <c r="P563" i="7955" l="1"/>
  <c r="P565" i="7955" s="1"/>
  <c r="P562" i="7955"/>
  <c r="P363" i="7955"/>
  <c r="P365" i="7955" s="1"/>
  <c r="P362" i="7955"/>
  <c r="P413" i="7955"/>
  <c r="P415" i="7955" s="1"/>
  <c r="P412" i="7955"/>
  <c r="P513" i="7955"/>
  <c r="P515" i="7955" s="1"/>
  <c r="P512" i="7955"/>
  <c r="P462" i="7955"/>
  <c r="P463" i="7955"/>
  <c r="P465" i="7955" s="1"/>
  <c r="AB283" i="1"/>
  <c r="T53" i="7955"/>
  <c r="W267" i="1"/>
  <c r="D265" i="1"/>
  <c r="AT73" i="1"/>
  <c r="C265" i="1"/>
  <c r="S53" i="7955"/>
  <c r="R354" i="7955"/>
  <c r="R355" i="7955"/>
  <c r="R63" i="7955"/>
  <c r="R65" i="7955" s="1"/>
  <c r="R62" i="7955"/>
  <c r="R204" i="7955"/>
  <c r="R205" i="7955"/>
  <c r="R504" i="7955"/>
  <c r="R505" i="7955"/>
  <c r="R305" i="7955"/>
  <c r="R304" i="7955"/>
  <c r="R555" i="7955"/>
  <c r="R554" i="7955"/>
  <c r="AF226" i="7950"/>
  <c r="C217" i="7950"/>
  <c r="AF227" i="7950"/>
  <c r="V233" i="7950"/>
  <c r="AF224" i="7950"/>
  <c r="AF223" i="7950"/>
  <c r="AF225" i="7950"/>
  <c r="W207" i="1"/>
  <c r="R48" i="3"/>
  <c r="U48" i="3" s="1"/>
  <c r="Q63" i="7955"/>
  <c r="Q65" i="7955" s="1"/>
  <c r="Q62" i="7955"/>
  <c r="Q304" i="7955"/>
  <c r="Q305" i="7955"/>
  <c r="Q404" i="7955"/>
  <c r="Q405" i="7955"/>
  <c r="Q504" i="7955"/>
  <c r="Q505" i="7955"/>
  <c r="Q155" i="7955"/>
  <c r="Q154" i="7955"/>
  <c r="Q455" i="7955"/>
  <c r="Q454" i="7955"/>
  <c r="K381" i="7950"/>
  <c r="P113" i="7955"/>
  <c r="P115" i="7955" s="1"/>
  <c r="P112" i="7955"/>
  <c r="P163" i="7955"/>
  <c r="P165" i="7955" s="1"/>
  <c r="P162" i="7955"/>
  <c r="P313" i="7955"/>
  <c r="P315" i="7955" s="1"/>
  <c r="P312" i="7955"/>
  <c r="AJ42" i="3"/>
  <c r="AM42" i="3" s="1"/>
  <c r="W237" i="1"/>
  <c r="AW317" i="7950"/>
  <c r="AY317" i="7950"/>
  <c r="AZ317" i="7950"/>
  <c r="AX317" i="7950"/>
  <c r="M317" i="7950"/>
  <c r="W192" i="1"/>
  <c r="W193" i="1" s="1"/>
  <c r="W194" i="1" s="1"/>
  <c r="W195" i="1" s="1"/>
  <c r="W196" i="1" s="1"/>
  <c r="W197" i="1" s="1"/>
  <c r="W198" i="1" s="1"/>
  <c r="X51" i="3"/>
  <c r="AA51" i="3" s="1"/>
  <c r="X42" i="3"/>
  <c r="AA42" i="3" s="1"/>
  <c r="W222" i="1"/>
  <c r="P262" i="7955"/>
  <c r="P263" i="7955"/>
  <c r="P265" i="7955" s="1"/>
  <c r="P213" i="7955"/>
  <c r="P215" i="7955" s="1"/>
  <c r="P212" i="7955"/>
  <c r="BN43" i="3"/>
  <c r="BQ43" i="3" s="1"/>
  <c r="W252" i="1"/>
  <c r="R455" i="7955"/>
  <c r="R454" i="7955"/>
  <c r="R405" i="7955"/>
  <c r="R404" i="7955"/>
  <c r="R154" i="7955"/>
  <c r="R155" i="7955"/>
  <c r="R105" i="7955"/>
  <c r="R104" i="7955"/>
  <c r="R255" i="7955"/>
  <c r="R254" i="7955"/>
  <c r="Q204" i="7955"/>
  <c r="Q205" i="7955"/>
  <c r="Q104" i="7955"/>
  <c r="Q105" i="7955"/>
  <c r="Q255" i="7955"/>
  <c r="Q254" i="7955"/>
  <c r="Q354" i="7955"/>
  <c r="Q355" i="7955"/>
  <c r="Q554" i="7955"/>
  <c r="Q555" i="7955"/>
  <c r="K155" i="7954"/>
  <c r="K64" i="7954"/>
  <c r="K65" i="7954"/>
  <c r="AP414" i="7950"/>
  <c r="AW221" i="7950"/>
  <c r="AX221" i="7950"/>
  <c r="AY221" i="7950"/>
  <c r="M221" i="7950"/>
  <c r="AZ221" i="7950"/>
  <c r="K238" i="7950"/>
  <c r="AV238" i="7950"/>
  <c r="AV190" i="7950"/>
  <c r="K190" i="7950"/>
  <c r="AP302" i="7950"/>
  <c r="I302" i="7950" s="1"/>
  <c r="ED335" i="2"/>
  <c r="ED334" i="2"/>
  <c r="DV322" i="2"/>
  <c r="DX322" i="2" s="1"/>
  <c r="DV320" i="2"/>
  <c r="DY320" i="2" s="1"/>
  <c r="AW397" i="7950"/>
  <c r="M397" i="7950"/>
  <c r="AX397" i="7950"/>
  <c r="AY397" i="7950"/>
  <c r="AZ397" i="7950"/>
  <c r="AV254" i="7950"/>
  <c r="K254" i="7950"/>
  <c r="K173" i="7950"/>
  <c r="AV173" i="7950"/>
  <c r="AX350" i="7950"/>
  <c r="AY350" i="7950"/>
  <c r="AW350" i="7950"/>
  <c r="M350" i="7950"/>
  <c r="AZ350" i="7950"/>
  <c r="DL292" i="2"/>
  <c r="DM292" i="2"/>
  <c r="DK292" i="2"/>
  <c r="DN292" i="2"/>
  <c r="DO292" i="2"/>
  <c r="AW381" i="7950"/>
  <c r="AX381" i="7950"/>
  <c r="M381" i="7950"/>
  <c r="AZ381" i="7950"/>
  <c r="AY381" i="7950"/>
  <c r="DO291" i="2"/>
  <c r="DM291" i="2"/>
  <c r="DK291" i="2"/>
  <c r="DN291" i="2"/>
  <c r="DL291" i="2"/>
  <c r="DY321" i="2"/>
  <c r="DX321" i="2"/>
  <c r="AT366" i="7950"/>
  <c r="AU366" i="7950" s="1"/>
  <c r="AQ366" i="7950"/>
  <c r="AR366" i="7950"/>
  <c r="E366" i="7950"/>
  <c r="I366" i="7950"/>
  <c r="G366" i="7950"/>
  <c r="CV833" i="7949"/>
  <c r="CW833" i="7949"/>
  <c r="CY833" i="7949"/>
  <c r="CZ833" i="7949"/>
  <c r="CX833" i="7949"/>
  <c r="CY279" i="7949"/>
  <c r="CW279" i="7949"/>
  <c r="CZ279" i="7949"/>
  <c r="CV279" i="7949"/>
  <c r="CX279" i="7949"/>
  <c r="CY811" i="7949"/>
  <c r="CX811" i="7949"/>
  <c r="CV811" i="7949"/>
  <c r="CZ811" i="7949"/>
  <c r="CW811" i="7949"/>
  <c r="CV563" i="7949"/>
  <c r="CZ563" i="7949"/>
  <c r="CY563" i="7949"/>
  <c r="CX563" i="7949"/>
  <c r="CW563" i="7949"/>
  <c r="AY127" i="7955"/>
  <c r="AY128" i="7955" s="1"/>
  <c r="K154" i="7954" s="1"/>
  <c r="CZ246" i="7949"/>
  <c r="CY246" i="7949"/>
  <c r="CW246" i="7949"/>
  <c r="CX246" i="7949"/>
  <c r="CV246" i="7949"/>
  <c r="CZ256" i="7949"/>
  <c r="CW256" i="7949"/>
  <c r="CV256" i="7949"/>
  <c r="CX256" i="7949"/>
  <c r="CY256" i="7949"/>
  <c r="DA785" i="7949"/>
  <c r="CV267" i="7949"/>
  <c r="CZ267" i="7949"/>
  <c r="CY267" i="7949"/>
  <c r="CX267" i="7949"/>
  <c r="CW267" i="7949"/>
  <c r="CV821" i="7949"/>
  <c r="CY821" i="7949"/>
  <c r="CZ821" i="7949"/>
  <c r="CW821" i="7949"/>
  <c r="CX821" i="7949"/>
  <c r="CY544" i="7949"/>
  <c r="CW544" i="7949"/>
  <c r="CZ544" i="7949"/>
  <c r="CV544" i="7949"/>
  <c r="CX544" i="7949"/>
  <c r="AY427" i="7955"/>
  <c r="AY428" i="7955" s="1"/>
  <c r="K89" i="7954" s="1"/>
  <c r="K42" i="7954"/>
  <c r="CY533" i="7949"/>
  <c r="CX533" i="7949"/>
  <c r="CW533" i="7949"/>
  <c r="CZ533" i="7949"/>
  <c r="CV533" i="7949"/>
  <c r="CW800" i="7949"/>
  <c r="CV800" i="7949"/>
  <c r="CX800" i="7949"/>
  <c r="CY800" i="7949"/>
  <c r="CZ800" i="7949"/>
  <c r="CY286" i="7949"/>
  <c r="CX286" i="7949"/>
  <c r="CW286" i="7949"/>
  <c r="CZ286" i="7949"/>
  <c r="CV286" i="7949"/>
  <c r="CY523" i="7949"/>
  <c r="CW523" i="7949"/>
  <c r="CX523" i="7949"/>
  <c r="CZ523" i="7949"/>
  <c r="CV523" i="7949"/>
  <c r="CV556" i="7949"/>
  <c r="CZ556" i="7949"/>
  <c r="CX556" i="7949"/>
  <c r="CW556" i="7949"/>
  <c r="CY556" i="7949"/>
  <c r="DA842" i="7949"/>
  <c r="CU842" i="7949" s="1"/>
  <c r="CU841" i="7949"/>
  <c r="CY555" i="7949"/>
  <c r="CV555" i="7949"/>
  <c r="CZ555" i="7949"/>
  <c r="CW555" i="7949"/>
  <c r="CX555" i="7949"/>
  <c r="CW840" i="7949"/>
  <c r="CZ840" i="7949"/>
  <c r="CV840" i="7949"/>
  <c r="CY840" i="7949"/>
  <c r="CX840" i="7949"/>
  <c r="CZ832" i="7949"/>
  <c r="CY832" i="7949"/>
  <c r="CV832" i="7949"/>
  <c r="CW832" i="7949"/>
  <c r="CX832" i="7949"/>
  <c r="CX278" i="7949"/>
  <c r="CZ278" i="7949"/>
  <c r="CY278" i="7949"/>
  <c r="CV278" i="7949"/>
  <c r="CW278" i="7949"/>
  <c r="CY810" i="7949"/>
  <c r="CX810" i="7949"/>
  <c r="CZ810" i="7949"/>
  <c r="CV810" i="7949"/>
  <c r="CW810" i="7949"/>
  <c r="AY577" i="7955"/>
  <c r="DA565" i="7949"/>
  <c r="CU565" i="7949" s="1"/>
  <c r="CU564" i="7949"/>
  <c r="AY178" i="7955"/>
  <c r="K90" i="7954"/>
  <c r="K66" i="7954"/>
  <c r="AY327" i="7955"/>
  <c r="CZ245" i="7949"/>
  <c r="CX245" i="7949"/>
  <c r="CY245" i="7949"/>
  <c r="CV245" i="7949"/>
  <c r="CW245" i="7949"/>
  <c r="CY257" i="7949"/>
  <c r="CW257" i="7949"/>
  <c r="CX257" i="7949"/>
  <c r="CZ257" i="7949"/>
  <c r="CV257" i="7949"/>
  <c r="DA508" i="7949"/>
  <c r="AY82" i="7955"/>
  <c r="AY83" i="7955" s="1"/>
  <c r="AY84" i="7955" s="1"/>
  <c r="AY85" i="7955" s="1"/>
  <c r="AY86" i="7955" s="1"/>
  <c r="AY87" i="7955" s="1"/>
  <c r="AY88" i="7955" s="1"/>
  <c r="AY89" i="7955" s="1"/>
  <c r="AY90" i="7955" s="1"/>
  <c r="AY91" i="7955" s="1"/>
  <c r="AY92" i="7955" s="1"/>
  <c r="AY93" i="7955" s="1"/>
  <c r="AY94" i="7955" s="1"/>
  <c r="AY95" i="7955" s="1"/>
  <c r="AY96" i="7955" s="1"/>
  <c r="AY275" i="7955"/>
  <c r="AY276" i="7955" s="1"/>
  <c r="AY277" i="7955" s="1"/>
  <c r="AY278" i="7955" s="1"/>
  <c r="AY279" i="7955" s="1"/>
  <c r="AY280" i="7955" s="1"/>
  <c r="AY281" i="7955" s="1"/>
  <c r="AY282" i="7955" s="1"/>
  <c r="AY283" i="7955" s="1"/>
  <c r="AY284" i="7955" s="1"/>
  <c r="AY285" i="7955" s="1"/>
  <c r="AY286" i="7955" s="1"/>
  <c r="AY287" i="7955" s="1"/>
  <c r="AY288" i="7955" s="1"/>
  <c r="AY289" i="7955" s="1"/>
  <c r="AY290" i="7955" s="1"/>
  <c r="AY291" i="7955" s="1"/>
  <c r="AY292" i="7955" s="1"/>
  <c r="AY293" i="7955" s="1"/>
  <c r="AY294" i="7955" s="1"/>
  <c r="AY295" i="7955" s="1"/>
  <c r="AY296" i="7955" s="1"/>
  <c r="K88" i="7954"/>
  <c r="AW206" i="7950"/>
  <c r="M206" i="7950"/>
  <c r="AX206" i="7950"/>
  <c r="AZ206" i="7950"/>
  <c r="AY206" i="7950"/>
  <c r="CX268" i="7949"/>
  <c r="CZ268" i="7949"/>
  <c r="CY268" i="7949"/>
  <c r="CV268" i="7949"/>
  <c r="CW268" i="7949"/>
  <c r="CW822" i="7949"/>
  <c r="CV822" i="7949"/>
  <c r="CX822" i="7949"/>
  <c r="CZ822" i="7949"/>
  <c r="CY822" i="7949"/>
  <c r="CV545" i="7949"/>
  <c r="CZ545" i="7949"/>
  <c r="CW545" i="7949"/>
  <c r="CY545" i="7949"/>
  <c r="CX545" i="7949"/>
  <c r="DA231" i="7949"/>
  <c r="CV534" i="7949"/>
  <c r="CW534" i="7949"/>
  <c r="CX534" i="7949"/>
  <c r="CY534" i="7949"/>
  <c r="CZ534" i="7949"/>
  <c r="CV799" i="7949"/>
  <c r="CY799" i="7949"/>
  <c r="CZ799" i="7949"/>
  <c r="CW799" i="7949"/>
  <c r="CX799" i="7949"/>
  <c r="DA288" i="7949"/>
  <c r="CU288" i="7949" s="1"/>
  <c r="CU287" i="7949"/>
  <c r="CV522" i="7949"/>
  <c r="CX522" i="7949"/>
  <c r="CW522" i="7949"/>
  <c r="CY522" i="7949"/>
  <c r="CZ522" i="7949"/>
  <c r="G302" i="7950"/>
  <c r="AT302" i="7950"/>
  <c r="AU302" i="7950" s="1"/>
  <c r="AQ302" i="7950"/>
  <c r="AP270" i="7950"/>
  <c r="AP287" i="7950"/>
  <c r="AP334" i="7950"/>
  <c r="Q262" i="7955" l="1"/>
  <c r="Q263" i="7955"/>
  <c r="Q265" i="7955" s="1"/>
  <c r="R263" i="7955"/>
  <c r="R265" i="7955" s="1"/>
  <c r="R262" i="7955"/>
  <c r="R113" i="7955"/>
  <c r="R115" i="7955" s="1"/>
  <c r="R112" i="7955"/>
  <c r="R412" i="7955"/>
  <c r="R413" i="7955"/>
  <c r="R415" i="7955" s="1"/>
  <c r="R462" i="7955"/>
  <c r="R463" i="7955"/>
  <c r="R465" i="7955" s="1"/>
  <c r="W253" i="1"/>
  <c r="X46" i="3"/>
  <c r="AA46" i="3" s="1"/>
  <c r="W223" i="1"/>
  <c r="AJ46" i="3"/>
  <c r="AM46" i="3" s="1"/>
  <c r="Q462" i="7955"/>
  <c r="Q463" i="7955"/>
  <c r="Q465" i="7955" s="1"/>
  <c r="Q163" i="7955"/>
  <c r="Q165" i="7955" s="1"/>
  <c r="Q162" i="7955"/>
  <c r="R513" i="7955"/>
  <c r="R515" i="7955" s="1"/>
  <c r="R512" i="7955"/>
  <c r="R213" i="7955"/>
  <c r="R215" i="7955" s="1"/>
  <c r="R212" i="7955"/>
  <c r="R362" i="7955"/>
  <c r="R363" i="7955"/>
  <c r="R365" i="7955" s="1"/>
  <c r="T353" i="7955"/>
  <c r="T503" i="7955"/>
  <c r="T153" i="7955"/>
  <c r="T103" i="7955"/>
  <c r="T553" i="7955"/>
  <c r="T403" i="7955"/>
  <c r="T453" i="7955"/>
  <c r="T253" i="7955"/>
  <c r="T54" i="7955"/>
  <c r="T203" i="7955"/>
  <c r="T303" i="7955"/>
  <c r="T55" i="7955"/>
  <c r="Q562" i="7955"/>
  <c r="Q563" i="7955"/>
  <c r="Q565" i="7955" s="1"/>
  <c r="Q362" i="7955"/>
  <c r="Q363" i="7955"/>
  <c r="Q365" i="7955" s="1"/>
  <c r="Q112" i="7955"/>
  <c r="Q113" i="7955"/>
  <c r="Q115" i="7955" s="1"/>
  <c r="Q213" i="7955"/>
  <c r="Q215" i="7955" s="1"/>
  <c r="Q212" i="7955"/>
  <c r="R162" i="7955"/>
  <c r="R163" i="7955"/>
  <c r="R165" i="7955" s="1"/>
  <c r="AP318" i="7950"/>
  <c r="X48" i="3"/>
  <c r="AA48" i="3" s="1"/>
  <c r="W238" i="1"/>
  <c r="Q512" i="7955"/>
  <c r="Q513" i="7955"/>
  <c r="Q515" i="7955" s="1"/>
  <c r="Q413" i="7955"/>
  <c r="Q415" i="7955" s="1"/>
  <c r="Q412" i="7955"/>
  <c r="Q313" i="7955"/>
  <c r="Q315" i="7955" s="1"/>
  <c r="Q312" i="7955"/>
  <c r="BB42" i="3"/>
  <c r="BE42" i="3" s="1"/>
  <c r="W208" i="1"/>
  <c r="W209" i="1" s="1"/>
  <c r="W210" i="1" s="1"/>
  <c r="W211" i="1" s="1"/>
  <c r="W212" i="1" s="1"/>
  <c r="W213" i="1" s="1"/>
  <c r="W214" i="1" s="1"/>
  <c r="C233" i="7950"/>
  <c r="AF243" i="7950"/>
  <c r="AF242" i="7950"/>
  <c r="AF240" i="7950"/>
  <c r="AF239" i="7950"/>
  <c r="V249" i="7950"/>
  <c r="AF241" i="7950"/>
  <c r="R563" i="7955"/>
  <c r="R565" i="7955" s="1"/>
  <c r="R562" i="7955"/>
  <c r="R312" i="7955"/>
  <c r="R313" i="7955"/>
  <c r="R315" i="7955" s="1"/>
  <c r="S203" i="7955"/>
  <c r="S453" i="7955"/>
  <c r="S54" i="7955"/>
  <c r="S103" i="7955"/>
  <c r="S303" i="7955"/>
  <c r="S55" i="7955"/>
  <c r="S503" i="7955"/>
  <c r="S353" i="7955"/>
  <c r="S153" i="7955"/>
  <c r="S403" i="7955"/>
  <c r="S553" i="7955"/>
  <c r="S253" i="7955"/>
  <c r="W268" i="1"/>
  <c r="BN45" i="3"/>
  <c r="BQ45" i="3" s="1"/>
  <c r="D281" i="1"/>
  <c r="AT74" i="1"/>
  <c r="W283" i="1"/>
  <c r="AB299" i="1"/>
  <c r="C281" i="1"/>
  <c r="DY322" i="2"/>
  <c r="K79" i="7954"/>
  <c r="K80" i="7954"/>
  <c r="K77" i="7954"/>
  <c r="K78" i="7954"/>
  <c r="K67" i="7954"/>
  <c r="K76" i="7954"/>
  <c r="K98" i="7954"/>
  <c r="K97" i="7954"/>
  <c r="K96" i="7954"/>
  <c r="K95" i="7954"/>
  <c r="K94" i="7954"/>
  <c r="AP222" i="7950"/>
  <c r="E222" i="7950" s="1"/>
  <c r="K93" i="7954"/>
  <c r="K92" i="7954"/>
  <c r="E302" i="7950"/>
  <c r="AR302" i="7950"/>
  <c r="K91" i="7954"/>
  <c r="G222" i="7950"/>
  <c r="AQ414" i="7950"/>
  <c r="G414" i="7950"/>
  <c r="AR414" i="7950"/>
  <c r="I414" i="7950"/>
  <c r="E414" i="7950"/>
  <c r="AT414" i="7950"/>
  <c r="AU414" i="7950" s="1"/>
  <c r="AP382" i="7950"/>
  <c r="ED322" i="2"/>
  <c r="M190" i="7950"/>
  <c r="AZ190" i="7950"/>
  <c r="AW190" i="7950"/>
  <c r="AX190" i="7950"/>
  <c r="AY190" i="7950"/>
  <c r="AP207" i="7950"/>
  <c r="DI287" i="2"/>
  <c r="M238" i="7950"/>
  <c r="AW238" i="7950"/>
  <c r="AX238" i="7950"/>
  <c r="AY238" i="7950"/>
  <c r="AZ238" i="7950"/>
  <c r="K68" i="7954"/>
  <c r="K74" i="7954"/>
  <c r="K75" i="7954"/>
  <c r="K86" i="7954"/>
  <c r="K87" i="7954"/>
  <c r="DX320" i="2"/>
  <c r="ED321" i="2"/>
  <c r="ED320" i="2"/>
  <c r="DV291" i="2"/>
  <c r="DV290" i="2"/>
  <c r="DV288" i="2"/>
  <c r="DV292" i="2"/>
  <c r="DV289" i="2"/>
  <c r="AX173" i="7950"/>
  <c r="M173" i="7950"/>
  <c r="AW173" i="7950"/>
  <c r="AY173" i="7950"/>
  <c r="AZ173" i="7950"/>
  <c r="M254" i="7950"/>
  <c r="AW254" i="7950"/>
  <c r="AX254" i="7950"/>
  <c r="AZ254" i="7950"/>
  <c r="AY254" i="7950"/>
  <c r="AP351" i="7950"/>
  <c r="AT382" i="7950"/>
  <c r="AU382" i="7950" s="1"/>
  <c r="AR382" i="7950"/>
  <c r="G382" i="7950"/>
  <c r="AQ382" i="7950"/>
  <c r="E382" i="7950"/>
  <c r="I382" i="7950"/>
  <c r="AP398" i="7950"/>
  <c r="K72" i="7954"/>
  <c r="K73" i="7954"/>
  <c r="K84" i="7954"/>
  <c r="K85" i="7954"/>
  <c r="K82" i="7954"/>
  <c r="K83" i="7954"/>
  <c r="K70" i="7954"/>
  <c r="K71" i="7954"/>
  <c r="CY288" i="7949"/>
  <c r="CX288" i="7949"/>
  <c r="CW288" i="7949"/>
  <c r="CZ288" i="7949"/>
  <c r="CV288" i="7949"/>
  <c r="G334" i="7950"/>
  <c r="I334" i="7950"/>
  <c r="AT334" i="7950"/>
  <c r="AU334" i="7950" s="1"/>
  <c r="AR334" i="7950"/>
  <c r="AQ334" i="7950"/>
  <c r="E334" i="7950"/>
  <c r="G270" i="7950"/>
  <c r="I270" i="7950"/>
  <c r="AQ270" i="7950"/>
  <c r="E270" i="7950"/>
  <c r="AT270" i="7950"/>
  <c r="AU270" i="7950" s="1"/>
  <c r="AR270" i="7950"/>
  <c r="CZ287" i="7949"/>
  <c r="CX287" i="7949"/>
  <c r="CY287" i="7949"/>
  <c r="CW287" i="7949"/>
  <c r="CV287" i="7949"/>
  <c r="DA232" i="7949"/>
  <c r="CU231" i="7949"/>
  <c r="CU508" i="7949"/>
  <c r="DA509" i="7949"/>
  <c r="AY328" i="7955"/>
  <c r="AY329" i="7955" s="1"/>
  <c r="AY330" i="7955" s="1"/>
  <c r="AY331" i="7955" s="1"/>
  <c r="AY332" i="7955" s="1"/>
  <c r="AY333" i="7955" s="1"/>
  <c r="AY334" i="7955" s="1"/>
  <c r="AY335" i="7955" s="1"/>
  <c r="AY336" i="7955" s="1"/>
  <c r="AY337" i="7955" s="1"/>
  <c r="AY338" i="7955" s="1"/>
  <c r="AY339" i="7955" s="1"/>
  <c r="AY340" i="7955" s="1"/>
  <c r="AY341" i="7955" s="1"/>
  <c r="AY342" i="7955" s="1"/>
  <c r="AY343" i="7955" s="1"/>
  <c r="AY344" i="7955" s="1"/>
  <c r="AY345" i="7955" s="1"/>
  <c r="AY346" i="7955" s="1"/>
  <c r="CY564" i="7949"/>
  <c r="CW564" i="7949"/>
  <c r="CZ564" i="7949"/>
  <c r="CX564" i="7949"/>
  <c r="CV564" i="7949"/>
  <c r="K69" i="7954"/>
  <c r="AY578" i="7955"/>
  <c r="AY579" i="7955" s="1"/>
  <c r="CV842" i="7949"/>
  <c r="CY842" i="7949"/>
  <c r="CX842" i="7949"/>
  <c r="CW842" i="7949"/>
  <c r="CZ842" i="7949"/>
  <c r="DA786" i="7949"/>
  <c r="CU785" i="7949"/>
  <c r="AY129" i="7955"/>
  <c r="K61" i="7954" s="1"/>
  <c r="AV366" i="7950"/>
  <c r="K366" i="7950"/>
  <c r="I287" i="7950"/>
  <c r="AR287" i="7950"/>
  <c r="AT287" i="7950"/>
  <c r="AU287" i="7950" s="1"/>
  <c r="AQ287" i="7950"/>
  <c r="E287" i="7950"/>
  <c r="G287" i="7950"/>
  <c r="K302" i="7950"/>
  <c r="AV302" i="7950"/>
  <c r="I207" i="7950"/>
  <c r="AR207" i="7950"/>
  <c r="AT207" i="7950"/>
  <c r="AU207" i="7950" s="1"/>
  <c r="AQ207" i="7950"/>
  <c r="E207" i="7950"/>
  <c r="G207" i="7950"/>
  <c r="AY179" i="7955"/>
  <c r="K120" i="7954" s="1"/>
  <c r="CV565" i="7949"/>
  <c r="CZ565" i="7949"/>
  <c r="CW565" i="7949"/>
  <c r="CY565" i="7949"/>
  <c r="CX565" i="7949"/>
  <c r="CW841" i="7949"/>
  <c r="CV841" i="7949"/>
  <c r="CY841" i="7949"/>
  <c r="CZ841" i="7949"/>
  <c r="CX841" i="7949"/>
  <c r="K81" i="7954"/>
  <c r="AY429" i="7955"/>
  <c r="AB315" i="1" l="1"/>
  <c r="C297" i="1"/>
  <c r="D297" i="1"/>
  <c r="W299" i="1"/>
  <c r="S255" i="7955"/>
  <c r="S254" i="7955"/>
  <c r="S404" i="7955"/>
  <c r="S405" i="7955"/>
  <c r="S354" i="7955"/>
  <c r="S355" i="7955"/>
  <c r="S105" i="7955"/>
  <c r="S104" i="7955"/>
  <c r="S454" i="7955"/>
  <c r="S455" i="7955"/>
  <c r="T204" i="7955"/>
  <c r="T205" i="7955"/>
  <c r="T255" i="7955"/>
  <c r="T254" i="7955"/>
  <c r="T404" i="7955"/>
  <c r="T405" i="7955"/>
  <c r="T105" i="7955"/>
  <c r="T104" i="7955"/>
  <c r="T504" i="7955"/>
  <c r="T505" i="7955"/>
  <c r="W284" i="1"/>
  <c r="AV44" i="3"/>
  <c r="AY44" i="3" s="1"/>
  <c r="AJ48" i="3"/>
  <c r="AM48" i="3" s="1"/>
  <c r="W269" i="1"/>
  <c r="S555" i="7955"/>
  <c r="S554" i="7955"/>
  <c r="S155" i="7955"/>
  <c r="S154" i="7955"/>
  <c r="S505" i="7955"/>
  <c r="S504" i="7955"/>
  <c r="S305" i="7955"/>
  <c r="S304" i="7955"/>
  <c r="S63" i="7955"/>
  <c r="S65" i="7955" s="1"/>
  <c r="S62" i="7955"/>
  <c r="S204" i="7955"/>
  <c r="S205" i="7955"/>
  <c r="V265" i="7950"/>
  <c r="AF258" i="7950"/>
  <c r="C249" i="7950"/>
  <c r="AF259" i="7950"/>
  <c r="AF256" i="7950"/>
  <c r="AF255" i="7950"/>
  <c r="AF257" i="7950"/>
  <c r="L50" i="3"/>
  <c r="O50" i="3" s="1"/>
  <c r="W239" i="1"/>
  <c r="I318" i="7950"/>
  <c r="AT318" i="7950"/>
  <c r="AU318" i="7950" s="1"/>
  <c r="E318" i="7950"/>
  <c r="AR318" i="7950"/>
  <c r="AQ318" i="7950"/>
  <c r="G318" i="7950"/>
  <c r="T305" i="7955"/>
  <c r="T304" i="7955"/>
  <c r="T62" i="7955"/>
  <c r="T63" i="7955"/>
  <c r="T65" i="7955" s="1"/>
  <c r="T454" i="7955"/>
  <c r="T455" i="7955"/>
  <c r="T554" i="7955"/>
  <c r="T555" i="7955"/>
  <c r="T154" i="7955"/>
  <c r="T155" i="7955"/>
  <c r="T355" i="7955"/>
  <c r="T354" i="7955"/>
  <c r="W224" i="1"/>
  <c r="W225" i="1" s="1"/>
  <c r="W226" i="1" s="1"/>
  <c r="W227" i="1" s="1"/>
  <c r="W228" i="1" s="1"/>
  <c r="W229" i="1" s="1"/>
  <c r="W230" i="1" s="1"/>
  <c r="BH50" i="3"/>
  <c r="BK50" i="3" s="1"/>
  <c r="W254" i="1"/>
  <c r="BH44" i="3"/>
  <c r="BK44" i="3" s="1"/>
  <c r="AQ222" i="7950"/>
  <c r="K59" i="7954"/>
  <c r="K60" i="7954"/>
  <c r="K124" i="7954"/>
  <c r="AP191" i="7950"/>
  <c r="AR191" i="7950" s="1"/>
  <c r="AR222" i="7950"/>
  <c r="I222" i="7950"/>
  <c r="AT222" i="7950"/>
  <c r="AU222" i="7950" s="1"/>
  <c r="AY430" i="7955"/>
  <c r="K122" i="7954" s="1"/>
  <c r="K121" i="7954"/>
  <c r="K56" i="7954"/>
  <c r="K57" i="7954"/>
  <c r="K53" i="7954"/>
  <c r="K55" i="7954"/>
  <c r="K54" i="7954"/>
  <c r="AV414" i="7950"/>
  <c r="K414" i="7950"/>
  <c r="K222" i="7950"/>
  <c r="AV222" i="7950"/>
  <c r="AP174" i="7950"/>
  <c r="AR174" i="7950" s="1"/>
  <c r="I191" i="7950"/>
  <c r="AP239" i="7950"/>
  <c r="G174" i="7950"/>
  <c r="I174" i="7950"/>
  <c r="E174" i="7950"/>
  <c r="AV382" i="7950"/>
  <c r="K382" i="7950"/>
  <c r="DX289" i="2"/>
  <c r="DW289" i="2"/>
  <c r="DV295" i="2"/>
  <c r="DX288" i="2"/>
  <c r="DV294" i="2"/>
  <c r="DW288" i="2"/>
  <c r="DX291" i="2"/>
  <c r="DV297" i="2"/>
  <c r="DW291" i="2"/>
  <c r="AT398" i="7950"/>
  <c r="AU398" i="7950" s="1"/>
  <c r="I398" i="7950"/>
  <c r="AQ398" i="7950"/>
  <c r="E398" i="7950"/>
  <c r="G398" i="7950"/>
  <c r="AR398" i="7950"/>
  <c r="AQ351" i="7950"/>
  <c r="AR351" i="7950"/>
  <c r="AT351" i="7950"/>
  <c r="AU351" i="7950" s="1"/>
  <c r="G351" i="7950"/>
  <c r="E351" i="7950"/>
  <c r="I351" i="7950"/>
  <c r="DW292" i="2"/>
  <c r="DV298" i="2"/>
  <c r="DX292" i="2"/>
  <c r="DX290" i="2"/>
  <c r="DW290" i="2"/>
  <c r="DV296" i="2"/>
  <c r="AP255" i="7950"/>
  <c r="AX302" i="7950"/>
  <c r="AW302" i="7950"/>
  <c r="M302" i="7950"/>
  <c r="AY302" i="7950"/>
  <c r="AZ302" i="7950"/>
  <c r="AV287" i="7950"/>
  <c r="K287" i="7950"/>
  <c r="CZ785" i="7949"/>
  <c r="CV785" i="7949"/>
  <c r="CW785" i="7949"/>
  <c r="CY785" i="7949"/>
  <c r="CX785" i="7949"/>
  <c r="DA510" i="7949"/>
  <c r="CU509" i="7949"/>
  <c r="CV231" i="7949"/>
  <c r="CZ231" i="7949"/>
  <c r="CX231" i="7949"/>
  <c r="CY231" i="7949"/>
  <c r="CW231" i="7949"/>
  <c r="AV334" i="7950"/>
  <c r="K334" i="7950"/>
  <c r="AY180" i="7955"/>
  <c r="K115" i="7954" s="1"/>
  <c r="K207" i="7950"/>
  <c r="AV207" i="7950"/>
  <c r="AW366" i="7950"/>
  <c r="M366" i="7950"/>
  <c r="AX366" i="7950"/>
  <c r="AZ366" i="7950"/>
  <c r="AY366" i="7950"/>
  <c r="AY130" i="7955"/>
  <c r="K44" i="7954" s="1"/>
  <c r="K58" i="7954"/>
  <c r="DA787" i="7949"/>
  <c r="CU786" i="7949"/>
  <c r="K48" i="7954"/>
  <c r="AY580" i="7955"/>
  <c r="AY581" i="7955" s="1"/>
  <c r="AY582" i="7955" s="1"/>
  <c r="AY583" i="7955" s="1"/>
  <c r="AY584" i="7955" s="1"/>
  <c r="AY585" i="7955" s="1"/>
  <c r="AY586" i="7955" s="1"/>
  <c r="AY587" i="7955" s="1"/>
  <c r="AY588" i="7955" s="1"/>
  <c r="AY589" i="7955" s="1"/>
  <c r="AY590" i="7955" s="1"/>
  <c r="AY591" i="7955" s="1"/>
  <c r="AY592" i="7955" s="1"/>
  <c r="AY593" i="7955" s="1"/>
  <c r="AY594" i="7955" s="1"/>
  <c r="AY595" i="7955" s="1"/>
  <c r="AY596" i="7955" s="1"/>
  <c r="CV508" i="7949"/>
  <c r="CZ508" i="7949"/>
  <c r="CX508" i="7949"/>
  <c r="CW508" i="7949"/>
  <c r="CY508" i="7949"/>
  <c r="DA233" i="7949"/>
  <c r="CU232" i="7949"/>
  <c r="AV270" i="7950"/>
  <c r="K270" i="7950"/>
  <c r="W255" i="1" l="1"/>
  <c r="AV50" i="3"/>
  <c r="AY50" i="3" s="1"/>
  <c r="T162" i="7955"/>
  <c r="T163" i="7955"/>
  <c r="T165" i="7955" s="1"/>
  <c r="T563" i="7955"/>
  <c r="T565" i="7955" s="1"/>
  <c r="T562" i="7955"/>
  <c r="T462" i="7955"/>
  <c r="T463" i="7955"/>
  <c r="T465" i="7955" s="1"/>
  <c r="S313" i="7955"/>
  <c r="S315" i="7955" s="1"/>
  <c r="S312" i="7955"/>
  <c r="S512" i="7955"/>
  <c r="S513" i="7955"/>
  <c r="S515" i="7955" s="1"/>
  <c r="S162" i="7955"/>
  <c r="S163" i="7955"/>
  <c r="S165" i="7955" s="1"/>
  <c r="S562" i="7955"/>
  <c r="S563" i="7955"/>
  <c r="S565" i="7955" s="1"/>
  <c r="AV42" i="3"/>
  <c r="AY42" i="3" s="1"/>
  <c r="W270" i="1"/>
  <c r="T112" i="7955"/>
  <c r="T113" i="7955"/>
  <c r="T115" i="7955" s="1"/>
  <c r="T262" i="7955"/>
  <c r="T263" i="7955"/>
  <c r="T265" i="7955" s="1"/>
  <c r="S112" i="7955"/>
  <c r="S113" i="7955"/>
  <c r="S115" i="7955" s="1"/>
  <c r="S262" i="7955"/>
  <c r="S263" i="7955"/>
  <c r="S265" i="7955" s="1"/>
  <c r="AJ45" i="3"/>
  <c r="AM45" i="3" s="1"/>
  <c r="W300" i="1"/>
  <c r="AQ174" i="7950"/>
  <c r="AT174" i="7950"/>
  <c r="AU174" i="7950" s="1"/>
  <c r="E191" i="7950"/>
  <c r="AQ191" i="7950"/>
  <c r="T363" i="7955"/>
  <c r="T365" i="7955" s="1"/>
  <c r="T362" i="7955"/>
  <c r="T313" i="7955"/>
  <c r="T315" i="7955" s="1"/>
  <c r="T312" i="7955"/>
  <c r="AV318" i="7950"/>
  <c r="K318" i="7950"/>
  <c r="W240" i="1"/>
  <c r="W241" i="1" s="1"/>
  <c r="W242" i="1" s="1"/>
  <c r="W243" i="1" s="1"/>
  <c r="W244" i="1" s="1"/>
  <c r="W245" i="1" s="1"/>
  <c r="W246" i="1" s="1"/>
  <c r="BN44" i="3"/>
  <c r="BQ44" i="3" s="1"/>
  <c r="AF272" i="7950"/>
  <c r="AF271" i="7950"/>
  <c r="V281" i="7950"/>
  <c r="AF274" i="7950"/>
  <c r="C265" i="7950"/>
  <c r="AF275" i="7950"/>
  <c r="AF273" i="7950"/>
  <c r="S213" i="7955"/>
  <c r="S215" i="7955" s="1"/>
  <c r="S212" i="7955"/>
  <c r="W285" i="1"/>
  <c r="BH43" i="3"/>
  <c r="BK43" i="3" s="1"/>
  <c r="T513" i="7955"/>
  <c r="T515" i="7955" s="1"/>
  <c r="T512" i="7955"/>
  <c r="T412" i="7955"/>
  <c r="T413" i="7955"/>
  <c r="T415" i="7955" s="1"/>
  <c r="T212" i="7955"/>
  <c r="T213" i="7955"/>
  <c r="T215" i="7955" s="1"/>
  <c r="S463" i="7955"/>
  <c r="S465" i="7955" s="1"/>
  <c r="S462" i="7955"/>
  <c r="S362" i="7955"/>
  <c r="S363" i="7955"/>
  <c r="S365" i="7955" s="1"/>
  <c r="S412" i="7955"/>
  <c r="S413" i="7955"/>
  <c r="S415" i="7955" s="1"/>
  <c r="C313" i="1"/>
  <c r="D313" i="1"/>
  <c r="AB331" i="1"/>
  <c r="W53" i="7955"/>
  <c r="W315" i="1"/>
  <c r="AT191" i="7950"/>
  <c r="AU191" i="7950" s="1"/>
  <c r="AV191" i="7950" s="1"/>
  <c r="G191" i="7950"/>
  <c r="AY431" i="7955"/>
  <c r="AY432" i="7955" s="1"/>
  <c r="AY433" i="7955" s="1"/>
  <c r="AY434" i="7955" s="1"/>
  <c r="AY435" i="7955" s="1"/>
  <c r="AY436" i="7955" s="1"/>
  <c r="AY437" i="7955" s="1"/>
  <c r="AY438" i="7955" s="1"/>
  <c r="AY439" i="7955" s="1"/>
  <c r="AY440" i="7955" s="1"/>
  <c r="AY441" i="7955" s="1"/>
  <c r="AY442" i="7955" s="1"/>
  <c r="AY443" i="7955" s="1"/>
  <c r="AY444" i="7955" s="1"/>
  <c r="AY445" i="7955" s="1"/>
  <c r="AY446" i="7955" s="1"/>
  <c r="K123" i="7954"/>
  <c r="K51" i="7954"/>
  <c r="K45" i="7954"/>
  <c r="K114" i="7954"/>
  <c r="K112" i="7954"/>
  <c r="K113" i="7954"/>
  <c r="K111" i="7954"/>
  <c r="K119" i="7954"/>
  <c r="K118" i="7954"/>
  <c r="K117" i="7954"/>
  <c r="K116" i="7954"/>
  <c r="K52" i="7954"/>
  <c r="AX414" i="7950"/>
  <c r="AW414" i="7950"/>
  <c r="AZ414" i="7950"/>
  <c r="M414" i="7950"/>
  <c r="AY414" i="7950"/>
  <c r="AP415" i="7950" s="1"/>
  <c r="AW222" i="7950"/>
  <c r="AX222" i="7950"/>
  <c r="AZ222" i="7950"/>
  <c r="M222" i="7950"/>
  <c r="AY222" i="7950"/>
  <c r="AP223" i="7950" s="1"/>
  <c r="AR223" i="7950" s="1"/>
  <c r="AQ239" i="7950"/>
  <c r="G239" i="7950"/>
  <c r="AR239" i="7950"/>
  <c r="AT239" i="7950"/>
  <c r="AU239" i="7950" s="1"/>
  <c r="E239" i="7950"/>
  <c r="I239" i="7950"/>
  <c r="K191" i="7950"/>
  <c r="AT255" i="7950"/>
  <c r="AU255" i="7950" s="1"/>
  <c r="E255" i="7950"/>
  <c r="I255" i="7950"/>
  <c r="AQ255" i="7950"/>
  <c r="G255" i="7950"/>
  <c r="AR255" i="7950"/>
  <c r="AT415" i="7950"/>
  <c r="AU415" i="7950" s="1"/>
  <c r="AQ415" i="7950"/>
  <c r="I415" i="7950"/>
  <c r="E415" i="7950"/>
  <c r="AR415" i="7950"/>
  <c r="G415" i="7950"/>
  <c r="DX296" i="2"/>
  <c r="DY296" i="2"/>
  <c r="DY298" i="2"/>
  <c r="DX298" i="2"/>
  <c r="AT75" i="1"/>
  <c r="V53" i="7955"/>
  <c r="AT76" i="1"/>
  <c r="U53" i="7955"/>
  <c r="DY294" i="2"/>
  <c r="DX294" i="2"/>
  <c r="DX295" i="2"/>
  <c r="DY295" i="2"/>
  <c r="AW382" i="7950"/>
  <c r="AX382" i="7950"/>
  <c r="M382" i="7950"/>
  <c r="AY382" i="7950"/>
  <c r="AZ382" i="7950"/>
  <c r="K351" i="7950"/>
  <c r="AV351" i="7950"/>
  <c r="AV398" i="7950"/>
  <c r="K398" i="7950"/>
  <c r="DY297" i="2"/>
  <c r="DX297" i="2"/>
  <c r="EO289" i="2"/>
  <c r="EO290" i="2"/>
  <c r="EO288" i="2"/>
  <c r="EM288" i="2" s="1"/>
  <c r="EO292" i="2"/>
  <c r="EO291" i="2"/>
  <c r="AV174" i="7950"/>
  <c r="K174" i="7950"/>
  <c r="K49" i="7954"/>
  <c r="K46" i="7954"/>
  <c r="K50" i="7954"/>
  <c r="AX270" i="7950"/>
  <c r="AW270" i="7950"/>
  <c r="M270" i="7950"/>
  <c r="AY270" i="7950"/>
  <c r="AZ270" i="7950"/>
  <c r="CU233" i="7949"/>
  <c r="DA234" i="7949"/>
  <c r="DA788" i="7949"/>
  <c r="CU787" i="7949"/>
  <c r="AY131" i="7955"/>
  <c r="AY132" i="7955" s="1"/>
  <c r="K47" i="7954"/>
  <c r="AX334" i="7950"/>
  <c r="AW334" i="7950"/>
  <c r="M334" i="7950"/>
  <c r="AZ334" i="7950"/>
  <c r="AY334" i="7950"/>
  <c r="CY509" i="7949"/>
  <c r="CW509" i="7949"/>
  <c r="CZ509" i="7949"/>
  <c r="CV509" i="7949"/>
  <c r="CX509" i="7949"/>
  <c r="AP303" i="7950"/>
  <c r="CY232" i="7949"/>
  <c r="CV232" i="7949"/>
  <c r="CZ232" i="7949"/>
  <c r="CX232" i="7949"/>
  <c r="CW232" i="7949"/>
  <c r="CV786" i="7949"/>
  <c r="CZ786" i="7949"/>
  <c r="CY786" i="7949"/>
  <c r="CW786" i="7949"/>
  <c r="CX786" i="7949"/>
  <c r="M207" i="7950"/>
  <c r="AW207" i="7950"/>
  <c r="AX207" i="7950"/>
  <c r="AY207" i="7950"/>
  <c r="AZ207" i="7950"/>
  <c r="AY181" i="7955"/>
  <c r="CU510" i="7949"/>
  <c r="DA511" i="7949"/>
  <c r="M287" i="7950"/>
  <c r="AW287" i="7950"/>
  <c r="AX287" i="7950"/>
  <c r="AZ287" i="7950"/>
  <c r="AY287" i="7950"/>
  <c r="AP367" i="7950"/>
  <c r="AV43" i="3" l="1"/>
  <c r="AY43" i="3" s="1"/>
  <c r="W316" i="1"/>
  <c r="AB347" i="1"/>
  <c r="C329" i="1"/>
  <c r="AT77" i="1"/>
  <c r="D329" i="1"/>
  <c r="W331" i="1"/>
  <c r="W286" i="1"/>
  <c r="BN42" i="3"/>
  <c r="BQ42" i="3" s="1"/>
  <c r="W301" i="1"/>
  <c r="L46" i="3"/>
  <c r="O46" i="3" s="1"/>
  <c r="BH46" i="3"/>
  <c r="BK46" i="3" s="1"/>
  <c r="W271" i="1"/>
  <c r="W153" i="7955"/>
  <c r="W303" i="7955"/>
  <c r="W54" i="7955"/>
  <c r="W553" i="7955"/>
  <c r="W55" i="7955"/>
  <c r="W203" i="7955"/>
  <c r="W403" i="7955"/>
  <c r="W453" i="7955"/>
  <c r="W503" i="7955"/>
  <c r="W253" i="7955"/>
  <c r="W353" i="7955"/>
  <c r="W103" i="7955"/>
  <c r="V297" i="7950"/>
  <c r="AF290" i="7950"/>
  <c r="C281" i="7950"/>
  <c r="AF291" i="7950"/>
  <c r="AF289" i="7950"/>
  <c r="AF288" i="7950"/>
  <c r="AF287" i="7950"/>
  <c r="AY318" i="7950"/>
  <c r="AP319" i="7950" s="1"/>
  <c r="M318" i="7950"/>
  <c r="AX318" i="7950"/>
  <c r="AW318" i="7950"/>
  <c r="AZ318" i="7950"/>
  <c r="W256" i="1"/>
  <c r="W257" i="1" s="1"/>
  <c r="W258" i="1" s="1"/>
  <c r="W259" i="1" s="1"/>
  <c r="W260" i="1" s="1"/>
  <c r="W261" i="1" s="1"/>
  <c r="W262" i="1" s="1"/>
  <c r="AP42" i="3"/>
  <c r="AS42" i="3" s="1"/>
  <c r="K102" i="7954"/>
  <c r="K103" i="7954"/>
  <c r="K153" i="7954"/>
  <c r="K100" i="7954"/>
  <c r="K101" i="7954"/>
  <c r="K107" i="7954"/>
  <c r="K99" i="7954"/>
  <c r="AP383" i="7950"/>
  <c r="AQ223" i="7950"/>
  <c r="K105" i="7954"/>
  <c r="K106" i="7954"/>
  <c r="K110" i="7954"/>
  <c r="K104" i="7954"/>
  <c r="K108" i="7954"/>
  <c r="K109" i="7954"/>
  <c r="AP288" i="7950"/>
  <c r="AT223" i="7950"/>
  <c r="AU223" i="7950" s="1"/>
  <c r="G223" i="7950"/>
  <c r="I223" i="7950"/>
  <c r="E223" i="7950"/>
  <c r="AW191" i="7950"/>
  <c r="AY191" i="7950"/>
  <c r="M191" i="7950"/>
  <c r="AX191" i="7950"/>
  <c r="AZ191" i="7950"/>
  <c r="AV239" i="7950"/>
  <c r="K239" i="7950"/>
  <c r="AP271" i="7950"/>
  <c r="AP208" i="7950"/>
  <c r="EM291" i="2"/>
  <c r="ED296" i="2"/>
  <c r="ED294" i="2"/>
  <c r="AX398" i="7950"/>
  <c r="AW398" i="7950"/>
  <c r="M398" i="7950"/>
  <c r="AZ398" i="7950"/>
  <c r="AY398" i="7950"/>
  <c r="M351" i="7950"/>
  <c r="AZ351" i="7950"/>
  <c r="AW351" i="7950"/>
  <c r="AX351" i="7950"/>
  <c r="AY351" i="7950"/>
  <c r="K255" i="7950"/>
  <c r="AV255" i="7950"/>
  <c r="EM289" i="2"/>
  <c r="AT383" i="7950"/>
  <c r="AU383" i="7950" s="1"/>
  <c r="E383" i="7950"/>
  <c r="I383" i="7950"/>
  <c r="AQ383" i="7950"/>
  <c r="G383" i="7950"/>
  <c r="AR383" i="7950"/>
  <c r="U303" i="7955"/>
  <c r="U153" i="7955"/>
  <c r="U453" i="7955"/>
  <c r="U103" i="7955"/>
  <c r="U253" i="7955"/>
  <c r="U553" i="7955"/>
  <c r="U203" i="7955"/>
  <c r="U503" i="7955"/>
  <c r="U403" i="7955"/>
  <c r="U353" i="7955"/>
  <c r="U55" i="7955"/>
  <c r="U54" i="7955"/>
  <c r="V553" i="7955"/>
  <c r="V153" i="7955"/>
  <c r="V303" i="7955"/>
  <c r="V503" i="7955"/>
  <c r="V203" i="7955"/>
  <c r="V353" i="7955"/>
  <c r="V403" i="7955"/>
  <c r="V253" i="7955"/>
  <c r="V103" i="7955"/>
  <c r="V453" i="7955"/>
  <c r="V54" i="7955"/>
  <c r="V55" i="7955"/>
  <c r="AW174" i="7950"/>
  <c r="M174" i="7950"/>
  <c r="AX174" i="7950"/>
  <c r="AZ174" i="7950"/>
  <c r="AY174" i="7950"/>
  <c r="K415" i="7950"/>
  <c r="AV415" i="7950"/>
  <c r="EM292" i="2"/>
  <c r="EM290" i="2"/>
  <c r="ED297" i="2"/>
  <c r="ED295" i="2"/>
  <c r="ED298" i="2"/>
  <c r="AT288" i="7950"/>
  <c r="AU288" i="7950" s="1"/>
  <c r="AQ288" i="7950"/>
  <c r="E288" i="7950"/>
  <c r="G288" i="7950"/>
  <c r="I288" i="7950"/>
  <c r="AR288" i="7950"/>
  <c r="K126" i="7954"/>
  <c r="AY182" i="7955"/>
  <c r="K127" i="7954" s="1"/>
  <c r="AT208" i="7950"/>
  <c r="AU208" i="7950" s="1"/>
  <c r="AQ208" i="7950"/>
  <c r="E208" i="7950"/>
  <c r="G208" i="7950"/>
  <c r="I208" i="7950"/>
  <c r="AR208" i="7950"/>
  <c r="CZ787" i="7949"/>
  <c r="CV787" i="7949"/>
  <c r="CY787" i="7949"/>
  <c r="CW787" i="7949"/>
  <c r="CX787" i="7949"/>
  <c r="CZ233" i="7949"/>
  <c r="CX233" i="7949"/>
  <c r="CY233" i="7949"/>
  <c r="CV233" i="7949"/>
  <c r="CW233" i="7949"/>
  <c r="AT367" i="7950"/>
  <c r="AU367" i="7950" s="1"/>
  <c r="AQ367" i="7950"/>
  <c r="E367" i="7950"/>
  <c r="G367" i="7950"/>
  <c r="I367" i="7950"/>
  <c r="AR367" i="7950"/>
  <c r="CU511" i="7949"/>
  <c r="DA512" i="7949"/>
  <c r="CU512" i="7949" s="1"/>
  <c r="CV510" i="7949"/>
  <c r="CZ510" i="7949"/>
  <c r="CX510" i="7949"/>
  <c r="CW510" i="7949"/>
  <c r="CY510" i="7949"/>
  <c r="I303" i="7950"/>
  <c r="AR303" i="7950"/>
  <c r="AT303" i="7950"/>
  <c r="AU303" i="7950" s="1"/>
  <c r="AQ303" i="7950"/>
  <c r="E303" i="7950"/>
  <c r="G303" i="7950"/>
  <c r="AY133" i="7955"/>
  <c r="AY134" i="7955" s="1"/>
  <c r="AY135" i="7955" s="1"/>
  <c r="AY136" i="7955" s="1"/>
  <c r="AY137" i="7955" s="1"/>
  <c r="AY138" i="7955" s="1"/>
  <c r="AY139" i="7955" s="1"/>
  <c r="AY140" i="7955" s="1"/>
  <c r="AY141" i="7955" s="1"/>
  <c r="AY142" i="7955" s="1"/>
  <c r="AY143" i="7955" s="1"/>
  <c r="AY144" i="7955" s="1"/>
  <c r="AY145" i="7955" s="1"/>
  <c r="AY146" i="7955" s="1"/>
  <c r="K129" i="7954"/>
  <c r="DA789" i="7949"/>
  <c r="CU789" i="7949" s="1"/>
  <c r="CU788" i="7949"/>
  <c r="DA235" i="7949"/>
  <c r="CU235" i="7949" s="1"/>
  <c r="CU234" i="7949"/>
  <c r="AT271" i="7950"/>
  <c r="AU271" i="7950" s="1"/>
  <c r="AQ271" i="7950"/>
  <c r="E271" i="7950"/>
  <c r="G271" i="7950"/>
  <c r="I271" i="7950"/>
  <c r="AR271" i="7950"/>
  <c r="AP335" i="7950"/>
  <c r="AR319" i="7950" l="1"/>
  <c r="E319" i="7950"/>
  <c r="AT319" i="7950"/>
  <c r="AU319" i="7950" s="1"/>
  <c r="AQ319" i="7950"/>
  <c r="G319" i="7950"/>
  <c r="I319" i="7950"/>
  <c r="AP399" i="7950"/>
  <c r="AF303" i="7950"/>
  <c r="V313" i="7950"/>
  <c r="AF305" i="7950"/>
  <c r="C297" i="7950"/>
  <c r="AF307" i="7950"/>
  <c r="AF306" i="7950"/>
  <c r="AF304" i="7950"/>
  <c r="W355" i="7955"/>
  <c r="W354" i="7955"/>
  <c r="W505" i="7955"/>
  <c r="W504" i="7955"/>
  <c r="W404" i="7955"/>
  <c r="W405" i="7955"/>
  <c r="W63" i="7955"/>
  <c r="W65" i="7955" s="1"/>
  <c r="W62" i="7955"/>
  <c r="W155" i="7955"/>
  <c r="W154" i="7955"/>
  <c r="BH42" i="3"/>
  <c r="BK42" i="3" s="1"/>
  <c r="W302" i="1"/>
  <c r="AP46" i="3"/>
  <c r="AS46" i="3" s="1"/>
  <c r="W287" i="1"/>
  <c r="AJ44" i="3"/>
  <c r="AM44" i="3" s="1"/>
  <c r="W317" i="1"/>
  <c r="W104" i="7955"/>
  <c r="W105" i="7955"/>
  <c r="W254" i="7955"/>
  <c r="W255" i="7955"/>
  <c r="W455" i="7955"/>
  <c r="W454" i="7955"/>
  <c r="W204" i="7955"/>
  <c r="W205" i="7955"/>
  <c r="W554" i="7955"/>
  <c r="W555" i="7955"/>
  <c r="W305" i="7955"/>
  <c r="W304" i="7955"/>
  <c r="R50" i="3"/>
  <c r="U50" i="3" s="1"/>
  <c r="W272" i="1"/>
  <c r="W273" i="1" s="1"/>
  <c r="W274" i="1" s="1"/>
  <c r="W275" i="1" s="1"/>
  <c r="W276" i="1" s="1"/>
  <c r="W277" i="1" s="1"/>
  <c r="W278" i="1" s="1"/>
  <c r="W332" i="1"/>
  <c r="BN47" i="3"/>
  <c r="BQ47" i="3" s="1"/>
  <c r="AT79" i="1"/>
  <c r="AB363" i="1"/>
  <c r="AT78" i="1"/>
  <c r="W347" i="1"/>
  <c r="D345" i="1"/>
  <c r="C345" i="1"/>
  <c r="AY68" i="1"/>
  <c r="X53" i="7955"/>
  <c r="K152" i="7954"/>
  <c r="K151" i="7954"/>
  <c r="K150" i="7954"/>
  <c r="K149" i="7954"/>
  <c r="K148" i="7954"/>
  <c r="K147" i="7954"/>
  <c r="AP192" i="7950"/>
  <c r="K146" i="7954"/>
  <c r="K145" i="7954"/>
  <c r="K144" i="7954"/>
  <c r="K143" i="7954"/>
  <c r="K142" i="7954"/>
  <c r="K141" i="7954"/>
  <c r="K140" i="7954"/>
  <c r="K139" i="7954"/>
  <c r="K138" i="7954"/>
  <c r="K137" i="7954"/>
  <c r="K136" i="7954"/>
  <c r="K135" i="7954"/>
  <c r="K134" i="7954"/>
  <c r="K133" i="7954"/>
  <c r="AV223" i="7950"/>
  <c r="K223" i="7950"/>
  <c r="AW239" i="7950"/>
  <c r="M239" i="7950"/>
  <c r="AX239" i="7950"/>
  <c r="AZ239" i="7950"/>
  <c r="AY239" i="7950"/>
  <c r="K132" i="7954"/>
  <c r="K131" i="7954"/>
  <c r="K130" i="7954"/>
  <c r="K128" i="7954"/>
  <c r="AP175" i="7950"/>
  <c r="AR175" i="7950" s="1"/>
  <c r="AP352" i="7950"/>
  <c r="ER288" i="2"/>
  <c r="ES287" i="2" s="1"/>
  <c r="E175" i="7950"/>
  <c r="G175" i="7950"/>
  <c r="AQ175" i="7950"/>
  <c r="AT352" i="7950"/>
  <c r="AU352" i="7950" s="1"/>
  <c r="AQ352" i="7950"/>
  <c r="AR352" i="7950"/>
  <c r="I352" i="7950"/>
  <c r="G352" i="7950"/>
  <c r="E352" i="7950"/>
  <c r="V455" i="7955"/>
  <c r="V454" i="7955"/>
  <c r="V255" i="7955"/>
  <c r="V254" i="7955"/>
  <c r="V355" i="7955"/>
  <c r="V354" i="7955"/>
  <c r="V504" i="7955"/>
  <c r="V505" i="7955"/>
  <c r="V154" i="7955"/>
  <c r="V155" i="7955"/>
  <c r="U63" i="7955"/>
  <c r="U65" i="7955" s="1"/>
  <c r="U62" i="7955"/>
  <c r="U354" i="7955"/>
  <c r="U355" i="7955"/>
  <c r="U505" i="7955"/>
  <c r="U504" i="7955"/>
  <c r="U555" i="7955"/>
  <c r="U554" i="7955"/>
  <c r="U105" i="7955"/>
  <c r="U104" i="7955"/>
  <c r="U154" i="7955"/>
  <c r="U155" i="7955"/>
  <c r="K383" i="7950"/>
  <c r="AV383" i="7950"/>
  <c r="AW255" i="7950"/>
  <c r="M255" i="7950"/>
  <c r="AX255" i="7950"/>
  <c r="AZ255" i="7950"/>
  <c r="AY255" i="7950"/>
  <c r="ER289" i="2"/>
  <c r="EV287" i="2" s="1"/>
  <c r="M415" i="7950"/>
  <c r="AW415" i="7950"/>
  <c r="AX415" i="7950"/>
  <c r="AZ415" i="7950"/>
  <c r="AY415" i="7950"/>
  <c r="V62" i="7955"/>
  <c r="V63" i="7955"/>
  <c r="V65" i="7955" s="1"/>
  <c r="V105" i="7955"/>
  <c r="V104" i="7955"/>
  <c r="V404" i="7955"/>
  <c r="V405" i="7955"/>
  <c r="V204" i="7955"/>
  <c r="V205" i="7955"/>
  <c r="V304" i="7955"/>
  <c r="V305" i="7955"/>
  <c r="V555" i="7955"/>
  <c r="V554" i="7955"/>
  <c r="U405" i="7955"/>
  <c r="U404" i="7955"/>
  <c r="U205" i="7955"/>
  <c r="U204" i="7955"/>
  <c r="U254" i="7955"/>
  <c r="U255" i="7955"/>
  <c r="U455" i="7955"/>
  <c r="U454" i="7955"/>
  <c r="U305" i="7955"/>
  <c r="U304" i="7955"/>
  <c r="AT399" i="7950"/>
  <c r="AU399" i="7950" s="1"/>
  <c r="E399" i="7950"/>
  <c r="I399" i="7950"/>
  <c r="AQ399" i="7950"/>
  <c r="G399" i="7950"/>
  <c r="AR399" i="7950"/>
  <c r="AT335" i="7950"/>
  <c r="AU335" i="7950" s="1"/>
  <c r="AQ335" i="7950"/>
  <c r="E335" i="7950"/>
  <c r="G335" i="7950"/>
  <c r="I335" i="7950"/>
  <c r="AR335" i="7950"/>
  <c r="CY234" i="7949"/>
  <c r="CV234" i="7949"/>
  <c r="CZ234" i="7949"/>
  <c r="CX234" i="7949"/>
  <c r="CW234" i="7949"/>
  <c r="CV788" i="7949"/>
  <c r="CZ788" i="7949"/>
  <c r="CY788" i="7949"/>
  <c r="CW788" i="7949"/>
  <c r="CX788" i="7949"/>
  <c r="CV512" i="7949"/>
  <c r="CZ512" i="7949"/>
  <c r="CX512" i="7949"/>
  <c r="CW512" i="7949"/>
  <c r="CY512" i="7949"/>
  <c r="K367" i="7950"/>
  <c r="AV367" i="7950"/>
  <c r="K125" i="7954"/>
  <c r="AY183" i="7955"/>
  <c r="AY184" i="7955" s="1"/>
  <c r="AY185" i="7955" s="1"/>
  <c r="AY186" i="7955" s="1"/>
  <c r="AY187" i="7955" s="1"/>
  <c r="AY188" i="7955" s="1"/>
  <c r="AY189" i="7955" s="1"/>
  <c r="AY190" i="7955" s="1"/>
  <c r="AY191" i="7955" s="1"/>
  <c r="AY192" i="7955" s="1"/>
  <c r="AY193" i="7955" s="1"/>
  <c r="AY194" i="7955" s="1"/>
  <c r="AY195" i="7955" s="1"/>
  <c r="AY196" i="7955" s="1"/>
  <c r="AV271" i="7950"/>
  <c r="K271" i="7950"/>
  <c r="CY235" i="7949"/>
  <c r="CX235" i="7949"/>
  <c r="CW235" i="7949"/>
  <c r="CV235" i="7949"/>
  <c r="CZ235" i="7949"/>
  <c r="CZ789" i="7949"/>
  <c r="CV789" i="7949"/>
  <c r="CY789" i="7949"/>
  <c r="CW789" i="7949"/>
  <c r="CX789" i="7949"/>
  <c r="K303" i="7950"/>
  <c r="AV303" i="7950"/>
  <c r="CY511" i="7949"/>
  <c r="CV511" i="7949"/>
  <c r="CZ511" i="7949"/>
  <c r="CW511" i="7949"/>
  <c r="CX511" i="7949"/>
  <c r="AV208" i="7950"/>
  <c r="K208" i="7950"/>
  <c r="AV288" i="7950"/>
  <c r="K288" i="7950"/>
  <c r="I175" i="7950" l="1"/>
  <c r="AT175" i="7950"/>
  <c r="AU175" i="7950" s="1"/>
  <c r="X303" i="7955"/>
  <c r="X153" i="7955"/>
  <c r="X453" i="7955"/>
  <c r="X353" i="7955"/>
  <c r="X55" i="7955"/>
  <c r="X54" i="7955"/>
  <c r="X253" i="7955"/>
  <c r="X203" i="7955"/>
  <c r="X403" i="7955"/>
  <c r="X503" i="7955"/>
  <c r="X103" i="7955"/>
  <c r="X553" i="7955"/>
  <c r="X44" i="3"/>
  <c r="AA44" i="3" s="1"/>
  <c r="W348" i="1"/>
  <c r="C361" i="1"/>
  <c r="Y53" i="7955"/>
  <c r="D361" i="1"/>
  <c r="W363" i="1"/>
  <c r="AB379" i="1"/>
  <c r="AV54" i="1"/>
  <c r="W313" i="7955"/>
  <c r="W315" i="7955" s="1"/>
  <c r="W312" i="7955"/>
  <c r="W462" i="7955"/>
  <c r="W463" i="7955"/>
  <c r="W465" i="7955" s="1"/>
  <c r="X50" i="3"/>
  <c r="AA50" i="3" s="1"/>
  <c r="W318" i="1"/>
  <c r="W288" i="1"/>
  <c r="W289" i="1" s="1"/>
  <c r="W290" i="1" s="1"/>
  <c r="W291" i="1" s="1"/>
  <c r="W292" i="1" s="1"/>
  <c r="W293" i="1" s="1"/>
  <c r="W294" i="1" s="1"/>
  <c r="AJ50" i="3"/>
  <c r="AM50" i="3" s="1"/>
  <c r="W303" i="1"/>
  <c r="BN50" i="3"/>
  <c r="BQ50" i="3" s="1"/>
  <c r="W162" i="7955"/>
  <c r="W163" i="7955"/>
  <c r="W165" i="7955" s="1"/>
  <c r="W512" i="7955"/>
  <c r="W513" i="7955"/>
  <c r="W515" i="7955" s="1"/>
  <c r="W362" i="7955"/>
  <c r="W363" i="7955"/>
  <c r="W365" i="7955" s="1"/>
  <c r="DJ940" i="2"/>
  <c r="DJ927" i="2"/>
  <c r="DJ922" i="2"/>
  <c r="DJ939" i="2"/>
  <c r="DJ906" i="2"/>
  <c r="DJ931" i="2"/>
  <c r="DJ892" i="2"/>
  <c r="DJ909" i="2"/>
  <c r="DJ908" i="2"/>
  <c r="DJ914" i="2"/>
  <c r="DJ936" i="2"/>
  <c r="DJ898" i="2"/>
  <c r="DJ899" i="2"/>
  <c r="DJ905" i="2"/>
  <c r="DJ904" i="2"/>
  <c r="DJ902" i="2"/>
  <c r="DJ930" i="2"/>
  <c r="DJ893" i="2"/>
  <c r="DJ916" i="2"/>
  <c r="DJ932" i="2"/>
  <c r="DJ900" i="2"/>
  <c r="DJ923" i="2"/>
  <c r="DJ926" i="2"/>
  <c r="DJ896" i="2"/>
  <c r="DJ910" i="2"/>
  <c r="DJ924" i="2"/>
  <c r="DJ917" i="2"/>
  <c r="DJ918" i="2"/>
  <c r="DJ928" i="2"/>
  <c r="DJ890" i="2"/>
  <c r="DJ897" i="2"/>
  <c r="DJ891" i="2"/>
  <c r="DJ903" i="2"/>
  <c r="DJ937" i="2"/>
  <c r="DJ911" i="2"/>
  <c r="DJ912" i="2"/>
  <c r="DJ915" i="2"/>
  <c r="DJ894" i="2"/>
  <c r="W333" i="1"/>
  <c r="AV45" i="3"/>
  <c r="AY45" i="3" s="1"/>
  <c r="W562" i="7955"/>
  <c r="W563" i="7955"/>
  <c r="W565" i="7955" s="1"/>
  <c r="W212" i="7955"/>
  <c r="W213" i="7955"/>
  <c r="W215" i="7955" s="1"/>
  <c r="W263" i="7955"/>
  <c r="W265" i="7955" s="1"/>
  <c r="W262" i="7955"/>
  <c r="W112" i="7955"/>
  <c r="W113" i="7955"/>
  <c r="W115" i="7955" s="1"/>
  <c r="W413" i="7955"/>
  <c r="W415" i="7955" s="1"/>
  <c r="W412" i="7955"/>
  <c r="AF319" i="7950"/>
  <c r="V329" i="7950"/>
  <c r="AF321" i="7950"/>
  <c r="C313" i="7950"/>
  <c r="AF323" i="7950"/>
  <c r="AF322" i="7950"/>
  <c r="AF320" i="7950"/>
  <c r="AV319" i="7950"/>
  <c r="K319" i="7950"/>
  <c r="AP240" i="7950"/>
  <c r="AT192" i="7950"/>
  <c r="AU192" i="7950" s="1"/>
  <c r="E192" i="7950"/>
  <c r="I192" i="7950"/>
  <c r="AQ192" i="7950"/>
  <c r="G192" i="7950"/>
  <c r="AR192" i="7950"/>
  <c r="AX223" i="7950"/>
  <c r="AY223" i="7950"/>
  <c r="M223" i="7950"/>
  <c r="AW223" i="7950"/>
  <c r="AZ223" i="7950"/>
  <c r="AP416" i="7950"/>
  <c r="I416" i="7950" s="1"/>
  <c r="AP256" i="7950"/>
  <c r="AQ256" i="7950"/>
  <c r="G256" i="7950"/>
  <c r="AR256" i="7950"/>
  <c r="AT256" i="7950"/>
  <c r="AU256" i="7950" s="1"/>
  <c r="E256" i="7950"/>
  <c r="I256" i="7950"/>
  <c r="AV399" i="7950"/>
  <c r="K399" i="7950"/>
  <c r="U312" i="7955"/>
  <c r="U313" i="7955"/>
  <c r="U462" i="7955"/>
  <c r="U463" i="7955"/>
  <c r="U212" i="7955"/>
  <c r="U213" i="7955"/>
  <c r="U412" i="7955"/>
  <c r="U413" i="7955"/>
  <c r="V562" i="7955"/>
  <c r="V563" i="7955"/>
  <c r="V565" i="7955" s="1"/>
  <c r="V113" i="7955"/>
  <c r="V115" i="7955" s="1"/>
  <c r="V112" i="7955"/>
  <c r="AW383" i="7950"/>
  <c r="AX383" i="7950"/>
  <c r="M383" i="7950"/>
  <c r="AY383" i="7950"/>
  <c r="AZ383" i="7950"/>
  <c r="U113" i="7955"/>
  <c r="U112" i="7955"/>
  <c r="U563" i="7955"/>
  <c r="U562" i="7955"/>
  <c r="U512" i="7955"/>
  <c r="U513" i="7955"/>
  <c r="V362" i="7955"/>
  <c r="V363" i="7955"/>
  <c r="V365" i="7955" s="1"/>
  <c r="V262" i="7955"/>
  <c r="V263" i="7955"/>
  <c r="V265" i="7955" s="1"/>
  <c r="V463" i="7955"/>
  <c r="V465" i="7955" s="1"/>
  <c r="V462" i="7955"/>
  <c r="AV352" i="7950"/>
  <c r="K352" i="7950"/>
  <c r="U263" i="7955"/>
  <c r="U262" i="7955"/>
  <c r="V313" i="7955"/>
  <c r="V315" i="7955" s="1"/>
  <c r="V312" i="7955"/>
  <c r="V212" i="7955"/>
  <c r="V213" i="7955"/>
  <c r="V215" i="7955" s="1"/>
  <c r="V413" i="7955"/>
  <c r="V415" i="7955" s="1"/>
  <c r="V412" i="7955"/>
  <c r="U163" i="7955"/>
  <c r="U162" i="7955"/>
  <c r="U363" i="7955"/>
  <c r="U362" i="7955"/>
  <c r="V163" i="7955"/>
  <c r="V165" i="7955" s="1"/>
  <c r="V162" i="7955"/>
  <c r="V513" i="7955"/>
  <c r="V515" i="7955" s="1"/>
  <c r="V512" i="7955"/>
  <c r="K175" i="7950"/>
  <c r="AV175" i="7950"/>
  <c r="AV335" i="7950"/>
  <c r="K335" i="7950"/>
  <c r="AW288" i="7950"/>
  <c r="AX288" i="7950"/>
  <c r="M288" i="7950"/>
  <c r="AY288" i="7950"/>
  <c r="AZ288" i="7950"/>
  <c r="AW208" i="7950"/>
  <c r="AX208" i="7950"/>
  <c r="M208" i="7950"/>
  <c r="AZ208" i="7950"/>
  <c r="AY208" i="7950"/>
  <c r="M303" i="7950"/>
  <c r="AW303" i="7950"/>
  <c r="AX303" i="7950"/>
  <c r="AY303" i="7950"/>
  <c r="AZ303" i="7950"/>
  <c r="AW271" i="7950"/>
  <c r="AX271" i="7950"/>
  <c r="M271" i="7950"/>
  <c r="AY271" i="7950"/>
  <c r="AZ271" i="7950"/>
  <c r="M367" i="7950"/>
  <c r="AW367" i="7950"/>
  <c r="AX367" i="7950"/>
  <c r="AY367" i="7950"/>
  <c r="AZ367" i="7950"/>
  <c r="AQ240" i="7950" l="1"/>
  <c r="AT240" i="7950"/>
  <c r="AU240" i="7950" s="1"/>
  <c r="AY319" i="7950"/>
  <c r="AW319" i="7950"/>
  <c r="M319" i="7950"/>
  <c r="AX319" i="7950"/>
  <c r="AZ319" i="7950"/>
  <c r="AP320" i="7950"/>
  <c r="V345" i="7950"/>
  <c r="AF338" i="7950"/>
  <c r="C329" i="7950"/>
  <c r="AF339" i="7950"/>
  <c r="AF337" i="7950"/>
  <c r="AF336" i="7950"/>
  <c r="AF335" i="7950"/>
  <c r="BH48" i="3"/>
  <c r="BK48" i="3" s="1"/>
  <c r="W334" i="1"/>
  <c r="DM915" i="2"/>
  <c r="DO915" i="2"/>
  <c r="DL915" i="2"/>
  <c r="DN915" i="2"/>
  <c r="DK915" i="2"/>
  <c r="DO911" i="2"/>
  <c r="DK911" i="2"/>
  <c r="DL911" i="2"/>
  <c r="DM911" i="2"/>
  <c r="DN911" i="2"/>
  <c r="DL903" i="2"/>
  <c r="DM903" i="2"/>
  <c r="DO903" i="2"/>
  <c r="DK903" i="2"/>
  <c r="DN903" i="2"/>
  <c r="DO897" i="2"/>
  <c r="DL897" i="2"/>
  <c r="DN897" i="2"/>
  <c r="DM897" i="2"/>
  <c r="DK897" i="2"/>
  <c r="DN928" i="2"/>
  <c r="DO928" i="2"/>
  <c r="DM928" i="2"/>
  <c r="DL928" i="2"/>
  <c r="DK928" i="2"/>
  <c r="DO917" i="2"/>
  <c r="DL917" i="2"/>
  <c r="DM917" i="2"/>
  <c r="DN917" i="2"/>
  <c r="DK917" i="2"/>
  <c r="DK910" i="2"/>
  <c r="DO910" i="2"/>
  <c r="DN910" i="2"/>
  <c r="DM910" i="2"/>
  <c r="DL910" i="2"/>
  <c r="DN926" i="2"/>
  <c r="DK926" i="2"/>
  <c r="DO926" i="2"/>
  <c r="DM926" i="2"/>
  <c r="DL926" i="2"/>
  <c r="DM900" i="2"/>
  <c r="DL900" i="2"/>
  <c r="DK900" i="2"/>
  <c r="DO900" i="2"/>
  <c r="DN900" i="2"/>
  <c r="DK916" i="2"/>
  <c r="DN916" i="2"/>
  <c r="DO916" i="2"/>
  <c r="DM916" i="2"/>
  <c r="DL916" i="2"/>
  <c r="DL930" i="2"/>
  <c r="DN930" i="2"/>
  <c r="DO930" i="2"/>
  <c r="DK930" i="2"/>
  <c r="DM930" i="2"/>
  <c r="DM904" i="2"/>
  <c r="DN904" i="2"/>
  <c r="DO904" i="2"/>
  <c r="DK904" i="2"/>
  <c r="DL904" i="2"/>
  <c r="DM899" i="2"/>
  <c r="DN899" i="2"/>
  <c r="DL899" i="2"/>
  <c r="DK899" i="2"/>
  <c r="DO899" i="2"/>
  <c r="DK936" i="2"/>
  <c r="DM936" i="2"/>
  <c r="DN936" i="2"/>
  <c r="DL936" i="2"/>
  <c r="DO936" i="2"/>
  <c r="DK908" i="2"/>
  <c r="DO908" i="2"/>
  <c r="DL908" i="2"/>
  <c r="DM908" i="2"/>
  <c r="DN908" i="2"/>
  <c r="DO892" i="2"/>
  <c r="DK892" i="2"/>
  <c r="DL892" i="2"/>
  <c r="DM892" i="2"/>
  <c r="DN892" i="2"/>
  <c r="DL906" i="2"/>
  <c r="DN906" i="2"/>
  <c r="DK906" i="2"/>
  <c r="DO906" i="2"/>
  <c r="DM906" i="2"/>
  <c r="DN922" i="2"/>
  <c r="DM922" i="2"/>
  <c r="DO922" i="2"/>
  <c r="DK922" i="2"/>
  <c r="DL922" i="2"/>
  <c r="DL940" i="2"/>
  <c r="DK940" i="2"/>
  <c r="DO940" i="2"/>
  <c r="DN940" i="2"/>
  <c r="DM940" i="2"/>
  <c r="W304" i="1"/>
  <c r="W305" i="1" s="1"/>
  <c r="W306" i="1" s="1"/>
  <c r="W307" i="1" s="1"/>
  <c r="W308" i="1" s="1"/>
  <c r="W309" i="1" s="1"/>
  <c r="W310" i="1" s="1"/>
  <c r="AV48" i="3"/>
  <c r="AY48" i="3" s="1"/>
  <c r="AR54" i="1"/>
  <c r="AY47" i="1"/>
  <c r="AS47" i="1"/>
  <c r="AW47" i="1"/>
  <c r="W379" i="1"/>
  <c r="AT47" i="1"/>
  <c r="AU54" i="1"/>
  <c r="AR47" i="1"/>
  <c r="Z53" i="7955"/>
  <c r="AX68" i="1"/>
  <c r="C377" i="1"/>
  <c r="AV47" i="1"/>
  <c r="AX47" i="1"/>
  <c r="AQ47" i="1"/>
  <c r="AP54" i="1"/>
  <c r="D377" i="1"/>
  <c r="AU47" i="1"/>
  <c r="AP47" i="1"/>
  <c r="AQ54" i="1"/>
  <c r="AW54" i="1"/>
  <c r="AY54" i="1"/>
  <c r="AX54" i="1"/>
  <c r="AT80" i="1"/>
  <c r="AT105" i="1" s="1"/>
  <c r="AT54" i="1"/>
  <c r="AS54" i="1"/>
  <c r="Y553" i="7955"/>
  <c r="Y55" i="7955"/>
  <c r="Y54" i="7955"/>
  <c r="Y503" i="7955"/>
  <c r="Y453" i="7955"/>
  <c r="Y103" i="7955"/>
  <c r="Y353" i="7955"/>
  <c r="Y203" i="7955"/>
  <c r="Y303" i="7955"/>
  <c r="Y153" i="7955"/>
  <c r="Y403" i="7955"/>
  <c r="Y253" i="7955"/>
  <c r="W349" i="1"/>
  <c r="AJ43" i="3"/>
  <c r="AM43" i="3" s="1"/>
  <c r="X555" i="7955"/>
  <c r="X554" i="7955"/>
  <c r="X504" i="7955"/>
  <c r="X505" i="7955"/>
  <c r="X205" i="7955"/>
  <c r="X204" i="7955"/>
  <c r="X63" i="7955"/>
  <c r="X65" i="7955" s="1"/>
  <c r="X62" i="7955"/>
  <c r="X355" i="7955"/>
  <c r="X354" i="7955"/>
  <c r="X155" i="7955"/>
  <c r="X154" i="7955"/>
  <c r="DN894" i="2"/>
  <c r="DO894" i="2"/>
  <c r="DK894" i="2"/>
  <c r="DL894" i="2"/>
  <c r="DM894" i="2"/>
  <c r="DO912" i="2"/>
  <c r="DN912" i="2"/>
  <c r="DM912" i="2"/>
  <c r="DL912" i="2"/>
  <c r="DK912" i="2"/>
  <c r="DO937" i="2"/>
  <c r="DK937" i="2"/>
  <c r="DN937" i="2"/>
  <c r="DL937" i="2"/>
  <c r="DM937" i="2"/>
  <c r="DL891" i="2"/>
  <c r="DN891" i="2"/>
  <c r="DK891" i="2"/>
  <c r="DM891" i="2"/>
  <c r="DO891" i="2"/>
  <c r="DN890" i="2"/>
  <c r="DO890" i="2"/>
  <c r="DL890" i="2"/>
  <c r="DK890" i="2"/>
  <c r="DM890" i="2"/>
  <c r="DK918" i="2"/>
  <c r="DO918" i="2"/>
  <c r="DL918" i="2"/>
  <c r="DN918" i="2"/>
  <c r="DM918" i="2"/>
  <c r="DK924" i="2"/>
  <c r="DM924" i="2"/>
  <c r="DN924" i="2"/>
  <c r="DO924" i="2"/>
  <c r="DL924" i="2"/>
  <c r="DM896" i="2"/>
  <c r="DO896" i="2"/>
  <c r="DK896" i="2"/>
  <c r="DL896" i="2"/>
  <c r="DN896" i="2"/>
  <c r="DK923" i="2"/>
  <c r="DO923" i="2"/>
  <c r="DM923" i="2"/>
  <c r="DL923" i="2"/>
  <c r="DN923" i="2"/>
  <c r="DM932" i="2"/>
  <c r="DL932" i="2"/>
  <c r="DN932" i="2"/>
  <c r="DO932" i="2"/>
  <c r="DK932" i="2"/>
  <c r="DM893" i="2"/>
  <c r="DO893" i="2"/>
  <c r="DK893" i="2"/>
  <c r="DN893" i="2"/>
  <c r="DL893" i="2"/>
  <c r="DN902" i="2"/>
  <c r="DK902" i="2"/>
  <c r="DM902" i="2"/>
  <c r="DL902" i="2"/>
  <c r="DO902" i="2"/>
  <c r="DL905" i="2"/>
  <c r="DN905" i="2"/>
  <c r="DO905" i="2"/>
  <c r="DK905" i="2"/>
  <c r="DM905" i="2"/>
  <c r="DN898" i="2"/>
  <c r="DO898" i="2"/>
  <c r="DL898" i="2"/>
  <c r="DK898" i="2"/>
  <c r="DM898" i="2"/>
  <c r="DO914" i="2"/>
  <c r="DN914" i="2"/>
  <c r="DK914" i="2"/>
  <c r="DM914" i="2"/>
  <c r="DL914" i="2"/>
  <c r="DO909" i="2"/>
  <c r="DM909" i="2"/>
  <c r="DL909" i="2"/>
  <c r="DN909" i="2"/>
  <c r="DK909" i="2"/>
  <c r="DN931" i="2"/>
  <c r="DO931" i="2"/>
  <c r="DK931" i="2"/>
  <c r="DL931" i="2"/>
  <c r="DM931" i="2"/>
  <c r="DK939" i="2"/>
  <c r="DO939" i="2"/>
  <c r="DN939" i="2"/>
  <c r="DL939" i="2"/>
  <c r="DM939" i="2"/>
  <c r="DL927" i="2"/>
  <c r="DN927" i="2"/>
  <c r="DK927" i="2"/>
  <c r="DM927" i="2"/>
  <c r="DO927" i="2"/>
  <c r="BN51" i="3"/>
  <c r="BQ51" i="3" s="1"/>
  <c r="W319" i="1"/>
  <c r="W364" i="1"/>
  <c r="R42" i="3"/>
  <c r="U42" i="3" s="1"/>
  <c r="X104" i="7955"/>
  <c r="X105" i="7955"/>
  <c r="X404" i="7955"/>
  <c r="X405" i="7955"/>
  <c r="X254" i="7955"/>
  <c r="X255" i="7955"/>
  <c r="X455" i="7955"/>
  <c r="X454" i="7955"/>
  <c r="X305" i="7955"/>
  <c r="X304" i="7955"/>
  <c r="I240" i="7950"/>
  <c r="G240" i="7950"/>
  <c r="E240" i="7950"/>
  <c r="AR240" i="7950"/>
  <c r="AP224" i="7950"/>
  <c r="AV192" i="7950"/>
  <c r="K192" i="7950"/>
  <c r="AT320" i="7950"/>
  <c r="AU320" i="7950" s="1"/>
  <c r="AQ320" i="7950"/>
  <c r="AR320" i="7950"/>
  <c r="I320" i="7950"/>
  <c r="E320" i="7950"/>
  <c r="G320" i="7950"/>
  <c r="AP384" i="7950"/>
  <c r="AR384" i="7950" s="1"/>
  <c r="G416" i="7950"/>
  <c r="AQ416" i="7950"/>
  <c r="E416" i="7950"/>
  <c r="AV240" i="7950"/>
  <c r="K240" i="7950"/>
  <c r="AP368" i="7950"/>
  <c r="I368" i="7950" s="1"/>
  <c r="AR416" i="7950"/>
  <c r="AT416" i="7950"/>
  <c r="AU416" i="7950" s="1"/>
  <c r="AV416" i="7950" s="1"/>
  <c r="M175" i="7950"/>
  <c r="AW175" i="7950"/>
  <c r="AX175" i="7950"/>
  <c r="AZ175" i="7950"/>
  <c r="AY175" i="7950"/>
  <c r="U565" i="7955"/>
  <c r="U115" i="7955"/>
  <c r="AW399" i="7950"/>
  <c r="M399" i="7950"/>
  <c r="AX399" i="7950"/>
  <c r="AY399" i="7950"/>
  <c r="AZ399" i="7950"/>
  <c r="AP304" i="7950"/>
  <c r="AR304" i="7950" s="1"/>
  <c r="U365" i="7955"/>
  <c r="U165" i="7955"/>
  <c r="U265" i="7955"/>
  <c r="AX352" i="7950"/>
  <c r="AZ352" i="7950"/>
  <c r="AW352" i="7950"/>
  <c r="AY352" i="7950"/>
  <c r="M352" i="7950"/>
  <c r="U515" i="7955"/>
  <c r="AQ384" i="7950"/>
  <c r="E384" i="7950"/>
  <c r="AT384" i="7950"/>
  <c r="AU384" i="7950" s="1"/>
  <c r="U415" i="7955"/>
  <c r="U215" i="7955"/>
  <c r="U465" i="7955"/>
  <c r="U315" i="7955"/>
  <c r="K256" i="7950"/>
  <c r="AV256" i="7950"/>
  <c r="AP289" i="7950"/>
  <c r="M335" i="7950"/>
  <c r="AW335" i="7950"/>
  <c r="AX335" i="7950"/>
  <c r="AZ335" i="7950"/>
  <c r="AY335" i="7950"/>
  <c r="AP272" i="7950"/>
  <c r="AP209" i="7950"/>
  <c r="X313" i="7955" l="1"/>
  <c r="X315" i="7955" s="1"/>
  <c r="X312" i="7955"/>
  <c r="X463" i="7955"/>
  <c r="X465" i="7955" s="1"/>
  <c r="X462" i="7955"/>
  <c r="W320" i="1"/>
  <c r="W321" i="1" s="1"/>
  <c r="W322" i="1" s="1"/>
  <c r="W323" i="1" s="1"/>
  <c r="W324" i="1" s="1"/>
  <c r="W325" i="1" s="1"/>
  <c r="W326" i="1" s="1"/>
  <c r="F46" i="3"/>
  <c r="I46" i="3" s="1"/>
  <c r="DI889" i="2"/>
  <c r="X512" i="7955"/>
  <c r="X513" i="7955"/>
  <c r="X515" i="7955" s="1"/>
  <c r="W350" i="1"/>
  <c r="AV51" i="3"/>
  <c r="AY51" i="3" s="1"/>
  <c r="Y404" i="7955"/>
  <c r="Y405" i="7955"/>
  <c r="Y305" i="7955"/>
  <c r="Y304" i="7955"/>
  <c r="Y355" i="7955"/>
  <c r="Y354" i="7955"/>
  <c r="Y455" i="7955"/>
  <c r="Y454" i="7955"/>
  <c r="Y62" i="7955"/>
  <c r="Y63" i="7955"/>
  <c r="Y65" i="7955" s="1"/>
  <c r="Y554" i="7955"/>
  <c r="Y555" i="7955"/>
  <c r="CB78" i="2"/>
  <c r="CB89" i="2"/>
  <c r="CB82" i="2"/>
  <c r="CB86" i="2"/>
  <c r="CB72" i="2"/>
  <c r="CB77" i="2"/>
  <c r="CB73" i="2"/>
  <c r="CB76" i="2"/>
  <c r="CB88" i="2"/>
  <c r="CB91" i="2"/>
  <c r="CB79" i="2"/>
  <c r="CB85" i="2"/>
  <c r="CB75" i="2"/>
  <c r="CB68" i="2"/>
  <c r="CB74" i="2"/>
  <c r="CB80" i="2"/>
  <c r="CB71" i="2"/>
  <c r="CB70" i="2"/>
  <c r="CB87" i="2"/>
  <c r="CB83" i="2"/>
  <c r="CB84" i="2"/>
  <c r="CB81" i="2"/>
  <c r="CB69" i="2"/>
  <c r="CB90" i="2"/>
  <c r="BW88" i="2"/>
  <c r="BW82" i="2"/>
  <c r="BW89" i="2"/>
  <c r="BW81" i="2"/>
  <c r="BW69" i="2"/>
  <c r="BW76" i="2"/>
  <c r="BW70" i="2"/>
  <c r="BW87" i="2"/>
  <c r="BW90" i="2"/>
  <c r="BW73" i="2"/>
  <c r="BW78" i="2"/>
  <c r="BW71" i="2"/>
  <c r="BW85" i="2"/>
  <c r="BW74" i="2"/>
  <c r="BW68" i="2"/>
  <c r="BW80" i="2"/>
  <c r="BW83" i="2"/>
  <c r="BW72" i="2"/>
  <c r="BW75" i="2"/>
  <c r="BW84" i="2"/>
  <c r="BW79" i="2"/>
  <c r="BW86" i="2"/>
  <c r="BW91" i="2"/>
  <c r="BW77" i="2"/>
  <c r="CE88" i="2"/>
  <c r="CD90" i="2"/>
  <c r="CD72" i="2"/>
  <c r="CD69" i="2"/>
  <c r="CD68" i="2"/>
  <c r="CD74" i="2"/>
  <c r="CE84" i="2"/>
  <c r="CE89" i="2"/>
  <c r="CE68" i="2"/>
  <c r="CE86" i="2"/>
  <c r="CD89" i="2"/>
  <c r="CD70" i="2"/>
  <c r="CD81" i="2"/>
  <c r="CD80" i="2"/>
  <c r="CE83" i="2"/>
  <c r="CD73" i="2"/>
  <c r="CD76" i="2"/>
  <c r="CE75" i="2"/>
  <c r="CE80" i="2"/>
  <c r="CE81" i="2"/>
  <c r="CD87" i="2"/>
  <c r="CE76" i="2"/>
  <c r="CE73" i="2"/>
  <c r="CD79" i="2"/>
  <c r="CE72" i="2"/>
  <c r="CD88" i="2"/>
  <c r="BH88" i="2" s="1"/>
  <c r="CE91" i="2"/>
  <c r="CE74" i="2"/>
  <c r="CD71" i="2"/>
  <c r="CE69" i="2"/>
  <c r="CE87" i="2"/>
  <c r="CD84" i="2"/>
  <c r="CD91" i="2"/>
  <c r="CE70" i="2"/>
  <c r="CD86" i="2"/>
  <c r="CE90" i="2"/>
  <c r="CE79" i="2"/>
  <c r="CD85" i="2"/>
  <c r="CD82" i="2"/>
  <c r="CE71" i="2"/>
  <c r="CD77" i="2"/>
  <c r="CD78" i="2"/>
  <c r="CD83" i="2"/>
  <c r="CE82" i="2"/>
  <c r="CE85" i="2"/>
  <c r="CD75" i="2"/>
  <c r="CE78" i="2"/>
  <c r="CE77" i="2"/>
  <c r="BT43" i="2"/>
  <c r="BT52" i="2"/>
  <c r="BT57" i="2"/>
  <c r="BT58" i="2"/>
  <c r="BT44" i="2"/>
  <c r="BT49" i="2"/>
  <c r="BT59" i="2"/>
  <c r="BT46" i="2"/>
  <c r="BT60" i="2"/>
  <c r="BT50" i="2"/>
  <c r="BT42" i="2"/>
  <c r="BT47" i="2"/>
  <c r="BT61" i="2"/>
  <c r="BT62" i="2"/>
  <c r="BT48" i="2"/>
  <c r="BT53" i="2"/>
  <c r="BT54" i="2"/>
  <c r="BT64" i="2"/>
  <c r="BT45" i="2"/>
  <c r="BT51" i="2"/>
  <c r="BT63" i="2"/>
  <c r="BT55" i="2"/>
  <c r="BT65" i="2"/>
  <c r="BT56" i="2"/>
  <c r="BU59" i="2"/>
  <c r="BU45" i="2"/>
  <c r="BU42" i="2"/>
  <c r="BU51" i="2"/>
  <c r="BU60" i="2"/>
  <c r="BU48" i="2"/>
  <c r="BU43" i="2"/>
  <c r="BU52" i="2"/>
  <c r="BU47" i="2"/>
  <c r="BU58" i="2"/>
  <c r="BU44" i="2"/>
  <c r="BU54" i="2"/>
  <c r="BU50" i="2"/>
  <c r="BU55" i="2"/>
  <c r="BU65" i="2"/>
  <c r="BU64" i="2"/>
  <c r="BU62" i="2"/>
  <c r="BU49" i="2"/>
  <c r="BU61" i="2"/>
  <c r="BU46" i="2"/>
  <c r="BU56" i="2"/>
  <c r="BU53" i="2"/>
  <c r="BU57" i="2"/>
  <c r="BU63" i="2"/>
  <c r="BW45" i="2"/>
  <c r="BW61" i="2"/>
  <c r="BX60" i="2"/>
  <c r="BW65" i="2"/>
  <c r="BX53" i="2"/>
  <c r="BW58" i="2"/>
  <c r="BW47" i="2"/>
  <c r="BW42" i="2"/>
  <c r="BX62" i="2"/>
  <c r="BX56" i="2"/>
  <c r="BX57" i="2"/>
  <c r="BW60" i="2"/>
  <c r="BW57" i="2"/>
  <c r="BW62" i="2"/>
  <c r="BX63" i="2"/>
  <c r="BW59" i="2"/>
  <c r="BW43" i="2"/>
  <c r="BX44" i="2"/>
  <c r="BW49" i="2"/>
  <c r="BW46" i="2"/>
  <c r="BX61" i="2"/>
  <c r="BW51" i="2"/>
  <c r="BW48" i="2"/>
  <c r="BX65" i="2"/>
  <c r="BW53" i="2"/>
  <c r="BX48" i="2"/>
  <c r="BW54" i="2"/>
  <c r="BW50" i="2"/>
  <c r="BX58" i="2"/>
  <c r="BX55" i="2"/>
  <c r="BW55" i="2"/>
  <c r="BX50" i="2"/>
  <c r="BW56" i="2"/>
  <c r="BW52" i="2"/>
  <c r="BX43" i="2"/>
  <c r="BX59" i="2"/>
  <c r="BX52" i="2"/>
  <c r="BX45" i="2"/>
  <c r="BX42" i="2"/>
  <c r="BX54" i="2"/>
  <c r="BX49" i="2"/>
  <c r="BW63" i="2"/>
  <c r="BW44" i="2"/>
  <c r="BW64" i="2"/>
  <c r="BX47" i="2"/>
  <c r="BX46" i="2"/>
  <c r="BX64" i="2"/>
  <c r="BX51" i="2"/>
  <c r="DJ627" i="2"/>
  <c r="DJ625" i="2"/>
  <c r="DJ639" i="2"/>
  <c r="DJ635" i="2"/>
  <c r="DJ604" i="2"/>
  <c r="DJ629" i="2"/>
  <c r="DJ608" i="2"/>
  <c r="DJ611" i="2"/>
  <c r="DJ614" i="2"/>
  <c r="DJ613" i="2"/>
  <c r="DJ630" i="2"/>
  <c r="DJ631" i="2"/>
  <c r="DJ598" i="2"/>
  <c r="DJ589" i="2"/>
  <c r="DJ623" i="2"/>
  <c r="DJ602" i="2"/>
  <c r="DJ591" i="2"/>
  <c r="DJ616" i="2"/>
  <c r="DJ592" i="2"/>
  <c r="DJ622" i="2"/>
  <c r="DJ638" i="2"/>
  <c r="DJ605" i="2"/>
  <c r="DJ615" i="2"/>
  <c r="DJ621" i="2"/>
  <c r="DJ596" i="2"/>
  <c r="DJ603" i="2"/>
  <c r="DJ609" i="2"/>
  <c r="DJ617" i="2"/>
  <c r="DJ626" i="2"/>
  <c r="DJ597" i="2"/>
  <c r="DJ590" i="2"/>
  <c r="DJ610" i="2"/>
  <c r="DJ607" i="2"/>
  <c r="DJ599" i="2"/>
  <c r="DJ636" i="2"/>
  <c r="DJ595" i="2"/>
  <c r="DJ601" i="2"/>
  <c r="DJ593" i="2"/>
  <c r="BS61" i="2"/>
  <c r="BV61" i="2" s="1"/>
  <c r="BS63" i="2"/>
  <c r="BV63" i="2" s="1"/>
  <c r="BS42" i="2"/>
  <c r="BV42" i="2" s="1"/>
  <c r="BS53" i="2"/>
  <c r="BV53" i="2" s="1"/>
  <c r="BS49" i="2"/>
  <c r="BV49" i="2" s="1"/>
  <c r="BS48" i="2"/>
  <c r="BV48" i="2" s="1"/>
  <c r="BS45" i="2"/>
  <c r="BV45" i="2" s="1"/>
  <c r="BS51" i="2"/>
  <c r="BV51" i="2" s="1"/>
  <c r="BS64" i="2"/>
  <c r="BV64" i="2" s="1"/>
  <c r="BS47" i="2"/>
  <c r="BV47" i="2" s="1"/>
  <c r="BS65" i="2"/>
  <c r="BV65" i="2" s="1"/>
  <c r="BS57" i="2"/>
  <c r="BV57" i="2" s="1"/>
  <c r="BS52" i="2"/>
  <c r="BV52" i="2" s="1"/>
  <c r="BS58" i="2"/>
  <c r="BV58" i="2" s="1"/>
  <c r="BS62" i="2"/>
  <c r="BV62" i="2" s="1"/>
  <c r="BS56" i="2"/>
  <c r="BV56" i="2" s="1"/>
  <c r="BS50" i="2"/>
  <c r="BV50" i="2" s="1"/>
  <c r="BS54" i="2"/>
  <c r="BV54" i="2" s="1"/>
  <c r="BS43" i="2"/>
  <c r="BV43" i="2" s="1"/>
  <c r="BS55" i="2"/>
  <c r="BV55" i="2" s="1"/>
  <c r="BS44" i="2"/>
  <c r="BV44" i="2" s="1"/>
  <c r="BS59" i="2"/>
  <c r="BV59" i="2" s="1"/>
  <c r="BS60" i="2"/>
  <c r="BV60" i="2" s="1"/>
  <c r="BS46" i="2"/>
  <c r="BV46" i="2" s="1"/>
  <c r="CB43" i="2"/>
  <c r="CB55" i="2"/>
  <c r="CB51" i="2"/>
  <c r="CB46" i="2"/>
  <c r="CB59" i="2"/>
  <c r="CB44" i="2"/>
  <c r="CB54" i="2"/>
  <c r="CB64" i="2"/>
  <c r="CB47" i="2"/>
  <c r="CB50" i="2"/>
  <c r="CB62" i="2"/>
  <c r="CB49" i="2"/>
  <c r="CB45" i="2"/>
  <c r="CB61" i="2"/>
  <c r="CB53" i="2"/>
  <c r="CB63" i="2"/>
  <c r="CB56" i="2"/>
  <c r="CB48" i="2"/>
  <c r="CB58" i="2"/>
  <c r="CB42" i="2"/>
  <c r="CB65" i="2"/>
  <c r="CB57" i="2"/>
  <c r="CB52" i="2"/>
  <c r="CB60" i="2"/>
  <c r="CD48" i="2"/>
  <c r="CE45" i="2"/>
  <c r="CD56" i="2"/>
  <c r="CE60" i="2"/>
  <c r="CE47" i="2"/>
  <c r="CE62" i="2"/>
  <c r="CD62" i="2"/>
  <c r="CE49" i="2"/>
  <c r="CD60" i="2"/>
  <c r="CE43" i="2"/>
  <c r="CE55" i="2"/>
  <c r="CD49" i="2"/>
  <c r="CE63" i="2"/>
  <c r="CE52" i="2"/>
  <c r="CE46" i="2"/>
  <c r="CD61" i="2"/>
  <c r="CE56" i="2"/>
  <c r="CE54" i="2"/>
  <c r="CD64" i="2"/>
  <c r="CE42" i="2"/>
  <c r="CE50" i="2"/>
  <c r="CE64" i="2"/>
  <c r="CD50" i="2"/>
  <c r="CE58" i="2"/>
  <c r="CE53" i="2"/>
  <c r="CE61" i="2"/>
  <c r="CD55" i="2"/>
  <c r="CE51" i="2"/>
  <c r="CE44" i="2"/>
  <c r="CD59" i="2"/>
  <c r="CE59" i="2"/>
  <c r="CD43" i="2"/>
  <c r="CD52" i="2"/>
  <c r="CD54" i="2"/>
  <c r="CD57" i="2"/>
  <c r="CD51" i="2"/>
  <c r="CD42" i="2"/>
  <c r="CD44" i="2"/>
  <c r="CD58" i="2"/>
  <c r="CD45" i="2"/>
  <c r="CE48" i="2"/>
  <c r="CD65" i="2"/>
  <c r="CD53" i="2"/>
  <c r="CD46" i="2"/>
  <c r="CD63" i="2"/>
  <c r="CD47" i="2"/>
  <c r="CE57" i="2"/>
  <c r="CE65" i="2"/>
  <c r="X263" i="7955"/>
  <c r="X265" i="7955" s="1"/>
  <c r="X262" i="7955"/>
  <c r="X412" i="7955"/>
  <c r="X413" i="7955"/>
  <c r="X415" i="7955" s="1"/>
  <c r="X112" i="7955"/>
  <c r="X113" i="7955"/>
  <c r="X115" i="7955" s="1"/>
  <c r="W365" i="1"/>
  <c r="AV47" i="3"/>
  <c r="AY47" i="3" s="1"/>
  <c r="X163" i="7955"/>
  <c r="X165" i="7955" s="1"/>
  <c r="X162" i="7955"/>
  <c r="X363" i="7955"/>
  <c r="X365" i="7955" s="1"/>
  <c r="X362" i="7955"/>
  <c r="X213" i="7955"/>
  <c r="X215" i="7955" s="1"/>
  <c r="X212" i="7955"/>
  <c r="X563" i="7955"/>
  <c r="X565" i="7955" s="1"/>
  <c r="X562" i="7955"/>
  <c r="Y254" i="7955"/>
  <c r="Y255" i="7955"/>
  <c r="Y155" i="7955"/>
  <c r="Y154" i="7955"/>
  <c r="Y204" i="7955"/>
  <c r="Y205" i="7955"/>
  <c r="Y104" i="7955"/>
  <c r="Y105" i="7955"/>
  <c r="Y504" i="7955"/>
  <c r="Y505" i="7955"/>
  <c r="CA78" i="2"/>
  <c r="CA74" i="2"/>
  <c r="CA87" i="2"/>
  <c r="CA71" i="2"/>
  <c r="CA89" i="2"/>
  <c r="CA79" i="2"/>
  <c r="CA81" i="2"/>
  <c r="CA80" i="2"/>
  <c r="CA76" i="2"/>
  <c r="CA86" i="2"/>
  <c r="CA73" i="2"/>
  <c r="CA90" i="2"/>
  <c r="CA83" i="2"/>
  <c r="CA82" i="2"/>
  <c r="CA69" i="2"/>
  <c r="CA88" i="2"/>
  <c r="CA75" i="2"/>
  <c r="CA70" i="2"/>
  <c r="CA72" i="2"/>
  <c r="CA85" i="2"/>
  <c r="CA84" i="2"/>
  <c r="CA91" i="2"/>
  <c r="CA77" i="2"/>
  <c r="CA68" i="2"/>
  <c r="AJ72" i="2"/>
  <c r="AT107" i="1"/>
  <c r="AW66" i="1" s="1"/>
  <c r="AJ78" i="2"/>
  <c r="BX83" i="2"/>
  <c r="BX75" i="2"/>
  <c r="BI75" i="2" s="1"/>
  <c r="BX81" i="2"/>
  <c r="BI81" i="2" s="1"/>
  <c r="BK81" i="2" s="1"/>
  <c r="BX71" i="2"/>
  <c r="BX88" i="2"/>
  <c r="BI88" i="2" s="1"/>
  <c r="BK88" i="2" s="1"/>
  <c r="BX77" i="2"/>
  <c r="BI77" i="2" s="1"/>
  <c r="BX70" i="2"/>
  <c r="BX91" i="2"/>
  <c r="BI91" i="2" s="1"/>
  <c r="BK91" i="2" s="1"/>
  <c r="BX85" i="2"/>
  <c r="BI85" i="2" s="1"/>
  <c r="BK85" i="2" s="1"/>
  <c r="BX78" i="2"/>
  <c r="BI78" i="2" s="1"/>
  <c r="BX74" i="2"/>
  <c r="BI74" i="2" s="1"/>
  <c r="BX68" i="2"/>
  <c r="BI68" i="2" s="1"/>
  <c r="BX80" i="2"/>
  <c r="BI80" i="2" s="1"/>
  <c r="BK80" i="2" s="1"/>
  <c r="BX90" i="2"/>
  <c r="BI90" i="2" s="1"/>
  <c r="BK90" i="2" s="1"/>
  <c r="BX82" i="2"/>
  <c r="BX76" i="2"/>
  <c r="BX87" i="2"/>
  <c r="BI87" i="2" s="1"/>
  <c r="BK87" i="2" s="1"/>
  <c r="BX89" i="2"/>
  <c r="BI89" i="2" s="1"/>
  <c r="BK89" i="2" s="1"/>
  <c r="BX72" i="2"/>
  <c r="BI72" i="2" s="1"/>
  <c r="BX84" i="2"/>
  <c r="BI84" i="2" s="1"/>
  <c r="BK84" i="2" s="1"/>
  <c r="BX86" i="2"/>
  <c r="BI86" i="2" s="1"/>
  <c r="BK86" i="2" s="1"/>
  <c r="BX73" i="2"/>
  <c r="BI73" i="2" s="1"/>
  <c r="BX79" i="2"/>
  <c r="BI79" i="2" s="1"/>
  <c r="BK79" i="2" s="1"/>
  <c r="BX69" i="2"/>
  <c r="BI69" i="2" s="1"/>
  <c r="BU86" i="2"/>
  <c r="BF86" i="2" s="1"/>
  <c r="BU90" i="2"/>
  <c r="BF90" i="2" s="1"/>
  <c r="BU76" i="2"/>
  <c r="BF76" i="2" s="1"/>
  <c r="BU81" i="2"/>
  <c r="BF81" i="2" s="1"/>
  <c r="BU80" i="2"/>
  <c r="BF80" i="2" s="1"/>
  <c r="BU75" i="2"/>
  <c r="BF75" i="2" s="1"/>
  <c r="BU70" i="2"/>
  <c r="BF70" i="2" s="1"/>
  <c r="BU91" i="2"/>
  <c r="BF91" i="2" s="1"/>
  <c r="BU83" i="2"/>
  <c r="BF83" i="2" s="1"/>
  <c r="BU89" i="2"/>
  <c r="BF89" i="2" s="1"/>
  <c r="BU79" i="2"/>
  <c r="BF79" i="2" s="1"/>
  <c r="BU73" i="2"/>
  <c r="BF73" i="2" s="1"/>
  <c r="BU72" i="2"/>
  <c r="BF72" i="2" s="1"/>
  <c r="BU77" i="2"/>
  <c r="BF77" i="2" s="1"/>
  <c r="BU68" i="2"/>
  <c r="BF68" i="2" s="1"/>
  <c r="BU71" i="2"/>
  <c r="BF71" i="2" s="1"/>
  <c r="BU85" i="2"/>
  <c r="BF85" i="2" s="1"/>
  <c r="BU84" i="2"/>
  <c r="BF84" i="2" s="1"/>
  <c r="BU88" i="2"/>
  <c r="BF88" i="2" s="1"/>
  <c r="BU69" i="2"/>
  <c r="BF69" i="2" s="1"/>
  <c r="BU82" i="2"/>
  <c r="BF82" i="2" s="1"/>
  <c r="BU74" i="2"/>
  <c r="BF74" i="2" s="1"/>
  <c r="BU78" i="2"/>
  <c r="BF78" i="2" s="1"/>
  <c r="BU87" i="2"/>
  <c r="BF87" i="2" s="1"/>
  <c r="BZ47" i="2"/>
  <c r="CC47" i="2" s="1"/>
  <c r="BZ65" i="2"/>
  <c r="CC65" i="2" s="1"/>
  <c r="BZ56" i="2"/>
  <c r="CC56" i="2" s="1"/>
  <c r="BZ51" i="2"/>
  <c r="CC51" i="2" s="1"/>
  <c r="BZ64" i="2"/>
  <c r="CC64" i="2" s="1"/>
  <c r="BZ60" i="2"/>
  <c r="CC60" i="2" s="1"/>
  <c r="BZ55" i="2"/>
  <c r="CC55" i="2" s="1"/>
  <c r="BZ42" i="2"/>
  <c r="CC42" i="2" s="1"/>
  <c r="BZ50" i="2"/>
  <c r="CC50" i="2" s="1"/>
  <c r="BZ62" i="2"/>
  <c r="CC62" i="2" s="1"/>
  <c r="BZ48" i="2"/>
  <c r="CC48" i="2" s="1"/>
  <c r="BZ61" i="2"/>
  <c r="CC61" i="2" s="1"/>
  <c r="BZ54" i="2"/>
  <c r="CC54" i="2" s="1"/>
  <c r="BZ49" i="2"/>
  <c r="CC49" i="2" s="1"/>
  <c r="BZ63" i="2"/>
  <c r="CC63" i="2" s="1"/>
  <c r="BZ58" i="2"/>
  <c r="CC58" i="2" s="1"/>
  <c r="BZ53" i="2"/>
  <c r="CC53" i="2" s="1"/>
  <c r="BZ44" i="2"/>
  <c r="CC44" i="2" s="1"/>
  <c r="BZ46" i="2"/>
  <c r="CC46" i="2" s="1"/>
  <c r="BZ59" i="2"/>
  <c r="CC59" i="2" s="1"/>
  <c r="BZ45" i="2"/>
  <c r="CC45" i="2" s="1"/>
  <c r="BZ57" i="2"/>
  <c r="CC57" i="2" s="1"/>
  <c r="BZ43" i="2"/>
  <c r="CC43" i="2" s="1"/>
  <c r="BZ52" i="2"/>
  <c r="CC52" i="2" s="1"/>
  <c r="BT69" i="2"/>
  <c r="BE69" i="2" s="1"/>
  <c r="BT76" i="2"/>
  <c r="BE76" i="2" s="1"/>
  <c r="BT83" i="2"/>
  <c r="BE83" i="2" s="1"/>
  <c r="BM83" i="2" s="1"/>
  <c r="BT82" i="2"/>
  <c r="BE82" i="2" s="1"/>
  <c r="BT68" i="2"/>
  <c r="BE68" i="2" s="1"/>
  <c r="BT75" i="2"/>
  <c r="BE75" i="2" s="1"/>
  <c r="BT85" i="2"/>
  <c r="BE85" i="2" s="1"/>
  <c r="BT71" i="2"/>
  <c r="BE71" i="2" s="1"/>
  <c r="BT70" i="2"/>
  <c r="BE70" i="2" s="1"/>
  <c r="BT77" i="2"/>
  <c r="BE77" i="2" s="1"/>
  <c r="BT84" i="2"/>
  <c r="BE84" i="2" s="1"/>
  <c r="BT89" i="2"/>
  <c r="BE89" i="2" s="1"/>
  <c r="BT87" i="2"/>
  <c r="BE87" i="2" s="1"/>
  <c r="BM87" i="2" s="1"/>
  <c r="BT86" i="2"/>
  <c r="BE86" i="2" s="1"/>
  <c r="BT72" i="2"/>
  <c r="BE72" i="2" s="1"/>
  <c r="BT79" i="2"/>
  <c r="BE79" i="2" s="1"/>
  <c r="BT78" i="2"/>
  <c r="BE78" i="2" s="1"/>
  <c r="BT90" i="2"/>
  <c r="BE90" i="2" s="1"/>
  <c r="BM90" i="2" s="1"/>
  <c r="BT74" i="2"/>
  <c r="BE74" i="2" s="1"/>
  <c r="BM74" i="2" s="1"/>
  <c r="BT81" i="2"/>
  <c r="BE81" i="2" s="1"/>
  <c r="BT88" i="2"/>
  <c r="BE88" i="2" s="1"/>
  <c r="BM88" i="2" s="1"/>
  <c r="BT91" i="2"/>
  <c r="BE91" i="2" s="1"/>
  <c r="BT73" i="2"/>
  <c r="BE73" i="2" s="1"/>
  <c r="BT80" i="2"/>
  <c r="BE80" i="2" s="1"/>
  <c r="BM80" i="2" s="1"/>
  <c r="Z503" i="7955"/>
  <c r="Z303" i="7955"/>
  <c r="Z103" i="7955"/>
  <c r="Z253" i="7955"/>
  <c r="Z153" i="7955"/>
  <c r="Z203" i="7955"/>
  <c r="Z403" i="7955"/>
  <c r="Z55" i="7955"/>
  <c r="Z54" i="7955"/>
  <c r="Z353" i="7955"/>
  <c r="Z553" i="7955"/>
  <c r="Z453" i="7955"/>
  <c r="BZ91" i="2"/>
  <c r="CC91" i="2" s="1"/>
  <c r="BZ80" i="2"/>
  <c r="CC80" i="2" s="1"/>
  <c r="BZ70" i="2"/>
  <c r="CC70" i="2" s="1"/>
  <c r="BZ87" i="2"/>
  <c r="CC87" i="2" s="1"/>
  <c r="BZ76" i="2"/>
  <c r="CC76" i="2" s="1"/>
  <c r="BZ89" i="2"/>
  <c r="CC89" i="2" s="1"/>
  <c r="BZ83" i="2"/>
  <c r="CC83" i="2" s="1"/>
  <c r="BZ73" i="2"/>
  <c r="CC73" i="2" s="1"/>
  <c r="BZ68" i="2"/>
  <c r="CC68" i="2" s="1"/>
  <c r="BZ88" i="2"/>
  <c r="CC88" i="2" s="1"/>
  <c r="BZ90" i="2"/>
  <c r="CC90" i="2" s="1"/>
  <c r="BZ74" i="2"/>
  <c r="CC74" i="2" s="1"/>
  <c r="BZ75" i="2"/>
  <c r="CC75" i="2" s="1"/>
  <c r="BZ86" i="2"/>
  <c r="CC86" i="2" s="1"/>
  <c r="BZ77" i="2"/>
  <c r="CC77" i="2" s="1"/>
  <c r="BZ72" i="2"/>
  <c r="CC72" i="2" s="1"/>
  <c r="BZ78" i="2"/>
  <c r="CC78" i="2" s="1"/>
  <c r="BZ84" i="2"/>
  <c r="CC84" i="2" s="1"/>
  <c r="BZ69" i="2"/>
  <c r="CC69" i="2" s="1"/>
  <c r="BZ85" i="2"/>
  <c r="CC85" i="2" s="1"/>
  <c r="BZ71" i="2"/>
  <c r="CC71" i="2" s="1"/>
  <c r="BZ81" i="2"/>
  <c r="CC81" i="2" s="1"/>
  <c r="BZ79" i="2"/>
  <c r="CC79" i="2" s="1"/>
  <c r="BZ82" i="2"/>
  <c r="CC82" i="2" s="1"/>
  <c r="W380" i="1"/>
  <c r="AV52" i="3"/>
  <c r="AY52" i="3" s="1"/>
  <c r="CA46" i="2"/>
  <c r="CA59" i="2"/>
  <c r="CA45" i="2"/>
  <c r="CA63" i="2"/>
  <c r="CA51" i="2"/>
  <c r="CA60" i="2"/>
  <c r="CA43" i="2"/>
  <c r="CA49" i="2"/>
  <c r="CA44" i="2"/>
  <c r="CA48" i="2"/>
  <c r="CA54" i="2"/>
  <c r="CA53" i="2"/>
  <c r="CA55" i="2"/>
  <c r="CA50" i="2"/>
  <c r="CA56" i="2"/>
  <c r="CA57" i="2"/>
  <c r="CA58" i="2"/>
  <c r="CA61" i="2"/>
  <c r="CA42" i="2"/>
  <c r="CA47" i="2"/>
  <c r="CA65" i="2"/>
  <c r="CA52" i="2"/>
  <c r="CA62" i="2"/>
  <c r="CA64" i="2"/>
  <c r="BS70" i="2"/>
  <c r="BV70" i="2" s="1"/>
  <c r="BG70" i="2" s="1"/>
  <c r="BS85" i="2"/>
  <c r="BV85" i="2" s="1"/>
  <c r="BG85" i="2" s="1"/>
  <c r="BS71" i="2"/>
  <c r="BV71" i="2" s="1"/>
  <c r="BG71" i="2" s="1"/>
  <c r="BS89" i="2"/>
  <c r="BV89" i="2" s="1"/>
  <c r="BG89" i="2" s="1"/>
  <c r="BS77" i="2"/>
  <c r="BV77" i="2" s="1"/>
  <c r="BG77" i="2" s="1"/>
  <c r="BS84" i="2"/>
  <c r="BV84" i="2" s="1"/>
  <c r="BG84" i="2" s="1"/>
  <c r="BS69" i="2"/>
  <c r="BV69" i="2" s="1"/>
  <c r="BG69" i="2" s="1"/>
  <c r="BS75" i="2"/>
  <c r="BV75" i="2" s="1"/>
  <c r="BG75" i="2" s="1"/>
  <c r="BS68" i="2"/>
  <c r="BV68" i="2" s="1"/>
  <c r="BG68" i="2" s="1"/>
  <c r="BS72" i="2"/>
  <c r="BV72" i="2" s="1"/>
  <c r="BG72" i="2" s="1"/>
  <c r="BS78" i="2"/>
  <c r="BV78" i="2" s="1"/>
  <c r="BG78" i="2" s="1"/>
  <c r="BS79" i="2"/>
  <c r="BV79" i="2" s="1"/>
  <c r="BG79" i="2" s="1"/>
  <c r="BS81" i="2"/>
  <c r="BV81" i="2" s="1"/>
  <c r="BG81" i="2" s="1"/>
  <c r="BS74" i="2"/>
  <c r="BV74" i="2" s="1"/>
  <c r="BG74" i="2" s="1"/>
  <c r="BN74" i="2" s="1"/>
  <c r="BS80" i="2"/>
  <c r="BV80" i="2" s="1"/>
  <c r="BG80" i="2" s="1"/>
  <c r="BD80" i="2" s="1"/>
  <c r="BS83" i="2"/>
  <c r="BV83" i="2" s="1"/>
  <c r="BG83" i="2" s="1"/>
  <c r="BD83" i="2" s="1"/>
  <c r="BS82" i="2"/>
  <c r="BV82" i="2" s="1"/>
  <c r="BG82" i="2" s="1"/>
  <c r="BS87" i="2"/>
  <c r="BV87" i="2" s="1"/>
  <c r="BG87" i="2" s="1"/>
  <c r="BN87" i="2" s="1"/>
  <c r="BS88" i="2"/>
  <c r="BV88" i="2" s="1"/>
  <c r="BG88" i="2" s="1"/>
  <c r="BD88" i="2" s="1"/>
  <c r="BS73" i="2"/>
  <c r="BV73" i="2" s="1"/>
  <c r="BG73" i="2" s="1"/>
  <c r="BD73" i="2" s="1"/>
  <c r="BS91" i="2"/>
  <c r="BV91" i="2" s="1"/>
  <c r="BG91" i="2" s="1"/>
  <c r="BN91" i="2" s="1"/>
  <c r="BS76" i="2"/>
  <c r="BV76" i="2" s="1"/>
  <c r="BG76" i="2" s="1"/>
  <c r="BN76" i="2" s="1"/>
  <c r="BS86" i="2"/>
  <c r="BV86" i="2" s="1"/>
  <c r="BG86" i="2" s="1"/>
  <c r="BS90" i="2"/>
  <c r="BV90" i="2" s="1"/>
  <c r="BG90" i="2" s="1"/>
  <c r="BN90" i="2" s="1"/>
  <c r="DI921" i="2"/>
  <c r="DI935" i="2"/>
  <c r="W335" i="1"/>
  <c r="L42" i="3"/>
  <c r="O42" i="3" s="1"/>
  <c r="AF352" i="7950"/>
  <c r="V361" i="7950"/>
  <c r="AF354" i="7950"/>
  <c r="C345" i="7950"/>
  <c r="AF355" i="7950"/>
  <c r="AF353" i="7950"/>
  <c r="AF351" i="7950"/>
  <c r="BD86" i="2"/>
  <c r="BD90" i="2"/>
  <c r="BO90" i="2" s="1"/>
  <c r="BN73" i="2"/>
  <c r="BO73" i="2" s="1"/>
  <c r="BD76" i="2"/>
  <c r="BO76" i="2" s="1"/>
  <c r="AT304" i="7950"/>
  <c r="AU304" i="7950" s="1"/>
  <c r="BD74" i="2"/>
  <c r="BO74" i="2" s="1"/>
  <c r="BN80" i="2"/>
  <c r="BO80" i="2" s="1"/>
  <c r="BN83" i="2"/>
  <c r="BO83" i="2" s="1"/>
  <c r="BD87" i="2"/>
  <c r="BO87" i="2" s="1"/>
  <c r="BJ88" i="2"/>
  <c r="BD89" i="2"/>
  <c r="AT224" i="7950"/>
  <c r="AU224" i="7950" s="1"/>
  <c r="I224" i="7950"/>
  <c r="G224" i="7950"/>
  <c r="E224" i="7950"/>
  <c r="AQ224" i="7950"/>
  <c r="AR224" i="7950"/>
  <c r="E304" i="7950"/>
  <c r="I304" i="7950"/>
  <c r="AX192" i="7950"/>
  <c r="AZ192" i="7950"/>
  <c r="AW192" i="7950"/>
  <c r="AY192" i="7950"/>
  <c r="AP193" i="7950" s="1"/>
  <c r="M192" i="7950"/>
  <c r="AR368" i="7950"/>
  <c r="I384" i="7950"/>
  <c r="G384" i="7950"/>
  <c r="K320" i="7950"/>
  <c r="AV320" i="7950"/>
  <c r="G368" i="7950"/>
  <c r="AP336" i="7950"/>
  <c r="AT336" i="7950" s="1"/>
  <c r="AU336" i="7950" s="1"/>
  <c r="AQ368" i="7950"/>
  <c r="G304" i="7950"/>
  <c r="AQ304" i="7950"/>
  <c r="K416" i="7950"/>
  <c r="M240" i="7950"/>
  <c r="AX240" i="7950"/>
  <c r="AW240" i="7950"/>
  <c r="AZ240" i="7950"/>
  <c r="AY240" i="7950"/>
  <c r="E368" i="7950"/>
  <c r="AT368" i="7950"/>
  <c r="AU368" i="7950" s="1"/>
  <c r="K384" i="7950"/>
  <c r="AV384" i="7950"/>
  <c r="M256" i="7950"/>
  <c r="AX256" i="7950"/>
  <c r="AW256" i="7950"/>
  <c r="AZ256" i="7950"/>
  <c r="AY256" i="7950"/>
  <c r="M416" i="7950"/>
  <c r="AW416" i="7950"/>
  <c r="AX416" i="7950"/>
  <c r="AZ416" i="7950"/>
  <c r="AY416" i="7950"/>
  <c r="AP353" i="7950"/>
  <c r="AP400" i="7950"/>
  <c r="AP176" i="7950"/>
  <c r="AT193" i="7950"/>
  <c r="AU193" i="7950" s="1"/>
  <c r="AQ193" i="7950"/>
  <c r="E193" i="7950"/>
  <c r="G193" i="7950"/>
  <c r="I193" i="7950"/>
  <c r="AR193" i="7950"/>
  <c r="I209" i="7950"/>
  <c r="AR209" i="7950"/>
  <c r="AT209" i="7950"/>
  <c r="AU209" i="7950" s="1"/>
  <c r="AQ209" i="7950"/>
  <c r="E209" i="7950"/>
  <c r="G209" i="7950"/>
  <c r="K368" i="7950"/>
  <c r="AV368" i="7950"/>
  <c r="AV304" i="7950"/>
  <c r="K304" i="7950"/>
  <c r="AT272" i="7950"/>
  <c r="AU272" i="7950" s="1"/>
  <c r="AQ272" i="7950"/>
  <c r="E272" i="7950"/>
  <c r="G272" i="7950"/>
  <c r="I272" i="7950"/>
  <c r="AR272" i="7950"/>
  <c r="AQ336" i="7950"/>
  <c r="G336" i="7950"/>
  <c r="AR336" i="7950"/>
  <c r="I289" i="7950"/>
  <c r="AR289" i="7950"/>
  <c r="AT289" i="7950"/>
  <c r="AU289" i="7950" s="1"/>
  <c r="AQ289" i="7950"/>
  <c r="E289" i="7950"/>
  <c r="G289" i="7950"/>
  <c r="R46" i="3" l="1"/>
  <c r="U46" i="3" s="1"/>
  <c r="W336" i="1"/>
  <c r="W337" i="1" s="1"/>
  <c r="W338" i="1" s="1"/>
  <c r="W339" i="1" s="1"/>
  <c r="W340" i="1" s="1"/>
  <c r="W341" i="1" s="1"/>
  <c r="W342" i="1" s="1"/>
  <c r="DV922" i="2"/>
  <c r="DV924" i="2"/>
  <c r="DV923" i="2"/>
  <c r="I336" i="7950"/>
  <c r="E336" i="7950"/>
  <c r="BN88" i="2"/>
  <c r="BO88" i="2" s="1"/>
  <c r="BD91" i="2"/>
  <c r="BO91" i="2" s="1"/>
  <c r="V377" i="7950"/>
  <c r="AF370" i="7950"/>
  <c r="C361" i="7950"/>
  <c r="AF371" i="7950"/>
  <c r="AF369" i="7950"/>
  <c r="AF368" i="7950"/>
  <c r="AF367" i="7950"/>
  <c r="DV936" i="2"/>
  <c r="DV937" i="2"/>
  <c r="Z455" i="7955"/>
  <c r="Z454" i="7955"/>
  <c r="Z354" i="7955"/>
  <c r="Z355" i="7955"/>
  <c r="Z204" i="7955"/>
  <c r="Z205" i="7955"/>
  <c r="Z254" i="7955"/>
  <c r="Z255" i="7955"/>
  <c r="Z305" i="7955"/>
  <c r="Z304" i="7955"/>
  <c r="BD81" i="2"/>
  <c r="BM81" i="2"/>
  <c r="BN81" i="2"/>
  <c r="BO81" i="2" s="1"/>
  <c r="BD79" i="2"/>
  <c r="BN79" i="2"/>
  <c r="BN86" i="2"/>
  <c r="BO86" i="2" s="1"/>
  <c r="BN89" i="2"/>
  <c r="BO89" i="2" s="1"/>
  <c r="BN77" i="2"/>
  <c r="BD77" i="2"/>
  <c r="BO77" i="2" s="1"/>
  <c r="BM77" i="2"/>
  <c r="BN71" i="2"/>
  <c r="BM71" i="2"/>
  <c r="BD71" i="2"/>
  <c r="BO71" i="2" s="1"/>
  <c r="BM75" i="2"/>
  <c r="BN75" i="2"/>
  <c r="BD75" i="2"/>
  <c r="BN82" i="2"/>
  <c r="BM82" i="2"/>
  <c r="BD82" i="2"/>
  <c r="BO82" i="2" s="1"/>
  <c r="BM73" i="2"/>
  <c r="BM89" i="2"/>
  <c r="BM91" i="2"/>
  <c r="Y513" i="7955"/>
  <c r="Y515" i="7955" s="1"/>
  <c r="Y512" i="7955"/>
  <c r="Y113" i="7955"/>
  <c r="Y115" i="7955" s="1"/>
  <c r="Y112" i="7955"/>
  <c r="Y213" i="7955"/>
  <c r="Y215" i="7955" s="1"/>
  <c r="Y212" i="7955"/>
  <c r="Y262" i="7955"/>
  <c r="Y263" i="7955"/>
  <c r="Y265" i="7955" s="1"/>
  <c r="W366" i="1"/>
  <c r="BB46" i="3"/>
  <c r="BE46" i="3" s="1"/>
  <c r="BG60" i="2"/>
  <c r="BG44" i="2"/>
  <c r="BG43" i="2"/>
  <c r="BG50" i="2"/>
  <c r="BG62" i="2"/>
  <c r="BG52" i="2"/>
  <c r="BG65" i="2"/>
  <c r="BN65" i="2" s="1"/>
  <c r="BG64" i="2"/>
  <c r="BG45" i="2"/>
  <c r="BN45" i="2" s="1"/>
  <c r="BG49" i="2"/>
  <c r="BG42" i="2"/>
  <c r="BG61" i="2"/>
  <c r="DO601" i="2"/>
  <c r="DK601" i="2"/>
  <c r="DL601" i="2"/>
  <c r="DM601" i="2"/>
  <c r="DN601" i="2"/>
  <c r="DN636" i="2"/>
  <c r="DO636" i="2"/>
  <c r="DK636" i="2"/>
  <c r="DM636" i="2"/>
  <c r="DL636" i="2"/>
  <c r="DO607" i="2"/>
  <c r="DL607" i="2"/>
  <c r="DN607" i="2"/>
  <c r="DK607" i="2"/>
  <c r="DM607" i="2"/>
  <c r="DN590" i="2"/>
  <c r="DO590" i="2"/>
  <c r="DL590" i="2"/>
  <c r="DM590" i="2"/>
  <c r="DK590" i="2"/>
  <c r="DN626" i="2"/>
  <c r="DK626" i="2"/>
  <c r="DL626" i="2"/>
  <c r="DM626" i="2"/>
  <c r="DO626" i="2"/>
  <c r="DM609" i="2"/>
  <c r="DL609" i="2"/>
  <c r="DN609" i="2"/>
  <c r="DO609" i="2"/>
  <c r="DK609" i="2"/>
  <c r="DK596" i="2"/>
  <c r="DO596" i="2"/>
  <c r="DM596" i="2"/>
  <c r="DL596" i="2"/>
  <c r="DN596" i="2"/>
  <c r="DO615" i="2"/>
  <c r="DM615" i="2"/>
  <c r="DL615" i="2"/>
  <c r="DK615" i="2"/>
  <c r="DN615" i="2"/>
  <c r="DN638" i="2"/>
  <c r="DM638" i="2"/>
  <c r="DL638" i="2"/>
  <c r="DO638" i="2"/>
  <c r="DK638" i="2"/>
  <c r="DM592" i="2"/>
  <c r="DN592" i="2"/>
  <c r="DK592" i="2"/>
  <c r="DO592" i="2"/>
  <c r="DL592" i="2"/>
  <c r="DL591" i="2"/>
  <c r="DM591" i="2"/>
  <c r="DN591" i="2"/>
  <c r="DK591" i="2"/>
  <c r="DO591" i="2"/>
  <c r="DO623" i="2"/>
  <c r="DL623" i="2"/>
  <c r="DN623" i="2"/>
  <c r="DK623" i="2"/>
  <c r="DM623" i="2"/>
  <c r="DK598" i="2"/>
  <c r="DM598" i="2"/>
  <c r="DN598" i="2"/>
  <c r="DL598" i="2"/>
  <c r="DO598" i="2"/>
  <c r="DK630" i="2"/>
  <c r="DL630" i="2"/>
  <c r="DM630" i="2"/>
  <c r="DN630" i="2"/>
  <c r="DO630" i="2"/>
  <c r="DM614" i="2"/>
  <c r="DO614" i="2"/>
  <c r="DL614" i="2"/>
  <c r="DK614" i="2"/>
  <c r="DN614" i="2"/>
  <c r="DL608" i="2"/>
  <c r="DM608" i="2"/>
  <c r="DK608" i="2"/>
  <c r="DO608" i="2"/>
  <c r="DN608" i="2"/>
  <c r="DM604" i="2"/>
  <c r="DO604" i="2"/>
  <c r="DN604" i="2"/>
  <c r="DL604" i="2"/>
  <c r="DK604" i="2"/>
  <c r="DL639" i="2"/>
  <c r="DK639" i="2"/>
  <c r="DO639" i="2"/>
  <c r="DM639" i="2"/>
  <c r="DN639" i="2"/>
  <c r="DL627" i="2"/>
  <c r="DK627" i="2"/>
  <c r="DM627" i="2"/>
  <c r="DN627" i="2"/>
  <c r="DO627" i="2"/>
  <c r="BI64" i="2"/>
  <c r="BK64" i="2" s="1"/>
  <c r="BI47" i="2"/>
  <c r="BK47" i="2" s="1"/>
  <c r="BH44" i="2"/>
  <c r="BI49" i="2"/>
  <c r="BK49" i="2" s="1"/>
  <c r="BI42" i="2"/>
  <c r="BI52" i="2"/>
  <c r="BK52" i="2" s="1"/>
  <c r="BI43" i="2"/>
  <c r="BH56" i="2"/>
  <c r="BJ56" i="2" s="1"/>
  <c r="BA133" i="2" s="1"/>
  <c r="BH55" i="2"/>
  <c r="BI58" i="2"/>
  <c r="BK58" i="2" s="1"/>
  <c r="BH54" i="2"/>
  <c r="BH53" i="2"/>
  <c r="BH48" i="2"/>
  <c r="BI61" i="2"/>
  <c r="BK61" i="2" s="1"/>
  <c r="BH49" i="2"/>
  <c r="BH43" i="2"/>
  <c r="BJ43" i="2" s="1"/>
  <c r="BA120" i="2" s="1"/>
  <c r="BI63" i="2"/>
  <c r="BK63" i="2" s="1"/>
  <c r="BH57" i="2"/>
  <c r="BJ57" i="2" s="1"/>
  <c r="BI57" i="2"/>
  <c r="BI62" i="2"/>
  <c r="BK62" i="2" s="1"/>
  <c r="BH47" i="2"/>
  <c r="BI53" i="2"/>
  <c r="BK53" i="2" s="1"/>
  <c r="BI60" i="2"/>
  <c r="BK60" i="2" s="1"/>
  <c r="BH45" i="2"/>
  <c r="BJ45" i="2" s="1"/>
  <c r="BA122" i="2" s="1"/>
  <c r="BF57" i="2"/>
  <c r="BF56" i="2"/>
  <c r="BF61" i="2"/>
  <c r="BF62" i="2"/>
  <c r="BF65" i="2"/>
  <c r="BF50" i="2"/>
  <c r="BF44" i="2"/>
  <c r="BF47" i="2"/>
  <c r="BF43" i="2"/>
  <c r="BF60" i="2"/>
  <c r="BF42" i="2"/>
  <c r="BF59" i="2"/>
  <c r="BE65" i="2"/>
  <c r="BE63" i="2"/>
  <c r="BE45" i="2"/>
  <c r="BE54" i="2"/>
  <c r="BE48" i="2"/>
  <c r="BE61" i="2"/>
  <c r="BE42" i="2"/>
  <c r="BE60" i="2"/>
  <c r="BE59" i="2"/>
  <c r="BE44" i="2"/>
  <c r="BE57" i="2"/>
  <c r="BE43" i="2"/>
  <c r="BI83" i="2"/>
  <c r="BK83" i="2" s="1"/>
  <c r="BH91" i="2"/>
  <c r="BJ91" i="2" s="1"/>
  <c r="BH79" i="2"/>
  <c r="BJ79" i="2" s="1"/>
  <c r="BH75" i="2"/>
  <c r="BH83" i="2"/>
  <c r="BJ83" i="2" s="1"/>
  <c r="BH68" i="2"/>
  <c r="BH85" i="2"/>
  <c r="BJ85" i="2" s="1"/>
  <c r="BH78" i="2"/>
  <c r="BH90" i="2"/>
  <c r="BJ90" i="2" s="1"/>
  <c r="BH70" i="2"/>
  <c r="BH69" i="2"/>
  <c r="BH89" i="2"/>
  <c r="BJ89" i="2" s="1"/>
  <c r="Y562" i="7955"/>
  <c r="Y563" i="7955"/>
  <c r="Y565" i="7955" s="1"/>
  <c r="Y413" i="7955"/>
  <c r="Y415" i="7955" s="1"/>
  <c r="Y412" i="7955"/>
  <c r="BN46" i="3"/>
  <c r="BQ46" i="3" s="1"/>
  <c r="W351" i="1"/>
  <c r="AJ51" i="3"/>
  <c r="AM51" i="3" s="1"/>
  <c r="W381" i="1"/>
  <c r="Z554" i="7955"/>
  <c r="Z555" i="7955"/>
  <c r="Z62" i="7955"/>
  <c r="Z63" i="7955"/>
  <c r="Z65" i="7955" s="1"/>
  <c r="Z404" i="7955"/>
  <c r="Z405" i="7955"/>
  <c r="Z155" i="7955"/>
  <c r="Z154" i="7955"/>
  <c r="Z104" i="7955"/>
  <c r="Z105" i="7955"/>
  <c r="Z504" i="7955"/>
  <c r="Z505" i="7955"/>
  <c r="BM78" i="2"/>
  <c r="BN78" i="2"/>
  <c r="BD78" i="2"/>
  <c r="BM72" i="2"/>
  <c r="BD72" i="2"/>
  <c r="BN72" i="2"/>
  <c r="BD84" i="2"/>
  <c r="BM84" i="2"/>
  <c r="BN84" i="2"/>
  <c r="BM70" i="2"/>
  <c r="BN70" i="2"/>
  <c r="BD70" i="2"/>
  <c r="BO70" i="2" s="1"/>
  <c r="BN85" i="2"/>
  <c r="BD85" i="2"/>
  <c r="BO85" i="2" s="1"/>
  <c r="BM85" i="2"/>
  <c r="BD68" i="2"/>
  <c r="BN68" i="2"/>
  <c r="BM68" i="2"/>
  <c r="BN69" i="2"/>
  <c r="BD69" i="2"/>
  <c r="BO69" i="2" s="1"/>
  <c r="BM69" i="2"/>
  <c r="BM79" i="2"/>
  <c r="BM76" i="2"/>
  <c r="BM86" i="2"/>
  <c r="BM130" i="2"/>
  <c r="BQ132" i="2"/>
  <c r="BM134" i="2"/>
  <c r="BN123" i="2"/>
  <c r="BK119" i="2"/>
  <c r="BJ133" i="2"/>
  <c r="BI139" i="2"/>
  <c r="BG123" i="2"/>
  <c r="BO119" i="2"/>
  <c r="BN122" i="2"/>
  <c r="BO124" i="2"/>
  <c r="BN131" i="2"/>
  <c r="BH127" i="2"/>
  <c r="BJ130" i="2"/>
  <c r="BH124" i="2"/>
  <c r="BJ137" i="2"/>
  <c r="BM133" i="2"/>
  <c r="BM138" i="2"/>
  <c r="BK124" i="2"/>
  <c r="BK122" i="2"/>
  <c r="BO123" i="2"/>
  <c r="BO134" i="2"/>
  <c r="BH131" i="2"/>
  <c r="BH128" i="2"/>
  <c r="BL120" i="2"/>
  <c r="BL130" i="2"/>
  <c r="BQ129" i="2"/>
  <c r="BG132" i="2"/>
  <c r="BL140" i="2"/>
  <c r="BQ120" i="2"/>
  <c r="BQ141" i="2"/>
  <c r="BK134" i="2"/>
  <c r="BG129" i="2"/>
  <c r="BM137" i="2"/>
  <c r="BQ140" i="2"/>
  <c r="BM142" i="2"/>
  <c r="BN128" i="2"/>
  <c r="BH121" i="2"/>
  <c r="BJ140" i="2"/>
  <c r="BK123" i="2"/>
  <c r="BK131" i="2"/>
  <c r="BO126" i="2"/>
  <c r="BN136" i="2"/>
  <c r="BO138" i="2"/>
  <c r="BN139" i="2"/>
  <c r="BH135" i="2"/>
  <c r="BK139" i="2"/>
  <c r="BH132" i="2"/>
  <c r="BJ125" i="2"/>
  <c r="BO125" i="2"/>
  <c r="BO136" i="2"/>
  <c r="BH133" i="2"/>
  <c r="BH130" i="2"/>
  <c r="BO133" i="2"/>
  <c r="BL125" i="2"/>
  <c r="BQ123" i="2"/>
  <c r="BO121" i="2"/>
  <c r="BO132" i="2"/>
  <c r="BH129" i="2"/>
  <c r="BH126" i="2"/>
  <c r="BO130" i="2"/>
  <c r="BL121" i="2"/>
  <c r="BQ119" i="2"/>
  <c r="BH140" i="2"/>
  <c r="BO135" i="2"/>
  <c r="BQ125" i="2"/>
  <c r="BL132" i="2"/>
  <c r="BQ133" i="2"/>
  <c r="BG137" i="2"/>
  <c r="BN130" i="2"/>
  <c r="BJ139" i="2"/>
  <c r="BP119" i="2"/>
  <c r="BK140" i="2"/>
  <c r="BN138" i="2"/>
  <c r="BN141" i="2"/>
  <c r="BK137" i="2"/>
  <c r="BK142" i="2"/>
  <c r="BP134" i="2"/>
  <c r="BP128" i="2"/>
  <c r="BJ121" i="2"/>
  <c r="BJ124" i="2"/>
  <c r="BL137" i="2"/>
  <c r="BG124" i="2"/>
  <c r="BQ134" i="2"/>
  <c r="BK132" i="2"/>
  <c r="BG121" i="2"/>
  <c r="BN142" i="2"/>
  <c r="BP121" i="2"/>
  <c r="BK129" i="2"/>
  <c r="BK138" i="2"/>
  <c r="BP138" i="2"/>
  <c r="BP130" i="2"/>
  <c r="BI122" i="2"/>
  <c r="BJ120" i="2"/>
  <c r="BM119" i="2"/>
  <c r="BP135" i="2"/>
  <c r="BI128" i="2"/>
  <c r="BI123" i="2"/>
  <c r="BM129" i="2"/>
  <c r="BM132" i="2"/>
  <c r="BI142" i="2"/>
  <c r="BI137" i="2"/>
  <c r="BP132" i="2"/>
  <c r="BJ122" i="2"/>
  <c r="BM121" i="2"/>
  <c r="BI130" i="2"/>
  <c r="BM141" i="2"/>
  <c r="BH125" i="2"/>
  <c r="BO128" i="2"/>
  <c r="BH139" i="2"/>
  <c r="BL138" i="2"/>
  <c r="BL141" i="2"/>
  <c r="BQ139" i="2"/>
  <c r="BG120" i="2"/>
  <c r="BG131" i="2"/>
  <c r="BQ138" i="2"/>
  <c r="BN127" i="2"/>
  <c r="BJ142" i="2"/>
  <c r="BJ131" i="2"/>
  <c r="BP139" i="2"/>
  <c r="BI127" i="2"/>
  <c r="BM136" i="2"/>
  <c r="BG142" i="2"/>
  <c r="BL142" i="2"/>
  <c r="BQ122" i="2"/>
  <c r="BN119" i="2"/>
  <c r="BJ134" i="2"/>
  <c r="BG127" i="2"/>
  <c r="BQ142" i="2"/>
  <c r="BN129" i="2"/>
  <c r="BJ138" i="2"/>
  <c r="BJ141" i="2"/>
  <c r="BO131" i="2"/>
  <c r="BP122" i="2"/>
  <c r="BL123" i="2"/>
  <c r="BP125" i="2"/>
  <c r="BQ121" i="2"/>
  <c r="BK125" i="2"/>
  <c r="BH142" i="2"/>
  <c r="BK130" i="2"/>
  <c r="BL122" i="2"/>
  <c r="BP142" i="2"/>
  <c r="BL131" i="2"/>
  <c r="BP133" i="2"/>
  <c r="BQ130" i="2"/>
  <c r="BI126" i="2"/>
  <c r="BG130" i="2"/>
  <c r="BI121" i="2"/>
  <c r="BG141" i="2"/>
  <c r="BQ136" i="2"/>
  <c r="BN126" i="2"/>
  <c r="BJ132" i="2"/>
  <c r="BG119" i="2"/>
  <c r="BN132" i="2"/>
  <c r="BN135" i="2"/>
  <c r="BJ126" i="2"/>
  <c r="BJ129" i="2"/>
  <c r="BP140" i="2"/>
  <c r="BP131" i="2"/>
  <c r="BI124" i="2"/>
  <c r="BI119" i="2"/>
  <c r="BM127" i="2"/>
  <c r="BM122" i="2"/>
  <c r="BI138" i="2"/>
  <c r="BI133" i="2"/>
  <c r="BO139" i="2"/>
  <c r="BP136" i="2"/>
  <c r="BL128" i="2"/>
  <c r="BP129" i="2"/>
  <c r="BQ127" i="2"/>
  <c r="BI120" i="2"/>
  <c r="BG136" i="2"/>
  <c r="BJ119" i="2"/>
  <c r="BL136" i="2"/>
  <c r="BM125" i="2"/>
  <c r="BL139" i="2"/>
  <c r="BP141" i="2"/>
  <c r="BQ137" i="2"/>
  <c r="BI134" i="2"/>
  <c r="BG122" i="2"/>
  <c r="BI129" i="2"/>
  <c r="BG133" i="2"/>
  <c r="BN134" i="2"/>
  <c r="BN137" i="2"/>
  <c r="BK141" i="2"/>
  <c r="BJ127" i="2"/>
  <c r="BP124" i="2"/>
  <c r="BP126" i="2"/>
  <c r="BJ123" i="2"/>
  <c r="BN124" i="2"/>
  <c r="BN133" i="2"/>
  <c r="BJ128" i="2"/>
  <c r="BJ135" i="2"/>
  <c r="BP120" i="2"/>
  <c r="BP123" i="2"/>
  <c r="BK127" i="2"/>
  <c r="BK136" i="2"/>
  <c r="BL126" i="2"/>
  <c r="BG140" i="2"/>
  <c r="BL135" i="2"/>
  <c r="BG126" i="2"/>
  <c r="BN120" i="2"/>
  <c r="BJ136" i="2"/>
  <c r="BN140" i="2"/>
  <c r="BK135" i="2"/>
  <c r="BO127" i="2"/>
  <c r="BO140" i="2"/>
  <c r="BH137" i="2"/>
  <c r="BH134" i="2"/>
  <c r="BO137" i="2"/>
  <c r="BL127" i="2"/>
  <c r="BQ126" i="2"/>
  <c r="BG138" i="2"/>
  <c r="BL134" i="2"/>
  <c r="BQ135" i="2"/>
  <c r="BG135" i="2"/>
  <c r="BN125" i="2"/>
  <c r="BI141" i="2"/>
  <c r="BO129" i="2"/>
  <c r="BL119" i="2"/>
  <c r="BH141" i="2"/>
  <c r="BH138" i="2"/>
  <c r="BO141" i="2"/>
  <c r="BL129" i="2"/>
  <c r="BQ128" i="2"/>
  <c r="BG134" i="2"/>
  <c r="BL124" i="2"/>
  <c r="BL133" i="2"/>
  <c r="BQ131" i="2"/>
  <c r="BG128" i="2"/>
  <c r="BG139" i="2"/>
  <c r="BQ124" i="2"/>
  <c r="BN121" i="2"/>
  <c r="BK133" i="2"/>
  <c r="BG125" i="2"/>
  <c r="BP127" i="2"/>
  <c r="BK126" i="2"/>
  <c r="BP137" i="2"/>
  <c r="BI125" i="2"/>
  <c r="BO122" i="2"/>
  <c r="BH122" i="2"/>
  <c r="BO142" i="2"/>
  <c r="BH136" i="2"/>
  <c r="BM126" i="2"/>
  <c r="BM120" i="2"/>
  <c r="BI136" i="2"/>
  <c r="BI131" i="2"/>
  <c r="BM135" i="2"/>
  <c r="BM140" i="2"/>
  <c r="BH119" i="2"/>
  <c r="BK121" i="2"/>
  <c r="BM123" i="2"/>
  <c r="BI132" i="2"/>
  <c r="BM131" i="2"/>
  <c r="BK120" i="2"/>
  <c r="BK128" i="2"/>
  <c r="BM128" i="2"/>
  <c r="BM124" i="2"/>
  <c r="BI140" i="2"/>
  <c r="BI135" i="2"/>
  <c r="BM139" i="2"/>
  <c r="BO120" i="2"/>
  <c r="BH123" i="2"/>
  <c r="BH120" i="2"/>
  <c r="Y162" i="7955"/>
  <c r="Y163" i="7955"/>
  <c r="Y165" i="7955" s="1"/>
  <c r="BG46" i="2"/>
  <c r="BG59" i="2"/>
  <c r="BG55" i="2"/>
  <c r="BG54" i="2"/>
  <c r="BN54" i="2" s="1"/>
  <c r="BG56" i="2"/>
  <c r="BG58" i="2"/>
  <c r="BG57" i="2"/>
  <c r="BG47" i="2"/>
  <c r="BG51" i="2"/>
  <c r="BG48" i="2"/>
  <c r="BG53" i="2"/>
  <c r="BG63" i="2"/>
  <c r="DL593" i="2"/>
  <c r="DO593" i="2"/>
  <c r="DK593" i="2"/>
  <c r="DN593" i="2"/>
  <c r="DM593" i="2"/>
  <c r="DM595" i="2"/>
  <c r="DO595" i="2"/>
  <c r="DL595" i="2"/>
  <c r="DN595" i="2"/>
  <c r="DK595" i="2"/>
  <c r="DM599" i="2"/>
  <c r="DL599" i="2"/>
  <c r="DK599" i="2"/>
  <c r="DN599" i="2"/>
  <c r="DO599" i="2"/>
  <c r="DO610" i="2"/>
  <c r="DM610" i="2"/>
  <c r="DK610" i="2"/>
  <c r="DL610" i="2"/>
  <c r="DN610" i="2"/>
  <c r="DK597" i="2"/>
  <c r="DN597" i="2"/>
  <c r="DO597" i="2"/>
  <c r="DL597" i="2"/>
  <c r="DM597" i="2"/>
  <c r="DL617" i="2"/>
  <c r="DM617" i="2"/>
  <c r="DN617" i="2"/>
  <c r="DO617" i="2"/>
  <c r="DK617" i="2"/>
  <c r="DL603" i="2"/>
  <c r="DM603" i="2"/>
  <c r="DN603" i="2"/>
  <c r="DO603" i="2"/>
  <c r="DK603" i="2"/>
  <c r="DL621" i="2"/>
  <c r="DN621" i="2"/>
  <c r="DK621" i="2"/>
  <c r="DM621" i="2"/>
  <c r="DO621" i="2"/>
  <c r="DO605" i="2"/>
  <c r="DM605" i="2"/>
  <c r="DN605" i="2"/>
  <c r="DK605" i="2"/>
  <c r="DL605" i="2"/>
  <c r="DM622" i="2"/>
  <c r="DK622" i="2"/>
  <c r="DO622" i="2"/>
  <c r="DN622" i="2"/>
  <c r="DL622" i="2"/>
  <c r="DL616" i="2"/>
  <c r="DM616" i="2"/>
  <c r="DO616" i="2"/>
  <c r="DN616" i="2"/>
  <c r="DK616" i="2"/>
  <c r="DN602" i="2"/>
  <c r="DM602" i="2"/>
  <c r="DL602" i="2"/>
  <c r="DK602" i="2"/>
  <c r="DO602" i="2"/>
  <c r="DM589" i="2"/>
  <c r="DL589" i="2"/>
  <c r="DN589" i="2"/>
  <c r="DK589" i="2"/>
  <c r="DO589" i="2"/>
  <c r="DN631" i="2"/>
  <c r="DO631" i="2"/>
  <c r="DM631" i="2"/>
  <c r="DL631" i="2"/>
  <c r="DK631" i="2"/>
  <c r="DL613" i="2"/>
  <c r="DK613" i="2"/>
  <c r="DN613" i="2"/>
  <c r="DO613" i="2"/>
  <c r="DM613" i="2"/>
  <c r="DM611" i="2"/>
  <c r="DO611" i="2"/>
  <c r="DL611" i="2"/>
  <c r="DK611" i="2"/>
  <c r="DN611" i="2"/>
  <c r="DO629" i="2"/>
  <c r="DK629" i="2"/>
  <c r="DN629" i="2"/>
  <c r="DL629" i="2"/>
  <c r="DM629" i="2"/>
  <c r="DL635" i="2"/>
  <c r="DO635" i="2"/>
  <c r="DM635" i="2"/>
  <c r="DN635" i="2"/>
  <c r="DK635" i="2"/>
  <c r="DK625" i="2"/>
  <c r="DN625" i="2"/>
  <c r="DO625" i="2"/>
  <c r="DL625" i="2"/>
  <c r="DM625" i="2"/>
  <c r="BI51" i="2"/>
  <c r="BK51" i="2" s="1"/>
  <c r="BI46" i="2"/>
  <c r="BH64" i="2"/>
  <c r="BJ64" i="2" s="1"/>
  <c r="BA141" i="2" s="1"/>
  <c r="BH63" i="2"/>
  <c r="BJ63" i="2" s="1"/>
  <c r="BA140" i="2" s="1"/>
  <c r="BI54" i="2"/>
  <c r="BK54" i="2" s="1"/>
  <c r="BI45" i="2"/>
  <c r="BI59" i="2"/>
  <c r="BK59" i="2" s="1"/>
  <c r="BH52" i="2"/>
  <c r="BI50" i="2"/>
  <c r="BI55" i="2"/>
  <c r="BK55" i="2" s="1"/>
  <c r="BH50" i="2"/>
  <c r="BJ50" i="2" s="1"/>
  <c r="BA127" i="2" s="1"/>
  <c r="BI48" i="2"/>
  <c r="BK48" i="2" s="1"/>
  <c r="BI65" i="2"/>
  <c r="BK65" i="2" s="1"/>
  <c r="BH51" i="2"/>
  <c r="BH46" i="2"/>
  <c r="BJ46" i="2" s="1"/>
  <c r="BA123" i="2" s="1"/>
  <c r="BI44" i="2"/>
  <c r="BK44" i="2" s="1"/>
  <c r="BH59" i="2"/>
  <c r="BJ59" i="2" s="1"/>
  <c r="BA136" i="2" s="1"/>
  <c r="BH62" i="2"/>
  <c r="BH60" i="2"/>
  <c r="BJ60" i="2" s="1"/>
  <c r="BA137" i="2" s="1"/>
  <c r="BI56" i="2"/>
  <c r="BK56" i="2" s="1"/>
  <c r="BH42" i="2"/>
  <c r="BJ42" i="2" s="1"/>
  <c r="BA119" i="2" s="1"/>
  <c r="BH58" i="2"/>
  <c r="BH65" i="2"/>
  <c r="BJ65" i="2" s="1"/>
  <c r="BA142" i="2" s="1"/>
  <c r="BH61" i="2"/>
  <c r="BF63" i="2"/>
  <c r="BM63" i="2" s="1"/>
  <c r="BF53" i="2"/>
  <c r="BF46" i="2"/>
  <c r="BF49" i="2"/>
  <c r="BF64" i="2"/>
  <c r="BM64" i="2" s="1"/>
  <c r="BF55" i="2"/>
  <c r="BF54" i="2"/>
  <c r="BM54" i="2" s="1"/>
  <c r="BF58" i="2"/>
  <c r="BF52" i="2"/>
  <c r="BM52" i="2" s="1"/>
  <c r="BF48" i="2"/>
  <c r="BF51" i="2"/>
  <c r="BF45" i="2"/>
  <c r="BE56" i="2"/>
  <c r="BE55" i="2"/>
  <c r="BE51" i="2"/>
  <c r="BE64" i="2"/>
  <c r="BN64" i="2" s="1"/>
  <c r="BE53" i="2"/>
  <c r="BE62" i="2"/>
  <c r="BE47" i="2"/>
  <c r="BE50" i="2"/>
  <c r="BE46" i="2"/>
  <c r="BE49" i="2"/>
  <c r="BE58" i="2"/>
  <c r="BE52" i="2"/>
  <c r="BI82" i="2"/>
  <c r="BK82" i="2" s="1"/>
  <c r="BI71" i="2"/>
  <c r="BI70" i="2"/>
  <c r="BK70" i="2" s="1"/>
  <c r="BI76" i="2"/>
  <c r="BH77" i="2"/>
  <c r="BH86" i="2"/>
  <c r="BJ86" i="2" s="1"/>
  <c r="BH84" i="2"/>
  <c r="BJ84" i="2" s="1"/>
  <c r="BH72" i="2"/>
  <c r="BH80" i="2"/>
  <c r="BJ80" i="2" s="1"/>
  <c r="BH74" i="2"/>
  <c r="BH71" i="2"/>
  <c r="BJ71" i="2" s="1"/>
  <c r="BH73" i="2"/>
  <c r="BH87" i="2"/>
  <c r="BJ87" i="2" s="1"/>
  <c r="BH76" i="2"/>
  <c r="BJ76" i="2" s="1"/>
  <c r="BH81" i="2"/>
  <c r="BJ81" i="2" s="1"/>
  <c r="BH82" i="2"/>
  <c r="Y462" i="7955"/>
  <c r="Y463" i="7955"/>
  <c r="Y465" i="7955" s="1"/>
  <c r="Y362" i="7955"/>
  <c r="Y363" i="7955"/>
  <c r="Y365" i="7955" s="1"/>
  <c r="Y312" i="7955"/>
  <c r="Y313" i="7955"/>
  <c r="Y315" i="7955" s="1"/>
  <c r="DV893" i="2"/>
  <c r="DV891" i="2"/>
  <c r="DV894" i="2"/>
  <c r="DV892" i="2"/>
  <c r="DV890" i="2"/>
  <c r="AJ69" i="2"/>
  <c r="AV224" i="7950"/>
  <c r="K224" i="7950"/>
  <c r="AP241" i="7950"/>
  <c r="E241" i="7950" s="1"/>
  <c r="AX320" i="7950"/>
  <c r="AZ320" i="7950"/>
  <c r="AW320" i="7950"/>
  <c r="AY320" i="7950"/>
  <c r="AP321" i="7950" s="1"/>
  <c r="M320" i="7950"/>
  <c r="AT241" i="7950"/>
  <c r="AU241" i="7950" s="1"/>
  <c r="AP257" i="7950"/>
  <c r="E257" i="7950" s="1"/>
  <c r="I176" i="7950"/>
  <c r="AT176" i="7950"/>
  <c r="AU176" i="7950" s="1"/>
  <c r="AQ176" i="7950"/>
  <c r="G176" i="7950"/>
  <c r="E176" i="7950"/>
  <c r="AR176" i="7950"/>
  <c r="I400" i="7950"/>
  <c r="AT400" i="7950"/>
  <c r="AU400" i="7950" s="1"/>
  <c r="E400" i="7950"/>
  <c r="AR400" i="7950"/>
  <c r="AQ400" i="7950"/>
  <c r="G400" i="7950"/>
  <c r="AT353" i="7950"/>
  <c r="AU353" i="7950" s="1"/>
  <c r="E353" i="7950"/>
  <c r="AR353" i="7950"/>
  <c r="AQ353" i="7950"/>
  <c r="I353" i="7950"/>
  <c r="G353" i="7950"/>
  <c r="AW384" i="7950"/>
  <c r="M384" i="7950"/>
  <c r="AX384" i="7950"/>
  <c r="AZ384" i="7950"/>
  <c r="AY384" i="7950"/>
  <c r="AT257" i="7950"/>
  <c r="AU257" i="7950" s="1"/>
  <c r="G257" i="7950"/>
  <c r="AP417" i="7950"/>
  <c r="AV289" i="7950"/>
  <c r="K289" i="7950"/>
  <c r="K282" i="7950"/>
  <c r="K336" i="7950"/>
  <c r="AV336" i="7950"/>
  <c r="M304" i="7950"/>
  <c r="AW304" i="7950"/>
  <c r="AX304" i="7950"/>
  <c r="AY304" i="7950"/>
  <c r="AZ304" i="7950"/>
  <c r="M368" i="7950"/>
  <c r="AW368" i="7950"/>
  <c r="AX368" i="7950"/>
  <c r="AY368" i="7950"/>
  <c r="AZ368" i="7950"/>
  <c r="AV209" i="7950"/>
  <c r="K209" i="7950"/>
  <c r="K202" i="7950"/>
  <c r="K193" i="7950"/>
  <c r="AV193" i="7950"/>
  <c r="K186" i="7950"/>
  <c r="K272" i="7950"/>
  <c r="AV272" i="7950"/>
  <c r="DX890" i="2" l="1"/>
  <c r="DW890" i="2"/>
  <c r="DV896" i="2"/>
  <c r="DV900" i="2"/>
  <c r="DW894" i="2"/>
  <c r="DX894" i="2"/>
  <c r="DX893" i="2"/>
  <c r="DW893" i="2"/>
  <c r="DV899" i="2"/>
  <c r="BJ77" i="2"/>
  <c r="BK77" i="2"/>
  <c r="BD58" i="2"/>
  <c r="BN58" i="2"/>
  <c r="BM46" i="2"/>
  <c r="BN46" i="2"/>
  <c r="BD46" i="2"/>
  <c r="BO46" i="2" s="1"/>
  <c r="BN47" i="2"/>
  <c r="BD47" i="2"/>
  <c r="BO47" i="2" s="1"/>
  <c r="BM53" i="2"/>
  <c r="BN53" i="2"/>
  <c r="BD53" i="2"/>
  <c r="BN51" i="2"/>
  <c r="BD51" i="2"/>
  <c r="BD56" i="2"/>
  <c r="BO56" i="2" s="1"/>
  <c r="BN56" i="2"/>
  <c r="BM51" i="2"/>
  <c r="BK50" i="2"/>
  <c r="BW152" i="2"/>
  <c r="BX154" i="2"/>
  <c r="BW162" i="2"/>
  <c r="BW168" i="2"/>
  <c r="BW150" i="2"/>
  <c r="BX168" i="2"/>
  <c r="BW157" i="2"/>
  <c r="BX189" i="2"/>
  <c r="BX150" i="2"/>
  <c r="BW187" i="2"/>
  <c r="BW190" i="2"/>
  <c r="BX153" i="2"/>
  <c r="BW160" i="2"/>
  <c r="BX158" i="2"/>
  <c r="BW155" i="2"/>
  <c r="BX163" i="2"/>
  <c r="BX157" i="2"/>
  <c r="BX160" i="2"/>
  <c r="BW148" i="2"/>
  <c r="BW189" i="2"/>
  <c r="BW194" i="2"/>
  <c r="BW149" i="2"/>
  <c r="BW191" i="2"/>
  <c r="BW159" i="2"/>
  <c r="BX151" i="2"/>
  <c r="BX147" i="2"/>
  <c r="BX156" i="2"/>
  <c r="BX146" i="2"/>
  <c r="BW165" i="2"/>
  <c r="BX188" i="2"/>
  <c r="BW193" i="2"/>
  <c r="BW156" i="2"/>
  <c r="BX190" i="2"/>
  <c r="BW154" i="2"/>
  <c r="BW169" i="2"/>
  <c r="BW153" i="2"/>
  <c r="BX166" i="2"/>
  <c r="BW167" i="2"/>
  <c r="BW192" i="2"/>
  <c r="BX155" i="2"/>
  <c r="BX195" i="2"/>
  <c r="BX152" i="2"/>
  <c r="BW146" i="2"/>
  <c r="BX149" i="2"/>
  <c r="BX165" i="2"/>
  <c r="BW188" i="2"/>
  <c r="BX162" i="2"/>
  <c r="BX193" i="2"/>
  <c r="BX159" i="2"/>
  <c r="BW166" i="2"/>
  <c r="BX148" i="2"/>
  <c r="BX192" i="2"/>
  <c r="BX167" i="2"/>
  <c r="BX194" i="2"/>
  <c r="BX164" i="2"/>
  <c r="BW161" i="2"/>
  <c r="BX161" i="2"/>
  <c r="BX191" i="2"/>
  <c r="BW195" i="2"/>
  <c r="BX186" i="2"/>
  <c r="BW158" i="2"/>
  <c r="BW147" i="2"/>
  <c r="BW186" i="2"/>
  <c r="BW164" i="2"/>
  <c r="BX169" i="2"/>
  <c r="BW151" i="2"/>
  <c r="BW163" i="2"/>
  <c r="BX187" i="2"/>
  <c r="BT192" i="2"/>
  <c r="BT193" i="2"/>
  <c r="BT164" i="2"/>
  <c r="BT194" i="2"/>
  <c r="BT191" i="2"/>
  <c r="BT166" i="2"/>
  <c r="BT188" i="2"/>
  <c r="BT160" i="2"/>
  <c r="BT169" i="2"/>
  <c r="BT151" i="2"/>
  <c r="BT167" i="2"/>
  <c r="BT146" i="2"/>
  <c r="BT153" i="2"/>
  <c r="BT189" i="2"/>
  <c r="BT190" i="2"/>
  <c r="BT195" i="2"/>
  <c r="BT162" i="2"/>
  <c r="BT165" i="2"/>
  <c r="BT154" i="2"/>
  <c r="BT159" i="2"/>
  <c r="BT148" i="2"/>
  <c r="BT147" i="2"/>
  <c r="BT155" i="2"/>
  <c r="BT168" i="2"/>
  <c r="BT149" i="2"/>
  <c r="BT187" i="2"/>
  <c r="BT186" i="2"/>
  <c r="BT156" i="2"/>
  <c r="BT161" i="2"/>
  <c r="BT150" i="2"/>
  <c r="BT158" i="2"/>
  <c r="BT163" i="2"/>
  <c r="BT152" i="2"/>
  <c r="BT157" i="2"/>
  <c r="BS159" i="2"/>
  <c r="BV159" i="2" s="1"/>
  <c r="BS190" i="2"/>
  <c r="BV190" i="2" s="1"/>
  <c r="BS193" i="2"/>
  <c r="BV193" i="2" s="1"/>
  <c r="BS168" i="2"/>
  <c r="BV168" i="2" s="1"/>
  <c r="BS163" i="2"/>
  <c r="BV163" i="2" s="1"/>
  <c r="BS191" i="2"/>
  <c r="BV191" i="2" s="1"/>
  <c r="BS186" i="2"/>
  <c r="BV186" i="2" s="1"/>
  <c r="BS148" i="2"/>
  <c r="BV148" i="2" s="1"/>
  <c r="BS161" i="2"/>
  <c r="BV161" i="2" s="1"/>
  <c r="BS195" i="2"/>
  <c r="BV195" i="2" s="1"/>
  <c r="BS154" i="2"/>
  <c r="BV154" i="2" s="1"/>
  <c r="BS147" i="2"/>
  <c r="BV147" i="2" s="1"/>
  <c r="BS151" i="2"/>
  <c r="BV151" i="2" s="1"/>
  <c r="BS189" i="2"/>
  <c r="BV189" i="2" s="1"/>
  <c r="BS192" i="2"/>
  <c r="BV192" i="2" s="1"/>
  <c r="BS162" i="2"/>
  <c r="BV162" i="2" s="1"/>
  <c r="BS155" i="2"/>
  <c r="BV155" i="2" s="1"/>
  <c r="BS164" i="2"/>
  <c r="BV164" i="2" s="1"/>
  <c r="BS157" i="2"/>
  <c r="BV157" i="2" s="1"/>
  <c r="BS167" i="2"/>
  <c r="BV167" i="2" s="1"/>
  <c r="BS158" i="2"/>
  <c r="BV158" i="2" s="1"/>
  <c r="BS188" i="2"/>
  <c r="BV188" i="2" s="1"/>
  <c r="BS187" i="2"/>
  <c r="BV187" i="2" s="1"/>
  <c r="BS194" i="2"/>
  <c r="BV194" i="2" s="1"/>
  <c r="BS150" i="2"/>
  <c r="BV150" i="2" s="1"/>
  <c r="BS166" i="2"/>
  <c r="BV166" i="2" s="1"/>
  <c r="BS169" i="2"/>
  <c r="BV169" i="2" s="1"/>
  <c r="BS156" i="2"/>
  <c r="BV156" i="2" s="1"/>
  <c r="BS149" i="2"/>
  <c r="BV149" i="2" s="1"/>
  <c r="BS165" i="2"/>
  <c r="BV165" i="2" s="1"/>
  <c r="BS152" i="2"/>
  <c r="BV152" i="2" s="1"/>
  <c r="BS160" i="2"/>
  <c r="BV160" i="2" s="1"/>
  <c r="BS146" i="2"/>
  <c r="BV146" i="2" s="1"/>
  <c r="BS153" i="2"/>
  <c r="BV153" i="2" s="1"/>
  <c r="CB191" i="2"/>
  <c r="CB186" i="2"/>
  <c r="CB166" i="2"/>
  <c r="CB169" i="2"/>
  <c r="CB192" i="2"/>
  <c r="CB189" i="2"/>
  <c r="CB149" i="2"/>
  <c r="CB152" i="2"/>
  <c r="CB148" i="2"/>
  <c r="CB168" i="2"/>
  <c r="CB190" i="2"/>
  <c r="CB156" i="2"/>
  <c r="CB151" i="2"/>
  <c r="CB150" i="2"/>
  <c r="CB164" i="2"/>
  <c r="CB159" i="2"/>
  <c r="CB158" i="2"/>
  <c r="CB155" i="2"/>
  <c r="CB154" i="2"/>
  <c r="CB146" i="2"/>
  <c r="CB163" i="2"/>
  <c r="CB162" i="2"/>
  <c r="CB153" i="2"/>
  <c r="CB194" i="2"/>
  <c r="CB193" i="2"/>
  <c r="CB161" i="2"/>
  <c r="CB157" i="2"/>
  <c r="CB160" i="2"/>
  <c r="CB167" i="2"/>
  <c r="CB165" i="2"/>
  <c r="CB195" i="2"/>
  <c r="CB147" i="2"/>
  <c r="CB188" i="2"/>
  <c r="CB187" i="2"/>
  <c r="CJ43" i="2"/>
  <c r="CI43" i="2" s="1"/>
  <c r="CJ50" i="2"/>
  <c r="CJ56" i="2"/>
  <c r="CJ42" i="2"/>
  <c r="CI42" i="2" s="1"/>
  <c r="CJ54" i="2"/>
  <c r="CI54" i="2" s="1"/>
  <c r="CJ52" i="2"/>
  <c r="CJ65" i="2"/>
  <c r="CJ46" i="2"/>
  <c r="CJ48" i="2"/>
  <c r="CJ57" i="2"/>
  <c r="CJ63" i="2"/>
  <c r="CJ53" i="2"/>
  <c r="CI53" i="2" s="1"/>
  <c r="CJ58" i="2"/>
  <c r="CI58" i="2" s="1"/>
  <c r="CJ60" i="2"/>
  <c r="CJ62" i="2"/>
  <c r="CJ55" i="2"/>
  <c r="CI55" i="2" s="1"/>
  <c r="CJ59" i="2"/>
  <c r="CI59" i="2" s="1"/>
  <c r="CJ45" i="2"/>
  <c r="CJ47" i="2"/>
  <c r="CI47" i="2" s="1"/>
  <c r="CJ51" i="2"/>
  <c r="CI51" i="2" s="1"/>
  <c r="CJ64" i="2"/>
  <c r="CI64" i="2" s="1"/>
  <c r="CJ44" i="2"/>
  <c r="CI44" i="2" s="1"/>
  <c r="CJ61" i="2"/>
  <c r="CI61" i="2" s="1"/>
  <c r="CJ49" i="2"/>
  <c r="CI49" i="2" s="1"/>
  <c r="Z162" i="7955"/>
  <c r="Z163" i="7955"/>
  <c r="Z165" i="7955" s="1"/>
  <c r="X43" i="3"/>
  <c r="AA43" i="3" s="1"/>
  <c r="W382" i="1"/>
  <c r="AP50" i="3"/>
  <c r="AS50" i="3" s="1"/>
  <c r="W352" i="1"/>
  <c r="W353" i="1" s="1"/>
  <c r="W354" i="1" s="1"/>
  <c r="W355" i="1" s="1"/>
  <c r="W356" i="1" s="1"/>
  <c r="W357" i="1" s="1"/>
  <c r="W358" i="1" s="1"/>
  <c r="BJ70" i="2"/>
  <c r="BJ78" i="2"/>
  <c r="BK78" i="2"/>
  <c r="BK68" i="2"/>
  <c r="BJ68" i="2"/>
  <c r="BJ75" i="2"/>
  <c r="BK75" i="2"/>
  <c r="BN43" i="2"/>
  <c r="BM43" i="2"/>
  <c r="BD43" i="2"/>
  <c r="BO43" i="2" s="1"/>
  <c r="BM44" i="2"/>
  <c r="BN44" i="2"/>
  <c r="BD44" i="2"/>
  <c r="BO44" i="2" s="1"/>
  <c r="BM60" i="2"/>
  <c r="BN60" i="2"/>
  <c r="BD60" i="2"/>
  <c r="BM61" i="2"/>
  <c r="BN61" i="2"/>
  <c r="BD61" i="2"/>
  <c r="BO61" i="2" s="1"/>
  <c r="BD54" i="2"/>
  <c r="BO54" i="2" s="1"/>
  <c r="BN63" i="2"/>
  <c r="BD63" i="2"/>
  <c r="BM47" i="2"/>
  <c r="BM56" i="2"/>
  <c r="BJ53" i="2"/>
  <c r="BA130" i="2" s="1"/>
  <c r="W367" i="1"/>
  <c r="L48" i="3"/>
  <c r="O48" i="3" s="1"/>
  <c r="Z263" i="7955"/>
  <c r="Z265" i="7955" s="1"/>
  <c r="Z262" i="7955"/>
  <c r="Z213" i="7955"/>
  <c r="Z215" i="7955" s="1"/>
  <c r="Z212" i="7955"/>
  <c r="Z362" i="7955"/>
  <c r="Z363" i="7955"/>
  <c r="Z365" i="7955" s="1"/>
  <c r="DX936" i="2"/>
  <c r="DY936" i="2"/>
  <c r="DY923" i="2"/>
  <c r="DX923" i="2"/>
  <c r="ED923" i="2" s="1"/>
  <c r="DX922" i="2"/>
  <c r="DY922" i="2"/>
  <c r="DW892" i="2"/>
  <c r="DV898" i="2"/>
  <c r="DX892" i="2"/>
  <c r="DW891" i="2"/>
  <c r="DV897" i="2"/>
  <c r="DX891" i="2"/>
  <c r="BJ82" i="2"/>
  <c r="BJ73" i="2"/>
  <c r="BK73" i="2"/>
  <c r="BK74" i="2"/>
  <c r="BJ74" i="2"/>
  <c r="BK72" i="2"/>
  <c r="BJ72" i="2"/>
  <c r="BK76" i="2"/>
  <c r="BK71" i="2"/>
  <c r="BD52" i="2"/>
  <c r="BO52" i="2" s="1"/>
  <c r="BN52" i="2"/>
  <c r="BM49" i="2"/>
  <c r="BD49" i="2"/>
  <c r="BN49" i="2"/>
  <c r="BM50" i="2"/>
  <c r="BD50" i="2"/>
  <c r="BO50" i="2" s="1"/>
  <c r="BN50" i="2"/>
  <c r="BM62" i="2"/>
  <c r="BD62" i="2"/>
  <c r="BN62" i="2"/>
  <c r="BM55" i="2"/>
  <c r="BN55" i="2"/>
  <c r="BD55" i="2"/>
  <c r="BO55" i="2" s="1"/>
  <c r="BM58" i="2"/>
  <c r="BJ61" i="2"/>
  <c r="BA138" i="2" s="1"/>
  <c r="BJ58" i="2"/>
  <c r="BA135" i="2" s="1"/>
  <c r="BJ62" i="2"/>
  <c r="BA139" i="2" s="1"/>
  <c r="BJ51" i="2"/>
  <c r="BA128" i="2" s="1"/>
  <c r="BJ52" i="2"/>
  <c r="BA129" i="2" s="1"/>
  <c r="BK45" i="2"/>
  <c r="BK46" i="2"/>
  <c r="DI634" i="2"/>
  <c r="DI588" i="2"/>
  <c r="DI620" i="2"/>
  <c r="CE148" i="2"/>
  <c r="CE165" i="2"/>
  <c r="CD192" i="2"/>
  <c r="CD153" i="2"/>
  <c r="CD152" i="2"/>
  <c r="CE162" i="2"/>
  <c r="CE194" i="2"/>
  <c r="CE161" i="2"/>
  <c r="CD193" i="2"/>
  <c r="CE147" i="2"/>
  <c r="CD168" i="2"/>
  <c r="CE193" i="2"/>
  <c r="CE186" i="2"/>
  <c r="CD190" i="2"/>
  <c r="CD156" i="2"/>
  <c r="CD148" i="2"/>
  <c r="CE154" i="2"/>
  <c r="CD164" i="2"/>
  <c r="CE155" i="2"/>
  <c r="CD187" i="2"/>
  <c r="CE168" i="2"/>
  <c r="CD167" i="2"/>
  <c r="CE192" i="2"/>
  <c r="CD161" i="2"/>
  <c r="CE159" i="2"/>
  <c r="CE158" i="2"/>
  <c r="CE146" i="2"/>
  <c r="CD147" i="2"/>
  <c r="CD160" i="2"/>
  <c r="CD155" i="2"/>
  <c r="CE189" i="2"/>
  <c r="CE156" i="2"/>
  <c r="CE149" i="2"/>
  <c r="CD165" i="2"/>
  <c r="CE151" i="2"/>
  <c r="CD154" i="2"/>
  <c r="CE166" i="2"/>
  <c r="CE150" i="2"/>
  <c r="CE153" i="2"/>
  <c r="CD146" i="2"/>
  <c r="CD159" i="2"/>
  <c r="CD151" i="2"/>
  <c r="CE164" i="2"/>
  <c r="CE190" i="2"/>
  <c r="CD186" i="2"/>
  <c r="CD195" i="2"/>
  <c r="CD150" i="2"/>
  <c r="CE169" i="2"/>
  <c r="CE152" i="2"/>
  <c r="CE191" i="2"/>
  <c r="CD188" i="2"/>
  <c r="CE187" i="2"/>
  <c r="CE167" i="2"/>
  <c r="CE157" i="2"/>
  <c r="CD163" i="2"/>
  <c r="CD162" i="2"/>
  <c r="CE163" i="2"/>
  <c r="CD149" i="2"/>
  <c r="CD169" i="2"/>
  <c r="CE195" i="2"/>
  <c r="CD157" i="2"/>
  <c r="CD191" i="2"/>
  <c r="CE160" i="2"/>
  <c r="CE188" i="2"/>
  <c r="CD194" i="2"/>
  <c r="CD166" i="2"/>
  <c r="CD158" i="2"/>
  <c r="CD189" i="2"/>
  <c r="BU190" i="2"/>
  <c r="BU168" i="2"/>
  <c r="BF168" i="2" s="1"/>
  <c r="BU193" i="2"/>
  <c r="BU194" i="2"/>
  <c r="BU159" i="2"/>
  <c r="BF159" i="2" s="1"/>
  <c r="BU158" i="2"/>
  <c r="BF158" i="2" s="1"/>
  <c r="BU156" i="2"/>
  <c r="BF156" i="2" s="1"/>
  <c r="BU151" i="2"/>
  <c r="BF151" i="2" s="1"/>
  <c r="BU146" i="2"/>
  <c r="BF146" i="2" s="1"/>
  <c r="BU161" i="2"/>
  <c r="BF161" i="2" s="1"/>
  <c r="BU187" i="2"/>
  <c r="BU167" i="2"/>
  <c r="BF167" i="2" s="1"/>
  <c r="BU163" i="2"/>
  <c r="BF163" i="2" s="1"/>
  <c r="BU166" i="2"/>
  <c r="BF166" i="2" s="1"/>
  <c r="BU153" i="2"/>
  <c r="BF153" i="2" s="1"/>
  <c r="BU154" i="2"/>
  <c r="BF154" i="2" s="1"/>
  <c r="BU169" i="2"/>
  <c r="BF169" i="2" s="1"/>
  <c r="BU162" i="2"/>
  <c r="BF162" i="2" s="1"/>
  <c r="BU192" i="2"/>
  <c r="BU160" i="2"/>
  <c r="BF160" i="2" s="1"/>
  <c r="BU195" i="2"/>
  <c r="BU148" i="2"/>
  <c r="BF148" i="2" s="1"/>
  <c r="BU164" i="2"/>
  <c r="BF164" i="2" s="1"/>
  <c r="BU188" i="2"/>
  <c r="BU147" i="2"/>
  <c r="BF147" i="2" s="1"/>
  <c r="BU157" i="2"/>
  <c r="BF157" i="2" s="1"/>
  <c r="BU152" i="2"/>
  <c r="BF152" i="2" s="1"/>
  <c r="BU191" i="2"/>
  <c r="BU149" i="2"/>
  <c r="BF149" i="2" s="1"/>
  <c r="BU165" i="2"/>
  <c r="BF165" i="2" s="1"/>
  <c r="BU150" i="2"/>
  <c r="BF150" i="2" s="1"/>
  <c r="BU186" i="2"/>
  <c r="BU155" i="2"/>
  <c r="BF155" i="2" s="1"/>
  <c r="BU189" i="2"/>
  <c r="BZ150" i="2"/>
  <c r="CC150" i="2" s="1"/>
  <c r="BZ152" i="2"/>
  <c r="CC152" i="2" s="1"/>
  <c r="BZ194" i="2"/>
  <c r="CC194" i="2" s="1"/>
  <c r="BZ168" i="2"/>
  <c r="CC168" i="2" s="1"/>
  <c r="BZ167" i="2"/>
  <c r="CC167" i="2" s="1"/>
  <c r="BZ156" i="2"/>
  <c r="CC156" i="2" s="1"/>
  <c r="BZ153" i="2"/>
  <c r="CC153" i="2" s="1"/>
  <c r="BZ159" i="2"/>
  <c r="CC159" i="2" s="1"/>
  <c r="BZ163" i="2"/>
  <c r="CC163" i="2" s="1"/>
  <c r="BZ146" i="2"/>
  <c r="CC146" i="2" s="1"/>
  <c r="BZ165" i="2"/>
  <c r="CC165" i="2" s="1"/>
  <c r="BZ162" i="2"/>
  <c r="CC162" i="2" s="1"/>
  <c r="BZ154" i="2"/>
  <c r="CC154" i="2" s="1"/>
  <c r="BZ148" i="2"/>
  <c r="CC148" i="2" s="1"/>
  <c r="BZ193" i="2"/>
  <c r="CC193" i="2" s="1"/>
  <c r="BZ160" i="2"/>
  <c r="CC160" i="2" s="1"/>
  <c r="BZ191" i="2"/>
  <c r="CC191" i="2" s="1"/>
  <c r="BZ164" i="2"/>
  <c r="CC164" i="2" s="1"/>
  <c r="BZ161" i="2"/>
  <c r="CC161" i="2" s="1"/>
  <c r="BZ166" i="2"/>
  <c r="CC166" i="2" s="1"/>
  <c r="BZ169" i="2"/>
  <c r="CC169" i="2" s="1"/>
  <c r="BZ158" i="2"/>
  <c r="CC158" i="2" s="1"/>
  <c r="BZ188" i="2"/>
  <c r="CC188" i="2" s="1"/>
  <c r="BZ187" i="2"/>
  <c r="CC187" i="2" s="1"/>
  <c r="BZ155" i="2"/>
  <c r="CC155" i="2" s="1"/>
  <c r="BZ190" i="2"/>
  <c r="CC190" i="2" s="1"/>
  <c r="BZ157" i="2"/>
  <c r="CC157" i="2" s="1"/>
  <c r="BZ189" i="2"/>
  <c r="CC189" i="2" s="1"/>
  <c r="BZ151" i="2"/>
  <c r="CC151" i="2" s="1"/>
  <c r="BZ186" i="2"/>
  <c r="CC186" i="2" s="1"/>
  <c r="BZ192" i="2"/>
  <c r="CC192" i="2" s="1"/>
  <c r="BZ195" i="2"/>
  <c r="CC195" i="2" s="1"/>
  <c r="BZ147" i="2"/>
  <c r="CC147" i="2" s="1"/>
  <c r="BZ149" i="2"/>
  <c r="CC149" i="2" s="1"/>
  <c r="CA187" i="2"/>
  <c r="CA162" i="2"/>
  <c r="CA165" i="2"/>
  <c r="CA152" i="2"/>
  <c r="CA191" i="2"/>
  <c r="CA158" i="2"/>
  <c r="CA161" i="2"/>
  <c r="CA148" i="2"/>
  <c r="CA195" i="2"/>
  <c r="CA154" i="2"/>
  <c r="CA157" i="2"/>
  <c r="CA168" i="2"/>
  <c r="CA163" i="2"/>
  <c r="CA150" i="2"/>
  <c r="CA153" i="2"/>
  <c r="CA169" i="2"/>
  <c r="CA149" i="2"/>
  <c r="CA159" i="2"/>
  <c r="CA186" i="2"/>
  <c r="CA155" i="2"/>
  <c r="CA190" i="2"/>
  <c r="CA146" i="2"/>
  <c r="CA167" i="2"/>
  <c r="CA151" i="2"/>
  <c r="CA194" i="2"/>
  <c r="CA164" i="2"/>
  <c r="CA188" i="2"/>
  <c r="CA147" i="2"/>
  <c r="CA189" i="2"/>
  <c r="CA160" i="2"/>
  <c r="CA192" i="2"/>
  <c r="CA166" i="2"/>
  <c r="CA193" i="2"/>
  <c r="CA156" i="2"/>
  <c r="BO68" i="2"/>
  <c r="BO84" i="2"/>
  <c r="BO72" i="2"/>
  <c r="BO78" i="2"/>
  <c r="Z512" i="7955"/>
  <c r="Z513" i="7955"/>
  <c r="Z515" i="7955" s="1"/>
  <c r="Z113" i="7955"/>
  <c r="Z115" i="7955" s="1"/>
  <c r="Z112" i="7955"/>
  <c r="Z413" i="7955"/>
  <c r="Z415" i="7955" s="1"/>
  <c r="Z412" i="7955"/>
  <c r="Z563" i="7955"/>
  <c r="Z565" i="7955" s="1"/>
  <c r="Z562" i="7955"/>
  <c r="BK69" i="2"/>
  <c r="BJ69" i="2"/>
  <c r="BM57" i="2"/>
  <c r="BN57" i="2"/>
  <c r="BD57" i="2"/>
  <c r="BO57" i="2" s="1"/>
  <c r="BN59" i="2"/>
  <c r="BM59" i="2"/>
  <c r="BD59" i="2"/>
  <c r="BO59" i="2" s="1"/>
  <c r="BD42" i="2"/>
  <c r="BN42" i="2"/>
  <c r="BM48" i="2"/>
  <c r="BN48" i="2"/>
  <c r="BD48" i="2"/>
  <c r="BO48" i="2" s="1"/>
  <c r="BM45" i="2"/>
  <c r="BD45" i="2"/>
  <c r="BO45" i="2" s="1"/>
  <c r="BM65" i="2"/>
  <c r="BD65" i="2"/>
  <c r="BO65" i="2" s="1"/>
  <c r="BM42" i="2"/>
  <c r="BJ47" i="2"/>
  <c r="BA124" i="2" s="1"/>
  <c r="BA134" i="2"/>
  <c r="BK57" i="2"/>
  <c r="BJ49" i="2"/>
  <c r="BA126" i="2" s="1"/>
  <c r="BJ48" i="2"/>
  <c r="BA125" i="2" s="1"/>
  <c r="BJ54" i="2"/>
  <c r="BA131" i="2" s="1"/>
  <c r="BJ55" i="2"/>
  <c r="BA132" i="2" s="1"/>
  <c r="BK43" i="2"/>
  <c r="BK42" i="2"/>
  <c r="BJ44" i="2"/>
  <c r="BA121" i="2" s="1"/>
  <c r="BD64" i="2"/>
  <c r="BO64" i="2" s="1"/>
  <c r="BO75" i="2"/>
  <c r="BO79" i="2"/>
  <c r="Z313" i="7955"/>
  <c r="Z315" i="7955" s="1"/>
  <c r="Z312" i="7955"/>
  <c r="Z462" i="7955"/>
  <c r="Z463" i="7955"/>
  <c r="Z465" i="7955" s="1"/>
  <c r="DY937" i="2"/>
  <c r="DX937" i="2"/>
  <c r="ED937" i="2" s="1"/>
  <c r="AF385" i="7950"/>
  <c r="AF383" i="7950"/>
  <c r="V393" i="7950"/>
  <c r="AF386" i="7950"/>
  <c r="C377" i="7950"/>
  <c r="AF387" i="7950"/>
  <c r="AF384" i="7950"/>
  <c r="DY924" i="2"/>
  <c r="DX924" i="2"/>
  <c r="AR257" i="7950"/>
  <c r="I257" i="7950"/>
  <c r="AQ257" i="7950"/>
  <c r="FJ62" i="2"/>
  <c r="FK62" i="2" s="1"/>
  <c r="FP158" i="2" s="1"/>
  <c r="FJ86" i="2"/>
  <c r="FK86" i="2" s="1"/>
  <c r="FP313" i="2" s="1"/>
  <c r="FJ77" i="2"/>
  <c r="FK77" i="2" s="1"/>
  <c r="FP271" i="2" s="1"/>
  <c r="FJ95" i="2"/>
  <c r="FJ105" i="2"/>
  <c r="FJ87" i="2"/>
  <c r="FK87" i="2" s="1"/>
  <c r="FP314" i="2" s="1"/>
  <c r="FJ48" i="2"/>
  <c r="FK48" i="2" s="1"/>
  <c r="FP46" i="2" s="1"/>
  <c r="FJ102" i="2"/>
  <c r="FJ112" i="2"/>
  <c r="FK112" i="2" s="1"/>
  <c r="FJ63" i="2"/>
  <c r="FK63" i="2" s="1"/>
  <c r="FP159" i="2" s="1"/>
  <c r="FJ74" i="2"/>
  <c r="FK74" i="2" s="1"/>
  <c r="FP268" i="2" s="1"/>
  <c r="FJ99" i="2"/>
  <c r="FJ111" i="2"/>
  <c r="FK111" i="2" s="1"/>
  <c r="FJ59" i="2"/>
  <c r="FK59" i="2" s="1"/>
  <c r="FP155" i="2" s="1"/>
  <c r="FJ72" i="2"/>
  <c r="FK72" i="2" s="1"/>
  <c r="FP266" i="2" s="1"/>
  <c r="FJ61" i="2"/>
  <c r="FK61" i="2" s="1"/>
  <c r="FP157" i="2" s="1"/>
  <c r="FJ88" i="2"/>
  <c r="FK88" i="2" s="1"/>
  <c r="FP315" i="2" s="1"/>
  <c r="FJ50" i="2"/>
  <c r="FK50" i="2" s="1"/>
  <c r="FP48" i="2" s="1"/>
  <c r="FJ65" i="2"/>
  <c r="FK65" i="2" s="1"/>
  <c r="FP161" i="2" s="1"/>
  <c r="FJ78" i="2"/>
  <c r="FK78" i="2" s="1"/>
  <c r="FJ58" i="2"/>
  <c r="FK58" i="2" s="1"/>
  <c r="FP154" i="2" s="1"/>
  <c r="FJ100" i="2"/>
  <c r="FJ110" i="2"/>
  <c r="FK110" i="2" s="1"/>
  <c r="FJ45" i="2"/>
  <c r="FK45" i="2" s="1"/>
  <c r="FP43" i="2" s="1"/>
  <c r="FJ85" i="2"/>
  <c r="FK85" i="2" s="1"/>
  <c r="FP312" i="2" s="1"/>
  <c r="FJ46" i="2"/>
  <c r="FK46" i="2" s="1"/>
  <c r="FP44" i="2" s="1"/>
  <c r="FJ109" i="2"/>
  <c r="FK109" i="2" s="1"/>
  <c r="FJ49" i="2"/>
  <c r="FK49" i="2" s="1"/>
  <c r="FP47" i="2" s="1"/>
  <c r="FJ83" i="2"/>
  <c r="FK83" i="2" s="1"/>
  <c r="FP310" i="2" s="1"/>
  <c r="FJ44" i="2"/>
  <c r="FK44" i="2" s="1"/>
  <c r="FP42" i="2" s="1"/>
  <c r="FJ89" i="2"/>
  <c r="FK89" i="2" s="1"/>
  <c r="FJ60" i="2"/>
  <c r="FK60" i="2" s="1"/>
  <c r="FP156" i="2" s="1"/>
  <c r="FJ101" i="2"/>
  <c r="FJ47" i="2"/>
  <c r="FK47" i="2" s="1"/>
  <c r="FP45" i="2" s="1"/>
  <c r="FJ66" i="2"/>
  <c r="FK66" i="2" s="1"/>
  <c r="FP162" i="2" s="1"/>
  <c r="FJ98" i="2"/>
  <c r="FJ108" i="2"/>
  <c r="FK108" i="2" s="1"/>
  <c r="FJ75" i="2"/>
  <c r="FK75" i="2" s="1"/>
  <c r="FP269" i="2" s="1"/>
  <c r="Z57" i="7952"/>
  <c r="FJ53" i="2"/>
  <c r="FK53" i="2" s="1"/>
  <c r="FP51" i="2" s="1"/>
  <c r="FJ107" i="2"/>
  <c r="FK107" i="2" s="1"/>
  <c r="FJ84" i="2"/>
  <c r="FK84" i="2" s="1"/>
  <c r="FP311" i="2" s="1"/>
  <c r="AD42" i="7949"/>
  <c r="FJ52" i="2"/>
  <c r="FK52" i="2" s="1"/>
  <c r="FP50" i="2" s="1"/>
  <c r="FJ51" i="2"/>
  <c r="FK51" i="2" s="1"/>
  <c r="FP49" i="2" s="1"/>
  <c r="FJ67" i="2"/>
  <c r="FK67" i="2" s="1"/>
  <c r="FP163" i="2" s="1"/>
  <c r="FJ97" i="2"/>
  <c r="FJ73" i="2"/>
  <c r="FK73" i="2" s="1"/>
  <c r="FP267" i="2" s="1"/>
  <c r="FJ76" i="2"/>
  <c r="FK76" i="2" s="1"/>
  <c r="FP270" i="2" s="1"/>
  <c r="FJ96" i="2"/>
  <c r="FJ114" i="2"/>
  <c r="FK114" i="2" s="1"/>
  <c r="FJ103" i="2"/>
  <c r="FJ64" i="2"/>
  <c r="FK64" i="2" s="1"/>
  <c r="FP160" i="2" s="1"/>
  <c r="FJ104" i="2"/>
  <c r="BE59" i="7950"/>
  <c r="FJ106" i="2"/>
  <c r="FK106" i="2" s="1"/>
  <c r="FJ113" i="2"/>
  <c r="FK113" i="2" s="1"/>
  <c r="M224" i="7950"/>
  <c r="AY224" i="7950"/>
  <c r="AX224" i="7950"/>
  <c r="AW224" i="7950"/>
  <c r="AZ224" i="7950"/>
  <c r="G241" i="7950"/>
  <c r="I241" i="7950"/>
  <c r="AR241" i="7950"/>
  <c r="AQ241" i="7950"/>
  <c r="AP305" i="7950"/>
  <c r="AR305" i="7950" s="1"/>
  <c r="AQ321" i="7950"/>
  <c r="G321" i="7950"/>
  <c r="I321" i="7950"/>
  <c r="AT321" i="7950"/>
  <c r="AU321" i="7950" s="1"/>
  <c r="E321" i="7950"/>
  <c r="AR321" i="7950"/>
  <c r="AP369" i="7950"/>
  <c r="AV241" i="7950"/>
  <c r="K241" i="7950"/>
  <c r="K234" i="7950"/>
  <c r="AR417" i="7950"/>
  <c r="AT417" i="7950"/>
  <c r="AU417" i="7950" s="1"/>
  <c r="AQ417" i="7950"/>
  <c r="E417" i="7950"/>
  <c r="I417" i="7950"/>
  <c r="G417" i="7950"/>
  <c r="AV400" i="7950"/>
  <c r="K400" i="7950"/>
  <c r="AP385" i="7950"/>
  <c r="K257" i="7950"/>
  <c r="AV257" i="7950"/>
  <c r="K250" i="7950"/>
  <c r="K353" i="7950"/>
  <c r="AV353" i="7950"/>
  <c r="K346" i="7950"/>
  <c r="AV176" i="7950"/>
  <c r="K176" i="7950"/>
  <c r="I369" i="7950"/>
  <c r="AR369" i="7950"/>
  <c r="AT369" i="7950"/>
  <c r="AU369" i="7950" s="1"/>
  <c r="E369" i="7950"/>
  <c r="AQ369" i="7950"/>
  <c r="G369" i="7950"/>
  <c r="M193" i="7950"/>
  <c r="AX193" i="7950"/>
  <c r="AW193" i="7950"/>
  <c r="AY193" i="7950"/>
  <c r="AH188" i="7950" s="1"/>
  <c r="AZ193" i="7950"/>
  <c r="AH189" i="7950" s="1"/>
  <c r="AW209" i="7950"/>
  <c r="AX209" i="7950"/>
  <c r="M209" i="7950"/>
  <c r="AY209" i="7950"/>
  <c r="AH204" i="7950" s="1"/>
  <c r="AZ209" i="7950"/>
  <c r="AH205" i="7950" s="1"/>
  <c r="AW289" i="7950"/>
  <c r="AX289" i="7950"/>
  <c r="M289" i="7950"/>
  <c r="AZ289" i="7950"/>
  <c r="AH285" i="7950" s="1"/>
  <c r="AY289" i="7950"/>
  <c r="AH284" i="7950" s="1"/>
  <c r="M272" i="7950"/>
  <c r="AW272" i="7950"/>
  <c r="AX272" i="7950"/>
  <c r="AY272" i="7950"/>
  <c r="AZ272" i="7950"/>
  <c r="I305" i="7950"/>
  <c r="AT305" i="7950"/>
  <c r="AU305" i="7950" s="1"/>
  <c r="E305" i="7950"/>
  <c r="AW336" i="7950"/>
  <c r="AX336" i="7950"/>
  <c r="M336" i="7950"/>
  <c r="AY336" i="7950"/>
  <c r="AZ336" i="7950"/>
  <c r="CK48" i="2" l="1"/>
  <c r="CK42" i="2"/>
  <c r="CK51" i="2"/>
  <c r="CK56" i="2"/>
  <c r="CK49" i="2"/>
  <c r="CK59" i="2"/>
  <c r="CK64" i="2"/>
  <c r="CK60" i="2"/>
  <c r="CK58" i="2"/>
  <c r="CK61" i="2"/>
  <c r="CK46" i="2"/>
  <c r="CK65" i="2"/>
  <c r="CK55" i="2"/>
  <c r="CK44" i="2"/>
  <c r="CK62" i="2"/>
  <c r="CK63" i="2"/>
  <c r="CK52" i="2"/>
  <c r="CK45" i="2"/>
  <c r="CK57" i="2"/>
  <c r="CK53" i="2"/>
  <c r="CK43" i="2"/>
  <c r="CK50" i="2"/>
  <c r="CK47" i="2"/>
  <c r="CK54" i="2"/>
  <c r="DV592" i="2"/>
  <c r="DV591" i="2"/>
  <c r="DV590" i="2"/>
  <c r="DV593" i="2"/>
  <c r="DV589" i="2"/>
  <c r="DY898" i="2"/>
  <c r="DX898" i="2"/>
  <c r="ED898" i="2" s="1"/>
  <c r="CI62" i="2"/>
  <c r="CI63" i="2"/>
  <c r="CI48" i="2"/>
  <c r="CI65" i="2"/>
  <c r="CI56" i="2"/>
  <c r="BG146" i="2"/>
  <c r="BG152" i="2"/>
  <c r="BG149" i="2"/>
  <c r="BG169" i="2"/>
  <c r="BG150" i="2"/>
  <c r="BG158" i="2"/>
  <c r="BG157" i="2"/>
  <c r="BG155" i="2"/>
  <c r="BG151" i="2"/>
  <c r="BG154" i="2"/>
  <c r="BG161" i="2"/>
  <c r="BG163" i="2"/>
  <c r="BG159" i="2"/>
  <c r="BE152" i="2"/>
  <c r="BE158" i="2"/>
  <c r="BE161" i="2"/>
  <c r="BE149" i="2"/>
  <c r="BE155" i="2"/>
  <c r="BE148" i="2"/>
  <c r="BE154" i="2"/>
  <c r="BE162" i="2"/>
  <c r="BE153" i="2"/>
  <c r="BE167" i="2"/>
  <c r="BE169" i="2"/>
  <c r="BE164" i="2"/>
  <c r="BH163" i="2"/>
  <c r="BI169" i="2"/>
  <c r="BK169" i="2" s="1"/>
  <c r="BH158" i="2"/>
  <c r="BI161" i="2"/>
  <c r="BK161" i="2" s="1"/>
  <c r="BI164" i="2"/>
  <c r="BK164" i="2" s="1"/>
  <c r="BI167" i="2"/>
  <c r="BK167" i="2" s="1"/>
  <c r="BI148" i="2"/>
  <c r="BI159" i="2"/>
  <c r="BK159" i="2" s="1"/>
  <c r="BI162" i="2"/>
  <c r="BK162" i="2" s="1"/>
  <c r="BI165" i="2"/>
  <c r="BK165" i="2" s="1"/>
  <c r="BH146" i="2"/>
  <c r="BI166" i="2"/>
  <c r="BK166" i="2" s="1"/>
  <c r="BH169" i="2"/>
  <c r="BH165" i="2"/>
  <c r="BJ165" i="2" s="1"/>
  <c r="AY165" i="2" s="1"/>
  <c r="BI156" i="2"/>
  <c r="BI151" i="2"/>
  <c r="BH148" i="2"/>
  <c r="BJ148" i="2" s="1"/>
  <c r="AY148" i="2" s="1"/>
  <c r="BI157" i="2"/>
  <c r="BK157" i="2" s="1"/>
  <c r="BH155" i="2"/>
  <c r="BH160" i="2"/>
  <c r="BI150" i="2"/>
  <c r="BH157" i="2"/>
  <c r="BJ157" i="2" s="1"/>
  <c r="AY157" i="2" s="1"/>
  <c r="BH150" i="2"/>
  <c r="BJ150" i="2" s="1"/>
  <c r="AY150" i="2" s="1"/>
  <c r="BH162" i="2"/>
  <c r="BJ162" i="2" s="1"/>
  <c r="AY162" i="2" s="1"/>
  <c r="BH152" i="2"/>
  <c r="BO58" i="2"/>
  <c r="DY900" i="2"/>
  <c r="DX900" i="2"/>
  <c r="ED900" i="2" s="1"/>
  <c r="EO893" i="2"/>
  <c r="EO891" i="2"/>
  <c r="EM891" i="2" s="1"/>
  <c r="EO890" i="2"/>
  <c r="EM890" i="2" s="1"/>
  <c r="EO894" i="2"/>
  <c r="EM894" i="2" s="1"/>
  <c r="EO892" i="2"/>
  <c r="AJ68" i="2"/>
  <c r="AJ70" i="2" s="1"/>
  <c r="BO42" i="2"/>
  <c r="P45" i="2"/>
  <c r="G305" i="7950"/>
  <c r="AQ305" i="7950"/>
  <c r="ED924" i="2"/>
  <c r="V409" i="7950"/>
  <c r="AF402" i="7950"/>
  <c r="C393" i="7950"/>
  <c r="AF403" i="7950"/>
  <c r="AF401" i="7950"/>
  <c r="AF400" i="7950"/>
  <c r="AF399" i="7950"/>
  <c r="CJ361" i="2"/>
  <c r="CJ366" i="2"/>
  <c r="CJ347" i="2"/>
  <c r="CJ356" i="2"/>
  <c r="CJ357" i="2"/>
  <c r="CJ363" i="2"/>
  <c r="CJ350" i="2"/>
  <c r="CJ345" i="2"/>
  <c r="CJ365" i="2"/>
  <c r="CJ353" i="2"/>
  <c r="CJ346" i="2"/>
  <c r="CJ352" i="2"/>
  <c r="CJ360" i="2"/>
  <c r="CJ364" i="2"/>
  <c r="CI364" i="2" s="1"/>
  <c r="CJ358" i="2"/>
  <c r="CJ343" i="2"/>
  <c r="CI343" i="2" s="1"/>
  <c r="CJ359" i="2"/>
  <c r="CJ354" i="2"/>
  <c r="CJ362" i="2"/>
  <c r="CI362" i="2" s="1"/>
  <c r="CJ344" i="2"/>
  <c r="CI344" i="2" s="1"/>
  <c r="CJ349" i="2"/>
  <c r="CJ351" i="2"/>
  <c r="CI351" i="2" s="1"/>
  <c r="CJ348" i="2"/>
  <c r="CI348" i="2" s="1"/>
  <c r="CJ355" i="2"/>
  <c r="CI355" i="2" s="1"/>
  <c r="DV621" i="2"/>
  <c r="DV622" i="2"/>
  <c r="DV623" i="2"/>
  <c r="DV636" i="2"/>
  <c r="DV635" i="2"/>
  <c r="BO62" i="2"/>
  <c r="BO49" i="2"/>
  <c r="DY897" i="2"/>
  <c r="DX897" i="2"/>
  <c r="ED922" i="2"/>
  <c r="ED936" i="2"/>
  <c r="BH45" i="3"/>
  <c r="BK45" i="3" s="1"/>
  <c r="W368" i="1"/>
  <c r="W369" i="1" s="1"/>
  <c r="W370" i="1" s="1"/>
  <c r="W371" i="1" s="1"/>
  <c r="W372" i="1" s="1"/>
  <c r="W373" i="1" s="1"/>
  <c r="W374" i="1" s="1"/>
  <c r="BO63" i="2"/>
  <c r="BO60" i="2"/>
  <c r="W383" i="1"/>
  <c r="AP44" i="3"/>
  <c r="AS44" i="3" s="1"/>
  <c r="CI45" i="2"/>
  <c r="CI60" i="2"/>
  <c r="CI57" i="2"/>
  <c r="CI46" i="2"/>
  <c r="CI52" i="2"/>
  <c r="CI50" i="2"/>
  <c r="BG153" i="2"/>
  <c r="BG160" i="2"/>
  <c r="BG165" i="2"/>
  <c r="BG156" i="2"/>
  <c r="BG166" i="2"/>
  <c r="BG167" i="2"/>
  <c r="BG164" i="2"/>
  <c r="BG162" i="2"/>
  <c r="BG147" i="2"/>
  <c r="BG148" i="2"/>
  <c r="BG168" i="2"/>
  <c r="BE157" i="2"/>
  <c r="BE163" i="2"/>
  <c r="BE150" i="2"/>
  <c r="BE156" i="2"/>
  <c r="BE168" i="2"/>
  <c r="BE147" i="2"/>
  <c r="BE159" i="2"/>
  <c r="BE165" i="2"/>
  <c r="BE146" i="2"/>
  <c r="BE151" i="2"/>
  <c r="BE160" i="2"/>
  <c r="BE166" i="2"/>
  <c r="BH151" i="2"/>
  <c r="BJ151" i="2" s="1"/>
  <c r="AY151" i="2" s="1"/>
  <c r="BH164" i="2"/>
  <c r="BJ164" i="2" s="1"/>
  <c r="AY164" i="2" s="1"/>
  <c r="BH147" i="2"/>
  <c r="BH161" i="2"/>
  <c r="BJ161" i="2" s="1"/>
  <c r="AY161" i="2" s="1"/>
  <c r="BH166" i="2"/>
  <c r="BJ166" i="2" s="1"/>
  <c r="AY166" i="2" s="1"/>
  <c r="BI149" i="2"/>
  <c r="BI152" i="2"/>
  <c r="BK152" i="2" s="1"/>
  <c r="BI155" i="2"/>
  <c r="BK155" i="2" s="1"/>
  <c r="BH167" i="2"/>
  <c r="BJ167" i="2" s="1"/>
  <c r="AY167" i="2" s="1"/>
  <c r="BH153" i="2"/>
  <c r="BH154" i="2"/>
  <c r="BH156" i="2"/>
  <c r="BJ156" i="2" s="1"/>
  <c r="AY156" i="2" s="1"/>
  <c r="BI146" i="2"/>
  <c r="BK146" i="2" s="1"/>
  <c r="BI147" i="2"/>
  <c r="BK147" i="2" s="1"/>
  <c r="BH159" i="2"/>
  <c r="BJ159" i="2" s="1"/>
  <c r="AY159" i="2" s="1"/>
  <c r="BH149" i="2"/>
  <c r="BJ149" i="2" s="1"/>
  <c r="AY149" i="2" s="1"/>
  <c r="BI160" i="2"/>
  <c r="BK160" i="2" s="1"/>
  <c r="BI163" i="2"/>
  <c r="BK163" i="2" s="1"/>
  <c r="BI158" i="2"/>
  <c r="BK158" i="2" s="1"/>
  <c r="BI153" i="2"/>
  <c r="BK153" i="2" s="1"/>
  <c r="BI168" i="2"/>
  <c r="BK168" i="2" s="1"/>
  <c r="BH168" i="2"/>
  <c r="BJ168" i="2" s="1"/>
  <c r="AY168" i="2" s="1"/>
  <c r="BI154" i="2"/>
  <c r="BK154" i="2" s="1"/>
  <c r="BO51" i="2"/>
  <c r="BO53" i="2"/>
  <c r="DY899" i="2"/>
  <c r="DX899" i="2"/>
  <c r="DY896" i="2"/>
  <c r="DX896" i="2"/>
  <c r="AP225" i="7950"/>
  <c r="AJ44" i="7950"/>
  <c r="AJ61" i="7950"/>
  <c r="AJ60" i="7950"/>
  <c r="AJ45" i="7950"/>
  <c r="FP171" i="2"/>
  <c r="FZ220" i="2"/>
  <c r="FZ221" i="2" s="1"/>
  <c r="FZ222" i="2" s="1"/>
  <c r="FZ223" i="2" s="1"/>
  <c r="FZ224" i="2" s="1"/>
  <c r="FZ225" i="2" s="1"/>
  <c r="FZ226" i="2" s="1"/>
  <c r="FZ227" i="2" s="1"/>
  <c r="FZ228" i="2" s="1"/>
  <c r="FZ229" i="2" s="1"/>
  <c r="FP277" i="2"/>
  <c r="FZ294" i="2"/>
  <c r="FZ295" i="2" s="1"/>
  <c r="FZ296" i="2" s="1"/>
  <c r="FZ297" i="2" s="1"/>
  <c r="FZ298" i="2" s="1"/>
  <c r="FZ299" i="2" s="1"/>
  <c r="FZ119" i="2"/>
  <c r="FZ120" i="2" s="1"/>
  <c r="FZ121" i="2" s="1"/>
  <c r="FZ122" i="2" s="1"/>
  <c r="FZ123" i="2" s="1"/>
  <c r="FZ124" i="2" s="1"/>
  <c r="FZ125" i="2" s="1"/>
  <c r="FZ126" i="2" s="1"/>
  <c r="FZ127" i="2" s="1"/>
  <c r="FZ128" i="2" s="1"/>
  <c r="FP60" i="2"/>
  <c r="C58" i="7955"/>
  <c r="BJ57" i="7951"/>
  <c r="FZ242" i="2"/>
  <c r="FZ243" i="2" s="1"/>
  <c r="FZ244" i="2" s="1"/>
  <c r="FZ245" i="2" s="1"/>
  <c r="FZ246" i="2" s="1"/>
  <c r="FZ247" i="2" s="1"/>
  <c r="FZ248" i="2" s="1"/>
  <c r="FZ249" i="2" s="1"/>
  <c r="FZ250" i="2" s="1"/>
  <c r="FZ251" i="2" s="1"/>
  <c r="FP173" i="2"/>
  <c r="FP317" i="2"/>
  <c r="FZ310" i="2"/>
  <c r="FP319" i="2"/>
  <c r="FZ324" i="2"/>
  <c r="FZ325" i="2" s="1"/>
  <c r="FZ326" i="2" s="1"/>
  <c r="FZ327" i="2" s="1"/>
  <c r="FZ328" i="2" s="1"/>
  <c r="FZ329" i="2" s="1"/>
  <c r="FZ154" i="2"/>
  <c r="FP165" i="2"/>
  <c r="FZ231" i="2"/>
  <c r="FZ232" i="2" s="1"/>
  <c r="FZ233" i="2" s="1"/>
  <c r="FZ234" i="2" s="1"/>
  <c r="FZ235" i="2" s="1"/>
  <c r="FZ236" i="2" s="1"/>
  <c r="FZ237" i="2" s="1"/>
  <c r="FZ238" i="2" s="1"/>
  <c r="FZ239" i="2" s="1"/>
  <c r="FZ240" i="2" s="1"/>
  <c r="FP172" i="2"/>
  <c r="FZ345" i="2"/>
  <c r="FZ346" i="2" s="1"/>
  <c r="FZ347" i="2" s="1"/>
  <c r="FZ348" i="2" s="1"/>
  <c r="FZ349" i="2" s="1"/>
  <c r="FZ350" i="2" s="1"/>
  <c r="FP322" i="2"/>
  <c r="FZ266" i="2"/>
  <c r="FP273" i="2"/>
  <c r="FP275" i="2"/>
  <c r="FZ280" i="2"/>
  <c r="FZ281" i="2" s="1"/>
  <c r="FZ282" i="2" s="1"/>
  <c r="FZ283" i="2" s="1"/>
  <c r="FZ284" i="2" s="1"/>
  <c r="FZ285" i="2" s="1"/>
  <c r="FZ86" i="2"/>
  <c r="FZ87" i="2" s="1"/>
  <c r="FZ88" i="2" s="1"/>
  <c r="FZ89" i="2" s="1"/>
  <c r="FZ90" i="2" s="1"/>
  <c r="FZ91" i="2" s="1"/>
  <c r="FZ92" i="2" s="1"/>
  <c r="FZ93" i="2" s="1"/>
  <c r="FZ94" i="2" s="1"/>
  <c r="FZ95" i="2" s="1"/>
  <c r="FP57" i="2"/>
  <c r="FZ301" i="2"/>
  <c r="FZ302" i="2" s="1"/>
  <c r="FZ303" i="2" s="1"/>
  <c r="FZ304" i="2" s="1"/>
  <c r="FZ305" i="2" s="1"/>
  <c r="FZ306" i="2" s="1"/>
  <c r="FP278" i="2"/>
  <c r="FZ198" i="2"/>
  <c r="FZ199" i="2" s="1"/>
  <c r="FZ200" i="2" s="1"/>
  <c r="FZ201" i="2" s="1"/>
  <c r="FZ202" i="2" s="1"/>
  <c r="FZ203" i="2" s="1"/>
  <c r="FZ204" i="2" s="1"/>
  <c r="FZ205" i="2" s="1"/>
  <c r="FZ206" i="2" s="1"/>
  <c r="FZ207" i="2" s="1"/>
  <c r="FP169" i="2"/>
  <c r="FZ273" i="2"/>
  <c r="FZ274" i="2" s="1"/>
  <c r="FZ275" i="2" s="1"/>
  <c r="FZ276" i="2" s="1"/>
  <c r="FZ277" i="2" s="1"/>
  <c r="FZ278" i="2" s="1"/>
  <c r="FP274" i="2"/>
  <c r="FZ253" i="2"/>
  <c r="FZ254" i="2" s="1"/>
  <c r="FZ255" i="2" s="1"/>
  <c r="FZ256" i="2" s="1"/>
  <c r="FZ257" i="2" s="1"/>
  <c r="FZ258" i="2" s="1"/>
  <c r="FZ259" i="2" s="1"/>
  <c r="FZ260" i="2" s="1"/>
  <c r="FZ261" i="2" s="1"/>
  <c r="FZ262" i="2" s="1"/>
  <c r="FP174" i="2"/>
  <c r="FZ130" i="2"/>
  <c r="FZ131" i="2" s="1"/>
  <c r="FZ132" i="2" s="1"/>
  <c r="FZ133" i="2" s="1"/>
  <c r="FZ134" i="2" s="1"/>
  <c r="FZ135" i="2" s="1"/>
  <c r="FZ136" i="2" s="1"/>
  <c r="FZ137" i="2" s="1"/>
  <c r="FZ138" i="2" s="1"/>
  <c r="FZ139" i="2" s="1"/>
  <c r="FP61" i="2"/>
  <c r="FP318" i="2"/>
  <c r="FZ317" i="2"/>
  <c r="FZ318" i="2" s="1"/>
  <c r="FZ319" i="2" s="1"/>
  <c r="FZ320" i="2" s="1"/>
  <c r="FZ321" i="2" s="1"/>
  <c r="FZ322" i="2" s="1"/>
  <c r="FZ141" i="2"/>
  <c r="FZ142" i="2" s="1"/>
  <c r="FZ143" i="2" s="1"/>
  <c r="FZ144" i="2" s="1"/>
  <c r="FZ145" i="2" s="1"/>
  <c r="FZ146" i="2" s="1"/>
  <c r="FZ147" i="2" s="1"/>
  <c r="FZ148" i="2" s="1"/>
  <c r="FZ149" i="2" s="1"/>
  <c r="FZ150" i="2" s="1"/>
  <c r="FP62" i="2"/>
  <c r="FP276" i="2"/>
  <c r="FZ287" i="2"/>
  <c r="FZ288" i="2" s="1"/>
  <c r="FZ289" i="2" s="1"/>
  <c r="FZ290" i="2" s="1"/>
  <c r="FZ291" i="2" s="1"/>
  <c r="FZ292" i="2" s="1"/>
  <c r="FZ75" i="2"/>
  <c r="FZ76" i="2" s="1"/>
  <c r="FZ77" i="2" s="1"/>
  <c r="FZ78" i="2" s="1"/>
  <c r="FZ79" i="2" s="1"/>
  <c r="FZ80" i="2" s="1"/>
  <c r="FZ81" i="2" s="1"/>
  <c r="FZ82" i="2" s="1"/>
  <c r="FZ83" i="2" s="1"/>
  <c r="FZ84" i="2" s="1"/>
  <c r="FP56" i="2"/>
  <c r="FP167" i="2"/>
  <c r="FZ176" i="2"/>
  <c r="FZ177" i="2" s="1"/>
  <c r="FZ178" i="2" s="1"/>
  <c r="FZ179" i="2" s="1"/>
  <c r="FZ180" i="2" s="1"/>
  <c r="FZ181" i="2" s="1"/>
  <c r="FZ182" i="2" s="1"/>
  <c r="FZ183" i="2" s="1"/>
  <c r="FZ184" i="2" s="1"/>
  <c r="FZ185" i="2" s="1"/>
  <c r="FZ42" i="2"/>
  <c r="FP53" i="2"/>
  <c r="FP58" i="2"/>
  <c r="FZ97" i="2"/>
  <c r="FZ98" i="2" s="1"/>
  <c r="FZ99" i="2" s="1"/>
  <c r="FZ100" i="2" s="1"/>
  <c r="FZ101" i="2" s="1"/>
  <c r="FZ102" i="2" s="1"/>
  <c r="FZ103" i="2" s="1"/>
  <c r="FZ104" i="2" s="1"/>
  <c r="FZ105" i="2" s="1"/>
  <c r="FZ106" i="2" s="1"/>
  <c r="FP55" i="2"/>
  <c r="FZ64" i="2"/>
  <c r="FZ65" i="2" s="1"/>
  <c r="FZ66" i="2" s="1"/>
  <c r="FZ67" i="2" s="1"/>
  <c r="FZ68" i="2" s="1"/>
  <c r="FZ69" i="2" s="1"/>
  <c r="FZ70" i="2" s="1"/>
  <c r="FZ71" i="2" s="1"/>
  <c r="FZ72" i="2" s="1"/>
  <c r="FZ73" i="2" s="1"/>
  <c r="FP54" i="2"/>
  <c r="FZ53" i="2"/>
  <c r="FZ54" i="2" s="1"/>
  <c r="FZ55" i="2" s="1"/>
  <c r="FZ56" i="2" s="1"/>
  <c r="FZ57" i="2" s="1"/>
  <c r="FZ58" i="2" s="1"/>
  <c r="FZ59" i="2" s="1"/>
  <c r="FZ60" i="2" s="1"/>
  <c r="FZ61" i="2" s="1"/>
  <c r="FZ62" i="2" s="1"/>
  <c r="FP59" i="2"/>
  <c r="FZ108" i="2"/>
  <c r="FZ109" i="2" s="1"/>
  <c r="FZ110" i="2" s="1"/>
  <c r="FZ111" i="2" s="1"/>
  <c r="FZ112" i="2" s="1"/>
  <c r="FZ113" i="2" s="1"/>
  <c r="FZ114" i="2" s="1"/>
  <c r="FZ115" i="2" s="1"/>
  <c r="FZ116" i="2" s="1"/>
  <c r="FZ117" i="2" s="1"/>
  <c r="FP168" i="2"/>
  <c r="FZ187" i="2"/>
  <c r="FZ188" i="2" s="1"/>
  <c r="FZ189" i="2" s="1"/>
  <c r="FZ190" i="2" s="1"/>
  <c r="FZ191" i="2" s="1"/>
  <c r="FZ192" i="2" s="1"/>
  <c r="FZ193" i="2" s="1"/>
  <c r="FZ194" i="2" s="1"/>
  <c r="FZ195" i="2" s="1"/>
  <c r="FZ196" i="2" s="1"/>
  <c r="FP166" i="2"/>
  <c r="FZ165" i="2"/>
  <c r="FZ166" i="2" s="1"/>
  <c r="FZ167" i="2" s="1"/>
  <c r="FZ168" i="2" s="1"/>
  <c r="FZ169" i="2" s="1"/>
  <c r="FZ170" i="2" s="1"/>
  <c r="FZ171" i="2" s="1"/>
  <c r="FZ172" i="2" s="1"/>
  <c r="FZ173" i="2" s="1"/>
  <c r="FZ174" i="2" s="1"/>
  <c r="FP170" i="2"/>
  <c r="FZ209" i="2"/>
  <c r="FZ210" i="2" s="1"/>
  <c r="FZ211" i="2" s="1"/>
  <c r="FZ212" i="2" s="1"/>
  <c r="FZ213" i="2" s="1"/>
  <c r="FZ214" i="2" s="1"/>
  <c r="FZ215" i="2" s="1"/>
  <c r="FZ216" i="2" s="1"/>
  <c r="FZ217" i="2" s="1"/>
  <c r="FZ218" i="2" s="1"/>
  <c r="FZ338" i="2"/>
  <c r="FZ339" i="2" s="1"/>
  <c r="FZ340" i="2" s="1"/>
  <c r="FZ341" i="2" s="1"/>
  <c r="FZ342" i="2" s="1"/>
  <c r="FZ343" i="2" s="1"/>
  <c r="FP321" i="2"/>
  <c r="FZ331" i="2"/>
  <c r="FZ332" i="2" s="1"/>
  <c r="FZ333" i="2" s="1"/>
  <c r="FZ334" i="2" s="1"/>
  <c r="FZ335" i="2" s="1"/>
  <c r="FZ336" i="2" s="1"/>
  <c r="FP320" i="2"/>
  <c r="I225" i="7950"/>
  <c r="AQ225" i="7950"/>
  <c r="AR225" i="7950"/>
  <c r="E225" i="7950"/>
  <c r="AT225" i="7950"/>
  <c r="AU225" i="7950" s="1"/>
  <c r="G225" i="7950"/>
  <c r="AP337" i="7950"/>
  <c r="AR337" i="7950" s="1"/>
  <c r="AV321" i="7950"/>
  <c r="K321" i="7950"/>
  <c r="K314" i="7950"/>
  <c r="AX241" i="7950"/>
  <c r="AW241" i="7950"/>
  <c r="M241" i="7950"/>
  <c r="AZ241" i="7950"/>
  <c r="AH237" i="7950" s="1"/>
  <c r="AY241" i="7950"/>
  <c r="AH236" i="7950" s="1"/>
  <c r="AW176" i="7950"/>
  <c r="AX176" i="7950"/>
  <c r="M176" i="7950"/>
  <c r="AZ176" i="7950"/>
  <c r="AY176" i="7950"/>
  <c r="M400" i="7950"/>
  <c r="AX400" i="7950"/>
  <c r="AW400" i="7950"/>
  <c r="AZ400" i="7950"/>
  <c r="AY400" i="7950"/>
  <c r="AX353" i="7950"/>
  <c r="AZ353" i="7950"/>
  <c r="AH349" i="7950" s="1"/>
  <c r="M353" i="7950"/>
  <c r="AW353" i="7950"/>
  <c r="AY353" i="7950"/>
  <c r="AH348" i="7950" s="1"/>
  <c r="AW257" i="7950"/>
  <c r="M257" i="7950"/>
  <c r="AX257" i="7950"/>
  <c r="AZ257" i="7950"/>
  <c r="AH253" i="7950" s="1"/>
  <c r="AY257" i="7950"/>
  <c r="AH252" i="7950" s="1"/>
  <c r="I385" i="7950"/>
  <c r="E385" i="7950"/>
  <c r="AR385" i="7950"/>
  <c r="AQ385" i="7950"/>
  <c r="G385" i="7950"/>
  <c r="AT385" i="7950"/>
  <c r="AU385" i="7950" s="1"/>
  <c r="AV417" i="7950"/>
  <c r="K410" i="7950"/>
  <c r="K417" i="7950"/>
  <c r="I337" i="7950"/>
  <c r="AT337" i="7950"/>
  <c r="AU337" i="7950" s="1"/>
  <c r="AQ337" i="7950"/>
  <c r="K305" i="7950"/>
  <c r="AV305" i="7950"/>
  <c r="K298" i="7950"/>
  <c r="K369" i="7950"/>
  <c r="AV369" i="7950"/>
  <c r="K362" i="7950"/>
  <c r="AP273" i="7950"/>
  <c r="G337" i="7950" l="1"/>
  <c r="E337" i="7950"/>
  <c r="ED896" i="2"/>
  <c r="ED899" i="2"/>
  <c r="BJ154" i="2"/>
  <c r="AY154" i="2" s="1"/>
  <c r="BJ147" i="2"/>
  <c r="AY147" i="2" s="1"/>
  <c r="BM160" i="2"/>
  <c r="BN160" i="2"/>
  <c r="BD160" i="2"/>
  <c r="BO160" i="2" s="1"/>
  <c r="BN146" i="2"/>
  <c r="BM146" i="2"/>
  <c r="BD146" i="2"/>
  <c r="BO146" i="2" s="1"/>
  <c r="BM159" i="2"/>
  <c r="BD159" i="2"/>
  <c r="BN159" i="2"/>
  <c r="BO159" i="2" s="1"/>
  <c r="BN168" i="2"/>
  <c r="BD168" i="2"/>
  <c r="BO168" i="2" s="1"/>
  <c r="BM168" i="2"/>
  <c r="BN150" i="2"/>
  <c r="BD150" i="2"/>
  <c r="BM150" i="2"/>
  <c r="BM157" i="2"/>
  <c r="BD157" i="2"/>
  <c r="BO157" i="2" s="1"/>
  <c r="BN157" i="2"/>
  <c r="ED897" i="2"/>
  <c r="DY635" i="2"/>
  <c r="DX635" i="2"/>
  <c r="ED635" i="2" s="1"/>
  <c r="DX623" i="2"/>
  <c r="DY623" i="2"/>
  <c r="DY621" i="2"/>
  <c r="DX621" i="2"/>
  <c r="ED621" i="2" s="1"/>
  <c r="CI349" i="2"/>
  <c r="CI359" i="2"/>
  <c r="CI358" i="2"/>
  <c r="CI360" i="2"/>
  <c r="CI346" i="2"/>
  <c r="CI366" i="2"/>
  <c r="CI365" i="2"/>
  <c r="CI350" i="2"/>
  <c r="CI357" i="2"/>
  <c r="CI347" i="2"/>
  <c r="CI361" i="2"/>
  <c r="CK344" i="2"/>
  <c r="CK347" i="2"/>
  <c r="CK352" i="2"/>
  <c r="CK364" i="2"/>
  <c r="CK360" i="2"/>
  <c r="CK350" i="2"/>
  <c r="CK363" i="2"/>
  <c r="CK365" i="2"/>
  <c r="CK359" i="2"/>
  <c r="CK351" i="2"/>
  <c r="CK345" i="2"/>
  <c r="CK357" i="2"/>
  <c r="CK349" i="2"/>
  <c r="CK362" i="2"/>
  <c r="CK346" i="2"/>
  <c r="CK353" i="2"/>
  <c r="CK354" i="2"/>
  <c r="CK366" i="2"/>
  <c r="CK343" i="2"/>
  <c r="CK358" i="2"/>
  <c r="CK356" i="2"/>
  <c r="CK355" i="2"/>
  <c r="CK361" i="2"/>
  <c r="CK348" i="2"/>
  <c r="EM892" i="2"/>
  <c r="EM893" i="2"/>
  <c r="BJ152" i="2"/>
  <c r="AY152" i="2" s="1"/>
  <c r="BK150" i="2"/>
  <c r="BJ155" i="2"/>
  <c r="AY155" i="2" s="1"/>
  <c r="BK156" i="2"/>
  <c r="BJ169" i="2"/>
  <c r="AY169" i="2" s="1"/>
  <c r="BJ146" i="2"/>
  <c r="AY146" i="2" s="1"/>
  <c r="BK148" i="2"/>
  <c r="BJ158" i="2"/>
  <c r="AY158" i="2" s="1"/>
  <c r="BJ163" i="2"/>
  <c r="AY163" i="2" s="1"/>
  <c r="BN169" i="2"/>
  <c r="BM169" i="2"/>
  <c r="BD169" i="2"/>
  <c r="BO169" i="2" s="1"/>
  <c r="BD153" i="2"/>
  <c r="BO153" i="2" s="1"/>
  <c r="BN153" i="2"/>
  <c r="BM153" i="2"/>
  <c r="BM154" i="2"/>
  <c r="BD154" i="2"/>
  <c r="BD155" i="2"/>
  <c r="BM155" i="2"/>
  <c r="BN161" i="2"/>
  <c r="BD161" i="2"/>
  <c r="BO161" i="2" s="1"/>
  <c r="BM161" i="2"/>
  <c r="BN152" i="2"/>
  <c r="BD152" i="2"/>
  <c r="BM152" i="2"/>
  <c r="BN163" i="2"/>
  <c r="BN154" i="2"/>
  <c r="BN155" i="2"/>
  <c r="DV599" i="2"/>
  <c r="DX593" i="2"/>
  <c r="DW593" i="2"/>
  <c r="DX591" i="2"/>
  <c r="DW591" i="2"/>
  <c r="DV597" i="2"/>
  <c r="BJ153" i="2"/>
  <c r="AY153" i="2" s="1"/>
  <c r="BK149" i="2"/>
  <c r="BM166" i="2"/>
  <c r="BD166" i="2"/>
  <c r="BN166" i="2"/>
  <c r="BN151" i="2"/>
  <c r="BD151" i="2"/>
  <c r="BO151" i="2" s="1"/>
  <c r="BM151" i="2"/>
  <c r="BM165" i="2"/>
  <c r="BN165" i="2"/>
  <c r="BD165" i="2"/>
  <c r="BO165" i="2" s="1"/>
  <c r="BM147" i="2"/>
  <c r="BN147" i="2"/>
  <c r="BD147" i="2"/>
  <c r="BM156" i="2"/>
  <c r="BD156" i="2"/>
  <c r="BN156" i="2"/>
  <c r="BM163" i="2"/>
  <c r="BD163" i="2"/>
  <c r="BO163" i="2" s="1"/>
  <c r="CN44" i="2"/>
  <c r="CU41" i="2" s="1"/>
  <c r="CN45" i="2"/>
  <c r="CX41" i="2" s="1"/>
  <c r="CN47" i="2"/>
  <c r="DD41" i="2" s="1"/>
  <c r="CN43" i="2"/>
  <c r="CR41" i="2" s="1"/>
  <c r="CN42" i="2"/>
  <c r="CO41" i="2" s="1"/>
  <c r="CN46" i="2"/>
  <c r="DA41" i="2" s="1"/>
  <c r="W384" i="1"/>
  <c r="W385" i="1" s="1"/>
  <c r="W386" i="1" s="1"/>
  <c r="W387" i="1" s="1"/>
  <c r="W388" i="1" s="1"/>
  <c r="W389" i="1" s="1"/>
  <c r="W390" i="1" s="1"/>
  <c r="F50" i="3"/>
  <c r="I50" i="3" s="1"/>
  <c r="DX636" i="2"/>
  <c r="DY636" i="2"/>
  <c r="DY622" i="2"/>
  <c r="DX622" i="2"/>
  <c r="ED622" i="2" s="1"/>
  <c r="CI352" i="2"/>
  <c r="CI354" i="2"/>
  <c r="CI353" i="2"/>
  <c r="CI345" i="2"/>
  <c r="CI363" i="2"/>
  <c r="CI356" i="2"/>
  <c r="C409" i="7950"/>
  <c r="AF418" i="7950"/>
  <c r="AF419" i="7950"/>
  <c r="AF415" i="7950"/>
  <c r="AF417" i="7950"/>
  <c r="AF416" i="7950"/>
  <c r="BJ160" i="2"/>
  <c r="AY160" i="2" s="1"/>
  <c r="BK151" i="2"/>
  <c r="BN164" i="2"/>
  <c r="BM164" i="2"/>
  <c r="BD164" i="2"/>
  <c r="BO164" i="2" s="1"/>
  <c r="BD167" i="2"/>
  <c r="BO167" i="2" s="1"/>
  <c r="BN167" i="2"/>
  <c r="BM167" i="2"/>
  <c r="BD162" i="2"/>
  <c r="BN162" i="2"/>
  <c r="BM162" i="2"/>
  <c r="BN148" i="2"/>
  <c r="BD148" i="2"/>
  <c r="BM148" i="2"/>
  <c r="BN149" i="2"/>
  <c r="BM149" i="2"/>
  <c r="BD149" i="2"/>
  <c r="BO149" i="2" s="1"/>
  <c r="BD158" i="2"/>
  <c r="BO158" i="2" s="1"/>
  <c r="BN158" i="2"/>
  <c r="BM158" i="2"/>
  <c r="DV595" i="2"/>
  <c r="DW589" i="2"/>
  <c r="DX589" i="2"/>
  <c r="DW590" i="2"/>
  <c r="DV596" i="2"/>
  <c r="DX590" i="2"/>
  <c r="DW592" i="2"/>
  <c r="DV598" i="2"/>
  <c r="DX592" i="2"/>
  <c r="FP327" i="2"/>
  <c r="FQ320" i="2"/>
  <c r="FP328" i="2"/>
  <c r="FQ321" i="2"/>
  <c r="FP179" i="2"/>
  <c r="FQ168" i="2"/>
  <c r="FQ59" i="2"/>
  <c r="FP70" i="2"/>
  <c r="FQ54" i="2"/>
  <c r="FP65" i="2"/>
  <c r="FP66" i="2"/>
  <c r="FQ55" i="2"/>
  <c r="FP69" i="2"/>
  <c r="FQ58" i="2"/>
  <c r="FZ43" i="2"/>
  <c r="FQ42" i="2"/>
  <c r="FQ167" i="2"/>
  <c r="FP178" i="2"/>
  <c r="FP283" i="2"/>
  <c r="FQ276" i="2"/>
  <c r="FQ318" i="2"/>
  <c r="FP325" i="2"/>
  <c r="FQ275" i="2"/>
  <c r="FP282" i="2"/>
  <c r="FZ267" i="2"/>
  <c r="FQ266" i="2"/>
  <c r="FZ155" i="2"/>
  <c r="FQ154" i="2"/>
  <c r="FQ319" i="2"/>
  <c r="FP326" i="2"/>
  <c r="FQ317" i="2"/>
  <c r="FP324" i="2"/>
  <c r="FP284" i="2"/>
  <c r="FQ277" i="2"/>
  <c r="FQ171" i="2"/>
  <c r="FP182" i="2"/>
  <c r="AB69" i="7950"/>
  <c r="Z69" i="7950"/>
  <c r="AP59" i="7950"/>
  <c r="Z68" i="7950"/>
  <c r="AA68" i="7950"/>
  <c r="AA69" i="7950"/>
  <c r="AB68" i="7950"/>
  <c r="Z52" i="7950"/>
  <c r="AP43" i="7950"/>
  <c r="AB52" i="7950"/>
  <c r="AA52" i="7950"/>
  <c r="AA53" i="7950"/>
  <c r="Z53" i="7950"/>
  <c r="AB53" i="7950"/>
  <c r="FP181" i="2"/>
  <c r="FQ170" i="2"/>
  <c r="FP177" i="2"/>
  <c r="FQ166" i="2"/>
  <c r="FQ53" i="2"/>
  <c r="FP64" i="2"/>
  <c r="FQ56" i="2"/>
  <c r="FP67" i="2"/>
  <c r="FQ62" i="2"/>
  <c r="FP73" i="2"/>
  <c r="FQ61" i="2"/>
  <c r="FP72" i="2"/>
  <c r="FQ174" i="2"/>
  <c r="FP185" i="2"/>
  <c r="FQ274" i="2"/>
  <c r="FP281" i="2"/>
  <c r="FP180" i="2"/>
  <c r="FQ169" i="2"/>
  <c r="FP285" i="2"/>
  <c r="FQ278" i="2"/>
  <c r="FP68" i="2"/>
  <c r="FQ57" i="2"/>
  <c r="FP280" i="2"/>
  <c r="FQ273" i="2"/>
  <c r="FQ322" i="2"/>
  <c r="FP329" i="2"/>
  <c r="FP183" i="2"/>
  <c r="FQ172" i="2"/>
  <c r="FQ165" i="2"/>
  <c r="FP176" i="2"/>
  <c r="FZ311" i="2"/>
  <c r="FQ310" i="2"/>
  <c r="FQ173" i="2"/>
  <c r="FP184" i="2"/>
  <c r="I60" i="7951"/>
  <c r="AB60" i="7951" s="1"/>
  <c r="BE84" i="7951"/>
  <c r="BE75" i="7951"/>
  <c r="BE83" i="7951"/>
  <c r="BE87" i="7951"/>
  <c r="BE81" i="7951"/>
  <c r="BE77" i="7951"/>
  <c r="BE85" i="7951"/>
  <c r="BE82" i="7951"/>
  <c r="BE63" i="7951"/>
  <c r="BE78" i="7951"/>
  <c r="BE64" i="7951"/>
  <c r="M60" i="7951"/>
  <c r="AC60" i="7951" s="1"/>
  <c r="BB118" i="7949" s="1"/>
  <c r="BE90" i="7951"/>
  <c r="BE89" i="7951"/>
  <c r="BE76" i="7951"/>
  <c r="BE86" i="7951"/>
  <c r="BE65" i="7951"/>
  <c r="BE66" i="7951"/>
  <c r="BE74" i="7951"/>
  <c r="BE88" i="7951"/>
  <c r="FQ60" i="2"/>
  <c r="FP71" i="2"/>
  <c r="K225" i="7950"/>
  <c r="AV225" i="7950"/>
  <c r="K218" i="7950"/>
  <c r="AX321" i="7950"/>
  <c r="AZ321" i="7950"/>
  <c r="AH317" i="7950" s="1"/>
  <c r="AW321" i="7950"/>
  <c r="M321" i="7950"/>
  <c r="AY321" i="7950"/>
  <c r="AH316" i="7950" s="1"/>
  <c r="AX417" i="7950"/>
  <c r="AW417" i="7950"/>
  <c r="M417" i="7950"/>
  <c r="AZ417" i="7950"/>
  <c r="AH413" i="7950" s="1"/>
  <c r="AY417" i="7950"/>
  <c r="AH412" i="7950" s="1"/>
  <c r="K385" i="7950"/>
  <c r="AV385" i="7950"/>
  <c r="K378" i="7950"/>
  <c r="AP401" i="7950"/>
  <c r="AP177" i="7950"/>
  <c r="M369" i="7950"/>
  <c r="AW369" i="7950"/>
  <c r="AX369" i="7950"/>
  <c r="AZ369" i="7950"/>
  <c r="AH365" i="7950" s="1"/>
  <c r="AY369" i="7950"/>
  <c r="AH364" i="7950" s="1"/>
  <c r="I273" i="7950"/>
  <c r="AR273" i="7950"/>
  <c r="AT273" i="7950"/>
  <c r="AU273" i="7950" s="1"/>
  <c r="AQ273" i="7950"/>
  <c r="E273" i="7950"/>
  <c r="G273" i="7950"/>
  <c r="AV337" i="7950"/>
  <c r="K337" i="7950"/>
  <c r="K330" i="7950"/>
  <c r="M305" i="7950"/>
  <c r="AX305" i="7950"/>
  <c r="AW305" i="7950"/>
  <c r="AZ305" i="7950"/>
  <c r="AH301" i="7950" s="1"/>
  <c r="AY305" i="7950"/>
  <c r="AH300" i="7950" s="1"/>
  <c r="DY596" i="2" l="1"/>
  <c r="DX596" i="2"/>
  <c r="ED596" i="2" s="1"/>
  <c r="DY595" i="2"/>
  <c r="DX595" i="2"/>
  <c r="ED595" i="2" s="1"/>
  <c r="BO148" i="2"/>
  <c r="BO162" i="2"/>
  <c r="ED636" i="2"/>
  <c r="CO46" i="2"/>
  <c r="CP46" i="2" s="1"/>
  <c r="CO55" i="2"/>
  <c r="CP55" i="2" s="1"/>
  <c r="CO64" i="2"/>
  <c r="CP64" i="2" s="1"/>
  <c r="CO42" i="2"/>
  <c r="CP42" i="2" s="1"/>
  <c r="CO51" i="2"/>
  <c r="CP51" i="2" s="1"/>
  <c r="CO60" i="2"/>
  <c r="CP60" i="2" s="1"/>
  <c r="CO53" i="2"/>
  <c r="CP53" i="2" s="1"/>
  <c r="CO54" i="2"/>
  <c r="CP54" i="2" s="1"/>
  <c r="CO47" i="2"/>
  <c r="CP47" i="2" s="1"/>
  <c r="CO63" i="2"/>
  <c r="CP63" i="2" s="1"/>
  <c r="CO56" i="2"/>
  <c r="CP56" i="2" s="1"/>
  <c r="CO49" i="2"/>
  <c r="CP49" i="2" s="1"/>
  <c r="CO65" i="2"/>
  <c r="CP65" i="2" s="1"/>
  <c r="CO50" i="2"/>
  <c r="CP50" i="2" s="1"/>
  <c r="CO43" i="2"/>
  <c r="CP43" i="2" s="1"/>
  <c r="CO59" i="2"/>
  <c r="CP59" i="2" s="1"/>
  <c r="CO52" i="2"/>
  <c r="CP52" i="2" s="1"/>
  <c r="CO45" i="2"/>
  <c r="CP45" i="2" s="1"/>
  <c r="CO61" i="2"/>
  <c r="CP61" i="2" s="1"/>
  <c r="CO62" i="2"/>
  <c r="CP62" i="2" s="1"/>
  <c r="CO48" i="2"/>
  <c r="CP48" i="2" s="1"/>
  <c r="CO57" i="2"/>
  <c r="CP57" i="2" s="1"/>
  <c r="CO58" i="2"/>
  <c r="CP58" i="2" s="1"/>
  <c r="CO44" i="2"/>
  <c r="CP44" i="2" s="1"/>
  <c r="DD42" i="2"/>
  <c r="DE42" i="2" s="1"/>
  <c r="DD58" i="2"/>
  <c r="DE58" i="2" s="1"/>
  <c r="DD44" i="2"/>
  <c r="DE44" i="2" s="1"/>
  <c r="DD60" i="2"/>
  <c r="DE60" i="2" s="1"/>
  <c r="DD46" i="2"/>
  <c r="DE46" i="2" s="1"/>
  <c r="DD55" i="2"/>
  <c r="DE55" i="2" s="1"/>
  <c r="DD64" i="2"/>
  <c r="DE64" i="2" s="1"/>
  <c r="DD50" i="2"/>
  <c r="DE50" i="2" s="1"/>
  <c r="DD43" i="2"/>
  <c r="DE43" i="2" s="1"/>
  <c r="DD59" i="2"/>
  <c r="DE59" i="2" s="1"/>
  <c r="DD52" i="2"/>
  <c r="DE52" i="2" s="1"/>
  <c r="DD45" i="2"/>
  <c r="DE45" i="2" s="1"/>
  <c r="DD61" i="2"/>
  <c r="DE61" i="2" s="1"/>
  <c r="DD54" i="2"/>
  <c r="DE54" i="2" s="1"/>
  <c r="DD47" i="2"/>
  <c r="DE47" i="2" s="1"/>
  <c r="DD63" i="2"/>
  <c r="DE63" i="2" s="1"/>
  <c r="DD56" i="2"/>
  <c r="DE56" i="2" s="1"/>
  <c r="DD49" i="2"/>
  <c r="DE49" i="2" s="1"/>
  <c r="DD65" i="2"/>
  <c r="DE65" i="2" s="1"/>
  <c r="DD51" i="2"/>
  <c r="DE51" i="2" s="1"/>
  <c r="DD53" i="2"/>
  <c r="DE53" i="2" s="1"/>
  <c r="DD62" i="2"/>
  <c r="DE62" i="2" s="1"/>
  <c r="DD48" i="2"/>
  <c r="DE48" i="2" s="1"/>
  <c r="DD57" i="2"/>
  <c r="DE57" i="2" s="1"/>
  <c r="CU63" i="2"/>
  <c r="CV63" i="2" s="1"/>
  <c r="CU65" i="2"/>
  <c r="CV65" i="2" s="1"/>
  <c r="CU43" i="2"/>
  <c r="CV43" i="2" s="1"/>
  <c r="CU50" i="2"/>
  <c r="CV50" i="2" s="1"/>
  <c r="CU61" i="2"/>
  <c r="CV61" i="2" s="1"/>
  <c r="CU52" i="2"/>
  <c r="CV52" i="2" s="1"/>
  <c r="CU55" i="2"/>
  <c r="CV55" i="2" s="1"/>
  <c r="CU46" i="2"/>
  <c r="CV46" i="2" s="1"/>
  <c r="CU62" i="2"/>
  <c r="CV62" i="2" s="1"/>
  <c r="CU57" i="2"/>
  <c r="CV57" i="2" s="1"/>
  <c r="CU48" i="2"/>
  <c r="CV48" i="2" s="1"/>
  <c r="CU64" i="2"/>
  <c r="CV64" i="2" s="1"/>
  <c r="CU51" i="2"/>
  <c r="CV51" i="2" s="1"/>
  <c r="CU42" i="2"/>
  <c r="CV42" i="2" s="1"/>
  <c r="CU58" i="2"/>
  <c r="CV58" i="2" s="1"/>
  <c r="CU53" i="2"/>
  <c r="CV53" i="2" s="1"/>
  <c r="CU44" i="2"/>
  <c r="CV44" i="2" s="1"/>
  <c r="CU60" i="2"/>
  <c r="CV60" i="2" s="1"/>
  <c r="CU47" i="2"/>
  <c r="CV47" i="2" s="1"/>
  <c r="CU54" i="2"/>
  <c r="CV54" i="2" s="1"/>
  <c r="CU49" i="2"/>
  <c r="CV49" i="2" s="1"/>
  <c r="CU56" i="2"/>
  <c r="CV56" i="2" s="1"/>
  <c r="CU59" i="2"/>
  <c r="CV59" i="2" s="1"/>
  <c r="CU45" i="2"/>
  <c r="CV45" i="2" s="1"/>
  <c r="BO156" i="2"/>
  <c r="BO147" i="2"/>
  <c r="BO166" i="2"/>
  <c r="DX597" i="2"/>
  <c r="DY597" i="2"/>
  <c r="BO152" i="2"/>
  <c r="BO155" i="2"/>
  <c r="ED623" i="2"/>
  <c r="BO150" i="2"/>
  <c r="DY598" i="2"/>
  <c r="DX598" i="2"/>
  <c r="ED598" i="2" s="1"/>
  <c r="EO591" i="2"/>
  <c r="EO589" i="2"/>
  <c r="EM589" i="2" s="1"/>
  <c r="EO593" i="2"/>
  <c r="EO590" i="2"/>
  <c r="EM590" i="2" s="1"/>
  <c r="EO592" i="2"/>
  <c r="EM592" i="2" s="1"/>
  <c r="CN347" i="2"/>
  <c r="DA342" i="2" s="1"/>
  <c r="CN343" i="2"/>
  <c r="CO342" i="2" s="1"/>
  <c r="CN346" i="2"/>
  <c r="CX342" i="2" s="1"/>
  <c r="CN344" i="2"/>
  <c r="CR342" i="2" s="1"/>
  <c r="CN348" i="2"/>
  <c r="DD342" i="2" s="1"/>
  <c r="CN345" i="2"/>
  <c r="CU342" i="2" s="1"/>
  <c r="DA46" i="2"/>
  <c r="DB46" i="2" s="1"/>
  <c r="DA55" i="2"/>
  <c r="DB55" i="2" s="1"/>
  <c r="DA64" i="2"/>
  <c r="DB64" i="2" s="1"/>
  <c r="DA57" i="2"/>
  <c r="DB57" i="2" s="1"/>
  <c r="DA42" i="2"/>
  <c r="DB42" i="2" s="1"/>
  <c r="DA51" i="2"/>
  <c r="DB51" i="2" s="1"/>
  <c r="DA60" i="2"/>
  <c r="DB60" i="2" s="1"/>
  <c r="DA53" i="2"/>
  <c r="DB53" i="2" s="1"/>
  <c r="DA54" i="2"/>
  <c r="DB54" i="2" s="1"/>
  <c r="DA47" i="2"/>
  <c r="DB47" i="2" s="1"/>
  <c r="DA63" i="2"/>
  <c r="DB63" i="2" s="1"/>
  <c r="DA56" i="2"/>
  <c r="DB56" i="2" s="1"/>
  <c r="DA49" i="2"/>
  <c r="DB49" i="2" s="1"/>
  <c r="DA65" i="2"/>
  <c r="DB65" i="2" s="1"/>
  <c r="DA50" i="2"/>
  <c r="DB50" i="2" s="1"/>
  <c r="DA43" i="2"/>
  <c r="DB43" i="2" s="1"/>
  <c r="DA59" i="2"/>
  <c r="DB59" i="2" s="1"/>
  <c r="DA52" i="2"/>
  <c r="DB52" i="2" s="1"/>
  <c r="DA45" i="2"/>
  <c r="DB45" i="2" s="1"/>
  <c r="DA61" i="2"/>
  <c r="DB61" i="2" s="1"/>
  <c r="DA62" i="2"/>
  <c r="DB62" i="2" s="1"/>
  <c r="DA48" i="2"/>
  <c r="DB48" i="2" s="1"/>
  <c r="DA58" i="2"/>
  <c r="DB58" i="2" s="1"/>
  <c r="DA44" i="2"/>
  <c r="DB44" i="2" s="1"/>
  <c r="CR55" i="2"/>
  <c r="CS55" i="2" s="1"/>
  <c r="CR45" i="2"/>
  <c r="CS45" i="2" s="1"/>
  <c r="CR56" i="2"/>
  <c r="CS56" i="2" s="1"/>
  <c r="CR57" i="2"/>
  <c r="CS57" i="2" s="1"/>
  <c r="CR42" i="2"/>
  <c r="CS42" i="2" s="1"/>
  <c r="CR65" i="2"/>
  <c r="CS65" i="2" s="1"/>
  <c r="CR46" i="2"/>
  <c r="CS46" i="2" s="1"/>
  <c r="CR44" i="2"/>
  <c r="CS44" i="2" s="1"/>
  <c r="CR62" i="2"/>
  <c r="CS62" i="2" s="1"/>
  <c r="CR50" i="2"/>
  <c r="CS50" i="2" s="1"/>
  <c r="CR48" i="2"/>
  <c r="CS48" i="2" s="1"/>
  <c r="CR58" i="2"/>
  <c r="CS58" i="2" s="1"/>
  <c r="CR54" i="2"/>
  <c r="CS54" i="2" s="1"/>
  <c r="CR52" i="2"/>
  <c r="CS52" i="2" s="1"/>
  <c r="CR49" i="2"/>
  <c r="CS49" i="2" s="1"/>
  <c r="CR43" i="2"/>
  <c r="CS43" i="2" s="1"/>
  <c r="CR47" i="2"/>
  <c r="CS47" i="2" s="1"/>
  <c r="CR64" i="2"/>
  <c r="CS64" i="2" s="1"/>
  <c r="CR51" i="2"/>
  <c r="CS51" i="2" s="1"/>
  <c r="CR60" i="2"/>
  <c r="CS60" i="2" s="1"/>
  <c r="CR53" i="2"/>
  <c r="CS53" i="2" s="1"/>
  <c r="CR59" i="2"/>
  <c r="CS59" i="2" s="1"/>
  <c r="CR61" i="2"/>
  <c r="CS61" i="2" s="1"/>
  <c r="CR63" i="2"/>
  <c r="CS63" i="2" s="1"/>
  <c r="CX42" i="2"/>
  <c r="CY42" i="2" s="1"/>
  <c r="CX44" i="2"/>
  <c r="CY44" i="2" s="1"/>
  <c r="CX63" i="2"/>
  <c r="CY63" i="2" s="1"/>
  <c r="CX65" i="2"/>
  <c r="CY65" i="2" s="1"/>
  <c r="CX62" i="2"/>
  <c r="CY62" i="2" s="1"/>
  <c r="CX60" i="2"/>
  <c r="CY60" i="2" s="1"/>
  <c r="CX51" i="2"/>
  <c r="CY51" i="2" s="1"/>
  <c r="CX46" i="2"/>
  <c r="CY46" i="2" s="1"/>
  <c r="CX64" i="2"/>
  <c r="CY64" i="2" s="1"/>
  <c r="CX43" i="2"/>
  <c r="CY43" i="2" s="1"/>
  <c r="CX54" i="2"/>
  <c r="CY54" i="2" s="1"/>
  <c r="CX48" i="2"/>
  <c r="CY48" i="2" s="1"/>
  <c r="CX52" i="2"/>
  <c r="CY52" i="2" s="1"/>
  <c r="CX53" i="2"/>
  <c r="CY53" i="2" s="1"/>
  <c r="CX50" i="2"/>
  <c r="CY50" i="2" s="1"/>
  <c r="CX57" i="2"/>
  <c r="CY57" i="2" s="1"/>
  <c r="CX47" i="2"/>
  <c r="CY47" i="2" s="1"/>
  <c r="CX56" i="2"/>
  <c r="CY56" i="2" s="1"/>
  <c r="CX61" i="2"/>
  <c r="CY61" i="2" s="1"/>
  <c r="CX55" i="2"/>
  <c r="CY55" i="2" s="1"/>
  <c r="CX49" i="2"/>
  <c r="CY49" i="2" s="1"/>
  <c r="CX58" i="2"/>
  <c r="CY58" i="2" s="1"/>
  <c r="CX59" i="2"/>
  <c r="CY59" i="2" s="1"/>
  <c r="CX45" i="2"/>
  <c r="CY45" i="2" s="1"/>
  <c r="DX599" i="2"/>
  <c r="ED599" i="2" s="1"/>
  <c r="DY599" i="2"/>
  <c r="BO154" i="2"/>
  <c r="ER890" i="2"/>
  <c r="ES889" i="2" s="1"/>
  <c r="ER891" i="2"/>
  <c r="EV889" i="2" s="1"/>
  <c r="CJ650" i="2"/>
  <c r="CJ655" i="2"/>
  <c r="CJ663" i="2"/>
  <c r="CJ659" i="2"/>
  <c r="CJ664" i="2"/>
  <c r="CI664" i="2" s="1"/>
  <c r="CJ654" i="2"/>
  <c r="CJ648" i="2"/>
  <c r="CJ666" i="2"/>
  <c r="CJ661" i="2"/>
  <c r="CJ658" i="2"/>
  <c r="CJ667" i="2"/>
  <c r="CI667" i="2" s="1"/>
  <c r="CJ649" i="2"/>
  <c r="CI649" i="2" s="1"/>
  <c r="CJ665" i="2"/>
  <c r="CI665" i="2" s="1"/>
  <c r="CJ657" i="2"/>
  <c r="CJ646" i="2"/>
  <c r="CJ645" i="2"/>
  <c r="CJ651" i="2"/>
  <c r="CI651" i="2" s="1"/>
  <c r="CJ652" i="2"/>
  <c r="CI652" i="2" s="1"/>
  <c r="CJ660" i="2"/>
  <c r="CI660" i="2" s="1"/>
  <c r="CJ644" i="2"/>
  <c r="CI644" i="2" s="1"/>
  <c r="CJ656" i="2"/>
  <c r="CI656" i="2" s="1"/>
  <c r="CJ662" i="2"/>
  <c r="CI662" i="2" s="1"/>
  <c r="CJ653" i="2"/>
  <c r="CI653" i="2" s="1"/>
  <c r="CJ647" i="2"/>
  <c r="CI647" i="2" s="1"/>
  <c r="FW60" i="2"/>
  <c r="FU60" i="2"/>
  <c r="FX60" i="2"/>
  <c r="FS60" i="2"/>
  <c r="FR60" i="2"/>
  <c r="FV60" i="2"/>
  <c r="FY60" i="2"/>
  <c r="FT60" i="2"/>
  <c r="AW147" i="7949"/>
  <c r="AW160" i="7949"/>
  <c r="AH160" i="7949" s="1"/>
  <c r="AW71" i="7949"/>
  <c r="AW125" i="7949"/>
  <c r="I50" i="7951"/>
  <c r="AW137" i="7949"/>
  <c r="AH137" i="7949" s="1"/>
  <c r="AW50" i="7949"/>
  <c r="AW73" i="7949"/>
  <c r="AW149" i="7949"/>
  <c r="K49" i="7951"/>
  <c r="AW162" i="7949"/>
  <c r="AH162" i="7949" s="1"/>
  <c r="AW124" i="7949"/>
  <c r="I49" i="7951"/>
  <c r="AW136" i="7949"/>
  <c r="AH136" i="7949" s="1"/>
  <c r="AW49" i="7949"/>
  <c r="AW48" i="7949"/>
  <c r="I48" i="7951"/>
  <c r="AW123" i="7949"/>
  <c r="AW135" i="7949"/>
  <c r="AH135" i="7949" s="1"/>
  <c r="FP195" i="2"/>
  <c r="FQ184" i="2"/>
  <c r="FX310" i="2"/>
  <c r="FW310" i="2"/>
  <c r="FT310" i="2"/>
  <c r="FS310" i="2"/>
  <c r="FV310" i="2"/>
  <c r="FY310" i="2"/>
  <c r="FR310" i="2"/>
  <c r="FU310" i="2"/>
  <c r="FQ176" i="2"/>
  <c r="FP187" i="2"/>
  <c r="FW172" i="2"/>
  <c r="FU172" i="2"/>
  <c r="FY172" i="2"/>
  <c r="FT172" i="2"/>
  <c r="FR172" i="2"/>
  <c r="FV172" i="2"/>
  <c r="FX172" i="2"/>
  <c r="FS172" i="2"/>
  <c r="FP336" i="2"/>
  <c r="FQ329" i="2"/>
  <c r="FR273" i="2"/>
  <c r="FS273" i="2"/>
  <c r="FY273" i="2"/>
  <c r="FX273" i="2"/>
  <c r="FU273" i="2"/>
  <c r="FW273" i="2"/>
  <c r="FV273" i="2"/>
  <c r="FT273" i="2"/>
  <c r="FT57" i="2"/>
  <c r="FU57" i="2"/>
  <c r="FX57" i="2"/>
  <c r="FY57" i="2"/>
  <c r="FR57" i="2"/>
  <c r="FS57" i="2"/>
  <c r="FV57" i="2"/>
  <c r="FW57" i="2"/>
  <c r="FW278" i="2"/>
  <c r="FV278" i="2"/>
  <c r="FU278" i="2"/>
  <c r="FT278" i="2"/>
  <c r="FR278" i="2"/>
  <c r="FS278" i="2"/>
  <c r="FX278" i="2"/>
  <c r="FY278" i="2"/>
  <c r="FS169" i="2"/>
  <c r="FR169" i="2"/>
  <c r="FX169" i="2"/>
  <c r="FW169" i="2"/>
  <c r="FT169" i="2"/>
  <c r="FU169" i="2"/>
  <c r="FV169" i="2"/>
  <c r="FY169" i="2"/>
  <c r="FP288" i="2"/>
  <c r="FQ281" i="2"/>
  <c r="FQ185" i="2"/>
  <c r="FP196" i="2"/>
  <c r="FP83" i="2"/>
  <c r="FQ72" i="2"/>
  <c r="FP84" i="2"/>
  <c r="FQ73" i="2"/>
  <c r="FP78" i="2"/>
  <c r="FQ67" i="2"/>
  <c r="FP75" i="2"/>
  <c r="FQ64" i="2"/>
  <c r="FX166" i="2"/>
  <c r="FT166" i="2"/>
  <c r="FR166" i="2"/>
  <c r="FS166" i="2"/>
  <c r="FU166" i="2"/>
  <c r="FY166" i="2"/>
  <c r="FV166" i="2"/>
  <c r="FW166" i="2"/>
  <c r="FW170" i="2"/>
  <c r="FS170" i="2"/>
  <c r="FU170" i="2"/>
  <c r="FT170" i="2"/>
  <c r="FR170" i="2"/>
  <c r="FV170" i="2"/>
  <c r="FX170" i="2"/>
  <c r="FY170" i="2"/>
  <c r="FQ182" i="2"/>
  <c r="FP193" i="2"/>
  <c r="FV277" i="2"/>
  <c r="FU277" i="2"/>
  <c r="FY277" i="2"/>
  <c r="FW277" i="2"/>
  <c r="FS277" i="2"/>
  <c r="FX277" i="2"/>
  <c r="FR277" i="2"/>
  <c r="FT277" i="2"/>
  <c r="FP331" i="2"/>
  <c r="FQ324" i="2"/>
  <c r="FP333" i="2"/>
  <c r="FQ326" i="2"/>
  <c r="FW154" i="2"/>
  <c r="FY154" i="2"/>
  <c r="FU154" i="2"/>
  <c r="FX154" i="2"/>
  <c r="FT154" i="2"/>
  <c r="FV154" i="2"/>
  <c r="FR154" i="2"/>
  <c r="FS154" i="2"/>
  <c r="FV266" i="2"/>
  <c r="FX266" i="2"/>
  <c r="FU266" i="2"/>
  <c r="FS266" i="2"/>
  <c r="FW266" i="2"/>
  <c r="FT266" i="2"/>
  <c r="FY266" i="2"/>
  <c r="FR266" i="2"/>
  <c r="FP289" i="2"/>
  <c r="FQ282" i="2"/>
  <c r="FQ325" i="2"/>
  <c r="FP332" i="2"/>
  <c r="FW276" i="2"/>
  <c r="FV276" i="2"/>
  <c r="FY276" i="2"/>
  <c r="FS276" i="2"/>
  <c r="FU276" i="2"/>
  <c r="FR276" i="2"/>
  <c r="FT276" i="2"/>
  <c r="FX276" i="2"/>
  <c r="FP189" i="2"/>
  <c r="FQ178" i="2"/>
  <c r="FT42" i="2"/>
  <c r="FW42" i="2"/>
  <c r="FR42" i="2"/>
  <c r="FY42" i="2"/>
  <c r="FU42" i="2"/>
  <c r="FX42" i="2"/>
  <c r="FV42" i="2"/>
  <c r="FS42" i="2"/>
  <c r="FW58" i="2"/>
  <c r="FS58" i="2"/>
  <c r="FU58" i="2"/>
  <c r="FT58" i="2"/>
  <c r="FX58" i="2"/>
  <c r="FV58" i="2"/>
  <c r="FY58" i="2"/>
  <c r="FR58" i="2"/>
  <c r="FU55" i="2"/>
  <c r="FT55" i="2"/>
  <c r="FW55" i="2"/>
  <c r="FY55" i="2"/>
  <c r="FV55" i="2"/>
  <c r="FS55" i="2"/>
  <c r="FX55" i="2"/>
  <c r="FR55" i="2"/>
  <c r="FQ65" i="2"/>
  <c r="FP76" i="2"/>
  <c r="FP81" i="2"/>
  <c r="FQ70" i="2"/>
  <c r="FW168" i="2"/>
  <c r="FU168" i="2"/>
  <c r="FY168" i="2"/>
  <c r="FS168" i="2"/>
  <c r="FR168" i="2"/>
  <c r="FV168" i="2"/>
  <c r="FX168" i="2"/>
  <c r="FT168" i="2"/>
  <c r="FV321" i="2"/>
  <c r="FU321" i="2"/>
  <c r="FT321" i="2"/>
  <c r="FW321" i="2"/>
  <c r="FS321" i="2"/>
  <c r="FR321" i="2"/>
  <c r="FY321" i="2"/>
  <c r="FX321" i="2"/>
  <c r="FX320" i="2"/>
  <c r="FS320" i="2"/>
  <c r="FR320" i="2"/>
  <c r="FV320" i="2"/>
  <c r="FT320" i="2"/>
  <c r="FY320" i="2"/>
  <c r="FU320" i="2"/>
  <c r="FW320" i="2"/>
  <c r="FQ71" i="2"/>
  <c r="FP82" i="2"/>
  <c r="I51" i="7951"/>
  <c r="AW126" i="7949"/>
  <c r="AW51" i="7949"/>
  <c r="AW138" i="7949"/>
  <c r="AH138" i="7949" s="1"/>
  <c r="AW75" i="7949"/>
  <c r="K51" i="7951"/>
  <c r="AW151" i="7949"/>
  <c r="AW164" i="7949"/>
  <c r="AH164" i="7949" s="1"/>
  <c r="AW74" i="7949"/>
  <c r="AW150" i="7949"/>
  <c r="AW163" i="7949"/>
  <c r="AH163" i="7949" s="1"/>
  <c r="K50" i="7951"/>
  <c r="AW148" i="7949"/>
  <c r="K48" i="7951"/>
  <c r="AW72" i="7949"/>
  <c r="AW161" i="7949"/>
  <c r="AH161" i="7949" s="1"/>
  <c r="BA118" i="7949"/>
  <c r="Y60" i="7951"/>
  <c r="AZ118" i="7949" s="1"/>
  <c r="FX173" i="2"/>
  <c r="FV173" i="2"/>
  <c r="FU173" i="2"/>
  <c r="FR173" i="2"/>
  <c r="FS173" i="2"/>
  <c r="FY173" i="2"/>
  <c r="FT173" i="2"/>
  <c r="FW173" i="2"/>
  <c r="FZ312" i="2"/>
  <c r="FQ311" i="2"/>
  <c r="FY165" i="2"/>
  <c r="FW165" i="2"/>
  <c r="FS165" i="2"/>
  <c r="FR165" i="2"/>
  <c r="FT165" i="2"/>
  <c r="FV165" i="2"/>
  <c r="FU165" i="2"/>
  <c r="FX165" i="2"/>
  <c r="FP194" i="2"/>
  <c r="FQ183" i="2"/>
  <c r="FX322" i="2"/>
  <c r="FU322" i="2"/>
  <c r="FS322" i="2"/>
  <c r="FR322" i="2"/>
  <c r="FT322" i="2"/>
  <c r="FY322" i="2"/>
  <c r="FW322" i="2"/>
  <c r="FV322" i="2"/>
  <c r="FQ280" i="2"/>
  <c r="FP287" i="2"/>
  <c r="FP79" i="2"/>
  <c r="FQ68" i="2"/>
  <c r="FQ285" i="2"/>
  <c r="FP292" i="2"/>
  <c r="FP191" i="2"/>
  <c r="FQ180" i="2"/>
  <c r="FV274" i="2"/>
  <c r="FX274" i="2"/>
  <c r="FR274" i="2"/>
  <c r="FS274" i="2"/>
  <c r="FU274" i="2"/>
  <c r="FT274" i="2"/>
  <c r="FW274" i="2"/>
  <c r="FY274" i="2"/>
  <c r="FV174" i="2"/>
  <c r="FR174" i="2"/>
  <c r="FX174" i="2"/>
  <c r="FU174" i="2"/>
  <c r="FW174" i="2"/>
  <c r="FY174" i="2"/>
  <c r="FS174" i="2"/>
  <c r="FT174" i="2"/>
  <c r="FR61" i="2"/>
  <c r="FY61" i="2"/>
  <c r="FU61" i="2"/>
  <c r="FT61" i="2"/>
  <c r="FV61" i="2"/>
  <c r="FW61" i="2"/>
  <c r="FS61" i="2"/>
  <c r="FX61" i="2"/>
  <c r="FX62" i="2"/>
  <c r="FR62" i="2"/>
  <c r="FY62" i="2"/>
  <c r="FU62" i="2"/>
  <c r="FV62" i="2"/>
  <c r="FW62" i="2"/>
  <c r="FT62" i="2"/>
  <c r="FS62" i="2"/>
  <c r="FW56" i="2"/>
  <c r="FY56" i="2"/>
  <c r="FV56" i="2"/>
  <c r="FR56" i="2"/>
  <c r="FT56" i="2"/>
  <c r="FS56" i="2"/>
  <c r="FU56" i="2"/>
  <c r="FX56" i="2"/>
  <c r="FW53" i="2"/>
  <c r="FR53" i="2"/>
  <c r="FX53" i="2"/>
  <c r="FV53" i="2"/>
  <c r="FS53" i="2"/>
  <c r="FT53" i="2"/>
  <c r="FY53" i="2"/>
  <c r="FU53" i="2"/>
  <c r="FQ177" i="2"/>
  <c r="FP188" i="2"/>
  <c r="FP192" i="2"/>
  <c r="FQ181" i="2"/>
  <c r="G43" i="7950"/>
  <c r="AT43" i="7950"/>
  <c r="AU43" i="7950" s="1"/>
  <c r="G59" i="7950"/>
  <c r="AT59" i="7950"/>
  <c r="AU59" i="7950" s="1"/>
  <c r="FY171" i="2"/>
  <c r="FV171" i="2"/>
  <c r="FS171" i="2"/>
  <c r="FR171" i="2"/>
  <c r="FX171" i="2"/>
  <c r="FT171" i="2"/>
  <c r="FW171" i="2"/>
  <c r="FU171" i="2"/>
  <c r="FP291" i="2"/>
  <c r="FQ284" i="2"/>
  <c r="FX317" i="2"/>
  <c r="FR317" i="2"/>
  <c r="FY317" i="2"/>
  <c r="FW317" i="2"/>
  <c r="FS317" i="2"/>
  <c r="FV317" i="2"/>
  <c r="FT317" i="2"/>
  <c r="FU317" i="2"/>
  <c r="FX319" i="2"/>
  <c r="FV319" i="2"/>
  <c r="FS319" i="2"/>
  <c r="FR319" i="2"/>
  <c r="FT319" i="2"/>
  <c r="FW319" i="2"/>
  <c r="FU319" i="2"/>
  <c r="FY319" i="2"/>
  <c r="FZ156" i="2"/>
  <c r="FQ155" i="2"/>
  <c r="FZ268" i="2"/>
  <c r="FQ267" i="2"/>
  <c r="FU275" i="2"/>
  <c r="FT275" i="2"/>
  <c r="FW275" i="2"/>
  <c r="FY275" i="2"/>
  <c r="FX275" i="2"/>
  <c r="FR275" i="2"/>
  <c r="FV275" i="2"/>
  <c r="FS275" i="2"/>
  <c r="FY318" i="2"/>
  <c r="FR318" i="2"/>
  <c r="FX318" i="2"/>
  <c r="FV318" i="2"/>
  <c r="FS318" i="2"/>
  <c r="FW318" i="2"/>
  <c r="FT318" i="2"/>
  <c r="FU318" i="2"/>
  <c r="FQ283" i="2"/>
  <c r="FP290" i="2"/>
  <c r="FX167" i="2"/>
  <c r="FU167" i="2"/>
  <c r="FY167" i="2"/>
  <c r="FV167" i="2"/>
  <c r="FT167" i="2"/>
  <c r="FS167" i="2"/>
  <c r="FW167" i="2"/>
  <c r="FR167" i="2"/>
  <c r="FZ44" i="2"/>
  <c r="FQ43" i="2"/>
  <c r="FQ69" i="2"/>
  <c r="FP80" i="2"/>
  <c r="FQ66" i="2"/>
  <c r="FP77" i="2"/>
  <c r="FV54" i="2"/>
  <c r="FT54" i="2"/>
  <c r="FY54" i="2"/>
  <c r="FU54" i="2"/>
  <c r="FW54" i="2"/>
  <c r="FS54" i="2"/>
  <c r="FR54" i="2"/>
  <c r="FX54" i="2"/>
  <c r="FX59" i="2"/>
  <c r="FV59" i="2"/>
  <c r="FS59" i="2"/>
  <c r="FR59" i="2"/>
  <c r="FW59" i="2"/>
  <c r="FY59" i="2"/>
  <c r="FT59" i="2"/>
  <c r="FU59" i="2"/>
  <c r="FP190" i="2"/>
  <c r="FQ179" i="2"/>
  <c r="FP335" i="2"/>
  <c r="FQ328" i="2"/>
  <c r="FQ327" i="2"/>
  <c r="FP334" i="2"/>
  <c r="M225" i="7950"/>
  <c r="AZ225" i="7950"/>
  <c r="AH221" i="7950" s="1"/>
  <c r="AX225" i="7950"/>
  <c r="AW225" i="7950"/>
  <c r="AY225" i="7950"/>
  <c r="AH220" i="7950" s="1"/>
  <c r="E177" i="7950"/>
  <c r="AR177" i="7950"/>
  <c r="G177" i="7950"/>
  <c r="AT177" i="7950"/>
  <c r="AU177" i="7950" s="1"/>
  <c r="AQ177" i="7950"/>
  <c r="I177" i="7950"/>
  <c r="AR401" i="7950"/>
  <c r="AQ401" i="7950"/>
  <c r="G401" i="7950"/>
  <c r="I401" i="7950"/>
  <c r="AT401" i="7950"/>
  <c r="AU401" i="7950" s="1"/>
  <c r="E401" i="7950"/>
  <c r="AW385" i="7950"/>
  <c r="AX385" i="7950"/>
  <c r="M385" i="7950"/>
  <c r="AZ385" i="7950"/>
  <c r="AH381" i="7950" s="1"/>
  <c r="AY385" i="7950"/>
  <c r="AH380" i="7950" s="1"/>
  <c r="M337" i="7950"/>
  <c r="AW337" i="7950"/>
  <c r="AX337" i="7950"/>
  <c r="AY337" i="7950"/>
  <c r="AH332" i="7950" s="1"/>
  <c r="AZ337" i="7950"/>
  <c r="AH333" i="7950" s="1"/>
  <c r="AV273" i="7950"/>
  <c r="K273" i="7950"/>
  <c r="K266" i="7950"/>
  <c r="CI645" i="2" l="1"/>
  <c r="CI657" i="2"/>
  <c r="CI658" i="2"/>
  <c r="CI666" i="2"/>
  <c r="CI654" i="2"/>
  <c r="CI659" i="2"/>
  <c r="CI655" i="2"/>
  <c r="CZ44" i="2"/>
  <c r="DI246" i="2" s="1"/>
  <c r="CZ42" i="2"/>
  <c r="CZ45" i="2"/>
  <c r="DI247" i="2" s="1"/>
  <c r="CZ43" i="2"/>
  <c r="DI245" i="2" s="1"/>
  <c r="CT46" i="2"/>
  <c r="DI158" i="2" s="1"/>
  <c r="CT43" i="2"/>
  <c r="DI155" i="2" s="1"/>
  <c r="CT47" i="2"/>
  <c r="DI159" i="2" s="1"/>
  <c r="CT44" i="2"/>
  <c r="DI156" i="2" s="1"/>
  <c r="CT48" i="2"/>
  <c r="DI160" i="2" s="1"/>
  <c r="CT45" i="2"/>
  <c r="DI157" i="2" s="1"/>
  <c r="CT42" i="2"/>
  <c r="DC44" i="2"/>
  <c r="DI268" i="2" s="1"/>
  <c r="DC43" i="2"/>
  <c r="DI267" i="2" s="1"/>
  <c r="DC42" i="2"/>
  <c r="DD355" i="2"/>
  <c r="DE355" i="2" s="1"/>
  <c r="DD346" i="2"/>
  <c r="DE346" i="2" s="1"/>
  <c r="DD349" i="2"/>
  <c r="DE349" i="2" s="1"/>
  <c r="DD360" i="2"/>
  <c r="DE360" i="2" s="1"/>
  <c r="DD366" i="2"/>
  <c r="DE366" i="2" s="1"/>
  <c r="DD362" i="2"/>
  <c r="DE362" i="2" s="1"/>
  <c r="DD343" i="2"/>
  <c r="DE343" i="2" s="1"/>
  <c r="DD354" i="2"/>
  <c r="DE354" i="2" s="1"/>
  <c r="DD361" i="2"/>
  <c r="DE361" i="2" s="1"/>
  <c r="DD358" i="2"/>
  <c r="DE358" i="2" s="1"/>
  <c r="DD364" i="2"/>
  <c r="DE364" i="2" s="1"/>
  <c r="DD348" i="2"/>
  <c r="DE348" i="2" s="1"/>
  <c r="DD350" i="2"/>
  <c r="DE350" i="2" s="1"/>
  <c r="DD353" i="2"/>
  <c r="DE353" i="2" s="1"/>
  <c r="DD356" i="2"/>
  <c r="DE356" i="2" s="1"/>
  <c r="DD351" i="2"/>
  <c r="DE351" i="2" s="1"/>
  <c r="DD363" i="2"/>
  <c r="DE363" i="2" s="1"/>
  <c r="DD352" i="2"/>
  <c r="DE352" i="2" s="1"/>
  <c r="DD359" i="2"/>
  <c r="DE359" i="2" s="1"/>
  <c r="DD345" i="2"/>
  <c r="DE345" i="2" s="1"/>
  <c r="DD347" i="2"/>
  <c r="DE347" i="2" s="1"/>
  <c r="DD365" i="2"/>
  <c r="DE365" i="2" s="1"/>
  <c r="DD357" i="2"/>
  <c r="DE357" i="2" s="1"/>
  <c r="DD344" i="2"/>
  <c r="DE344" i="2" s="1"/>
  <c r="CX343" i="2"/>
  <c r="CY343" i="2" s="1"/>
  <c r="CX348" i="2"/>
  <c r="CY348" i="2" s="1"/>
  <c r="CX362" i="2"/>
  <c r="CY362" i="2" s="1"/>
  <c r="CX360" i="2"/>
  <c r="CY360" i="2" s="1"/>
  <c r="CX357" i="2"/>
  <c r="CY357" i="2" s="1"/>
  <c r="CX352" i="2"/>
  <c r="CY352" i="2" s="1"/>
  <c r="CX361" i="2"/>
  <c r="CY361" i="2" s="1"/>
  <c r="CX355" i="2"/>
  <c r="CY355" i="2" s="1"/>
  <c r="CX350" i="2"/>
  <c r="CY350" i="2" s="1"/>
  <c r="CX365" i="2"/>
  <c r="CY365" i="2" s="1"/>
  <c r="CX349" i="2"/>
  <c r="CY349" i="2" s="1"/>
  <c r="CX363" i="2"/>
  <c r="CY363" i="2" s="1"/>
  <c r="CX344" i="2"/>
  <c r="CY344" i="2" s="1"/>
  <c r="CX353" i="2"/>
  <c r="CY353" i="2" s="1"/>
  <c r="CX366" i="2"/>
  <c r="CY366" i="2" s="1"/>
  <c r="CX351" i="2"/>
  <c r="CY351" i="2" s="1"/>
  <c r="CX346" i="2"/>
  <c r="CY346" i="2" s="1"/>
  <c r="CX356" i="2"/>
  <c r="CY356" i="2" s="1"/>
  <c r="CX359" i="2"/>
  <c r="CY359" i="2" s="1"/>
  <c r="CX345" i="2"/>
  <c r="CY345" i="2" s="1"/>
  <c r="CX354" i="2"/>
  <c r="CY354" i="2" s="1"/>
  <c r="CX364" i="2"/>
  <c r="CY364" i="2" s="1"/>
  <c r="CX347" i="2"/>
  <c r="CY347" i="2" s="1"/>
  <c r="CX358" i="2"/>
  <c r="CY358" i="2" s="1"/>
  <c r="DA366" i="2"/>
  <c r="DB366" i="2" s="1"/>
  <c r="DA362" i="2"/>
  <c r="DB362" i="2" s="1"/>
  <c r="DA348" i="2"/>
  <c r="DB348" i="2" s="1"/>
  <c r="DA363" i="2"/>
  <c r="DB363" i="2" s="1"/>
  <c r="DA355" i="2"/>
  <c r="DB355" i="2" s="1"/>
  <c r="DA356" i="2"/>
  <c r="DB356" i="2" s="1"/>
  <c r="DA345" i="2"/>
  <c r="DB345" i="2" s="1"/>
  <c r="DA351" i="2"/>
  <c r="DB351" i="2" s="1"/>
  <c r="DA352" i="2"/>
  <c r="DB352" i="2" s="1"/>
  <c r="DA353" i="2"/>
  <c r="DB353" i="2" s="1"/>
  <c r="DA358" i="2"/>
  <c r="DB358" i="2" s="1"/>
  <c r="DA354" i="2"/>
  <c r="DB354" i="2" s="1"/>
  <c r="DA349" i="2"/>
  <c r="DB349" i="2" s="1"/>
  <c r="DA365" i="2"/>
  <c r="DB365" i="2" s="1"/>
  <c r="DA359" i="2"/>
  <c r="DB359" i="2" s="1"/>
  <c r="DA364" i="2"/>
  <c r="DB364" i="2" s="1"/>
  <c r="DA343" i="2"/>
  <c r="DB343" i="2" s="1"/>
  <c r="DA361" i="2"/>
  <c r="DB361" i="2" s="1"/>
  <c r="DA350" i="2"/>
  <c r="DB350" i="2" s="1"/>
  <c r="DA346" i="2"/>
  <c r="DB346" i="2" s="1"/>
  <c r="DA357" i="2"/>
  <c r="DB357" i="2" s="1"/>
  <c r="DA344" i="2"/>
  <c r="DB344" i="2" s="1"/>
  <c r="DA347" i="2"/>
  <c r="DB347" i="2" s="1"/>
  <c r="DA360" i="2"/>
  <c r="DB360" i="2" s="1"/>
  <c r="DF42" i="2"/>
  <c r="DF43" i="2"/>
  <c r="DI281" i="2" s="1"/>
  <c r="CI646" i="2"/>
  <c r="CI661" i="2"/>
  <c r="CI648" i="2"/>
  <c r="CI663" i="2"/>
  <c r="CI650" i="2"/>
  <c r="CU364" i="2"/>
  <c r="CV364" i="2" s="1"/>
  <c r="CU361" i="2"/>
  <c r="CV361" i="2" s="1"/>
  <c r="CU363" i="2"/>
  <c r="CV363" i="2" s="1"/>
  <c r="CU359" i="2"/>
  <c r="CV359" i="2" s="1"/>
  <c r="CU356" i="2"/>
  <c r="CV356" i="2" s="1"/>
  <c r="CU357" i="2"/>
  <c r="CV357" i="2" s="1"/>
  <c r="CU351" i="2"/>
  <c r="CV351" i="2" s="1"/>
  <c r="CU362" i="2"/>
  <c r="CV362" i="2" s="1"/>
  <c r="CU347" i="2"/>
  <c r="CV347" i="2" s="1"/>
  <c r="CU365" i="2"/>
  <c r="CV365" i="2" s="1"/>
  <c r="CU350" i="2"/>
  <c r="CV350" i="2" s="1"/>
  <c r="CU343" i="2"/>
  <c r="CV343" i="2" s="1"/>
  <c r="CU354" i="2"/>
  <c r="CV354" i="2" s="1"/>
  <c r="CU352" i="2"/>
  <c r="CV352" i="2" s="1"/>
  <c r="CU345" i="2"/>
  <c r="CV345" i="2" s="1"/>
  <c r="CU349" i="2"/>
  <c r="CV349" i="2" s="1"/>
  <c r="CU366" i="2"/>
  <c r="CV366" i="2" s="1"/>
  <c r="CU348" i="2"/>
  <c r="CV348" i="2" s="1"/>
  <c r="CU360" i="2"/>
  <c r="CV360" i="2" s="1"/>
  <c r="CU346" i="2"/>
  <c r="CV346" i="2" s="1"/>
  <c r="CU353" i="2"/>
  <c r="CV353" i="2" s="1"/>
  <c r="CU358" i="2"/>
  <c r="CV358" i="2" s="1"/>
  <c r="CU355" i="2"/>
  <c r="CV355" i="2" s="1"/>
  <c r="CU344" i="2"/>
  <c r="CV344" i="2" s="1"/>
  <c r="CR343" i="2"/>
  <c r="CS343" i="2" s="1"/>
  <c r="CR365" i="2"/>
  <c r="CS365" i="2" s="1"/>
  <c r="CR366" i="2"/>
  <c r="CS366" i="2" s="1"/>
  <c r="CR352" i="2"/>
  <c r="CS352" i="2" s="1"/>
  <c r="CR348" i="2"/>
  <c r="CS348" i="2" s="1"/>
  <c r="CR353" i="2"/>
  <c r="CS353" i="2" s="1"/>
  <c r="CR349" i="2"/>
  <c r="CS349" i="2" s="1"/>
  <c r="CR364" i="2"/>
  <c r="CS364" i="2" s="1"/>
  <c r="CR350" i="2"/>
  <c r="CS350" i="2" s="1"/>
  <c r="CR347" i="2"/>
  <c r="CS347" i="2" s="1"/>
  <c r="CR354" i="2"/>
  <c r="CS354" i="2" s="1"/>
  <c r="CR345" i="2"/>
  <c r="CS345" i="2" s="1"/>
  <c r="CR356" i="2"/>
  <c r="CS356" i="2" s="1"/>
  <c r="CR351" i="2"/>
  <c r="CS351" i="2" s="1"/>
  <c r="CR357" i="2"/>
  <c r="CS357" i="2" s="1"/>
  <c r="CR362" i="2"/>
  <c r="CS362" i="2" s="1"/>
  <c r="CR359" i="2"/>
  <c r="CS359" i="2" s="1"/>
  <c r="CR344" i="2"/>
  <c r="CS344" i="2" s="1"/>
  <c r="CR355" i="2"/>
  <c r="CS355" i="2" s="1"/>
  <c r="CR361" i="2"/>
  <c r="CS361" i="2" s="1"/>
  <c r="CR346" i="2"/>
  <c r="CS346" i="2" s="1"/>
  <c r="CR360" i="2"/>
  <c r="CS360" i="2" s="1"/>
  <c r="CR358" i="2"/>
  <c r="CS358" i="2" s="1"/>
  <c r="CR363" i="2"/>
  <c r="CS363" i="2" s="1"/>
  <c r="CO351" i="2"/>
  <c r="CP351" i="2" s="1"/>
  <c r="CO352" i="2"/>
  <c r="CP352" i="2" s="1"/>
  <c r="CO356" i="2"/>
  <c r="CP356" i="2" s="1"/>
  <c r="CO361" i="2"/>
  <c r="CP361" i="2" s="1"/>
  <c r="CO350" i="2"/>
  <c r="CP350" i="2" s="1"/>
  <c r="CO344" i="2"/>
  <c r="CP344" i="2" s="1"/>
  <c r="CO363" i="2"/>
  <c r="CP363" i="2" s="1"/>
  <c r="CO346" i="2"/>
  <c r="CP346" i="2" s="1"/>
  <c r="CO365" i="2"/>
  <c r="CP365" i="2" s="1"/>
  <c r="CO347" i="2"/>
  <c r="CP347" i="2" s="1"/>
  <c r="CO360" i="2"/>
  <c r="CP360" i="2" s="1"/>
  <c r="CO364" i="2"/>
  <c r="CP364" i="2" s="1"/>
  <c r="CO366" i="2"/>
  <c r="CP366" i="2" s="1"/>
  <c r="CO345" i="2"/>
  <c r="CP345" i="2" s="1"/>
  <c r="CO353" i="2"/>
  <c r="CP353" i="2" s="1"/>
  <c r="CO349" i="2"/>
  <c r="CP349" i="2" s="1"/>
  <c r="CO343" i="2"/>
  <c r="CP343" i="2" s="1"/>
  <c r="CO359" i="2"/>
  <c r="CP359" i="2" s="1"/>
  <c r="CO354" i="2"/>
  <c r="CP354" i="2" s="1"/>
  <c r="CO358" i="2"/>
  <c r="CP358" i="2" s="1"/>
  <c r="CO362" i="2"/>
  <c r="CP362" i="2" s="1"/>
  <c r="CO357" i="2"/>
  <c r="CP357" i="2" s="1"/>
  <c r="CO348" i="2"/>
  <c r="CP348" i="2" s="1"/>
  <c r="CO355" i="2"/>
  <c r="CP355" i="2" s="1"/>
  <c r="EM593" i="2"/>
  <c r="EM591" i="2"/>
  <c r="ED597" i="2"/>
  <c r="CK657" i="2"/>
  <c r="CK652" i="2"/>
  <c r="CK665" i="2"/>
  <c r="CK648" i="2"/>
  <c r="CK656" i="2"/>
  <c r="CK647" i="2"/>
  <c r="CK649" i="2"/>
  <c r="CK651" i="2"/>
  <c r="CK660" i="2"/>
  <c r="CK644" i="2"/>
  <c r="CK661" i="2"/>
  <c r="CK667" i="2"/>
  <c r="CK653" i="2"/>
  <c r="CK654" i="2"/>
  <c r="CK662" i="2"/>
  <c r="CK645" i="2"/>
  <c r="CK655" i="2"/>
  <c r="CK659" i="2"/>
  <c r="CK650" i="2"/>
  <c r="CK646" i="2"/>
  <c r="CK663" i="2"/>
  <c r="CK666" i="2"/>
  <c r="CK664" i="2"/>
  <c r="CK658" i="2"/>
  <c r="CW42" i="2"/>
  <c r="CW45" i="2"/>
  <c r="DI215" i="2" s="1"/>
  <c r="CW44" i="2"/>
  <c r="DI214" i="2" s="1"/>
  <c r="CW43" i="2"/>
  <c r="DI213" i="2" s="1"/>
  <c r="CW46" i="2"/>
  <c r="DI216" i="2" s="1"/>
  <c r="CQ47" i="2"/>
  <c r="DI47" i="2" s="1"/>
  <c r="CQ42" i="2"/>
  <c r="CQ46" i="2"/>
  <c r="DI46" i="2" s="1"/>
  <c r="CQ51" i="2"/>
  <c r="DI51" i="2" s="1"/>
  <c r="CQ48" i="2"/>
  <c r="DI48" i="2" s="1"/>
  <c r="CQ43" i="2"/>
  <c r="DI43" i="2" s="1"/>
  <c r="CQ50" i="2"/>
  <c r="DI50" i="2" s="1"/>
  <c r="CQ44" i="2"/>
  <c r="DI44" i="2" s="1"/>
  <c r="CQ45" i="2"/>
  <c r="DI45" i="2" s="1"/>
  <c r="CQ49" i="2"/>
  <c r="DI49" i="2" s="1"/>
  <c r="FQ334" i="2"/>
  <c r="FP341" i="2"/>
  <c r="FV328" i="2"/>
  <c r="FX328" i="2"/>
  <c r="FR328" i="2"/>
  <c r="FS328" i="2"/>
  <c r="FW328" i="2"/>
  <c r="FY328" i="2"/>
  <c r="FU328" i="2"/>
  <c r="FT328" i="2"/>
  <c r="FX179" i="2"/>
  <c r="FT179" i="2"/>
  <c r="FW179" i="2"/>
  <c r="FS179" i="2"/>
  <c r="FY179" i="2"/>
  <c r="FU179" i="2"/>
  <c r="FV179" i="2"/>
  <c r="FR179" i="2"/>
  <c r="FP88" i="2"/>
  <c r="FQ77" i="2"/>
  <c r="FP91" i="2"/>
  <c r="FQ80" i="2"/>
  <c r="FX43" i="2"/>
  <c r="FT43" i="2"/>
  <c r="FV43" i="2"/>
  <c r="FR43" i="2"/>
  <c r="FU43" i="2"/>
  <c r="FY43" i="2"/>
  <c r="FW43" i="2"/>
  <c r="FS43" i="2"/>
  <c r="FQ290" i="2"/>
  <c r="FP297" i="2"/>
  <c r="FU267" i="2"/>
  <c r="FT267" i="2"/>
  <c r="FS267" i="2"/>
  <c r="FW267" i="2"/>
  <c r="FX267" i="2"/>
  <c r="FY267" i="2"/>
  <c r="FR267" i="2"/>
  <c r="FV267" i="2"/>
  <c r="FW155" i="2"/>
  <c r="FV155" i="2"/>
  <c r="FS155" i="2"/>
  <c r="FY155" i="2"/>
  <c r="FX155" i="2"/>
  <c r="FR155" i="2"/>
  <c r="FT155" i="2"/>
  <c r="FU155" i="2"/>
  <c r="FS284" i="2"/>
  <c r="FR284" i="2"/>
  <c r="FV284" i="2"/>
  <c r="FW284" i="2"/>
  <c r="FT284" i="2"/>
  <c r="FU284" i="2"/>
  <c r="FX284" i="2"/>
  <c r="FY284" i="2"/>
  <c r="K59" i="7950"/>
  <c r="AV59" i="7950"/>
  <c r="AV43" i="7950"/>
  <c r="K43" i="7950"/>
  <c r="FY181" i="2"/>
  <c r="FV181" i="2"/>
  <c r="FT181" i="2"/>
  <c r="FX181" i="2"/>
  <c r="FU181" i="2"/>
  <c r="FW181" i="2"/>
  <c r="FS181" i="2"/>
  <c r="FR181" i="2"/>
  <c r="FP199" i="2"/>
  <c r="FQ188" i="2"/>
  <c r="FS180" i="2"/>
  <c r="FR180" i="2"/>
  <c r="FY180" i="2"/>
  <c r="FX180" i="2"/>
  <c r="FT180" i="2"/>
  <c r="FU180" i="2"/>
  <c r="FW180" i="2"/>
  <c r="FV180" i="2"/>
  <c r="FP299" i="2"/>
  <c r="FQ292" i="2"/>
  <c r="FX68" i="2"/>
  <c r="FS68" i="2"/>
  <c r="FW68" i="2"/>
  <c r="FY68" i="2"/>
  <c r="FU68" i="2"/>
  <c r="FT68" i="2"/>
  <c r="FV68" i="2"/>
  <c r="FR68" i="2"/>
  <c r="FQ287" i="2"/>
  <c r="FP294" i="2"/>
  <c r="FV183" i="2"/>
  <c r="FS183" i="2"/>
  <c r="FW183" i="2"/>
  <c r="FT183" i="2"/>
  <c r="FX183" i="2"/>
  <c r="FR183" i="2"/>
  <c r="FU183" i="2"/>
  <c r="FY183" i="2"/>
  <c r="FY311" i="2"/>
  <c r="FT311" i="2"/>
  <c r="FR311" i="2"/>
  <c r="FV311" i="2"/>
  <c r="FS311" i="2"/>
  <c r="FX311" i="2"/>
  <c r="FU311" i="2"/>
  <c r="FW311" i="2"/>
  <c r="FP93" i="2"/>
  <c r="FQ82" i="2"/>
  <c r="FY70" i="2"/>
  <c r="FV70" i="2"/>
  <c r="FT70" i="2"/>
  <c r="FS70" i="2"/>
  <c r="FX70" i="2"/>
  <c r="FW70" i="2"/>
  <c r="FU70" i="2"/>
  <c r="FR70" i="2"/>
  <c r="FP87" i="2"/>
  <c r="FQ76" i="2"/>
  <c r="FU178" i="2"/>
  <c r="FT178" i="2"/>
  <c r="FW178" i="2"/>
  <c r="FV178" i="2"/>
  <c r="FR178" i="2"/>
  <c r="FS178" i="2"/>
  <c r="FX178" i="2"/>
  <c r="FY178" i="2"/>
  <c r="FQ332" i="2"/>
  <c r="FP339" i="2"/>
  <c r="FU282" i="2"/>
  <c r="FV282" i="2"/>
  <c r="FW282" i="2"/>
  <c r="FS282" i="2"/>
  <c r="FR282" i="2"/>
  <c r="FT282" i="2"/>
  <c r="FY282" i="2"/>
  <c r="FX282" i="2"/>
  <c r="FY326" i="2"/>
  <c r="FW326" i="2"/>
  <c r="FT326" i="2"/>
  <c r="FV326" i="2"/>
  <c r="FX326" i="2"/>
  <c r="FS326" i="2"/>
  <c r="FR326" i="2"/>
  <c r="FU326" i="2"/>
  <c r="FS324" i="2"/>
  <c r="FR324" i="2"/>
  <c r="FY324" i="2"/>
  <c r="FX324" i="2"/>
  <c r="FT324" i="2"/>
  <c r="FU324" i="2"/>
  <c r="FW324" i="2"/>
  <c r="FV324" i="2"/>
  <c r="FP204" i="2"/>
  <c r="FQ193" i="2"/>
  <c r="FS64" i="2"/>
  <c r="FR64" i="2"/>
  <c r="FX64" i="2"/>
  <c r="FY64" i="2"/>
  <c r="FT64" i="2"/>
  <c r="FU64" i="2"/>
  <c r="FW64" i="2"/>
  <c r="FV64" i="2"/>
  <c r="FW67" i="2"/>
  <c r="FS67" i="2"/>
  <c r="FY67" i="2"/>
  <c r="FT67" i="2"/>
  <c r="FU67" i="2"/>
  <c r="FR67" i="2"/>
  <c r="FX67" i="2"/>
  <c r="FV67" i="2"/>
  <c r="FW73" i="2"/>
  <c r="FU73" i="2"/>
  <c r="FX73" i="2"/>
  <c r="FV73" i="2"/>
  <c r="FS73" i="2"/>
  <c r="FR73" i="2"/>
  <c r="FY73" i="2"/>
  <c r="FT73" i="2"/>
  <c r="FV72" i="2"/>
  <c r="FX72" i="2"/>
  <c r="FR72" i="2"/>
  <c r="FT72" i="2"/>
  <c r="FW72" i="2"/>
  <c r="FY72" i="2"/>
  <c r="FS72" i="2"/>
  <c r="FU72" i="2"/>
  <c r="FP207" i="2"/>
  <c r="FQ196" i="2"/>
  <c r="FT281" i="2"/>
  <c r="FY281" i="2"/>
  <c r="FR281" i="2"/>
  <c r="FV281" i="2"/>
  <c r="FU281" i="2"/>
  <c r="FX281" i="2"/>
  <c r="FW281" i="2"/>
  <c r="FS281" i="2"/>
  <c r="FY329" i="2"/>
  <c r="FT329" i="2"/>
  <c r="FW329" i="2"/>
  <c r="FU329" i="2"/>
  <c r="FX329" i="2"/>
  <c r="FS329" i="2"/>
  <c r="FV329" i="2"/>
  <c r="FR329" i="2"/>
  <c r="FP198" i="2"/>
  <c r="FQ187" i="2"/>
  <c r="FU184" i="2"/>
  <c r="FT184" i="2"/>
  <c r="FW184" i="2"/>
  <c r="FV184" i="2"/>
  <c r="FR184" i="2"/>
  <c r="FS184" i="2"/>
  <c r="FY184" i="2"/>
  <c r="FX184" i="2"/>
  <c r="AW61" i="7949"/>
  <c r="AT49" i="7949"/>
  <c r="AI49" i="7949" s="1"/>
  <c r="V49" i="7949"/>
  <c r="W49" i="7949"/>
  <c r="V50" i="7949"/>
  <c r="AW62" i="7949"/>
  <c r="W50" i="7949"/>
  <c r="AT50" i="7949"/>
  <c r="AI50" i="7949" s="1"/>
  <c r="AT71" i="7949"/>
  <c r="AI71" i="7949" s="1"/>
  <c r="V57" i="7949"/>
  <c r="AW83" i="7949"/>
  <c r="W57" i="7949"/>
  <c r="FV327" i="2"/>
  <c r="FW327" i="2"/>
  <c r="FY327" i="2"/>
  <c r="FX327" i="2"/>
  <c r="FR327" i="2"/>
  <c r="FS327" i="2"/>
  <c r="FT327" i="2"/>
  <c r="FU327" i="2"/>
  <c r="FP342" i="2"/>
  <c r="FQ335" i="2"/>
  <c r="FP201" i="2"/>
  <c r="FQ190" i="2"/>
  <c r="FR66" i="2"/>
  <c r="FW66" i="2"/>
  <c r="FS66" i="2"/>
  <c r="FX66" i="2"/>
  <c r="FU66" i="2"/>
  <c r="FT66" i="2"/>
  <c r="FV66" i="2"/>
  <c r="FY66" i="2"/>
  <c r="FT69" i="2"/>
  <c r="FR69" i="2"/>
  <c r="FU69" i="2"/>
  <c r="FV69" i="2"/>
  <c r="FX69" i="2"/>
  <c r="FS69" i="2"/>
  <c r="FW69" i="2"/>
  <c r="FY69" i="2"/>
  <c r="FZ45" i="2"/>
  <c r="FQ44" i="2"/>
  <c r="FW283" i="2"/>
  <c r="FV283" i="2"/>
  <c r="FY283" i="2"/>
  <c r="FU283" i="2"/>
  <c r="FX283" i="2"/>
  <c r="FS283" i="2"/>
  <c r="FR283" i="2"/>
  <c r="FT283" i="2"/>
  <c r="FZ269" i="2"/>
  <c r="FQ268" i="2"/>
  <c r="FZ157" i="2"/>
  <c r="FQ156" i="2"/>
  <c r="FP298" i="2"/>
  <c r="FQ291" i="2"/>
  <c r="FP203" i="2"/>
  <c r="FQ192" i="2"/>
  <c r="FR177" i="2"/>
  <c r="FV177" i="2"/>
  <c r="FX177" i="2"/>
  <c r="FY177" i="2"/>
  <c r="FU177" i="2"/>
  <c r="FW177" i="2"/>
  <c r="FS177" i="2"/>
  <c r="FT177" i="2"/>
  <c r="FQ191" i="2"/>
  <c r="FP202" i="2"/>
  <c r="FU285" i="2"/>
  <c r="FR285" i="2"/>
  <c r="FT285" i="2"/>
  <c r="FS285" i="2"/>
  <c r="FW285" i="2"/>
  <c r="FV285" i="2"/>
  <c r="FX285" i="2"/>
  <c r="FY285" i="2"/>
  <c r="FQ79" i="2"/>
  <c r="FP90" i="2"/>
  <c r="FW280" i="2"/>
  <c r="FY280" i="2"/>
  <c r="FU280" i="2"/>
  <c r="FT280" i="2"/>
  <c r="FV280" i="2"/>
  <c r="FX280" i="2"/>
  <c r="FR280" i="2"/>
  <c r="FS280" i="2"/>
  <c r="FQ194" i="2"/>
  <c r="FP205" i="2"/>
  <c r="FZ313" i="2"/>
  <c r="FQ312" i="2"/>
  <c r="V58" i="7949"/>
  <c r="W58" i="7949"/>
  <c r="AT72" i="7949"/>
  <c r="AI72" i="7949" s="1"/>
  <c r="AW84" i="7949"/>
  <c r="V60" i="7949"/>
  <c r="W60" i="7949"/>
  <c r="AT74" i="7949"/>
  <c r="AI74" i="7949" s="1"/>
  <c r="AW86" i="7949"/>
  <c r="V61" i="7949"/>
  <c r="W61" i="7949"/>
  <c r="AT75" i="7949"/>
  <c r="AI75" i="7949" s="1"/>
  <c r="AW87" i="7949"/>
  <c r="AT51" i="7949"/>
  <c r="AI51" i="7949" s="1"/>
  <c r="AW63" i="7949"/>
  <c r="W51" i="7949"/>
  <c r="V51" i="7949"/>
  <c r="FT71" i="2"/>
  <c r="FR71" i="2"/>
  <c r="FU71" i="2"/>
  <c r="FY71" i="2"/>
  <c r="FS71" i="2"/>
  <c r="FV71" i="2"/>
  <c r="FX71" i="2"/>
  <c r="FW71" i="2"/>
  <c r="FQ81" i="2"/>
  <c r="FP92" i="2"/>
  <c r="FW65" i="2"/>
  <c r="FU65" i="2"/>
  <c r="FS65" i="2"/>
  <c r="FX65" i="2"/>
  <c r="FY65" i="2"/>
  <c r="FV65" i="2"/>
  <c r="FR65" i="2"/>
  <c r="FT65" i="2"/>
  <c r="FQ189" i="2"/>
  <c r="FP200" i="2"/>
  <c r="FW325" i="2"/>
  <c r="FV325" i="2"/>
  <c r="FT325" i="2"/>
  <c r="FS325" i="2"/>
  <c r="FX325" i="2"/>
  <c r="FU325" i="2"/>
  <c r="FY325" i="2"/>
  <c r="FR325" i="2"/>
  <c r="FQ289" i="2"/>
  <c r="FP296" i="2"/>
  <c r="FQ333" i="2"/>
  <c r="FP340" i="2"/>
  <c r="FQ331" i="2"/>
  <c r="FP338" i="2"/>
  <c r="FX182" i="2"/>
  <c r="FR182" i="2"/>
  <c r="FY182" i="2"/>
  <c r="FV182" i="2"/>
  <c r="FW182" i="2"/>
  <c r="FT182" i="2"/>
  <c r="FS182" i="2"/>
  <c r="FU182" i="2"/>
  <c r="FQ75" i="2"/>
  <c r="FP86" i="2"/>
  <c r="FP89" i="2"/>
  <c r="FQ78" i="2"/>
  <c r="FQ84" i="2"/>
  <c r="FP95" i="2"/>
  <c r="FP94" i="2"/>
  <c r="FQ83" i="2"/>
  <c r="FY185" i="2"/>
  <c r="FU185" i="2"/>
  <c r="FX185" i="2"/>
  <c r="FS185" i="2"/>
  <c r="FW185" i="2"/>
  <c r="FV185" i="2"/>
  <c r="FT185" i="2"/>
  <c r="FR185" i="2"/>
  <c r="FP295" i="2"/>
  <c r="FQ288" i="2"/>
  <c r="FP343" i="2"/>
  <c r="FQ336" i="2"/>
  <c r="FY176" i="2"/>
  <c r="FW176" i="2"/>
  <c r="FS176" i="2"/>
  <c r="FT176" i="2"/>
  <c r="FX176" i="2"/>
  <c r="FV176" i="2"/>
  <c r="FU176" i="2"/>
  <c r="FR176" i="2"/>
  <c r="FQ195" i="2"/>
  <c r="FP206" i="2"/>
  <c r="V48" i="7949"/>
  <c r="W48" i="7949"/>
  <c r="AT48" i="7949"/>
  <c r="AI48" i="7949" s="1"/>
  <c r="AW60" i="7949"/>
  <c r="W59" i="7949"/>
  <c r="AT73" i="7949"/>
  <c r="AI73" i="7949" s="1"/>
  <c r="V59" i="7949"/>
  <c r="AW85" i="7949"/>
  <c r="K401" i="7950"/>
  <c r="AV401" i="7950"/>
  <c r="K394" i="7950"/>
  <c r="AV177" i="7950"/>
  <c r="K177" i="7950"/>
  <c r="K170" i="7950"/>
  <c r="AW273" i="7950"/>
  <c r="AX273" i="7950"/>
  <c r="M273" i="7950"/>
  <c r="AZ273" i="7950"/>
  <c r="AH269" i="7950" s="1"/>
  <c r="AY273" i="7950"/>
  <c r="AH268" i="7950" s="1"/>
  <c r="DP119" i="2" l="1"/>
  <c r="DP120" i="2" s="1"/>
  <c r="DP121" i="2" s="1"/>
  <c r="DP122" i="2" s="1"/>
  <c r="DP123" i="2" s="1"/>
  <c r="DP124" i="2" s="1"/>
  <c r="DP125" i="2" s="1"/>
  <c r="DP126" i="2" s="1"/>
  <c r="DP127" i="2" s="1"/>
  <c r="DP128" i="2" s="1"/>
  <c r="DI60" i="2"/>
  <c r="DI55" i="2"/>
  <c r="DP64" i="2"/>
  <c r="DP65" i="2" s="1"/>
  <c r="DP66" i="2" s="1"/>
  <c r="DP67" i="2" s="1"/>
  <c r="DP68" i="2" s="1"/>
  <c r="DP69" i="2" s="1"/>
  <c r="DP70" i="2" s="1"/>
  <c r="DP71" i="2" s="1"/>
  <c r="DP72" i="2" s="1"/>
  <c r="DP73" i="2" s="1"/>
  <c r="DP53" i="2"/>
  <c r="DP54" i="2" s="1"/>
  <c r="DP55" i="2" s="1"/>
  <c r="DP56" i="2" s="1"/>
  <c r="DP57" i="2" s="1"/>
  <c r="DP58" i="2" s="1"/>
  <c r="DP59" i="2" s="1"/>
  <c r="DP60" i="2" s="1"/>
  <c r="DP61" i="2" s="1"/>
  <c r="DP62" i="2" s="1"/>
  <c r="DI54" i="2"/>
  <c r="DI62" i="2"/>
  <c r="DP141" i="2"/>
  <c r="DP142" i="2" s="1"/>
  <c r="DP143" i="2" s="1"/>
  <c r="DP144" i="2" s="1"/>
  <c r="DP145" i="2" s="1"/>
  <c r="DP146" i="2" s="1"/>
  <c r="DP147" i="2" s="1"/>
  <c r="DP148" i="2" s="1"/>
  <c r="DP149" i="2" s="1"/>
  <c r="DP150" i="2" s="1"/>
  <c r="DI42" i="2"/>
  <c r="DP41" i="2"/>
  <c r="DI222" i="2"/>
  <c r="DP236" i="2"/>
  <c r="DP237" i="2" s="1"/>
  <c r="DP238" i="2" s="1"/>
  <c r="DP239" i="2" s="1"/>
  <c r="DP240" i="2" s="1"/>
  <c r="DI220" i="2"/>
  <c r="DP224" i="2"/>
  <c r="DP225" i="2" s="1"/>
  <c r="DP226" i="2" s="1"/>
  <c r="DP227" i="2" s="1"/>
  <c r="DP228" i="2" s="1"/>
  <c r="DP211" i="2"/>
  <c r="DI212" i="2"/>
  <c r="ER590" i="2"/>
  <c r="EV588" i="2" s="1"/>
  <c r="ER589" i="2"/>
  <c r="ES588" i="2" s="1"/>
  <c r="CW346" i="2"/>
  <c r="DI516" i="2" s="1"/>
  <c r="CW347" i="2"/>
  <c r="DI517" i="2" s="1"/>
  <c r="CW344" i="2"/>
  <c r="DI514" i="2" s="1"/>
  <c r="CW345" i="2"/>
  <c r="DI515" i="2" s="1"/>
  <c r="CW343" i="2"/>
  <c r="DI280" i="2"/>
  <c r="DP279" i="2"/>
  <c r="DC344" i="2"/>
  <c r="DI568" i="2" s="1"/>
  <c r="DC345" i="2"/>
  <c r="DI569" i="2" s="1"/>
  <c r="DC343" i="2"/>
  <c r="CZ343" i="2"/>
  <c r="CZ346" i="2"/>
  <c r="DI548" i="2" s="1"/>
  <c r="CZ344" i="2"/>
  <c r="DI546" i="2" s="1"/>
  <c r="CZ345" i="2"/>
  <c r="DI547" i="2" s="1"/>
  <c r="DF344" i="2"/>
  <c r="DI582" i="2" s="1"/>
  <c r="DF343" i="2"/>
  <c r="DP270" i="2"/>
  <c r="DP271" i="2" s="1"/>
  <c r="DP272" i="2" s="1"/>
  <c r="DI271" i="2"/>
  <c r="DI154" i="2"/>
  <c r="DP153" i="2"/>
  <c r="DP202" i="2"/>
  <c r="DP203" i="2" s="1"/>
  <c r="DP204" i="2" s="1"/>
  <c r="DP205" i="2" s="1"/>
  <c r="DP206" i="2" s="1"/>
  <c r="DP207" i="2" s="1"/>
  <c r="DP208" i="2" s="1"/>
  <c r="DI168" i="2"/>
  <c r="DP194" i="2"/>
  <c r="DP195" i="2" s="1"/>
  <c r="DP196" i="2" s="1"/>
  <c r="DP197" i="2" s="1"/>
  <c r="DP198" i="2" s="1"/>
  <c r="DP199" i="2" s="1"/>
  <c r="DP200" i="2" s="1"/>
  <c r="DI167" i="2"/>
  <c r="DP186" i="2"/>
  <c r="DP187" i="2" s="1"/>
  <c r="DP188" i="2" s="1"/>
  <c r="DP189" i="2" s="1"/>
  <c r="DP190" i="2" s="1"/>
  <c r="DP191" i="2" s="1"/>
  <c r="DP192" i="2" s="1"/>
  <c r="DI166" i="2"/>
  <c r="DP259" i="2"/>
  <c r="DP260" i="2" s="1"/>
  <c r="DP261" i="2" s="1"/>
  <c r="DP262" i="2" s="1"/>
  <c r="DI252" i="2"/>
  <c r="DI251" i="2"/>
  <c r="DP254" i="2"/>
  <c r="DP255" i="2" s="1"/>
  <c r="DP256" i="2" s="1"/>
  <c r="DP257" i="2" s="1"/>
  <c r="DP75" i="2"/>
  <c r="DP76" i="2" s="1"/>
  <c r="DP77" i="2" s="1"/>
  <c r="DP78" i="2" s="1"/>
  <c r="DP79" i="2" s="1"/>
  <c r="DP80" i="2" s="1"/>
  <c r="DP81" i="2" s="1"/>
  <c r="DP82" i="2" s="1"/>
  <c r="DP83" i="2" s="1"/>
  <c r="DP84" i="2" s="1"/>
  <c r="DI56" i="2"/>
  <c r="DP130" i="2"/>
  <c r="DP131" i="2" s="1"/>
  <c r="DP132" i="2" s="1"/>
  <c r="DP133" i="2" s="1"/>
  <c r="DP134" i="2" s="1"/>
  <c r="DP135" i="2" s="1"/>
  <c r="DP136" i="2" s="1"/>
  <c r="DP137" i="2" s="1"/>
  <c r="DP138" i="2" s="1"/>
  <c r="DP139" i="2" s="1"/>
  <c r="DI61" i="2"/>
  <c r="DI59" i="2"/>
  <c r="DP108" i="2"/>
  <c r="DP109" i="2" s="1"/>
  <c r="DP110" i="2" s="1"/>
  <c r="DP111" i="2" s="1"/>
  <c r="DP112" i="2" s="1"/>
  <c r="DP113" i="2" s="1"/>
  <c r="DP114" i="2" s="1"/>
  <c r="DP115" i="2" s="1"/>
  <c r="DP116" i="2" s="1"/>
  <c r="DP117" i="2" s="1"/>
  <c r="DI57" i="2"/>
  <c r="DP86" i="2"/>
  <c r="DP87" i="2" s="1"/>
  <c r="DP88" i="2" s="1"/>
  <c r="DP89" i="2" s="1"/>
  <c r="DP90" i="2" s="1"/>
  <c r="DP91" i="2" s="1"/>
  <c r="DP92" i="2" s="1"/>
  <c r="DP93" i="2" s="1"/>
  <c r="DP94" i="2" s="1"/>
  <c r="DP95" i="2" s="1"/>
  <c r="DI58" i="2"/>
  <c r="DP97" i="2"/>
  <c r="DP98" i="2" s="1"/>
  <c r="DP99" i="2" s="1"/>
  <c r="DP100" i="2" s="1"/>
  <c r="DP101" i="2" s="1"/>
  <c r="DP102" i="2" s="1"/>
  <c r="DP103" i="2" s="1"/>
  <c r="DP104" i="2" s="1"/>
  <c r="DP105" i="2" s="1"/>
  <c r="DP106" i="2" s="1"/>
  <c r="DI219" i="2"/>
  <c r="DP218" i="2"/>
  <c r="DP219" i="2" s="1"/>
  <c r="DP220" i="2" s="1"/>
  <c r="DP221" i="2" s="1"/>
  <c r="DP222" i="2" s="1"/>
  <c r="DP230" i="2"/>
  <c r="DP231" i="2" s="1"/>
  <c r="DP232" i="2" s="1"/>
  <c r="DP233" i="2" s="1"/>
  <c r="DP234" i="2" s="1"/>
  <c r="DI221" i="2"/>
  <c r="CQ344" i="2"/>
  <c r="DI344" i="2" s="1"/>
  <c r="CQ346" i="2"/>
  <c r="DI346" i="2" s="1"/>
  <c r="CQ352" i="2"/>
  <c r="DI352" i="2" s="1"/>
  <c r="CQ351" i="2"/>
  <c r="DI351" i="2" s="1"/>
  <c r="CQ350" i="2"/>
  <c r="DI350" i="2" s="1"/>
  <c r="CQ349" i="2"/>
  <c r="DI349" i="2" s="1"/>
  <c r="CQ347" i="2"/>
  <c r="DI347" i="2" s="1"/>
  <c r="CQ348" i="2"/>
  <c r="DI348" i="2" s="1"/>
  <c r="CQ345" i="2"/>
  <c r="DI345" i="2" s="1"/>
  <c r="CQ343" i="2"/>
  <c r="CT346" i="2"/>
  <c r="DI458" i="2" s="1"/>
  <c r="CT347" i="2"/>
  <c r="DI459" i="2" s="1"/>
  <c r="CT343" i="2"/>
  <c r="CT344" i="2"/>
  <c r="DI456" i="2" s="1"/>
  <c r="CT349" i="2"/>
  <c r="DI461" i="2" s="1"/>
  <c r="CT345" i="2"/>
  <c r="DI457" i="2" s="1"/>
  <c r="CT348" i="2"/>
  <c r="DI460" i="2" s="1"/>
  <c r="DI284" i="2"/>
  <c r="DP283" i="2"/>
  <c r="DP284" i="2" s="1"/>
  <c r="DI266" i="2"/>
  <c r="DP265" i="2"/>
  <c r="DI272" i="2"/>
  <c r="DP274" i="2"/>
  <c r="DP275" i="2" s="1"/>
  <c r="DP276" i="2" s="1"/>
  <c r="DI165" i="2"/>
  <c r="DP178" i="2"/>
  <c r="DP179" i="2" s="1"/>
  <c r="DP180" i="2" s="1"/>
  <c r="DP181" i="2" s="1"/>
  <c r="DP182" i="2" s="1"/>
  <c r="DP183" i="2" s="1"/>
  <c r="DP184" i="2" s="1"/>
  <c r="DP170" i="2"/>
  <c r="DP171" i="2" s="1"/>
  <c r="DP172" i="2" s="1"/>
  <c r="DP173" i="2" s="1"/>
  <c r="DP174" i="2" s="1"/>
  <c r="DP175" i="2" s="1"/>
  <c r="DP176" i="2" s="1"/>
  <c r="DI164" i="2"/>
  <c r="DI163" i="2"/>
  <c r="DP162" i="2"/>
  <c r="DP163" i="2" s="1"/>
  <c r="DP164" i="2" s="1"/>
  <c r="DP165" i="2" s="1"/>
  <c r="DP166" i="2" s="1"/>
  <c r="DP167" i="2" s="1"/>
  <c r="DP168" i="2" s="1"/>
  <c r="DP249" i="2"/>
  <c r="DP250" i="2" s="1"/>
  <c r="DP251" i="2" s="1"/>
  <c r="DP252" i="2" s="1"/>
  <c r="DI250" i="2"/>
  <c r="DI244" i="2"/>
  <c r="DP243" i="2"/>
  <c r="CN647" i="2"/>
  <c r="CX643" i="2" s="1"/>
  <c r="CN644" i="2"/>
  <c r="CO643" i="2" s="1"/>
  <c r="CN649" i="2"/>
  <c r="DD643" i="2" s="1"/>
  <c r="CN648" i="2"/>
  <c r="DA643" i="2" s="1"/>
  <c r="CN646" i="2"/>
  <c r="CU643" i="2" s="1"/>
  <c r="CN645" i="2"/>
  <c r="CR643" i="2" s="1"/>
  <c r="FS195" i="2"/>
  <c r="FY195" i="2"/>
  <c r="FU195" i="2"/>
  <c r="FT195" i="2"/>
  <c r="FW195" i="2"/>
  <c r="FV195" i="2"/>
  <c r="FR195" i="2"/>
  <c r="FX195" i="2"/>
  <c r="FP350" i="2"/>
  <c r="FQ350" i="2" s="1"/>
  <c r="FQ343" i="2"/>
  <c r="FQ295" i="2"/>
  <c r="FP302" i="2"/>
  <c r="FQ302" i="2" s="1"/>
  <c r="FQ94" i="2"/>
  <c r="FP105" i="2"/>
  <c r="FU84" i="2"/>
  <c r="FX84" i="2"/>
  <c r="FR84" i="2"/>
  <c r="FV84" i="2"/>
  <c r="FT84" i="2"/>
  <c r="FY84" i="2"/>
  <c r="FS84" i="2"/>
  <c r="FW84" i="2"/>
  <c r="FQ89" i="2"/>
  <c r="FP100" i="2"/>
  <c r="FY75" i="2"/>
  <c r="FW75" i="2"/>
  <c r="FX75" i="2"/>
  <c r="FS75" i="2"/>
  <c r="FV75" i="2"/>
  <c r="FU75" i="2"/>
  <c r="FT75" i="2"/>
  <c r="FR75" i="2"/>
  <c r="FX331" i="2"/>
  <c r="FT331" i="2"/>
  <c r="FY331" i="2"/>
  <c r="FS331" i="2"/>
  <c r="FW331" i="2"/>
  <c r="FU331" i="2"/>
  <c r="FV331" i="2"/>
  <c r="FR331" i="2"/>
  <c r="FW333" i="2"/>
  <c r="FY333" i="2"/>
  <c r="FS333" i="2"/>
  <c r="FT333" i="2"/>
  <c r="FV333" i="2"/>
  <c r="FR333" i="2"/>
  <c r="FU333" i="2"/>
  <c r="FX333" i="2"/>
  <c r="FX289" i="2"/>
  <c r="FV289" i="2"/>
  <c r="FS289" i="2"/>
  <c r="FR289" i="2"/>
  <c r="FY289" i="2"/>
  <c r="FW289" i="2"/>
  <c r="FT289" i="2"/>
  <c r="FU289" i="2"/>
  <c r="FV189" i="2"/>
  <c r="FY189" i="2"/>
  <c r="FU189" i="2"/>
  <c r="FR189" i="2"/>
  <c r="FW189" i="2"/>
  <c r="FX189" i="2"/>
  <c r="FT189" i="2"/>
  <c r="FS189" i="2"/>
  <c r="FS81" i="2"/>
  <c r="FR81" i="2"/>
  <c r="FY81" i="2"/>
  <c r="FV81" i="2"/>
  <c r="FU81" i="2"/>
  <c r="FW81" i="2"/>
  <c r="FT81" i="2"/>
  <c r="FX81" i="2"/>
  <c r="FZ314" i="2"/>
  <c r="FQ313" i="2"/>
  <c r="FV194" i="2"/>
  <c r="FR194" i="2"/>
  <c r="FS194" i="2"/>
  <c r="FT194" i="2"/>
  <c r="FW194" i="2"/>
  <c r="FU194" i="2"/>
  <c r="FX194" i="2"/>
  <c r="FY194" i="2"/>
  <c r="FT79" i="2"/>
  <c r="FV79" i="2"/>
  <c r="FX79" i="2"/>
  <c r="FR79" i="2"/>
  <c r="FU79" i="2"/>
  <c r="FS79" i="2"/>
  <c r="FW79" i="2"/>
  <c r="FY79" i="2"/>
  <c r="FV191" i="2"/>
  <c r="FU191" i="2"/>
  <c r="FY191" i="2"/>
  <c r="FT191" i="2"/>
  <c r="FX191" i="2"/>
  <c r="FW191" i="2"/>
  <c r="FS191" i="2"/>
  <c r="FR191" i="2"/>
  <c r="FQ203" i="2"/>
  <c r="FP214" i="2"/>
  <c r="FQ298" i="2"/>
  <c r="FP305" i="2"/>
  <c r="FQ305" i="2" s="1"/>
  <c r="FZ158" i="2"/>
  <c r="FQ157" i="2"/>
  <c r="FZ270" i="2"/>
  <c r="FQ269" i="2"/>
  <c r="FZ46" i="2"/>
  <c r="FQ45" i="2"/>
  <c r="FQ201" i="2"/>
  <c r="FP212" i="2"/>
  <c r="FP349" i="2"/>
  <c r="FQ349" i="2" s="1"/>
  <c r="FQ342" i="2"/>
  <c r="FQ198" i="2"/>
  <c r="FP209" i="2"/>
  <c r="FP218" i="2"/>
  <c r="FQ207" i="2"/>
  <c r="FP215" i="2"/>
  <c r="FQ204" i="2"/>
  <c r="FT332" i="2"/>
  <c r="FU332" i="2"/>
  <c r="FR332" i="2"/>
  <c r="FS332" i="2"/>
  <c r="FY332" i="2"/>
  <c r="FW332" i="2"/>
  <c r="FV332" i="2"/>
  <c r="FX332" i="2"/>
  <c r="FP98" i="2"/>
  <c r="FQ87" i="2"/>
  <c r="FP104" i="2"/>
  <c r="FQ93" i="2"/>
  <c r="FR287" i="2"/>
  <c r="FW287" i="2"/>
  <c r="FU287" i="2"/>
  <c r="FV287" i="2"/>
  <c r="FS287" i="2"/>
  <c r="FX287" i="2"/>
  <c r="FT287" i="2"/>
  <c r="FY287" i="2"/>
  <c r="FP306" i="2"/>
  <c r="FQ306" i="2" s="1"/>
  <c r="FQ299" i="2"/>
  <c r="FP210" i="2"/>
  <c r="FQ199" i="2"/>
  <c r="AY43" i="7950"/>
  <c r="M43" i="7950"/>
  <c r="AW43" i="7950"/>
  <c r="AZ43" i="7950"/>
  <c r="AX43" i="7950"/>
  <c r="FR290" i="2"/>
  <c r="FU290" i="2"/>
  <c r="FS290" i="2"/>
  <c r="FT290" i="2"/>
  <c r="FV290" i="2"/>
  <c r="FW290" i="2"/>
  <c r="FY290" i="2"/>
  <c r="FX290" i="2"/>
  <c r="FP102" i="2"/>
  <c r="FQ91" i="2"/>
  <c r="FP99" i="2"/>
  <c r="FQ88" i="2"/>
  <c r="FY334" i="2"/>
  <c r="FW334" i="2"/>
  <c r="FT334" i="2"/>
  <c r="FX334" i="2"/>
  <c r="FR334" i="2"/>
  <c r="FU334" i="2"/>
  <c r="FS334" i="2"/>
  <c r="FV334" i="2"/>
  <c r="FP217" i="2"/>
  <c r="FQ206" i="2"/>
  <c r="FY336" i="2"/>
  <c r="FV336" i="2"/>
  <c r="FT336" i="2"/>
  <c r="FS336" i="2"/>
  <c r="FW336" i="2"/>
  <c r="FU336" i="2"/>
  <c r="FX336" i="2"/>
  <c r="FR336" i="2"/>
  <c r="FV288" i="2"/>
  <c r="FT288" i="2"/>
  <c r="FX288" i="2"/>
  <c r="FS288" i="2"/>
  <c r="FU288" i="2"/>
  <c r="FY288" i="2"/>
  <c r="FR288" i="2"/>
  <c r="FW288" i="2"/>
  <c r="FS83" i="2"/>
  <c r="FY83" i="2"/>
  <c r="FW83" i="2"/>
  <c r="FX83" i="2"/>
  <c r="FR83" i="2"/>
  <c r="FV83" i="2"/>
  <c r="FU83" i="2"/>
  <c r="FT83" i="2"/>
  <c r="FQ95" i="2"/>
  <c r="FP106" i="2"/>
  <c r="FT78" i="2"/>
  <c r="FY78" i="2"/>
  <c r="FR78" i="2"/>
  <c r="FV78" i="2"/>
  <c r="FS78" i="2"/>
  <c r="FX78" i="2"/>
  <c r="FU78" i="2"/>
  <c r="FW78" i="2"/>
  <c r="FP97" i="2"/>
  <c r="FQ86" i="2"/>
  <c r="FP345" i="2"/>
  <c r="FQ345" i="2" s="1"/>
  <c r="FQ338" i="2"/>
  <c r="FQ340" i="2"/>
  <c r="FP347" i="2"/>
  <c r="FQ347" i="2" s="1"/>
  <c r="FP303" i="2"/>
  <c r="FQ303" i="2" s="1"/>
  <c r="FQ296" i="2"/>
  <c r="FQ200" i="2"/>
  <c r="FP211" i="2"/>
  <c r="FQ92" i="2"/>
  <c r="FP103" i="2"/>
  <c r="FU312" i="2"/>
  <c r="FT312" i="2"/>
  <c r="FX312" i="2"/>
  <c r="FV312" i="2"/>
  <c r="FS312" i="2"/>
  <c r="FW312" i="2"/>
  <c r="FR312" i="2"/>
  <c r="FY312" i="2"/>
  <c r="FQ205" i="2"/>
  <c r="FP216" i="2"/>
  <c r="FQ90" i="2"/>
  <c r="FP101" i="2"/>
  <c r="FQ202" i="2"/>
  <c r="FP213" i="2"/>
  <c r="FW192" i="2"/>
  <c r="FS192" i="2"/>
  <c r="FT192" i="2"/>
  <c r="FU192" i="2"/>
  <c r="FV192" i="2"/>
  <c r="FR192" i="2"/>
  <c r="FX192" i="2"/>
  <c r="FY192" i="2"/>
  <c r="FW291" i="2"/>
  <c r="FY291" i="2"/>
  <c r="FU291" i="2"/>
  <c r="FV291" i="2"/>
  <c r="FT291" i="2"/>
  <c r="FX291" i="2"/>
  <c r="FR291" i="2"/>
  <c r="FS291" i="2"/>
  <c r="FS156" i="2"/>
  <c r="FT156" i="2"/>
  <c r="FX156" i="2"/>
  <c r="FU156" i="2"/>
  <c r="FW156" i="2"/>
  <c r="FR156" i="2"/>
  <c r="FV156" i="2"/>
  <c r="FY156" i="2"/>
  <c r="FX268" i="2"/>
  <c r="FW268" i="2"/>
  <c r="FS268" i="2"/>
  <c r="FR268" i="2"/>
  <c r="FU268" i="2"/>
  <c r="FY268" i="2"/>
  <c r="FT268" i="2"/>
  <c r="FV268" i="2"/>
  <c r="FS44" i="2"/>
  <c r="FY44" i="2"/>
  <c r="FR44" i="2"/>
  <c r="FU44" i="2"/>
  <c r="FX44" i="2"/>
  <c r="FV44" i="2"/>
  <c r="FW44" i="2"/>
  <c r="FT44" i="2"/>
  <c r="FW190" i="2"/>
  <c r="FU190" i="2"/>
  <c r="FX190" i="2"/>
  <c r="FT190" i="2"/>
  <c r="FV190" i="2"/>
  <c r="FR190" i="2"/>
  <c r="FY190" i="2"/>
  <c r="FS190" i="2"/>
  <c r="FR335" i="2"/>
  <c r="FW335" i="2"/>
  <c r="FY335" i="2"/>
  <c r="FU335" i="2"/>
  <c r="FS335" i="2"/>
  <c r="FT335" i="2"/>
  <c r="FX335" i="2"/>
  <c r="FV335" i="2"/>
  <c r="FX187" i="2"/>
  <c r="FS187" i="2"/>
  <c r="FW187" i="2"/>
  <c r="FY187" i="2"/>
  <c r="FT187" i="2"/>
  <c r="FR187" i="2"/>
  <c r="FV187" i="2"/>
  <c r="FU187" i="2"/>
  <c r="FU196" i="2"/>
  <c r="FT196" i="2"/>
  <c r="FS196" i="2"/>
  <c r="FW196" i="2"/>
  <c r="FY196" i="2"/>
  <c r="FV196" i="2"/>
  <c r="FR196" i="2"/>
  <c r="FX196" i="2"/>
  <c r="FV193" i="2"/>
  <c r="FX193" i="2"/>
  <c r="FS193" i="2"/>
  <c r="FT193" i="2"/>
  <c r="FW193" i="2"/>
  <c r="FY193" i="2"/>
  <c r="FR193" i="2"/>
  <c r="FU193" i="2"/>
  <c r="FP346" i="2"/>
  <c r="FQ346" i="2" s="1"/>
  <c r="FQ339" i="2"/>
  <c r="FY76" i="2"/>
  <c r="FU76" i="2"/>
  <c r="FV76" i="2"/>
  <c r="FR76" i="2"/>
  <c r="FX76" i="2"/>
  <c r="FT76" i="2"/>
  <c r="FW76" i="2"/>
  <c r="FS76" i="2"/>
  <c r="FX82" i="2"/>
  <c r="FU82" i="2"/>
  <c r="FW82" i="2"/>
  <c r="FY82" i="2"/>
  <c r="FS82" i="2"/>
  <c r="FR82" i="2"/>
  <c r="FV82" i="2"/>
  <c r="FT82" i="2"/>
  <c r="FP301" i="2"/>
  <c r="FQ301" i="2" s="1"/>
  <c r="FQ294" i="2"/>
  <c r="FW292" i="2"/>
  <c r="FX292" i="2"/>
  <c r="FS292" i="2"/>
  <c r="FR292" i="2"/>
  <c r="FY292" i="2"/>
  <c r="FU292" i="2"/>
  <c r="FV292" i="2"/>
  <c r="FT292" i="2"/>
  <c r="FT188" i="2"/>
  <c r="FS188" i="2"/>
  <c r="FX188" i="2"/>
  <c r="FW188" i="2"/>
  <c r="FV188" i="2"/>
  <c r="FR188" i="2"/>
  <c r="FY188" i="2"/>
  <c r="FU188" i="2"/>
  <c r="AW59" i="7950"/>
  <c r="AY59" i="7950"/>
  <c r="M59" i="7950"/>
  <c r="AX59" i="7950"/>
  <c r="AZ59" i="7950"/>
  <c r="FP304" i="2"/>
  <c r="FQ304" i="2" s="1"/>
  <c r="FQ297" i="2"/>
  <c r="FR80" i="2"/>
  <c r="FS80" i="2"/>
  <c r="FW80" i="2"/>
  <c r="FT80" i="2"/>
  <c r="FV80" i="2"/>
  <c r="FU80" i="2"/>
  <c r="FY80" i="2"/>
  <c r="FX80" i="2"/>
  <c r="FT77" i="2"/>
  <c r="FU77" i="2"/>
  <c r="FX77" i="2"/>
  <c r="FY77" i="2"/>
  <c r="FS77" i="2"/>
  <c r="FR77" i="2"/>
  <c r="FW77" i="2"/>
  <c r="FV77" i="2"/>
  <c r="FQ341" i="2"/>
  <c r="FP348" i="2"/>
  <c r="FQ348" i="2" s="1"/>
  <c r="M177" i="7950"/>
  <c r="AW177" i="7950"/>
  <c r="AX177" i="7950"/>
  <c r="AY177" i="7950"/>
  <c r="AH172" i="7950" s="1"/>
  <c r="AZ177" i="7950"/>
  <c r="AH173" i="7950" s="1"/>
  <c r="M401" i="7950"/>
  <c r="AX401" i="7950"/>
  <c r="AW401" i="7950"/>
  <c r="AY401" i="7950"/>
  <c r="AH396" i="7950" s="1"/>
  <c r="AZ401" i="7950"/>
  <c r="AH397" i="7950" s="1"/>
  <c r="CU645" i="2" l="1"/>
  <c r="CV645" i="2" s="1"/>
  <c r="CU664" i="2"/>
  <c r="CV664" i="2" s="1"/>
  <c r="CU655" i="2"/>
  <c r="CV655" i="2" s="1"/>
  <c r="CU667" i="2"/>
  <c r="CV667" i="2" s="1"/>
  <c r="CU647" i="2"/>
  <c r="CV647" i="2" s="1"/>
  <c r="CU661" i="2"/>
  <c r="CV661" i="2" s="1"/>
  <c r="CU666" i="2"/>
  <c r="CV666" i="2" s="1"/>
  <c r="CU657" i="2"/>
  <c r="CV657" i="2" s="1"/>
  <c r="CU656" i="2"/>
  <c r="CV656" i="2" s="1"/>
  <c r="CU658" i="2"/>
  <c r="CV658" i="2" s="1"/>
  <c r="CU663" i="2"/>
  <c r="CV663" i="2" s="1"/>
  <c r="CU644" i="2"/>
  <c r="CV644" i="2" s="1"/>
  <c r="CU648" i="2"/>
  <c r="CV648" i="2" s="1"/>
  <c r="CU650" i="2"/>
  <c r="CV650" i="2" s="1"/>
  <c r="CU665" i="2"/>
  <c r="CV665" i="2" s="1"/>
  <c r="CU654" i="2"/>
  <c r="CV654" i="2" s="1"/>
  <c r="CU652" i="2"/>
  <c r="CV652" i="2" s="1"/>
  <c r="CU646" i="2"/>
  <c r="CV646" i="2" s="1"/>
  <c r="CU659" i="2"/>
  <c r="CV659" i="2" s="1"/>
  <c r="CU662" i="2"/>
  <c r="CV662" i="2" s="1"/>
  <c r="CU649" i="2"/>
  <c r="CV649" i="2" s="1"/>
  <c r="CU651" i="2"/>
  <c r="CV651" i="2" s="1"/>
  <c r="CU660" i="2"/>
  <c r="CV660" i="2" s="1"/>
  <c r="CU653" i="2"/>
  <c r="CV653" i="2" s="1"/>
  <c r="DD649" i="2"/>
  <c r="DE649" i="2" s="1"/>
  <c r="DD665" i="2"/>
  <c r="DE665" i="2" s="1"/>
  <c r="DD656" i="2"/>
  <c r="DE656" i="2" s="1"/>
  <c r="DD651" i="2"/>
  <c r="DE651" i="2" s="1"/>
  <c r="DD658" i="2"/>
  <c r="DE658" i="2" s="1"/>
  <c r="DD646" i="2"/>
  <c r="DE646" i="2" s="1"/>
  <c r="DD645" i="2"/>
  <c r="DE645" i="2" s="1"/>
  <c r="DD661" i="2"/>
  <c r="DE661" i="2" s="1"/>
  <c r="DD652" i="2"/>
  <c r="DE652" i="2" s="1"/>
  <c r="DD647" i="2"/>
  <c r="DE647" i="2" s="1"/>
  <c r="DD650" i="2"/>
  <c r="DE650" i="2" s="1"/>
  <c r="DD663" i="2"/>
  <c r="DE663" i="2" s="1"/>
  <c r="DD657" i="2"/>
  <c r="DE657" i="2" s="1"/>
  <c r="DD648" i="2"/>
  <c r="DE648" i="2" s="1"/>
  <c r="DD664" i="2"/>
  <c r="DE664" i="2" s="1"/>
  <c r="DD667" i="2"/>
  <c r="DE667" i="2" s="1"/>
  <c r="DD655" i="2"/>
  <c r="DE655" i="2" s="1"/>
  <c r="DD662" i="2"/>
  <c r="DE662" i="2" s="1"/>
  <c r="DD653" i="2"/>
  <c r="DE653" i="2" s="1"/>
  <c r="DD644" i="2"/>
  <c r="DE644" i="2" s="1"/>
  <c r="DD660" i="2"/>
  <c r="DE660" i="2" s="1"/>
  <c r="DD659" i="2"/>
  <c r="DE659" i="2" s="1"/>
  <c r="DD666" i="2"/>
  <c r="DE666" i="2" s="1"/>
  <c r="DD654" i="2"/>
  <c r="DE654" i="2" s="1"/>
  <c r="CX644" i="2"/>
  <c r="CY644" i="2" s="1"/>
  <c r="CX660" i="2"/>
  <c r="CY660" i="2" s="1"/>
  <c r="CX653" i="2"/>
  <c r="CY653" i="2" s="1"/>
  <c r="CX654" i="2"/>
  <c r="CY654" i="2" s="1"/>
  <c r="CX646" i="2"/>
  <c r="CY646" i="2" s="1"/>
  <c r="CX666" i="2"/>
  <c r="CY666" i="2" s="1"/>
  <c r="CX648" i="2"/>
  <c r="CY648" i="2" s="1"/>
  <c r="CX664" i="2"/>
  <c r="CY664" i="2" s="1"/>
  <c r="CX657" i="2"/>
  <c r="CY657" i="2" s="1"/>
  <c r="CX651" i="2"/>
  <c r="CY651" i="2" s="1"/>
  <c r="CX650" i="2"/>
  <c r="CY650" i="2" s="1"/>
  <c r="CX647" i="2"/>
  <c r="CY647" i="2" s="1"/>
  <c r="CX652" i="2"/>
  <c r="CY652" i="2" s="1"/>
  <c r="CX645" i="2"/>
  <c r="CY645" i="2" s="1"/>
  <c r="CX661" i="2"/>
  <c r="CY661" i="2" s="1"/>
  <c r="CX659" i="2"/>
  <c r="CY659" i="2" s="1"/>
  <c r="CX658" i="2"/>
  <c r="CY658" i="2" s="1"/>
  <c r="CX655" i="2"/>
  <c r="CY655" i="2" s="1"/>
  <c r="CX656" i="2"/>
  <c r="CY656" i="2" s="1"/>
  <c r="CX649" i="2"/>
  <c r="CY649" i="2" s="1"/>
  <c r="CX665" i="2"/>
  <c r="CY665" i="2" s="1"/>
  <c r="CX667" i="2"/>
  <c r="CY667" i="2" s="1"/>
  <c r="CX662" i="2"/>
  <c r="CY662" i="2" s="1"/>
  <c r="CX663" i="2"/>
  <c r="CY663" i="2" s="1"/>
  <c r="DI249" i="2"/>
  <c r="DP244" i="2"/>
  <c r="DJ163" i="2"/>
  <c r="DI171" i="2"/>
  <c r="DJ165" i="2"/>
  <c r="DI173" i="2"/>
  <c r="DJ272" i="2"/>
  <c r="DI276" i="2"/>
  <c r="DJ276" i="2" s="1"/>
  <c r="DP266" i="2"/>
  <c r="DI270" i="2"/>
  <c r="DJ284" i="2"/>
  <c r="DP471" i="2"/>
  <c r="DP472" i="2" s="1"/>
  <c r="DP473" i="2" s="1"/>
  <c r="DP474" i="2" s="1"/>
  <c r="DP475" i="2" s="1"/>
  <c r="DP476" i="2" s="1"/>
  <c r="DP477" i="2" s="1"/>
  <c r="DI465" i="2"/>
  <c r="DP463" i="2"/>
  <c r="DP464" i="2" s="1"/>
  <c r="DP465" i="2" s="1"/>
  <c r="DP466" i="2" s="1"/>
  <c r="DP467" i="2" s="1"/>
  <c r="DP468" i="2" s="1"/>
  <c r="DI464" i="2"/>
  <c r="DI467" i="2"/>
  <c r="DP487" i="2"/>
  <c r="DP488" i="2" s="1"/>
  <c r="DP489" i="2" s="1"/>
  <c r="DP490" i="2" s="1"/>
  <c r="DP491" i="2" s="1"/>
  <c r="DP492" i="2" s="1"/>
  <c r="DP493" i="2" s="1"/>
  <c r="DI343" i="2"/>
  <c r="DP342" i="2"/>
  <c r="DP398" i="2"/>
  <c r="DP399" i="2" s="1"/>
  <c r="DP400" i="2" s="1"/>
  <c r="DP401" i="2" s="1"/>
  <c r="DP402" i="2" s="1"/>
  <c r="DP403" i="2" s="1"/>
  <c r="DP404" i="2" s="1"/>
  <c r="DP405" i="2" s="1"/>
  <c r="DP406" i="2" s="1"/>
  <c r="DP407" i="2" s="1"/>
  <c r="DI359" i="2"/>
  <c r="DI360" i="2"/>
  <c r="DI371" i="2" s="1"/>
  <c r="DP409" i="2"/>
  <c r="DP410" i="2" s="1"/>
  <c r="DP411" i="2" s="1"/>
  <c r="DP412" i="2" s="1"/>
  <c r="DP413" i="2" s="1"/>
  <c r="DP414" i="2" s="1"/>
  <c r="DP415" i="2" s="1"/>
  <c r="DP416" i="2" s="1"/>
  <c r="DP417" i="2" s="1"/>
  <c r="DP418" i="2" s="1"/>
  <c r="DI362" i="2"/>
  <c r="DI373" i="2" s="1"/>
  <c r="DI384" i="2" s="1"/>
  <c r="DP431" i="2"/>
  <c r="DP432" i="2" s="1"/>
  <c r="DP433" i="2" s="1"/>
  <c r="DP434" i="2" s="1"/>
  <c r="DP435" i="2" s="1"/>
  <c r="DP436" i="2" s="1"/>
  <c r="DP437" i="2" s="1"/>
  <c r="DP438" i="2" s="1"/>
  <c r="DP439" i="2" s="1"/>
  <c r="DP440" i="2" s="1"/>
  <c r="DI357" i="2"/>
  <c r="DP376" i="2"/>
  <c r="DP377" i="2" s="1"/>
  <c r="DP378" i="2" s="1"/>
  <c r="DP379" i="2" s="1"/>
  <c r="DP380" i="2" s="1"/>
  <c r="DP381" i="2" s="1"/>
  <c r="DP382" i="2" s="1"/>
  <c r="DP383" i="2" s="1"/>
  <c r="DP384" i="2" s="1"/>
  <c r="DP385" i="2" s="1"/>
  <c r="DJ221" i="2"/>
  <c r="DI227" i="2"/>
  <c r="DJ61" i="2"/>
  <c r="DI72" i="2"/>
  <c r="DI67" i="2"/>
  <c r="DJ56" i="2"/>
  <c r="DJ252" i="2"/>
  <c r="DI257" i="2"/>
  <c r="DJ166" i="2"/>
  <c r="DI174" i="2"/>
  <c r="DI175" i="2"/>
  <c r="DJ167" i="2"/>
  <c r="DI176" i="2"/>
  <c r="DJ168" i="2"/>
  <c r="DI275" i="2"/>
  <c r="DJ275" i="2" s="1"/>
  <c r="DJ271" i="2"/>
  <c r="DI581" i="2"/>
  <c r="DP580" i="2"/>
  <c r="DI552" i="2"/>
  <c r="DI557" i="2" s="1"/>
  <c r="DP555" i="2"/>
  <c r="DP556" i="2" s="1"/>
  <c r="DP557" i="2" s="1"/>
  <c r="DP558" i="2" s="1"/>
  <c r="DP560" i="2"/>
  <c r="DP561" i="2" s="1"/>
  <c r="DP562" i="2" s="1"/>
  <c r="DP563" i="2" s="1"/>
  <c r="DI553" i="2"/>
  <c r="DI558" i="2" s="1"/>
  <c r="DI567" i="2"/>
  <c r="DP566" i="2"/>
  <c r="DP571" i="2"/>
  <c r="DP572" i="2" s="1"/>
  <c r="DP573" i="2" s="1"/>
  <c r="DI572" i="2"/>
  <c r="DI283" i="2"/>
  <c r="DJ283" i="2" s="1"/>
  <c r="DP280" i="2"/>
  <c r="DI521" i="2"/>
  <c r="DP525" i="2"/>
  <c r="DP526" i="2" s="1"/>
  <c r="DP527" i="2" s="1"/>
  <c r="DP528" i="2" s="1"/>
  <c r="DP529" i="2" s="1"/>
  <c r="DP537" i="2"/>
  <c r="DP538" i="2" s="1"/>
  <c r="DP539" i="2" s="1"/>
  <c r="DP540" i="2" s="1"/>
  <c r="DP541" i="2" s="1"/>
  <c r="DI523" i="2"/>
  <c r="DP212" i="2"/>
  <c r="DI218" i="2"/>
  <c r="DI65" i="2"/>
  <c r="DJ54" i="2"/>
  <c r="DI71" i="2"/>
  <c r="DJ60" i="2"/>
  <c r="CR647" i="2"/>
  <c r="CS647" i="2" s="1"/>
  <c r="CR663" i="2"/>
  <c r="CS663" i="2" s="1"/>
  <c r="CR654" i="2"/>
  <c r="CS654" i="2" s="1"/>
  <c r="CR649" i="2"/>
  <c r="CS649" i="2" s="1"/>
  <c r="CR656" i="2"/>
  <c r="CS656" i="2" s="1"/>
  <c r="CR661" i="2"/>
  <c r="CS661" i="2" s="1"/>
  <c r="CR651" i="2"/>
  <c r="CS651" i="2" s="1"/>
  <c r="CR667" i="2"/>
  <c r="CS667" i="2" s="1"/>
  <c r="CR658" i="2"/>
  <c r="CS658" i="2" s="1"/>
  <c r="CR657" i="2"/>
  <c r="CS657" i="2" s="1"/>
  <c r="CR664" i="2"/>
  <c r="CS664" i="2" s="1"/>
  <c r="CR644" i="2"/>
  <c r="CS644" i="2" s="1"/>
  <c r="CR655" i="2"/>
  <c r="CS655" i="2" s="1"/>
  <c r="CR646" i="2"/>
  <c r="CS646" i="2" s="1"/>
  <c r="CR662" i="2"/>
  <c r="CS662" i="2" s="1"/>
  <c r="CR665" i="2"/>
  <c r="CS665" i="2" s="1"/>
  <c r="CR645" i="2"/>
  <c r="CS645" i="2" s="1"/>
  <c r="CR652" i="2"/>
  <c r="CS652" i="2" s="1"/>
  <c r="CR659" i="2"/>
  <c r="CS659" i="2" s="1"/>
  <c r="CR650" i="2"/>
  <c r="CS650" i="2" s="1"/>
  <c r="CR666" i="2"/>
  <c r="CS666" i="2" s="1"/>
  <c r="CR648" i="2"/>
  <c r="CS648" i="2" s="1"/>
  <c r="CR653" i="2"/>
  <c r="CS653" i="2" s="1"/>
  <c r="CR660" i="2"/>
  <c r="CS660" i="2" s="1"/>
  <c r="DA667" i="2"/>
  <c r="DB667" i="2" s="1"/>
  <c r="DA653" i="2"/>
  <c r="DB653" i="2" s="1"/>
  <c r="DA663" i="2"/>
  <c r="DB663" i="2" s="1"/>
  <c r="DA650" i="2"/>
  <c r="DB650" i="2" s="1"/>
  <c r="DA657" i="2"/>
  <c r="DB657" i="2" s="1"/>
  <c r="DA652" i="2"/>
  <c r="DB652" i="2" s="1"/>
  <c r="DA646" i="2"/>
  <c r="DB646" i="2" s="1"/>
  <c r="DA655" i="2"/>
  <c r="DB655" i="2" s="1"/>
  <c r="DA665" i="2"/>
  <c r="DB665" i="2" s="1"/>
  <c r="DA666" i="2"/>
  <c r="DB666" i="2" s="1"/>
  <c r="DA648" i="2"/>
  <c r="DB648" i="2" s="1"/>
  <c r="DA647" i="2"/>
  <c r="DB647" i="2" s="1"/>
  <c r="DA660" i="2"/>
  <c r="DB660" i="2" s="1"/>
  <c r="DA645" i="2"/>
  <c r="DB645" i="2" s="1"/>
  <c r="DA649" i="2"/>
  <c r="DB649" i="2" s="1"/>
  <c r="DA659" i="2"/>
  <c r="DB659" i="2" s="1"/>
  <c r="DA651" i="2"/>
  <c r="DB651" i="2" s="1"/>
  <c r="DA664" i="2"/>
  <c r="DB664" i="2" s="1"/>
  <c r="DA662" i="2"/>
  <c r="DB662" i="2" s="1"/>
  <c r="DA654" i="2"/>
  <c r="DB654" i="2" s="1"/>
  <c r="DA656" i="2"/>
  <c r="DB656" i="2" s="1"/>
  <c r="DA661" i="2"/>
  <c r="DB661" i="2" s="1"/>
  <c r="DA644" i="2"/>
  <c r="DB644" i="2" s="1"/>
  <c r="DA658" i="2"/>
  <c r="DB658" i="2" s="1"/>
  <c r="CO648" i="2"/>
  <c r="CP648" i="2" s="1"/>
  <c r="CO664" i="2"/>
  <c r="CP664" i="2" s="1"/>
  <c r="CO657" i="2"/>
  <c r="CP657" i="2" s="1"/>
  <c r="CO658" i="2"/>
  <c r="CP658" i="2" s="1"/>
  <c r="CO646" i="2"/>
  <c r="CP646" i="2" s="1"/>
  <c r="CO655" i="2"/>
  <c r="CP655" i="2" s="1"/>
  <c r="CO644" i="2"/>
  <c r="CP644" i="2" s="1"/>
  <c r="CO660" i="2"/>
  <c r="CP660" i="2" s="1"/>
  <c r="CO653" i="2"/>
  <c r="CP653" i="2" s="1"/>
  <c r="CO650" i="2"/>
  <c r="CP650" i="2" s="1"/>
  <c r="CO659" i="2"/>
  <c r="CP659" i="2" s="1"/>
  <c r="CO647" i="2"/>
  <c r="CP647" i="2" s="1"/>
  <c r="CO656" i="2"/>
  <c r="CP656" i="2" s="1"/>
  <c r="CO649" i="2"/>
  <c r="CP649" i="2" s="1"/>
  <c r="CO665" i="2"/>
  <c r="CP665" i="2" s="1"/>
  <c r="CO651" i="2"/>
  <c r="CP651" i="2" s="1"/>
  <c r="CO662" i="2"/>
  <c r="CP662" i="2" s="1"/>
  <c r="CO667" i="2"/>
  <c r="CP667" i="2" s="1"/>
  <c r="CO652" i="2"/>
  <c r="CP652" i="2" s="1"/>
  <c r="CO645" i="2"/>
  <c r="CP645" i="2" s="1"/>
  <c r="CO661" i="2"/>
  <c r="CP661" i="2" s="1"/>
  <c r="CO666" i="2"/>
  <c r="CP666" i="2" s="1"/>
  <c r="CO654" i="2"/>
  <c r="CP654" i="2" s="1"/>
  <c r="CO663" i="2"/>
  <c r="CP663" i="2" s="1"/>
  <c r="DI255" i="2"/>
  <c r="DJ250" i="2"/>
  <c r="DI172" i="2"/>
  <c r="DJ164" i="2"/>
  <c r="DI468" i="2"/>
  <c r="DI476" i="2" s="1"/>
  <c r="DP495" i="2"/>
  <c r="DP496" i="2" s="1"/>
  <c r="DP497" i="2" s="1"/>
  <c r="DP498" i="2" s="1"/>
  <c r="DP499" i="2" s="1"/>
  <c r="DP500" i="2" s="1"/>
  <c r="DP501" i="2" s="1"/>
  <c r="DP503" i="2"/>
  <c r="DP504" i="2" s="1"/>
  <c r="DP505" i="2" s="1"/>
  <c r="DP506" i="2" s="1"/>
  <c r="DP507" i="2" s="1"/>
  <c r="DP508" i="2" s="1"/>
  <c r="DP509" i="2" s="1"/>
  <c r="DI469" i="2"/>
  <c r="DI477" i="2" s="1"/>
  <c r="DI455" i="2"/>
  <c r="DP454" i="2"/>
  <c r="DP479" i="2"/>
  <c r="DP480" i="2" s="1"/>
  <c r="DP481" i="2" s="1"/>
  <c r="DP482" i="2" s="1"/>
  <c r="DP483" i="2" s="1"/>
  <c r="DP484" i="2" s="1"/>
  <c r="DP485" i="2" s="1"/>
  <c r="DI466" i="2"/>
  <c r="DP365" i="2"/>
  <c r="DP366" i="2" s="1"/>
  <c r="DP367" i="2" s="1"/>
  <c r="DP368" i="2" s="1"/>
  <c r="DP369" i="2" s="1"/>
  <c r="DP370" i="2" s="1"/>
  <c r="DP371" i="2" s="1"/>
  <c r="DP372" i="2" s="1"/>
  <c r="DI356" i="2"/>
  <c r="DP387" i="2"/>
  <c r="DP388" i="2" s="1"/>
  <c r="DP389" i="2" s="1"/>
  <c r="DP390" i="2" s="1"/>
  <c r="DP391" i="2" s="1"/>
  <c r="DP392" i="2" s="1"/>
  <c r="DP393" i="2" s="1"/>
  <c r="DP394" i="2" s="1"/>
  <c r="DP395" i="2" s="1"/>
  <c r="DP396" i="2" s="1"/>
  <c r="DI358" i="2"/>
  <c r="DI361" i="2"/>
  <c r="DI372" i="2" s="1"/>
  <c r="DI383" i="2" s="1"/>
  <c r="DP420" i="2"/>
  <c r="DP421" i="2" s="1"/>
  <c r="DP422" i="2" s="1"/>
  <c r="DP423" i="2" s="1"/>
  <c r="DP424" i="2" s="1"/>
  <c r="DP425" i="2" s="1"/>
  <c r="DP426" i="2" s="1"/>
  <c r="DP427" i="2" s="1"/>
  <c r="DP428" i="2" s="1"/>
  <c r="DP429" i="2" s="1"/>
  <c r="DI363" i="2"/>
  <c r="DI374" i="2" s="1"/>
  <c r="DI385" i="2" s="1"/>
  <c r="DP442" i="2"/>
  <c r="DP443" i="2" s="1"/>
  <c r="DP444" i="2" s="1"/>
  <c r="DP445" i="2" s="1"/>
  <c r="DP446" i="2" s="1"/>
  <c r="DP447" i="2" s="1"/>
  <c r="DP448" i="2" s="1"/>
  <c r="DP449" i="2" s="1"/>
  <c r="DP450" i="2" s="1"/>
  <c r="DP451" i="2" s="1"/>
  <c r="DP354" i="2"/>
  <c r="DP355" i="2" s="1"/>
  <c r="DP356" i="2" s="1"/>
  <c r="DP357" i="2" s="1"/>
  <c r="DP358" i="2" s="1"/>
  <c r="DP359" i="2" s="1"/>
  <c r="DP360" i="2" s="1"/>
  <c r="DI355" i="2"/>
  <c r="DI225" i="2"/>
  <c r="DJ219" i="2"/>
  <c r="DJ58" i="2"/>
  <c r="DI69" i="2"/>
  <c r="DJ57" i="2"/>
  <c r="DI68" i="2"/>
  <c r="DJ59" i="2"/>
  <c r="DI70" i="2"/>
  <c r="DJ251" i="2"/>
  <c r="DI256" i="2"/>
  <c r="DP154" i="2"/>
  <c r="DI162" i="2"/>
  <c r="DP584" i="2"/>
  <c r="DP585" i="2" s="1"/>
  <c r="DI585" i="2"/>
  <c r="DI551" i="2"/>
  <c r="DP550" i="2"/>
  <c r="DP551" i="2" s="1"/>
  <c r="DP552" i="2" s="1"/>
  <c r="DI545" i="2"/>
  <c r="DP544" i="2"/>
  <c r="DP575" i="2"/>
  <c r="DP576" i="2" s="1"/>
  <c r="DP577" i="2" s="1"/>
  <c r="DI573" i="2"/>
  <c r="DI513" i="2"/>
  <c r="DP512" i="2"/>
  <c r="DP519" i="2"/>
  <c r="DP520" i="2" s="1"/>
  <c r="DP521" i="2" s="1"/>
  <c r="DP522" i="2" s="1"/>
  <c r="DP523" i="2" s="1"/>
  <c r="DI520" i="2"/>
  <c r="DI522" i="2"/>
  <c r="DP531" i="2"/>
  <c r="DP532" i="2" s="1"/>
  <c r="DP533" i="2" s="1"/>
  <c r="DP534" i="2" s="1"/>
  <c r="DP535" i="2" s="1"/>
  <c r="DI226" i="2"/>
  <c r="DJ220" i="2"/>
  <c r="DJ222" i="2"/>
  <c r="DI228" i="2"/>
  <c r="DI53" i="2"/>
  <c r="DP42" i="2"/>
  <c r="DI73" i="2"/>
  <c r="DJ62" i="2"/>
  <c r="DI66" i="2"/>
  <c r="DJ55" i="2"/>
  <c r="DP373" i="2"/>
  <c r="DJ372" i="2"/>
  <c r="DP553" i="2"/>
  <c r="DJ553" i="2" s="1"/>
  <c r="DJ552" i="2"/>
  <c r="AP60" i="7950"/>
  <c r="AP44" i="7950"/>
  <c r="AT44" i="7950" s="1"/>
  <c r="AU44" i="7950" s="1"/>
  <c r="FT341" i="2"/>
  <c r="FY341" i="2"/>
  <c r="FS341" i="2"/>
  <c r="FU341" i="2"/>
  <c r="FR341" i="2"/>
  <c r="FX341" i="2"/>
  <c r="FV341" i="2"/>
  <c r="FW341" i="2"/>
  <c r="FU304" i="2"/>
  <c r="FT304" i="2"/>
  <c r="FY304" i="2"/>
  <c r="FR304" i="2"/>
  <c r="FW304" i="2"/>
  <c r="FS304" i="2"/>
  <c r="FX304" i="2"/>
  <c r="FV304" i="2"/>
  <c r="FX294" i="2"/>
  <c r="FV294" i="2"/>
  <c r="FW294" i="2"/>
  <c r="FU294" i="2"/>
  <c r="FY294" i="2"/>
  <c r="FT294" i="2"/>
  <c r="FS294" i="2"/>
  <c r="FR294" i="2"/>
  <c r="FY339" i="2"/>
  <c r="FR339" i="2"/>
  <c r="FT339" i="2"/>
  <c r="FX339" i="2"/>
  <c r="FW339" i="2"/>
  <c r="FU339" i="2"/>
  <c r="FS339" i="2"/>
  <c r="FV339" i="2"/>
  <c r="FP224" i="2"/>
  <c r="FQ213" i="2"/>
  <c r="FQ101" i="2"/>
  <c r="FP112" i="2"/>
  <c r="FQ216" i="2"/>
  <c r="FP227" i="2"/>
  <c r="FP114" i="2"/>
  <c r="FQ103" i="2"/>
  <c r="FQ211" i="2"/>
  <c r="FP222" i="2"/>
  <c r="FT296" i="2"/>
  <c r="FX296" i="2"/>
  <c r="FV296" i="2"/>
  <c r="FY296" i="2"/>
  <c r="FU296" i="2"/>
  <c r="FW296" i="2"/>
  <c r="FR296" i="2"/>
  <c r="FS296" i="2"/>
  <c r="FY347" i="2"/>
  <c r="FT347" i="2"/>
  <c r="FX347" i="2"/>
  <c r="FV347" i="2"/>
  <c r="FS347" i="2"/>
  <c r="FR347" i="2"/>
  <c r="FW347" i="2"/>
  <c r="FU347" i="2"/>
  <c r="FU338" i="2"/>
  <c r="FY338" i="2"/>
  <c r="FR338" i="2"/>
  <c r="FS338" i="2"/>
  <c r="FV338" i="2"/>
  <c r="FX338" i="2"/>
  <c r="FT338" i="2"/>
  <c r="FW338" i="2"/>
  <c r="FY86" i="2"/>
  <c r="FU86" i="2"/>
  <c r="FW86" i="2"/>
  <c r="FR86" i="2"/>
  <c r="FS86" i="2"/>
  <c r="FV86" i="2"/>
  <c r="FT86" i="2"/>
  <c r="FX86" i="2"/>
  <c r="FP117" i="2"/>
  <c r="FQ106" i="2"/>
  <c r="FV206" i="2"/>
  <c r="FR206" i="2"/>
  <c r="FX206" i="2"/>
  <c r="FW206" i="2"/>
  <c r="FT206" i="2"/>
  <c r="FU206" i="2"/>
  <c r="FY206" i="2"/>
  <c r="FS206" i="2"/>
  <c r="FR88" i="2"/>
  <c r="FS88" i="2"/>
  <c r="FU88" i="2"/>
  <c r="FV88" i="2"/>
  <c r="FT88" i="2"/>
  <c r="FX88" i="2"/>
  <c r="FW88" i="2"/>
  <c r="FY88" i="2"/>
  <c r="FU91" i="2"/>
  <c r="FT91" i="2"/>
  <c r="FR91" i="2"/>
  <c r="FV91" i="2"/>
  <c r="FS91" i="2"/>
  <c r="FY91" i="2"/>
  <c r="FW91" i="2"/>
  <c r="FX91" i="2"/>
  <c r="FP221" i="2"/>
  <c r="FQ210" i="2"/>
  <c r="FW306" i="2"/>
  <c r="FV306" i="2"/>
  <c r="FY306" i="2"/>
  <c r="FT306" i="2"/>
  <c r="FS306" i="2"/>
  <c r="FR306" i="2"/>
  <c r="FX306" i="2"/>
  <c r="FU306" i="2"/>
  <c r="FP115" i="2"/>
  <c r="FQ104" i="2"/>
  <c r="FQ98" i="2"/>
  <c r="FP109" i="2"/>
  <c r="FP226" i="2"/>
  <c r="FQ215" i="2"/>
  <c r="FP229" i="2"/>
  <c r="FQ218" i="2"/>
  <c r="FU198" i="2"/>
  <c r="FT198" i="2"/>
  <c r="FR198" i="2"/>
  <c r="FX198" i="2"/>
  <c r="FS198" i="2"/>
  <c r="FV198" i="2"/>
  <c r="FW198" i="2"/>
  <c r="FY198" i="2"/>
  <c r="FS349" i="2"/>
  <c r="FR349" i="2"/>
  <c r="FX349" i="2"/>
  <c r="FT349" i="2"/>
  <c r="FV349" i="2"/>
  <c r="FU349" i="2"/>
  <c r="FY349" i="2"/>
  <c r="FW349" i="2"/>
  <c r="FS201" i="2"/>
  <c r="FW201" i="2"/>
  <c r="FV201" i="2"/>
  <c r="FY201" i="2"/>
  <c r="FR201" i="2"/>
  <c r="FU201" i="2"/>
  <c r="FT201" i="2"/>
  <c r="FX201" i="2"/>
  <c r="FZ47" i="2"/>
  <c r="FQ46" i="2"/>
  <c r="FZ271" i="2"/>
  <c r="FQ271" i="2" s="1"/>
  <c r="FQ270" i="2"/>
  <c r="FZ159" i="2"/>
  <c r="FQ158" i="2"/>
  <c r="FX298" i="2"/>
  <c r="FU298" i="2"/>
  <c r="FR298" i="2"/>
  <c r="FS298" i="2"/>
  <c r="FY298" i="2"/>
  <c r="FV298" i="2"/>
  <c r="FT298" i="2"/>
  <c r="FW298" i="2"/>
  <c r="FR203" i="2"/>
  <c r="FV203" i="2"/>
  <c r="FY203" i="2"/>
  <c r="FU203" i="2"/>
  <c r="FW203" i="2"/>
  <c r="FS203" i="2"/>
  <c r="FX203" i="2"/>
  <c r="FT203" i="2"/>
  <c r="FZ315" i="2"/>
  <c r="FQ315" i="2" s="1"/>
  <c r="FQ314" i="2"/>
  <c r="FU89" i="2"/>
  <c r="FR89" i="2"/>
  <c r="FX89" i="2"/>
  <c r="FT89" i="2"/>
  <c r="FW89" i="2"/>
  <c r="FS89" i="2"/>
  <c r="FY89" i="2"/>
  <c r="FV89" i="2"/>
  <c r="FY94" i="2"/>
  <c r="FT94" i="2"/>
  <c r="FX94" i="2"/>
  <c r="FV94" i="2"/>
  <c r="FS94" i="2"/>
  <c r="FR94" i="2"/>
  <c r="FW94" i="2"/>
  <c r="FU94" i="2"/>
  <c r="FT295" i="2"/>
  <c r="FX295" i="2"/>
  <c r="FS295" i="2"/>
  <c r="FW295" i="2"/>
  <c r="FV295" i="2"/>
  <c r="FY295" i="2"/>
  <c r="FU295" i="2"/>
  <c r="FR295" i="2"/>
  <c r="FV350" i="2"/>
  <c r="FX350" i="2"/>
  <c r="FS350" i="2"/>
  <c r="FR350" i="2"/>
  <c r="FU350" i="2"/>
  <c r="FY350" i="2"/>
  <c r="FT350" i="2"/>
  <c r="FW350" i="2"/>
  <c r="FX348" i="2"/>
  <c r="FS348" i="2"/>
  <c r="FU348" i="2"/>
  <c r="FR348" i="2"/>
  <c r="FY348" i="2"/>
  <c r="FT348" i="2"/>
  <c r="FW348" i="2"/>
  <c r="FV348" i="2"/>
  <c r="FR297" i="2"/>
  <c r="FS297" i="2"/>
  <c r="FU297" i="2"/>
  <c r="FY297" i="2"/>
  <c r="FV297" i="2"/>
  <c r="FW297" i="2"/>
  <c r="FT297" i="2"/>
  <c r="FX297" i="2"/>
  <c r="FS301" i="2"/>
  <c r="FR301" i="2"/>
  <c r="FW301" i="2"/>
  <c r="FU301" i="2"/>
  <c r="FY301" i="2"/>
  <c r="FV301" i="2"/>
  <c r="FX301" i="2"/>
  <c r="FT301" i="2"/>
  <c r="FX346" i="2"/>
  <c r="FV346" i="2"/>
  <c r="FW346" i="2"/>
  <c r="FY346" i="2"/>
  <c r="FT346" i="2"/>
  <c r="FR346" i="2"/>
  <c r="FS346" i="2"/>
  <c r="FU346" i="2"/>
  <c r="FR202" i="2"/>
  <c r="FS202" i="2"/>
  <c r="FT202" i="2"/>
  <c r="FX202" i="2"/>
  <c r="FU202" i="2"/>
  <c r="FW202" i="2"/>
  <c r="FV202" i="2"/>
  <c r="FY202" i="2"/>
  <c r="FV90" i="2"/>
  <c r="FR90" i="2"/>
  <c r="FX90" i="2"/>
  <c r="FS90" i="2"/>
  <c r="FY90" i="2"/>
  <c r="FW90" i="2"/>
  <c r="FT90" i="2"/>
  <c r="FU90" i="2"/>
  <c r="FS205" i="2"/>
  <c r="FT205" i="2"/>
  <c r="FV205" i="2"/>
  <c r="FR205" i="2"/>
  <c r="FY205" i="2"/>
  <c r="FU205" i="2"/>
  <c r="FW205" i="2"/>
  <c r="FX205" i="2"/>
  <c r="FV92" i="2"/>
  <c r="FX92" i="2"/>
  <c r="FU92" i="2"/>
  <c r="FT92" i="2"/>
  <c r="FW92" i="2"/>
  <c r="FY92" i="2"/>
  <c r="FR92" i="2"/>
  <c r="FS92" i="2"/>
  <c r="FV200" i="2"/>
  <c r="FX200" i="2"/>
  <c r="FU200" i="2"/>
  <c r="FT200" i="2"/>
  <c r="FW200" i="2"/>
  <c r="FY200" i="2"/>
  <c r="FR200" i="2"/>
  <c r="FS200" i="2"/>
  <c r="FS303" i="2"/>
  <c r="FR303" i="2"/>
  <c r="FW303" i="2"/>
  <c r="FU303" i="2"/>
  <c r="FY303" i="2"/>
  <c r="FT303" i="2"/>
  <c r="FX303" i="2"/>
  <c r="FV303" i="2"/>
  <c r="FU340" i="2"/>
  <c r="FW340" i="2"/>
  <c r="FR340" i="2"/>
  <c r="FS340" i="2"/>
  <c r="FT340" i="2"/>
  <c r="FX340" i="2"/>
  <c r="FV340" i="2"/>
  <c r="FY340" i="2"/>
  <c r="FT345" i="2"/>
  <c r="FS345" i="2"/>
  <c r="FR345" i="2"/>
  <c r="FW345" i="2"/>
  <c r="FY345" i="2"/>
  <c r="FV345" i="2"/>
  <c r="FU345" i="2"/>
  <c r="FX345" i="2"/>
  <c r="FQ97" i="2"/>
  <c r="FP108" i="2"/>
  <c r="FW95" i="2"/>
  <c r="FU95" i="2"/>
  <c r="FT95" i="2"/>
  <c r="FR95" i="2"/>
  <c r="FY95" i="2"/>
  <c r="FV95" i="2"/>
  <c r="FX95" i="2"/>
  <c r="FS95" i="2"/>
  <c r="FQ217" i="2"/>
  <c r="FP228" i="2"/>
  <c r="FQ99" i="2"/>
  <c r="FP110" i="2"/>
  <c r="FQ102" i="2"/>
  <c r="FP113" i="2"/>
  <c r="FY199" i="2"/>
  <c r="FV199" i="2"/>
  <c r="FX199" i="2"/>
  <c r="FT199" i="2"/>
  <c r="FW199" i="2"/>
  <c r="FU199" i="2"/>
  <c r="FS199" i="2"/>
  <c r="FR199" i="2"/>
  <c r="FV299" i="2"/>
  <c r="FW299" i="2"/>
  <c r="FT299" i="2"/>
  <c r="FY299" i="2"/>
  <c r="FR299" i="2"/>
  <c r="FU299" i="2"/>
  <c r="FS299" i="2"/>
  <c r="FX299" i="2"/>
  <c r="FS93" i="2"/>
  <c r="FW93" i="2"/>
  <c r="FV93" i="2"/>
  <c r="FY93" i="2"/>
  <c r="FR93" i="2"/>
  <c r="FU93" i="2"/>
  <c r="FT93" i="2"/>
  <c r="FX93" i="2"/>
  <c r="FR87" i="2"/>
  <c r="FV87" i="2"/>
  <c r="FT87" i="2"/>
  <c r="FU87" i="2"/>
  <c r="FW87" i="2"/>
  <c r="FS87" i="2"/>
  <c r="FX87" i="2"/>
  <c r="FY87" i="2"/>
  <c r="FU204" i="2"/>
  <c r="FV204" i="2"/>
  <c r="FR204" i="2"/>
  <c r="FS204" i="2"/>
  <c r="FW204" i="2"/>
  <c r="FY204" i="2"/>
  <c r="FT204" i="2"/>
  <c r="FX204" i="2"/>
  <c r="FU207" i="2"/>
  <c r="FW207" i="2"/>
  <c r="FV207" i="2"/>
  <c r="FS207" i="2"/>
  <c r="FR207" i="2"/>
  <c r="FY207" i="2"/>
  <c r="FT207" i="2"/>
  <c r="FX207" i="2"/>
  <c r="FP220" i="2"/>
  <c r="FQ209" i="2"/>
  <c r="FU342" i="2"/>
  <c r="FX342" i="2"/>
  <c r="FS342" i="2"/>
  <c r="FR342" i="2"/>
  <c r="FV342" i="2"/>
  <c r="FY342" i="2"/>
  <c r="FW342" i="2"/>
  <c r="FT342" i="2"/>
  <c r="FP223" i="2"/>
  <c r="FQ212" i="2"/>
  <c r="FX45" i="2"/>
  <c r="FU45" i="2"/>
  <c r="FV45" i="2"/>
  <c r="FW45" i="2"/>
  <c r="FR45" i="2"/>
  <c r="FT45" i="2"/>
  <c r="FS45" i="2"/>
  <c r="FY45" i="2"/>
  <c r="FX269" i="2"/>
  <c r="FV269" i="2"/>
  <c r="FT269" i="2"/>
  <c r="FS269" i="2"/>
  <c r="FR269" i="2"/>
  <c r="FU269" i="2"/>
  <c r="FW269" i="2"/>
  <c r="FY269" i="2"/>
  <c r="FY157" i="2"/>
  <c r="FW157" i="2"/>
  <c r="FS157" i="2"/>
  <c r="FV157" i="2"/>
  <c r="FR157" i="2"/>
  <c r="FT157" i="2"/>
  <c r="FX157" i="2"/>
  <c r="FU157" i="2"/>
  <c r="FS305" i="2"/>
  <c r="FR305" i="2"/>
  <c r="FX305" i="2"/>
  <c r="FT305" i="2"/>
  <c r="FV305" i="2"/>
  <c r="FU305" i="2"/>
  <c r="FY305" i="2"/>
  <c r="FW305" i="2"/>
  <c r="FQ214" i="2"/>
  <c r="FP225" i="2"/>
  <c r="FY313" i="2"/>
  <c r="FT313" i="2"/>
  <c r="FW313" i="2"/>
  <c r="FR313" i="2"/>
  <c r="FX313" i="2"/>
  <c r="FU313" i="2"/>
  <c r="FV313" i="2"/>
  <c r="FS313" i="2"/>
  <c r="FQ100" i="2"/>
  <c r="FP111" i="2"/>
  <c r="FQ105" i="2"/>
  <c r="FP116" i="2"/>
  <c r="FX302" i="2"/>
  <c r="FR302" i="2"/>
  <c r="FW302" i="2"/>
  <c r="FV302" i="2"/>
  <c r="FY302" i="2"/>
  <c r="FT302" i="2"/>
  <c r="FU302" i="2"/>
  <c r="FS302" i="2"/>
  <c r="FR343" i="2"/>
  <c r="FU343" i="2"/>
  <c r="FT343" i="2"/>
  <c r="FX343" i="2"/>
  <c r="FV343" i="2"/>
  <c r="FW343" i="2"/>
  <c r="FS343" i="2"/>
  <c r="FY343" i="2"/>
  <c r="DP469" i="2"/>
  <c r="DJ469" i="2" s="1"/>
  <c r="DJ468" i="2"/>
  <c r="DI395" i="2"/>
  <c r="DJ384" i="2"/>
  <c r="DP361" i="2"/>
  <c r="DJ360" i="2"/>
  <c r="DJ66" i="2" l="1"/>
  <c r="DI77" i="2"/>
  <c r="DJ73" i="2"/>
  <c r="DI84" i="2"/>
  <c r="DI64" i="2"/>
  <c r="DJ53" i="2"/>
  <c r="DK222" i="2"/>
  <c r="DN222" i="2"/>
  <c r="DM222" i="2"/>
  <c r="DL222" i="2"/>
  <c r="DO222" i="2"/>
  <c r="DJ226" i="2"/>
  <c r="DI232" i="2"/>
  <c r="DI528" i="2"/>
  <c r="DJ522" i="2"/>
  <c r="DI577" i="2"/>
  <c r="DJ577" i="2" s="1"/>
  <c r="DJ573" i="2"/>
  <c r="DI556" i="2"/>
  <c r="DJ551" i="2"/>
  <c r="DJ585" i="2"/>
  <c r="DJ162" i="2"/>
  <c r="DI170" i="2"/>
  <c r="DI261" i="2"/>
  <c r="DJ261" i="2" s="1"/>
  <c r="DJ256" i="2"/>
  <c r="DI81" i="2"/>
  <c r="DJ70" i="2"/>
  <c r="DJ68" i="2"/>
  <c r="DI79" i="2"/>
  <c r="DJ69" i="2"/>
  <c r="DI80" i="2"/>
  <c r="DK219" i="2"/>
  <c r="DM219" i="2"/>
  <c r="DO219" i="2"/>
  <c r="DL219" i="2"/>
  <c r="DN219" i="2"/>
  <c r="DJ355" i="2"/>
  <c r="DI366" i="2"/>
  <c r="DJ358" i="2"/>
  <c r="DI369" i="2"/>
  <c r="DJ356" i="2"/>
  <c r="DI367" i="2"/>
  <c r="DI474" i="2"/>
  <c r="DJ466" i="2"/>
  <c r="DJ477" i="2"/>
  <c r="DI485" i="2"/>
  <c r="DM164" i="2"/>
  <c r="DN164" i="2"/>
  <c r="DO164" i="2"/>
  <c r="DL164" i="2"/>
  <c r="DK164" i="2"/>
  <c r="DK250" i="2"/>
  <c r="DL250" i="2"/>
  <c r="DM250" i="2"/>
  <c r="DO250" i="2"/>
  <c r="DN250" i="2"/>
  <c r="CT649" i="2"/>
  <c r="DI761" i="2" s="1"/>
  <c r="CT647" i="2"/>
  <c r="DI759" i="2" s="1"/>
  <c r="CT646" i="2"/>
  <c r="DI758" i="2" s="1"/>
  <c r="CT650" i="2"/>
  <c r="DI762" i="2" s="1"/>
  <c r="CT645" i="2"/>
  <c r="DI757" i="2" s="1"/>
  <c r="CT648" i="2"/>
  <c r="DI760" i="2" s="1"/>
  <c r="CT644" i="2"/>
  <c r="DL60" i="2"/>
  <c r="DN60" i="2"/>
  <c r="DK60" i="2"/>
  <c r="DM60" i="2"/>
  <c r="DO60" i="2"/>
  <c r="DK54" i="2"/>
  <c r="DM54" i="2"/>
  <c r="DO54" i="2"/>
  <c r="DL54" i="2"/>
  <c r="DN54" i="2"/>
  <c r="DI224" i="2"/>
  <c r="DJ218" i="2"/>
  <c r="DJ523" i="2"/>
  <c r="DI529" i="2"/>
  <c r="DP281" i="2"/>
  <c r="DJ281" i="2" s="1"/>
  <c r="DJ280" i="2"/>
  <c r="DI571" i="2"/>
  <c r="DP567" i="2"/>
  <c r="DP568" i="2" s="1"/>
  <c r="DJ557" i="2"/>
  <c r="DI562" i="2"/>
  <c r="DJ562" i="2" s="1"/>
  <c r="DI584" i="2"/>
  <c r="DJ584" i="2" s="1"/>
  <c r="DP581" i="2"/>
  <c r="DP582" i="2" s="1"/>
  <c r="DJ582" i="2" s="1"/>
  <c r="DJ581" i="2"/>
  <c r="DL275" i="2"/>
  <c r="DN275" i="2"/>
  <c r="DM275" i="2"/>
  <c r="DO275" i="2"/>
  <c r="DK275" i="2"/>
  <c r="DI184" i="2"/>
  <c r="DJ176" i="2"/>
  <c r="DI183" i="2"/>
  <c r="DJ175" i="2"/>
  <c r="DK166" i="2"/>
  <c r="DM166" i="2"/>
  <c r="DO166" i="2"/>
  <c r="DL166" i="2"/>
  <c r="DN166" i="2"/>
  <c r="DN252" i="2"/>
  <c r="DL252" i="2"/>
  <c r="DM252" i="2"/>
  <c r="DK252" i="2"/>
  <c r="DO252" i="2"/>
  <c r="DI78" i="2"/>
  <c r="DJ67" i="2"/>
  <c r="DO61" i="2"/>
  <c r="DK61" i="2"/>
  <c r="DN61" i="2"/>
  <c r="DM61" i="2"/>
  <c r="DL61" i="2"/>
  <c r="DK221" i="2"/>
  <c r="DL221" i="2"/>
  <c r="DO221" i="2"/>
  <c r="DN221" i="2"/>
  <c r="DM221" i="2"/>
  <c r="DI368" i="2"/>
  <c r="DJ357" i="2"/>
  <c r="DI382" i="2"/>
  <c r="DJ371" i="2"/>
  <c r="DI354" i="2"/>
  <c r="DP343" i="2"/>
  <c r="DP344" i="2" s="1"/>
  <c r="DJ343" i="2"/>
  <c r="DI475" i="2"/>
  <c r="DJ467" i="2"/>
  <c r="DI274" i="2"/>
  <c r="DJ274" i="2" s="1"/>
  <c r="DJ270" i="2"/>
  <c r="DL276" i="2"/>
  <c r="DK276" i="2"/>
  <c r="DO276" i="2"/>
  <c r="DM276" i="2"/>
  <c r="DN276" i="2"/>
  <c r="DJ173" i="2"/>
  <c r="DI181" i="2"/>
  <c r="DI179" i="2"/>
  <c r="DJ171" i="2"/>
  <c r="DP245" i="2"/>
  <c r="DJ244" i="2"/>
  <c r="DF644" i="2"/>
  <c r="DF645" i="2"/>
  <c r="DI883" i="2" s="1"/>
  <c r="CW648" i="2"/>
  <c r="DI818" i="2" s="1"/>
  <c r="CW647" i="2"/>
  <c r="DI817" i="2" s="1"/>
  <c r="CW646" i="2"/>
  <c r="DI816" i="2" s="1"/>
  <c r="CW645" i="2"/>
  <c r="DI815" i="2" s="1"/>
  <c r="CW644" i="2"/>
  <c r="DK55" i="2"/>
  <c r="DO55" i="2"/>
  <c r="DN55" i="2"/>
  <c r="DM55" i="2"/>
  <c r="DL55" i="2"/>
  <c r="DK62" i="2"/>
  <c r="DM62" i="2"/>
  <c r="DL62" i="2"/>
  <c r="DN62" i="2"/>
  <c r="DO62" i="2"/>
  <c r="DP43" i="2"/>
  <c r="DJ42" i="2"/>
  <c r="DI234" i="2"/>
  <c r="DJ228" i="2"/>
  <c r="DN220" i="2"/>
  <c r="DM220" i="2"/>
  <c r="DL220" i="2"/>
  <c r="DO220" i="2"/>
  <c r="DK220" i="2"/>
  <c r="DJ520" i="2"/>
  <c r="DI526" i="2"/>
  <c r="DI519" i="2"/>
  <c r="DP513" i="2"/>
  <c r="DP514" i="2" s="1"/>
  <c r="DJ513" i="2"/>
  <c r="DI550" i="2"/>
  <c r="DP545" i="2"/>
  <c r="DP546" i="2" s="1"/>
  <c r="DJ154" i="2"/>
  <c r="DP155" i="2"/>
  <c r="DO251" i="2"/>
  <c r="DN251" i="2"/>
  <c r="DM251" i="2"/>
  <c r="DL251" i="2"/>
  <c r="DK251" i="2"/>
  <c r="DM59" i="2"/>
  <c r="DL59" i="2"/>
  <c r="DN59" i="2"/>
  <c r="DO59" i="2"/>
  <c r="DK59" i="2"/>
  <c r="DM57" i="2"/>
  <c r="DL57" i="2"/>
  <c r="DK57" i="2"/>
  <c r="DO57" i="2"/>
  <c r="DN57" i="2"/>
  <c r="DL58" i="2"/>
  <c r="DN58" i="2"/>
  <c r="DK58" i="2"/>
  <c r="DM58" i="2"/>
  <c r="DO58" i="2"/>
  <c r="DJ225" i="2"/>
  <c r="DI231" i="2"/>
  <c r="DJ385" i="2"/>
  <c r="DI396" i="2"/>
  <c r="DI394" i="2"/>
  <c r="DJ383" i="2"/>
  <c r="DI463" i="2"/>
  <c r="DP455" i="2"/>
  <c r="DP456" i="2" s="1"/>
  <c r="DJ455" i="2"/>
  <c r="DI484" i="2"/>
  <c r="DJ476" i="2"/>
  <c r="DJ172" i="2"/>
  <c r="DI180" i="2"/>
  <c r="DI260" i="2"/>
  <c r="DJ260" i="2" s="1"/>
  <c r="DJ255" i="2"/>
  <c r="CQ646" i="2"/>
  <c r="DI646" i="2" s="1"/>
  <c r="CQ650" i="2"/>
  <c r="DI650" i="2" s="1"/>
  <c r="CQ651" i="2"/>
  <c r="DI651" i="2" s="1"/>
  <c r="CQ648" i="2"/>
  <c r="DI648" i="2" s="1"/>
  <c r="CQ644" i="2"/>
  <c r="CQ647" i="2"/>
  <c r="DI647" i="2" s="1"/>
  <c r="CQ652" i="2"/>
  <c r="DI652" i="2" s="1"/>
  <c r="CQ645" i="2"/>
  <c r="DI645" i="2" s="1"/>
  <c r="CQ649" i="2"/>
  <c r="DI649" i="2" s="1"/>
  <c r="CQ653" i="2"/>
  <c r="DI653" i="2" s="1"/>
  <c r="DC645" i="2"/>
  <c r="DI869" i="2" s="1"/>
  <c r="DC646" i="2"/>
  <c r="DI870" i="2" s="1"/>
  <c r="DC644" i="2"/>
  <c r="DJ71" i="2"/>
  <c r="DI82" i="2"/>
  <c r="DI76" i="2"/>
  <c r="DJ65" i="2"/>
  <c r="DJ212" i="2"/>
  <c r="DP213" i="2"/>
  <c r="DI527" i="2"/>
  <c r="DJ521" i="2"/>
  <c r="DN283" i="2"/>
  <c r="DL283" i="2"/>
  <c r="DO283" i="2"/>
  <c r="DM283" i="2"/>
  <c r="DK283" i="2"/>
  <c r="DI576" i="2"/>
  <c r="DJ576" i="2" s="1"/>
  <c r="DJ572" i="2"/>
  <c r="DI563" i="2"/>
  <c r="DJ563" i="2" s="1"/>
  <c r="DJ558" i="2"/>
  <c r="DO271" i="2"/>
  <c r="DK271" i="2"/>
  <c r="DL271" i="2"/>
  <c r="DM271" i="2"/>
  <c r="DN271" i="2"/>
  <c r="DM168" i="2"/>
  <c r="DO168" i="2"/>
  <c r="DN168" i="2"/>
  <c r="DL168" i="2"/>
  <c r="DK168" i="2"/>
  <c r="DK167" i="2"/>
  <c r="DO167" i="2"/>
  <c r="DN167" i="2"/>
  <c r="DM167" i="2"/>
  <c r="DL167" i="2"/>
  <c r="DI182" i="2"/>
  <c r="DJ174" i="2"/>
  <c r="DJ257" i="2"/>
  <c r="DI262" i="2"/>
  <c r="DJ262" i="2" s="1"/>
  <c r="DN56" i="2"/>
  <c r="DM56" i="2"/>
  <c r="DO56" i="2"/>
  <c r="DL56" i="2"/>
  <c r="DK56" i="2"/>
  <c r="DI83" i="2"/>
  <c r="DJ72" i="2"/>
  <c r="DI233" i="2"/>
  <c r="DJ227" i="2"/>
  <c r="DI370" i="2"/>
  <c r="DJ359" i="2"/>
  <c r="DI472" i="2"/>
  <c r="DJ464" i="2"/>
  <c r="DI473" i="2"/>
  <c r="DJ465" i="2"/>
  <c r="DK284" i="2"/>
  <c r="DN284" i="2"/>
  <c r="DO284" i="2"/>
  <c r="DM284" i="2"/>
  <c r="DL284" i="2"/>
  <c r="DP267" i="2"/>
  <c r="DJ266" i="2"/>
  <c r="DL272" i="2"/>
  <c r="DK272" i="2"/>
  <c r="DM272" i="2"/>
  <c r="DN272" i="2"/>
  <c r="DO272" i="2"/>
  <c r="DO165" i="2"/>
  <c r="DN165" i="2"/>
  <c r="DM165" i="2"/>
  <c r="DL165" i="2"/>
  <c r="DK165" i="2"/>
  <c r="DM163" i="2"/>
  <c r="DK163" i="2"/>
  <c r="DO163" i="2"/>
  <c r="DN163" i="2"/>
  <c r="DL163" i="2"/>
  <c r="DJ249" i="2"/>
  <c r="DI254" i="2"/>
  <c r="CZ647" i="2"/>
  <c r="DI849" i="2" s="1"/>
  <c r="CZ645" i="2"/>
  <c r="DI847" i="2" s="1"/>
  <c r="CZ646" i="2"/>
  <c r="DI848" i="2" s="1"/>
  <c r="CZ644" i="2"/>
  <c r="G44" i="7950"/>
  <c r="DP374" i="2"/>
  <c r="DJ374" i="2" s="1"/>
  <c r="DJ373" i="2"/>
  <c r="DL372" i="2"/>
  <c r="DN372" i="2"/>
  <c r="DO372" i="2"/>
  <c r="DM372" i="2"/>
  <c r="DK372" i="2"/>
  <c r="DK553" i="2"/>
  <c r="DL553" i="2"/>
  <c r="DN553" i="2"/>
  <c r="DO553" i="2"/>
  <c r="DM553" i="2"/>
  <c r="DM552" i="2"/>
  <c r="DO552" i="2"/>
  <c r="DL552" i="2"/>
  <c r="DN552" i="2"/>
  <c r="DK552" i="2"/>
  <c r="AT60" i="7950"/>
  <c r="AU60" i="7950" s="1"/>
  <c r="G60" i="7950"/>
  <c r="FR105" i="2"/>
  <c r="FW105" i="2"/>
  <c r="FU105" i="2"/>
  <c r="FY105" i="2"/>
  <c r="FT105" i="2"/>
  <c r="FV105" i="2"/>
  <c r="FX105" i="2"/>
  <c r="FS105" i="2"/>
  <c r="FY100" i="2"/>
  <c r="FW100" i="2"/>
  <c r="FU100" i="2"/>
  <c r="FT100" i="2"/>
  <c r="FX100" i="2"/>
  <c r="FS100" i="2"/>
  <c r="FV100" i="2"/>
  <c r="FR100" i="2"/>
  <c r="FR214" i="2"/>
  <c r="FT214" i="2"/>
  <c r="FY214" i="2"/>
  <c r="FS214" i="2"/>
  <c r="FV214" i="2"/>
  <c r="FU214" i="2"/>
  <c r="FX214" i="2"/>
  <c r="FW214" i="2"/>
  <c r="FP234" i="2"/>
  <c r="FQ223" i="2"/>
  <c r="FP231" i="2"/>
  <c r="FQ220" i="2"/>
  <c r="FW102" i="2"/>
  <c r="FX102" i="2"/>
  <c r="FU102" i="2"/>
  <c r="FV102" i="2"/>
  <c r="FS102" i="2"/>
  <c r="FY102" i="2"/>
  <c r="FT102" i="2"/>
  <c r="FR102" i="2"/>
  <c r="FU99" i="2"/>
  <c r="FT99" i="2"/>
  <c r="FW99" i="2"/>
  <c r="FY99" i="2"/>
  <c r="FV99" i="2"/>
  <c r="FR99" i="2"/>
  <c r="FS99" i="2"/>
  <c r="FX99" i="2"/>
  <c r="FU217" i="2"/>
  <c r="FY217" i="2"/>
  <c r="FV217" i="2"/>
  <c r="FT217" i="2"/>
  <c r="FX217" i="2"/>
  <c r="FW217" i="2"/>
  <c r="FS217" i="2"/>
  <c r="FR217" i="2"/>
  <c r="FU97" i="2"/>
  <c r="FT97" i="2"/>
  <c r="FR97" i="2"/>
  <c r="FX97" i="2"/>
  <c r="FV97" i="2"/>
  <c r="FS97" i="2"/>
  <c r="FY97" i="2"/>
  <c r="FW97" i="2"/>
  <c r="FX315" i="2"/>
  <c r="FS315" i="2"/>
  <c r="FU315" i="2"/>
  <c r="FT315" i="2"/>
  <c r="FY315" i="2"/>
  <c r="FV315" i="2"/>
  <c r="FW315" i="2"/>
  <c r="FR315" i="2"/>
  <c r="FZ160" i="2"/>
  <c r="FQ159" i="2"/>
  <c r="FT271" i="2"/>
  <c r="FW271" i="2"/>
  <c r="FU271" i="2"/>
  <c r="FX271" i="2"/>
  <c r="FS271" i="2"/>
  <c r="FY271" i="2"/>
  <c r="FR271" i="2"/>
  <c r="FV271" i="2"/>
  <c r="FZ48" i="2"/>
  <c r="FQ47" i="2"/>
  <c r="FQ229" i="2"/>
  <c r="FP240" i="2"/>
  <c r="FP237" i="2"/>
  <c r="FQ226" i="2"/>
  <c r="FT98" i="2"/>
  <c r="FX98" i="2"/>
  <c r="FW98" i="2"/>
  <c r="FV98" i="2"/>
  <c r="FS98" i="2"/>
  <c r="FY98" i="2"/>
  <c r="FU98" i="2"/>
  <c r="FR98" i="2"/>
  <c r="FQ115" i="2"/>
  <c r="FP126" i="2"/>
  <c r="FQ221" i="2"/>
  <c r="FP232" i="2"/>
  <c r="K44" i="7950"/>
  <c r="AV44" i="7950"/>
  <c r="FP128" i="2"/>
  <c r="FQ117" i="2"/>
  <c r="FU211" i="2"/>
  <c r="FV211" i="2"/>
  <c r="FY211" i="2"/>
  <c r="FR211" i="2"/>
  <c r="FT211" i="2"/>
  <c r="FW211" i="2"/>
  <c r="FX211" i="2"/>
  <c r="FS211" i="2"/>
  <c r="FP125" i="2"/>
  <c r="FQ114" i="2"/>
  <c r="FS216" i="2"/>
  <c r="FU216" i="2"/>
  <c r="FW216" i="2"/>
  <c r="FT216" i="2"/>
  <c r="FX216" i="2"/>
  <c r="FR216" i="2"/>
  <c r="FV216" i="2"/>
  <c r="FY216" i="2"/>
  <c r="FR101" i="2"/>
  <c r="FT101" i="2"/>
  <c r="FV101" i="2"/>
  <c r="FX101" i="2"/>
  <c r="FU101" i="2"/>
  <c r="FW101" i="2"/>
  <c r="FY101" i="2"/>
  <c r="FS101" i="2"/>
  <c r="FQ224" i="2"/>
  <c r="FP235" i="2"/>
  <c r="FQ116" i="2"/>
  <c r="FP127" i="2"/>
  <c r="FP122" i="2"/>
  <c r="FQ111" i="2"/>
  <c r="FQ225" i="2"/>
  <c r="FP236" i="2"/>
  <c r="FY212" i="2"/>
  <c r="FR212" i="2"/>
  <c r="FV212" i="2"/>
  <c r="FX212" i="2"/>
  <c r="FT212" i="2"/>
  <c r="FU212" i="2"/>
  <c r="FW212" i="2"/>
  <c r="FS212" i="2"/>
  <c r="FY209" i="2"/>
  <c r="FW209" i="2"/>
  <c r="FT209" i="2"/>
  <c r="FU209" i="2"/>
  <c r="FX209" i="2"/>
  <c r="FS209" i="2"/>
  <c r="FR209" i="2"/>
  <c r="FV209" i="2"/>
  <c r="FQ113" i="2"/>
  <c r="FP124" i="2"/>
  <c r="FQ110" i="2"/>
  <c r="FP121" i="2"/>
  <c r="FP239" i="2"/>
  <c r="FQ228" i="2"/>
  <c r="FP119" i="2"/>
  <c r="FQ108" i="2"/>
  <c r="FT314" i="2"/>
  <c r="FU314" i="2"/>
  <c r="FY314" i="2"/>
  <c r="FW314" i="2"/>
  <c r="FV314" i="2"/>
  <c r="FS314" i="2"/>
  <c r="FX314" i="2"/>
  <c r="FR314" i="2"/>
  <c r="FT158" i="2"/>
  <c r="FV158" i="2"/>
  <c r="FS158" i="2"/>
  <c r="FW158" i="2"/>
  <c r="FR158" i="2"/>
  <c r="FY158" i="2"/>
  <c r="FX158" i="2"/>
  <c r="FU158" i="2"/>
  <c r="FY270" i="2"/>
  <c r="FX270" i="2"/>
  <c r="FR270" i="2"/>
  <c r="FT270" i="2"/>
  <c r="FU270" i="2"/>
  <c r="FV270" i="2"/>
  <c r="FS270" i="2"/>
  <c r="FW270" i="2"/>
  <c r="FS46" i="2"/>
  <c r="FR46" i="2"/>
  <c r="FX46" i="2"/>
  <c r="FV46" i="2"/>
  <c r="FT46" i="2"/>
  <c r="FU46" i="2"/>
  <c r="FW46" i="2"/>
  <c r="FY46" i="2"/>
  <c r="FX218" i="2"/>
  <c r="FR218" i="2"/>
  <c r="FV218" i="2"/>
  <c r="FY218" i="2"/>
  <c r="FU218" i="2"/>
  <c r="FS218" i="2"/>
  <c r="FW218" i="2"/>
  <c r="FT218" i="2"/>
  <c r="FT215" i="2"/>
  <c r="FV215" i="2"/>
  <c r="FY215" i="2"/>
  <c r="FS215" i="2"/>
  <c r="FU215" i="2"/>
  <c r="FW215" i="2"/>
  <c r="FX215" i="2"/>
  <c r="FR215" i="2"/>
  <c r="FP120" i="2"/>
  <c r="FQ109" i="2"/>
  <c r="FY104" i="2"/>
  <c r="FU104" i="2"/>
  <c r="FW104" i="2"/>
  <c r="FX104" i="2"/>
  <c r="FS104" i="2"/>
  <c r="FR104" i="2"/>
  <c r="FV104" i="2"/>
  <c r="FT104" i="2"/>
  <c r="FX210" i="2"/>
  <c r="FW210" i="2"/>
  <c r="FS210" i="2"/>
  <c r="FY210" i="2"/>
  <c r="FT210" i="2"/>
  <c r="FV210" i="2"/>
  <c r="FR210" i="2"/>
  <c r="FU210" i="2"/>
  <c r="FS106" i="2"/>
  <c r="FV106" i="2"/>
  <c r="FU106" i="2"/>
  <c r="FX106" i="2"/>
  <c r="FR106" i="2"/>
  <c r="FT106" i="2"/>
  <c r="FY106" i="2"/>
  <c r="FW106" i="2"/>
  <c r="FP233" i="2"/>
  <c r="FQ222" i="2"/>
  <c r="FS103" i="2"/>
  <c r="FU103" i="2"/>
  <c r="FX103" i="2"/>
  <c r="FW103" i="2"/>
  <c r="FT103" i="2"/>
  <c r="FY103" i="2"/>
  <c r="FV103" i="2"/>
  <c r="FR103" i="2"/>
  <c r="FP238" i="2"/>
  <c r="FQ227" i="2"/>
  <c r="FP123" i="2"/>
  <c r="FQ112" i="2"/>
  <c r="FX213" i="2"/>
  <c r="FS213" i="2"/>
  <c r="FY213" i="2"/>
  <c r="FW213" i="2"/>
  <c r="FV213" i="2"/>
  <c r="FU213" i="2"/>
  <c r="FT213" i="2"/>
  <c r="FR213" i="2"/>
  <c r="DO469" i="2"/>
  <c r="DN469" i="2"/>
  <c r="DL469" i="2"/>
  <c r="DK469" i="2"/>
  <c r="DM469" i="2"/>
  <c r="DO468" i="2"/>
  <c r="DM468" i="2"/>
  <c r="DK468" i="2"/>
  <c r="DL468" i="2"/>
  <c r="DN468" i="2"/>
  <c r="DL360" i="2"/>
  <c r="DN360" i="2"/>
  <c r="DO360" i="2"/>
  <c r="DK360" i="2"/>
  <c r="DM360" i="2"/>
  <c r="DN384" i="2"/>
  <c r="DK384" i="2"/>
  <c r="DM384" i="2"/>
  <c r="DO384" i="2"/>
  <c r="DL384" i="2"/>
  <c r="DP362" i="2"/>
  <c r="DJ361" i="2"/>
  <c r="DI406" i="2"/>
  <c r="DJ395" i="2"/>
  <c r="DK465" i="2" l="1"/>
  <c r="DM465" i="2"/>
  <c r="DN465" i="2"/>
  <c r="DL465" i="2"/>
  <c r="DO465" i="2"/>
  <c r="DN464" i="2"/>
  <c r="DO464" i="2"/>
  <c r="DK464" i="2"/>
  <c r="DM464" i="2"/>
  <c r="DL464" i="2"/>
  <c r="DM227" i="2"/>
  <c r="DL227" i="2"/>
  <c r="DK227" i="2"/>
  <c r="DO227" i="2"/>
  <c r="DN227" i="2"/>
  <c r="DN257" i="2"/>
  <c r="DL257" i="2"/>
  <c r="DK257" i="2"/>
  <c r="DM257" i="2"/>
  <c r="DO257" i="2"/>
  <c r="DN558" i="2"/>
  <c r="DO558" i="2"/>
  <c r="DM558" i="2"/>
  <c r="DK558" i="2"/>
  <c r="DL558" i="2"/>
  <c r="DM572" i="2"/>
  <c r="DK572" i="2"/>
  <c r="DL572" i="2"/>
  <c r="DN572" i="2"/>
  <c r="DO572" i="2"/>
  <c r="DJ527" i="2"/>
  <c r="DI533" i="2"/>
  <c r="DK212" i="2"/>
  <c r="DL212" i="2"/>
  <c r="DN212" i="2"/>
  <c r="DO212" i="2"/>
  <c r="DM212" i="2"/>
  <c r="DJ76" i="2"/>
  <c r="DI87" i="2"/>
  <c r="DL71" i="2"/>
  <c r="DN71" i="2"/>
  <c r="DK71" i="2"/>
  <c r="DO71" i="2"/>
  <c r="DM71" i="2"/>
  <c r="DP876" i="2"/>
  <c r="DP877" i="2" s="1"/>
  <c r="DP878" i="2" s="1"/>
  <c r="DI874" i="2"/>
  <c r="DI664" i="2"/>
  <c r="DP743" i="2"/>
  <c r="DP744" i="2" s="1"/>
  <c r="DP745" i="2" s="1"/>
  <c r="DP746" i="2" s="1"/>
  <c r="DP747" i="2" s="1"/>
  <c r="DP748" i="2" s="1"/>
  <c r="DP749" i="2" s="1"/>
  <c r="DP750" i="2" s="1"/>
  <c r="DP751" i="2" s="1"/>
  <c r="DP752" i="2" s="1"/>
  <c r="DI656" i="2"/>
  <c r="DP655" i="2"/>
  <c r="DP656" i="2" s="1"/>
  <c r="DP657" i="2" s="1"/>
  <c r="DP658" i="2" s="1"/>
  <c r="DP659" i="2" s="1"/>
  <c r="DP660" i="2" s="1"/>
  <c r="DP661" i="2" s="1"/>
  <c r="DP662" i="2" s="1"/>
  <c r="DP663" i="2" s="1"/>
  <c r="DP664" i="2" s="1"/>
  <c r="DP677" i="2"/>
  <c r="DP678" i="2" s="1"/>
  <c r="DP679" i="2" s="1"/>
  <c r="DP680" i="2" s="1"/>
  <c r="DP681" i="2" s="1"/>
  <c r="DP682" i="2" s="1"/>
  <c r="DP683" i="2" s="1"/>
  <c r="DP684" i="2" s="1"/>
  <c r="DP685" i="2" s="1"/>
  <c r="DP686" i="2" s="1"/>
  <c r="DI658" i="2"/>
  <c r="DP688" i="2"/>
  <c r="DP689" i="2" s="1"/>
  <c r="DP690" i="2" s="1"/>
  <c r="DP691" i="2" s="1"/>
  <c r="DP692" i="2" s="1"/>
  <c r="DP693" i="2" s="1"/>
  <c r="DP694" i="2" s="1"/>
  <c r="DP695" i="2" s="1"/>
  <c r="DP696" i="2" s="1"/>
  <c r="DP697" i="2" s="1"/>
  <c r="DI659" i="2"/>
  <c r="DP710" i="2"/>
  <c r="DP711" i="2" s="1"/>
  <c r="DP712" i="2" s="1"/>
  <c r="DP713" i="2" s="1"/>
  <c r="DP714" i="2" s="1"/>
  <c r="DP715" i="2" s="1"/>
  <c r="DP716" i="2" s="1"/>
  <c r="DP717" i="2" s="1"/>
  <c r="DP718" i="2" s="1"/>
  <c r="DP719" i="2" s="1"/>
  <c r="DI661" i="2"/>
  <c r="DN255" i="2"/>
  <c r="DL255" i="2"/>
  <c r="DM255" i="2"/>
  <c r="DK255" i="2"/>
  <c r="DO255" i="2"/>
  <c r="DI188" i="2"/>
  <c r="DJ180" i="2"/>
  <c r="DM476" i="2"/>
  <c r="DO476" i="2"/>
  <c r="DL476" i="2"/>
  <c r="DN476" i="2"/>
  <c r="DK476" i="2"/>
  <c r="DK455" i="2"/>
  <c r="DO455" i="2"/>
  <c r="DN455" i="2"/>
  <c r="DM455" i="2"/>
  <c r="DL455" i="2"/>
  <c r="DI471" i="2"/>
  <c r="DJ463" i="2"/>
  <c r="DI405" i="2"/>
  <c r="DJ394" i="2"/>
  <c r="DO385" i="2"/>
  <c r="DK385" i="2"/>
  <c r="DL385" i="2"/>
  <c r="DN385" i="2"/>
  <c r="DM385" i="2"/>
  <c r="DO225" i="2"/>
  <c r="DN225" i="2"/>
  <c r="DM225" i="2"/>
  <c r="DL225" i="2"/>
  <c r="DK225" i="2"/>
  <c r="DK154" i="2"/>
  <c r="DM154" i="2"/>
  <c r="DN154" i="2"/>
  <c r="DL154" i="2"/>
  <c r="DO154" i="2"/>
  <c r="DP547" i="2"/>
  <c r="DJ546" i="2"/>
  <c r="DO513" i="2"/>
  <c r="DM513" i="2"/>
  <c r="DN513" i="2"/>
  <c r="DK513" i="2"/>
  <c r="DL513" i="2"/>
  <c r="DI525" i="2"/>
  <c r="DJ519" i="2"/>
  <c r="DM520" i="2"/>
  <c r="DL520" i="2"/>
  <c r="DO520" i="2"/>
  <c r="DK520" i="2"/>
  <c r="DN520" i="2"/>
  <c r="DL228" i="2"/>
  <c r="DN228" i="2"/>
  <c r="DM228" i="2"/>
  <c r="DO228" i="2"/>
  <c r="DK228" i="2"/>
  <c r="DM42" i="2"/>
  <c r="DK42" i="2"/>
  <c r="DL42" i="2"/>
  <c r="DN42" i="2"/>
  <c r="DO42" i="2"/>
  <c r="DI814" i="2"/>
  <c r="DP813" i="2"/>
  <c r="DI822" i="2"/>
  <c r="DP826" i="2"/>
  <c r="DP827" i="2" s="1"/>
  <c r="DP828" i="2" s="1"/>
  <c r="DP829" i="2" s="1"/>
  <c r="DP830" i="2" s="1"/>
  <c r="DP838" i="2"/>
  <c r="DP839" i="2" s="1"/>
  <c r="DP840" i="2" s="1"/>
  <c r="DP841" i="2" s="1"/>
  <c r="DP842" i="2" s="1"/>
  <c r="DI824" i="2"/>
  <c r="DI882" i="2"/>
  <c r="DP881" i="2"/>
  <c r="DP246" i="2"/>
  <c r="DJ245" i="2"/>
  <c r="DJ179" i="2"/>
  <c r="DI187" i="2"/>
  <c r="DN173" i="2"/>
  <c r="DM173" i="2"/>
  <c r="DO173" i="2"/>
  <c r="DK173" i="2"/>
  <c r="DL173" i="2"/>
  <c r="DK270" i="2"/>
  <c r="DM270" i="2"/>
  <c r="DO270" i="2"/>
  <c r="DN270" i="2"/>
  <c r="DL270" i="2"/>
  <c r="DK467" i="2"/>
  <c r="DN467" i="2"/>
  <c r="DL467" i="2"/>
  <c r="DM467" i="2"/>
  <c r="DO467" i="2"/>
  <c r="DM343" i="2"/>
  <c r="DN343" i="2"/>
  <c r="DO343" i="2"/>
  <c r="DK343" i="2"/>
  <c r="DL343" i="2"/>
  <c r="DI365" i="2"/>
  <c r="DJ354" i="2"/>
  <c r="DI393" i="2"/>
  <c r="DJ382" i="2"/>
  <c r="DI379" i="2"/>
  <c r="DJ368" i="2"/>
  <c r="DI89" i="2"/>
  <c r="DJ78" i="2"/>
  <c r="DJ183" i="2"/>
  <c r="DI191" i="2"/>
  <c r="DI192" i="2"/>
  <c r="DJ184" i="2"/>
  <c r="DK581" i="2"/>
  <c r="DO581" i="2"/>
  <c r="DN581" i="2"/>
  <c r="DM581" i="2"/>
  <c r="DL581" i="2"/>
  <c r="DK584" i="2"/>
  <c r="DL584" i="2"/>
  <c r="DO584" i="2"/>
  <c r="DM584" i="2"/>
  <c r="DN584" i="2"/>
  <c r="DL557" i="2"/>
  <c r="DN557" i="2"/>
  <c r="DK557" i="2"/>
  <c r="DM557" i="2"/>
  <c r="DO557" i="2"/>
  <c r="DP569" i="2"/>
  <c r="DJ569" i="2" s="1"/>
  <c r="DJ568" i="2"/>
  <c r="DO280" i="2"/>
  <c r="DK280" i="2"/>
  <c r="DN280" i="2"/>
  <c r="DM280" i="2"/>
  <c r="DL280" i="2"/>
  <c r="DI535" i="2"/>
  <c r="DJ529" i="2"/>
  <c r="DN218" i="2"/>
  <c r="DM218" i="2"/>
  <c r="DL218" i="2"/>
  <c r="DK218" i="2"/>
  <c r="DO218" i="2"/>
  <c r="DP755" i="2"/>
  <c r="DI756" i="2"/>
  <c r="DP764" i="2"/>
  <c r="DP765" i="2" s="1"/>
  <c r="DP766" i="2" s="1"/>
  <c r="DP767" i="2" s="1"/>
  <c r="DP768" i="2" s="1"/>
  <c r="DP769" i="2" s="1"/>
  <c r="DP770" i="2" s="1"/>
  <c r="DI765" i="2"/>
  <c r="DI766" i="2"/>
  <c r="DP772" i="2"/>
  <c r="DP773" i="2" s="1"/>
  <c r="DP774" i="2" s="1"/>
  <c r="DP775" i="2" s="1"/>
  <c r="DP776" i="2" s="1"/>
  <c r="DP777" i="2" s="1"/>
  <c r="DP778" i="2" s="1"/>
  <c r="DI769" i="2"/>
  <c r="DP796" i="2"/>
  <c r="DP797" i="2" s="1"/>
  <c r="DP798" i="2" s="1"/>
  <c r="DP799" i="2" s="1"/>
  <c r="DP800" i="2" s="1"/>
  <c r="DP801" i="2" s="1"/>
  <c r="DP802" i="2" s="1"/>
  <c r="DM477" i="2"/>
  <c r="DL477" i="2"/>
  <c r="DK477" i="2"/>
  <c r="DO477" i="2"/>
  <c r="DN477" i="2"/>
  <c r="DJ474" i="2"/>
  <c r="DI482" i="2"/>
  <c r="DM356" i="2"/>
  <c r="DN356" i="2"/>
  <c r="DK356" i="2"/>
  <c r="DL356" i="2"/>
  <c r="DO356" i="2"/>
  <c r="DM358" i="2"/>
  <c r="DN358" i="2"/>
  <c r="DK358" i="2"/>
  <c r="DL358" i="2"/>
  <c r="DO358" i="2"/>
  <c r="DK355" i="2"/>
  <c r="DN355" i="2"/>
  <c r="DL355" i="2"/>
  <c r="DO355" i="2"/>
  <c r="DM355" i="2"/>
  <c r="DJ80" i="2"/>
  <c r="DI91" i="2"/>
  <c r="DJ79" i="2"/>
  <c r="DI90" i="2"/>
  <c r="DN70" i="2"/>
  <c r="DM70" i="2"/>
  <c r="DL70" i="2"/>
  <c r="DK70" i="2"/>
  <c r="DO70" i="2"/>
  <c r="DK256" i="2"/>
  <c r="DO256" i="2"/>
  <c r="DN256" i="2"/>
  <c r="DM256" i="2"/>
  <c r="DL256" i="2"/>
  <c r="DJ170" i="2"/>
  <c r="DI178" i="2"/>
  <c r="DK585" i="2"/>
  <c r="DM585" i="2"/>
  <c r="DO585" i="2"/>
  <c r="DL585" i="2"/>
  <c r="DN585" i="2"/>
  <c r="DI561" i="2"/>
  <c r="DJ561" i="2" s="1"/>
  <c r="DJ556" i="2"/>
  <c r="DO577" i="2"/>
  <c r="DN577" i="2"/>
  <c r="DM577" i="2"/>
  <c r="DL577" i="2"/>
  <c r="DK577" i="2"/>
  <c r="DJ528" i="2"/>
  <c r="DI534" i="2"/>
  <c r="DK226" i="2"/>
  <c r="DN226" i="2"/>
  <c r="DM226" i="2"/>
  <c r="DO226" i="2"/>
  <c r="DL226" i="2"/>
  <c r="DL53" i="2"/>
  <c r="DK53" i="2"/>
  <c r="DO53" i="2"/>
  <c r="DN53" i="2"/>
  <c r="DM53" i="2"/>
  <c r="DJ84" i="2"/>
  <c r="DI95" i="2"/>
  <c r="DI88" i="2"/>
  <c r="DJ77" i="2"/>
  <c r="DI846" i="2"/>
  <c r="DP845" i="2"/>
  <c r="DP851" i="2"/>
  <c r="DP852" i="2" s="1"/>
  <c r="DP853" i="2" s="1"/>
  <c r="DP854" i="2" s="1"/>
  <c r="DI852" i="2"/>
  <c r="DI259" i="2"/>
  <c r="DJ259" i="2" s="1"/>
  <c r="DJ254" i="2"/>
  <c r="DP268" i="2"/>
  <c r="DJ268" i="2" s="1"/>
  <c r="DJ267" i="2"/>
  <c r="DO359" i="2"/>
  <c r="DL359" i="2"/>
  <c r="DM359" i="2"/>
  <c r="DK359" i="2"/>
  <c r="DN359" i="2"/>
  <c r="DM72" i="2"/>
  <c r="DL72" i="2"/>
  <c r="DK72" i="2"/>
  <c r="DO72" i="2"/>
  <c r="DN72" i="2"/>
  <c r="DI190" i="2"/>
  <c r="DJ182" i="2"/>
  <c r="DI853" i="2"/>
  <c r="DP856" i="2"/>
  <c r="DP857" i="2" s="1"/>
  <c r="DP858" i="2" s="1"/>
  <c r="DP859" i="2" s="1"/>
  <c r="DI854" i="2"/>
  <c r="DP861" i="2"/>
  <c r="DP862" i="2" s="1"/>
  <c r="DP863" i="2" s="1"/>
  <c r="DP864" i="2" s="1"/>
  <c r="DK249" i="2"/>
  <c r="DN249" i="2"/>
  <c r="DO249" i="2"/>
  <c r="DM249" i="2"/>
  <c r="DL249" i="2"/>
  <c r="DO266" i="2"/>
  <c r="DN266" i="2"/>
  <c r="DK266" i="2"/>
  <c r="DM266" i="2"/>
  <c r="DL266" i="2"/>
  <c r="DJ473" i="2"/>
  <c r="DI481" i="2"/>
  <c r="DI480" i="2"/>
  <c r="DJ472" i="2"/>
  <c r="DI381" i="2"/>
  <c r="DJ370" i="2"/>
  <c r="DI239" i="2"/>
  <c r="DJ239" i="2" s="1"/>
  <c r="DJ233" i="2"/>
  <c r="DJ83" i="2"/>
  <c r="DI94" i="2"/>
  <c r="DO262" i="2"/>
  <c r="DK262" i="2"/>
  <c r="DN262" i="2"/>
  <c r="DL262" i="2"/>
  <c r="DM262" i="2"/>
  <c r="DM174" i="2"/>
  <c r="DL174" i="2"/>
  <c r="DK174" i="2"/>
  <c r="DO174" i="2"/>
  <c r="DN174" i="2"/>
  <c r="DO563" i="2"/>
  <c r="DK563" i="2"/>
  <c r="DL563" i="2"/>
  <c r="DN563" i="2"/>
  <c r="DM563" i="2"/>
  <c r="DN576" i="2"/>
  <c r="DK576" i="2"/>
  <c r="DL576" i="2"/>
  <c r="DM576" i="2"/>
  <c r="DO576" i="2"/>
  <c r="DM521" i="2"/>
  <c r="DO521" i="2"/>
  <c r="DL521" i="2"/>
  <c r="DN521" i="2"/>
  <c r="DK521" i="2"/>
  <c r="DP214" i="2"/>
  <c r="DJ213" i="2"/>
  <c r="DM65" i="2"/>
  <c r="DK65" i="2"/>
  <c r="DN65" i="2"/>
  <c r="DO65" i="2"/>
  <c r="DL65" i="2"/>
  <c r="DJ82" i="2"/>
  <c r="DI93" i="2"/>
  <c r="DP867" i="2"/>
  <c r="DI868" i="2"/>
  <c r="DI873" i="2"/>
  <c r="DP872" i="2"/>
  <c r="DP873" i="2" s="1"/>
  <c r="DP874" i="2" s="1"/>
  <c r="DI660" i="2"/>
  <c r="DP699" i="2"/>
  <c r="DP700" i="2" s="1"/>
  <c r="DP701" i="2" s="1"/>
  <c r="DP702" i="2" s="1"/>
  <c r="DP703" i="2" s="1"/>
  <c r="DP704" i="2" s="1"/>
  <c r="DP705" i="2" s="1"/>
  <c r="DP706" i="2" s="1"/>
  <c r="DP707" i="2" s="1"/>
  <c r="DP708" i="2" s="1"/>
  <c r="DI663" i="2"/>
  <c r="DP732" i="2"/>
  <c r="DP733" i="2" s="1"/>
  <c r="DP734" i="2" s="1"/>
  <c r="DP735" i="2" s="1"/>
  <c r="DP736" i="2" s="1"/>
  <c r="DP737" i="2" s="1"/>
  <c r="DP738" i="2" s="1"/>
  <c r="DP739" i="2" s="1"/>
  <c r="DP740" i="2" s="1"/>
  <c r="DP741" i="2" s="1"/>
  <c r="DI644" i="2"/>
  <c r="DP643" i="2"/>
  <c r="DI662" i="2"/>
  <c r="DP721" i="2"/>
  <c r="DP722" i="2" s="1"/>
  <c r="DP723" i="2" s="1"/>
  <c r="DP724" i="2" s="1"/>
  <c r="DP725" i="2" s="1"/>
  <c r="DP726" i="2" s="1"/>
  <c r="DP727" i="2" s="1"/>
  <c r="DP728" i="2" s="1"/>
  <c r="DP729" i="2" s="1"/>
  <c r="DP730" i="2" s="1"/>
  <c r="DP666" i="2"/>
  <c r="DP667" i="2" s="1"/>
  <c r="DP668" i="2" s="1"/>
  <c r="DP669" i="2" s="1"/>
  <c r="DP670" i="2" s="1"/>
  <c r="DP671" i="2" s="1"/>
  <c r="DP672" i="2" s="1"/>
  <c r="DP673" i="2" s="1"/>
  <c r="DP674" i="2" s="1"/>
  <c r="DP675" i="2" s="1"/>
  <c r="DI657" i="2"/>
  <c r="DK260" i="2"/>
  <c r="DL260" i="2"/>
  <c r="DM260" i="2"/>
  <c r="DN260" i="2"/>
  <c r="DO260" i="2"/>
  <c r="DN172" i="2"/>
  <c r="DM172" i="2"/>
  <c r="DL172" i="2"/>
  <c r="DK172" i="2"/>
  <c r="DO172" i="2"/>
  <c r="DI492" i="2"/>
  <c r="DJ484" i="2"/>
  <c r="DJ456" i="2"/>
  <c r="DP457" i="2"/>
  <c r="DL383" i="2"/>
  <c r="DN383" i="2"/>
  <c r="DM383" i="2"/>
  <c r="DK383" i="2"/>
  <c r="DO383" i="2"/>
  <c r="DI407" i="2"/>
  <c r="DJ396" i="2"/>
  <c r="DI237" i="2"/>
  <c r="DJ237" i="2" s="1"/>
  <c r="DJ231" i="2"/>
  <c r="DP156" i="2"/>
  <c r="DJ155" i="2"/>
  <c r="DJ545" i="2"/>
  <c r="DJ550" i="2"/>
  <c r="DI555" i="2"/>
  <c r="DP515" i="2"/>
  <c r="DJ514" i="2"/>
  <c r="DI532" i="2"/>
  <c r="DJ526" i="2"/>
  <c r="DJ234" i="2"/>
  <c r="DI240" i="2"/>
  <c r="DJ240" i="2" s="1"/>
  <c r="DP44" i="2"/>
  <c r="DJ43" i="2"/>
  <c r="DI821" i="2"/>
  <c r="DP820" i="2"/>
  <c r="DP821" i="2" s="1"/>
  <c r="DP822" i="2" s="1"/>
  <c r="DP823" i="2" s="1"/>
  <c r="DP824" i="2" s="1"/>
  <c r="DI823" i="2"/>
  <c r="DP832" i="2"/>
  <c r="DP833" i="2" s="1"/>
  <c r="DP834" i="2" s="1"/>
  <c r="DP835" i="2" s="1"/>
  <c r="DP836" i="2" s="1"/>
  <c r="DI886" i="2"/>
  <c r="DP885" i="2"/>
  <c r="DP886" i="2" s="1"/>
  <c r="DO244" i="2"/>
  <c r="DK244" i="2"/>
  <c r="DM244" i="2"/>
  <c r="DL244" i="2"/>
  <c r="DN244" i="2"/>
  <c r="DN171" i="2"/>
  <c r="DM171" i="2"/>
  <c r="DO171" i="2"/>
  <c r="DL171" i="2"/>
  <c r="DK171" i="2"/>
  <c r="DI189" i="2"/>
  <c r="DJ181" i="2"/>
  <c r="DN274" i="2"/>
  <c r="DM274" i="2"/>
  <c r="DL274" i="2"/>
  <c r="DO274" i="2"/>
  <c r="DK274" i="2"/>
  <c r="DI483" i="2"/>
  <c r="DJ475" i="2"/>
  <c r="DP345" i="2"/>
  <c r="DJ344" i="2"/>
  <c r="DN371" i="2"/>
  <c r="DM371" i="2"/>
  <c r="DL371" i="2"/>
  <c r="DK371" i="2"/>
  <c r="DO371" i="2"/>
  <c r="DN357" i="2"/>
  <c r="DO357" i="2"/>
  <c r="DL357" i="2"/>
  <c r="DM357" i="2"/>
  <c r="DK357" i="2"/>
  <c r="DK67" i="2"/>
  <c r="DO67" i="2"/>
  <c r="DM67" i="2"/>
  <c r="DL67" i="2"/>
  <c r="DN67" i="2"/>
  <c r="DN175" i="2"/>
  <c r="DM175" i="2"/>
  <c r="DO175" i="2"/>
  <c r="DK175" i="2"/>
  <c r="DL175" i="2"/>
  <c r="DO176" i="2"/>
  <c r="DN176" i="2"/>
  <c r="DM176" i="2"/>
  <c r="DL176" i="2"/>
  <c r="DK176" i="2"/>
  <c r="DN582" i="2"/>
  <c r="DM582" i="2"/>
  <c r="DL582" i="2"/>
  <c r="DK582" i="2"/>
  <c r="DO582" i="2"/>
  <c r="DM562" i="2"/>
  <c r="DO562" i="2"/>
  <c r="DL562" i="2"/>
  <c r="DN562" i="2"/>
  <c r="DK562" i="2"/>
  <c r="DJ567" i="2"/>
  <c r="DJ571" i="2"/>
  <c r="DI575" i="2"/>
  <c r="DJ575" i="2" s="1"/>
  <c r="DL281" i="2"/>
  <c r="DO281" i="2"/>
  <c r="DK281" i="2"/>
  <c r="DM281" i="2"/>
  <c r="DN281" i="2"/>
  <c r="DK523" i="2"/>
  <c r="DO523" i="2"/>
  <c r="DN523" i="2"/>
  <c r="DM523" i="2"/>
  <c r="DL523" i="2"/>
  <c r="DI230" i="2"/>
  <c r="DJ224" i="2"/>
  <c r="DP788" i="2"/>
  <c r="DP789" i="2" s="1"/>
  <c r="DP790" i="2" s="1"/>
  <c r="DP791" i="2" s="1"/>
  <c r="DP792" i="2" s="1"/>
  <c r="DP793" i="2" s="1"/>
  <c r="DP794" i="2" s="1"/>
  <c r="DI768" i="2"/>
  <c r="DP804" i="2"/>
  <c r="DP805" i="2" s="1"/>
  <c r="DP806" i="2" s="1"/>
  <c r="DP807" i="2" s="1"/>
  <c r="DP808" i="2" s="1"/>
  <c r="DP809" i="2" s="1"/>
  <c r="DP810" i="2" s="1"/>
  <c r="DI770" i="2"/>
  <c r="DI767" i="2"/>
  <c r="DP780" i="2"/>
  <c r="DP781" i="2" s="1"/>
  <c r="DP782" i="2" s="1"/>
  <c r="DP783" i="2" s="1"/>
  <c r="DP784" i="2" s="1"/>
  <c r="DP785" i="2" s="1"/>
  <c r="DP786" i="2" s="1"/>
  <c r="DI493" i="2"/>
  <c r="DJ485" i="2"/>
  <c r="DM466" i="2"/>
  <c r="DO466" i="2"/>
  <c r="DK466" i="2"/>
  <c r="DL466" i="2"/>
  <c r="DN466" i="2"/>
  <c r="DI378" i="2"/>
  <c r="DJ367" i="2"/>
  <c r="DJ369" i="2"/>
  <c r="DI380" i="2"/>
  <c r="DI377" i="2"/>
  <c r="DJ366" i="2"/>
  <c r="DK69" i="2"/>
  <c r="DO69" i="2"/>
  <c r="DM69" i="2"/>
  <c r="DL69" i="2"/>
  <c r="DN69" i="2"/>
  <c r="DK68" i="2"/>
  <c r="DO68" i="2"/>
  <c r="DN68" i="2"/>
  <c r="DM68" i="2"/>
  <c r="DL68" i="2"/>
  <c r="DI92" i="2"/>
  <c r="DJ81" i="2"/>
  <c r="DL261" i="2"/>
  <c r="DK261" i="2"/>
  <c r="DO261" i="2"/>
  <c r="DN261" i="2"/>
  <c r="DM261" i="2"/>
  <c r="DM162" i="2"/>
  <c r="DN162" i="2"/>
  <c r="DL162" i="2"/>
  <c r="DK162" i="2"/>
  <c r="DO162" i="2"/>
  <c r="DM551" i="2"/>
  <c r="DL551" i="2"/>
  <c r="DN551" i="2"/>
  <c r="DO551" i="2"/>
  <c r="DK551" i="2"/>
  <c r="DK573" i="2"/>
  <c r="DO573" i="2"/>
  <c r="DN573" i="2"/>
  <c r="DM573" i="2"/>
  <c r="DL573" i="2"/>
  <c r="DO522" i="2"/>
  <c r="DM522" i="2"/>
  <c r="DK522" i="2"/>
  <c r="DL522" i="2"/>
  <c r="DN522" i="2"/>
  <c r="DJ232" i="2"/>
  <c r="DI238" i="2"/>
  <c r="DJ238" i="2" s="1"/>
  <c r="DI75" i="2"/>
  <c r="DJ64" i="2"/>
  <c r="DM73" i="2"/>
  <c r="DL73" i="2"/>
  <c r="DN73" i="2"/>
  <c r="DK73" i="2"/>
  <c r="DO73" i="2"/>
  <c r="DM66" i="2"/>
  <c r="DL66" i="2"/>
  <c r="DK66" i="2"/>
  <c r="DO66" i="2"/>
  <c r="DN66" i="2"/>
  <c r="DK374" i="2"/>
  <c r="DL374" i="2"/>
  <c r="DN374" i="2"/>
  <c r="DO374" i="2"/>
  <c r="DM374" i="2"/>
  <c r="DM373" i="2"/>
  <c r="DL373" i="2"/>
  <c r="DK373" i="2"/>
  <c r="DO373" i="2"/>
  <c r="DN373" i="2"/>
  <c r="AV60" i="7950"/>
  <c r="K60" i="7950"/>
  <c r="FQ123" i="2"/>
  <c r="FP134" i="2"/>
  <c r="FP249" i="2"/>
  <c r="FQ238" i="2"/>
  <c r="FP244" i="2"/>
  <c r="FQ233" i="2"/>
  <c r="FP131" i="2"/>
  <c r="FQ120" i="2"/>
  <c r="FP130" i="2"/>
  <c r="FQ119" i="2"/>
  <c r="FP250" i="2"/>
  <c r="FQ239" i="2"/>
  <c r="FW110" i="2"/>
  <c r="FY110" i="2"/>
  <c r="FR110" i="2"/>
  <c r="FS110" i="2"/>
  <c r="FV110" i="2"/>
  <c r="FX110" i="2"/>
  <c r="FU110" i="2"/>
  <c r="FT110" i="2"/>
  <c r="FY113" i="2"/>
  <c r="FS113" i="2"/>
  <c r="FW113" i="2"/>
  <c r="FU113" i="2"/>
  <c r="FX113" i="2"/>
  <c r="FT113" i="2"/>
  <c r="FV113" i="2"/>
  <c r="FR113" i="2"/>
  <c r="FS225" i="2"/>
  <c r="FX225" i="2"/>
  <c r="FR225" i="2"/>
  <c r="FV225" i="2"/>
  <c r="FT225" i="2"/>
  <c r="FY225" i="2"/>
  <c r="FU225" i="2"/>
  <c r="FW225" i="2"/>
  <c r="FP133" i="2"/>
  <c r="FQ122" i="2"/>
  <c r="FX116" i="2"/>
  <c r="FW116" i="2"/>
  <c r="FT116" i="2"/>
  <c r="FU116" i="2"/>
  <c r="FY116" i="2"/>
  <c r="FV116" i="2"/>
  <c r="FS116" i="2"/>
  <c r="FR116" i="2"/>
  <c r="FV224" i="2"/>
  <c r="FX224" i="2"/>
  <c r="FR224" i="2"/>
  <c r="FS224" i="2"/>
  <c r="FW224" i="2"/>
  <c r="FY224" i="2"/>
  <c r="FU224" i="2"/>
  <c r="FT224" i="2"/>
  <c r="FP136" i="2"/>
  <c r="FQ125" i="2"/>
  <c r="FQ128" i="2"/>
  <c r="FP139" i="2"/>
  <c r="FV221" i="2"/>
  <c r="FR221" i="2"/>
  <c r="FY221" i="2"/>
  <c r="FT221" i="2"/>
  <c r="FW221" i="2"/>
  <c r="FU221" i="2"/>
  <c r="FX221" i="2"/>
  <c r="FS221" i="2"/>
  <c r="FR115" i="2"/>
  <c r="FV115" i="2"/>
  <c r="FU115" i="2"/>
  <c r="FY115" i="2"/>
  <c r="FS115" i="2"/>
  <c r="FW115" i="2"/>
  <c r="FT115" i="2"/>
  <c r="FX115" i="2"/>
  <c r="FQ237" i="2"/>
  <c r="FP248" i="2"/>
  <c r="FT229" i="2"/>
  <c r="FX229" i="2"/>
  <c r="FR229" i="2"/>
  <c r="FV229" i="2"/>
  <c r="FS229" i="2"/>
  <c r="FY229" i="2"/>
  <c r="FU229" i="2"/>
  <c r="FW229" i="2"/>
  <c r="FZ49" i="2"/>
  <c r="FQ48" i="2"/>
  <c r="FZ161" i="2"/>
  <c r="FQ160" i="2"/>
  <c r="FQ231" i="2"/>
  <c r="FP242" i="2"/>
  <c r="FP245" i="2"/>
  <c r="FQ234" i="2"/>
  <c r="FS112" i="2"/>
  <c r="FR112" i="2"/>
  <c r="FX112" i="2"/>
  <c r="FV112" i="2"/>
  <c r="FT112" i="2"/>
  <c r="FU112" i="2"/>
  <c r="FY112" i="2"/>
  <c r="FW112" i="2"/>
  <c r="FS227" i="2"/>
  <c r="FW227" i="2"/>
  <c r="FT227" i="2"/>
  <c r="FY227" i="2"/>
  <c r="FR227" i="2"/>
  <c r="FV227" i="2"/>
  <c r="FU227" i="2"/>
  <c r="FX227" i="2"/>
  <c r="FV222" i="2"/>
  <c r="FX222" i="2"/>
  <c r="FU222" i="2"/>
  <c r="FT222" i="2"/>
  <c r="FW222" i="2"/>
  <c r="FY222" i="2"/>
  <c r="FR222" i="2"/>
  <c r="FS222" i="2"/>
  <c r="FR109" i="2"/>
  <c r="FV109" i="2"/>
  <c r="FS109" i="2"/>
  <c r="FY109" i="2"/>
  <c r="FU109" i="2"/>
  <c r="FW109" i="2"/>
  <c r="FT109" i="2"/>
  <c r="FX109" i="2"/>
  <c r="FW108" i="2"/>
  <c r="FX108" i="2"/>
  <c r="FU108" i="2"/>
  <c r="FT108" i="2"/>
  <c r="FV108" i="2"/>
  <c r="FY108" i="2"/>
  <c r="FR108" i="2"/>
  <c r="FS108" i="2"/>
  <c r="FS228" i="2"/>
  <c r="FR228" i="2"/>
  <c r="FX228" i="2"/>
  <c r="FV228" i="2"/>
  <c r="FT228" i="2"/>
  <c r="FU228" i="2"/>
  <c r="FY228" i="2"/>
  <c r="FW228" i="2"/>
  <c r="FP132" i="2"/>
  <c r="FQ121" i="2"/>
  <c r="FP135" i="2"/>
  <c r="FQ124" i="2"/>
  <c r="FP247" i="2"/>
  <c r="FQ236" i="2"/>
  <c r="FR111" i="2"/>
  <c r="FV111" i="2"/>
  <c r="FU111" i="2"/>
  <c r="FY111" i="2"/>
  <c r="FS111" i="2"/>
  <c r="FW111" i="2"/>
  <c r="FT111" i="2"/>
  <c r="FX111" i="2"/>
  <c r="FQ127" i="2"/>
  <c r="FP138" i="2"/>
  <c r="FQ235" i="2"/>
  <c r="FP246" i="2"/>
  <c r="FX114" i="2"/>
  <c r="FW114" i="2"/>
  <c r="FS114" i="2"/>
  <c r="FR114" i="2"/>
  <c r="FY114" i="2"/>
  <c r="FV114" i="2"/>
  <c r="FT114" i="2"/>
  <c r="FU114" i="2"/>
  <c r="FS117" i="2"/>
  <c r="FY117" i="2"/>
  <c r="FR117" i="2"/>
  <c r="FV117" i="2"/>
  <c r="FT117" i="2"/>
  <c r="FX117" i="2"/>
  <c r="FU117" i="2"/>
  <c r="FW117" i="2"/>
  <c r="AW44" i="7950"/>
  <c r="AZ44" i="7950"/>
  <c r="M44" i="7950"/>
  <c r="AX44" i="7950"/>
  <c r="AY44" i="7950"/>
  <c r="FP243" i="2"/>
  <c r="FQ232" i="2"/>
  <c r="FP137" i="2"/>
  <c r="FQ126" i="2"/>
  <c r="FU226" i="2"/>
  <c r="FT226" i="2"/>
  <c r="FV226" i="2"/>
  <c r="FY226" i="2"/>
  <c r="FR226" i="2"/>
  <c r="FS226" i="2"/>
  <c r="FW226" i="2"/>
  <c r="FX226" i="2"/>
  <c r="FQ240" i="2"/>
  <c r="FP251" i="2"/>
  <c r="FV47" i="2"/>
  <c r="FX47" i="2"/>
  <c r="FR47" i="2"/>
  <c r="FU47" i="2"/>
  <c r="FS47" i="2"/>
  <c r="FY47" i="2"/>
  <c r="FW47" i="2"/>
  <c r="FT47" i="2"/>
  <c r="FT159" i="2"/>
  <c r="FU159" i="2"/>
  <c r="FR159" i="2"/>
  <c r="FY159" i="2"/>
  <c r="FX159" i="2"/>
  <c r="FS159" i="2"/>
  <c r="FV159" i="2"/>
  <c r="FW159" i="2"/>
  <c r="FR220" i="2"/>
  <c r="FS220" i="2"/>
  <c r="FV220" i="2"/>
  <c r="FX220" i="2"/>
  <c r="FU220" i="2"/>
  <c r="FT220" i="2"/>
  <c r="FW220" i="2"/>
  <c r="FY220" i="2"/>
  <c r="FR223" i="2"/>
  <c r="FV223" i="2"/>
  <c r="FU223" i="2"/>
  <c r="FY223" i="2"/>
  <c r="FS223" i="2"/>
  <c r="FW223" i="2"/>
  <c r="FT223" i="2"/>
  <c r="FX223" i="2"/>
  <c r="DI417" i="2"/>
  <c r="DJ406" i="2"/>
  <c r="DP363" i="2"/>
  <c r="DJ363" i="2" s="1"/>
  <c r="DJ362" i="2"/>
  <c r="DM395" i="2"/>
  <c r="DO395" i="2"/>
  <c r="DL395" i="2"/>
  <c r="DN395" i="2"/>
  <c r="DK395" i="2"/>
  <c r="DN361" i="2"/>
  <c r="DM361" i="2"/>
  <c r="DO361" i="2"/>
  <c r="DK361" i="2"/>
  <c r="DL361" i="2"/>
  <c r="DO64" i="2" l="1"/>
  <c r="DK64" i="2"/>
  <c r="DL64" i="2"/>
  <c r="DN64" i="2"/>
  <c r="DM64" i="2"/>
  <c r="DM238" i="2"/>
  <c r="DO238" i="2"/>
  <c r="DK238" i="2"/>
  <c r="DL238" i="2"/>
  <c r="DN238" i="2"/>
  <c r="DJ92" i="2"/>
  <c r="DI103" i="2"/>
  <c r="DI388" i="2"/>
  <c r="DJ377" i="2"/>
  <c r="DK369" i="2"/>
  <c r="DO369" i="2"/>
  <c r="DN369" i="2"/>
  <c r="DM369" i="2"/>
  <c r="DL369" i="2"/>
  <c r="DI389" i="2"/>
  <c r="DJ378" i="2"/>
  <c r="DN485" i="2"/>
  <c r="DL485" i="2"/>
  <c r="DM485" i="2"/>
  <c r="DK485" i="2"/>
  <c r="DO485" i="2"/>
  <c r="DJ770" i="2"/>
  <c r="DI778" i="2"/>
  <c r="DJ768" i="2"/>
  <c r="DI776" i="2"/>
  <c r="DM224" i="2"/>
  <c r="DN224" i="2"/>
  <c r="DO224" i="2"/>
  <c r="DL224" i="2"/>
  <c r="DK224" i="2"/>
  <c r="DO575" i="2"/>
  <c r="DM575" i="2"/>
  <c r="DK575" i="2"/>
  <c r="DL575" i="2"/>
  <c r="DN575" i="2"/>
  <c r="DL567" i="2"/>
  <c r="DN567" i="2"/>
  <c r="DK567" i="2"/>
  <c r="DM567" i="2"/>
  <c r="DO567" i="2"/>
  <c r="DM344" i="2"/>
  <c r="DK344" i="2"/>
  <c r="DN344" i="2"/>
  <c r="DO344" i="2"/>
  <c r="DL344" i="2"/>
  <c r="DM475" i="2"/>
  <c r="DO475" i="2"/>
  <c r="DL475" i="2"/>
  <c r="DN475" i="2"/>
  <c r="DK475" i="2"/>
  <c r="DJ189" i="2"/>
  <c r="DI197" i="2"/>
  <c r="DJ886" i="2"/>
  <c r="DJ823" i="2"/>
  <c r="DI829" i="2"/>
  <c r="DJ821" i="2"/>
  <c r="DI827" i="2"/>
  <c r="DP45" i="2"/>
  <c r="DJ44" i="2"/>
  <c r="DN234" i="2"/>
  <c r="DO234" i="2"/>
  <c r="DM234" i="2"/>
  <c r="DL234" i="2"/>
  <c r="DK234" i="2"/>
  <c r="DI538" i="2"/>
  <c r="DJ538" i="2" s="1"/>
  <c r="DJ532" i="2"/>
  <c r="DJ515" i="2"/>
  <c r="DP516" i="2"/>
  <c r="DK550" i="2"/>
  <c r="DN550" i="2"/>
  <c r="DO550" i="2"/>
  <c r="DL550" i="2"/>
  <c r="DM550" i="2"/>
  <c r="DL155" i="2"/>
  <c r="DN155" i="2"/>
  <c r="DK155" i="2"/>
  <c r="DM155" i="2"/>
  <c r="DO155" i="2"/>
  <c r="DL231" i="2"/>
  <c r="DK231" i="2"/>
  <c r="DN231" i="2"/>
  <c r="DO231" i="2"/>
  <c r="DM231" i="2"/>
  <c r="DL396" i="2"/>
  <c r="DM396" i="2"/>
  <c r="DO396" i="2"/>
  <c r="DN396" i="2"/>
  <c r="DK396" i="2"/>
  <c r="DL456" i="2"/>
  <c r="DO456" i="2"/>
  <c r="DK456" i="2"/>
  <c r="DN456" i="2"/>
  <c r="DM456" i="2"/>
  <c r="DJ492" i="2"/>
  <c r="DI500" i="2"/>
  <c r="DJ662" i="2"/>
  <c r="DI673" i="2"/>
  <c r="DP644" i="2"/>
  <c r="DI655" i="2"/>
  <c r="DJ663" i="2"/>
  <c r="DI674" i="2"/>
  <c r="DJ660" i="2"/>
  <c r="DI671" i="2"/>
  <c r="DJ873" i="2"/>
  <c r="DI877" i="2"/>
  <c r="DJ877" i="2" s="1"/>
  <c r="DN82" i="2"/>
  <c r="DL82" i="2"/>
  <c r="DM82" i="2"/>
  <c r="DO82" i="2"/>
  <c r="DK82" i="2"/>
  <c r="DO213" i="2"/>
  <c r="DN213" i="2"/>
  <c r="DM213" i="2"/>
  <c r="DK213" i="2"/>
  <c r="DL213" i="2"/>
  <c r="DL83" i="2"/>
  <c r="DM83" i="2"/>
  <c r="DK83" i="2"/>
  <c r="DO83" i="2"/>
  <c r="DN83" i="2"/>
  <c r="DL239" i="2"/>
  <c r="DK239" i="2"/>
  <c r="DN239" i="2"/>
  <c r="DM239" i="2"/>
  <c r="DO239" i="2"/>
  <c r="DI392" i="2"/>
  <c r="DJ381" i="2"/>
  <c r="DJ480" i="2"/>
  <c r="DI488" i="2"/>
  <c r="DK473" i="2"/>
  <c r="DO473" i="2"/>
  <c r="DN473" i="2"/>
  <c r="DM473" i="2"/>
  <c r="DL473" i="2"/>
  <c r="DJ854" i="2"/>
  <c r="DI859" i="2"/>
  <c r="DJ853" i="2"/>
  <c r="DI858" i="2"/>
  <c r="DI198" i="2"/>
  <c r="DJ190" i="2"/>
  <c r="DO268" i="2"/>
  <c r="DN268" i="2"/>
  <c r="DM268" i="2"/>
  <c r="DL268" i="2"/>
  <c r="DK268" i="2"/>
  <c r="DM259" i="2"/>
  <c r="DL259" i="2"/>
  <c r="DK259" i="2"/>
  <c r="DN259" i="2"/>
  <c r="DO259" i="2"/>
  <c r="DP846" i="2"/>
  <c r="DI851" i="2"/>
  <c r="DJ88" i="2"/>
  <c r="DI99" i="2"/>
  <c r="DO84" i="2"/>
  <c r="DL84" i="2"/>
  <c r="DN84" i="2"/>
  <c r="DM84" i="2"/>
  <c r="DK84" i="2"/>
  <c r="DN528" i="2"/>
  <c r="DO528" i="2"/>
  <c r="DL528" i="2"/>
  <c r="DK528" i="2"/>
  <c r="DM528" i="2"/>
  <c r="DL556" i="2"/>
  <c r="DN556" i="2"/>
  <c r="DO556" i="2"/>
  <c r="DM556" i="2"/>
  <c r="DK556" i="2"/>
  <c r="DI580" i="2"/>
  <c r="DO170" i="2"/>
  <c r="DN170" i="2"/>
  <c r="DK170" i="2"/>
  <c r="DL170" i="2"/>
  <c r="DM170" i="2"/>
  <c r="DK79" i="2"/>
  <c r="DL79" i="2"/>
  <c r="DO79" i="2"/>
  <c r="DN79" i="2"/>
  <c r="DM79" i="2"/>
  <c r="DL80" i="2"/>
  <c r="DM80" i="2"/>
  <c r="DN80" i="2"/>
  <c r="DK80" i="2"/>
  <c r="DO80" i="2"/>
  <c r="DJ482" i="2"/>
  <c r="DI490" i="2"/>
  <c r="DI777" i="2"/>
  <c r="DJ769" i="2"/>
  <c r="DJ766" i="2"/>
  <c r="DI774" i="2"/>
  <c r="DO529" i="2"/>
  <c r="DN529" i="2"/>
  <c r="DL529" i="2"/>
  <c r="DM529" i="2"/>
  <c r="DK529" i="2"/>
  <c r="DI279" i="2"/>
  <c r="DM569" i="2"/>
  <c r="DO569" i="2"/>
  <c r="DL569" i="2"/>
  <c r="DN569" i="2"/>
  <c r="DK569" i="2"/>
  <c r="DL184" i="2"/>
  <c r="DM184" i="2"/>
  <c r="DK184" i="2"/>
  <c r="DO184" i="2"/>
  <c r="DN184" i="2"/>
  <c r="DI199" i="2"/>
  <c r="DJ191" i="2"/>
  <c r="DL78" i="2"/>
  <c r="DN78" i="2"/>
  <c r="DO78" i="2"/>
  <c r="DK78" i="2"/>
  <c r="DM78" i="2"/>
  <c r="DL368" i="2"/>
  <c r="DN368" i="2"/>
  <c r="DO368" i="2"/>
  <c r="DM368" i="2"/>
  <c r="DK368" i="2"/>
  <c r="DM382" i="2"/>
  <c r="DO382" i="2"/>
  <c r="DL382" i="2"/>
  <c r="DN382" i="2"/>
  <c r="DK382" i="2"/>
  <c r="DO354" i="2"/>
  <c r="DK354" i="2"/>
  <c r="DM354" i="2"/>
  <c r="DL354" i="2"/>
  <c r="DN354" i="2"/>
  <c r="DJ187" i="2"/>
  <c r="DI195" i="2"/>
  <c r="DN245" i="2"/>
  <c r="DK245" i="2"/>
  <c r="DL245" i="2"/>
  <c r="DM245" i="2"/>
  <c r="DO245" i="2"/>
  <c r="DJ824" i="2"/>
  <c r="DI830" i="2"/>
  <c r="DJ525" i="2"/>
  <c r="DI531" i="2"/>
  <c r="DN546" i="2"/>
  <c r="DO546" i="2"/>
  <c r="DK546" i="2"/>
  <c r="DL546" i="2"/>
  <c r="DM546" i="2"/>
  <c r="DI416" i="2"/>
  <c r="DJ405" i="2"/>
  <c r="DI479" i="2"/>
  <c r="DJ471" i="2"/>
  <c r="DI196" i="2"/>
  <c r="DJ188" i="2"/>
  <c r="DI672" i="2"/>
  <c r="DJ661" i="2"/>
  <c r="DJ659" i="2"/>
  <c r="DI670" i="2"/>
  <c r="DI669" i="2"/>
  <c r="DJ658" i="2"/>
  <c r="DJ874" i="2"/>
  <c r="DI878" i="2"/>
  <c r="DJ878" i="2" s="1"/>
  <c r="DL76" i="2"/>
  <c r="DN76" i="2"/>
  <c r="DK76" i="2"/>
  <c r="DM76" i="2"/>
  <c r="DO76" i="2"/>
  <c r="DJ533" i="2"/>
  <c r="DI539" i="2"/>
  <c r="DJ539" i="2" s="1"/>
  <c r="DJ75" i="2"/>
  <c r="DI86" i="2"/>
  <c r="DO232" i="2"/>
  <c r="DN232" i="2"/>
  <c r="DM232" i="2"/>
  <c r="DK232" i="2"/>
  <c r="DL232" i="2"/>
  <c r="DO81" i="2"/>
  <c r="DM81" i="2"/>
  <c r="DN81" i="2"/>
  <c r="DL81" i="2"/>
  <c r="DK81" i="2"/>
  <c r="DN366" i="2"/>
  <c r="DM366" i="2"/>
  <c r="DL366" i="2"/>
  <c r="DO366" i="2"/>
  <c r="DK366" i="2"/>
  <c r="DJ380" i="2"/>
  <c r="DI391" i="2"/>
  <c r="DO367" i="2"/>
  <c r="DN367" i="2"/>
  <c r="DM367" i="2"/>
  <c r="DL367" i="2"/>
  <c r="DK367" i="2"/>
  <c r="DJ493" i="2"/>
  <c r="DI501" i="2"/>
  <c r="DI775" i="2"/>
  <c r="DJ767" i="2"/>
  <c r="DI236" i="2"/>
  <c r="DJ236" i="2" s="1"/>
  <c r="DJ230" i="2"/>
  <c r="DK571" i="2"/>
  <c r="DL571" i="2"/>
  <c r="DO571" i="2"/>
  <c r="DM571" i="2"/>
  <c r="DN571" i="2"/>
  <c r="DP346" i="2"/>
  <c r="DJ345" i="2"/>
  <c r="DI491" i="2"/>
  <c r="DJ483" i="2"/>
  <c r="DM181" i="2"/>
  <c r="DL181" i="2"/>
  <c r="DK181" i="2"/>
  <c r="DN181" i="2"/>
  <c r="DO181" i="2"/>
  <c r="DK43" i="2"/>
  <c r="DO43" i="2"/>
  <c r="DM43" i="2"/>
  <c r="DL43" i="2"/>
  <c r="DN43" i="2"/>
  <c r="DL240" i="2"/>
  <c r="DN240" i="2"/>
  <c r="DM240" i="2"/>
  <c r="DO240" i="2"/>
  <c r="DK240" i="2"/>
  <c r="DM526" i="2"/>
  <c r="DO526" i="2"/>
  <c r="DK526" i="2"/>
  <c r="DN526" i="2"/>
  <c r="DL526" i="2"/>
  <c r="DK514" i="2"/>
  <c r="DO514" i="2"/>
  <c r="DL514" i="2"/>
  <c r="DM514" i="2"/>
  <c r="DN514" i="2"/>
  <c r="DI560" i="2"/>
  <c r="DJ560" i="2" s="1"/>
  <c r="DJ555" i="2"/>
  <c r="DN545" i="2"/>
  <c r="DK545" i="2"/>
  <c r="DM545" i="2"/>
  <c r="DO545" i="2"/>
  <c r="DL545" i="2"/>
  <c r="DP157" i="2"/>
  <c r="DJ156" i="2"/>
  <c r="DK237" i="2"/>
  <c r="DO237" i="2"/>
  <c r="DN237" i="2"/>
  <c r="DL237" i="2"/>
  <c r="DM237" i="2"/>
  <c r="DJ407" i="2"/>
  <c r="DI418" i="2"/>
  <c r="DP458" i="2"/>
  <c r="DJ457" i="2"/>
  <c r="DK484" i="2"/>
  <c r="DM484" i="2"/>
  <c r="DN484" i="2"/>
  <c r="DO484" i="2"/>
  <c r="DL484" i="2"/>
  <c r="DJ657" i="2"/>
  <c r="DI668" i="2"/>
  <c r="DI872" i="2"/>
  <c r="DP868" i="2"/>
  <c r="DI104" i="2"/>
  <c r="DJ93" i="2"/>
  <c r="DJ214" i="2"/>
  <c r="DP215" i="2"/>
  <c r="DI105" i="2"/>
  <c r="DJ94" i="2"/>
  <c r="DM233" i="2"/>
  <c r="DO233" i="2"/>
  <c r="DN233" i="2"/>
  <c r="DL233" i="2"/>
  <c r="DK233" i="2"/>
  <c r="DL370" i="2"/>
  <c r="DO370" i="2"/>
  <c r="DK370" i="2"/>
  <c r="DN370" i="2"/>
  <c r="DM370" i="2"/>
  <c r="DL472" i="2"/>
  <c r="DO472" i="2"/>
  <c r="DK472" i="2"/>
  <c r="DN472" i="2"/>
  <c r="DM472" i="2"/>
  <c r="DJ481" i="2"/>
  <c r="DI489" i="2"/>
  <c r="DO182" i="2"/>
  <c r="DL182" i="2"/>
  <c r="DN182" i="2"/>
  <c r="DM182" i="2"/>
  <c r="DK182" i="2"/>
  <c r="DK267" i="2"/>
  <c r="DL267" i="2"/>
  <c r="DN267" i="2"/>
  <c r="DI265" i="2" s="1"/>
  <c r="DM267" i="2"/>
  <c r="DO267" i="2"/>
  <c r="DK254" i="2"/>
  <c r="DO254" i="2"/>
  <c r="DN254" i="2"/>
  <c r="DL254" i="2"/>
  <c r="DM254" i="2"/>
  <c r="DI857" i="2"/>
  <c r="DJ852" i="2"/>
  <c r="DN77" i="2"/>
  <c r="DO77" i="2"/>
  <c r="DM77" i="2"/>
  <c r="DL77" i="2"/>
  <c r="DK77" i="2"/>
  <c r="DJ95" i="2"/>
  <c r="DI106" i="2"/>
  <c r="DJ534" i="2"/>
  <c r="DI540" i="2"/>
  <c r="DJ540" i="2" s="1"/>
  <c r="DO561" i="2"/>
  <c r="DM561" i="2"/>
  <c r="DK561" i="2"/>
  <c r="DL561" i="2"/>
  <c r="DN561" i="2"/>
  <c r="DI186" i="2"/>
  <c r="DJ178" i="2"/>
  <c r="DJ90" i="2"/>
  <c r="DI101" i="2"/>
  <c r="DI102" i="2"/>
  <c r="DJ91" i="2"/>
  <c r="DL474" i="2"/>
  <c r="DO474" i="2"/>
  <c r="DK474" i="2"/>
  <c r="DN474" i="2"/>
  <c r="DM474" i="2"/>
  <c r="DI773" i="2"/>
  <c r="DJ765" i="2"/>
  <c r="DI764" i="2"/>
  <c r="DP756" i="2"/>
  <c r="DJ535" i="2"/>
  <c r="DI541" i="2"/>
  <c r="DJ541" i="2" s="1"/>
  <c r="DM568" i="2"/>
  <c r="DK568" i="2"/>
  <c r="DL568" i="2"/>
  <c r="DN568" i="2"/>
  <c r="DO568" i="2"/>
  <c r="DI200" i="2"/>
  <c r="DJ192" i="2"/>
  <c r="DN183" i="2"/>
  <c r="DL183" i="2"/>
  <c r="DO183" i="2"/>
  <c r="DM183" i="2"/>
  <c r="DK183" i="2"/>
  <c r="DJ89" i="2"/>
  <c r="DI100" i="2"/>
  <c r="DI390" i="2"/>
  <c r="DJ379" i="2"/>
  <c r="DJ393" i="2"/>
  <c r="DI404" i="2"/>
  <c r="DJ365" i="2"/>
  <c r="DI376" i="2"/>
  <c r="DK179" i="2"/>
  <c r="DO179" i="2"/>
  <c r="DL179" i="2"/>
  <c r="DM179" i="2"/>
  <c r="DN179" i="2"/>
  <c r="DJ246" i="2"/>
  <c r="DP247" i="2"/>
  <c r="DJ247" i="2" s="1"/>
  <c r="DP882" i="2"/>
  <c r="DP883" i="2" s="1"/>
  <c r="DJ883" i="2" s="1"/>
  <c r="DJ882" i="2"/>
  <c r="DI885" i="2"/>
  <c r="DJ885" i="2" s="1"/>
  <c r="DJ822" i="2"/>
  <c r="DI828" i="2"/>
  <c r="DI820" i="2"/>
  <c r="DP814" i="2"/>
  <c r="DP815" i="2" s="1"/>
  <c r="DJ814" i="2"/>
  <c r="DN519" i="2"/>
  <c r="DK519" i="2"/>
  <c r="DM519" i="2"/>
  <c r="DO519" i="2"/>
  <c r="DL519" i="2"/>
  <c r="DP548" i="2"/>
  <c r="DJ548" i="2" s="1"/>
  <c r="DJ547" i="2"/>
  <c r="DK394" i="2"/>
  <c r="DL394" i="2"/>
  <c r="DN394" i="2"/>
  <c r="DO394" i="2"/>
  <c r="DM394" i="2"/>
  <c r="DN463" i="2"/>
  <c r="DM463" i="2"/>
  <c r="DK463" i="2"/>
  <c r="DL463" i="2"/>
  <c r="DO463" i="2"/>
  <c r="DO180" i="2"/>
  <c r="DN180" i="2"/>
  <c r="DK180" i="2"/>
  <c r="DM180" i="2"/>
  <c r="DL180" i="2"/>
  <c r="DI667" i="2"/>
  <c r="DJ656" i="2"/>
  <c r="DI675" i="2"/>
  <c r="DJ664" i="2"/>
  <c r="DI98" i="2"/>
  <c r="DJ87" i="2"/>
  <c r="DM527" i="2"/>
  <c r="DN527" i="2"/>
  <c r="DK527" i="2"/>
  <c r="DL527" i="2"/>
  <c r="DO527" i="2"/>
  <c r="AW60" i="7950"/>
  <c r="AZ60" i="7950"/>
  <c r="M60" i="7950"/>
  <c r="AX60" i="7950"/>
  <c r="AY60" i="7950"/>
  <c r="FQ251" i="2"/>
  <c r="FP262" i="2"/>
  <c r="FQ262" i="2" s="1"/>
  <c r="FV262" i="2" s="1"/>
  <c r="FV126" i="2"/>
  <c r="FR126" i="2"/>
  <c r="FU126" i="2"/>
  <c r="FY126" i="2"/>
  <c r="FX126" i="2"/>
  <c r="FW126" i="2"/>
  <c r="FT126" i="2"/>
  <c r="FS126" i="2"/>
  <c r="FW232" i="2"/>
  <c r="FS232" i="2"/>
  <c r="FY232" i="2"/>
  <c r="FX232" i="2"/>
  <c r="FV232" i="2"/>
  <c r="FR232" i="2"/>
  <c r="FU232" i="2"/>
  <c r="FT232" i="2"/>
  <c r="FX235" i="2"/>
  <c r="FU235" i="2"/>
  <c r="FV235" i="2"/>
  <c r="FW235" i="2"/>
  <c r="FR235" i="2"/>
  <c r="FT235" i="2"/>
  <c r="FS235" i="2"/>
  <c r="FY235" i="2"/>
  <c r="FW127" i="2"/>
  <c r="FX127" i="2"/>
  <c r="FU127" i="2"/>
  <c r="FV127" i="2"/>
  <c r="FT127" i="2"/>
  <c r="FY127" i="2"/>
  <c r="FR127" i="2"/>
  <c r="FS127" i="2"/>
  <c r="FQ247" i="2"/>
  <c r="FP258" i="2"/>
  <c r="FQ258" i="2" s="1"/>
  <c r="FP146" i="2"/>
  <c r="FQ146" i="2" s="1"/>
  <c r="FQ135" i="2"/>
  <c r="FQ132" i="2"/>
  <c r="FP143" i="2"/>
  <c r="FQ143" i="2" s="1"/>
  <c r="FQ245" i="2"/>
  <c r="FP256" i="2"/>
  <c r="FQ256" i="2" s="1"/>
  <c r="FW231" i="2"/>
  <c r="FY231" i="2"/>
  <c r="FT231" i="2"/>
  <c r="FR231" i="2"/>
  <c r="FV231" i="2"/>
  <c r="FX231" i="2"/>
  <c r="FU231" i="2"/>
  <c r="FS231" i="2"/>
  <c r="FZ162" i="2"/>
  <c r="FQ161" i="2"/>
  <c r="FZ50" i="2"/>
  <c r="FQ49" i="2"/>
  <c r="FX237" i="2"/>
  <c r="FS237" i="2"/>
  <c r="FR237" i="2"/>
  <c r="FW237" i="2"/>
  <c r="FT237" i="2"/>
  <c r="FV237" i="2"/>
  <c r="FU237" i="2"/>
  <c r="FY237" i="2"/>
  <c r="FX128" i="2"/>
  <c r="FT128" i="2"/>
  <c r="FS128" i="2"/>
  <c r="FY128" i="2"/>
  <c r="FU128" i="2"/>
  <c r="FR128" i="2"/>
  <c r="FW128" i="2"/>
  <c r="FV128" i="2"/>
  <c r="FP147" i="2"/>
  <c r="FQ147" i="2" s="1"/>
  <c r="FQ136" i="2"/>
  <c r="FQ133" i="2"/>
  <c r="FP144" i="2"/>
  <c r="FQ144" i="2" s="1"/>
  <c r="FQ250" i="2"/>
  <c r="FP261" i="2"/>
  <c r="FQ261" i="2" s="1"/>
  <c r="FP141" i="2"/>
  <c r="FQ141" i="2" s="1"/>
  <c r="FY141" i="2" s="1"/>
  <c r="FQ130" i="2"/>
  <c r="FQ131" i="2"/>
  <c r="FP142" i="2"/>
  <c r="FQ142" i="2" s="1"/>
  <c r="FP255" i="2"/>
  <c r="FQ255" i="2" s="1"/>
  <c r="FQ244" i="2"/>
  <c r="FQ249" i="2"/>
  <c r="FP260" i="2"/>
  <c r="FQ260" i="2" s="1"/>
  <c r="FW123" i="2"/>
  <c r="FX123" i="2"/>
  <c r="FR123" i="2"/>
  <c r="FS123" i="2"/>
  <c r="FV123" i="2"/>
  <c r="FY123" i="2"/>
  <c r="FU123" i="2"/>
  <c r="FT123" i="2"/>
  <c r="AP45" i="7950"/>
  <c r="FV240" i="2"/>
  <c r="FW240" i="2"/>
  <c r="FY240" i="2"/>
  <c r="FX240" i="2"/>
  <c r="FR240" i="2"/>
  <c r="FS240" i="2"/>
  <c r="FT240" i="2"/>
  <c r="FU240" i="2"/>
  <c r="FQ137" i="2"/>
  <c r="FP148" i="2"/>
  <c r="FQ148" i="2" s="1"/>
  <c r="FQ243" i="2"/>
  <c r="FP254" i="2"/>
  <c r="FQ254" i="2" s="1"/>
  <c r="FQ246" i="2"/>
  <c r="FP257" i="2"/>
  <c r="FQ257" i="2" s="1"/>
  <c r="FP149" i="2"/>
  <c r="FQ149" i="2" s="1"/>
  <c r="FQ138" i="2"/>
  <c r="FU236" i="2"/>
  <c r="FR236" i="2"/>
  <c r="FV236" i="2"/>
  <c r="FT236" i="2"/>
  <c r="FW236" i="2"/>
  <c r="FS236" i="2"/>
  <c r="FX236" i="2"/>
  <c r="FY236" i="2"/>
  <c r="FV124" i="2"/>
  <c r="FR124" i="2"/>
  <c r="FU124" i="2"/>
  <c r="FS124" i="2"/>
  <c r="FT124" i="2"/>
  <c r="FW124" i="2"/>
  <c r="FY124" i="2"/>
  <c r="FX124" i="2"/>
  <c r="FY121" i="2"/>
  <c r="FS121" i="2"/>
  <c r="FW121" i="2"/>
  <c r="FR121" i="2"/>
  <c r="FT121" i="2"/>
  <c r="FU121" i="2"/>
  <c r="FX121" i="2"/>
  <c r="FV121" i="2"/>
  <c r="FU234" i="2"/>
  <c r="FY234" i="2"/>
  <c r="FV234" i="2"/>
  <c r="FR234" i="2"/>
  <c r="FS234" i="2"/>
  <c r="FX234" i="2"/>
  <c r="FT234" i="2"/>
  <c r="FW234" i="2"/>
  <c r="FQ242" i="2"/>
  <c r="FP253" i="2"/>
  <c r="FQ253" i="2" s="1"/>
  <c r="FT160" i="2"/>
  <c r="FR160" i="2"/>
  <c r="FY160" i="2"/>
  <c r="FV160" i="2"/>
  <c r="FS160" i="2"/>
  <c r="FX160" i="2"/>
  <c r="FW160" i="2"/>
  <c r="FU160" i="2"/>
  <c r="FX48" i="2"/>
  <c r="FW48" i="2"/>
  <c r="FS48" i="2"/>
  <c r="FR48" i="2"/>
  <c r="FT48" i="2"/>
  <c r="FV48" i="2"/>
  <c r="FU48" i="2"/>
  <c r="FY48" i="2"/>
  <c r="FP259" i="2"/>
  <c r="FQ259" i="2" s="1"/>
  <c r="FQ248" i="2"/>
  <c r="FP150" i="2"/>
  <c r="FQ150" i="2" s="1"/>
  <c r="FQ139" i="2"/>
  <c r="FX125" i="2"/>
  <c r="FV125" i="2"/>
  <c r="FT125" i="2"/>
  <c r="FR125" i="2"/>
  <c r="FW125" i="2"/>
  <c r="FU125" i="2"/>
  <c r="FY125" i="2"/>
  <c r="FS125" i="2"/>
  <c r="FX122" i="2"/>
  <c r="FS122" i="2"/>
  <c r="FW122" i="2"/>
  <c r="FV122" i="2"/>
  <c r="FT122" i="2"/>
  <c r="FR122" i="2"/>
  <c r="FY122" i="2"/>
  <c r="FU122" i="2"/>
  <c r="FU239" i="2"/>
  <c r="FR239" i="2"/>
  <c r="FW239" i="2"/>
  <c r="FX239" i="2"/>
  <c r="FS239" i="2"/>
  <c r="FY239" i="2"/>
  <c r="FV239" i="2"/>
  <c r="FT239" i="2"/>
  <c r="FV119" i="2"/>
  <c r="FU119" i="2"/>
  <c r="FT119" i="2"/>
  <c r="FW119" i="2"/>
  <c r="FS119" i="2"/>
  <c r="FR119" i="2"/>
  <c r="FX119" i="2"/>
  <c r="FY119" i="2"/>
  <c r="FX120" i="2"/>
  <c r="FT120" i="2"/>
  <c r="FV120" i="2"/>
  <c r="FS120" i="2"/>
  <c r="FU120" i="2"/>
  <c r="FR120" i="2"/>
  <c r="FY120" i="2"/>
  <c r="FW120" i="2"/>
  <c r="FU233" i="2"/>
  <c r="FW233" i="2"/>
  <c r="FX233" i="2"/>
  <c r="FV233" i="2"/>
  <c r="FS233" i="2"/>
  <c r="FY233" i="2"/>
  <c r="FR233" i="2"/>
  <c r="FT233" i="2"/>
  <c r="FT238" i="2"/>
  <c r="FR238" i="2"/>
  <c r="FS238" i="2"/>
  <c r="FU238" i="2"/>
  <c r="FW238" i="2"/>
  <c r="FV238" i="2"/>
  <c r="FY238" i="2"/>
  <c r="FX238" i="2"/>
  <c r="FP145" i="2"/>
  <c r="FQ145" i="2" s="1"/>
  <c r="FQ134" i="2"/>
  <c r="DO363" i="2"/>
  <c r="DK363" i="2"/>
  <c r="DM363" i="2"/>
  <c r="DN363" i="2"/>
  <c r="DL363" i="2"/>
  <c r="DI428" i="2"/>
  <c r="DJ417" i="2"/>
  <c r="DK362" i="2"/>
  <c r="DO362" i="2"/>
  <c r="DL362" i="2"/>
  <c r="DN362" i="2"/>
  <c r="DM362" i="2"/>
  <c r="DL406" i="2"/>
  <c r="DO406" i="2"/>
  <c r="DM406" i="2"/>
  <c r="DN406" i="2"/>
  <c r="DK406" i="2"/>
  <c r="FS262" i="2"/>
  <c r="FX262" i="2"/>
  <c r="FR262" i="2"/>
  <c r="FU262" i="2"/>
  <c r="FV141" i="2"/>
  <c r="FX141" i="2"/>
  <c r="FU141" i="2"/>
  <c r="FT141" i="2"/>
  <c r="DV266" i="2" l="1"/>
  <c r="DV268" i="2"/>
  <c r="DV267" i="2"/>
  <c r="DM664" i="2"/>
  <c r="DO664" i="2"/>
  <c r="DN664" i="2"/>
  <c r="DK664" i="2"/>
  <c r="DL664" i="2"/>
  <c r="DK548" i="2"/>
  <c r="DL548" i="2"/>
  <c r="DM548" i="2"/>
  <c r="DO548" i="2"/>
  <c r="DN548" i="2"/>
  <c r="DN814" i="2"/>
  <c r="DL814" i="2"/>
  <c r="DM814" i="2"/>
  <c r="DK814" i="2"/>
  <c r="DO814" i="2"/>
  <c r="DJ820" i="2"/>
  <c r="DI826" i="2"/>
  <c r="DK822" i="2"/>
  <c r="DO822" i="2"/>
  <c r="DN822" i="2"/>
  <c r="DM822" i="2"/>
  <c r="DL822" i="2"/>
  <c r="DK882" i="2"/>
  <c r="DL882" i="2"/>
  <c r="DN882" i="2"/>
  <c r="DM882" i="2"/>
  <c r="DO882" i="2"/>
  <c r="DN247" i="2"/>
  <c r="DL247" i="2"/>
  <c r="DK247" i="2"/>
  <c r="DO247" i="2"/>
  <c r="DM247" i="2"/>
  <c r="FY262" i="2"/>
  <c r="FW262" i="2"/>
  <c r="FT262" i="2"/>
  <c r="DI109" i="2"/>
  <c r="DJ98" i="2"/>
  <c r="DJ675" i="2"/>
  <c r="DI686" i="2"/>
  <c r="DJ667" i="2"/>
  <c r="DI678" i="2"/>
  <c r="DK547" i="2"/>
  <c r="DN547" i="2"/>
  <c r="DL547" i="2"/>
  <c r="DM547" i="2"/>
  <c r="DO547" i="2"/>
  <c r="DJ815" i="2"/>
  <c r="DP816" i="2"/>
  <c r="DI834" i="2"/>
  <c r="DJ828" i="2"/>
  <c r="DL885" i="2"/>
  <c r="DK885" i="2"/>
  <c r="DO885" i="2"/>
  <c r="DN885" i="2"/>
  <c r="DM885" i="2"/>
  <c r="DK883" i="2"/>
  <c r="DL883" i="2"/>
  <c r="DM883" i="2"/>
  <c r="DO883" i="2"/>
  <c r="DN883" i="2"/>
  <c r="DN246" i="2"/>
  <c r="DI243" i="2" s="1"/>
  <c r="DM246" i="2"/>
  <c r="DL246" i="2"/>
  <c r="DO246" i="2"/>
  <c r="DK246" i="2"/>
  <c r="DJ376" i="2"/>
  <c r="DI387" i="2"/>
  <c r="DI415" i="2"/>
  <c r="DJ404" i="2"/>
  <c r="DO379" i="2"/>
  <c r="DL379" i="2"/>
  <c r="DN379" i="2"/>
  <c r="DM379" i="2"/>
  <c r="DK379" i="2"/>
  <c r="DJ100" i="2"/>
  <c r="DI111" i="2"/>
  <c r="DI208" i="2"/>
  <c r="DJ208" i="2" s="1"/>
  <c r="DJ200" i="2"/>
  <c r="DK541" i="2"/>
  <c r="DO541" i="2"/>
  <c r="DL541" i="2"/>
  <c r="DN541" i="2"/>
  <c r="DM541" i="2"/>
  <c r="DP757" i="2"/>
  <c r="DJ756" i="2"/>
  <c r="DM765" i="2"/>
  <c r="DL765" i="2"/>
  <c r="DK765" i="2"/>
  <c r="DN765" i="2"/>
  <c r="DO765" i="2"/>
  <c r="DJ102" i="2"/>
  <c r="DI113" i="2"/>
  <c r="DN90" i="2"/>
  <c r="DM90" i="2"/>
  <c r="DL90" i="2"/>
  <c r="DK90" i="2"/>
  <c r="DO90" i="2"/>
  <c r="DJ186" i="2"/>
  <c r="DI194" i="2"/>
  <c r="DN540" i="2"/>
  <c r="DO540" i="2"/>
  <c r="DL540" i="2"/>
  <c r="DK540" i="2"/>
  <c r="DM540" i="2"/>
  <c r="DJ106" i="2"/>
  <c r="DI117" i="2"/>
  <c r="DI862" i="2"/>
  <c r="DJ862" i="2" s="1"/>
  <c r="DJ857" i="2"/>
  <c r="DI497" i="2"/>
  <c r="DJ489" i="2"/>
  <c r="DJ105" i="2"/>
  <c r="DI116" i="2"/>
  <c r="DL214" i="2"/>
  <c r="DN214" i="2"/>
  <c r="DM214" i="2"/>
  <c r="DO214" i="2"/>
  <c r="DK214" i="2"/>
  <c r="DI115" i="2"/>
  <c r="DJ104" i="2"/>
  <c r="DJ872" i="2"/>
  <c r="DI876" i="2"/>
  <c r="DJ876" i="2" s="1"/>
  <c r="DO657" i="2"/>
  <c r="DM657" i="2"/>
  <c r="DN657" i="2"/>
  <c r="DK657" i="2"/>
  <c r="DL657" i="2"/>
  <c r="DN457" i="2"/>
  <c r="DM457" i="2"/>
  <c r="DL457" i="2"/>
  <c r="DK457" i="2"/>
  <c r="DO457" i="2"/>
  <c r="DJ418" i="2"/>
  <c r="DI429" i="2"/>
  <c r="DJ157" i="2"/>
  <c r="DP158" i="2"/>
  <c r="DN555" i="2"/>
  <c r="DO555" i="2"/>
  <c r="DM555" i="2"/>
  <c r="DK555" i="2"/>
  <c r="DL555" i="2"/>
  <c r="DJ491" i="2"/>
  <c r="DI499" i="2"/>
  <c r="DJ346" i="2"/>
  <c r="DP347" i="2"/>
  <c r="DL230" i="2"/>
  <c r="DK230" i="2"/>
  <c r="DO230" i="2"/>
  <c r="DN230" i="2"/>
  <c r="DM230" i="2"/>
  <c r="DK767" i="2"/>
  <c r="DO767" i="2"/>
  <c r="DM767" i="2"/>
  <c r="DL767" i="2"/>
  <c r="DN767" i="2"/>
  <c r="DJ501" i="2"/>
  <c r="DI509" i="2"/>
  <c r="DJ509" i="2" s="1"/>
  <c r="DO380" i="2"/>
  <c r="DN380" i="2"/>
  <c r="DM380" i="2"/>
  <c r="DL380" i="2"/>
  <c r="DK380" i="2"/>
  <c r="DI97" i="2"/>
  <c r="DJ86" i="2"/>
  <c r="DM539" i="2"/>
  <c r="DL539" i="2"/>
  <c r="DK539" i="2"/>
  <c r="DN539" i="2"/>
  <c r="DO539" i="2"/>
  <c r="DN874" i="2"/>
  <c r="DL874" i="2"/>
  <c r="DM874" i="2"/>
  <c r="DK874" i="2"/>
  <c r="DO874" i="2"/>
  <c r="DJ669" i="2"/>
  <c r="DI680" i="2"/>
  <c r="DM659" i="2"/>
  <c r="DN659" i="2"/>
  <c r="DK659" i="2"/>
  <c r="DL659" i="2"/>
  <c r="DO659" i="2"/>
  <c r="DI683" i="2"/>
  <c r="DJ672" i="2"/>
  <c r="DJ196" i="2"/>
  <c r="DI204" i="2"/>
  <c r="DJ204" i="2" s="1"/>
  <c r="DJ479" i="2"/>
  <c r="DI487" i="2"/>
  <c r="DJ416" i="2"/>
  <c r="DI427" i="2"/>
  <c r="DJ531" i="2"/>
  <c r="DI537" i="2"/>
  <c r="DJ537" i="2" s="1"/>
  <c r="DJ830" i="2"/>
  <c r="DI836" i="2"/>
  <c r="DK187" i="2"/>
  <c r="DL187" i="2"/>
  <c r="DN187" i="2"/>
  <c r="DO187" i="2"/>
  <c r="DM187" i="2"/>
  <c r="DI207" i="2"/>
  <c r="DJ207" i="2" s="1"/>
  <c r="DJ199" i="2"/>
  <c r="DK766" i="2"/>
  <c r="DM766" i="2"/>
  <c r="DO766" i="2"/>
  <c r="DL766" i="2"/>
  <c r="DN766" i="2"/>
  <c r="DI785" i="2"/>
  <c r="DJ777" i="2"/>
  <c r="DN482" i="2"/>
  <c r="DL482" i="2"/>
  <c r="DM482" i="2"/>
  <c r="DO482" i="2"/>
  <c r="DK482" i="2"/>
  <c r="DV582" i="2"/>
  <c r="DV581" i="2"/>
  <c r="DI110" i="2"/>
  <c r="DJ99" i="2"/>
  <c r="DJ851" i="2"/>
  <c r="DI856" i="2"/>
  <c r="DN190" i="2"/>
  <c r="DK190" i="2"/>
  <c r="DO190" i="2"/>
  <c r="DM190" i="2"/>
  <c r="DL190" i="2"/>
  <c r="DI863" i="2"/>
  <c r="DJ863" i="2" s="1"/>
  <c r="DJ858" i="2"/>
  <c r="DI864" i="2"/>
  <c r="DJ864" i="2" s="1"/>
  <c r="DJ859" i="2"/>
  <c r="DJ488" i="2"/>
  <c r="DI496" i="2"/>
  <c r="DM381" i="2"/>
  <c r="DN381" i="2"/>
  <c r="DO381" i="2"/>
  <c r="DL381" i="2"/>
  <c r="DK381" i="2"/>
  <c r="DL877" i="2"/>
  <c r="DO877" i="2"/>
  <c r="DN877" i="2"/>
  <c r="DK877" i="2"/>
  <c r="DM877" i="2"/>
  <c r="DJ671" i="2"/>
  <c r="DI682" i="2"/>
  <c r="DJ674" i="2"/>
  <c r="DI685" i="2"/>
  <c r="DI666" i="2"/>
  <c r="DJ655" i="2"/>
  <c r="DI684" i="2"/>
  <c r="DJ673" i="2"/>
  <c r="DJ500" i="2"/>
  <c r="DI508" i="2"/>
  <c r="DJ508" i="2" s="1"/>
  <c r="DM515" i="2"/>
  <c r="DL515" i="2"/>
  <c r="DO515" i="2"/>
  <c r="DN515" i="2"/>
  <c r="DK515" i="2"/>
  <c r="DM538" i="2"/>
  <c r="DO538" i="2"/>
  <c r="DN538" i="2"/>
  <c r="DK538" i="2"/>
  <c r="DL538" i="2"/>
  <c r="DN44" i="2"/>
  <c r="DK44" i="2"/>
  <c r="DO44" i="2"/>
  <c r="DM44" i="2"/>
  <c r="DL44" i="2"/>
  <c r="DJ827" i="2"/>
  <c r="DI833" i="2"/>
  <c r="DI835" i="2"/>
  <c r="DJ829" i="2"/>
  <c r="DO886" i="2"/>
  <c r="DK886" i="2"/>
  <c r="DM886" i="2"/>
  <c r="DN886" i="2"/>
  <c r="DL886" i="2"/>
  <c r="DL189" i="2"/>
  <c r="DM189" i="2"/>
  <c r="DO189" i="2"/>
  <c r="DK189" i="2"/>
  <c r="DN189" i="2"/>
  <c r="DI566" i="2"/>
  <c r="DI784" i="2"/>
  <c r="DJ776" i="2"/>
  <c r="DJ778" i="2"/>
  <c r="DI786" i="2"/>
  <c r="DI400" i="2"/>
  <c r="DJ389" i="2"/>
  <c r="DL377" i="2"/>
  <c r="DO377" i="2"/>
  <c r="DN377" i="2"/>
  <c r="DK377" i="2"/>
  <c r="DM377" i="2"/>
  <c r="DJ103" i="2"/>
  <c r="DI114" i="2"/>
  <c r="DK87" i="2"/>
  <c r="DM87" i="2"/>
  <c r="DL87" i="2"/>
  <c r="DO87" i="2"/>
  <c r="DN87" i="2"/>
  <c r="DM656" i="2"/>
  <c r="DN656" i="2"/>
  <c r="DO656" i="2"/>
  <c r="DL656" i="2"/>
  <c r="DK656" i="2"/>
  <c r="DO365" i="2"/>
  <c r="DK365" i="2"/>
  <c r="DN365" i="2"/>
  <c r="DL365" i="2"/>
  <c r="DM365" i="2"/>
  <c r="DO393" i="2"/>
  <c r="DL393" i="2"/>
  <c r="DN393" i="2"/>
  <c r="DK393" i="2"/>
  <c r="DM393" i="2"/>
  <c r="DI401" i="2"/>
  <c r="DJ390" i="2"/>
  <c r="DN89" i="2"/>
  <c r="DO89" i="2"/>
  <c r="DM89" i="2"/>
  <c r="DK89" i="2"/>
  <c r="DL89" i="2"/>
  <c r="DO192" i="2"/>
  <c r="DN192" i="2"/>
  <c r="DM192" i="2"/>
  <c r="DL192" i="2"/>
  <c r="DK192" i="2"/>
  <c r="DM535" i="2"/>
  <c r="DO535" i="2"/>
  <c r="DK535" i="2"/>
  <c r="DN535" i="2"/>
  <c r="DL535" i="2"/>
  <c r="DJ764" i="2"/>
  <c r="DI772" i="2"/>
  <c r="DI781" i="2"/>
  <c r="DJ773" i="2"/>
  <c r="DO91" i="2"/>
  <c r="DK91" i="2"/>
  <c r="DN91" i="2"/>
  <c r="DM91" i="2"/>
  <c r="DL91" i="2"/>
  <c r="DJ101" i="2"/>
  <c r="DI112" i="2"/>
  <c r="DN178" i="2"/>
  <c r="DK178" i="2"/>
  <c r="DM178" i="2"/>
  <c r="DO178" i="2"/>
  <c r="DL178" i="2"/>
  <c r="DM534" i="2"/>
  <c r="DK534" i="2"/>
  <c r="DO534" i="2"/>
  <c r="DN534" i="2"/>
  <c r="DL534" i="2"/>
  <c r="DL95" i="2"/>
  <c r="DN95" i="2"/>
  <c r="DO95" i="2"/>
  <c r="DK95" i="2"/>
  <c r="DM95" i="2"/>
  <c r="DM852" i="2"/>
  <c r="DK852" i="2"/>
  <c r="DO852" i="2"/>
  <c r="DL852" i="2"/>
  <c r="DN852" i="2"/>
  <c r="DN481" i="2"/>
  <c r="DL481" i="2"/>
  <c r="DM481" i="2"/>
  <c r="DK481" i="2"/>
  <c r="DO481" i="2"/>
  <c r="DN94" i="2"/>
  <c r="DK94" i="2"/>
  <c r="DO94" i="2"/>
  <c r="DM94" i="2"/>
  <c r="DL94" i="2"/>
  <c r="DP216" i="2"/>
  <c r="DJ216" i="2" s="1"/>
  <c r="DJ215" i="2"/>
  <c r="DO93" i="2"/>
  <c r="DK93" i="2"/>
  <c r="DL93" i="2"/>
  <c r="DN93" i="2"/>
  <c r="DM93" i="2"/>
  <c r="DP869" i="2"/>
  <c r="DJ868" i="2"/>
  <c r="DJ668" i="2"/>
  <c r="DI679" i="2"/>
  <c r="DJ458" i="2"/>
  <c r="DP459" i="2"/>
  <c r="DK407" i="2"/>
  <c r="DM407" i="2"/>
  <c r="DN407" i="2"/>
  <c r="DO407" i="2"/>
  <c r="DL407" i="2"/>
  <c r="DO156" i="2"/>
  <c r="DM156" i="2"/>
  <c r="DN156" i="2"/>
  <c r="DL156" i="2"/>
  <c r="DK156" i="2"/>
  <c r="DM560" i="2"/>
  <c r="DO560" i="2"/>
  <c r="DL560" i="2"/>
  <c r="DN560" i="2"/>
  <c r="DI544" i="2" s="1"/>
  <c r="DK560" i="2"/>
  <c r="DN483" i="2"/>
  <c r="DM483" i="2"/>
  <c r="DL483" i="2"/>
  <c r="DO483" i="2"/>
  <c r="DK483" i="2"/>
  <c r="DN345" i="2"/>
  <c r="DK345" i="2"/>
  <c r="DL345" i="2"/>
  <c r="DO345" i="2"/>
  <c r="DM345" i="2"/>
  <c r="DM236" i="2"/>
  <c r="DO236" i="2"/>
  <c r="DK236" i="2"/>
  <c r="DL236" i="2"/>
  <c r="DN236" i="2"/>
  <c r="DJ775" i="2"/>
  <c r="DI783" i="2"/>
  <c r="DO493" i="2"/>
  <c r="DN493" i="2"/>
  <c r="DM493" i="2"/>
  <c r="DK493" i="2"/>
  <c r="DL493" i="2"/>
  <c r="DJ391" i="2"/>
  <c r="DI402" i="2"/>
  <c r="DN75" i="2"/>
  <c r="DL75" i="2"/>
  <c r="DK75" i="2"/>
  <c r="DO75" i="2"/>
  <c r="DM75" i="2"/>
  <c r="DN533" i="2"/>
  <c r="DO533" i="2"/>
  <c r="DM533" i="2"/>
  <c r="DK533" i="2"/>
  <c r="DL533" i="2"/>
  <c r="DN878" i="2"/>
  <c r="DM878" i="2"/>
  <c r="DK878" i="2"/>
  <c r="DL878" i="2"/>
  <c r="DO878" i="2"/>
  <c r="DL658" i="2"/>
  <c r="DM658" i="2"/>
  <c r="DK658" i="2"/>
  <c r="DN658" i="2"/>
  <c r="DO658" i="2"/>
  <c r="DJ670" i="2"/>
  <c r="DI681" i="2"/>
  <c r="DL661" i="2"/>
  <c r="DN661" i="2"/>
  <c r="DK661" i="2"/>
  <c r="DO661" i="2"/>
  <c r="DM661" i="2"/>
  <c r="DO188" i="2"/>
  <c r="DN188" i="2"/>
  <c r="DM188" i="2"/>
  <c r="DL188" i="2"/>
  <c r="DK188" i="2"/>
  <c r="DM471" i="2"/>
  <c r="DL471" i="2"/>
  <c r="DK471" i="2"/>
  <c r="DO471" i="2"/>
  <c r="DN471" i="2"/>
  <c r="DL405" i="2"/>
  <c r="DM405" i="2"/>
  <c r="DN405" i="2"/>
  <c r="DK405" i="2"/>
  <c r="DO405" i="2"/>
  <c r="DO525" i="2"/>
  <c r="DM525" i="2"/>
  <c r="DL525" i="2"/>
  <c r="DK525" i="2"/>
  <c r="DN525" i="2"/>
  <c r="DK824" i="2"/>
  <c r="DO824" i="2"/>
  <c r="DN824" i="2"/>
  <c r="DM824" i="2"/>
  <c r="DL824" i="2"/>
  <c r="DJ195" i="2"/>
  <c r="DI203" i="2"/>
  <c r="DJ203" i="2" s="1"/>
  <c r="DM191" i="2"/>
  <c r="DO191" i="2"/>
  <c r="DK191" i="2"/>
  <c r="DL191" i="2"/>
  <c r="DN191" i="2"/>
  <c r="DV281" i="2"/>
  <c r="DV280" i="2"/>
  <c r="DI782" i="2"/>
  <c r="DJ774" i="2"/>
  <c r="DM769" i="2"/>
  <c r="DK769" i="2"/>
  <c r="DN769" i="2"/>
  <c r="DO769" i="2"/>
  <c r="DL769" i="2"/>
  <c r="DI498" i="2"/>
  <c r="DJ490" i="2"/>
  <c r="DL88" i="2"/>
  <c r="DK88" i="2"/>
  <c r="DO88" i="2"/>
  <c r="DN88" i="2"/>
  <c r="DM88" i="2"/>
  <c r="DP847" i="2"/>
  <c r="DJ846" i="2"/>
  <c r="DI206" i="2"/>
  <c r="DJ206" i="2" s="1"/>
  <c r="DJ198" i="2"/>
  <c r="DN853" i="2"/>
  <c r="DM853" i="2"/>
  <c r="DL853" i="2"/>
  <c r="DK853" i="2"/>
  <c r="DO853" i="2"/>
  <c r="DK854" i="2"/>
  <c r="DN854" i="2"/>
  <c r="DM854" i="2"/>
  <c r="DL854" i="2"/>
  <c r="DO854" i="2"/>
  <c r="DK480" i="2"/>
  <c r="DL480" i="2"/>
  <c r="DM480" i="2"/>
  <c r="DO480" i="2"/>
  <c r="DN480" i="2"/>
  <c r="DJ392" i="2"/>
  <c r="DI403" i="2"/>
  <c r="DO873" i="2"/>
  <c r="DK873" i="2"/>
  <c r="DN873" i="2"/>
  <c r="DL873" i="2"/>
  <c r="DM873" i="2"/>
  <c r="DK660" i="2"/>
  <c r="DN660" i="2"/>
  <c r="DO660" i="2"/>
  <c r="DL660" i="2"/>
  <c r="DM660" i="2"/>
  <c r="DN663" i="2"/>
  <c r="DK663" i="2"/>
  <c r="DL663" i="2"/>
  <c r="DO663" i="2"/>
  <c r="DM663" i="2"/>
  <c r="DP645" i="2"/>
  <c r="DJ644" i="2"/>
  <c r="DM662" i="2"/>
  <c r="DK662" i="2"/>
  <c r="DN662" i="2"/>
  <c r="DO662" i="2"/>
  <c r="DL662" i="2"/>
  <c r="DL492" i="2"/>
  <c r="DN492" i="2"/>
  <c r="DK492" i="2"/>
  <c r="DM492" i="2"/>
  <c r="DO492" i="2"/>
  <c r="DJ516" i="2"/>
  <c r="DP517" i="2"/>
  <c r="DJ517" i="2" s="1"/>
  <c r="DM532" i="2"/>
  <c r="DL532" i="2"/>
  <c r="DO532" i="2"/>
  <c r="DK532" i="2"/>
  <c r="DN532" i="2"/>
  <c r="DP46" i="2"/>
  <c r="DJ45" i="2"/>
  <c r="DO821" i="2"/>
  <c r="DN821" i="2"/>
  <c r="DM821" i="2"/>
  <c r="DL821" i="2"/>
  <c r="DK821" i="2"/>
  <c r="DL823" i="2"/>
  <c r="DO823" i="2"/>
  <c r="DK823" i="2"/>
  <c r="DN823" i="2"/>
  <c r="DM823" i="2"/>
  <c r="DI205" i="2"/>
  <c r="DJ205" i="2" s="1"/>
  <c r="DJ197" i="2"/>
  <c r="DM768" i="2"/>
  <c r="DO768" i="2"/>
  <c r="DL768" i="2"/>
  <c r="DN768" i="2"/>
  <c r="DK768" i="2"/>
  <c r="DL770" i="2"/>
  <c r="DK770" i="2"/>
  <c r="DM770" i="2"/>
  <c r="DO770" i="2"/>
  <c r="DN770" i="2"/>
  <c r="DN378" i="2"/>
  <c r="DM378" i="2"/>
  <c r="DL378" i="2"/>
  <c r="DK378" i="2"/>
  <c r="DO378" i="2"/>
  <c r="DJ388" i="2"/>
  <c r="DI399" i="2"/>
  <c r="DK92" i="2"/>
  <c r="DN92" i="2"/>
  <c r="DM92" i="2"/>
  <c r="DL92" i="2"/>
  <c r="DO92" i="2"/>
  <c r="AP61" i="7950"/>
  <c r="AT61" i="7950" s="1"/>
  <c r="AU61" i="7950" s="1"/>
  <c r="FW141" i="2"/>
  <c r="FR141" i="2"/>
  <c r="FS141" i="2"/>
  <c r="G61" i="7950"/>
  <c r="FS134" i="2"/>
  <c r="FR134" i="2"/>
  <c r="FY134" i="2"/>
  <c r="FV134" i="2"/>
  <c r="FT134" i="2"/>
  <c r="FU134" i="2"/>
  <c r="FX134" i="2"/>
  <c r="FW134" i="2"/>
  <c r="FS139" i="2"/>
  <c r="FU139" i="2"/>
  <c r="FX139" i="2"/>
  <c r="FT139" i="2"/>
  <c r="FV139" i="2"/>
  <c r="FR139" i="2"/>
  <c r="FY139" i="2"/>
  <c r="FW139" i="2"/>
  <c r="FR248" i="2"/>
  <c r="FS248" i="2"/>
  <c r="FT248" i="2"/>
  <c r="FX248" i="2"/>
  <c r="FU248" i="2"/>
  <c r="FV248" i="2"/>
  <c r="FW248" i="2"/>
  <c r="FY248" i="2"/>
  <c r="FU253" i="2"/>
  <c r="FW253" i="2"/>
  <c r="FT253" i="2"/>
  <c r="FY253" i="2"/>
  <c r="FR253" i="2"/>
  <c r="FS253" i="2"/>
  <c r="FV253" i="2"/>
  <c r="FX253" i="2"/>
  <c r="FT138" i="2"/>
  <c r="FU138" i="2"/>
  <c r="FV138" i="2"/>
  <c r="FR138" i="2"/>
  <c r="FY138" i="2"/>
  <c r="FS138" i="2"/>
  <c r="FX138" i="2"/>
  <c r="FW138" i="2"/>
  <c r="FV257" i="2"/>
  <c r="FR257" i="2"/>
  <c r="FS257" i="2"/>
  <c r="FT257" i="2"/>
  <c r="FX257" i="2"/>
  <c r="FU257" i="2"/>
  <c r="FW257" i="2"/>
  <c r="FY257" i="2"/>
  <c r="FY254" i="2"/>
  <c r="FU254" i="2"/>
  <c r="FT254" i="2"/>
  <c r="FV254" i="2"/>
  <c r="FX254" i="2"/>
  <c r="FW254" i="2"/>
  <c r="FS254" i="2"/>
  <c r="FR254" i="2"/>
  <c r="FT148" i="2"/>
  <c r="FX148" i="2"/>
  <c r="FR148" i="2"/>
  <c r="FS148" i="2"/>
  <c r="FY148" i="2"/>
  <c r="FU148" i="2"/>
  <c r="FW148" i="2"/>
  <c r="FV148" i="2"/>
  <c r="G45" i="7950"/>
  <c r="AT45" i="7950"/>
  <c r="AU45" i="7950" s="1"/>
  <c r="FS249" i="2"/>
  <c r="FX249" i="2"/>
  <c r="FT249" i="2"/>
  <c r="FY249" i="2"/>
  <c r="FV249" i="2"/>
  <c r="FW249" i="2"/>
  <c r="FR249" i="2"/>
  <c r="FU249" i="2"/>
  <c r="FU255" i="2"/>
  <c r="FT255" i="2"/>
  <c r="FW255" i="2"/>
  <c r="FX255" i="2"/>
  <c r="FR255" i="2"/>
  <c r="FS255" i="2"/>
  <c r="FV255" i="2"/>
  <c r="FY255" i="2"/>
  <c r="FT131" i="2"/>
  <c r="FY131" i="2"/>
  <c r="FU131" i="2"/>
  <c r="FS131" i="2"/>
  <c r="FW131" i="2"/>
  <c r="FX131" i="2"/>
  <c r="FR131" i="2"/>
  <c r="FV131" i="2"/>
  <c r="FU250" i="2"/>
  <c r="FW250" i="2"/>
  <c r="FS250" i="2"/>
  <c r="FR250" i="2"/>
  <c r="FX250" i="2"/>
  <c r="FV250" i="2"/>
  <c r="FT250" i="2"/>
  <c r="FY250" i="2"/>
  <c r="FX133" i="2"/>
  <c r="FW133" i="2"/>
  <c r="FS133" i="2"/>
  <c r="FY133" i="2"/>
  <c r="FU133" i="2"/>
  <c r="FV133" i="2"/>
  <c r="FR133" i="2"/>
  <c r="FT133" i="2"/>
  <c r="FV147" i="2"/>
  <c r="FY147" i="2"/>
  <c r="FR147" i="2"/>
  <c r="FS147" i="2"/>
  <c r="FW147" i="2"/>
  <c r="FX147" i="2"/>
  <c r="FU147" i="2"/>
  <c r="FT147" i="2"/>
  <c r="FZ51" i="2"/>
  <c r="FQ51" i="2" s="1"/>
  <c r="FQ50" i="2"/>
  <c r="FZ163" i="2"/>
  <c r="FQ163" i="2" s="1"/>
  <c r="FQ162" i="2"/>
  <c r="FW245" i="2"/>
  <c r="FX245" i="2"/>
  <c r="FU245" i="2"/>
  <c r="FY245" i="2"/>
  <c r="FR245" i="2"/>
  <c r="FS245" i="2"/>
  <c r="FV245" i="2"/>
  <c r="FT245" i="2"/>
  <c r="FR132" i="2"/>
  <c r="FS132" i="2"/>
  <c r="FW132" i="2"/>
  <c r="FY132" i="2"/>
  <c r="FU132" i="2"/>
  <c r="FT132" i="2"/>
  <c r="FV132" i="2"/>
  <c r="FX132" i="2"/>
  <c r="FX146" i="2"/>
  <c r="FY146" i="2"/>
  <c r="FV146" i="2"/>
  <c r="FU146" i="2"/>
  <c r="FT146" i="2"/>
  <c r="FR146" i="2"/>
  <c r="FS146" i="2"/>
  <c r="FW146" i="2"/>
  <c r="FT247" i="2"/>
  <c r="FX247" i="2"/>
  <c r="FR247" i="2"/>
  <c r="FU247" i="2"/>
  <c r="FS247" i="2"/>
  <c r="FY247" i="2"/>
  <c r="FV247" i="2"/>
  <c r="FW247" i="2"/>
  <c r="FU251" i="2"/>
  <c r="FR251" i="2"/>
  <c r="FX251" i="2"/>
  <c r="FS251" i="2"/>
  <c r="FW251" i="2"/>
  <c r="FV251" i="2"/>
  <c r="FY251" i="2"/>
  <c r="FT251" i="2"/>
  <c r="FW145" i="2"/>
  <c r="FY145" i="2"/>
  <c r="FU145" i="2"/>
  <c r="FV145" i="2"/>
  <c r="FT145" i="2"/>
  <c r="FX145" i="2"/>
  <c r="FR145" i="2"/>
  <c r="FS145" i="2"/>
  <c r="FW150" i="2"/>
  <c r="FS150" i="2"/>
  <c r="FU150" i="2"/>
  <c r="FR150" i="2"/>
  <c r="FX150" i="2"/>
  <c r="FV150" i="2"/>
  <c r="FY150" i="2"/>
  <c r="FT150" i="2"/>
  <c r="FS259" i="2"/>
  <c r="FR259" i="2"/>
  <c r="FY259" i="2"/>
  <c r="FT259" i="2"/>
  <c r="FW259" i="2"/>
  <c r="FU259" i="2"/>
  <c r="FX259" i="2"/>
  <c r="FV259" i="2"/>
  <c r="FR242" i="2"/>
  <c r="FY242" i="2"/>
  <c r="FX242" i="2"/>
  <c r="FS242" i="2"/>
  <c r="FU242" i="2"/>
  <c r="FV242" i="2"/>
  <c r="FW242" i="2"/>
  <c r="FT242" i="2"/>
  <c r="FV149" i="2"/>
  <c r="FU149" i="2"/>
  <c r="FS149" i="2"/>
  <c r="FR149" i="2"/>
  <c r="FY149" i="2"/>
  <c r="FW149" i="2"/>
  <c r="FX149" i="2"/>
  <c r="FT149" i="2"/>
  <c r="FT246" i="2"/>
  <c r="FU246" i="2"/>
  <c r="FV246" i="2"/>
  <c r="FR246" i="2"/>
  <c r="FY246" i="2"/>
  <c r="FS246" i="2"/>
  <c r="FX246" i="2"/>
  <c r="FW246" i="2"/>
  <c r="FV243" i="2"/>
  <c r="FW243" i="2"/>
  <c r="FT243" i="2"/>
  <c r="FX243" i="2"/>
  <c r="FR243" i="2"/>
  <c r="FU243" i="2"/>
  <c r="FS243" i="2"/>
  <c r="FY243" i="2"/>
  <c r="FW137" i="2"/>
  <c r="FT137" i="2"/>
  <c r="FU137" i="2"/>
  <c r="FX137" i="2"/>
  <c r="FR137" i="2"/>
  <c r="FV137" i="2"/>
  <c r="FS137" i="2"/>
  <c r="FY137" i="2"/>
  <c r="FY260" i="2"/>
  <c r="FT260" i="2"/>
  <c r="FW260" i="2"/>
  <c r="FV260" i="2"/>
  <c r="FX260" i="2"/>
  <c r="FS260" i="2"/>
  <c r="FU260" i="2"/>
  <c r="FR260" i="2"/>
  <c r="FX244" i="2"/>
  <c r="FV244" i="2"/>
  <c r="FS244" i="2"/>
  <c r="FR244" i="2"/>
  <c r="FY244" i="2"/>
  <c r="FT244" i="2"/>
  <c r="FW244" i="2"/>
  <c r="FU244" i="2"/>
  <c r="FV142" i="2"/>
  <c r="FR142" i="2"/>
  <c r="FY142" i="2"/>
  <c r="FU142" i="2"/>
  <c r="FW142" i="2"/>
  <c r="FS142" i="2"/>
  <c r="FX142" i="2"/>
  <c r="FT142" i="2"/>
  <c r="FU130" i="2"/>
  <c r="FT130" i="2"/>
  <c r="FR130" i="2"/>
  <c r="FV130" i="2"/>
  <c r="FS130" i="2"/>
  <c r="FY130" i="2"/>
  <c r="FW130" i="2"/>
  <c r="FX130" i="2"/>
  <c r="FX261" i="2"/>
  <c r="FT261" i="2"/>
  <c r="FW261" i="2"/>
  <c r="FU261" i="2"/>
  <c r="FY261" i="2"/>
  <c r="FV261" i="2"/>
  <c r="FS261" i="2"/>
  <c r="FR261" i="2"/>
  <c r="FW144" i="2"/>
  <c r="FU144" i="2"/>
  <c r="FS144" i="2"/>
  <c r="FR144" i="2"/>
  <c r="FY144" i="2"/>
  <c r="FV144" i="2"/>
  <c r="FX144" i="2"/>
  <c r="FT144" i="2"/>
  <c r="FU136" i="2"/>
  <c r="FY136" i="2"/>
  <c r="FX136" i="2"/>
  <c r="FV136" i="2"/>
  <c r="FR136" i="2"/>
  <c r="FT136" i="2"/>
  <c r="FW136" i="2"/>
  <c r="FS136" i="2"/>
  <c r="FX49" i="2"/>
  <c r="FT49" i="2"/>
  <c r="FV49" i="2"/>
  <c r="FU49" i="2"/>
  <c r="FR49" i="2"/>
  <c r="FY49" i="2"/>
  <c r="FW49" i="2"/>
  <c r="FS49" i="2"/>
  <c r="FU161" i="2"/>
  <c r="FY161" i="2"/>
  <c r="FW161" i="2"/>
  <c r="FR161" i="2"/>
  <c r="FT161" i="2"/>
  <c r="FV161" i="2"/>
  <c r="FS161" i="2"/>
  <c r="FX161" i="2"/>
  <c r="FV256" i="2"/>
  <c r="FW256" i="2"/>
  <c r="FS256" i="2"/>
  <c r="FX256" i="2"/>
  <c r="FR256" i="2"/>
  <c r="FU256" i="2"/>
  <c r="FT256" i="2"/>
  <c r="FY256" i="2"/>
  <c r="FX143" i="2"/>
  <c r="FT143" i="2"/>
  <c r="FS143" i="2"/>
  <c r="FR143" i="2"/>
  <c r="FY143" i="2"/>
  <c r="FV143" i="2"/>
  <c r="FW143" i="2"/>
  <c r="FU143" i="2"/>
  <c r="FU135" i="2"/>
  <c r="FW135" i="2"/>
  <c r="FT135" i="2"/>
  <c r="FY135" i="2"/>
  <c r="FR135" i="2"/>
  <c r="FV135" i="2"/>
  <c r="FS135" i="2"/>
  <c r="FX135" i="2"/>
  <c r="FV258" i="2"/>
  <c r="FT258" i="2"/>
  <c r="FU258" i="2"/>
  <c r="FX258" i="2"/>
  <c r="FR258" i="2"/>
  <c r="FS258" i="2"/>
  <c r="FW258" i="2"/>
  <c r="FY258" i="2"/>
  <c r="DM417" i="2"/>
  <c r="DO417" i="2"/>
  <c r="DL417" i="2"/>
  <c r="DN417" i="2"/>
  <c r="DK417" i="2"/>
  <c r="DJ428" i="2"/>
  <c r="DI439" i="2"/>
  <c r="DV245" i="2" l="1"/>
  <c r="DV246" i="2"/>
  <c r="DV244" i="2"/>
  <c r="DV247" i="2"/>
  <c r="DV547" i="2"/>
  <c r="DV548" i="2"/>
  <c r="DV546" i="2"/>
  <c r="DV545" i="2"/>
  <c r="DI410" i="2"/>
  <c r="DJ399" i="2"/>
  <c r="DO205" i="2"/>
  <c r="DL205" i="2"/>
  <c r="DN205" i="2"/>
  <c r="DM205" i="2"/>
  <c r="DK205" i="2"/>
  <c r="DJ46" i="2"/>
  <c r="DP47" i="2"/>
  <c r="DO517" i="2"/>
  <c r="DK517" i="2"/>
  <c r="DL517" i="2"/>
  <c r="DN517" i="2"/>
  <c r="DM517" i="2"/>
  <c r="DO644" i="2"/>
  <c r="DM644" i="2"/>
  <c r="DN644" i="2"/>
  <c r="DK644" i="2"/>
  <c r="DL644" i="2"/>
  <c r="DL392" i="2"/>
  <c r="DM392" i="2"/>
  <c r="DO392" i="2"/>
  <c r="DN392" i="2"/>
  <c r="DK392" i="2"/>
  <c r="DM198" i="2"/>
  <c r="DO198" i="2"/>
  <c r="DK198" i="2"/>
  <c r="DL198" i="2"/>
  <c r="DN198" i="2"/>
  <c r="DO846" i="2"/>
  <c r="DM846" i="2"/>
  <c r="DN846" i="2"/>
  <c r="DL846" i="2"/>
  <c r="DK846" i="2"/>
  <c r="DJ498" i="2"/>
  <c r="DI506" i="2"/>
  <c r="DJ506" i="2" s="1"/>
  <c r="DN774" i="2"/>
  <c r="DO774" i="2"/>
  <c r="DM774" i="2"/>
  <c r="DL774" i="2"/>
  <c r="DK774" i="2"/>
  <c r="DY280" i="2"/>
  <c r="DX280" i="2"/>
  <c r="DL195" i="2"/>
  <c r="DM195" i="2"/>
  <c r="DK195" i="2"/>
  <c r="DO195" i="2"/>
  <c r="DN195" i="2"/>
  <c r="DM670" i="2"/>
  <c r="DK670" i="2"/>
  <c r="DO670" i="2"/>
  <c r="DN670" i="2"/>
  <c r="DL670" i="2"/>
  <c r="DM391" i="2"/>
  <c r="DL391" i="2"/>
  <c r="DK391" i="2"/>
  <c r="DO391" i="2"/>
  <c r="DN391" i="2"/>
  <c r="DI791" i="2"/>
  <c r="DJ783" i="2"/>
  <c r="DN458" i="2"/>
  <c r="DK458" i="2"/>
  <c r="DL458" i="2"/>
  <c r="DM458" i="2"/>
  <c r="DO458" i="2"/>
  <c r="DN668" i="2"/>
  <c r="DL668" i="2"/>
  <c r="DO668" i="2"/>
  <c r="DK668" i="2"/>
  <c r="DM668" i="2"/>
  <c r="DP870" i="2"/>
  <c r="DJ870" i="2" s="1"/>
  <c r="DJ869" i="2"/>
  <c r="DN215" i="2"/>
  <c r="DM215" i="2"/>
  <c r="DL215" i="2"/>
  <c r="DK215" i="2"/>
  <c r="DO215" i="2"/>
  <c r="DJ112" i="2"/>
  <c r="DI123" i="2"/>
  <c r="DI789" i="2"/>
  <c r="DJ781" i="2"/>
  <c r="DK764" i="2"/>
  <c r="DO764" i="2"/>
  <c r="DN764" i="2"/>
  <c r="DL764" i="2"/>
  <c r="DM764" i="2"/>
  <c r="DL390" i="2"/>
  <c r="DK390" i="2"/>
  <c r="DM390" i="2"/>
  <c r="DN390" i="2"/>
  <c r="DO390" i="2"/>
  <c r="DJ114" i="2"/>
  <c r="DI125" i="2"/>
  <c r="DI411" i="2"/>
  <c r="DJ400" i="2"/>
  <c r="DK778" i="2"/>
  <c r="DO778" i="2"/>
  <c r="DN778" i="2"/>
  <c r="DM778" i="2"/>
  <c r="DL778" i="2"/>
  <c r="DJ784" i="2"/>
  <c r="DI792" i="2"/>
  <c r="DO829" i="2"/>
  <c r="DK829" i="2"/>
  <c r="DN829" i="2"/>
  <c r="DL829" i="2"/>
  <c r="DM829" i="2"/>
  <c r="DJ833" i="2"/>
  <c r="DI839" i="2"/>
  <c r="DJ839" i="2" s="1"/>
  <c r="DM500" i="2"/>
  <c r="DL500" i="2"/>
  <c r="DO500" i="2"/>
  <c r="DK500" i="2"/>
  <c r="DN500" i="2"/>
  <c r="DJ684" i="2"/>
  <c r="DI695" i="2"/>
  <c r="DJ666" i="2"/>
  <c r="DI677" i="2"/>
  <c r="DM674" i="2"/>
  <c r="DK674" i="2"/>
  <c r="DO674" i="2"/>
  <c r="DN674" i="2"/>
  <c r="DL674" i="2"/>
  <c r="DM671" i="2"/>
  <c r="DO671" i="2"/>
  <c r="DL671" i="2"/>
  <c r="DK671" i="2"/>
  <c r="DN671" i="2"/>
  <c r="DM488" i="2"/>
  <c r="DN488" i="2"/>
  <c r="DL488" i="2"/>
  <c r="DO488" i="2"/>
  <c r="DK488" i="2"/>
  <c r="DK864" i="2"/>
  <c r="DN864" i="2"/>
  <c r="DL864" i="2"/>
  <c r="DO864" i="2"/>
  <c r="DM864" i="2"/>
  <c r="DN863" i="2"/>
  <c r="DL863" i="2"/>
  <c r="DM863" i="2"/>
  <c r="DK863" i="2"/>
  <c r="DO863" i="2"/>
  <c r="DJ856" i="2"/>
  <c r="DI861" i="2"/>
  <c r="DJ861" i="2" s="1"/>
  <c r="DM99" i="2"/>
  <c r="DO99" i="2"/>
  <c r="DN99" i="2"/>
  <c r="DL99" i="2"/>
  <c r="DK99" i="2"/>
  <c r="DX581" i="2"/>
  <c r="DY581" i="2"/>
  <c r="DI793" i="2"/>
  <c r="DJ785" i="2"/>
  <c r="DL199" i="2"/>
  <c r="DM199" i="2"/>
  <c r="DK199" i="2"/>
  <c r="DO199" i="2"/>
  <c r="DN199" i="2"/>
  <c r="DI842" i="2"/>
  <c r="DJ842" i="2" s="1"/>
  <c r="DJ836" i="2"/>
  <c r="DM537" i="2"/>
  <c r="DN537" i="2"/>
  <c r="DL537" i="2"/>
  <c r="DK537" i="2"/>
  <c r="DO537" i="2"/>
  <c r="DI438" i="2"/>
  <c r="DJ427" i="2"/>
  <c r="DJ487" i="2"/>
  <c r="DI495" i="2"/>
  <c r="DO204" i="2"/>
  <c r="DK204" i="2"/>
  <c r="DN204" i="2"/>
  <c r="DL204" i="2"/>
  <c r="DM204" i="2"/>
  <c r="DK672" i="2"/>
  <c r="DN672" i="2"/>
  <c r="DO672" i="2"/>
  <c r="DM672" i="2"/>
  <c r="DL672" i="2"/>
  <c r="DN669" i="2"/>
  <c r="DL669" i="2"/>
  <c r="DK669" i="2"/>
  <c r="DO669" i="2"/>
  <c r="DM669" i="2"/>
  <c r="DJ97" i="2"/>
  <c r="DI108" i="2"/>
  <c r="DM509" i="2"/>
  <c r="DN509" i="2"/>
  <c r="DL509" i="2"/>
  <c r="DK509" i="2"/>
  <c r="DO509" i="2"/>
  <c r="DJ347" i="2"/>
  <c r="DP348" i="2"/>
  <c r="DJ499" i="2"/>
  <c r="DI507" i="2"/>
  <c r="DJ507" i="2" s="1"/>
  <c r="DJ158" i="2"/>
  <c r="DP159" i="2"/>
  <c r="DI440" i="2"/>
  <c r="DJ429" i="2"/>
  <c r="DO876" i="2"/>
  <c r="DL876" i="2"/>
  <c r="DK876" i="2"/>
  <c r="DM876" i="2"/>
  <c r="DN876" i="2"/>
  <c r="DL104" i="2"/>
  <c r="DO104" i="2"/>
  <c r="DK104" i="2"/>
  <c r="DM104" i="2"/>
  <c r="DN104" i="2"/>
  <c r="DN105" i="2"/>
  <c r="DL105" i="2"/>
  <c r="DK105" i="2"/>
  <c r="DO105" i="2"/>
  <c r="DM105" i="2"/>
  <c r="DJ497" i="2"/>
  <c r="DI505" i="2"/>
  <c r="DJ505" i="2" s="1"/>
  <c r="DN862" i="2"/>
  <c r="DO862" i="2"/>
  <c r="DM862" i="2"/>
  <c r="DK862" i="2"/>
  <c r="DL862" i="2"/>
  <c r="DL106" i="2"/>
  <c r="DN106" i="2"/>
  <c r="DO106" i="2"/>
  <c r="DK106" i="2"/>
  <c r="DM106" i="2"/>
  <c r="DJ194" i="2"/>
  <c r="DI202" i="2"/>
  <c r="DJ202" i="2" s="1"/>
  <c r="DK102" i="2"/>
  <c r="DM102" i="2"/>
  <c r="DO102" i="2"/>
  <c r="DL102" i="2"/>
  <c r="DN102" i="2"/>
  <c r="DL756" i="2"/>
  <c r="DO756" i="2"/>
  <c r="DM756" i="2"/>
  <c r="DK756" i="2"/>
  <c r="DN756" i="2"/>
  <c r="DN208" i="2"/>
  <c r="DK208" i="2"/>
  <c r="DO208" i="2"/>
  <c r="DM208" i="2"/>
  <c r="DL208" i="2"/>
  <c r="DL100" i="2"/>
  <c r="DM100" i="2"/>
  <c r="DO100" i="2"/>
  <c r="DK100" i="2"/>
  <c r="DN100" i="2"/>
  <c r="DL404" i="2"/>
  <c r="DN404" i="2"/>
  <c r="DO404" i="2"/>
  <c r="DK404" i="2"/>
  <c r="DM404" i="2"/>
  <c r="DJ387" i="2"/>
  <c r="DI398" i="2"/>
  <c r="DJ834" i="2"/>
  <c r="DI840" i="2"/>
  <c r="DJ840" i="2" s="1"/>
  <c r="DM815" i="2"/>
  <c r="DL815" i="2"/>
  <c r="DN815" i="2"/>
  <c r="DO815" i="2"/>
  <c r="DK815" i="2"/>
  <c r="DI689" i="2"/>
  <c r="DJ678" i="2"/>
  <c r="DI697" i="2"/>
  <c r="DJ686" i="2"/>
  <c r="DM98" i="2"/>
  <c r="DO98" i="2"/>
  <c r="DL98" i="2"/>
  <c r="DN98" i="2"/>
  <c r="DK98" i="2"/>
  <c r="DI881" i="2"/>
  <c r="DI832" i="2"/>
  <c r="DJ826" i="2"/>
  <c r="DX268" i="2"/>
  <c r="ED268" i="2" s="1"/>
  <c r="DY268" i="2"/>
  <c r="DN388" i="2"/>
  <c r="DM388" i="2"/>
  <c r="DL388" i="2"/>
  <c r="DK388" i="2"/>
  <c r="DO388" i="2"/>
  <c r="DL197" i="2"/>
  <c r="DK197" i="2"/>
  <c r="DO197" i="2"/>
  <c r="DM197" i="2"/>
  <c r="DN197" i="2"/>
  <c r="DL45" i="2"/>
  <c r="DO45" i="2"/>
  <c r="DK45" i="2"/>
  <c r="DM45" i="2"/>
  <c r="DN45" i="2"/>
  <c r="DK516" i="2"/>
  <c r="DM516" i="2"/>
  <c r="DN516" i="2"/>
  <c r="DL516" i="2"/>
  <c r="DO516" i="2"/>
  <c r="DJ645" i="2"/>
  <c r="DP646" i="2"/>
  <c r="DJ403" i="2"/>
  <c r="DI414" i="2"/>
  <c r="DK206" i="2"/>
  <c r="DO206" i="2"/>
  <c r="DN206" i="2"/>
  <c r="DL206" i="2"/>
  <c r="DM206" i="2"/>
  <c r="DJ847" i="2"/>
  <c r="DP848" i="2"/>
  <c r="DK490" i="2"/>
  <c r="DN490" i="2"/>
  <c r="DL490" i="2"/>
  <c r="DM490" i="2"/>
  <c r="DO490" i="2"/>
  <c r="DJ782" i="2"/>
  <c r="DI790" i="2"/>
  <c r="DY281" i="2"/>
  <c r="DX281" i="2"/>
  <c r="DM203" i="2"/>
  <c r="DN203" i="2"/>
  <c r="DO203" i="2"/>
  <c r="DK203" i="2"/>
  <c r="DL203" i="2"/>
  <c r="DI692" i="2"/>
  <c r="DJ681" i="2"/>
  <c r="DI413" i="2"/>
  <c r="DJ402" i="2"/>
  <c r="DL775" i="2"/>
  <c r="DN775" i="2"/>
  <c r="DK775" i="2"/>
  <c r="DM775" i="2"/>
  <c r="DO775" i="2"/>
  <c r="DJ459" i="2"/>
  <c r="DP460" i="2"/>
  <c r="DI690" i="2"/>
  <c r="DJ679" i="2"/>
  <c r="DO868" i="2"/>
  <c r="DN868" i="2"/>
  <c r="DL868" i="2"/>
  <c r="DK868" i="2"/>
  <c r="DM868" i="2"/>
  <c r="DO216" i="2"/>
  <c r="DL216" i="2"/>
  <c r="DN216" i="2"/>
  <c r="DM216" i="2"/>
  <c r="DK216" i="2"/>
  <c r="DK101" i="2"/>
  <c r="DN101" i="2"/>
  <c r="DO101" i="2"/>
  <c r="DM101" i="2"/>
  <c r="DL101" i="2"/>
  <c r="DL773" i="2"/>
  <c r="DN773" i="2"/>
  <c r="DM773" i="2"/>
  <c r="DO773" i="2"/>
  <c r="DK773" i="2"/>
  <c r="DJ772" i="2"/>
  <c r="DI780" i="2"/>
  <c r="DJ401" i="2"/>
  <c r="DI412" i="2"/>
  <c r="DL103" i="2"/>
  <c r="DM103" i="2"/>
  <c r="DK103" i="2"/>
  <c r="DO103" i="2"/>
  <c r="DN103" i="2"/>
  <c r="DK389" i="2"/>
  <c r="DN389" i="2"/>
  <c r="DM389" i="2"/>
  <c r="DL389" i="2"/>
  <c r="DO389" i="2"/>
  <c r="DJ786" i="2"/>
  <c r="DI794" i="2"/>
  <c r="DM776" i="2"/>
  <c r="DL776" i="2"/>
  <c r="DK776" i="2"/>
  <c r="DO776" i="2"/>
  <c r="DN776" i="2"/>
  <c r="DV567" i="2"/>
  <c r="DV568" i="2"/>
  <c r="DV569" i="2"/>
  <c r="DJ835" i="2"/>
  <c r="DI841" i="2"/>
  <c r="DJ841" i="2" s="1"/>
  <c r="DL827" i="2"/>
  <c r="DM827" i="2"/>
  <c r="DO827" i="2"/>
  <c r="DK827" i="2"/>
  <c r="DN827" i="2"/>
  <c r="DO508" i="2"/>
  <c r="DM508" i="2"/>
  <c r="DK508" i="2"/>
  <c r="DN508" i="2"/>
  <c r="DL508" i="2"/>
  <c r="DL673" i="2"/>
  <c r="DK673" i="2"/>
  <c r="DO673" i="2"/>
  <c r="DM673" i="2"/>
  <c r="DN673" i="2"/>
  <c r="DO655" i="2"/>
  <c r="DN655" i="2"/>
  <c r="DM655" i="2"/>
  <c r="DK655" i="2"/>
  <c r="DL655" i="2"/>
  <c r="DJ685" i="2"/>
  <c r="DI696" i="2"/>
  <c r="DJ682" i="2"/>
  <c r="DI693" i="2"/>
  <c r="DJ496" i="2"/>
  <c r="DI504" i="2"/>
  <c r="DJ504" i="2" s="1"/>
  <c r="DO859" i="2"/>
  <c r="DK859" i="2"/>
  <c r="DN859" i="2"/>
  <c r="DM859" i="2"/>
  <c r="DL859" i="2"/>
  <c r="DN858" i="2"/>
  <c r="DK858" i="2"/>
  <c r="DL858" i="2"/>
  <c r="DO858" i="2"/>
  <c r="DM858" i="2"/>
  <c r="DM851" i="2"/>
  <c r="DL851" i="2"/>
  <c r="DO851" i="2"/>
  <c r="DN851" i="2"/>
  <c r="DK851" i="2"/>
  <c r="DI121" i="2"/>
  <c r="DJ110" i="2"/>
  <c r="DY582" i="2"/>
  <c r="DX582" i="2"/>
  <c r="ED582" i="2" s="1"/>
  <c r="DO777" i="2"/>
  <c r="DK777" i="2"/>
  <c r="DN777" i="2"/>
  <c r="DM777" i="2"/>
  <c r="DL777" i="2"/>
  <c r="DM207" i="2"/>
  <c r="DO207" i="2"/>
  <c r="DK207" i="2"/>
  <c r="DL207" i="2"/>
  <c r="DN207" i="2"/>
  <c r="DM830" i="2"/>
  <c r="DK830" i="2"/>
  <c r="DO830" i="2"/>
  <c r="DN830" i="2"/>
  <c r="DL830" i="2"/>
  <c r="DK531" i="2"/>
  <c r="DL531" i="2"/>
  <c r="DO531" i="2"/>
  <c r="DM531" i="2"/>
  <c r="DN531" i="2"/>
  <c r="DO416" i="2"/>
  <c r="DN416" i="2"/>
  <c r="DL416" i="2"/>
  <c r="DM416" i="2"/>
  <c r="DK416" i="2"/>
  <c r="DN479" i="2"/>
  <c r="DL479" i="2"/>
  <c r="DM479" i="2"/>
  <c r="DK479" i="2"/>
  <c r="DO479" i="2"/>
  <c r="DO196" i="2"/>
  <c r="DM196" i="2"/>
  <c r="DK196" i="2"/>
  <c r="DL196" i="2"/>
  <c r="DN196" i="2"/>
  <c r="DJ683" i="2"/>
  <c r="DI694" i="2"/>
  <c r="DI691" i="2"/>
  <c r="DJ680" i="2"/>
  <c r="DM86" i="2"/>
  <c r="DL86" i="2"/>
  <c r="DO86" i="2"/>
  <c r="DK86" i="2"/>
  <c r="DN86" i="2"/>
  <c r="DN501" i="2"/>
  <c r="DO501" i="2"/>
  <c r="DM501" i="2"/>
  <c r="DK501" i="2"/>
  <c r="DL501" i="2"/>
  <c r="DK346" i="2"/>
  <c r="DN346" i="2"/>
  <c r="DO346" i="2"/>
  <c r="DL346" i="2"/>
  <c r="DM346" i="2"/>
  <c r="DN491" i="2"/>
  <c r="DL491" i="2"/>
  <c r="DO491" i="2"/>
  <c r="DK491" i="2"/>
  <c r="DM491" i="2"/>
  <c r="DK157" i="2"/>
  <c r="DL157" i="2"/>
  <c r="DM157" i="2"/>
  <c r="DO157" i="2"/>
  <c r="DN157" i="2"/>
  <c r="DN418" i="2"/>
  <c r="DK418" i="2"/>
  <c r="DM418" i="2"/>
  <c r="DO418" i="2"/>
  <c r="DL418" i="2"/>
  <c r="DL872" i="2"/>
  <c r="DM872" i="2"/>
  <c r="DK872" i="2"/>
  <c r="DO872" i="2"/>
  <c r="DN872" i="2"/>
  <c r="DJ115" i="2"/>
  <c r="DI126" i="2"/>
  <c r="DI127" i="2"/>
  <c r="DJ116" i="2"/>
  <c r="DM489" i="2"/>
  <c r="DL489" i="2"/>
  <c r="DK489" i="2"/>
  <c r="DO489" i="2"/>
  <c r="DN489" i="2"/>
  <c r="DM857" i="2"/>
  <c r="DL857" i="2"/>
  <c r="DK857" i="2"/>
  <c r="DO857" i="2"/>
  <c r="DN857" i="2"/>
  <c r="DI128" i="2"/>
  <c r="DJ117" i="2"/>
  <c r="DN186" i="2"/>
  <c r="DM186" i="2"/>
  <c r="DL186" i="2"/>
  <c r="DO186" i="2"/>
  <c r="DK186" i="2"/>
  <c r="DJ113" i="2"/>
  <c r="DI124" i="2"/>
  <c r="DJ757" i="2"/>
  <c r="DP758" i="2"/>
  <c r="DN200" i="2"/>
  <c r="DK200" i="2"/>
  <c r="DO200" i="2"/>
  <c r="DL200" i="2"/>
  <c r="DM200" i="2"/>
  <c r="DI122" i="2"/>
  <c r="DJ111" i="2"/>
  <c r="DJ415" i="2"/>
  <c r="DI426" i="2"/>
  <c r="DO376" i="2"/>
  <c r="DL376" i="2"/>
  <c r="DN376" i="2"/>
  <c r="DK376" i="2"/>
  <c r="DM376" i="2"/>
  <c r="DL828" i="2"/>
  <c r="DK828" i="2"/>
  <c r="DO828" i="2"/>
  <c r="DM828" i="2"/>
  <c r="DN828" i="2"/>
  <c r="DP817" i="2"/>
  <c r="DJ816" i="2"/>
  <c r="DN667" i="2"/>
  <c r="DM667" i="2"/>
  <c r="DO667" i="2"/>
  <c r="DL667" i="2"/>
  <c r="DK667" i="2"/>
  <c r="DO675" i="2"/>
  <c r="DK675" i="2"/>
  <c r="DN675" i="2"/>
  <c r="DM675" i="2"/>
  <c r="DL675" i="2"/>
  <c r="DI120" i="2"/>
  <c r="DJ109" i="2"/>
  <c r="DO820" i="2"/>
  <c r="DN820" i="2"/>
  <c r="DM820" i="2"/>
  <c r="DL820" i="2"/>
  <c r="DK820" i="2"/>
  <c r="DX267" i="2"/>
  <c r="ED267" i="2" s="1"/>
  <c r="DY267" i="2"/>
  <c r="DX266" i="2"/>
  <c r="ED266" i="2" s="1"/>
  <c r="DY266" i="2"/>
  <c r="AV61" i="7950"/>
  <c r="K61" i="7950"/>
  <c r="FT163" i="2"/>
  <c r="FY163" i="2"/>
  <c r="FU163" i="2"/>
  <c r="FX163" i="2"/>
  <c r="FS163" i="2"/>
  <c r="FW163" i="2"/>
  <c r="FR163" i="2"/>
  <c r="FV163" i="2"/>
  <c r="FX51" i="2"/>
  <c r="FS51" i="2"/>
  <c r="FW51" i="2"/>
  <c r="FV51" i="2"/>
  <c r="FY51" i="2"/>
  <c r="FU51" i="2"/>
  <c r="FR51" i="2"/>
  <c r="FT51" i="2"/>
  <c r="FR162" i="2"/>
  <c r="FY162" i="2"/>
  <c r="FU162" i="2"/>
  <c r="FS162" i="2"/>
  <c r="FT162" i="2"/>
  <c r="FX162" i="2"/>
  <c r="FW162" i="2"/>
  <c r="FV162" i="2"/>
  <c r="FX50" i="2"/>
  <c r="FV50" i="2"/>
  <c r="FS50" i="2"/>
  <c r="FR50" i="2"/>
  <c r="FY50" i="2"/>
  <c r="FW50" i="2"/>
  <c r="FU50" i="2"/>
  <c r="FT50" i="2"/>
  <c r="K45" i="7950"/>
  <c r="AV45" i="7950"/>
  <c r="DJ439" i="2"/>
  <c r="DI450" i="2"/>
  <c r="DJ450" i="2" s="1"/>
  <c r="DM428" i="2"/>
  <c r="DO428" i="2"/>
  <c r="DL428" i="2"/>
  <c r="DN428" i="2"/>
  <c r="DK428" i="2"/>
  <c r="DO109" i="2" l="1"/>
  <c r="DN109" i="2"/>
  <c r="DM109" i="2"/>
  <c r="DL109" i="2"/>
  <c r="DK109" i="2"/>
  <c r="DM757" i="2"/>
  <c r="DK757" i="2"/>
  <c r="DN757" i="2"/>
  <c r="DL757" i="2"/>
  <c r="DO757" i="2"/>
  <c r="DM113" i="2"/>
  <c r="DN113" i="2"/>
  <c r="DK113" i="2"/>
  <c r="DO113" i="2"/>
  <c r="DL113" i="2"/>
  <c r="DN117" i="2"/>
  <c r="DM117" i="2"/>
  <c r="DO117" i="2"/>
  <c r="DK117" i="2"/>
  <c r="DL117" i="2"/>
  <c r="DN116" i="2"/>
  <c r="DM116" i="2"/>
  <c r="DL116" i="2"/>
  <c r="DK116" i="2"/>
  <c r="DO116" i="2"/>
  <c r="DI137" i="2"/>
  <c r="DJ126" i="2"/>
  <c r="DJ691" i="2"/>
  <c r="DI702" i="2"/>
  <c r="DL683" i="2"/>
  <c r="DO683" i="2"/>
  <c r="DK683" i="2"/>
  <c r="DN683" i="2"/>
  <c r="DM683" i="2"/>
  <c r="DK110" i="2"/>
  <c r="DL110" i="2"/>
  <c r="DM110" i="2"/>
  <c r="DO110" i="2"/>
  <c r="DN110" i="2"/>
  <c r="DO835" i="2"/>
  <c r="DK835" i="2"/>
  <c r="DN835" i="2"/>
  <c r="DM835" i="2"/>
  <c r="DL835" i="2"/>
  <c r="DX568" i="2"/>
  <c r="DY568" i="2"/>
  <c r="DO401" i="2"/>
  <c r="DM401" i="2"/>
  <c r="DK401" i="2"/>
  <c r="DL401" i="2"/>
  <c r="DN401" i="2"/>
  <c r="DL459" i="2"/>
  <c r="DK459" i="2"/>
  <c r="DO459" i="2"/>
  <c r="DN459" i="2"/>
  <c r="DM459" i="2"/>
  <c r="DM402" i="2"/>
  <c r="DK402" i="2"/>
  <c r="DO402" i="2"/>
  <c r="DN402" i="2"/>
  <c r="DL402" i="2"/>
  <c r="DM681" i="2"/>
  <c r="DL681" i="2"/>
  <c r="DK681" i="2"/>
  <c r="DO681" i="2"/>
  <c r="DN681" i="2"/>
  <c r="DM782" i="2"/>
  <c r="DK782" i="2"/>
  <c r="DN782" i="2"/>
  <c r="DO782" i="2"/>
  <c r="DL782" i="2"/>
  <c r="DJ848" i="2"/>
  <c r="DP849" i="2"/>
  <c r="DJ849" i="2" s="1"/>
  <c r="DM403" i="2"/>
  <c r="DN403" i="2"/>
  <c r="DL403" i="2"/>
  <c r="DO403" i="2"/>
  <c r="DK403" i="2"/>
  <c r="DL645" i="2"/>
  <c r="DM645" i="2"/>
  <c r="DK645" i="2"/>
  <c r="DO645" i="2"/>
  <c r="DN645" i="2"/>
  <c r="DI838" i="2"/>
  <c r="DJ838" i="2" s="1"/>
  <c r="DJ832" i="2"/>
  <c r="DI708" i="2"/>
  <c r="DJ697" i="2"/>
  <c r="DI700" i="2"/>
  <c r="DJ689" i="2"/>
  <c r="DL840" i="2"/>
  <c r="DN840" i="2"/>
  <c r="DM840" i="2"/>
  <c r="DK840" i="2"/>
  <c r="DO840" i="2"/>
  <c r="DI409" i="2"/>
  <c r="DJ398" i="2"/>
  <c r="DK194" i="2"/>
  <c r="DN194" i="2"/>
  <c r="DM194" i="2"/>
  <c r="DO194" i="2"/>
  <c r="DL194" i="2"/>
  <c r="DK497" i="2"/>
  <c r="DN497" i="2"/>
  <c r="DL497" i="2"/>
  <c r="DM497" i="2"/>
  <c r="DO497" i="2"/>
  <c r="DL429" i="2"/>
  <c r="DN429" i="2"/>
  <c r="DO429" i="2"/>
  <c r="DM429" i="2"/>
  <c r="DK429" i="2"/>
  <c r="DJ159" i="2"/>
  <c r="DP160" i="2"/>
  <c r="DJ160" i="2" s="1"/>
  <c r="DM507" i="2"/>
  <c r="DO507" i="2"/>
  <c r="DL507" i="2"/>
  <c r="DN507" i="2"/>
  <c r="DK507" i="2"/>
  <c r="DP349" i="2"/>
  <c r="DJ348" i="2"/>
  <c r="DN97" i="2"/>
  <c r="DM97" i="2"/>
  <c r="DL97" i="2"/>
  <c r="DK97" i="2"/>
  <c r="DO97" i="2"/>
  <c r="DI503" i="2"/>
  <c r="DJ503" i="2" s="1"/>
  <c r="DJ495" i="2"/>
  <c r="DN427" i="2"/>
  <c r="DM427" i="2"/>
  <c r="DK427" i="2"/>
  <c r="DL427" i="2"/>
  <c r="DO427" i="2"/>
  <c r="DL842" i="2"/>
  <c r="DM842" i="2"/>
  <c r="DK842" i="2"/>
  <c r="DO842" i="2"/>
  <c r="DN842" i="2"/>
  <c r="DM785" i="2"/>
  <c r="DL785" i="2"/>
  <c r="DK785" i="2"/>
  <c r="DO785" i="2"/>
  <c r="DN785" i="2"/>
  <c r="DK856" i="2"/>
  <c r="DO856" i="2"/>
  <c r="DN856" i="2"/>
  <c r="DM856" i="2"/>
  <c r="DL856" i="2"/>
  <c r="DJ677" i="2"/>
  <c r="DI688" i="2"/>
  <c r="DI706" i="2"/>
  <c r="DJ695" i="2"/>
  <c r="DN833" i="2"/>
  <c r="DL833" i="2"/>
  <c r="DM833" i="2"/>
  <c r="DO833" i="2"/>
  <c r="DK833" i="2"/>
  <c r="DI800" i="2"/>
  <c r="DJ792" i="2"/>
  <c r="DI422" i="2"/>
  <c r="DJ411" i="2"/>
  <c r="DK114" i="2"/>
  <c r="DO114" i="2"/>
  <c r="DM114" i="2"/>
  <c r="DN114" i="2"/>
  <c r="DL114" i="2"/>
  <c r="DI797" i="2"/>
  <c r="DJ789" i="2"/>
  <c r="DO112" i="2"/>
  <c r="DN112" i="2"/>
  <c r="DL112" i="2"/>
  <c r="DM112" i="2"/>
  <c r="DK112" i="2"/>
  <c r="DO869" i="2"/>
  <c r="DK869" i="2"/>
  <c r="DN869" i="2"/>
  <c r="DM869" i="2"/>
  <c r="DL869" i="2"/>
  <c r="DK783" i="2"/>
  <c r="DN783" i="2"/>
  <c r="DL783" i="2"/>
  <c r="DM783" i="2"/>
  <c r="DO783" i="2"/>
  <c r="DM506" i="2"/>
  <c r="DO506" i="2"/>
  <c r="DK506" i="2"/>
  <c r="DN506" i="2"/>
  <c r="DL506" i="2"/>
  <c r="DN46" i="2"/>
  <c r="DM46" i="2"/>
  <c r="DL46" i="2"/>
  <c r="DK46" i="2"/>
  <c r="DO46" i="2"/>
  <c r="DL399" i="2"/>
  <c r="DO399" i="2"/>
  <c r="DK399" i="2"/>
  <c r="DN399" i="2"/>
  <c r="DM399" i="2"/>
  <c r="DX545" i="2"/>
  <c r="ED545" i="2" s="1"/>
  <c r="DY545" i="2"/>
  <c r="DY548" i="2"/>
  <c r="DX548" i="2"/>
  <c r="DY247" i="2"/>
  <c r="DX247" i="2"/>
  <c r="DY246" i="2"/>
  <c r="DX246" i="2"/>
  <c r="DL816" i="2"/>
  <c r="DM816" i="2"/>
  <c r="DK816" i="2"/>
  <c r="DO816" i="2"/>
  <c r="DN816" i="2"/>
  <c r="DJ426" i="2"/>
  <c r="DI437" i="2"/>
  <c r="DN111" i="2"/>
  <c r="DM111" i="2"/>
  <c r="DO111" i="2"/>
  <c r="DL111" i="2"/>
  <c r="DK111" i="2"/>
  <c r="DM496" i="2"/>
  <c r="DO496" i="2"/>
  <c r="DN496" i="2"/>
  <c r="DL496" i="2"/>
  <c r="DK496" i="2"/>
  <c r="DL682" i="2"/>
  <c r="DN682" i="2"/>
  <c r="DO682" i="2"/>
  <c r="DK682" i="2"/>
  <c r="DM682" i="2"/>
  <c r="DL685" i="2"/>
  <c r="DK685" i="2"/>
  <c r="DO685" i="2"/>
  <c r="DN685" i="2"/>
  <c r="DM685" i="2"/>
  <c r="DO786" i="2"/>
  <c r="DN786" i="2"/>
  <c r="DL786" i="2"/>
  <c r="DM786" i="2"/>
  <c r="DK786" i="2"/>
  <c r="DL772" i="2"/>
  <c r="DK772" i="2"/>
  <c r="DO772" i="2"/>
  <c r="DN772" i="2"/>
  <c r="DM772" i="2"/>
  <c r="DI701" i="2"/>
  <c r="DJ690" i="2"/>
  <c r="DJ120" i="2"/>
  <c r="DI131" i="2"/>
  <c r="DP818" i="2"/>
  <c r="DJ818" i="2" s="1"/>
  <c r="DJ817" i="2"/>
  <c r="DL415" i="2"/>
  <c r="DN415" i="2"/>
  <c r="DK415" i="2"/>
  <c r="DM415" i="2"/>
  <c r="DO415" i="2"/>
  <c r="DJ122" i="2"/>
  <c r="DI133" i="2"/>
  <c r="DP759" i="2"/>
  <c r="DJ758" i="2"/>
  <c r="DI135" i="2"/>
  <c r="DJ124" i="2"/>
  <c r="DJ128" i="2"/>
  <c r="DI139" i="2"/>
  <c r="DJ127" i="2"/>
  <c r="DI138" i="2"/>
  <c r="DK115" i="2"/>
  <c r="DL115" i="2"/>
  <c r="DN115" i="2"/>
  <c r="DM115" i="2"/>
  <c r="DO115" i="2"/>
  <c r="DM680" i="2"/>
  <c r="DL680" i="2"/>
  <c r="DO680" i="2"/>
  <c r="DK680" i="2"/>
  <c r="DN680" i="2"/>
  <c r="DI705" i="2"/>
  <c r="DJ694" i="2"/>
  <c r="DI132" i="2"/>
  <c r="DJ121" i="2"/>
  <c r="DN504" i="2"/>
  <c r="DK504" i="2"/>
  <c r="DO504" i="2"/>
  <c r="DM504" i="2"/>
  <c r="DL504" i="2"/>
  <c r="DI704" i="2"/>
  <c r="DJ693" i="2"/>
  <c r="DJ696" i="2"/>
  <c r="DI707" i="2"/>
  <c r="DL841" i="2"/>
  <c r="DM841" i="2"/>
  <c r="DO841" i="2"/>
  <c r="DK841" i="2"/>
  <c r="DN841" i="2"/>
  <c r="DY569" i="2"/>
  <c r="DX569" i="2"/>
  <c r="DY567" i="2"/>
  <c r="DX567" i="2"/>
  <c r="DJ794" i="2"/>
  <c r="DI802" i="2"/>
  <c r="DI423" i="2"/>
  <c r="DJ412" i="2"/>
  <c r="DI788" i="2"/>
  <c r="DJ780" i="2"/>
  <c r="DN679" i="2"/>
  <c r="DM679" i="2"/>
  <c r="DL679" i="2"/>
  <c r="DO679" i="2"/>
  <c r="DK679" i="2"/>
  <c r="DP461" i="2"/>
  <c r="DJ461" i="2" s="1"/>
  <c r="DJ460" i="2"/>
  <c r="DI424" i="2"/>
  <c r="DJ413" i="2"/>
  <c r="DI703" i="2"/>
  <c r="DJ692" i="2"/>
  <c r="ED281" i="2"/>
  <c r="DJ790" i="2"/>
  <c r="DI798" i="2"/>
  <c r="DM847" i="2"/>
  <c r="DL847" i="2"/>
  <c r="DO847" i="2"/>
  <c r="DK847" i="2"/>
  <c r="DN847" i="2"/>
  <c r="DJ414" i="2"/>
  <c r="DI425" i="2"/>
  <c r="DJ646" i="2"/>
  <c r="DP647" i="2"/>
  <c r="DI512" i="2"/>
  <c r="DM826" i="2"/>
  <c r="DK826" i="2"/>
  <c r="DO826" i="2"/>
  <c r="DN826" i="2"/>
  <c r="DL826" i="2"/>
  <c r="DV882" i="2"/>
  <c r="DV883" i="2"/>
  <c r="DK686" i="2"/>
  <c r="DO686" i="2"/>
  <c r="DN686" i="2"/>
  <c r="DM686" i="2"/>
  <c r="DL686" i="2"/>
  <c r="DN678" i="2"/>
  <c r="DL678" i="2"/>
  <c r="DM678" i="2"/>
  <c r="DO678" i="2"/>
  <c r="DK678" i="2"/>
  <c r="DM834" i="2"/>
  <c r="DL834" i="2"/>
  <c r="DK834" i="2"/>
  <c r="DO834" i="2"/>
  <c r="DN834" i="2"/>
  <c r="DN387" i="2"/>
  <c r="DL387" i="2"/>
  <c r="DM387" i="2"/>
  <c r="DO387" i="2"/>
  <c r="DK387" i="2"/>
  <c r="DK202" i="2"/>
  <c r="DO202" i="2"/>
  <c r="DN202" i="2"/>
  <c r="DM202" i="2"/>
  <c r="DL202" i="2"/>
  <c r="DL505" i="2"/>
  <c r="DN505" i="2"/>
  <c r="DM505" i="2"/>
  <c r="DK505" i="2"/>
  <c r="DO505" i="2"/>
  <c r="DI451" i="2"/>
  <c r="DJ451" i="2" s="1"/>
  <c r="DJ440" i="2"/>
  <c r="DL158" i="2"/>
  <c r="DN158" i="2"/>
  <c r="DK158" i="2"/>
  <c r="DO158" i="2"/>
  <c r="DM158" i="2"/>
  <c r="DL499" i="2"/>
  <c r="DO499" i="2"/>
  <c r="DK499" i="2"/>
  <c r="DN499" i="2"/>
  <c r="DM499" i="2"/>
  <c r="DO347" i="2"/>
  <c r="DM347" i="2"/>
  <c r="DN347" i="2"/>
  <c r="DL347" i="2"/>
  <c r="DK347" i="2"/>
  <c r="DJ108" i="2"/>
  <c r="DI119" i="2"/>
  <c r="DO487" i="2"/>
  <c r="DN487" i="2"/>
  <c r="DM487" i="2"/>
  <c r="DL487" i="2"/>
  <c r="DK487" i="2"/>
  <c r="DI449" i="2"/>
  <c r="DJ449" i="2" s="1"/>
  <c r="DJ438" i="2"/>
  <c r="DL836" i="2"/>
  <c r="DO836" i="2"/>
  <c r="DK836" i="2"/>
  <c r="DN836" i="2"/>
  <c r="DM836" i="2"/>
  <c r="DI801" i="2"/>
  <c r="DJ793" i="2"/>
  <c r="ED581" i="2"/>
  <c r="DL861" i="2"/>
  <c r="DK861" i="2"/>
  <c r="DO861" i="2"/>
  <c r="DN861" i="2"/>
  <c r="DM861" i="2"/>
  <c r="DO666" i="2"/>
  <c r="DN666" i="2"/>
  <c r="DM666" i="2"/>
  <c r="DL666" i="2"/>
  <c r="DK666" i="2"/>
  <c r="DM684" i="2"/>
  <c r="DO684" i="2"/>
  <c r="DK684" i="2"/>
  <c r="DN684" i="2"/>
  <c r="DL684" i="2"/>
  <c r="DK839" i="2"/>
  <c r="DL839" i="2"/>
  <c r="DN839" i="2"/>
  <c r="DM839" i="2"/>
  <c r="DO839" i="2"/>
  <c r="DM784" i="2"/>
  <c r="DK784" i="2"/>
  <c r="DN784" i="2"/>
  <c r="DO784" i="2"/>
  <c r="DL784" i="2"/>
  <c r="DM400" i="2"/>
  <c r="DK400" i="2"/>
  <c r="DO400" i="2"/>
  <c r="DN400" i="2"/>
  <c r="DL400" i="2"/>
  <c r="DJ125" i="2"/>
  <c r="DI136" i="2"/>
  <c r="DM781" i="2"/>
  <c r="DK781" i="2"/>
  <c r="DN781" i="2"/>
  <c r="DL781" i="2"/>
  <c r="DO781" i="2"/>
  <c r="DI134" i="2"/>
  <c r="DJ123" i="2"/>
  <c r="DI211" i="2"/>
  <c r="DM870" i="2"/>
  <c r="DL870" i="2"/>
  <c r="DK870" i="2"/>
  <c r="DO870" i="2"/>
  <c r="DN870" i="2"/>
  <c r="DI867" i="2" s="1"/>
  <c r="DJ791" i="2"/>
  <c r="DI799" i="2"/>
  <c r="ED280" i="2"/>
  <c r="DK498" i="2"/>
  <c r="DM498" i="2"/>
  <c r="DO498" i="2"/>
  <c r="DN498" i="2"/>
  <c r="DL498" i="2"/>
  <c r="DP48" i="2"/>
  <c r="DJ47" i="2"/>
  <c r="DJ410" i="2"/>
  <c r="DI421" i="2"/>
  <c r="DY546" i="2"/>
  <c r="DX546" i="2"/>
  <c r="ED546" i="2" s="1"/>
  <c r="DY547" i="2"/>
  <c r="DX547" i="2"/>
  <c r="ED547" i="2" s="1"/>
  <c r="DY244" i="2"/>
  <c r="DX244" i="2"/>
  <c r="ED244" i="2" s="1"/>
  <c r="DY245" i="2"/>
  <c r="DX245" i="2"/>
  <c r="ED245" i="2" s="1"/>
  <c r="AW61" i="7950"/>
  <c r="AZ61" i="7950"/>
  <c r="M61" i="7950"/>
  <c r="AX61" i="7950"/>
  <c r="AY61" i="7950"/>
  <c r="AX45" i="7950"/>
  <c r="M45" i="7950"/>
  <c r="AZ45" i="7950"/>
  <c r="AW45" i="7950"/>
  <c r="AY45" i="7950"/>
  <c r="AP46" i="7950" s="1"/>
  <c r="I46" i="7950" s="1"/>
  <c r="DL439" i="2"/>
  <c r="DN439" i="2"/>
  <c r="DK439" i="2"/>
  <c r="DM439" i="2"/>
  <c r="DO439" i="2"/>
  <c r="DN450" i="2"/>
  <c r="DO450" i="2"/>
  <c r="DM450" i="2"/>
  <c r="DK450" i="2"/>
  <c r="DL450" i="2"/>
  <c r="AT46" i="7950"/>
  <c r="AU46" i="7950" s="1"/>
  <c r="G46" i="7950"/>
  <c r="DV868" i="2" l="1"/>
  <c r="DV870" i="2"/>
  <c r="DV869" i="2"/>
  <c r="DI432" i="2"/>
  <c r="DJ421" i="2"/>
  <c r="DL47" i="2"/>
  <c r="DN47" i="2"/>
  <c r="DK47" i="2"/>
  <c r="DO47" i="2"/>
  <c r="DM47" i="2"/>
  <c r="DJ799" i="2"/>
  <c r="DI807" i="2"/>
  <c r="DJ807" i="2" s="1"/>
  <c r="DO123" i="2"/>
  <c r="DN123" i="2"/>
  <c r="DM123" i="2"/>
  <c r="DL123" i="2"/>
  <c r="DK123" i="2"/>
  <c r="DK125" i="2"/>
  <c r="DO125" i="2"/>
  <c r="DN125" i="2"/>
  <c r="DL125" i="2"/>
  <c r="DM125" i="2"/>
  <c r="DM793" i="2"/>
  <c r="DO793" i="2"/>
  <c r="DK793" i="2"/>
  <c r="DN793" i="2"/>
  <c r="DL793" i="2"/>
  <c r="DO449" i="2"/>
  <c r="DM449" i="2"/>
  <c r="DK449" i="2"/>
  <c r="DL449" i="2"/>
  <c r="DN449" i="2"/>
  <c r="DI130" i="2"/>
  <c r="DJ119" i="2"/>
  <c r="DN451" i="2"/>
  <c r="DO451" i="2"/>
  <c r="DM451" i="2"/>
  <c r="DK451" i="2"/>
  <c r="DL451" i="2"/>
  <c r="DY882" i="2"/>
  <c r="DX882" i="2"/>
  <c r="ED882" i="2" s="1"/>
  <c r="DV517" i="2"/>
  <c r="DV515" i="2"/>
  <c r="DV516" i="2"/>
  <c r="DV513" i="2"/>
  <c r="DV514" i="2"/>
  <c r="DK646" i="2"/>
  <c r="DN646" i="2"/>
  <c r="DL646" i="2"/>
  <c r="DM646" i="2"/>
  <c r="DO646" i="2"/>
  <c r="DK414" i="2"/>
  <c r="DL414" i="2"/>
  <c r="DN414" i="2"/>
  <c r="DO414" i="2"/>
  <c r="DM414" i="2"/>
  <c r="DI806" i="2"/>
  <c r="DJ806" i="2" s="1"/>
  <c r="DJ798" i="2"/>
  <c r="DJ703" i="2"/>
  <c r="DI714" i="2"/>
  <c r="DJ424" i="2"/>
  <c r="DI435" i="2"/>
  <c r="DM461" i="2"/>
  <c r="DL461" i="2"/>
  <c r="DK461" i="2"/>
  <c r="DN461" i="2"/>
  <c r="DO461" i="2"/>
  <c r="DI796" i="2"/>
  <c r="DJ788" i="2"/>
  <c r="DJ423" i="2"/>
  <c r="DI434" i="2"/>
  <c r="DO794" i="2"/>
  <c r="DN794" i="2"/>
  <c r="DM794" i="2"/>
  <c r="DK794" i="2"/>
  <c r="DL794" i="2"/>
  <c r="DI718" i="2"/>
  <c r="DJ707" i="2"/>
  <c r="DN693" i="2"/>
  <c r="DM693" i="2"/>
  <c r="DK693" i="2"/>
  <c r="DL693" i="2"/>
  <c r="DO693" i="2"/>
  <c r="DJ132" i="2"/>
  <c r="DI143" i="2"/>
  <c r="DJ143" i="2" s="1"/>
  <c r="DJ705" i="2"/>
  <c r="DI716" i="2"/>
  <c r="DK127" i="2"/>
  <c r="DO127" i="2"/>
  <c r="DN127" i="2"/>
  <c r="DM127" i="2"/>
  <c r="DL127" i="2"/>
  <c r="DK128" i="2"/>
  <c r="DL128" i="2"/>
  <c r="DN128" i="2"/>
  <c r="DM128" i="2"/>
  <c r="DO128" i="2"/>
  <c r="DI146" i="2"/>
  <c r="DJ146" i="2" s="1"/>
  <c r="DJ135" i="2"/>
  <c r="DJ759" i="2"/>
  <c r="DP760" i="2"/>
  <c r="DN122" i="2"/>
  <c r="DM122" i="2"/>
  <c r="DO122" i="2"/>
  <c r="DL122" i="2"/>
  <c r="DK122" i="2"/>
  <c r="DO817" i="2"/>
  <c r="DL817" i="2"/>
  <c r="DM817" i="2"/>
  <c r="DK817" i="2"/>
  <c r="DN817" i="2"/>
  <c r="DJ131" i="2"/>
  <c r="DI142" i="2"/>
  <c r="DJ142" i="2" s="1"/>
  <c r="DK690" i="2"/>
  <c r="DO690" i="2"/>
  <c r="DM690" i="2"/>
  <c r="DN690" i="2"/>
  <c r="DL690" i="2"/>
  <c r="DJ437" i="2"/>
  <c r="DI448" i="2"/>
  <c r="DJ448" i="2" s="1"/>
  <c r="DJ797" i="2"/>
  <c r="DI805" i="2"/>
  <c r="DJ805" i="2" s="1"/>
  <c r="DO411" i="2"/>
  <c r="DN411" i="2"/>
  <c r="DM411" i="2"/>
  <c r="DL411" i="2"/>
  <c r="DK411" i="2"/>
  <c r="DL792" i="2"/>
  <c r="DM792" i="2"/>
  <c r="DK792" i="2"/>
  <c r="DO792" i="2"/>
  <c r="DN792" i="2"/>
  <c r="DJ706" i="2"/>
  <c r="DI717" i="2"/>
  <c r="DO677" i="2"/>
  <c r="DK677" i="2"/>
  <c r="DM677" i="2"/>
  <c r="DN677" i="2"/>
  <c r="DL677" i="2"/>
  <c r="DO503" i="2"/>
  <c r="DN503" i="2"/>
  <c r="DM503" i="2"/>
  <c r="DL503" i="2"/>
  <c r="DK503" i="2"/>
  <c r="DL348" i="2"/>
  <c r="DM348" i="2"/>
  <c r="DK348" i="2"/>
  <c r="DN348" i="2"/>
  <c r="DO348" i="2"/>
  <c r="DO159" i="2"/>
  <c r="DM159" i="2"/>
  <c r="DK159" i="2"/>
  <c r="DL159" i="2"/>
  <c r="DN159" i="2"/>
  <c r="DK398" i="2"/>
  <c r="DL398" i="2"/>
  <c r="DO398" i="2"/>
  <c r="DM398" i="2"/>
  <c r="DN398" i="2"/>
  <c r="DJ700" i="2"/>
  <c r="DI711" i="2"/>
  <c r="DJ708" i="2"/>
  <c r="DI719" i="2"/>
  <c r="DN838" i="2"/>
  <c r="DO838" i="2"/>
  <c r="DK838" i="2"/>
  <c r="DM838" i="2"/>
  <c r="DL838" i="2"/>
  <c r="DN848" i="2"/>
  <c r="DL848" i="2"/>
  <c r="DK848" i="2"/>
  <c r="DO848" i="2"/>
  <c r="DM848" i="2"/>
  <c r="DK691" i="2"/>
  <c r="DO691" i="2"/>
  <c r="DM691" i="2"/>
  <c r="DN691" i="2"/>
  <c r="DL691" i="2"/>
  <c r="DJ137" i="2"/>
  <c r="DI148" i="2"/>
  <c r="DJ148" i="2" s="1"/>
  <c r="DO410" i="2"/>
  <c r="DK410" i="2"/>
  <c r="DM410" i="2"/>
  <c r="DN410" i="2"/>
  <c r="DL410" i="2"/>
  <c r="DJ48" i="2"/>
  <c r="DP49" i="2"/>
  <c r="DN791" i="2"/>
  <c r="DM791" i="2"/>
  <c r="DL791" i="2"/>
  <c r="DO791" i="2"/>
  <c r="DK791" i="2"/>
  <c r="DV214" i="2"/>
  <c r="DV213" i="2"/>
  <c r="DV215" i="2"/>
  <c r="DV212" i="2"/>
  <c r="DV216" i="2"/>
  <c r="DI145" i="2"/>
  <c r="DJ145" i="2" s="1"/>
  <c r="DJ134" i="2"/>
  <c r="DI147" i="2"/>
  <c r="DJ147" i="2" s="1"/>
  <c r="DJ136" i="2"/>
  <c r="DJ801" i="2"/>
  <c r="DI809" i="2"/>
  <c r="DJ809" i="2" s="1"/>
  <c r="DN438" i="2"/>
  <c r="DK438" i="2"/>
  <c r="DL438" i="2"/>
  <c r="DM438" i="2"/>
  <c r="DO438" i="2"/>
  <c r="DM108" i="2"/>
  <c r="DO108" i="2"/>
  <c r="DK108" i="2"/>
  <c r="DN108" i="2"/>
  <c r="DL108" i="2"/>
  <c r="DM440" i="2"/>
  <c r="DL440" i="2"/>
  <c r="DO440" i="2"/>
  <c r="DN440" i="2"/>
  <c r="DK440" i="2"/>
  <c r="DX883" i="2"/>
  <c r="ED883" i="2" s="1"/>
  <c r="DY883" i="2"/>
  <c r="DJ647" i="2"/>
  <c r="DP648" i="2"/>
  <c r="DI436" i="2"/>
  <c r="DJ425" i="2"/>
  <c r="DL790" i="2"/>
  <c r="DK790" i="2"/>
  <c r="DO790" i="2"/>
  <c r="DM790" i="2"/>
  <c r="DN790" i="2"/>
  <c r="DL692" i="2"/>
  <c r="DO692" i="2"/>
  <c r="DK692" i="2"/>
  <c r="DM692" i="2"/>
  <c r="DN692" i="2"/>
  <c r="DL413" i="2"/>
  <c r="DK413" i="2"/>
  <c r="DO413" i="2"/>
  <c r="DN413" i="2"/>
  <c r="DM413" i="2"/>
  <c r="DK460" i="2"/>
  <c r="DN460" i="2"/>
  <c r="DM460" i="2"/>
  <c r="DO460" i="2"/>
  <c r="DL460" i="2"/>
  <c r="DK780" i="2"/>
  <c r="DM780" i="2"/>
  <c r="DO780" i="2"/>
  <c r="DN780" i="2"/>
  <c r="DL780" i="2"/>
  <c r="DM412" i="2"/>
  <c r="DK412" i="2"/>
  <c r="DL412" i="2"/>
  <c r="DN412" i="2"/>
  <c r="DO412" i="2"/>
  <c r="DI810" i="2"/>
  <c r="DJ810" i="2" s="1"/>
  <c r="DJ802" i="2"/>
  <c r="ED567" i="2"/>
  <c r="ED569" i="2"/>
  <c r="DK696" i="2"/>
  <c r="DO696" i="2"/>
  <c r="DN696" i="2"/>
  <c r="DL696" i="2"/>
  <c r="DM696" i="2"/>
  <c r="DI715" i="2"/>
  <c r="DJ704" i="2"/>
  <c r="DK121" i="2"/>
  <c r="DO121" i="2"/>
  <c r="DN121" i="2"/>
  <c r="DM121" i="2"/>
  <c r="DL121" i="2"/>
  <c r="DM694" i="2"/>
  <c r="DL694" i="2"/>
  <c r="DK694" i="2"/>
  <c r="DN694" i="2"/>
  <c r="DO694" i="2"/>
  <c r="DI149" i="2"/>
  <c r="DJ149" i="2" s="1"/>
  <c r="DJ138" i="2"/>
  <c r="DI150" i="2"/>
  <c r="DJ150" i="2" s="1"/>
  <c r="DJ139" i="2"/>
  <c r="DM124" i="2"/>
  <c r="DK124" i="2"/>
  <c r="DL124" i="2"/>
  <c r="DN124" i="2"/>
  <c r="DO124" i="2"/>
  <c r="DN758" i="2"/>
  <c r="DK758" i="2"/>
  <c r="DL758" i="2"/>
  <c r="DO758" i="2"/>
  <c r="DM758" i="2"/>
  <c r="DI144" i="2"/>
  <c r="DJ144" i="2" s="1"/>
  <c r="DJ133" i="2"/>
  <c r="DK818" i="2"/>
  <c r="DN818" i="2"/>
  <c r="DO818" i="2"/>
  <c r="DL818" i="2"/>
  <c r="DM818" i="2"/>
  <c r="DM120" i="2"/>
  <c r="DO120" i="2"/>
  <c r="DK120" i="2"/>
  <c r="DL120" i="2"/>
  <c r="DN120" i="2"/>
  <c r="DI712" i="2"/>
  <c r="DJ701" i="2"/>
  <c r="DK426" i="2"/>
  <c r="DM426" i="2"/>
  <c r="DN426" i="2"/>
  <c r="DL426" i="2"/>
  <c r="DO426" i="2"/>
  <c r="ED246" i="2"/>
  <c r="ED247" i="2"/>
  <c r="ED548" i="2"/>
  <c r="DN789" i="2"/>
  <c r="DM789" i="2"/>
  <c r="DL789" i="2"/>
  <c r="DO789" i="2"/>
  <c r="DK789" i="2"/>
  <c r="DJ422" i="2"/>
  <c r="DI433" i="2"/>
  <c r="DJ800" i="2"/>
  <c r="DI808" i="2"/>
  <c r="DJ808" i="2" s="1"/>
  <c r="DK695" i="2"/>
  <c r="DM695" i="2"/>
  <c r="DL695" i="2"/>
  <c r="DO695" i="2"/>
  <c r="DN695" i="2"/>
  <c r="DJ688" i="2"/>
  <c r="DI699" i="2"/>
  <c r="DO495" i="2"/>
  <c r="DL495" i="2"/>
  <c r="DK495" i="2"/>
  <c r="DM495" i="2"/>
  <c r="DN495" i="2"/>
  <c r="DP350" i="2"/>
  <c r="DJ349" i="2"/>
  <c r="DM160" i="2"/>
  <c r="DL160" i="2"/>
  <c r="DK160" i="2"/>
  <c r="DO160" i="2"/>
  <c r="DN160" i="2"/>
  <c r="DJ409" i="2"/>
  <c r="DI420" i="2"/>
  <c r="DK689" i="2"/>
  <c r="DN689" i="2"/>
  <c r="DM689" i="2"/>
  <c r="DL689" i="2"/>
  <c r="DO689" i="2"/>
  <c r="DM697" i="2"/>
  <c r="DL697" i="2"/>
  <c r="DO697" i="2"/>
  <c r="DK697" i="2"/>
  <c r="DN697" i="2"/>
  <c r="DM832" i="2"/>
  <c r="DL832" i="2"/>
  <c r="DK832" i="2"/>
  <c r="DN832" i="2"/>
  <c r="DO832" i="2"/>
  <c r="DL849" i="2"/>
  <c r="DM849" i="2"/>
  <c r="DO849" i="2"/>
  <c r="DK849" i="2"/>
  <c r="DN849" i="2"/>
  <c r="DI845" i="2" s="1"/>
  <c r="ED568" i="2"/>
  <c r="DI713" i="2"/>
  <c r="DJ702" i="2"/>
  <c r="DO126" i="2"/>
  <c r="DK126" i="2"/>
  <c r="DL126" i="2"/>
  <c r="DN126" i="2"/>
  <c r="DM126" i="2"/>
  <c r="E46" i="7950"/>
  <c r="AR46" i="7950"/>
  <c r="AQ46" i="7950"/>
  <c r="AP62" i="7950"/>
  <c r="AQ62" i="7950" s="1"/>
  <c r="AV46" i="7950"/>
  <c r="K46" i="7950"/>
  <c r="DV849" i="2" l="1"/>
  <c r="DV847" i="2"/>
  <c r="DV846" i="2"/>
  <c r="DV848" i="2"/>
  <c r="DK702" i="2"/>
  <c r="DN702" i="2"/>
  <c r="DM702" i="2"/>
  <c r="DL702" i="2"/>
  <c r="DO702" i="2"/>
  <c r="DN349" i="2"/>
  <c r="DK349" i="2"/>
  <c r="DL349" i="2"/>
  <c r="DO349" i="2"/>
  <c r="DM349" i="2"/>
  <c r="DJ713" i="2"/>
  <c r="DI724" i="2"/>
  <c r="DI431" i="2"/>
  <c r="DJ420" i="2"/>
  <c r="DP351" i="2"/>
  <c r="DJ350" i="2"/>
  <c r="DI710" i="2"/>
  <c r="DJ699" i="2"/>
  <c r="DN800" i="2"/>
  <c r="DL800" i="2"/>
  <c r="DM800" i="2"/>
  <c r="DK800" i="2"/>
  <c r="DO800" i="2"/>
  <c r="DK422" i="2"/>
  <c r="DO422" i="2"/>
  <c r="DN422" i="2"/>
  <c r="DM422" i="2"/>
  <c r="DL422" i="2"/>
  <c r="DO701" i="2"/>
  <c r="DM701" i="2"/>
  <c r="DN701" i="2"/>
  <c r="DL701" i="2"/>
  <c r="DK701" i="2"/>
  <c r="DL133" i="2"/>
  <c r="DN133" i="2"/>
  <c r="DM133" i="2"/>
  <c r="DO133" i="2"/>
  <c r="DK133" i="2"/>
  <c r="DO139" i="2"/>
  <c r="DK139" i="2"/>
  <c r="DL139" i="2"/>
  <c r="DN139" i="2"/>
  <c r="DM139" i="2"/>
  <c r="DK138" i="2"/>
  <c r="DN138" i="2"/>
  <c r="DM138" i="2"/>
  <c r="DL138" i="2"/>
  <c r="DO138" i="2"/>
  <c r="DO704" i="2"/>
  <c r="DK704" i="2"/>
  <c r="DN704" i="2"/>
  <c r="DL704" i="2"/>
  <c r="DM704" i="2"/>
  <c r="DM810" i="2"/>
  <c r="DL810" i="2"/>
  <c r="DK810" i="2"/>
  <c r="DO810" i="2"/>
  <c r="DN810" i="2"/>
  <c r="DI454" i="2"/>
  <c r="DM425" i="2"/>
  <c r="DK425" i="2"/>
  <c r="DL425" i="2"/>
  <c r="DN425" i="2"/>
  <c r="DO425" i="2"/>
  <c r="DP649" i="2"/>
  <c r="DJ648" i="2"/>
  <c r="DN801" i="2"/>
  <c r="DL801" i="2"/>
  <c r="DM801" i="2"/>
  <c r="DO801" i="2"/>
  <c r="DK801" i="2"/>
  <c r="DK147" i="2"/>
  <c r="DO147" i="2"/>
  <c r="DM147" i="2"/>
  <c r="DN147" i="2"/>
  <c r="DL147" i="2"/>
  <c r="DK145" i="2"/>
  <c r="DO145" i="2"/>
  <c r="DN145" i="2"/>
  <c r="DM145" i="2"/>
  <c r="DL145" i="2"/>
  <c r="DN48" i="2"/>
  <c r="DM48" i="2"/>
  <c r="DL48" i="2"/>
  <c r="DO48" i="2"/>
  <c r="DK48" i="2"/>
  <c r="DN148" i="2"/>
  <c r="DM148" i="2"/>
  <c r="DO148" i="2"/>
  <c r="DL148" i="2"/>
  <c r="DK148" i="2"/>
  <c r="DL708" i="2"/>
  <c r="DN708" i="2"/>
  <c r="DO708" i="2"/>
  <c r="DK708" i="2"/>
  <c r="DM708" i="2"/>
  <c r="DN700" i="2"/>
  <c r="DM700" i="2"/>
  <c r="DL700" i="2"/>
  <c r="DO700" i="2"/>
  <c r="DK700" i="2"/>
  <c r="DI153" i="2"/>
  <c r="DJ717" i="2"/>
  <c r="DI728" i="2"/>
  <c r="DK805" i="2"/>
  <c r="DM805" i="2"/>
  <c r="DN805" i="2"/>
  <c r="DL805" i="2"/>
  <c r="DO805" i="2"/>
  <c r="DK448" i="2"/>
  <c r="DN448" i="2"/>
  <c r="DO448" i="2"/>
  <c r="DL448" i="2"/>
  <c r="DM448" i="2"/>
  <c r="DO131" i="2"/>
  <c r="DN131" i="2"/>
  <c r="DM131" i="2"/>
  <c r="DL131" i="2"/>
  <c r="DK131" i="2"/>
  <c r="DL759" i="2"/>
  <c r="DK759" i="2"/>
  <c r="DM759" i="2"/>
  <c r="DN759" i="2"/>
  <c r="DO759" i="2"/>
  <c r="DN146" i="2"/>
  <c r="DM146" i="2"/>
  <c r="DO146" i="2"/>
  <c r="DK146" i="2"/>
  <c r="DL146" i="2"/>
  <c r="DN705" i="2"/>
  <c r="DM705" i="2"/>
  <c r="DL705" i="2"/>
  <c r="DK705" i="2"/>
  <c r="DO705" i="2"/>
  <c r="DK132" i="2"/>
  <c r="DO132" i="2"/>
  <c r="DN132" i="2"/>
  <c r="DM132" i="2"/>
  <c r="DL132" i="2"/>
  <c r="DN707" i="2"/>
  <c r="DM707" i="2"/>
  <c r="DL707" i="2"/>
  <c r="DK707" i="2"/>
  <c r="DO707" i="2"/>
  <c r="DO423" i="2"/>
  <c r="DL423" i="2"/>
  <c r="DN423" i="2"/>
  <c r="DM423" i="2"/>
  <c r="DK423" i="2"/>
  <c r="DI804" i="2"/>
  <c r="DJ804" i="2" s="1"/>
  <c r="DJ796" i="2"/>
  <c r="DI446" i="2"/>
  <c r="DJ446" i="2" s="1"/>
  <c r="DJ435" i="2"/>
  <c r="DI725" i="2"/>
  <c r="DJ714" i="2"/>
  <c r="DN798" i="2"/>
  <c r="DL798" i="2"/>
  <c r="DK798" i="2"/>
  <c r="DM798" i="2"/>
  <c r="DO798" i="2"/>
  <c r="DY516" i="2"/>
  <c r="DX516" i="2"/>
  <c r="ED516" i="2" s="1"/>
  <c r="DY517" i="2"/>
  <c r="DX517" i="2"/>
  <c r="ED517" i="2" s="1"/>
  <c r="DO119" i="2"/>
  <c r="DN119" i="2"/>
  <c r="DM119" i="2"/>
  <c r="DL119" i="2"/>
  <c r="DK119" i="2"/>
  <c r="DK807" i="2"/>
  <c r="DM807" i="2"/>
  <c r="DN807" i="2"/>
  <c r="DL807" i="2"/>
  <c r="DO807" i="2"/>
  <c r="DJ432" i="2"/>
  <c r="DI443" i="2"/>
  <c r="DJ443" i="2" s="1"/>
  <c r="DY870" i="2"/>
  <c r="DX870" i="2"/>
  <c r="ED870" i="2" s="1"/>
  <c r="DK409" i="2"/>
  <c r="DM409" i="2"/>
  <c r="DO409" i="2"/>
  <c r="DL409" i="2"/>
  <c r="DN409" i="2"/>
  <c r="DN688" i="2"/>
  <c r="DM688" i="2"/>
  <c r="DL688" i="2"/>
  <c r="DK688" i="2"/>
  <c r="DO688" i="2"/>
  <c r="DK808" i="2"/>
  <c r="DO808" i="2"/>
  <c r="DN808" i="2"/>
  <c r="DM808" i="2"/>
  <c r="DL808" i="2"/>
  <c r="DI444" i="2"/>
  <c r="DJ444" i="2" s="1"/>
  <c r="DJ433" i="2"/>
  <c r="DI723" i="2"/>
  <c r="DJ712" i="2"/>
  <c r="DO144" i="2"/>
  <c r="DK144" i="2"/>
  <c r="DN144" i="2"/>
  <c r="DM144" i="2"/>
  <c r="DL144" i="2"/>
  <c r="DL150" i="2"/>
  <c r="DN150" i="2"/>
  <c r="DM150" i="2"/>
  <c r="DO150" i="2"/>
  <c r="DK150" i="2"/>
  <c r="DL149" i="2"/>
  <c r="DK149" i="2"/>
  <c r="DO149" i="2"/>
  <c r="DM149" i="2"/>
  <c r="DN149" i="2"/>
  <c r="DJ715" i="2"/>
  <c r="DI726" i="2"/>
  <c r="DM802" i="2"/>
  <c r="DK802" i="2"/>
  <c r="DN802" i="2"/>
  <c r="DO802" i="2"/>
  <c r="DL802" i="2"/>
  <c r="DI447" i="2"/>
  <c r="DJ447" i="2" s="1"/>
  <c r="DJ436" i="2"/>
  <c r="DL647" i="2"/>
  <c r="DO647" i="2"/>
  <c r="DM647" i="2"/>
  <c r="DN647" i="2"/>
  <c r="DK647" i="2"/>
  <c r="DM809" i="2"/>
  <c r="DL809" i="2"/>
  <c r="DO809" i="2"/>
  <c r="DK809" i="2"/>
  <c r="DN809" i="2"/>
  <c r="DO136" i="2"/>
  <c r="DK136" i="2"/>
  <c r="DN136" i="2"/>
  <c r="DM136" i="2"/>
  <c r="DL136" i="2"/>
  <c r="DK134" i="2"/>
  <c r="DO134" i="2"/>
  <c r="DN134" i="2"/>
  <c r="DM134" i="2"/>
  <c r="DL134" i="2"/>
  <c r="DY216" i="2"/>
  <c r="DX216" i="2"/>
  <c r="DY215" i="2"/>
  <c r="DX215" i="2"/>
  <c r="DY214" i="2"/>
  <c r="DX214" i="2"/>
  <c r="DJ49" i="2"/>
  <c r="DP50" i="2"/>
  <c r="DL137" i="2"/>
  <c r="DM137" i="2"/>
  <c r="DN137" i="2"/>
  <c r="DO137" i="2"/>
  <c r="DK137" i="2"/>
  <c r="DI730" i="2"/>
  <c r="DJ719" i="2"/>
  <c r="DI722" i="2"/>
  <c r="DJ711" i="2"/>
  <c r="DN706" i="2"/>
  <c r="DL706" i="2"/>
  <c r="DM706" i="2"/>
  <c r="DO706" i="2"/>
  <c r="DK706" i="2"/>
  <c r="DK797" i="2"/>
  <c r="DN797" i="2"/>
  <c r="DL797" i="2"/>
  <c r="DM797" i="2"/>
  <c r="DO797" i="2"/>
  <c r="DN437" i="2"/>
  <c r="DO437" i="2"/>
  <c r="DM437" i="2"/>
  <c r="DK437" i="2"/>
  <c r="DL437" i="2"/>
  <c r="DL142" i="2"/>
  <c r="DN142" i="2"/>
  <c r="DM142" i="2"/>
  <c r="DO142" i="2"/>
  <c r="DK142" i="2"/>
  <c r="DI813" i="2"/>
  <c r="DP761" i="2"/>
  <c r="DJ760" i="2"/>
  <c r="DO135" i="2"/>
  <c r="DM135" i="2"/>
  <c r="DK135" i="2"/>
  <c r="DL135" i="2"/>
  <c r="DN135" i="2"/>
  <c r="DJ716" i="2"/>
  <c r="DI727" i="2"/>
  <c r="DL143" i="2"/>
  <c r="DK143" i="2"/>
  <c r="DO143" i="2"/>
  <c r="DM143" i="2"/>
  <c r="DN143" i="2"/>
  <c r="DJ718" i="2"/>
  <c r="DI729" i="2"/>
  <c r="DJ434" i="2"/>
  <c r="DI445" i="2"/>
  <c r="DJ445" i="2" s="1"/>
  <c r="DL788" i="2"/>
  <c r="DM788" i="2"/>
  <c r="DK788" i="2"/>
  <c r="DO788" i="2"/>
  <c r="DN788" i="2"/>
  <c r="DK424" i="2"/>
  <c r="DL424" i="2"/>
  <c r="DM424" i="2"/>
  <c r="DO424" i="2"/>
  <c r="DN424" i="2"/>
  <c r="DN703" i="2"/>
  <c r="DM703" i="2"/>
  <c r="DL703" i="2"/>
  <c r="DK703" i="2"/>
  <c r="DO703" i="2"/>
  <c r="DK806" i="2"/>
  <c r="DO806" i="2"/>
  <c r="DN806" i="2"/>
  <c r="DL806" i="2"/>
  <c r="DM806" i="2"/>
  <c r="DX515" i="2"/>
  <c r="ED515" i="2" s="1"/>
  <c r="DY515" i="2"/>
  <c r="DI141" i="2"/>
  <c r="DJ141" i="2" s="1"/>
  <c r="DJ130" i="2"/>
  <c r="DN799" i="2"/>
  <c r="DL799" i="2"/>
  <c r="DM799" i="2"/>
  <c r="DO799" i="2"/>
  <c r="DK799" i="2"/>
  <c r="DN421" i="2"/>
  <c r="DL421" i="2"/>
  <c r="DO421" i="2"/>
  <c r="DK421" i="2"/>
  <c r="DM421" i="2"/>
  <c r="DY869" i="2"/>
  <c r="DX869" i="2"/>
  <c r="DX868" i="2"/>
  <c r="ED868" i="2" s="1"/>
  <c r="DY868" i="2"/>
  <c r="AT62" i="7950"/>
  <c r="AU62" i="7950" s="1"/>
  <c r="AR62" i="7950"/>
  <c r="E62" i="7950"/>
  <c r="I62" i="7950"/>
  <c r="G62" i="7950"/>
  <c r="AX46" i="7950"/>
  <c r="M46" i="7950"/>
  <c r="AW46" i="7950"/>
  <c r="AZ46" i="7950"/>
  <c r="AY46" i="7950"/>
  <c r="DM141" i="2" l="1"/>
  <c r="DL141" i="2"/>
  <c r="DK141" i="2"/>
  <c r="DO141" i="2"/>
  <c r="DN141" i="2"/>
  <c r="DN434" i="2"/>
  <c r="DO434" i="2"/>
  <c r="DM434" i="2"/>
  <c r="DK434" i="2"/>
  <c r="DL434" i="2"/>
  <c r="DO718" i="2"/>
  <c r="DN718" i="2"/>
  <c r="DM718" i="2"/>
  <c r="DL718" i="2"/>
  <c r="DK718" i="2"/>
  <c r="DJ727" i="2"/>
  <c r="DI738" i="2"/>
  <c r="DJ761" i="2"/>
  <c r="DP762" i="2"/>
  <c r="DJ762" i="2" s="1"/>
  <c r="DN719" i="2"/>
  <c r="DM719" i="2"/>
  <c r="DL719" i="2"/>
  <c r="DK719" i="2"/>
  <c r="DO719" i="2"/>
  <c r="DN49" i="2"/>
  <c r="DK49" i="2"/>
  <c r="DO49" i="2"/>
  <c r="DM49" i="2"/>
  <c r="DL49" i="2"/>
  <c r="DI737" i="2"/>
  <c r="DJ726" i="2"/>
  <c r="DI734" i="2"/>
  <c r="DJ723" i="2"/>
  <c r="DN443" i="2"/>
  <c r="DL443" i="2"/>
  <c r="DM443" i="2"/>
  <c r="DO443" i="2"/>
  <c r="DK443" i="2"/>
  <c r="DI736" i="2"/>
  <c r="DJ725" i="2"/>
  <c r="DN446" i="2"/>
  <c r="DM446" i="2"/>
  <c r="DL446" i="2"/>
  <c r="DK446" i="2"/>
  <c r="DO446" i="2"/>
  <c r="DL804" i="2"/>
  <c r="DM804" i="2"/>
  <c r="DO804" i="2"/>
  <c r="DK804" i="2"/>
  <c r="DN804" i="2"/>
  <c r="DJ728" i="2"/>
  <c r="DI739" i="2"/>
  <c r="DV159" i="2"/>
  <c r="DV158" i="2"/>
  <c r="DV155" i="2"/>
  <c r="DV160" i="2"/>
  <c r="DV156" i="2"/>
  <c r="DV157" i="2"/>
  <c r="DV154" i="2"/>
  <c r="DN648" i="2"/>
  <c r="DK648" i="2"/>
  <c r="DL648" i="2"/>
  <c r="DO648" i="2"/>
  <c r="DM648" i="2"/>
  <c r="DO699" i="2"/>
  <c r="DN699" i="2"/>
  <c r="DM699" i="2"/>
  <c r="DL699" i="2"/>
  <c r="DK699" i="2"/>
  <c r="DL350" i="2"/>
  <c r="DM350" i="2"/>
  <c r="DK350" i="2"/>
  <c r="DN350" i="2"/>
  <c r="DO350" i="2"/>
  <c r="DK420" i="2"/>
  <c r="DN420" i="2"/>
  <c r="DO420" i="2"/>
  <c r="DL420" i="2"/>
  <c r="DM420" i="2"/>
  <c r="DI735" i="2"/>
  <c r="DJ724" i="2"/>
  <c r="DX848" i="2"/>
  <c r="DY848" i="2"/>
  <c r="DX847" i="2"/>
  <c r="DY847" i="2"/>
  <c r="DO711" i="2"/>
  <c r="DK711" i="2"/>
  <c r="DM711" i="2"/>
  <c r="DN711" i="2"/>
  <c r="DL711" i="2"/>
  <c r="DK447" i="2"/>
  <c r="DL447" i="2"/>
  <c r="DN447" i="2"/>
  <c r="DO447" i="2"/>
  <c r="DM447" i="2"/>
  <c r="DN444" i="2"/>
  <c r="DM444" i="2"/>
  <c r="DL444" i="2"/>
  <c r="DK444" i="2"/>
  <c r="DO444" i="2"/>
  <c r="ED869" i="2"/>
  <c r="DM130" i="2"/>
  <c r="DK130" i="2"/>
  <c r="DL130" i="2"/>
  <c r="DN130" i="2"/>
  <c r="DO130" i="2"/>
  <c r="DO445" i="2"/>
  <c r="DM445" i="2"/>
  <c r="DK445" i="2"/>
  <c r="DL445" i="2"/>
  <c r="DN445" i="2"/>
  <c r="DI740" i="2"/>
  <c r="DJ729" i="2"/>
  <c r="DO716" i="2"/>
  <c r="DN716" i="2"/>
  <c r="DM716" i="2"/>
  <c r="DL716" i="2"/>
  <c r="DK716" i="2"/>
  <c r="DO760" i="2"/>
  <c r="DM760" i="2"/>
  <c r="DN760" i="2"/>
  <c r="DK760" i="2"/>
  <c r="DL760" i="2"/>
  <c r="DV816" i="2"/>
  <c r="DV815" i="2"/>
  <c r="DV814" i="2"/>
  <c r="DV817" i="2"/>
  <c r="DV818" i="2"/>
  <c r="DJ722" i="2"/>
  <c r="DI733" i="2"/>
  <c r="DJ730" i="2"/>
  <c r="DI741" i="2"/>
  <c r="DJ50" i="2"/>
  <c r="DP51" i="2"/>
  <c r="DJ51" i="2" s="1"/>
  <c r="ED214" i="2"/>
  <c r="ED215" i="2"/>
  <c r="ED216" i="2"/>
  <c r="DK436" i="2"/>
  <c r="DM436" i="2"/>
  <c r="DN436" i="2"/>
  <c r="DO436" i="2"/>
  <c r="DL436" i="2"/>
  <c r="DN715" i="2"/>
  <c r="DM715" i="2"/>
  <c r="DL715" i="2"/>
  <c r="DO715" i="2"/>
  <c r="DK715" i="2"/>
  <c r="DN712" i="2"/>
  <c r="DM712" i="2"/>
  <c r="DL712" i="2"/>
  <c r="DK712" i="2"/>
  <c r="DO712" i="2"/>
  <c r="DK433" i="2"/>
  <c r="DO433" i="2"/>
  <c r="DN433" i="2"/>
  <c r="DM433" i="2"/>
  <c r="DL433" i="2"/>
  <c r="DO432" i="2"/>
  <c r="DN432" i="2"/>
  <c r="DM432" i="2"/>
  <c r="DL432" i="2"/>
  <c r="DK432" i="2"/>
  <c r="DK714" i="2"/>
  <c r="DO714" i="2"/>
  <c r="DN714" i="2"/>
  <c r="DM714" i="2"/>
  <c r="DL714" i="2"/>
  <c r="DK435" i="2"/>
  <c r="DN435" i="2"/>
  <c r="DM435" i="2"/>
  <c r="DL435" i="2"/>
  <c r="DO435" i="2"/>
  <c r="DO796" i="2"/>
  <c r="DN796" i="2"/>
  <c r="DL796" i="2"/>
  <c r="DM796" i="2"/>
  <c r="DK796" i="2"/>
  <c r="DO717" i="2"/>
  <c r="DK717" i="2"/>
  <c r="DN717" i="2"/>
  <c r="DM717" i="2"/>
  <c r="DL717" i="2"/>
  <c r="DP650" i="2"/>
  <c r="DJ649" i="2"/>
  <c r="DV456" i="2"/>
  <c r="DV460" i="2"/>
  <c r="DV459" i="2"/>
  <c r="DV455" i="2"/>
  <c r="DV457" i="2"/>
  <c r="DV458" i="2"/>
  <c r="DV461" i="2"/>
  <c r="DJ710" i="2"/>
  <c r="DI721" i="2"/>
  <c r="DJ351" i="2"/>
  <c r="DP352" i="2"/>
  <c r="DJ352" i="2" s="1"/>
  <c r="DI442" i="2"/>
  <c r="DJ442" i="2" s="1"/>
  <c r="DJ431" i="2"/>
  <c r="DK713" i="2"/>
  <c r="DN713" i="2"/>
  <c r="DM713" i="2"/>
  <c r="DL713" i="2"/>
  <c r="DO713" i="2"/>
  <c r="DX846" i="2"/>
  <c r="DY846" i="2"/>
  <c r="DY849" i="2"/>
  <c r="DX849" i="2"/>
  <c r="ED849" i="2" s="1"/>
  <c r="K62" i="7950"/>
  <c r="AV62" i="7950"/>
  <c r="AP47" i="7950"/>
  <c r="E47" i="7950" s="1"/>
  <c r="DO442" i="2" l="1"/>
  <c r="DL442" i="2"/>
  <c r="DM442" i="2"/>
  <c r="DK442" i="2"/>
  <c r="DN442" i="2"/>
  <c r="DN351" i="2"/>
  <c r="DK351" i="2"/>
  <c r="DL351" i="2"/>
  <c r="DM351" i="2"/>
  <c r="DO351" i="2"/>
  <c r="DM710" i="2"/>
  <c r="DL710" i="2"/>
  <c r="DO710" i="2"/>
  <c r="DK710" i="2"/>
  <c r="DN710" i="2"/>
  <c r="DX458" i="2"/>
  <c r="DW458" i="2"/>
  <c r="DW455" i="2"/>
  <c r="DV463" i="2"/>
  <c r="DX455" i="2"/>
  <c r="DW460" i="2"/>
  <c r="DX460" i="2"/>
  <c r="DL649" i="2"/>
  <c r="DM649" i="2"/>
  <c r="DN649" i="2"/>
  <c r="DO649" i="2"/>
  <c r="DK649" i="2"/>
  <c r="DK51" i="2"/>
  <c r="DO51" i="2"/>
  <c r="DM51" i="2"/>
  <c r="DL51" i="2"/>
  <c r="DN51" i="2"/>
  <c r="DI752" i="2"/>
  <c r="DJ752" i="2" s="1"/>
  <c r="DJ741" i="2"/>
  <c r="DJ733" i="2"/>
  <c r="DI744" i="2"/>
  <c r="DJ744" i="2" s="1"/>
  <c r="DY818" i="2"/>
  <c r="DX818" i="2"/>
  <c r="DX814" i="2"/>
  <c r="DY814" i="2"/>
  <c r="DX816" i="2"/>
  <c r="ED816" i="2" s="1"/>
  <c r="DY816" i="2"/>
  <c r="DJ740" i="2"/>
  <c r="DI751" i="2"/>
  <c r="DJ751" i="2" s="1"/>
  <c r="ED847" i="2"/>
  <c r="ED848" i="2"/>
  <c r="DJ735" i="2"/>
  <c r="DI746" i="2"/>
  <c r="DJ746" i="2" s="1"/>
  <c r="DW157" i="2"/>
  <c r="DX157" i="2"/>
  <c r="DW160" i="2"/>
  <c r="DX160" i="2"/>
  <c r="DX158" i="2"/>
  <c r="DW158" i="2"/>
  <c r="DI750" i="2"/>
  <c r="DJ750" i="2" s="1"/>
  <c r="DJ739" i="2"/>
  <c r="DM725" i="2"/>
  <c r="DL725" i="2"/>
  <c r="DK725" i="2"/>
  <c r="DN725" i="2"/>
  <c r="DO725" i="2"/>
  <c r="DJ734" i="2"/>
  <c r="DI745" i="2"/>
  <c r="DJ745" i="2" s="1"/>
  <c r="DJ737" i="2"/>
  <c r="DI748" i="2"/>
  <c r="DJ748" i="2" s="1"/>
  <c r="DN761" i="2"/>
  <c r="DO761" i="2"/>
  <c r="DM761" i="2"/>
  <c r="DL761" i="2"/>
  <c r="DK761" i="2"/>
  <c r="DN727" i="2"/>
  <c r="DM727" i="2"/>
  <c r="DL727" i="2"/>
  <c r="DK727" i="2"/>
  <c r="DO727" i="2"/>
  <c r="ED846" i="2"/>
  <c r="DO431" i="2"/>
  <c r="DM431" i="2"/>
  <c r="DK431" i="2"/>
  <c r="DL431" i="2"/>
  <c r="DN431" i="2"/>
  <c r="DN352" i="2"/>
  <c r="DO352" i="2"/>
  <c r="DL352" i="2"/>
  <c r="DY513" i="2" s="1"/>
  <c r="DM352" i="2"/>
  <c r="DK352" i="2"/>
  <c r="DX513" i="2" s="1"/>
  <c r="DI732" i="2"/>
  <c r="DJ721" i="2"/>
  <c r="DX461" i="2"/>
  <c r="DW461" i="2"/>
  <c r="DX457" i="2"/>
  <c r="DW457" i="2"/>
  <c r="DW459" i="2"/>
  <c r="DX459" i="2"/>
  <c r="DX456" i="2"/>
  <c r="DW456" i="2"/>
  <c r="DP651" i="2"/>
  <c r="DJ650" i="2"/>
  <c r="DO50" i="2"/>
  <c r="DK50" i="2"/>
  <c r="DX213" i="2" s="1"/>
  <c r="DN50" i="2"/>
  <c r="DM50" i="2"/>
  <c r="DY213" i="2" s="1"/>
  <c r="DL50" i="2"/>
  <c r="DN730" i="2"/>
  <c r="DM730" i="2"/>
  <c r="DL730" i="2"/>
  <c r="DO730" i="2"/>
  <c r="DK730" i="2"/>
  <c r="DN722" i="2"/>
  <c r="DL722" i="2"/>
  <c r="DM722" i="2"/>
  <c r="DO722" i="2"/>
  <c r="DK722" i="2"/>
  <c r="DX817" i="2"/>
  <c r="DY817" i="2"/>
  <c r="DX815" i="2"/>
  <c r="ED815" i="2" s="1"/>
  <c r="DY815" i="2"/>
  <c r="DN729" i="2"/>
  <c r="DM729" i="2"/>
  <c r="DL729" i="2"/>
  <c r="DK729" i="2"/>
  <c r="DO729" i="2"/>
  <c r="DO724" i="2"/>
  <c r="DK724" i="2"/>
  <c r="DN724" i="2"/>
  <c r="DL724" i="2"/>
  <c r="DM724" i="2"/>
  <c r="DI342" i="2"/>
  <c r="DW154" i="2"/>
  <c r="DX154" i="2"/>
  <c r="DV162" i="2"/>
  <c r="DW156" i="2"/>
  <c r="DX156" i="2"/>
  <c r="DW155" i="2"/>
  <c r="DX155" i="2"/>
  <c r="DX159" i="2"/>
  <c r="DW159" i="2"/>
  <c r="DM728" i="2"/>
  <c r="DL728" i="2"/>
  <c r="DK728" i="2"/>
  <c r="DO728" i="2"/>
  <c r="DN728" i="2"/>
  <c r="DJ736" i="2"/>
  <c r="DI747" i="2"/>
  <c r="DJ747" i="2" s="1"/>
  <c r="DO723" i="2"/>
  <c r="DK723" i="2"/>
  <c r="DN723" i="2"/>
  <c r="DL723" i="2"/>
  <c r="DM723" i="2"/>
  <c r="DM726" i="2"/>
  <c r="DL726" i="2"/>
  <c r="DO726" i="2"/>
  <c r="DN726" i="2"/>
  <c r="DK726" i="2"/>
  <c r="DY212" i="2"/>
  <c r="DI41" i="2"/>
  <c r="DN762" i="2"/>
  <c r="DK762" i="2"/>
  <c r="DO762" i="2"/>
  <c r="DL762" i="2"/>
  <c r="DM762" i="2"/>
  <c r="DI749" i="2"/>
  <c r="DJ749" i="2" s="1"/>
  <c r="DJ738" i="2"/>
  <c r="M62" i="7950"/>
  <c r="AX62" i="7950"/>
  <c r="AY62" i="7950"/>
  <c r="AW62" i="7950"/>
  <c r="AZ62" i="7950"/>
  <c r="AR47" i="7950"/>
  <c r="G47" i="7950"/>
  <c r="I47" i="7950"/>
  <c r="AT47" i="7950"/>
  <c r="AU47" i="7950" s="1"/>
  <c r="AV47" i="7950" s="1"/>
  <c r="AQ47" i="7950"/>
  <c r="ED213" i="2" l="1"/>
  <c r="ED513" i="2"/>
  <c r="DN738" i="2"/>
  <c r="DM738" i="2"/>
  <c r="DL738" i="2"/>
  <c r="DK738" i="2"/>
  <c r="DO738" i="2"/>
  <c r="DK747" i="2"/>
  <c r="DN747" i="2"/>
  <c r="DO747" i="2"/>
  <c r="DL747" i="2"/>
  <c r="DM747" i="2"/>
  <c r="DL650" i="2"/>
  <c r="DO650" i="2"/>
  <c r="DM650" i="2"/>
  <c r="DN650" i="2"/>
  <c r="DK650" i="2"/>
  <c r="DL721" i="2"/>
  <c r="DK721" i="2"/>
  <c r="DM721" i="2"/>
  <c r="DO721" i="2"/>
  <c r="DN721" i="2"/>
  <c r="DI755" i="2"/>
  <c r="DX212" i="2"/>
  <c r="ED212" i="2" s="1"/>
  <c r="DL737" i="2"/>
  <c r="DO737" i="2"/>
  <c r="DK737" i="2"/>
  <c r="DN737" i="2"/>
  <c r="DM737" i="2"/>
  <c r="DM734" i="2"/>
  <c r="DN734" i="2"/>
  <c r="DL734" i="2"/>
  <c r="DK734" i="2"/>
  <c r="DO734" i="2"/>
  <c r="DK739" i="2"/>
  <c r="DN739" i="2"/>
  <c r="DL739" i="2"/>
  <c r="DM739" i="2"/>
  <c r="DO739" i="2"/>
  <c r="EO157" i="2"/>
  <c r="DY514" i="2"/>
  <c r="DX514" i="2"/>
  <c r="DO746" i="2"/>
  <c r="DK746" i="2"/>
  <c r="DN746" i="2"/>
  <c r="DL746" i="2"/>
  <c r="DM746" i="2"/>
  <c r="DL751" i="2"/>
  <c r="DM751" i="2"/>
  <c r="DK751" i="2"/>
  <c r="DO751" i="2"/>
  <c r="DN751" i="2"/>
  <c r="ED814" i="2"/>
  <c r="ED818" i="2"/>
  <c r="DO744" i="2"/>
  <c r="DK744" i="2"/>
  <c r="DM744" i="2"/>
  <c r="DL744" i="2"/>
  <c r="DN744" i="2"/>
  <c r="DK741" i="2"/>
  <c r="DO741" i="2"/>
  <c r="DM741" i="2"/>
  <c r="DN741" i="2"/>
  <c r="DL741" i="2"/>
  <c r="EO460" i="2"/>
  <c r="EO455" i="2"/>
  <c r="EM455" i="2" s="1"/>
  <c r="EO458" i="2"/>
  <c r="EO457" i="2"/>
  <c r="EO456" i="2"/>
  <c r="EO459" i="2"/>
  <c r="EM459" i="2" s="1"/>
  <c r="EO461" i="2"/>
  <c r="EM461" i="2" s="1"/>
  <c r="EA622" i="2"/>
  <c r="EC622" i="2" s="1"/>
  <c r="DZ622" i="2"/>
  <c r="EB622" i="2" s="1"/>
  <c r="EE622" i="2" s="1"/>
  <c r="EI622" i="2" s="1"/>
  <c r="EJ622" i="2" s="1"/>
  <c r="EK622" i="2" s="1"/>
  <c r="EA599" i="2"/>
  <c r="EC599" i="2" s="1"/>
  <c r="DZ516" i="2"/>
  <c r="DV465" i="2"/>
  <c r="DZ621" i="2"/>
  <c r="DV348" i="2"/>
  <c r="EA582" i="2"/>
  <c r="EC582" i="2" s="1"/>
  <c r="EA595" i="2"/>
  <c r="EC595" i="2" s="1"/>
  <c r="EA621" i="2"/>
  <c r="EC621" i="2" s="1"/>
  <c r="EA581" i="2"/>
  <c r="EC581" i="2" s="1"/>
  <c r="EA516" i="2"/>
  <c r="EC516" i="2" s="1"/>
  <c r="EA598" i="2"/>
  <c r="EC598" i="2" s="1"/>
  <c r="DV467" i="2"/>
  <c r="DZ548" i="2"/>
  <c r="DV350" i="2"/>
  <c r="DZ595" i="2"/>
  <c r="EB595" i="2" s="1"/>
  <c r="EE595" i="2" s="1"/>
  <c r="EA568" i="2"/>
  <c r="EC568" i="2" s="1"/>
  <c r="DZ597" i="2"/>
  <c r="DZ599" i="2"/>
  <c r="EB599" i="2" s="1"/>
  <c r="EE599" i="2" s="1"/>
  <c r="DZ582" i="2"/>
  <c r="EB582" i="2" s="1"/>
  <c r="EE582" i="2" s="1"/>
  <c r="EI582" i="2" s="1"/>
  <c r="EJ582" i="2" s="1"/>
  <c r="EK582" i="2" s="1"/>
  <c r="DZ545" i="2"/>
  <c r="DV464" i="2"/>
  <c r="DZ596" i="2"/>
  <c r="EA517" i="2"/>
  <c r="EC517" i="2" s="1"/>
  <c r="DV468" i="2"/>
  <c r="DZ514" i="2"/>
  <c r="DZ635" i="2"/>
  <c r="DZ598" i="2"/>
  <c r="EB598" i="2" s="1"/>
  <c r="EE598" i="2" s="1"/>
  <c r="EA567" i="2"/>
  <c r="EC567" i="2" s="1"/>
  <c r="EA623" i="2"/>
  <c r="EC623" i="2" s="1"/>
  <c r="EA546" i="2"/>
  <c r="EC546" i="2" s="1"/>
  <c r="EA545" i="2"/>
  <c r="EC545" i="2" s="1"/>
  <c r="DZ569" i="2"/>
  <c r="DZ636" i="2"/>
  <c r="DV469" i="2"/>
  <c r="EA548" i="2"/>
  <c r="EC548" i="2" s="1"/>
  <c r="DZ547" i="2"/>
  <c r="EA515" i="2"/>
  <c r="EC515" i="2" s="1"/>
  <c r="EA513" i="2"/>
  <c r="EA514" i="2"/>
  <c r="EA597" i="2"/>
  <c r="EC597" i="2" s="1"/>
  <c r="DZ567" i="2"/>
  <c r="EB567" i="2" s="1"/>
  <c r="EE567" i="2" s="1"/>
  <c r="EI567" i="2" s="1"/>
  <c r="EJ567" i="2" s="1"/>
  <c r="EK567" i="2" s="1"/>
  <c r="DV349" i="2"/>
  <c r="DZ513" i="2"/>
  <c r="EB513" i="2" s="1"/>
  <c r="EE513" i="2" s="1"/>
  <c r="EI513" i="2" s="1"/>
  <c r="EJ513" i="2" s="1"/>
  <c r="EK513" i="2" s="1"/>
  <c r="DV344" i="2"/>
  <c r="DZ546" i="2"/>
  <c r="EB546" i="2" s="1"/>
  <c r="EE546" i="2" s="1"/>
  <c r="EI546" i="2" s="1"/>
  <c r="EJ546" i="2" s="1"/>
  <c r="EK546" i="2" s="1"/>
  <c r="DZ581" i="2"/>
  <c r="EB581" i="2" s="1"/>
  <c r="EE581" i="2" s="1"/>
  <c r="EI581" i="2" s="1"/>
  <c r="EJ581" i="2" s="1"/>
  <c r="EK581" i="2" s="1"/>
  <c r="EA547" i="2"/>
  <c r="EC547" i="2" s="1"/>
  <c r="DV343" i="2"/>
  <c r="EA636" i="2"/>
  <c r="EC636" i="2" s="1"/>
  <c r="DZ515" i="2"/>
  <c r="DV351" i="2"/>
  <c r="DV466" i="2"/>
  <c r="DZ568" i="2"/>
  <c r="EB568" i="2" s="1"/>
  <c r="EE568" i="2" s="1"/>
  <c r="EI568" i="2" s="1"/>
  <c r="EJ568" i="2" s="1"/>
  <c r="EK568" i="2" s="1"/>
  <c r="DZ623" i="2"/>
  <c r="EB623" i="2" s="1"/>
  <c r="EE623" i="2" s="1"/>
  <c r="EI623" i="2" s="1"/>
  <c r="EJ623" i="2" s="1"/>
  <c r="EK623" i="2" s="1"/>
  <c r="DV346" i="2"/>
  <c r="EA569" i="2"/>
  <c r="EC569" i="2" s="1"/>
  <c r="DZ517" i="2"/>
  <c r="EB517" i="2" s="1"/>
  <c r="EE517" i="2" s="1"/>
  <c r="EI517" i="2" s="1"/>
  <c r="EJ517" i="2" s="1"/>
  <c r="EK517" i="2" s="1"/>
  <c r="EA635" i="2"/>
  <c r="EC635" i="2" s="1"/>
  <c r="EA596" i="2"/>
  <c r="EC596" i="2" s="1"/>
  <c r="DV352" i="2"/>
  <c r="DV347" i="2"/>
  <c r="DV345" i="2"/>
  <c r="DK749" i="2"/>
  <c r="DO749" i="2"/>
  <c r="DM749" i="2"/>
  <c r="DN749" i="2"/>
  <c r="DL749" i="2"/>
  <c r="DZ334" i="2"/>
  <c r="EA294" i="2"/>
  <c r="EC294" i="2" s="1"/>
  <c r="EA320" i="2"/>
  <c r="EC320" i="2" s="1"/>
  <c r="EA267" i="2"/>
  <c r="EC267" i="2" s="1"/>
  <c r="EA247" i="2"/>
  <c r="EC247" i="2" s="1"/>
  <c r="DZ214" i="2"/>
  <c r="EB214" i="2" s="1"/>
  <c r="EE214" i="2" s="1"/>
  <c r="EI214" i="2" s="1"/>
  <c r="EJ214" i="2" s="1"/>
  <c r="EK214" i="2" s="1"/>
  <c r="EA335" i="2"/>
  <c r="EC335" i="2" s="1"/>
  <c r="DV51" i="2"/>
  <c r="DZ280" i="2"/>
  <c r="DZ245" i="2"/>
  <c r="EB245" i="2" s="1"/>
  <c r="EE245" i="2" s="1"/>
  <c r="EI245" i="2" s="1"/>
  <c r="EJ245" i="2" s="1"/>
  <c r="EK245" i="2" s="1"/>
  <c r="DZ215" i="2"/>
  <c r="EA212" i="2"/>
  <c r="EC212" i="2" s="1"/>
  <c r="EA281" i="2"/>
  <c r="EC281" i="2" s="1"/>
  <c r="DV42" i="2"/>
  <c r="DV165" i="2"/>
  <c r="EA213" i="2"/>
  <c r="EA244" i="2"/>
  <c r="EC244" i="2" s="1"/>
  <c r="DZ266" i="2"/>
  <c r="EA268" i="2"/>
  <c r="EC268" i="2" s="1"/>
  <c r="DV47" i="2"/>
  <c r="DV45" i="2"/>
  <c r="DV44" i="2"/>
  <c r="DV168" i="2"/>
  <c r="DV50" i="2"/>
  <c r="EA322" i="2"/>
  <c r="EC322" i="2" s="1"/>
  <c r="DV164" i="2"/>
  <c r="EA215" i="2"/>
  <c r="EC215" i="2" s="1"/>
  <c r="DZ246" i="2"/>
  <c r="EA280" i="2"/>
  <c r="EC280" i="2" s="1"/>
  <c r="DZ335" i="2"/>
  <c r="EB335" i="2" s="1"/>
  <c r="EE335" i="2" s="1"/>
  <c r="EI335" i="2" s="1"/>
  <c r="EJ335" i="2" s="1"/>
  <c r="EK335" i="2" s="1"/>
  <c r="DZ321" i="2"/>
  <c r="DV49" i="2"/>
  <c r="DZ295" i="2"/>
  <c r="EA296" i="2"/>
  <c r="EC296" i="2" s="1"/>
  <c r="EA298" i="2"/>
  <c r="EC298" i="2" s="1"/>
  <c r="EA266" i="2"/>
  <c r="EC266" i="2" s="1"/>
  <c r="DZ247" i="2"/>
  <c r="EB247" i="2" s="1"/>
  <c r="EE247" i="2" s="1"/>
  <c r="EI247" i="2" s="1"/>
  <c r="EJ247" i="2" s="1"/>
  <c r="EK247" i="2" s="1"/>
  <c r="DZ213" i="2"/>
  <c r="EB213" i="2" s="1"/>
  <c r="EE213" i="2" s="1"/>
  <c r="EI213" i="2" s="1"/>
  <c r="DV163" i="2"/>
  <c r="EA334" i="2"/>
  <c r="EC334" i="2" s="1"/>
  <c r="DV46" i="2"/>
  <c r="DZ268" i="2"/>
  <c r="EB268" i="2" s="1"/>
  <c r="EE268" i="2" s="1"/>
  <c r="EI268" i="2" s="1"/>
  <c r="EJ268" i="2" s="1"/>
  <c r="EK268" i="2" s="1"/>
  <c r="EA245" i="2"/>
  <c r="EC245" i="2" s="1"/>
  <c r="EA216" i="2"/>
  <c r="EC216" i="2" s="1"/>
  <c r="DV166" i="2"/>
  <c r="DZ322" i="2"/>
  <c r="EB322" i="2" s="1"/>
  <c r="EE322" i="2" s="1"/>
  <c r="EI322" i="2" s="1"/>
  <c r="EJ322" i="2" s="1"/>
  <c r="EK322" i="2" s="1"/>
  <c r="DV48" i="2"/>
  <c r="DV167" i="2"/>
  <c r="DZ212" i="2"/>
  <c r="DZ244" i="2"/>
  <c r="EB244" i="2" s="1"/>
  <c r="EE244" i="2" s="1"/>
  <c r="EI244" i="2" s="1"/>
  <c r="EJ244" i="2" s="1"/>
  <c r="EK244" i="2" s="1"/>
  <c r="DZ281" i="2"/>
  <c r="EB281" i="2" s="1"/>
  <c r="EE281" i="2" s="1"/>
  <c r="EI281" i="2" s="1"/>
  <c r="EJ281" i="2" s="1"/>
  <c r="EK281" i="2" s="1"/>
  <c r="DZ297" i="2"/>
  <c r="EB297" i="2" s="1"/>
  <c r="EE297" i="2" s="1"/>
  <c r="EV291" i="2" s="1"/>
  <c r="EW291" i="2" s="1"/>
  <c r="EA297" i="2"/>
  <c r="EC297" i="2" s="1"/>
  <c r="EA295" i="2"/>
  <c r="EC295" i="2" s="1"/>
  <c r="DZ294" i="2"/>
  <c r="DZ296" i="2"/>
  <c r="EB296" i="2" s="1"/>
  <c r="EE296" i="2" s="1"/>
  <c r="DZ320" i="2"/>
  <c r="EB320" i="2" s="1"/>
  <c r="EE320" i="2" s="1"/>
  <c r="EI320" i="2" s="1"/>
  <c r="EJ320" i="2" s="1"/>
  <c r="EK320" i="2" s="1"/>
  <c r="DZ216" i="2"/>
  <c r="EB216" i="2" s="1"/>
  <c r="EE216" i="2" s="1"/>
  <c r="EI216" i="2" s="1"/>
  <c r="EJ216" i="2" s="1"/>
  <c r="EK216" i="2" s="1"/>
  <c r="EA214" i="2"/>
  <c r="EC214" i="2" s="1"/>
  <c r="EA246" i="2"/>
  <c r="EC246" i="2" s="1"/>
  <c r="DZ267" i="2"/>
  <c r="DZ298" i="2"/>
  <c r="EB298" i="2" s="1"/>
  <c r="EE298" i="2" s="1"/>
  <c r="DV43" i="2"/>
  <c r="EA321" i="2"/>
  <c r="EC321" i="2" s="1"/>
  <c r="DM736" i="2"/>
  <c r="DL736" i="2"/>
  <c r="DK736" i="2"/>
  <c r="DO736" i="2"/>
  <c r="DN736" i="2"/>
  <c r="DY162" i="2"/>
  <c r="DZ162" i="2"/>
  <c r="DX162" i="2"/>
  <c r="EA162" i="2"/>
  <c r="EC162" i="2" s="1"/>
  <c r="EO158" i="2"/>
  <c r="EM158" i="2" s="1"/>
  <c r="EO154" i="2"/>
  <c r="EM154" i="2" s="1"/>
  <c r="EO156" i="2"/>
  <c r="EO155" i="2"/>
  <c r="EM155" i="2" s="1"/>
  <c r="EO160" i="2"/>
  <c r="EM160" i="2" s="1"/>
  <c r="EO159" i="2"/>
  <c r="ED817" i="2"/>
  <c r="DP652" i="2"/>
  <c r="DJ651" i="2"/>
  <c r="DI743" i="2"/>
  <c r="DJ743" i="2" s="1"/>
  <c r="DJ732" i="2"/>
  <c r="DM748" i="2"/>
  <c r="DL748" i="2"/>
  <c r="DK748" i="2"/>
  <c r="DN748" i="2"/>
  <c r="DO748" i="2"/>
  <c r="DK745" i="2"/>
  <c r="DM745" i="2"/>
  <c r="DN745" i="2"/>
  <c r="DL745" i="2"/>
  <c r="DO745" i="2"/>
  <c r="DM750" i="2"/>
  <c r="DO750" i="2"/>
  <c r="DL750" i="2"/>
  <c r="DK750" i="2"/>
  <c r="DN750" i="2"/>
  <c r="DN735" i="2"/>
  <c r="DL735" i="2"/>
  <c r="DK735" i="2"/>
  <c r="DO735" i="2"/>
  <c r="DM735" i="2"/>
  <c r="DL740" i="2"/>
  <c r="DK740" i="2"/>
  <c r="DO740" i="2"/>
  <c r="DN740" i="2"/>
  <c r="DM740" i="2"/>
  <c r="DO733" i="2"/>
  <c r="DL733" i="2"/>
  <c r="DK733" i="2"/>
  <c r="DN733" i="2"/>
  <c r="DM733" i="2"/>
  <c r="DK752" i="2"/>
  <c r="DO752" i="2"/>
  <c r="DN752" i="2"/>
  <c r="DM752" i="2"/>
  <c r="DL752" i="2"/>
  <c r="DX463" i="2"/>
  <c r="ED463" i="2" s="1"/>
  <c r="EA463" i="2"/>
  <c r="DZ463" i="2"/>
  <c r="EB463" i="2" s="1"/>
  <c r="DY463" i="2"/>
  <c r="EI598" i="2"/>
  <c r="EJ598" i="2" s="1"/>
  <c r="EK598" i="2" s="1"/>
  <c r="EV592" i="2"/>
  <c r="EW592" i="2" s="1"/>
  <c r="ES592" i="2"/>
  <c r="ET592" i="2" s="1"/>
  <c r="AP63" i="7950"/>
  <c r="K47" i="7950"/>
  <c r="EI297" i="2"/>
  <c r="EJ297" i="2" s="1"/>
  <c r="EK297" i="2" s="1"/>
  <c r="AX47" i="7950"/>
  <c r="M47" i="7950"/>
  <c r="AW47" i="7950"/>
  <c r="AY47" i="7950"/>
  <c r="AZ47" i="7950"/>
  <c r="EE463" i="2" l="1"/>
  <c r="EI463" i="2" s="1"/>
  <c r="DM651" i="2"/>
  <c r="DK651" i="2"/>
  <c r="DN651" i="2"/>
  <c r="DL651" i="2"/>
  <c r="DO651" i="2"/>
  <c r="ED162" i="2"/>
  <c r="ES290" i="2"/>
  <c r="ET290" i="2" s="1"/>
  <c r="EI296" i="2"/>
  <c r="EJ296" i="2" s="1"/>
  <c r="EK296" i="2" s="1"/>
  <c r="EV290" i="2"/>
  <c r="EW290" i="2" s="1"/>
  <c r="EB636" i="2"/>
  <c r="EE636" i="2" s="1"/>
  <c r="EI636" i="2" s="1"/>
  <c r="EJ636" i="2" s="1"/>
  <c r="EK636" i="2" s="1"/>
  <c r="EC514" i="2"/>
  <c r="EB514" i="2"/>
  <c r="DZ464" i="2"/>
  <c r="DX464" i="2"/>
  <c r="EA464" i="2"/>
  <c r="EC464" i="2" s="1"/>
  <c r="DY464" i="2"/>
  <c r="ED464" i="2" s="1"/>
  <c r="EB597" i="2"/>
  <c r="EE597" i="2" s="1"/>
  <c r="EI595" i="2"/>
  <c r="EJ595" i="2" s="1"/>
  <c r="EK595" i="2" s="1"/>
  <c r="ES589" i="2"/>
  <c r="ET589" i="2" s="1"/>
  <c r="EV589" i="2"/>
  <c r="EW589" i="2" s="1"/>
  <c r="EB548" i="2"/>
  <c r="EE548" i="2" s="1"/>
  <c r="EI548" i="2" s="1"/>
  <c r="EJ548" i="2" s="1"/>
  <c r="EK548" i="2" s="1"/>
  <c r="DW348" i="2"/>
  <c r="DV359" i="2"/>
  <c r="DX348" i="2"/>
  <c r="EA465" i="2"/>
  <c r="EC465" i="2" s="1"/>
  <c r="DZ465" i="2"/>
  <c r="DY465" i="2"/>
  <c r="DX465" i="2"/>
  <c r="EM458" i="2"/>
  <c r="EM457" i="2"/>
  <c r="DM732" i="2"/>
  <c r="DK732" i="2"/>
  <c r="DL732" i="2"/>
  <c r="DO732" i="2"/>
  <c r="DN732" i="2"/>
  <c r="EM157" i="2"/>
  <c r="EM156" i="2"/>
  <c r="ES292" i="2"/>
  <c r="ET292" i="2" s="1"/>
  <c r="EI298" i="2"/>
  <c r="EJ298" i="2" s="1"/>
  <c r="EK298" i="2" s="1"/>
  <c r="EV292" i="2"/>
  <c r="EW292" i="2" s="1"/>
  <c r="EA167" i="2"/>
  <c r="EC167" i="2" s="1"/>
  <c r="DX167" i="2"/>
  <c r="DY167" i="2"/>
  <c r="DZ167" i="2"/>
  <c r="DV60" i="2"/>
  <c r="DW49" i="2"/>
  <c r="DX49" i="2"/>
  <c r="EB246" i="2"/>
  <c r="EE246" i="2" s="1"/>
  <c r="EI246" i="2" s="1"/>
  <c r="EJ246" i="2" s="1"/>
  <c r="EK246" i="2" s="1"/>
  <c r="DY164" i="2"/>
  <c r="DX164" i="2"/>
  <c r="DZ164" i="2"/>
  <c r="EB164" i="2" s="1"/>
  <c r="EA164" i="2"/>
  <c r="EC164" i="2" s="1"/>
  <c r="DW50" i="2"/>
  <c r="DV61" i="2"/>
  <c r="DX50" i="2"/>
  <c r="DX44" i="2"/>
  <c r="DV55" i="2"/>
  <c r="DW44" i="2"/>
  <c r="DV58" i="2"/>
  <c r="DW47" i="2"/>
  <c r="DX47" i="2"/>
  <c r="EB266" i="2"/>
  <c r="EE266" i="2" s="1"/>
  <c r="EI266" i="2" s="1"/>
  <c r="EJ266" i="2" s="1"/>
  <c r="EK266" i="2" s="1"/>
  <c r="EC213" i="2"/>
  <c r="DX42" i="2"/>
  <c r="DW42" i="2"/>
  <c r="DV53" i="2"/>
  <c r="DX51" i="2"/>
  <c r="DW51" i="2"/>
  <c r="DV62" i="2"/>
  <c r="DV358" i="2"/>
  <c r="DW347" i="2"/>
  <c r="DX347" i="2"/>
  <c r="DV357" i="2"/>
  <c r="DW346" i="2"/>
  <c r="DX346" i="2"/>
  <c r="DV362" i="2"/>
  <c r="DX351" i="2"/>
  <c r="DW351" i="2"/>
  <c r="ES291" i="2"/>
  <c r="ET291" i="2" s="1"/>
  <c r="EC463" i="2"/>
  <c r="DM743" i="2"/>
  <c r="DL743" i="2"/>
  <c r="DK743" i="2"/>
  <c r="DO743" i="2"/>
  <c r="DN743" i="2"/>
  <c r="DJ652" i="2"/>
  <c r="DP653" i="2"/>
  <c r="DJ653" i="2" s="1"/>
  <c r="EM159" i="2"/>
  <c r="EB162" i="2"/>
  <c r="EE162" i="2" s="1"/>
  <c r="EI162" i="2" s="1"/>
  <c r="DX43" i="2"/>
  <c r="DW43" i="2"/>
  <c r="DV54" i="2"/>
  <c r="EB267" i="2"/>
  <c r="EE267" i="2" s="1"/>
  <c r="EI267" i="2" s="1"/>
  <c r="EJ267" i="2" s="1"/>
  <c r="EK267" i="2" s="1"/>
  <c r="EB294" i="2"/>
  <c r="EE294" i="2" s="1"/>
  <c r="EB212" i="2"/>
  <c r="EE212" i="2" s="1"/>
  <c r="EI212" i="2" s="1"/>
  <c r="DW48" i="2"/>
  <c r="DV59" i="2"/>
  <c r="DX48" i="2"/>
  <c r="DY166" i="2"/>
  <c r="DZ166" i="2"/>
  <c r="EB166" i="2" s="1"/>
  <c r="EA166" i="2"/>
  <c r="EC166" i="2" s="1"/>
  <c r="DX166" i="2"/>
  <c r="ED166" i="2" s="1"/>
  <c r="DX46" i="2"/>
  <c r="DV57" i="2"/>
  <c r="DW46" i="2"/>
  <c r="EA163" i="2"/>
  <c r="DY163" i="2"/>
  <c r="DX163" i="2"/>
  <c r="ED163" i="2" s="1"/>
  <c r="DZ163" i="2"/>
  <c r="EB163" i="2" s="1"/>
  <c r="EB295" i="2"/>
  <c r="EE295" i="2" s="1"/>
  <c r="EB321" i="2"/>
  <c r="EE321" i="2" s="1"/>
  <c r="EI321" i="2" s="1"/>
  <c r="EJ321" i="2" s="1"/>
  <c r="EK321" i="2" s="1"/>
  <c r="EA168" i="2"/>
  <c r="EC168" i="2" s="1"/>
  <c r="DY168" i="2"/>
  <c r="DX168" i="2"/>
  <c r="ED168" i="2" s="1"/>
  <c r="DZ168" i="2"/>
  <c r="DV56" i="2"/>
  <c r="DW45" i="2"/>
  <c r="DX45" i="2"/>
  <c r="DY165" i="2"/>
  <c r="DZ165" i="2"/>
  <c r="EB165" i="2" s="1"/>
  <c r="EA165" i="2"/>
  <c r="EC165" i="2" s="1"/>
  <c r="DX165" i="2"/>
  <c r="ED165" i="2" s="1"/>
  <c r="EB215" i="2"/>
  <c r="EE215" i="2" s="1"/>
  <c r="EI215" i="2" s="1"/>
  <c r="EJ215" i="2" s="1"/>
  <c r="EK215" i="2" s="1"/>
  <c r="EB280" i="2"/>
  <c r="EE280" i="2" s="1"/>
  <c r="EI280" i="2" s="1"/>
  <c r="EJ280" i="2" s="1"/>
  <c r="EK280" i="2" s="1"/>
  <c r="EB334" i="2"/>
  <c r="EE334" i="2" s="1"/>
  <c r="EI334" i="2" s="1"/>
  <c r="EJ334" i="2" s="1"/>
  <c r="EK334" i="2" s="1"/>
  <c r="DW345" i="2"/>
  <c r="DX345" i="2"/>
  <c r="DV356" i="2"/>
  <c r="DW352" i="2"/>
  <c r="DV363" i="2"/>
  <c r="DX352" i="2"/>
  <c r="DZ466" i="2"/>
  <c r="EB466" i="2" s="1"/>
  <c r="EA466" i="2"/>
  <c r="EC466" i="2" s="1"/>
  <c r="DY466" i="2"/>
  <c r="DX466" i="2"/>
  <c r="EB515" i="2"/>
  <c r="EE515" i="2" s="1"/>
  <c r="EI515" i="2" s="1"/>
  <c r="EJ515" i="2" s="1"/>
  <c r="EK515" i="2" s="1"/>
  <c r="DW343" i="2"/>
  <c r="DV354" i="2"/>
  <c r="DX343" i="2"/>
  <c r="DW344" i="2"/>
  <c r="DV355" i="2"/>
  <c r="DX344" i="2"/>
  <c r="DX349" i="2"/>
  <c r="DV360" i="2"/>
  <c r="DW349" i="2"/>
  <c r="EC513" i="2"/>
  <c r="EB547" i="2"/>
  <c r="EE547" i="2" s="1"/>
  <c r="EI547" i="2" s="1"/>
  <c r="EJ547" i="2" s="1"/>
  <c r="EK547" i="2" s="1"/>
  <c r="DY469" i="2"/>
  <c r="DX469" i="2"/>
  <c r="DZ469" i="2"/>
  <c r="EB469" i="2" s="1"/>
  <c r="EA469" i="2"/>
  <c r="EC469" i="2" s="1"/>
  <c r="EB569" i="2"/>
  <c r="EE569" i="2" s="1"/>
  <c r="EI569" i="2" s="1"/>
  <c r="EJ569" i="2" s="1"/>
  <c r="EK569" i="2" s="1"/>
  <c r="EB635" i="2"/>
  <c r="EE635" i="2" s="1"/>
  <c r="EI635" i="2" s="1"/>
  <c r="EJ635" i="2" s="1"/>
  <c r="EK635" i="2" s="1"/>
  <c r="DZ468" i="2"/>
  <c r="EB468" i="2" s="1"/>
  <c r="EA468" i="2"/>
  <c r="EC468" i="2" s="1"/>
  <c r="DX468" i="2"/>
  <c r="ED468" i="2" s="1"/>
  <c r="DY468" i="2"/>
  <c r="EB596" i="2"/>
  <c r="EE596" i="2" s="1"/>
  <c r="EB545" i="2"/>
  <c r="EE545" i="2" s="1"/>
  <c r="EI545" i="2" s="1"/>
  <c r="EJ545" i="2" s="1"/>
  <c r="EK545" i="2" s="1"/>
  <c r="EI599" i="2"/>
  <c r="EJ599" i="2" s="1"/>
  <c r="EK599" i="2" s="1"/>
  <c r="ES593" i="2"/>
  <c r="ET593" i="2" s="1"/>
  <c r="EV593" i="2"/>
  <c r="EW593" i="2" s="1"/>
  <c r="DW350" i="2"/>
  <c r="DV361" i="2"/>
  <c r="DX350" i="2"/>
  <c r="DX467" i="2"/>
  <c r="ED467" i="2" s="1"/>
  <c r="DY467" i="2"/>
  <c r="EA467" i="2"/>
  <c r="EC467" i="2" s="1"/>
  <c r="DZ467" i="2"/>
  <c r="EB621" i="2"/>
  <c r="EE621" i="2" s="1"/>
  <c r="EI621" i="2" s="1"/>
  <c r="EJ621" i="2" s="1"/>
  <c r="EK621" i="2" s="1"/>
  <c r="EB516" i="2"/>
  <c r="EE516" i="2" s="1"/>
  <c r="EI516" i="2" s="1"/>
  <c r="EJ516" i="2" s="1"/>
  <c r="EK516" i="2" s="1"/>
  <c r="EM456" i="2"/>
  <c r="EM460" i="2"/>
  <c r="ED514" i="2"/>
  <c r="DV759" i="2"/>
  <c r="DV757" i="2"/>
  <c r="DV758" i="2"/>
  <c r="DV760" i="2"/>
  <c r="DV761" i="2"/>
  <c r="DV756" i="2"/>
  <c r="DV762" i="2"/>
  <c r="EE468" i="2"/>
  <c r="EI468" i="2" s="1"/>
  <c r="EJ468" i="2" s="1"/>
  <c r="EK468" i="2" s="1"/>
  <c r="I63" i="7950"/>
  <c r="G63" i="7950"/>
  <c r="E63" i="7950"/>
  <c r="AQ63" i="7950"/>
  <c r="AR63" i="7950"/>
  <c r="AT63" i="7950"/>
  <c r="AU63" i="7950" s="1"/>
  <c r="EE166" i="2"/>
  <c r="BQ46" i="2"/>
  <c r="BA46" i="2" s="1"/>
  <c r="EE165" i="2"/>
  <c r="EE163" i="2"/>
  <c r="EI163" i="2" s="1"/>
  <c r="AP48" i="7950"/>
  <c r="AQ48" i="7950" s="1"/>
  <c r="DW756" i="2" l="1"/>
  <c r="DV764" i="2"/>
  <c r="DX756" i="2"/>
  <c r="DX760" i="2"/>
  <c r="DW760" i="2"/>
  <c r="DW757" i="2"/>
  <c r="DX757" i="2"/>
  <c r="ER457" i="2"/>
  <c r="EY454" i="2" s="1"/>
  <c r="ER455" i="2"/>
  <c r="ES454" i="2" s="1"/>
  <c r="ER456" i="2"/>
  <c r="EV454" i="2" s="1"/>
  <c r="DZ361" i="2"/>
  <c r="EA361" i="2"/>
  <c r="EC361" i="2" s="1"/>
  <c r="DX361" i="2"/>
  <c r="DY361" i="2"/>
  <c r="EV590" i="2"/>
  <c r="EW590" i="2" s="1"/>
  <c r="EI596" i="2"/>
  <c r="EJ596" i="2" s="1"/>
  <c r="EK596" i="2" s="1"/>
  <c r="ES590" i="2"/>
  <c r="ET590" i="2" s="1"/>
  <c r="DZ360" i="2"/>
  <c r="EA360" i="2"/>
  <c r="EC360" i="2" s="1"/>
  <c r="DX360" i="2"/>
  <c r="DY360" i="2"/>
  <c r="EA354" i="2"/>
  <c r="EC354" i="2" s="1"/>
  <c r="DZ354" i="2"/>
  <c r="EB354" i="2" s="1"/>
  <c r="BQ64" i="2"/>
  <c r="BA64" i="2" s="1"/>
  <c r="BQ94" i="2"/>
  <c r="DX354" i="2"/>
  <c r="DY354" i="2"/>
  <c r="BQ52" i="2"/>
  <c r="BA52" i="2" s="1"/>
  <c r="BQ102" i="2"/>
  <c r="BQ65" i="2"/>
  <c r="BA65" i="2" s="1"/>
  <c r="BQ56" i="2"/>
  <c r="BA56" i="2" s="1"/>
  <c r="BQ59" i="2"/>
  <c r="BA59" i="2" s="1"/>
  <c r="BQ54" i="2"/>
  <c r="BA54" i="2" s="1"/>
  <c r="BQ57" i="2"/>
  <c r="BA57" i="2" s="1"/>
  <c r="BQ62" i="2"/>
  <c r="BA62" i="2" s="1"/>
  <c r="BQ58" i="2"/>
  <c r="BA58" i="2" s="1"/>
  <c r="BQ55" i="2"/>
  <c r="BA55" i="2" s="1"/>
  <c r="BQ50" i="2"/>
  <c r="BA50" i="2" s="1"/>
  <c r="BQ96" i="2"/>
  <c r="BQ63" i="2"/>
  <c r="BA63" i="2" s="1"/>
  <c r="EA363" i="2"/>
  <c r="EC363" i="2" s="1"/>
  <c r="DY363" i="2"/>
  <c r="DX363" i="2"/>
  <c r="ED363" i="2" s="1"/>
  <c r="DZ363" i="2"/>
  <c r="EB363" i="2" s="1"/>
  <c r="DX356" i="2"/>
  <c r="DZ356" i="2"/>
  <c r="DY356" i="2"/>
  <c r="EA356" i="2"/>
  <c r="EC356" i="2" s="1"/>
  <c r="DZ56" i="2"/>
  <c r="DX56" i="2"/>
  <c r="ED56" i="2" s="1"/>
  <c r="DY56" i="2"/>
  <c r="EA56" i="2"/>
  <c r="EC56" i="2" s="1"/>
  <c r="ES289" i="2"/>
  <c r="ET289" i="2" s="1"/>
  <c r="EV289" i="2"/>
  <c r="EW289" i="2" s="1"/>
  <c r="EI295" i="2"/>
  <c r="EJ295" i="2" s="1"/>
  <c r="EK295" i="2" s="1"/>
  <c r="EC163" i="2"/>
  <c r="DZ57" i="2"/>
  <c r="EB57" i="2" s="1"/>
  <c r="DX57" i="2"/>
  <c r="DY57" i="2"/>
  <c r="EA57" i="2"/>
  <c r="EC57" i="2" s="1"/>
  <c r="ES288" i="2"/>
  <c r="ET288" i="2" s="1"/>
  <c r="EI294" i="2"/>
  <c r="EJ294" i="2" s="1"/>
  <c r="EK294" i="2" s="1"/>
  <c r="EV288" i="2"/>
  <c r="EW288" i="2" s="1"/>
  <c r="EX288" i="2" s="1"/>
  <c r="ER309" i="2" s="1"/>
  <c r="EA54" i="2"/>
  <c r="DY54" i="2"/>
  <c r="DX54" i="2"/>
  <c r="DZ54" i="2"/>
  <c r="EB54" i="2" s="1"/>
  <c r="DO652" i="2"/>
  <c r="DM652" i="2"/>
  <c r="DN652" i="2"/>
  <c r="DK652" i="2"/>
  <c r="DL652" i="2"/>
  <c r="BQ61" i="2"/>
  <c r="BA61" i="2" s="1"/>
  <c r="BQ101" i="2"/>
  <c r="BQ45" i="2"/>
  <c r="BA45" i="2" s="1"/>
  <c r="BQ44" i="2"/>
  <c r="BA44" i="2" s="1"/>
  <c r="BQ98" i="2"/>
  <c r="BQ103" i="2"/>
  <c r="BQ113" i="2"/>
  <c r="BA113" i="2" s="1"/>
  <c r="BQ70" i="2"/>
  <c r="BA70" i="2" s="1"/>
  <c r="BQ83" i="2"/>
  <c r="BA83" i="2" s="1"/>
  <c r="BQ115" i="2"/>
  <c r="BA115" i="2" s="1"/>
  <c r="BQ111" i="2"/>
  <c r="BA111" i="2" s="1"/>
  <c r="BQ78" i="2"/>
  <c r="BA78" i="2" s="1"/>
  <c r="BQ89" i="2"/>
  <c r="BA89" i="2" s="1"/>
  <c r="DX357" i="2"/>
  <c r="DZ357" i="2"/>
  <c r="EB357" i="2" s="1"/>
  <c r="EA357" i="2"/>
  <c r="EC357" i="2" s="1"/>
  <c r="DY357" i="2"/>
  <c r="DY62" i="2"/>
  <c r="EA62" i="2"/>
  <c r="EC62" i="2" s="1"/>
  <c r="DZ62" i="2"/>
  <c r="DX62" i="2"/>
  <c r="ED62" i="2" s="1"/>
  <c r="EO43" i="2"/>
  <c r="EO46" i="2"/>
  <c r="EM46" i="2" s="1"/>
  <c r="EO42" i="2"/>
  <c r="EM42" i="2" s="1"/>
  <c r="EO51" i="2"/>
  <c r="EO45" i="2"/>
  <c r="EO44" i="2"/>
  <c r="EM44" i="2" s="1"/>
  <c r="EO48" i="2"/>
  <c r="EO47" i="2"/>
  <c r="EM47" i="2" s="1"/>
  <c r="EO49" i="2"/>
  <c r="EM49" i="2" s="1"/>
  <c r="EO50" i="2"/>
  <c r="EM50" i="2" s="1"/>
  <c r="EA58" i="2"/>
  <c r="EC58" i="2" s="1"/>
  <c r="DY58" i="2"/>
  <c r="DX58" i="2"/>
  <c r="DZ58" i="2"/>
  <c r="EB58" i="2" s="1"/>
  <c r="DY55" i="2"/>
  <c r="DX55" i="2"/>
  <c r="ED55" i="2" s="1"/>
  <c r="DZ55" i="2"/>
  <c r="EA55" i="2"/>
  <c r="EC55" i="2" s="1"/>
  <c r="DY60" i="2"/>
  <c r="DX60" i="2"/>
  <c r="DZ60" i="2"/>
  <c r="EB60" i="2" s="1"/>
  <c r="EA60" i="2"/>
  <c r="EC60" i="2" s="1"/>
  <c r="ER156" i="2"/>
  <c r="EY153" i="2" s="1"/>
  <c r="ER155" i="2"/>
  <c r="EV153" i="2" s="1"/>
  <c r="ER154" i="2"/>
  <c r="ES153" i="2" s="1"/>
  <c r="DX359" i="2"/>
  <c r="DZ359" i="2"/>
  <c r="DY359" i="2"/>
  <c r="EA359" i="2"/>
  <c r="EC359" i="2" s="1"/>
  <c r="EU590" i="2"/>
  <c r="ER598" i="2" s="1"/>
  <c r="ES591" i="2"/>
  <c r="ET591" i="2" s="1"/>
  <c r="EU591" i="2" s="1"/>
  <c r="ER599" i="2" s="1"/>
  <c r="EV591" i="2"/>
  <c r="EW591" i="2" s="1"/>
  <c r="EI597" i="2"/>
  <c r="EJ597" i="2" s="1"/>
  <c r="EK597" i="2" s="1"/>
  <c r="EB464" i="2"/>
  <c r="DW762" i="2"/>
  <c r="DX762" i="2"/>
  <c r="DW761" i="2"/>
  <c r="DX761" i="2"/>
  <c r="DW758" i="2"/>
  <c r="DX758" i="2"/>
  <c r="DX759" i="2"/>
  <c r="DW759" i="2"/>
  <c r="EB467" i="2"/>
  <c r="EE467" i="2" s="1"/>
  <c r="EI467" i="2" s="1"/>
  <c r="EJ467" i="2" s="1"/>
  <c r="EK467" i="2" s="1"/>
  <c r="ED469" i="2"/>
  <c r="EE469" i="2" s="1"/>
  <c r="EI469" i="2" s="1"/>
  <c r="EJ469" i="2" s="1"/>
  <c r="EK469" i="2" s="1"/>
  <c r="DZ355" i="2"/>
  <c r="DY355" i="2"/>
  <c r="EA355" i="2"/>
  <c r="EC355" i="2" s="1"/>
  <c r="DX355" i="2"/>
  <c r="ED355" i="2" s="1"/>
  <c r="EO352" i="2"/>
  <c r="EO343" i="2"/>
  <c r="EM343" i="2" s="1"/>
  <c r="EO347" i="2"/>
  <c r="EO346" i="2"/>
  <c r="EM346" i="2" s="1"/>
  <c r="EO345" i="2"/>
  <c r="EO348" i="2"/>
  <c r="EO350" i="2"/>
  <c r="EO344" i="2"/>
  <c r="EM344" i="2" s="1"/>
  <c r="EO349" i="2"/>
  <c r="EO351" i="2"/>
  <c r="EM351" i="2" s="1"/>
  <c r="ED466" i="2"/>
  <c r="EE466" i="2" s="1"/>
  <c r="ES458" i="2" s="1"/>
  <c r="ET458" i="2" s="1"/>
  <c r="EB168" i="2"/>
  <c r="EE168" i="2" s="1"/>
  <c r="EI168" i="2" s="1"/>
  <c r="EJ168" i="2" s="1"/>
  <c r="EK168" i="2" s="1"/>
  <c r="EA59" i="2"/>
  <c r="EC59" i="2" s="1"/>
  <c r="DZ59" i="2"/>
  <c r="EB59" i="2" s="1"/>
  <c r="DY59" i="2"/>
  <c r="DX59" i="2"/>
  <c r="ED59" i="2" s="1"/>
  <c r="EE59" i="2" s="1"/>
  <c r="EI59" i="2" s="1"/>
  <c r="EJ59" i="2" s="1"/>
  <c r="EK59" i="2" s="1"/>
  <c r="EJ212" i="2"/>
  <c r="EK212" i="2" s="1"/>
  <c r="EJ213" i="2"/>
  <c r="EK213" i="2" s="1"/>
  <c r="BQ69" i="2" s="1"/>
  <c r="BA69" i="2" s="1"/>
  <c r="DK653" i="2"/>
  <c r="DM653" i="2"/>
  <c r="DN653" i="2"/>
  <c r="DO653" i="2"/>
  <c r="DL653" i="2"/>
  <c r="BQ53" i="2"/>
  <c r="BA53" i="2" s="1"/>
  <c r="BQ49" i="2"/>
  <c r="BA49" i="2" s="1"/>
  <c r="BQ60" i="2"/>
  <c r="BA60" i="2" s="1"/>
  <c r="BQ95" i="2"/>
  <c r="BQ100" i="2"/>
  <c r="BQ97" i="2"/>
  <c r="BQ99" i="2"/>
  <c r="BQ80" i="2"/>
  <c r="BA80" i="2" s="1"/>
  <c r="BQ109" i="2"/>
  <c r="BA109" i="2" s="1"/>
  <c r="BQ107" i="2"/>
  <c r="BA107" i="2" s="1"/>
  <c r="BQ76" i="2"/>
  <c r="BA76" i="2" s="1"/>
  <c r="BQ87" i="2"/>
  <c r="BA87" i="2" s="1"/>
  <c r="BQ79" i="2"/>
  <c r="BA79" i="2" s="1"/>
  <c r="BQ90" i="2"/>
  <c r="BA90" i="2" s="1"/>
  <c r="DY362" i="2"/>
  <c r="DZ362" i="2"/>
  <c r="EA362" i="2"/>
  <c r="EC362" i="2" s="1"/>
  <c r="DX362" i="2"/>
  <c r="EA358" i="2"/>
  <c r="EC358" i="2" s="1"/>
  <c r="DY358" i="2"/>
  <c r="DZ358" i="2"/>
  <c r="EB358" i="2" s="1"/>
  <c r="DX358" i="2"/>
  <c r="ED358" i="2" s="1"/>
  <c r="DY53" i="2"/>
  <c r="EA53" i="2"/>
  <c r="BQ84" i="2"/>
  <c r="BA84" i="2" s="1"/>
  <c r="BQ110" i="2"/>
  <c r="BA110" i="2" s="1"/>
  <c r="BQ85" i="2"/>
  <c r="BA85" i="2" s="1"/>
  <c r="BQ114" i="2"/>
  <c r="BA114" i="2" s="1"/>
  <c r="BQ86" i="2"/>
  <c r="BA86" i="2" s="1"/>
  <c r="DZ53" i="2"/>
  <c r="EB53" i="2" s="1"/>
  <c r="BQ106" i="2"/>
  <c r="BA106" i="2" s="1"/>
  <c r="BQ71" i="2"/>
  <c r="BA71" i="2" s="1"/>
  <c r="BQ112" i="2"/>
  <c r="BA112" i="2" s="1"/>
  <c r="BQ75" i="2"/>
  <c r="BA75" i="2" s="1"/>
  <c r="BQ91" i="2"/>
  <c r="BA91" i="2" s="1"/>
  <c r="DX53" i="2"/>
  <c r="BQ81" i="2"/>
  <c r="BA81" i="2" s="1"/>
  <c r="BQ88" i="2"/>
  <c r="BA88" i="2" s="1"/>
  <c r="BQ108" i="2"/>
  <c r="BA108" i="2" s="1"/>
  <c r="BQ82" i="2"/>
  <c r="BA82" i="2" s="1"/>
  <c r="DX61" i="2"/>
  <c r="ED61" i="2" s="1"/>
  <c r="DY61" i="2"/>
  <c r="EA61" i="2"/>
  <c r="EC61" i="2" s="1"/>
  <c r="DZ61" i="2"/>
  <c r="ED164" i="2"/>
  <c r="EE164" i="2" s="1"/>
  <c r="EI164" i="2" s="1"/>
  <c r="EJ164" i="2" s="1"/>
  <c r="EK164" i="2" s="1"/>
  <c r="EB167" i="2"/>
  <c r="ED167" i="2"/>
  <c r="EE167" i="2" s="1"/>
  <c r="ES159" i="2" s="1"/>
  <c r="ET159" i="2" s="1"/>
  <c r="ED465" i="2"/>
  <c r="EB465" i="2"/>
  <c r="EE464" i="2"/>
  <c r="EI464" i="2" s="1"/>
  <c r="EE514" i="2"/>
  <c r="EI514" i="2" s="1"/>
  <c r="EJ514" i="2" s="1"/>
  <c r="EK514" i="2" s="1"/>
  <c r="BQ43" i="2" s="1"/>
  <c r="BA43" i="2" s="1"/>
  <c r="EY158" i="2"/>
  <c r="EZ158" i="2" s="1"/>
  <c r="EE363" i="2"/>
  <c r="EI363" i="2" s="1"/>
  <c r="EJ363" i="2" s="1"/>
  <c r="EK363" i="2" s="1"/>
  <c r="EI466" i="2"/>
  <c r="EY458" i="2"/>
  <c r="EZ458" i="2" s="1"/>
  <c r="EV458" i="2"/>
  <c r="EW458" i="2" s="1"/>
  <c r="EE358" i="2"/>
  <c r="K63" i="7950"/>
  <c r="AV63" i="7950"/>
  <c r="ES155" i="2"/>
  <c r="ET155" i="2" s="1"/>
  <c r="EI166" i="2"/>
  <c r="EJ166" i="2" s="1"/>
  <c r="EK166" i="2" s="1"/>
  <c r="EY155" i="2"/>
  <c r="EZ155" i="2" s="1"/>
  <c r="EI165" i="2"/>
  <c r="EJ165" i="2" s="1"/>
  <c r="EK165" i="2" s="1"/>
  <c r="ES157" i="2"/>
  <c r="ET157" i="2" s="1"/>
  <c r="EY157" i="2"/>
  <c r="EZ157" i="2" s="1"/>
  <c r="G48" i="7950"/>
  <c r="EV155" i="2"/>
  <c r="EW155" i="2" s="1"/>
  <c r="AT48" i="7950"/>
  <c r="AU48" i="7950" s="1"/>
  <c r="K48" i="7950" s="1"/>
  <c r="AR48" i="7950"/>
  <c r="I48" i="7950"/>
  <c r="E48" i="7950"/>
  <c r="EV159" i="2"/>
  <c r="EW159" i="2" s="1"/>
  <c r="EY159" i="2"/>
  <c r="EZ159" i="2" s="1"/>
  <c r="AV48" i="7950"/>
  <c r="ER603" i="2" l="1"/>
  <c r="EY605" i="2"/>
  <c r="EY606" i="2" s="1"/>
  <c r="EY607" i="2" s="1"/>
  <c r="AY107" i="2"/>
  <c r="AY115" i="2"/>
  <c r="AY112" i="2"/>
  <c r="AY110" i="2"/>
  <c r="AY111" i="2"/>
  <c r="AY114" i="2"/>
  <c r="AY106" i="2"/>
  <c r="AV106" i="2" s="1"/>
  <c r="AY108" i="2"/>
  <c r="AY113" i="2"/>
  <c r="AY109" i="2"/>
  <c r="ER602" i="2"/>
  <c r="EY601" i="2"/>
  <c r="EY602" i="2" s="1"/>
  <c r="EY603" i="2" s="1"/>
  <c r="EB359" i="2"/>
  <c r="ES154" i="2"/>
  <c r="ET154" i="2" s="1"/>
  <c r="ES160" i="2"/>
  <c r="ET160" i="2" s="1"/>
  <c r="ES156" i="2"/>
  <c r="ET156" i="2" s="1"/>
  <c r="EY154" i="2"/>
  <c r="EZ154" i="2" s="1"/>
  <c r="EY160" i="2"/>
  <c r="EZ160" i="2" s="1"/>
  <c r="EY156" i="2"/>
  <c r="EZ156" i="2" s="1"/>
  <c r="EM51" i="2"/>
  <c r="ER312" i="2"/>
  <c r="EY309" i="2"/>
  <c r="EU289" i="2"/>
  <c r="ER297" i="2" s="1"/>
  <c r="EU288" i="2"/>
  <c r="EU290" i="2"/>
  <c r="ER298" i="2" s="1"/>
  <c r="EB356" i="2"/>
  <c r="EV456" i="2"/>
  <c r="EW456" i="2" s="1"/>
  <c r="EV455" i="2"/>
  <c r="EW455" i="2" s="1"/>
  <c r="EV461" i="2"/>
  <c r="EW461" i="2" s="1"/>
  <c r="EV460" i="2"/>
  <c r="EW460" i="2" s="1"/>
  <c r="EV459" i="2"/>
  <c r="EW459" i="2" s="1"/>
  <c r="EY461" i="2"/>
  <c r="EZ461" i="2" s="1"/>
  <c r="EY456" i="2"/>
  <c r="EZ456" i="2" s="1"/>
  <c r="EY455" i="2"/>
  <c r="EZ455" i="2" s="1"/>
  <c r="EY459" i="2"/>
  <c r="EZ459" i="2" s="1"/>
  <c r="EY460" i="2"/>
  <c r="EZ460" i="2" s="1"/>
  <c r="DY764" i="2"/>
  <c r="DX764" i="2"/>
  <c r="ES158" i="2"/>
  <c r="ET158" i="2" s="1"/>
  <c r="EI167" i="2"/>
  <c r="EJ167" i="2" s="1"/>
  <c r="EK167" i="2" s="1"/>
  <c r="EE465" i="2"/>
  <c r="EI465" i="2" s="1"/>
  <c r="EJ465" i="2" s="1"/>
  <c r="EK465" i="2" s="1"/>
  <c r="EB61" i="2"/>
  <c r="EE61" i="2" s="1"/>
  <c r="EI61" i="2" s="1"/>
  <c r="EJ61" i="2" s="1"/>
  <c r="EK61" i="2" s="1"/>
  <c r="ED53" i="2"/>
  <c r="EE53" i="2" s="1"/>
  <c r="EI53" i="2" s="1"/>
  <c r="EC53" i="2"/>
  <c r="ED362" i="2"/>
  <c r="EE362" i="2" s="1"/>
  <c r="EI362" i="2" s="1"/>
  <c r="EJ362" i="2" s="1"/>
  <c r="EK362" i="2" s="1"/>
  <c r="EB362" i="2"/>
  <c r="EM349" i="2"/>
  <c r="EM350" i="2"/>
  <c r="EM345" i="2"/>
  <c r="EM348" i="2"/>
  <c r="EM347" i="2"/>
  <c r="ER343" i="2" s="1"/>
  <c r="ES342" i="2" s="1"/>
  <c r="EM352" i="2"/>
  <c r="EB355" i="2"/>
  <c r="EE355" i="2" s="1"/>
  <c r="EI355" i="2" s="1"/>
  <c r="ED359" i="2"/>
  <c r="EE359" i="2" s="1"/>
  <c r="EI359" i="2" s="1"/>
  <c r="EJ359" i="2" s="1"/>
  <c r="EK359" i="2" s="1"/>
  <c r="EV154" i="2"/>
  <c r="EW154" i="2" s="1"/>
  <c r="EV160" i="2"/>
  <c r="EW160" i="2" s="1"/>
  <c r="EV156" i="2"/>
  <c r="EW156" i="2" s="1"/>
  <c r="EV158" i="2"/>
  <c r="EW158" i="2" s="1"/>
  <c r="ED60" i="2"/>
  <c r="EE60" i="2" s="1"/>
  <c r="EI60" i="2" s="1"/>
  <c r="EB55" i="2"/>
  <c r="EE55" i="2" s="1"/>
  <c r="EI55" i="2" s="1"/>
  <c r="EJ55" i="2" s="1"/>
  <c r="EK55" i="2" s="1"/>
  <c r="ED58" i="2"/>
  <c r="EE58" i="2" s="1"/>
  <c r="EI58" i="2" s="1"/>
  <c r="EJ58" i="2" s="1"/>
  <c r="EK58" i="2" s="1"/>
  <c r="EM48" i="2"/>
  <c r="EM45" i="2"/>
  <c r="EM43" i="2"/>
  <c r="EB62" i="2"/>
  <c r="EE62" i="2" s="1"/>
  <c r="EI62" i="2" s="1"/>
  <c r="EJ62" i="2" s="1"/>
  <c r="EK62" i="2" s="1"/>
  <c r="ED357" i="2"/>
  <c r="EE357" i="2" s="1"/>
  <c r="EI357" i="2" s="1"/>
  <c r="EJ357" i="2" s="1"/>
  <c r="EK357" i="2" s="1"/>
  <c r="DI643" i="2"/>
  <c r="ED54" i="2"/>
  <c r="EE54" i="2" s="1"/>
  <c r="EI54" i="2" s="1"/>
  <c r="EC54" i="2"/>
  <c r="ED57" i="2"/>
  <c r="EE57" i="2" s="1"/>
  <c r="EI57" i="2" s="1"/>
  <c r="EJ57" i="2" s="1"/>
  <c r="EK57" i="2" s="1"/>
  <c r="EB56" i="2"/>
  <c r="EE56" i="2" s="1"/>
  <c r="EI56" i="2" s="1"/>
  <c r="EJ56" i="2" s="1"/>
  <c r="EK56" i="2" s="1"/>
  <c r="ED356" i="2"/>
  <c r="EE356" i="2" s="1"/>
  <c r="EI356" i="2" s="1"/>
  <c r="EJ356" i="2" s="1"/>
  <c r="EK356" i="2" s="1"/>
  <c r="ED354" i="2"/>
  <c r="EE354" i="2" s="1"/>
  <c r="EI354" i="2" s="1"/>
  <c r="ED360" i="2"/>
  <c r="EB360" i="2"/>
  <c r="EU589" i="2"/>
  <c r="EX589" i="2"/>
  <c r="ER610" i="2" s="1"/>
  <c r="ED361" i="2"/>
  <c r="EB361" i="2"/>
  <c r="ES455" i="2"/>
  <c r="ET455" i="2" s="1"/>
  <c r="ES460" i="2"/>
  <c r="ET460" i="2" s="1"/>
  <c r="ES457" i="2"/>
  <c r="ET457" i="2" s="1"/>
  <c r="ES459" i="2"/>
  <c r="ET459" i="2" s="1"/>
  <c r="ES461" i="2"/>
  <c r="ET461" i="2" s="1"/>
  <c r="ES456" i="2"/>
  <c r="ET456" i="2" s="1"/>
  <c r="EO757" i="2"/>
  <c r="EO762" i="2"/>
  <c r="EO760" i="2"/>
  <c r="EO761" i="2"/>
  <c r="EO758" i="2"/>
  <c r="EM758" i="2" s="1"/>
  <c r="EO756" i="2"/>
  <c r="EM756" i="2" s="1"/>
  <c r="EO759" i="2"/>
  <c r="EM759" i="2" s="1"/>
  <c r="EV157" i="2"/>
  <c r="EW157" i="2" s="1"/>
  <c r="ES345" i="2"/>
  <c r="ET345" i="2" s="1"/>
  <c r="EJ466" i="2"/>
  <c r="EK466" i="2" s="1"/>
  <c r="EJ463" i="2"/>
  <c r="EK463" i="2" s="1"/>
  <c r="BQ48" i="2" s="1"/>
  <c r="BA48" i="2" s="1"/>
  <c r="EJ464" i="2"/>
  <c r="EK464" i="2" s="1"/>
  <c r="BQ47" i="2" s="1"/>
  <c r="BA47" i="2" s="1"/>
  <c r="EI358" i="2"/>
  <c r="EJ358" i="2" s="1"/>
  <c r="EK358" i="2" s="1"/>
  <c r="AW63" i="7950"/>
  <c r="AY63" i="7950"/>
  <c r="AX63" i="7950"/>
  <c r="AZ63" i="7950"/>
  <c r="AP64" i="7950" s="1"/>
  <c r="M63" i="7950"/>
  <c r="EX155" i="2"/>
  <c r="ER198" i="2" s="1"/>
  <c r="EY200" i="2" s="1"/>
  <c r="EY201" i="2" s="1"/>
  <c r="FA154" i="2"/>
  <c r="ER204" i="2" s="1"/>
  <c r="ER207" i="2" s="1"/>
  <c r="EX154" i="2"/>
  <c r="ER197" i="2" s="1"/>
  <c r="EY197" i="2" s="1"/>
  <c r="EJ163" i="2"/>
  <c r="EK163" i="2" s="1"/>
  <c r="EJ162" i="2"/>
  <c r="EK162" i="2" s="1"/>
  <c r="BQ74" i="2" s="1"/>
  <c r="BA74" i="2" s="1"/>
  <c r="ER200" i="2"/>
  <c r="M48" i="7950"/>
  <c r="AW48" i="7950"/>
  <c r="AX48" i="7950"/>
  <c r="AY48" i="7950"/>
  <c r="AZ48" i="7950"/>
  <c r="EJ60" i="2" l="1"/>
  <c r="EK60" i="2" s="1"/>
  <c r="EJ53" i="2"/>
  <c r="EK53" i="2" s="1"/>
  <c r="BQ77" i="2" s="1"/>
  <c r="BA77" i="2" s="1"/>
  <c r="EJ54" i="2"/>
  <c r="EK54" i="2" s="1"/>
  <c r="BQ68" i="2" s="1"/>
  <c r="BA68" i="2" s="1"/>
  <c r="EM762" i="2"/>
  <c r="EM761" i="2"/>
  <c r="EY610" i="2"/>
  <c r="EY611" i="2" s="1"/>
  <c r="ER613" i="2"/>
  <c r="ES610" i="2"/>
  <c r="DZ900" i="2"/>
  <c r="DZ846" i="2"/>
  <c r="EA882" i="2"/>
  <c r="EC882" i="2" s="1"/>
  <c r="EA899" i="2"/>
  <c r="EC899" i="2" s="1"/>
  <c r="DZ818" i="2"/>
  <c r="DZ848" i="2"/>
  <c r="DZ937" i="2"/>
  <c r="DV653" i="2"/>
  <c r="EA936" i="2"/>
  <c r="EC936" i="2" s="1"/>
  <c r="EA883" i="2"/>
  <c r="EC883" i="2" s="1"/>
  <c r="DV770" i="2"/>
  <c r="EA849" i="2"/>
  <c r="EC849" i="2" s="1"/>
  <c r="DV651" i="2"/>
  <c r="EA868" i="2"/>
  <c r="EC868" i="2" s="1"/>
  <c r="DZ897" i="2"/>
  <c r="DZ868" i="2"/>
  <c r="EB868" i="2" s="1"/>
  <c r="EE868" i="2" s="1"/>
  <c r="EI868" i="2" s="1"/>
  <c r="EJ868" i="2" s="1"/>
  <c r="EK868" i="2" s="1"/>
  <c r="DZ870" i="2"/>
  <c r="DV644" i="2"/>
  <c r="EA922" i="2"/>
  <c r="EC922" i="2" s="1"/>
  <c r="EA869" i="2"/>
  <c r="EC869" i="2" s="1"/>
  <c r="EA848" i="2"/>
  <c r="EC848" i="2" s="1"/>
  <c r="DZ899" i="2"/>
  <c r="EB899" i="2" s="1"/>
  <c r="EE899" i="2" s="1"/>
  <c r="DZ882" i="2"/>
  <c r="EB882" i="2" s="1"/>
  <c r="EE882" i="2" s="1"/>
  <c r="EI882" i="2" s="1"/>
  <c r="EJ882" i="2" s="1"/>
  <c r="EK882" i="2" s="1"/>
  <c r="DZ764" i="2"/>
  <c r="DV765" i="2"/>
  <c r="DZ923" i="2"/>
  <c r="DZ883" i="2"/>
  <c r="EB883" i="2" s="1"/>
  <c r="EE883" i="2" s="1"/>
  <c r="EI883" i="2" s="1"/>
  <c r="EJ883" i="2" s="1"/>
  <c r="EK883" i="2" s="1"/>
  <c r="EA817" i="2"/>
  <c r="EC817" i="2" s="1"/>
  <c r="EA764" i="2"/>
  <c r="EC764" i="2" s="1"/>
  <c r="EA923" i="2"/>
  <c r="EC923" i="2" s="1"/>
  <c r="DV768" i="2"/>
  <c r="DZ847" i="2"/>
  <c r="DV646" i="2"/>
  <c r="EA870" i="2"/>
  <c r="EC870" i="2" s="1"/>
  <c r="DV649" i="2"/>
  <c r="DV650" i="2"/>
  <c r="DV652" i="2"/>
  <c r="EA937" i="2"/>
  <c r="EC937" i="2" s="1"/>
  <c r="DZ898" i="2"/>
  <c r="DZ815" i="2"/>
  <c r="EA814" i="2"/>
  <c r="EC814" i="2" s="1"/>
  <c r="EA818" i="2"/>
  <c r="EC818" i="2" s="1"/>
  <c r="DZ869" i="2"/>
  <c r="EB869" i="2" s="1"/>
  <c r="EE869" i="2" s="1"/>
  <c r="EI869" i="2" s="1"/>
  <c r="EJ869" i="2" s="1"/>
  <c r="EK869" i="2" s="1"/>
  <c r="DV766" i="2"/>
  <c r="DZ849" i="2"/>
  <c r="EB849" i="2" s="1"/>
  <c r="EE849" i="2" s="1"/>
  <c r="EI849" i="2" s="1"/>
  <c r="EJ849" i="2" s="1"/>
  <c r="EK849" i="2" s="1"/>
  <c r="EA816" i="2"/>
  <c r="EC816" i="2" s="1"/>
  <c r="DZ922" i="2"/>
  <c r="EB922" i="2" s="1"/>
  <c r="EE922" i="2" s="1"/>
  <c r="EI922" i="2" s="1"/>
  <c r="EJ922" i="2" s="1"/>
  <c r="EK922" i="2" s="1"/>
  <c r="EA896" i="2"/>
  <c r="EC896" i="2" s="1"/>
  <c r="EA897" i="2"/>
  <c r="EC897" i="2" s="1"/>
  <c r="EA846" i="2"/>
  <c r="EC846" i="2" s="1"/>
  <c r="DZ936" i="2"/>
  <c r="EB936" i="2" s="1"/>
  <c r="EE936" i="2" s="1"/>
  <c r="EI936" i="2" s="1"/>
  <c r="EJ936" i="2" s="1"/>
  <c r="EK936" i="2" s="1"/>
  <c r="DV767" i="2"/>
  <c r="DZ896" i="2"/>
  <c r="EB896" i="2" s="1"/>
  <c r="EE896" i="2" s="1"/>
  <c r="EA898" i="2"/>
  <c r="EC898" i="2" s="1"/>
  <c r="DV645" i="2"/>
  <c r="EA924" i="2"/>
  <c r="EC924" i="2" s="1"/>
  <c r="DZ817" i="2"/>
  <c r="EB817" i="2" s="1"/>
  <c r="EE817" i="2" s="1"/>
  <c r="EI817" i="2" s="1"/>
  <c r="EJ817" i="2" s="1"/>
  <c r="EK817" i="2" s="1"/>
  <c r="DZ924" i="2"/>
  <c r="EB924" i="2" s="1"/>
  <c r="EE924" i="2" s="1"/>
  <c r="EI924" i="2" s="1"/>
  <c r="EJ924" i="2" s="1"/>
  <c r="EK924" i="2" s="1"/>
  <c r="EA900" i="2"/>
  <c r="EC900" i="2" s="1"/>
  <c r="DV769" i="2"/>
  <c r="EA815" i="2"/>
  <c r="EC815" i="2" s="1"/>
  <c r="DV647" i="2"/>
  <c r="DZ816" i="2"/>
  <c r="EB816" i="2" s="1"/>
  <c r="EE816" i="2" s="1"/>
  <c r="EI816" i="2" s="1"/>
  <c r="EJ816" i="2" s="1"/>
  <c r="EK816" i="2" s="1"/>
  <c r="DV648" i="2"/>
  <c r="DZ814" i="2"/>
  <c r="EB814" i="2" s="1"/>
  <c r="EE814" i="2" s="1"/>
  <c r="EI814" i="2" s="1"/>
  <c r="EJ814" i="2" s="1"/>
  <c r="EK814" i="2" s="1"/>
  <c r="EA847" i="2"/>
  <c r="EC847" i="2" s="1"/>
  <c r="EX289" i="2"/>
  <c r="ER310" i="2" s="1"/>
  <c r="ES343" i="2"/>
  <c r="ET343" i="2" s="1"/>
  <c r="ES344" i="2"/>
  <c r="ET344" i="2" s="1"/>
  <c r="ES348" i="2"/>
  <c r="ET348" i="2" s="1"/>
  <c r="ES351" i="2"/>
  <c r="ET351" i="2" s="1"/>
  <c r="ES352" i="2"/>
  <c r="ET352" i="2" s="1"/>
  <c r="ES346" i="2"/>
  <c r="ET346" i="2" s="1"/>
  <c r="ER344" i="2"/>
  <c r="EV342" i="2" s="1"/>
  <c r="ES347" i="2"/>
  <c r="ET347" i="2" s="1"/>
  <c r="EV457" i="2"/>
  <c r="EW457" i="2" s="1"/>
  <c r="EY304" i="2"/>
  <c r="EY305" i="2" s="1"/>
  <c r="EY306" i="2" s="1"/>
  <c r="ER302" i="2"/>
  <c r="ER301" i="2"/>
  <c r="EY300" i="2"/>
  <c r="EY301" i="2" s="1"/>
  <c r="EY302" i="2" s="1"/>
  <c r="EU156" i="2"/>
  <c r="ER168" i="2" s="1"/>
  <c r="EU157" i="2"/>
  <c r="ER169" i="2" s="1"/>
  <c r="EU154" i="2"/>
  <c r="EU158" i="2"/>
  <c r="ER170" i="2" s="1"/>
  <c r="EU155" i="2"/>
  <c r="ER167" i="2" s="1"/>
  <c r="ER606" i="2"/>
  <c r="ES606" i="2" s="1"/>
  <c r="ES602" i="2"/>
  <c r="ER345" i="2"/>
  <c r="EY342" i="2" s="1"/>
  <c r="AV113" i="2"/>
  <c r="AZ113" i="2"/>
  <c r="AZ111" i="2"/>
  <c r="AV111" i="2"/>
  <c r="AZ112" i="2"/>
  <c r="AV112" i="2"/>
  <c r="AV107" i="2"/>
  <c r="AZ107" i="2"/>
  <c r="EM760" i="2"/>
  <c r="EM757" i="2"/>
  <c r="ER757" i="2" s="1"/>
  <c r="EV755" i="2" s="1"/>
  <c r="EU458" i="2"/>
  <c r="ER470" i="2" s="1"/>
  <c r="EU456" i="2"/>
  <c r="ER468" i="2" s="1"/>
  <c r="EU455" i="2"/>
  <c r="EU457" i="2"/>
  <c r="ER469" i="2" s="1"/>
  <c r="EU459" i="2"/>
  <c r="ER471" i="2" s="1"/>
  <c r="EE361" i="2"/>
  <c r="ER597" i="2"/>
  <c r="EY596" i="2"/>
  <c r="EE360" i="2"/>
  <c r="EI360" i="2" s="1"/>
  <c r="EJ360" i="2" s="1"/>
  <c r="EK360" i="2" s="1"/>
  <c r="ER44" i="2"/>
  <c r="EY41" i="2" s="1"/>
  <c r="ER43" i="2"/>
  <c r="EV41" i="2" s="1"/>
  <c r="ER42" i="2"/>
  <c r="ES41" i="2" s="1"/>
  <c r="ED764" i="2"/>
  <c r="EY457" i="2"/>
  <c r="EZ457" i="2" s="1"/>
  <c r="EY295" i="2"/>
  <c r="ER296" i="2"/>
  <c r="EY310" i="2"/>
  <c r="ES309" i="2"/>
  <c r="FA155" i="2"/>
  <c r="ER205" i="2" s="1"/>
  <c r="AV109" i="2"/>
  <c r="AZ109" i="2"/>
  <c r="AV108" i="2"/>
  <c r="AZ108" i="2"/>
  <c r="AZ114" i="2"/>
  <c r="AV114" i="2"/>
  <c r="AZ110" i="2"/>
  <c r="AV110" i="2"/>
  <c r="AZ115" i="2"/>
  <c r="AV115" i="2"/>
  <c r="ER607" i="2"/>
  <c r="ES607" i="2" s="1"/>
  <c r="ES603" i="2"/>
  <c r="AT64" i="7950"/>
  <c r="AU64" i="7950" s="1"/>
  <c r="AQ64" i="7950"/>
  <c r="G64" i="7950"/>
  <c r="AR64" i="7950"/>
  <c r="E64" i="7950"/>
  <c r="I64" i="7950"/>
  <c r="ER201" i="2"/>
  <c r="ES201" i="2" s="1"/>
  <c r="EW201" i="2" s="1"/>
  <c r="EY204" i="2"/>
  <c r="ES204" i="2" s="1"/>
  <c r="BQ72" i="2"/>
  <c r="BA72" i="2" s="1"/>
  <c r="BQ73" i="2"/>
  <c r="BA73" i="2" s="1"/>
  <c r="ES200" i="2"/>
  <c r="EY198" i="2"/>
  <c r="ES198" i="2" s="1"/>
  <c r="ES197" i="2"/>
  <c r="AP49" i="7950"/>
  <c r="AR49" i="7950" s="1"/>
  <c r="ET607" i="2" l="1"/>
  <c r="EX607" i="2"/>
  <c r="EW607" i="2"/>
  <c r="EW309" i="2"/>
  <c r="EX309" i="2"/>
  <c r="ET309" i="2"/>
  <c r="ER300" i="2"/>
  <c r="EY296" i="2"/>
  <c r="EY297" i="2" s="1"/>
  <c r="ES296" i="2"/>
  <c r="FA456" i="2"/>
  <c r="ER506" i="2" s="1"/>
  <c r="FA455" i="2"/>
  <c r="ER505" i="2" s="1"/>
  <c r="ES45" i="2"/>
  <c r="ET45" i="2" s="1"/>
  <c r="ES43" i="2"/>
  <c r="ET43" i="2" s="1"/>
  <c r="ES47" i="2"/>
  <c r="ET47" i="2" s="1"/>
  <c r="ES49" i="2"/>
  <c r="ET49" i="2" s="1"/>
  <c r="ES46" i="2"/>
  <c r="ET46" i="2" s="1"/>
  <c r="ES48" i="2"/>
  <c r="ET48" i="2" s="1"/>
  <c r="ES44" i="2"/>
  <c r="ET44" i="2" s="1"/>
  <c r="ES42" i="2"/>
  <c r="ET42" i="2" s="1"/>
  <c r="ES51" i="2"/>
  <c r="ET51" i="2" s="1"/>
  <c r="ES50" i="2"/>
  <c r="ET50" i="2" s="1"/>
  <c r="EY51" i="2"/>
  <c r="EZ51" i="2" s="1"/>
  <c r="EY45" i="2"/>
  <c r="EZ45" i="2" s="1"/>
  <c r="EY48" i="2"/>
  <c r="EZ48" i="2" s="1"/>
  <c r="EY46" i="2"/>
  <c r="EZ46" i="2" s="1"/>
  <c r="EY43" i="2"/>
  <c r="EZ43" i="2" s="1"/>
  <c r="EY47" i="2"/>
  <c r="EZ47" i="2" s="1"/>
  <c r="EY49" i="2"/>
  <c r="EZ49" i="2" s="1"/>
  <c r="EY50" i="2"/>
  <c r="EZ50" i="2" s="1"/>
  <c r="EY44" i="2"/>
  <c r="EZ44" i="2" s="1"/>
  <c r="EY42" i="2"/>
  <c r="EZ42" i="2" s="1"/>
  <c r="EI361" i="2"/>
  <c r="ES350" i="2"/>
  <c r="ET350" i="2" s="1"/>
  <c r="EY479" i="2"/>
  <c r="EY480" i="2" s="1"/>
  <c r="EY481" i="2" s="1"/>
  <c r="EY482" i="2" s="1"/>
  <c r="EY483" i="2" s="1"/>
  <c r="ER475" i="2"/>
  <c r="ER481" i="2" s="1"/>
  <c r="ER474" i="2"/>
  <c r="ER480" i="2" s="1"/>
  <c r="EY473" i="2"/>
  <c r="EY474" i="2" s="1"/>
  <c r="EY346" i="2"/>
  <c r="EZ346" i="2" s="1"/>
  <c r="EY345" i="2"/>
  <c r="EZ345" i="2" s="1"/>
  <c r="EY347" i="2"/>
  <c r="EZ347" i="2" s="1"/>
  <c r="EY349" i="2"/>
  <c r="EZ349" i="2" s="1"/>
  <c r="EY351" i="2"/>
  <c r="EZ351" i="2" s="1"/>
  <c r="EY343" i="2"/>
  <c r="EZ343" i="2" s="1"/>
  <c r="EY344" i="2"/>
  <c r="EZ344" i="2" s="1"/>
  <c r="EY348" i="2"/>
  <c r="EZ348" i="2" s="1"/>
  <c r="EY350" i="2"/>
  <c r="EZ350" i="2" s="1"/>
  <c r="EY352" i="2"/>
  <c r="EZ352" i="2" s="1"/>
  <c r="EX606" i="2"/>
  <c r="ET606" i="2"/>
  <c r="EW606" i="2"/>
  <c r="EY190" i="2"/>
  <c r="EY191" i="2" s="1"/>
  <c r="EY192" i="2" s="1"/>
  <c r="EY193" i="2" s="1"/>
  <c r="EY194" i="2" s="1"/>
  <c r="ER176" i="2"/>
  <c r="ER175" i="2"/>
  <c r="EY184" i="2"/>
  <c r="EY185" i="2" s="1"/>
  <c r="EY186" i="2" s="1"/>
  <c r="EY187" i="2" s="1"/>
  <c r="EY188" i="2" s="1"/>
  <c r="ES302" i="2"/>
  <c r="ER306" i="2"/>
  <c r="ES306" i="2" s="1"/>
  <c r="EX590" i="2"/>
  <c r="ER611" i="2" s="1"/>
  <c r="EX455" i="2"/>
  <c r="ER498" i="2" s="1"/>
  <c r="EX456" i="2"/>
  <c r="ER499" i="2" s="1"/>
  <c r="EV343" i="2"/>
  <c r="EW343" i="2" s="1"/>
  <c r="EV344" i="2"/>
  <c r="EW344" i="2" s="1"/>
  <c r="EV351" i="2"/>
  <c r="EW351" i="2" s="1"/>
  <c r="EV352" i="2"/>
  <c r="EW352" i="2" s="1"/>
  <c r="EV348" i="2"/>
  <c r="EW348" i="2" s="1"/>
  <c r="EV346" i="2"/>
  <c r="EW346" i="2" s="1"/>
  <c r="EV347" i="2"/>
  <c r="EW347" i="2" s="1"/>
  <c r="EV349" i="2"/>
  <c r="EW349" i="2" s="1"/>
  <c r="EV345" i="2"/>
  <c r="EW345" i="2" s="1"/>
  <c r="EV350" i="2"/>
  <c r="EW350" i="2" s="1"/>
  <c r="ES349" i="2"/>
  <c r="ET349" i="2" s="1"/>
  <c r="ER313" i="2"/>
  <c r="EY312" i="2"/>
  <c r="ES310" i="2"/>
  <c r="DW645" i="2"/>
  <c r="DX645" i="2"/>
  <c r="DV656" i="2"/>
  <c r="ES890" i="2"/>
  <c r="ET890" i="2" s="1"/>
  <c r="EV890" i="2"/>
  <c r="EW890" i="2" s="1"/>
  <c r="EI896" i="2"/>
  <c r="EJ896" i="2" s="1"/>
  <c r="EK896" i="2" s="1"/>
  <c r="EB898" i="2"/>
  <c r="EE898" i="2" s="1"/>
  <c r="DX652" i="2"/>
  <c r="DV663" i="2"/>
  <c r="DW652" i="2"/>
  <c r="DX649" i="2"/>
  <c r="DW649" i="2"/>
  <c r="DV660" i="2"/>
  <c r="DV657" i="2"/>
  <c r="DW646" i="2"/>
  <c r="DX646" i="2"/>
  <c r="EA768" i="2"/>
  <c r="EC768" i="2" s="1"/>
  <c r="DZ768" i="2"/>
  <c r="EB768" i="2" s="1"/>
  <c r="DX768" i="2"/>
  <c r="DY768" i="2"/>
  <c r="EA765" i="2"/>
  <c r="EC765" i="2" s="1"/>
  <c r="DZ765" i="2"/>
  <c r="EB765" i="2" s="1"/>
  <c r="DX765" i="2"/>
  <c r="DY765" i="2"/>
  <c r="EB870" i="2"/>
  <c r="EE870" i="2" s="1"/>
  <c r="EI870" i="2" s="1"/>
  <c r="EJ870" i="2" s="1"/>
  <c r="EK870" i="2" s="1"/>
  <c r="EB897" i="2"/>
  <c r="EE897" i="2" s="1"/>
  <c r="DX651" i="2"/>
  <c r="DW651" i="2"/>
  <c r="DV662" i="2"/>
  <c r="DY770" i="2"/>
  <c r="EA770" i="2"/>
  <c r="EC770" i="2" s="1"/>
  <c r="DX770" i="2"/>
  <c r="ED770" i="2" s="1"/>
  <c r="DZ770" i="2"/>
  <c r="EB770" i="2" s="1"/>
  <c r="EB937" i="2"/>
  <c r="EE937" i="2" s="1"/>
  <c r="EI937" i="2" s="1"/>
  <c r="EJ937" i="2" s="1"/>
  <c r="EK937" i="2" s="1"/>
  <c r="EB818" i="2"/>
  <c r="EE818" i="2" s="1"/>
  <c r="EI818" i="2" s="1"/>
  <c r="EJ818" i="2" s="1"/>
  <c r="EK818" i="2" s="1"/>
  <c r="EB900" i="2"/>
  <c r="EE900" i="2" s="1"/>
  <c r="ER758" i="2"/>
  <c r="EY755" i="2" s="1"/>
  <c r="ER756" i="2"/>
  <c r="ES755" i="2" s="1"/>
  <c r="EW603" i="2"/>
  <c r="EX603" i="2"/>
  <c r="ET603" i="2"/>
  <c r="EY207" i="2"/>
  <c r="ER208" i="2"/>
  <c r="EV48" i="2"/>
  <c r="EW48" i="2" s="1"/>
  <c r="EV42" i="2"/>
  <c r="EW42" i="2" s="1"/>
  <c r="EV50" i="2"/>
  <c r="EW50" i="2" s="1"/>
  <c r="EV51" i="2"/>
  <c r="EW51" i="2" s="1"/>
  <c r="EV44" i="2"/>
  <c r="EW44" i="2" s="1"/>
  <c r="EV49" i="2"/>
  <c r="EW49" i="2" s="1"/>
  <c r="EV47" i="2"/>
  <c r="EW47" i="2" s="1"/>
  <c r="EV46" i="2"/>
  <c r="EW46" i="2" s="1"/>
  <c r="EV43" i="2"/>
  <c r="EW43" i="2" s="1"/>
  <c r="EV45" i="2"/>
  <c r="EW45" i="2" s="1"/>
  <c r="ER601" i="2"/>
  <c r="EY597" i="2"/>
  <c r="EY598" i="2" s="1"/>
  <c r="ER477" i="2"/>
  <c r="ER483" i="2" s="1"/>
  <c r="EY491" i="2"/>
  <c r="EY492" i="2" s="1"/>
  <c r="EY493" i="2" s="1"/>
  <c r="EY494" i="2" s="1"/>
  <c r="EY495" i="2" s="1"/>
  <c r="ER467" i="2"/>
  <c r="EY466" i="2"/>
  <c r="EY485" i="2"/>
  <c r="EY486" i="2" s="1"/>
  <c r="EY487" i="2" s="1"/>
  <c r="EY488" i="2" s="1"/>
  <c r="EY489" i="2" s="1"/>
  <c r="ER476" i="2"/>
  <c r="ER482" i="2" s="1"/>
  <c r="EW602" i="2"/>
  <c r="ET602" i="2"/>
  <c r="EX602" i="2"/>
  <c r="EY172" i="2"/>
  <c r="EY173" i="2" s="1"/>
  <c r="EY174" i="2" s="1"/>
  <c r="EY175" i="2" s="1"/>
  <c r="EY176" i="2" s="1"/>
  <c r="ER173" i="2"/>
  <c r="ER166" i="2"/>
  <c r="EY165" i="2"/>
  <c r="ER174" i="2"/>
  <c r="EY178" i="2"/>
  <c r="EY179" i="2" s="1"/>
  <c r="EY180" i="2" s="1"/>
  <c r="EY181" i="2" s="1"/>
  <c r="EY182" i="2" s="1"/>
  <c r="ER305" i="2"/>
  <c r="ES305" i="2" s="1"/>
  <c r="ES301" i="2"/>
  <c r="DV659" i="2"/>
  <c r="DW648" i="2"/>
  <c r="DX648" i="2"/>
  <c r="DV658" i="2"/>
  <c r="DX647" i="2"/>
  <c r="DW647" i="2"/>
  <c r="EA769" i="2"/>
  <c r="EC769" i="2" s="1"/>
  <c r="DY769" i="2"/>
  <c r="DZ769" i="2"/>
  <c r="EB769" i="2" s="1"/>
  <c r="DX769" i="2"/>
  <c r="ED769" i="2" s="1"/>
  <c r="EE769" i="2" s="1"/>
  <c r="DZ767" i="2"/>
  <c r="EA767" i="2"/>
  <c r="EC767" i="2" s="1"/>
  <c r="DY767" i="2"/>
  <c r="DX767" i="2"/>
  <c r="ED767" i="2" s="1"/>
  <c r="DZ766" i="2"/>
  <c r="EA766" i="2"/>
  <c r="EC766" i="2" s="1"/>
  <c r="DY766" i="2"/>
  <c r="DX766" i="2"/>
  <c r="ED766" i="2" s="1"/>
  <c r="EB815" i="2"/>
  <c r="EE815" i="2" s="1"/>
  <c r="EI815" i="2" s="1"/>
  <c r="EJ815" i="2" s="1"/>
  <c r="EK815" i="2" s="1"/>
  <c r="DX650" i="2"/>
  <c r="DW650" i="2"/>
  <c r="DV661" i="2"/>
  <c r="EB847" i="2"/>
  <c r="EE847" i="2" s="1"/>
  <c r="EI847" i="2" s="1"/>
  <c r="EJ847" i="2" s="1"/>
  <c r="EK847" i="2" s="1"/>
  <c r="EB923" i="2"/>
  <c r="EE923" i="2" s="1"/>
  <c r="EI923" i="2" s="1"/>
  <c r="EJ923" i="2" s="1"/>
  <c r="EK923" i="2" s="1"/>
  <c r="EB764" i="2"/>
  <c r="EE764" i="2" s="1"/>
  <c r="EI764" i="2" s="1"/>
  <c r="EV893" i="2"/>
  <c r="EW893" i="2" s="1"/>
  <c r="EI899" i="2"/>
  <c r="EJ899" i="2" s="1"/>
  <c r="EK899" i="2" s="1"/>
  <c r="ES893" i="2"/>
  <c r="ET893" i="2" s="1"/>
  <c r="DV655" i="2"/>
  <c r="DW644" i="2"/>
  <c r="DX644" i="2"/>
  <c r="BQ153" i="2"/>
  <c r="BA153" i="2" s="1"/>
  <c r="BQ195" i="2"/>
  <c r="BQ149" i="2"/>
  <c r="BA149" i="2" s="1"/>
  <c r="BQ190" i="2"/>
  <c r="BQ186" i="2"/>
  <c r="BQ191" i="2"/>
  <c r="BQ192" i="2"/>
  <c r="BQ158" i="2"/>
  <c r="BA158" i="2" s="1"/>
  <c r="BQ154" i="2"/>
  <c r="BA154" i="2" s="1"/>
  <c r="BQ193" i="2"/>
  <c r="BQ194" i="2"/>
  <c r="BQ160" i="2"/>
  <c r="BA160" i="2" s="1"/>
  <c r="BQ162" i="2"/>
  <c r="BA162" i="2" s="1"/>
  <c r="BQ169" i="2"/>
  <c r="BA169" i="2" s="1"/>
  <c r="BQ159" i="2"/>
  <c r="BA159" i="2" s="1"/>
  <c r="DW653" i="2"/>
  <c r="DX653" i="2"/>
  <c r="DV664" i="2"/>
  <c r="EB848" i="2"/>
  <c r="EE848" i="2" s="1"/>
  <c r="EI848" i="2" s="1"/>
  <c r="EJ848" i="2" s="1"/>
  <c r="EK848" i="2" s="1"/>
  <c r="EB846" i="2"/>
  <c r="EE846" i="2" s="1"/>
  <c r="EI846" i="2" s="1"/>
  <c r="EJ846" i="2" s="1"/>
  <c r="EK846" i="2" s="1"/>
  <c r="EW610" i="2"/>
  <c r="EX610" i="2"/>
  <c r="ET610" i="2"/>
  <c r="K64" i="7950"/>
  <c r="AV64" i="7950"/>
  <c r="EY475" i="2"/>
  <c r="ES474" i="2"/>
  <c r="EY205" i="2"/>
  <c r="ES205" i="2" s="1"/>
  <c r="EW205" i="2" s="1"/>
  <c r="EX201" i="2"/>
  <c r="AY85" i="2"/>
  <c r="AV85" i="2" s="1"/>
  <c r="AY87" i="2"/>
  <c r="AZ87" i="2" s="1"/>
  <c r="AY69" i="2"/>
  <c r="AV69" i="2" s="1"/>
  <c r="AY84" i="2"/>
  <c r="AY89" i="2"/>
  <c r="AV89" i="2" s="1"/>
  <c r="AY78" i="2"/>
  <c r="AV78" i="2" s="1"/>
  <c r="AY73" i="2"/>
  <c r="AV73" i="2" s="1"/>
  <c r="AY91" i="2"/>
  <c r="AY77" i="2"/>
  <c r="AV77" i="2" s="1"/>
  <c r="AY74" i="2"/>
  <c r="AY80" i="2"/>
  <c r="AY86" i="2"/>
  <c r="AY83" i="2"/>
  <c r="AY82" i="2"/>
  <c r="AY71" i="2"/>
  <c r="AY81" i="2"/>
  <c r="AY79" i="2"/>
  <c r="AY88" i="2"/>
  <c r="AY72" i="2"/>
  <c r="AY90" i="2"/>
  <c r="AY75" i="2"/>
  <c r="AY68" i="2"/>
  <c r="AY76" i="2"/>
  <c r="AY70" i="2"/>
  <c r="ET201" i="2"/>
  <c r="EX200" i="2"/>
  <c r="EW200" i="2"/>
  <c r="ET200" i="2"/>
  <c r="EW204" i="2"/>
  <c r="ET204" i="2"/>
  <c r="EX204" i="2"/>
  <c r="EW198" i="2"/>
  <c r="EX198" i="2"/>
  <c r="ET198" i="2"/>
  <c r="ET205" i="2"/>
  <c r="EX205" i="2"/>
  <c r="EI769" i="2"/>
  <c r="EJ769" i="2" s="1"/>
  <c r="EK769" i="2" s="1"/>
  <c r="ES761" i="2"/>
  <c r="ET761" i="2" s="1"/>
  <c r="EY761" i="2"/>
  <c r="EZ761" i="2" s="1"/>
  <c r="EV761" i="2"/>
  <c r="EW761" i="2" s="1"/>
  <c r="ET197" i="2"/>
  <c r="EW197" i="2"/>
  <c r="EX197" i="2"/>
  <c r="AT49" i="7950"/>
  <c r="AU49" i="7950" s="1"/>
  <c r="K49" i="7950" s="1"/>
  <c r="AQ49" i="7950"/>
  <c r="E49" i="7950"/>
  <c r="G49" i="7950"/>
  <c r="I49" i="7950"/>
  <c r="BE72" i="7951"/>
  <c r="AD60" i="7950"/>
  <c r="FK96" i="2"/>
  <c r="FK104" i="2"/>
  <c r="BE58" i="7951"/>
  <c r="BE62" i="7951"/>
  <c r="FK105" i="2"/>
  <c r="FK100" i="2"/>
  <c r="BE73" i="7951"/>
  <c r="EO646" i="2" l="1"/>
  <c r="EO650" i="2"/>
  <c r="EO647" i="2"/>
  <c r="EM647" i="2" s="1"/>
  <c r="EO644" i="2"/>
  <c r="EM644" i="2" s="1"/>
  <c r="EO649" i="2"/>
  <c r="EO645" i="2"/>
  <c r="EO651" i="2"/>
  <c r="EM651" i="2" s="1"/>
  <c r="EO652" i="2"/>
  <c r="EM652" i="2" s="1"/>
  <c r="EO648" i="2"/>
  <c r="EM648" i="2" s="1"/>
  <c r="DY661" i="2"/>
  <c r="EA661" i="2"/>
  <c r="EC661" i="2" s="1"/>
  <c r="DX661" i="2"/>
  <c r="ED661" i="2" s="1"/>
  <c r="DZ661" i="2"/>
  <c r="EB661" i="2" s="1"/>
  <c r="DX664" i="2"/>
  <c r="EA664" i="2"/>
  <c r="EC664" i="2" s="1"/>
  <c r="DY664" i="2"/>
  <c r="DZ664" i="2"/>
  <c r="EB664" i="2" s="1"/>
  <c r="BQ166" i="2"/>
  <c r="BA166" i="2" s="1"/>
  <c r="BQ147" i="2"/>
  <c r="BA147" i="2" s="1"/>
  <c r="BQ163" i="2"/>
  <c r="BA163" i="2" s="1"/>
  <c r="BQ156" i="2"/>
  <c r="BA156" i="2" s="1"/>
  <c r="BQ189" i="2"/>
  <c r="BQ188" i="2"/>
  <c r="BQ157" i="2"/>
  <c r="BA157" i="2" s="1"/>
  <c r="BQ165" i="2"/>
  <c r="BA165" i="2" s="1"/>
  <c r="BQ148" i="2"/>
  <c r="BA148" i="2" s="1"/>
  <c r="BQ164" i="2"/>
  <c r="BA164" i="2" s="1"/>
  <c r="BQ187" i="2"/>
  <c r="BQ168" i="2"/>
  <c r="BA168" i="2" s="1"/>
  <c r="BQ161" i="2"/>
  <c r="BA161" i="2" s="1"/>
  <c r="BQ167" i="2"/>
  <c r="BA167" i="2" s="1"/>
  <c r="DZ655" i="2"/>
  <c r="DY655" i="2"/>
  <c r="DX655" i="2"/>
  <c r="ED655" i="2" s="1"/>
  <c r="EA655" i="2"/>
  <c r="EC655" i="2" s="1"/>
  <c r="EB766" i="2"/>
  <c r="EE766" i="2" s="1"/>
  <c r="EB767" i="2"/>
  <c r="EE767" i="2" s="1"/>
  <c r="EV759" i="2" s="1"/>
  <c r="EW759" i="2" s="1"/>
  <c r="EA659" i="2"/>
  <c r="EC659" i="2" s="1"/>
  <c r="DY659" i="2"/>
  <c r="DX659" i="2"/>
  <c r="ED659" i="2" s="1"/>
  <c r="DZ659" i="2"/>
  <c r="EB659" i="2" s="1"/>
  <c r="EX305" i="2"/>
  <c r="ET305" i="2"/>
  <c r="EW305" i="2"/>
  <c r="ES174" i="2"/>
  <c r="ER180" i="2"/>
  <c r="ER172" i="2"/>
  <c r="EY166" i="2"/>
  <c r="ER488" i="2"/>
  <c r="ES482" i="2"/>
  <c r="ES597" i="2"/>
  <c r="ER605" i="2"/>
  <c r="ES605" i="2" s="1"/>
  <c r="ES601" i="2"/>
  <c r="EY208" i="2"/>
  <c r="ES207" i="2"/>
  <c r="ES756" i="2"/>
  <c r="ET756" i="2" s="1"/>
  <c r="ES894" i="2"/>
  <c r="ET894" i="2" s="1"/>
  <c r="EI900" i="2"/>
  <c r="EJ900" i="2" s="1"/>
  <c r="EK900" i="2" s="1"/>
  <c r="EV894" i="2"/>
  <c r="EW894" i="2" s="1"/>
  <c r="EE770" i="2"/>
  <c r="EI897" i="2"/>
  <c r="EJ897" i="2" s="1"/>
  <c r="EK897" i="2" s="1"/>
  <c r="ES891" i="2"/>
  <c r="ET891" i="2" s="1"/>
  <c r="EV891" i="2"/>
  <c r="EW891" i="2" s="1"/>
  <c r="DZ657" i="2"/>
  <c r="EA657" i="2"/>
  <c r="EC657" i="2" s="1"/>
  <c r="DX657" i="2"/>
  <c r="DY657" i="2"/>
  <c r="EW310" i="2"/>
  <c r="ET310" i="2"/>
  <c r="EX310" i="2"/>
  <c r="ER502" i="2"/>
  <c r="EY501" i="2"/>
  <c r="EY502" i="2" s="1"/>
  <c r="ES611" i="2"/>
  <c r="ER614" i="2"/>
  <c r="EY613" i="2"/>
  <c r="EW302" i="2"/>
  <c r="EX302" i="2"/>
  <c r="ET302" i="2"/>
  <c r="ER181" i="2"/>
  <c r="ES175" i="2"/>
  <c r="FA343" i="2"/>
  <c r="ER393" i="2" s="1"/>
  <c r="FA344" i="2"/>
  <c r="ER394" i="2" s="1"/>
  <c r="ES481" i="2"/>
  <c r="ER487" i="2"/>
  <c r="EU347" i="2"/>
  <c r="ER359" i="2" s="1"/>
  <c r="FA43" i="2"/>
  <c r="ER93" i="2" s="1"/>
  <c r="FA42" i="2"/>
  <c r="ER92" i="2" s="1"/>
  <c r="EU44" i="2"/>
  <c r="ER56" i="2" s="1"/>
  <c r="EU43" i="2"/>
  <c r="ER55" i="2" s="1"/>
  <c r="EU45" i="2"/>
  <c r="ER57" i="2" s="1"/>
  <c r="EU46" i="2"/>
  <c r="ER58" i="2" s="1"/>
  <c r="EU42" i="2"/>
  <c r="ER508" i="2"/>
  <c r="EY505" i="2"/>
  <c r="EY506" i="2" s="1"/>
  <c r="ES506" i="2" s="1"/>
  <c r="ET296" i="2"/>
  <c r="EW296" i="2"/>
  <c r="EX296" i="2"/>
  <c r="ER304" i="2"/>
  <c r="ES304" i="2" s="1"/>
  <c r="ES300" i="2"/>
  <c r="DZ658" i="2"/>
  <c r="DY658" i="2"/>
  <c r="DX658" i="2"/>
  <c r="ED658" i="2" s="1"/>
  <c r="EA658" i="2"/>
  <c r="EC658" i="2" s="1"/>
  <c r="ET301" i="2"/>
  <c r="EX301" i="2"/>
  <c r="EW301" i="2"/>
  <c r="ER179" i="2"/>
  <c r="ES173" i="2"/>
  <c r="EY467" i="2"/>
  <c r="EY468" i="2" s="1"/>
  <c r="ER473" i="2"/>
  <c r="ES467" i="2"/>
  <c r="ER489" i="2"/>
  <c r="ES483" i="2"/>
  <c r="EY599" i="2"/>
  <c r="ES599" i="2" s="1"/>
  <c r="ES598" i="2"/>
  <c r="EX42" i="2"/>
  <c r="ER85" i="2" s="1"/>
  <c r="EX43" i="2"/>
  <c r="ER86" i="2" s="1"/>
  <c r="ES208" i="2"/>
  <c r="EY756" i="2"/>
  <c r="EZ756" i="2" s="1"/>
  <c r="EA662" i="2"/>
  <c r="EC662" i="2" s="1"/>
  <c r="DZ662" i="2"/>
  <c r="EB662" i="2" s="1"/>
  <c r="DX662" i="2"/>
  <c r="DY662" i="2"/>
  <c r="ED765" i="2"/>
  <c r="EE765" i="2" s="1"/>
  <c r="ED768" i="2"/>
  <c r="EE768" i="2" s="1"/>
  <c r="EO653" i="2"/>
  <c r="EM653" i="2" s="1"/>
  <c r="DX660" i="2"/>
  <c r="EA660" i="2"/>
  <c r="EC660" i="2" s="1"/>
  <c r="DZ660" i="2"/>
  <c r="EB660" i="2" s="1"/>
  <c r="DY660" i="2"/>
  <c r="DZ663" i="2"/>
  <c r="EB663" i="2" s="1"/>
  <c r="EA663" i="2"/>
  <c r="EC663" i="2" s="1"/>
  <c r="DY663" i="2"/>
  <c r="DX663" i="2"/>
  <c r="EI898" i="2"/>
  <c r="EJ898" i="2" s="1"/>
  <c r="EK898" i="2" s="1"/>
  <c r="ES892" i="2"/>
  <c r="ET892" i="2" s="1"/>
  <c r="EU892" i="2" s="1"/>
  <c r="ER900" i="2" s="1"/>
  <c r="EV892" i="2"/>
  <c r="EW892" i="2" s="1"/>
  <c r="DZ656" i="2"/>
  <c r="DY656" i="2"/>
  <c r="DX656" i="2"/>
  <c r="ED656" i="2" s="1"/>
  <c r="EA656" i="2"/>
  <c r="EC656" i="2" s="1"/>
  <c r="ES312" i="2"/>
  <c r="EY313" i="2"/>
  <c r="ES313" i="2" s="1"/>
  <c r="EU344" i="2"/>
  <c r="ER356" i="2" s="1"/>
  <c r="EU343" i="2"/>
  <c r="EU346" i="2"/>
  <c r="ER358" i="2" s="1"/>
  <c r="EU345" i="2"/>
  <c r="ER357" i="2" s="1"/>
  <c r="EX343" i="2"/>
  <c r="ER386" i="2" s="1"/>
  <c r="EX344" i="2"/>
  <c r="ER387" i="2" s="1"/>
  <c r="EY498" i="2"/>
  <c r="ER501" i="2"/>
  <c r="ES501" i="2" s="1"/>
  <c r="EW306" i="2"/>
  <c r="EX306" i="2"/>
  <c r="ET306" i="2"/>
  <c r="ES176" i="2"/>
  <c r="ER182" i="2"/>
  <c r="ER486" i="2"/>
  <c r="ES480" i="2"/>
  <c r="EJ361" i="2"/>
  <c r="EK361" i="2" s="1"/>
  <c r="EJ354" i="2"/>
  <c r="EK354" i="2" s="1"/>
  <c r="BQ51" i="2" s="1"/>
  <c r="BA51" i="2" s="1"/>
  <c r="EJ355" i="2"/>
  <c r="EK355" i="2" s="1"/>
  <c r="BQ42" i="2" s="1"/>
  <c r="BA42" i="2" s="1"/>
  <c r="EY508" i="2"/>
  <c r="EY509" i="2" s="1"/>
  <c r="ER509" i="2"/>
  <c r="ES509" i="2" s="1"/>
  <c r="EY298" i="2"/>
  <c r="ES298" i="2" s="1"/>
  <c r="ES297" i="2"/>
  <c r="EV756" i="2"/>
  <c r="EW756" i="2" s="1"/>
  <c r="AV87" i="2"/>
  <c r="ES759" i="2"/>
  <c r="ET759" i="2" s="1"/>
  <c r="ET501" i="2"/>
  <c r="EX501" i="2"/>
  <c r="EW501" i="2"/>
  <c r="EX509" i="2"/>
  <c r="ET509" i="2"/>
  <c r="EW509" i="2"/>
  <c r="AW64" i="7950"/>
  <c r="AZ64" i="7950"/>
  <c r="M64" i="7950"/>
  <c r="AX64" i="7950"/>
  <c r="AY64" i="7950"/>
  <c r="EY476" i="2"/>
  <c r="ES475" i="2"/>
  <c r="ET474" i="2"/>
  <c r="EW474" i="2"/>
  <c r="EX474" i="2"/>
  <c r="AZ85" i="2"/>
  <c r="EY759" i="2"/>
  <c r="EZ759" i="2" s="1"/>
  <c r="EI767" i="2"/>
  <c r="EJ767" i="2" s="1"/>
  <c r="EK767" i="2" s="1"/>
  <c r="FK128" i="2"/>
  <c r="FG128" i="2" s="1"/>
  <c r="M63" i="7951"/>
  <c r="AC63" i="7951" s="1"/>
  <c r="M117" i="7951"/>
  <c r="AC117" i="7951" s="1"/>
  <c r="AL117" i="7951" s="1"/>
  <c r="M135" i="7951"/>
  <c r="AC135" i="7951" s="1"/>
  <c r="AK135" i="7951" s="1"/>
  <c r="M80" i="7951"/>
  <c r="AC80" i="7951" s="1"/>
  <c r="AK80" i="7951" s="1"/>
  <c r="I100" i="7951"/>
  <c r="AW159" i="7949"/>
  <c r="AW146" i="7949"/>
  <c r="AW70" i="7949"/>
  <c r="K46" i="7951"/>
  <c r="FK127" i="2"/>
  <c r="FG127" i="2" s="1"/>
  <c r="FH127" i="2" s="1"/>
  <c r="FJ127" i="2" s="1"/>
  <c r="FL104" i="2" s="1"/>
  <c r="I136" i="7951"/>
  <c r="I117" i="7951"/>
  <c r="AB117" i="7951" s="1"/>
  <c r="M98" i="7951"/>
  <c r="AC98" i="7951" s="1"/>
  <c r="AL98" i="7951" s="1"/>
  <c r="BJ119" i="7949" s="1"/>
  <c r="M81" i="7951"/>
  <c r="AC81" i="7951" s="1"/>
  <c r="AL81" i="7951" s="1"/>
  <c r="M62" i="7951"/>
  <c r="AC62" i="7951" s="1"/>
  <c r="K45" i="7951"/>
  <c r="AW69" i="7949"/>
  <c r="AW158" i="7949"/>
  <c r="AW145" i="7949"/>
  <c r="FK123" i="2"/>
  <c r="FG123" i="2" s="1"/>
  <c r="M95" i="7951"/>
  <c r="AC95" i="7951" s="1"/>
  <c r="AJ95" i="7951" s="1"/>
  <c r="BH117" i="7949" s="1"/>
  <c r="M130" i="7951"/>
  <c r="AC130" i="7951" s="1"/>
  <c r="AJ130" i="7951" s="1"/>
  <c r="M77" i="7951"/>
  <c r="AC77" i="7951" s="1"/>
  <c r="AL77" i="7951" s="1"/>
  <c r="M57" i="7951"/>
  <c r="AC57" i="7951" s="1"/>
  <c r="AL57" i="7951" s="1"/>
  <c r="M112" i="7951"/>
  <c r="AC112" i="7951" s="1"/>
  <c r="AL112" i="7951" s="1"/>
  <c r="AW47" i="7949"/>
  <c r="AW134" i="7949"/>
  <c r="AW122" i="7949"/>
  <c r="I47" i="7951"/>
  <c r="FK119" i="2"/>
  <c r="FG119" i="2" s="1"/>
  <c r="AG63" i="7950"/>
  <c r="AF60" i="7950"/>
  <c r="AG60" i="7950"/>
  <c r="I112" i="7951"/>
  <c r="AB112" i="7951" s="1"/>
  <c r="AG112" i="7951" s="1"/>
  <c r="I58" i="7951"/>
  <c r="AB58" i="7951" s="1"/>
  <c r="M129" i="7951"/>
  <c r="AC129" i="7951" s="1"/>
  <c r="AL129" i="7951" s="1"/>
  <c r="I76" i="7951"/>
  <c r="AB76" i="7951" s="1"/>
  <c r="AI76" i="7951" s="1"/>
  <c r="I94" i="7951"/>
  <c r="AB94" i="7951" s="1"/>
  <c r="AI94" i="7951" s="1"/>
  <c r="AW130" i="7949"/>
  <c r="AW43" i="7949"/>
  <c r="AW118" i="7949"/>
  <c r="I43" i="7951"/>
  <c r="K42" i="7950"/>
  <c r="AZ89" i="2"/>
  <c r="AZ84" i="2"/>
  <c r="AV84" i="2"/>
  <c r="AZ78" i="2"/>
  <c r="AV91" i="2"/>
  <c r="AZ91" i="2"/>
  <c r="AZ76" i="2"/>
  <c r="AV76" i="2"/>
  <c r="AZ90" i="2"/>
  <c r="AV90" i="2"/>
  <c r="AV88" i="2"/>
  <c r="AZ88" i="2"/>
  <c r="AV81" i="2"/>
  <c r="AZ81" i="2"/>
  <c r="AV82" i="2"/>
  <c r="AZ82" i="2"/>
  <c r="AV86" i="2"/>
  <c r="AZ86" i="2"/>
  <c r="AV74" i="2"/>
  <c r="AZ74" i="2"/>
  <c r="AZ77" i="2"/>
  <c r="AZ70" i="2"/>
  <c r="AV70" i="2"/>
  <c r="AV68" i="2"/>
  <c r="AZ69" i="2"/>
  <c r="AV75" i="2"/>
  <c r="AZ75" i="2"/>
  <c r="AZ72" i="2"/>
  <c r="AV72" i="2"/>
  <c r="AZ73" i="2"/>
  <c r="AZ79" i="2"/>
  <c r="AV79" i="2"/>
  <c r="AV71" i="2"/>
  <c r="AZ71" i="2"/>
  <c r="AZ83" i="2"/>
  <c r="AV83" i="2"/>
  <c r="AZ80" i="2"/>
  <c r="AV80" i="2"/>
  <c r="AV49" i="7950"/>
  <c r="AW49" i="7950" s="1"/>
  <c r="EJ764" i="2"/>
  <c r="EK764" i="2" s="1"/>
  <c r="FK99" i="2"/>
  <c r="AD44" i="7950"/>
  <c r="BE71" i="7951"/>
  <c r="FK98" i="2"/>
  <c r="BE69" i="7951"/>
  <c r="BE59" i="7951"/>
  <c r="BE70" i="7951"/>
  <c r="FK101" i="2"/>
  <c r="FK95" i="2"/>
  <c r="AD61" i="7950"/>
  <c r="FK97" i="2"/>
  <c r="BE61" i="7951"/>
  <c r="BE60" i="7951"/>
  <c r="BE57" i="7951"/>
  <c r="FK103" i="2"/>
  <c r="FK102" i="2"/>
  <c r="AD45" i="7950"/>
  <c r="EY906" i="2" l="1"/>
  <c r="EY907" i="2" s="1"/>
  <c r="EY908" i="2" s="1"/>
  <c r="ER904" i="2"/>
  <c r="ES758" i="2"/>
  <c r="ET758" i="2" s="1"/>
  <c r="EY758" i="2"/>
  <c r="EZ758" i="2" s="1"/>
  <c r="EV758" i="2"/>
  <c r="EW758" i="2" s="1"/>
  <c r="EI766" i="2"/>
  <c r="EJ766" i="2" s="1"/>
  <c r="EK766" i="2" s="1"/>
  <c r="EW297" i="2"/>
  <c r="ET297" i="2"/>
  <c r="EX297" i="2"/>
  <c r="AQ148" i="2"/>
  <c r="AQ149" i="2"/>
  <c r="AQ156" i="2"/>
  <c r="AQ150" i="2"/>
  <c r="AY58" i="2"/>
  <c r="AY45" i="2"/>
  <c r="AQ154" i="2"/>
  <c r="AQ161" i="2"/>
  <c r="AQ165" i="2"/>
  <c r="AY44" i="2"/>
  <c r="AQ163" i="2"/>
  <c r="AY50" i="2"/>
  <c r="AQ168" i="2"/>
  <c r="AY53" i="2"/>
  <c r="AQ157" i="2"/>
  <c r="AY46" i="2"/>
  <c r="AY51" i="2"/>
  <c r="AQ160" i="2"/>
  <c r="AQ169" i="2"/>
  <c r="AY52" i="2"/>
  <c r="AY64" i="2"/>
  <c r="AY60" i="2"/>
  <c r="AY42" i="2"/>
  <c r="AY55" i="2"/>
  <c r="AY47" i="2"/>
  <c r="AQ153" i="2"/>
  <c r="AQ146" i="2"/>
  <c r="AQ166" i="2"/>
  <c r="AQ151" i="2"/>
  <c r="AQ167" i="2"/>
  <c r="AY59" i="2"/>
  <c r="AQ152" i="2"/>
  <c r="AY57" i="2"/>
  <c r="AQ147" i="2"/>
  <c r="AQ162" i="2"/>
  <c r="AQ158" i="2"/>
  <c r="AY54" i="2"/>
  <c r="AY48" i="2"/>
  <c r="AY56" i="2"/>
  <c r="AQ164" i="2"/>
  <c r="AY61" i="2"/>
  <c r="AY43" i="2"/>
  <c r="AY65" i="2"/>
  <c r="AY49" i="2"/>
  <c r="AY62" i="2"/>
  <c r="AY63" i="2"/>
  <c r="AQ159" i="2"/>
  <c r="ES486" i="2"/>
  <c r="ER492" i="2"/>
  <c r="ES492" i="2" s="1"/>
  <c r="EW176" i="2"/>
  <c r="ET176" i="2"/>
  <c r="EX176" i="2"/>
  <c r="EY389" i="2"/>
  <c r="EY390" i="2" s="1"/>
  <c r="ER390" i="2"/>
  <c r="EY367" i="2"/>
  <c r="EY368" i="2" s="1"/>
  <c r="EY369" i="2" s="1"/>
  <c r="EY370" i="2" s="1"/>
  <c r="EY371" i="2" s="1"/>
  <c r="ER363" i="2"/>
  <c r="ER355" i="2"/>
  <c r="EY354" i="2"/>
  <c r="EX313" i="2"/>
  <c r="ET313" i="2"/>
  <c r="EW313" i="2"/>
  <c r="ED660" i="2"/>
  <c r="EE660" i="2" s="1"/>
  <c r="EI660" i="2" s="1"/>
  <c r="EJ660" i="2" s="1"/>
  <c r="EK660" i="2" s="1"/>
  <c r="EV760" i="2"/>
  <c r="EW760" i="2" s="1"/>
  <c r="ES760" i="2"/>
  <c r="ET760" i="2" s="1"/>
  <c r="EI768" i="2"/>
  <c r="EJ768" i="2" s="1"/>
  <c r="EK768" i="2" s="1"/>
  <c r="EY760" i="2"/>
  <c r="EZ760" i="2" s="1"/>
  <c r="EY88" i="2"/>
  <c r="EY89" i="2" s="1"/>
  <c r="ER89" i="2"/>
  <c r="EX598" i="2"/>
  <c r="ET598" i="2"/>
  <c r="EW598" i="2"/>
  <c r="ET483" i="2"/>
  <c r="EX483" i="2"/>
  <c r="EW483" i="2"/>
  <c r="EX467" i="2"/>
  <c r="ET467" i="2"/>
  <c r="EW467" i="2"/>
  <c r="ES468" i="2"/>
  <c r="EY469" i="2"/>
  <c r="ES179" i="2"/>
  <c r="ER185" i="2"/>
  <c r="ET300" i="2"/>
  <c r="EW300" i="2"/>
  <c r="EX300" i="2"/>
  <c r="EX506" i="2"/>
  <c r="ET506" i="2"/>
  <c r="EW506" i="2"/>
  <c r="EY53" i="2"/>
  <c r="ER54" i="2"/>
  <c r="EY72" i="2"/>
  <c r="EY73" i="2" s="1"/>
  <c r="EY74" i="2" s="1"/>
  <c r="EY75" i="2" s="1"/>
  <c r="EY76" i="2" s="1"/>
  <c r="ER63" i="2"/>
  <c r="EY66" i="2"/>
  <c r="EY67" i="2" s="1"/>
  <c r="EY68" i="2" s="1"/>
  <c r="EY69" i="2" s="1"/>
  <c r="EY70" i="2" s="1"/>
  <c r="ER62" i="2"/>
  <c r="ER96" i="2"/>
  <c r="ES96" i="2" s="1"/>
  <c r="EW96" i="2" s="1"/>
  <c r="EY95" i="2"/>
  <c r="EY96" i="2" s="1"/>
  <c r="ES487" i="2"/>
  <c r="ER493" i="2"/>
  <c r="ES493" i="2" s="1"/>
  <c r="ER397" i="2"/>
  <c r="EY396" i="2"/>
  <c r="EY397" i="2" s="1"/>
  <c r="EW175" i="2"/>
  <c r="EX175" i="2"/>
  <c r="ET175" i="2"/>
  <c r="EU890" i="2"/>
  <c r="EX890" i="2"/>
  <c r="ER911" i="2" s="1"/>
  <c r="EX207" i="2"/>
  <c r="ET207" i="2"/>
  <c r="EW207" i="2"/>
  <c r="EX601" i="2"/>
  <c r="EW601" i="2"/>
  <c r="ET601" i="2"/>
  <c r="EX597" i="2"/>
  <c r="ET597" i="2"/>
  <c r="EW597" i="2"/>
  <c r="ER494" i="2"/>
  <c r="ES494" i="2" s="1"/>
  <c r="ES488" i="2"/>
  <c r="ER178" i="2"/>
  <c r="ES172" i="2"/>
  <c r="ET174" i="2"/>
  <c r="EX174" i="2"/>
  <c r="EW174" i="2"/>
  <c r="EE661" i="2"/>
  <c r="EI661" i="2" s="1"/>
  <c r="EJ661" i="2" s="1"/>
  <c r="EK661" i="2" s="1"/>
  <c r="EM646" i="2"/>
  <c r="EM645" i="2"/>
  <c r="ET298" i="2"/>
  <c r="EW298" i="2"/>
  <c r="EX298" i="2"/>
  <c r="AQ155" i="2"/>
  <c r="EX480" i="2"/>
  <c r="EW480" i="2"/>
  <c r="ET480" i="2"/>
  <c r="ES182" i="2"/>
  <c r="ER188" i="2"/>
  <c r="EY499" i="2"/>
  <c r="ES499" i="2" s="1"/>
  <c r="ES498" i="2"/>
  <c r="EY386" i="2"/>
  <c r="EY387" i="2" s="1"/>
  <c r="ES387" i="2" s="1"/>
  <c r="ER389" i="2"/>
  <c r="ES389" i="2" s="1"/>
  <c r="ES386" i="2"/>
  <c r="EY373" i="2"/>
  <c r="EY374" i="2" s="1"/>
  <c r="EY375" i="2" s="1"/>
  <c r="EY376" i="2" s="1"/>
  <c r="EY377" i="2" s="1"/>
  <c r="ER364" i="2"/>
  <c r="EY361" i="2"/>
  <c r="EY362" i="2" s="1"/>
  <c r="EY363" i="2" s="1"/>
  <c r="EY364" i="2" s="1"/>
  <c r="EY365" i="2" s="1"/>
  <c r="ER362" i="2"/>
  <c r="ET312" i="2"/>
  <c r="EW312" i="2"/>
  <c r="EX312" i="2"/>
  <c r="EE656" i="2"/>
  <c r="EI656" i="2" s="1"/>
  <c r="EB656" i="2"/>
  <c r="ED663" i="2"/>
  <c r="EE663" i="2" s="1"/>
  <c r="EI663" i="2" s="1"/>
  <c r="EJ663" i="2" s="1"/>
  <c r="EK663" i="2" s="1"/>
  <c r="EI765" i="2"/>
  <c r="EJ765" i="2" s="1"/>
  <c r="EK765" i="2" s="1"/>
  <c r="EV757" i="2"/>
  <c r="EW757" i="2" s="1"/>
  <c r="ES757" i="2"/>
  <c r="ET757" i="2" s="1"/>
  <c r="EY757" i="2"/>
  <c r="EZ757" i="2" s="1"/>
  <c r="FA756" i="2" s="1"/>
  <c r="ER806" i="2" s="1"/>
  <c r="ED662" i="2"/>
  <c r="EE662" i="2" s="1"/>
  <c r="EI662" i="2" s="1"/>
  <c r="EJ662" i="2" s="1"/>
  <c r="EK662" i="2" s="1"/>
  <c r="EX208" i="2"/>
  <c r="ET208" i="2"/>
  <c r="EW208" i="2"/>
  <c r="ER88" i="2"/>
  <c r="ES88" i="2" s="1"/>
  <c r="EY85" i="2"/>
  <c r="EX599" i="2"/>
  <c r="EW599" i="2"/>
  <c r="ET599" i="2"/>
  <c r="ES489" i="2"/>
  <c r="ER495" i="2"/>
  <c r="ES495" i="2" s="1"/>
  <c r="ER479" i="2"/>
  <c r="ES473" i="2"/>
  <c r="EX173" i="2"/>
  <c r="ET173" i="2"/>
  <c r="EW173" i="2"/>
  <c r="EB658" i="2"/>
  <c r="EE658" i="2" s="1"/>
  <c r="EI658" i="2" s="1"/>
  <c r="EJ658" i="2" s="1"/>
  <c r="EK658" i="2" s="1"/>
  <c r="ET304" i="2"/>
  <c r="EW304" i="2"/>
  <c r="EX304" i="2"/>
  <c r="ES505" i="2"/>
  <c r="ES508" i="2"/>
  <c r="ER64" i="2"/>
  <c r="EY78" i="2"/>
  <c r="EY79" i="2" s="1"/>
  <c r="EY80" i="2" s="1"/>
  <c r="EY81" i="2" s="1"/>
  <c r="EY82" i="2" s="1"/>
  <c r="ER61" i="2"/>
  <c r="EY60" i="2"/>
  <c r="EY61" i="2" s="1"/>
  <c r="EY62" i="2" s="1"/>
  <c r="EY63" i="2" s="1"/>
  <c r="EY64" i="2" s="1"/>
  <c r="EY92" i="2"/>
  <c r="ER95" i="2"/>
  <c r="ES95" i="2" s="1"/>
  <c r="ER365" i="2"/>
  <c r="EY379" i="2"/>
  <c r="EY380" i="2" s="1"/>
  <c r="EY381" i="2" s="1"/>
  <c r="EY382" i="2" s="1"/>
  <c r="EY383" i="2" s="1"/>
  <c r="ET481" i="2"/>
  <c r="EX481" i="2"/>
  <c r="EW481" i="2"/>
  <c r="EY393" i="2"/>
  <c r="EY394" i="2" s="1"/>
  <c r="ES394" i="2" s="1"/>
  <c r="ER396" i="2"/>
  <c r="ES396" i="2" s="1"/>
  <c r="ES393" i="2"/>
  <c r="ER187" i="2"/>
  <c r="ES181" i="2"/>
  <c r="ES613" i="2"/>
  <c r="EY614" i="2"/>
  <c r="ES614" i="2" s="1"/>
  <c r="EW611" i="2"/>
  <c r="ET611" i="2"/>
  <c r="EX611" i="2"/>
  <c r="ES502" i="2"/>
  <c r="EU891" i="2"/>
  <c r="ER899" i="2" s="1"/>
  <c r="ED657" i="2"/>
  <c r="EE657" i="2" s="1"/>
  <c r="EI657" i="2" s="1"/>
  <c r="EJ657" i="2" s="1"/>
  <c r="EK657" i="2" s="1"/>
  <c r="EB657" i="2"/>
  <c r="ES762" i="2"/>
  <c r="ET762" i="2" s="1"/>
  <c r="EI770" i="2"/>
  <c r="EJ770" i="2" s="1"/>
  <c r="EK770" i="2" s="1"/>
  <c r="EY762" i="2"/>
  <c r="EZ762" i="2" s="1"/>
  <c r="EV762" i="2"/>
  <c r="EW762" i="2" s="1"/>
  <c r="EX605" i="2"/>
  <c r="EW605" i="2"/>
  <c r="ET605" i="2"/>
  <c r="ET482" i="2"/>
  <c r="EX482" i="2"/>
  <c r="EW482" i="2"/>
  <c r="EY167" i="2"/>
  <c r="ES166" i="2"/>
  <c r="ES180" i="2"/>
  <c r="ER186" i="2"/>
  <c r="EE659" i="2"/>
  <c r="EI659" i="2" s="1"/>
  <c r="EJ659" i="2" s="1"/>
  <c r="EK659" i="2" s="1"/>
  <c r="EB655" i="2"/>
  <c r="EE655" i="2" s="1"/>
  <c r="EI655" i="2" s="1"/>
  <c r="EJ655" i="2" s="1"/>
  <c r="EK655" i="2" s="1"/>
  <c r="ED664" i="2"/>
  <c r="EE664" i="2" s="1"/>
  <c r="EI664" i="2" s="1"/>
  <c r="EJ664" i="2" s="1"/>
  <c r="EK664" i="2" s="1"/>
  <c r="EM650" i="2"/>
  <c r="EM649" i="2"/>
  <c r="Y117" i="7951"/>
  <c r="BP117" i="7951" s="1"/>
  <c r="AG117" i="7951"/>
  <c r="AP65" i="7950"/>
  <c r="EY477" i="2"/>
  <c r="ES477" i="2" s="1"/>
  <c r="ES476" i="2"/>
  <c r="EX475" i="2"/>
  <c r="ET475" i="2"/>
  <c r="EW475" i="2"/>
  <c r="FA757" i="2"/>
  <c r="ER807" i="2" s="1"/>
  <c r="EY809" i="2" s="1"/>
  <c r="EY810" i="2" s="1"/>
  <c r="Y112" i="7951"/>
  <c r="BP112" i="7951" s="1"/>
  <c r="AK63" i="7951"/>
  <c r="AJ62" i="7951"/>
  <c r="AG58" i="7951"/>
  <c r="BE116" i="7949" s="1"/>
  <c r="FK125" i="2"/>
  <c r="FG125" i="2" s="1"/>
  <c r="I99" i="7951"/>
  <c r="AB99" i="7951" s="1"/>
  <c r="AG99" i="7951" s="1"/>
  <c r="M134" i="7951"/>
  <c r="AC134" i="7951" s="1"/>
  <c r="AJ134" i="7951" s="1"/>
  <c r="I81" i="7951"/>
  <c r="AB81" i="7951" s="1"/>
  <c r="I118" i="7951"/>
  <c r="I63" i="7951"/>
  <c r="AB63" i="7951" s="1"/>
  <c r="AH63" i="7951" s="1"/>
  <c r="AW143" i="7949"/>
  <c r="AW156" i="7949"/>
  <c r="AW67" i="7949"/>
  <c r="K43" i="7951"/>
  <c r="FK118" i="2"/>
  <c r="FG118" i="2" s="1"/>
  <c r="FH118" i="2" s="1"/>
  <c r="BF71" i="7949"/>
  <c r="BF164" i="7949"/>
  <c r="BF136" i="7949"/>
  <c r="BF137" i="7949"/>
  <c r="BF73" i="7949"/>
  <c r="BF163" i="7949"/>
  <c r="BF49" i="7949"/>
  <c r="BF161" i="7949"/>
  <c r="BF72" i="7949"/>
  <c r="BF50" i="7949"/>
  <c r="BF51" i="7949"/>
  <c r="BF138" i="7949"/>
  <c r="BF135" i="7949"/>
  <c r="BF162" i="7949"/>
  <c r="BF74" i="7949"/>
  <c r="BF160" i="7949"/>
  <c r="BF75" i="7949"/>
  <c r="BF48" i="7949"/>
  <c r="BF62" i="7949"/>
  <c r="BF61" i="7949"/>
  <c r="BF87" i="7949"/>
  <c r="BF84" i="7949"/>
  <c r="BF86" i="7949"/>
  <c r="BF85" i="7949"/>
  <c r="BF60" i="7949"/>
  <c r="BF63" i="7949"/>
  <c r="BF83" i="7949"/>
  <c r="AG47" i="7950"/>
  <c r="AF44" i="7950"/>
  <c r="AG44" i="7950"/>
  <c r="I129" i="7951"/>
  <c r="AB129" i="7951" s="1"/>
  <c r="AG129" i="7951" s="1"/>
  <c r="I57" i="7951"/>
  <c r="AB57" i="7951" s="1"/>
  <c r="AG57" i="7951" s="1"/>
  <c r="I93" i="7951"/>
  <c r="AB93" i="7951" s="1"/>
  <c r="AG93" i="7951" s="1"/>
  <c r="I75" i="7951"/>
  <c r="AB75" i="7951" s="1"/>
  <c r="AG75" i="7951" s="1"/>
  <c r="I111" i="7951"/>
  <c r="AB111" i="7951" s="1"/>
  <c r="AI111" i="7951" s="1"/>
  <c r="BG115" i="7949" s="1"/>
  <c r="AW42" i="7949"/>
  <c r="AW129" i="7949"/>
  <c r="AW117" i="7949"/>
  <c r="I42" i="7951"/>
  <c r="FK126" i="2"/>
  <c r="FG126" i="2" s="1"/>
  <c r="FH126" i="2" s="1"/>
  <c r="FJ126" i="2" s="1"/>
  <c r="FL103" i="2" s="1"/>
  <c r="I82" i="7951"/>
  <c r="I135" i="7951"/>
  <c r="AB135" i="7951" s="1"/>
  <c r="M116" i="7951"/>
  <c r="AC116" i="7951" s="1"/>
  <c r="M99" i="7951"/>
  <c r="AC99" i="7951" s="1"/>
  <c r="I62" i="7951"/>
  <c r="AB62" i="7951" s="1"/>
  <c r="AI62" i="7951" s="1"/>
  <c r="AW157" i="7949"/>
  <c r="AW144" i="7949"/>
  <c r="AW68" i="7949"/>
  <c r="K44" i="7951"/>
  <c r="FK121" i="2"/>
  <c r="FG121" i="2" s="1"/>
  <c r="AG45" i="7950"/>
  <c r="AF45" i="7950"/>
  <c r="AG48" i="7950"/>
  <c r="M93" i="7951"/>
  <c r="AC93" i="7951" s="1"/>
  <c r="AL93" i="7951" s="1"/>
  <c r="M76" i="7951"/>
  <c r="AC76" i="7951" s="1"/>
  <c r="AJ76" i="7951" s="1"/>
  <c r="I130" i="7951"/>
  <c r="AB130" i="7951" s="1"/>
  <c r="I113" i="7951"/>
  <c r="AB113" i="7951" s="1"/>
  <c r="AG113" i="7951" s="1"/>
  <c r="M59" i="7951"/>
  <c r="AC59" i="7951" s="1"/>
  <c r="I45" i="7951"/>
  <c r="AW120" i="7949"/>
  <c r="AW132" i="7949"/>
  <c r="AW45" i="7949"/>
  <c r="FK122" i="2"/>
  <c r="FG122" i="2" s="1"/>
  <c r="FH122" i="2" s="1"/>
  <c r="FJ122" i="2" s="1"/>
  <c r="FL99" i="2" s="1"/>
  <c r="I95" i="7951"/>
  <c r="AB95" i="7951" s="1"/>
  <c r="M113" i="7951"/>
  <c r="AC113" i="7951" s="1"/>
  <c r="AL113" i="7951" s="1"/>
  <c r="M75" i="7951"/>
  <c r="AC75" i="7951" s="1"/>
  <c r="AL75" i="7951" s="1"/>
  <c r="BJ115" i="7949" s="1"/>
  <c r="M58" i="7951"/>
  <c r="AC58" i="7951" s="1"/>
  <c r="M131" i="7951"/>
  <c r="AC131" i="7951" s="1"/>
  <c r="AK131" i="7951" s="1"/>
  <c r="BI117" i="7949" s="1"/>
  <c r="AW46" i="7949"/>
  <c r="AW121" i="7949"/>
  <c r="I46" i="7951"/>
  <c r="AW133" i="7949"/>
  <c r="FK120" i="2"/>
  <c r="FG120" i="2" s="1"/>
  <c r="FH119" i="2" s="1"/>
  <c r="AG64" i="7950"/>
  <c r="AF61" i="7950"/>
  <c r="AG61" i="7950"/>
  <c r="I131" i="7951"/>
  <c r="AB131" i="7951" s="1"/>
  <c r="AH131" i="7951" s="1"/>
  <c r="BF117" i="7949" s="1"/>
  <c r="I77" i="7951"/>
  <c r="AB77" i="7951" s="1"/>
  <c r="I59" i="7951"/>
  <c r="AB59" i="7951" s="1"/>
  <c r="M111" i="7951"/>
  <c r="AC111" i="7951" s="1"/>
  <c r="AJ111" i="7951" s="1"/>
  <c r="BH115" i="7949" s="1"/>
  <c r="M94" i="7951"/>
  <c r="AC94" i="7951" s="1"/>
  <c r="AJ94" i="7951" s="1"/>
  <c r="I44" i="7951"/>
  <c r="AW119" i="7949"/>
  <c r="AW131" i="7949"/>
  <c r="AW44" i="7949"/>
  <c r="FK124" i="2"/>
  <c r="FG124" i="2" s="1"/>
  <c r="FH124" i="2" s="1"/>
  <c r="I80" i="7951"/>
  <c r="AB80" i="7951" s="1"/>
  <c r="I116" i="7951"/>
  <c r="AB116" i="7951" s="1"/>
  <c r="AH116" i="7951" s="1"/>
  <c r="I98" i="7951"/>
  <c r="AB98" i="7951" s="1"/>
  <c r="I134" i="7951"/>
  <c r="AB134" i="7951" s="1"/>
  <c r="I64" i="7951"/>
  <c r="AW142" i="7949"/>
  <c r="AW155" i="7949"/>
  <c r="AW66" i="7949"/>
  <c r="K42" i="7951"/>
  <c r="V43" i="7949"/>
  <c r="C43" i="7947"/>
  <c r="AW55" i="7949"/>
  <c r="W43" i="7949"/>
  <c r="BF47" i="7949"/>
  <c r="C47" i="7947"/>
  <c r="V47" i="7949"/>
  <c r="AW59" i="7949"/>
  <c r="W47" i="7949"/>
  <c r="AH158" i="7949"/>
  <c r="BF158" i="7949"/>
  <c r="AW82" i="7949"/>
  <c r="BF70" i="7949"/>
  <c r="V56" i="7949"/>
  <c r="C55" i="7947"/>
  <c r="W56" i="7949"/>
  <c r="AH159" i="7949"/>
  <c r="BF159" i="7949"/>
  <c r="Y94" i="7951"/>
  <c r="BP94" i="7951" s="1"/>
  <c r="AH130" i="7949"/>
  <c r="AQ59" i="7950"/>
  <c r="E59" i="7950" s="1"/>
  <c r="AR60" i="7950"/>
  <c r="I60" i="7950" s="1"/>
  <c r="AQ61" i="7950"/>
  <c r="E61" i="7950" s="1"/>
  <c r="BF134" i="7949"/>
  <c r="AH134" i="7949"/>
  <c r="BF69" i="7949"/>
  <c r="V55" i="7949"/>
  <c r="W55" i="7949"/>
  <c r="C54" i="7947"/>
  <c r="AW81" i="7949"/>
  <c r="M136" i="7951"/>
  <c r="AC136" i="7951" s="1"/>
  <c r="AB136" i="7951"/>
  <c r="M100" i="7951"/>
  <c r="AC100" i="7951" s="1"/>
  <c r="AB100" i="7951"/>
  <c r="Y58" i="7951"/>
  <c r="M49" i="7950"/>
  <c r="ET96" i="2"/>
  <c r="EX96" i="2"/>
  <c r="AZ49" i="7950"/>
  <c r="AH45" i="7950" s="1"/>
  <c r="BQ146" i="2"/>
  <c r="BA146" i="2" s="1"/>
  <c r="BQ150" i="2"/>
  <c r="BA150" i="2" s="1"/>
  <c r="AX49" i="7950"/>
  <c r="AY49" i="7950"/>
  <c r="EX95" i="2"/>
  <c r="EW95" i="2"/>
  <c r="ET95" i="2"/>
  <c r="ER810" i="2"/>
  <c r="AN53" i="2"/>
  <c r="AN52" i="2"/>
  <c r="AN60" i="2"/>
  <c r="AN55" i="2"/>
  <c r="AN63" i="2"/>
  <c r="AN58" i="2"/>
  <c r="AN64" i="2"/>
  <c r="AN59" i="2"/>
  <c r="AN57" i="2"/>
  <c r="AN54" i="2"/>
  <c r="AN56" i="2"/>
  <c r="AN61" i="2"/>
  <c r="AN65" i="2"/>
  <c r="AN62" i="2"/>
  <c r="AP62" i="2" l="1"/>
  <c r="AQ62" i="2"/>
  <c r="AP65" i="2"/>
  <c r="AQ65" i="2"/>
  <c r="AP61" i="2"/>
  <c r="AQ61" i="2"/>
  <c r="AQ56" i="2"/>
  <c r="AP56" i="2"/>
  <c r="AP54" i="2"/>
  <c r="AQ54" i="2"/>
  <c r="AQ57" i="2"/>
  <c r="AP57" i="2"/>
  <c r="AQ59" i="2"/>
  <c r="AP59" i="2"/>
  <c r="AP64" i="2"/>
  <c r="AQ64" i="2"/>
  <c r="AQ58" i="2"/>
  <c r="AP58" i="2"/>
  <c r="AP63" i="2"/>
  <c r="AQ63" i="2"/>
  <c r="AQ55" i="2"/>
  <c r="AP55" i="2"/>
  <c r="AP60" i="2"/>
  <c r="AQ60" i="2"/>
  <c r="K52" i="2"/>
  <c r="I52" i="2"/>
  <c r="M52" i="2"/>
  <c r="H52" i="2"/>
  <c r="G52" i="2"/>
  <c r="AQ52" i="2"/>
  <c r="F52" i="2"/>
  <c r="AP52" i="2"/>
  <c r="J52" i="2" s="1"/>
  <c r="AP53" i="2"/>
  <c r="AQ53" i="2"/>
  <c r="EY806" i="2"/>
  <c r="EY807" i="2" s="1"/>
  <c r="ER809" i="2"/>
  <c r="EX387" i="2"/>
  <c r="EW387" i="2"/>
  <c r="ET387" i="2"/>
  <c r="BQ155" i="2"/>
  <c r="BA155" i="2" s="1"/>
  <c r="BQ152" i="2"/>
  <c r="BA152" i="2" s="1"/>
  <c r="ER646" i="2"/>
  <c r="EY643" i="2" s="1"/>
  <c r="ES186" i="2"/>
  <c r="ER192" i="2"/>
  <c r="ES192" i="2" s="1"/>
  <c r="EX166" i="2"/>
  <c r="EW166" i="2"/>
  <c r="ET166" i="2"/>
  <c r="EY902" i="2"/>
  <c r="EY903" i="2" s="1"/>
  <c r="EY904" i="2" s="1"/>
  <c r="ER903" i="2"/>
  <c r="EX613" i="2"/>
  <c r="EW613" i="2"/>
  <c r="ET613" i="2"/>
  <c r="ER193" i="2"/>
  <c r="ES193" i="2" s="1"/>
  <c r="ES187" i="2"/>
  <c r="EX396" i="2"/>
  <c r="ET396" i="2"/>
  <c r="EW396" i="2"/>
  <c r="ER371" i="2"/>
  <c r="ES365" i="2"/>
  <c r="EY93" i="2"/>
  <c r="ES93" i="2" s="1"/>
  <c r="ES92" i="2"/>
  <c r="ER67" i="2"/>
  <c r="ES61" i="2"/>
  <c r="ER70" i="2"/>
  <c r="ES64" i="2"/>
  <c r="EX505" i="2"/>
  <c r="EW505" i="2"/>
  <c r="ET505" i="2"/>
  <c r="ER485" i="2"/>
  <c r="ES479" i="2"/>
  <c r="EW489" i="2"/>
  <c r="ET489" i="2"/>
  <c r="EX489" i="2"/>
  <c r="EY86" i="2"/>
  <c r="ES86" i="2" s="1"/>
  <c r="ES85" i="2"/>
  <c r="EX756" i="2"/>
  <c r="ER799" i="2" s="1"/>
  <c r="EX891" i="2"/>
  <c r="ER912" i="2" s="1"/>
  <c r="EX757" i="2"/>
  <c r="ER800" i="2" s="1"/>
  <c r="EJ656" i="2"/>
  <c r="EK656" i="2" s="1"/>
  <c r="BQ151" i="2" s="1"/>
  <c r="BA151" i="2" s="1"/>
  <c r="ES362" i="2"/>
  <c r="ER368" i="2"/>
  <c r="ER370" i="2"/>
  <c r="ES364" i="2"/>
  <c r="ET386" i="2"/>
  <c r="EW386" i="2"/>
  <c r="EX386" i="2"/>
  <c r="EX499" i="2"/>
  <c r="EW499" i="2"/>
  <c r="ET499" i="2"/>
  <c r="EX182" i="2"/>
  <c r="EW182" i="2"/>
  <c r="ET182" i="2"/>
  <c r="ER184" i="2"/>
  <c r="ES178" i="2"/>
  <c r="EX494" i="2"/>
  <c r="EW494" i="2"/>
  <c r="ET494" i="2"/>
  <c r="EY911" i="2"/>
  <c r="EY912" i="2" s="1"/>
  <c r="ER914" i="2"/>
  <c r="ES911" i="2"/>
  <c r="EX487" i="2"/>
  <c r="EW487" i="2"/>
  <c r="ET487" i="2"/>
  <c r="EW179" i="2"/>
  <c r="EX179" i="2"/>
  <c r="ET179" i="2"/>
  <c r="EX468" i="2"/>
  <c r="ET468" i="2"/>
  <c r="EW468" i="2"/>
  <c r="ES363" i="2"/>
  <c r="ER369" i="2"/>
  <c r="ET492" i="2"/>
  <c r="EW492" i="2"/>
  <c r="EX492" i="2"/>
  <c r="AZ48" i="2"/>
  <c r="AO48" i="2" s="1"/>
  <c r="AZ43" i="2"/>
  <c r="AO43" i="2" s="1"/>
  <c r="AZ52" i="2"/>
  <c r="AO52" i="2" s="1"/>
  <c r="E52" i="2" s="1"/>
  <c r="ER908" i="2"/>
  <c r="ES908" i="2" s="1"/>
  <c r="ES904" i="2"/>
  <c r="ET180" i="2"/>
  <c r="EX180" i="2"/>
  <c r="EW180" i="2"/>
  <c r="EY168" i="2"/>
  <c r="ES167" i="2"/>
  <c r="EX502" i="2"/>
  <c r="ET502" i="2"/>
  <c r="EW502" i="2"/>
  <c r="EW614" i="2"/>
  <c r="EX614" i="2"/>
  <c r="ET614" i="2"/>
  <c r="EW181" i="2"/>
  <c r="EX181" i="2"/>
  <c r="ET181" i="2"/>
  <c r="EW393" i="2"/>
  <c r="EX393" i="2"/>
  <c r="ET393" i="2"/>
  <c r="ET394" i="2"/>
  <c r="EX394" i="2"/>
  <c r="EW394" i="2"/>
  <c r="ET508" i="2"/>
  <c r="EX508" i="2"/>
  <c r="EW508" i="2"/>
  <c r="EW473" i="2"/>
  <c r="ET473" i="2"/>
  <c r="EX473" i="2"/>
  <c r="EX495" i="2"/>
  <c r="ET495" i="2"/>
  <c r="EW495" i="2"/>
  <c r="EW88" i="2"/>
  <c r="EX88" i="2"/>
  <c r="ET88" i="2"/>
  <c r="EU758" i="2"/>
  <c r="ER770" i="2" s="1"/>
  <c r="EU760" i="2"/>
  <c r="ER772" i="2" s="1"/>
  <c r="EU759" i="2"/>
  <c r="ER771" i="2" s="1"/>
  <c r="EU757" i="2"/>
  <c r="ER769" i="2" s="1"/>
  <c r="EU756" i="2"/>
  <c r="ET389" i="2"/>
  <c r="EX389" i="2"/>
  <c r="EW389" i="2"/>
  <c r="EW498" i="2"/>
  <c r="EX498" i="2"/>
  <c r="ET498" i="2"/>
  <c r="ER194" i="2"/>
  <c r="ES194" i="2" s="1"/>
  <c r="ES188" i="2"/>
  <c r="ER645" i="2"/>
  <c r="EV643" i="2" s="1"/>
  <c r="ER644" i="2"/>
  <c r="ES643" i="2" s="1"/>
  <c r="EX172" i="2"/>
  <c r="EW172" i="2"/>
  <c r="ET172" i="2"/>
  <c r="ET488" i="2"/>
  <c r="EW488" i="2"/>
  <c r="EX488" i="2"/>
  <c r="ER898" i="2"/>
  <c r="EY897" i="2"/>
  <c r="ES397" i="2"/>
  <c r="EX493" i="2"/>
  <c r="EW493" i="2"/>
  <c r="ET493" i="2"/>
  <c r="ER68" i="2"/>
  <c r="ES62" i="2"/>
  <c r="ER69" i="2"/>
  <c r="ES63" i="2"/>
  <c r="EY54" i="2"/>
  <c r="ER60" i="2"/>
  <c r="ER191" i="2"/>
  <c r="ES191" i="2" s="1"/>
  <c r="ES185" i="2"/>
  <c r="ES469" i="2"/>
  <c r="EY470" i="2"/>
  <c r="ES89" i="2"/>
  <c r="EY355" i="2"/>
  <c r="EY356" i="2" s="1"/>
  <c r="ER361" i="2"/>
  <c r="ES355" i="2"/>
  <c r="ES390" i="2"/>
  <c r="EW486" i="2"/>
  <c r="EX486" i="2"/>
  <c r="ET486" i="2"/>
  <c r="AZ50" i="2"/>
  <c r="AO50" i="2" s="1"/>
  <c r="AZ44" i="2"/>
  <c r="AO44" i="2" s="1"/>
  <c r="AZ49" i="2"/>
  <c r="AO49" i="2" s="1"/>
  <c r="AZ47" i="2"/>
  <c r="AO47" i="2" s="1"/>
  <c r="AZ51" i="2"/>
  <c r="AO51" i="2" s="1"/>
  <c r="AZ45" i="2"/>
  <c r="AO45" i="2" s="1"/>
  <c r="AZ46" i="2"/>
  <c r="AO46" i="2" s="1"/>
  <c r="Y135" i="7951"/>
  <c r="BP135" i="7951" s="1"/>
  <c r="AH135" i="7951"/>
  <c r="Y134" i="7951"/>
  <c r="BP134" i="7951" s="1"/>
  <c r="AI134" i="7951"/>
  <c r="Y130" i="7951"/>
  <c r="BP130" i="7951" s="1"/>
  <c r="AI130" i="7951"/>
  <c r="BG116" i="7949" s="1"/>
  <c r="BA116" i="7949"/>
  <c r="BB119" i="7949"/>
  <c r="AK116" i="7951"/>
  <c r="BV47" i="7949"/>
  <c r="AT65" i="7950"/>
  <c r="AU65" i="7950" s="1"/>
  <c r="AQ65" i="7950"/>
  <c r="I65" i="7950"/>
  <c r="G65" i="7950"/>
  <c r="AR65" i="7950"/>
  <c r="E65" i="7950"/>
  <c r="BV70" i="7949"/>
  <c r="ET477" i="2"/>
  <c r="EX477" i="2"/>
  <c r="EW477" i="2"/>
  <c r="EX476" i="2"/>
  <c r="ET476" i="2"/>
  <c r="EW476" i="2"/>
  <c r="BU43" i="7949"/>
  <c r="ES807" i="2"/>
  <c r="Y76" i="7951"/>
  <c r="BP76" i="7951" s="1"/>
  <c r="BE115" i="7949"/>
  <c r="BB120" i="7949"/>
  <c r="AL99" i="7951"/>
  <c r="BJ120" i="7949" s="1"/>
  <c r="Y98" i="7951"/>
  <c r="BP98" i="7951" s="1"/>
  <c r="AG98" i="7951"/>
  <c r="BE119" i="7949" s="1"/>
  <c r="Y95" i="7951"/>
  <c r="BP95" i="7951" s="1"/>
  <c r="AI95" i="7951"/>
  <c r="BM61" i="7949" s="1"/>
  <c r="BP61" i="7949" s="1"/>
  <c r="BH116" i="7949"/>
  <c r="BU47" i="7949"/>
  <c r="BU69" i="7949"/>
  <c r="Y81" i="7951"/>
  <c r="BP81" i="7951" s="1"/>
  <c r="AG81" i="7951"/>
  <c r="BE120" i="7949" s="1"/>
  <c r="Y80" i="7951"/>
  <c r="BP80" i="7951" s="1"/>
  <c r="AH80" i="7951"/>
  <c r="BO51" i="7949" s="1"/>
  <c r="Y77" i="7951"/>
  <c r="BP77" i="7951" s="1"/>
  <c r="AG77" i="7951"/>
  <c r="BB115" i="7949"/>
  <c r="BA115" i="7949"/>
  <c r="BU70" i="7949"/>
  <c r="BV69" i="7949"/>
  <c r="BF120" i="7949"/>
  <c r="BO73" i="7949"/>
  <c r="BO61" i="7949"/>
  <c r="BO62" i="7949"/>
  <c r="BI120" i="7949"/>
  <c r="BV86" i="7949"/>
  <c r="BV60" i="7949"/>
  <c r="BV72" i="7949"/>
  <c r="BV61" i="7949"/>
  <c r="BV71" i="7949"/>
  <c r="BV62" i="7949"/>
  <c r="BV87" i="7949"/>
  <c r="BV48" i="7949"/>
  <c r="BV85" i="7949"/>
  <c r="BV50" i="7949"/>
  <c r="BV83" i="7949"/>
  <c r="BV51" i="7949"/>
  <c r="BV74" i="7949"/>
  <c r="BV63" i="7949"/>
  <c r="BV73" i="7949"/>
  <c r="BV84" i="7949"/>
  <c r="BV75" i="7949"/>
  <c r="BV49" i="7949"/>
  <c r="BG119" i="7949"/>
  <c r="BM71" i="7949"/>
  <c r="BP71" i="7949" s="1"/>
  <c r="BM50" i="7949"/>
  <c r="BP50" i="7949" s="1"/>
  <c r="BM75" i="7949"/>
  <c r="BP75" i="7949" s="1"/>
  <c r="BM73" i="7949"/>
  <c r="BP73" i="7949" s="1"/>
  <c r="BM83" i="7949"/>
  <c r="BP83" i="7949" s="1"/>
  <c r="BM62" i="7949"/>
  <c r="BP62" i="7949" s="1"/>
  <c r="BM85" i="7949"/>
  <c r="BP85" i="7949" s="1"/>
  <c r="BM86" i="7949"/>
  <c r="BP86" i="7949" s="1"/>
  <c r="BM72" i="7949"/>
  <c r="BP72" i="7949" s="1"/>
  <c r="BH119" i="7949"/>
  <c r="BU164" i="7949" s="1"/>
  <c r="BU87" i="7949"/>
  <c r="BU50" i="7949"/>
  <c r="BU51" i="7949"/>
  <c r="BU49" i="7949"/>
  <c r="BU60" i="7949"/>
  <c r="BU73" i="7949"/>
  <c r="BU74" i="7949"/>
  <c r="BU136" i="7949"/>
  <c r="BU71" i="7949"/>
  <c r="BU63" i="7949"/>
  <c r="BU85" i="7949"/>
  <c r="BU84" i="7949"/>
  <c r="BU61" i="7949"/>
  <c r="BU163" i="7949"/>
  <c r="BU75" i="7949"/>
  <c r="BU161" i="7949"/>
  <c r="BU72" i="7949"/>
  <c r="BU62" i="7949"/>
  <c r="BU48" i="7949"/>
  <c r="BU86" i="7949"/>
  <c r="BU83" i="7949"/>
  <c r="BP58" i="7951"/>
  <c r="AZ116" i="7949"/>
  <c r="AL59" i="7951"/>
  <c r="BJ117" i="7949" s="1"/>
  <c r="BB117" i="7949"/>
  <c r="AG59" i="7951"/>
  <c r="BN46" i="7949" s="1"/>
  <c r="BA117" i="7949"/>
  <c r="AL58" i="7951"/>
  <c r="BT85" i="7949" s="1"/>
  <c r="BW85" i="7949" s="1"/>
  <c r="BA85" i="7949" s="1"/>
  <c r="BB116" i="7949"/>
  <c r="Y62" i="7951"/>
  <c r="BA119" i="7949"/>
  <c r="Y63" i="7951"/>
  <c r="BA120" i="7949"/>
  <c r="Y59" i="7951"/>
  <c r="Y131" i="7951"/>
  <c r="BP131" i="7951" s="1"/>
  <c r="FH120" i="2"/>
  <c r="T58" i="7949"/>
  <c r="Y116" i="7951"/>
  <c r="BP116" i="7951" s="1"/>
  <c r="T60" i="7949" s="1"/>
  <c r="AC555" i="7955"/>
  <c r="Y100" i="7951"/>
  <c r="AE455" i="7955"/>
  <c r="Y136" i="7951"/>
  <c r="AG50" i="7947"/>
  <c r="AB54" i="7947" s="1"/>
  <c r="AM41" i="7947"/>
  <c r="AH47" i="7947" s="1"/>
  <c r="O41" i="7947"/>
  <c r="J47" i="7947" s="1"/>
  <c r="AH155" i="7949"/>
  <c r="AB64" i="7951"/>
  <c r="M64" i="7951"/>
  <c r="AC64" i="7951" s="1"/>
  <c r="C44" i="7947"/>
  <c r="W44" i="7949"/>
  <c r="AW56" i="7949"/>
  <c r="V44" i="7949"/>
  <c r="BO44" i="7949"/>
  <c r="BU44" i="7949"/>
  <c r="BM44" i="7949"/>
  <c r="BP44" i="7949" s="1"/>
  <c r="BV44" i="7949"/>
  <c r="C46" i="7947"/>
  <c r="BF46" i="7949"/>
  <c r="V46" i="7949"/>
  <c r="AW58" i="7949"/>
  <c r="W46" i="7949"/>
  <c r="BM46" i="7949"/>
  <c r="BP46" i="7949" s="1"/>
  <c r="BV46" i="7949"/>
  <c r="BO46" i="7949"/>
  <c r="BU46" i="7949"/>
  <c r="AH132" i="7949"/>
  <c r="AR43" i="7950"/>
  <c r="I43" i="7950" s="1"/>
  <c r="AQ44" i="7950"/>
  <c r="E44" i="7950" s="1"/>
  <c r="AR45" i="7950"/>
  <c r="I45" i="7950" s="1"/>
  <c r="M82" i="7951"/>
  <c r="AC82" i="7951" s="1"/>
  <c r="AB82" i="7951"/>
  <c r="AH129" i="7949"/>
  <c r="Y111" i="7951"/>
  <c r="BP111" i="7951" s="1"/>
  <c r="Y93" i="7951"/>
  <c r="BP93" i="7951" s="1"/>
  <c r="AC54" i="7955"/>
  <c r="AC105" i="7955"/>
  <c r="AC204" i="7955"/>
  <c r="AC355" i="7955"/>
  <c r="AC505" i="7955"/>
  <c r="AC455" i="7955"/>
  <c r="AC304" i="7955"/>
  <c r="AC155" i="7955"/>
  <c r="AC354" i="7955"/>
  <c r="AC254" i="7955"/>
  <c r="AC205" i="7955"/>
  <c r="AC255" i="7955"/>
  <c r="AC104" i="7955"/>
  <c r="AC454" i="7955"/>
  <c r="AC504" i="7955"/>
  <c r="AC404" i="7955"/>
  <c r="AC154" i="7955"/>
  <c r="AC405" i="7955"/>
  <c r="AC55" i="7955"/>
  <c r="AC305" i="7955"/>
  <c r="AC554" i="7955"/>
  <c r="Y129" i="7951"/>
  <c r="BP129" i="7951" s="1"/>
  <c r="AE54" i="7955"/>
  <c r="AE305" i="7955"/>
  <c r="AE205" i="7955"/>
  <c r="AE555" i="7955"/>
  <c r="AE105" i="7955"/>
  <c r="AE404" i="7955"/>
  <c r="AE154" i="7955"/>
  <c r="AE55" i="7955"/>
  <c r="AE204" i="7955"/>
  <c r="AE505" i="7955"/>
  <c r="AE554" i="7955"/>
  <c r="AE104" i="7955"/>
  <c r="AE255" i="7955"/>
  <c r="AE454" i="7955"/>
  <c r="AE304" i="7955"/>
  <c r="AE354" i="7955"/>
  <c r="AE155" i="7955"/>
  <c r="AE504" i="7955"/>
  <c r="AE405" i="7955"/>
  <c r="AE254" i="7955"/>
  <c r="AE355" i="7955"/>
  <c r="C48" i="7948"/>
  <c r="C43" i="7948"/>
  <c r="C44" i="7948"/>
  <c r="C47" i="7948"/>
  <c r="V53" i="7949"/>
  <c r="W53" i="7949"/>
  <c r="C52" i="7947"/>
  <c r="AW79" i="7949"/>
  <c r="BV67" i="7949"/>
  <c r="BU67" i="7949"/>
  <c r="BO67" i="7949"/>
  <c r="BM67" i="7949"/>
  <c r="BP67" i="7949" s="1"/>
  <c r="AB118" i="7951"/>
  <c r="BR72" i="7949" s="1"/>
  <c r="M118" i="7951"/>
  <c r="AC118" i="7951" s="1"/>
  <c r="Y113" i="7951"/>
  <c r="BP113" i="7951" s="1"/>
  <c r="AH48" i="7950"/>
  <c r="D44" i="7948" s="1"/>
  <c r="FH125" i="2"/>
  <c r="FJ125" i="2" s="1"/>
  <c r="FL102" i="2" s="1"/>
  <c r="BF67" i="7949" s="1"/>
  <c r="AH44" i="7950"/>
  <c r="AG49" i="7950"/>
  <c r="AG50" i="7950" s="1"/>
  <c r="AG51" i="7950" s="1"/>
  <c r="O41" i="7950" s="1"/>
  <c r="BF81" i="7949"/>
  <c r="BV81" i="7949"/>
  <c r="BM81" i="7949"/>
  <c r="BP81" i="7949" s="1"/>
  <c r="BU81" i="7949"/>
  <c r="BO81" i="7949"/>
  <c r="AA50" i="7947"/>
  <c r="V54" i="7947" s="1"/>
  <c r="BF82" i="7949"/>
  <c r="BO82" i="7949"/>
  <c r="BU82" i="7949"/>
  <c r="BM82" i="7949"/>
  <c r="BP82" i="7949" s="1"/>
  <c r="BV82" i="7949"/>
  <c r="BF59" i="7949"/>
  <c r="BO59" i="7949"/>
  <c r="BM59" i="7949"/>
  <c r="BP59" i="7949" s="1"/>
  <c r="BV59" i="7949"/>
  <c r="BU59" i="7949"/>
  <c r="BM55" i="7949"/>
  <c r="BP55" i="7949" s="1"/>
  <c r="BV55" i="7949"/>
  <c r="BO55" i="7949"/>
  <c r="BU55" i="7949"/>
  <c r="W52" i="7949"/>
  <c r="V52" i="7949"/>
  <c r="AW78" i="7949"/>
  <c r="BX66" i="7949"/>
  <c r="C51" i="7947"/>
  <c r="BM66" i="7949"/>
  <c r="BP66" i="7949" s="1"/>
  <c r="BU66" i="7949"/>
  <c r="BO66" i="7949"/>
  <c r="BV66" i="7949"/>
  <c r="AH131" i="7949"/>
  <c r="BU131" i="7949"/>
  <c r="AR59" i="7950"/>
  <c r="I59" i="7950" s="1"/>
  <c r="AQ60" i="7950"/>
  <c r="E60" i="7950" s="1"/>
  <c r="AR61" i="7950"/>
  <c r="I61" i="7950" s="1"/>
  <c r="BF133" i="7949"/>
  <c r="AH133" i="7949"/>
  <c r="BU133" i="7949"/>
  <c r="C45" i="7947"/>
  <c r="V45" i="7949"/>
  <c r="BX45" i="7949"/>
  <c r="W45" i="7949"/>
  <c r="AW57" i="7949"/>
  <c r="BT45" i="7949"/>
  <c r="BW45" i="7949" s="1"/>
  <c r="BM45" i="7949"/>
  <c r="BP45" i="7949" s="1"/>
  <c r="BV45" i="7949"/>
  <c r="BU45" i="7949"/>
  <c r="BO45" i="7949"/>
  <c r="AZ45" i="7949" s="1"/>
  <c r="V54" i="7949"/>
  <c r="AW80" i="7949"/>
  <c r="W54" i="7949"/>
  <c r="C53" i="7947"/>
  <c r="BF68" i="7949"/>
  <c r="BT68" i="7949"/>
  <c r="BW68" i="7949" s="1"/>
  <c r="BM68" i="7949"/>
  <c r="BP68" i="7949" s="1"/>
  <c r="BO68" i="7949"/>
  <c r="BV68" i="7949"/>
  <c r="BU68" i="7949"/>
  <c r="AH157" i="7949"/>
  <c r="BF157" i="7949"/>
  <c r="BU157" i="7949"/>
  <c r="V42" i="7949"/>
  <c r="W42" i="7949"/>
  <c r="AW54" i="7949"/>
  <c r="BR42" i="7949"/>
  <c r="C42" i="7947"/>
  <c r="BQ42" i="7949"/>
  <c r="BV42" i="7949"/>
  <c r="BO42" i="7949"/>
  <c r="BT42" i="7949"/>
  <c r="BW42" i="7949" s="1"/>
  <c r="BM42" i="7949"/>
  <c r="BP42" i="7949" s="1"/>
  <c r="BU42" i="7949"/>
  <c r="BN42" i="7949"/>
  <c r="Y75" i="7951"/>
  <c r="BP75" i="7951" s="1"/>
  <c r="AB204" i="7955"/>
  <c r="AB104" i="7955"/>
  <c r="AB404" i="7955"/>
  <c r="AB504" i="7955"/>
  <c r="AB154" i="7955"/>
  <c r="AB255" i="7955"/>
  <c r="AB205" i="7955"/>
  <c r="AB554" i="7955"/>
  <c r="AB105" i="7955"/>
  <c r="AB455" i="7955"/>
  <c r="AB55" i="7955"/>
  <c r="Y57" i="7951"/>
  <c r="BQ72" i="7949"/>
  <c r="AA154" i="7955"/>
  <c r="AA305" i="7955"/>
  <c r="AA404" i="7955"/>
  <c r="AA155" i="7955"/>
  <c r="AA505" i="7955"/>
  <c r="BR74" i="7949"/>
  <c r="BR48" i="7949"/>
  <c r="AA354" i="7955"/>
  <c r="AA204" i="7955"/>
  <c r="AA405" i="7955"/>
  <c r="BR73" i="7949"/>
  <c r="BQ71" i="7949"/>
  <c r="BR49" i="7949"/>
  <c r="BR50" i="7949"/>
  <c r="AA255" i="7955"/>
  <c r="AA55" i="7955"/>
  <c r="AA304" i="7955"/>
  <c r="AA105" i="7955"/>
  <c r="AA104" i="7955"/>
  <c r="BQ75" i="7949"/>
  <c r="AA504" i="7955"/>
  <c r="AA54" i="7955"/>
  <c r="AA205" i="7955"/>
  <c r="AA454" i="7955"/>
  <c r="AA555" i="7955"/>
  <c r="AA355" i="7955"/>
  <c r="BR87" i="7949"/>
  <c r="BR85" i="7949"/>
  <c r="BQ62" i="7949"/>
  <c r="BR86" i="7949"/>
  <c r="BR84" i="7949"/>
  <c r="BQ60" i="7949"/>
  <c r="BQ85" i="7949"/>
  <c r="BQ86" i="7949"/>
  <c r="BR60" i="7949"/>
  <c r="AQ43" i="7950"/>
  <c r="E43" i="7950" s="1"/>
  <c r="AR44" i="7950"/>
  <c r="I44" i="7950" s="1"/>
  <c r="AQ45" i="7950"/>
  <c r="E45" i="7950" s="1"/>
  <c r="AH156" i="7949"/>
  <c r="BU156" i="7949"/>
  <c r="FH121" i="2"/>
  <c r="FJ121" i="2" s="1"/>
  <c r="FL98" i="2" s="1"/>
  <c r="BF45" i="7949" s="1"/>
  <c r="AH47" i="7950"/>
  <c r="D43" i="7948" s="1"/>
  <c r="Y99" i="7951"/>
  <c r="BP99" i="7951" s="1"/>
  <c r="AP166" i="2"/>
  <c r="AO166" i="2" s="1"/>
  <c r="AP149" i="2"/>
  <c r="AO149" i="2" s="1"/>
  <c r="AP164" i="2"/>
  <c r="AO164" i="2" s="1"/>
  <c r="AP153" i="2"/>
  <c r="AO153" i="2" s="1"/>
  <c r="AP169" i="2"/>
  <c r="AO169" i="2" s="1"/>
  <c r="AP155" i="2"/>
  <c r="AO155" i="2" s="1"/>
  <c r="AP154" i="2"/>
  <c r="AO154" i="2" s="1"/>
  <c r="D52" i="2" s="1"/>
  <c r="C52" i="2" s="1"/>
  <c r="AP147" i="2"/>
  <c r="AO147" i="2" s="1"/>
  <c r="AP159" i="2"/>
  <c r="AO159" i="2" s="1"/>
  <c r="AP167" i="2"/>
  <c r="AO167" i="2" s="1"/>
  <c r="AP150" i="2"/>
  <c r="AO150" i="2" s="1"/>
  <c r="AP157" i="2"/>
  <c r="AO157" i="2" s="1"/>
  <c r="AP151" i="2"/>
  <c r="AO151" i="2" s="1"/>
  <c r="AP165" i="2"/>
  <c r="AO165" i="2" s="1"/>
  <c r="AP152" i="2"/>
  <c r="AO152" i="2" s="1"/>
  <c r="AP146" i="2"/>
  <c r="AO146" i="2" s="1"/>
  <c r="AP168" i="2"/>
  <c r="AO168" i="2" s="1"/>
  <c r="AP160" i="2"/>
  <c r="AO160" i="2" s="1"/>
  <c r="AP161" i="2"/>
  <c r="AO161" i="2" s="1"/>
  <c r="AP163" i="2"/>
  <c r="AO163" i="2" s="1"/>
  <c r="AP156" i="2"/>
  <c r="AO156" i="2" s="1"/>
  <c r="AP158" i="2"/>
  <c r="AO158" i="2" s="1"/>
  <c r="AP162" i="2"/>
  <c r="AO162" i="2" s="1"/>
  <c r="AP148" i="2"/>
  <c r="AO148" i="2" s="1"/>
  <c r="ES810" i="2"/>
  <c r="EW807" i="2"/>
  <c r="EX807" i="2"/>
  <c r="ET807" i="2"/>
  <c r="ES806" i="2"/>
  <c r="ES809" i="2"/>
  <c r="AN51" i="2"/>
  <c r="AN49" i="2"/>
  <c r="AN43" i="2"/>
  <c r="AN48" i="2"/>
  <c r="AN46" i="2"/>
  <c r="AN44" i="2"/>
  <c r="AN47" i="2"/>
  <c r="AN42" i="2"/>
  <c r="AN50" i="2"/>
  <c r="AN45" i="2"/>
  <c r="G45" i="2" l="1"/>
  <c r="K45" i="2"/>
  <c r="AQ45" i="2"/>
  <c r="I45" i="2"/>
  <c r="M45" i="2"/>
  <c r="AP45" i="2"/>
  <c r="J45" i="2" s="1"/>
  <c r="H45" i="2"/>
  <c r="F45" i="2"/>
  <c r="G50" i="2"/>
  <c r="AQ50" i="2"/>
  <c r="F50" i="2"/>
  <c r="AP50" i="2"/>
  <c r="J50" i="2" s="1"/>
  <c r="K50" i="2"/>
  <c r="I50" i="2"/>
  <c r="M50" i="2"/>
  <c r="H50" i="2"/>
  <c r="K42" i="2"/>
  <c r="M42" i="2"/>
  <c r="AQ42" i="2"/>
  <c r="AP42" i="2"/>
  <c r="J42" i="2" s="1"/>
  <c r="I42" i="2"/>
  <c r="H42" i="2"/>
  <c r="E42" i="2"/>
  <c r="G42" i="2"/>
  <c r="F42" i="2"/>
  <c r="D43" i="7953"/>
  <c r="F47" i="2"/>
  <c r="AP47" i="2"/>
  <c r="K47" i="2"/>
  <c r="I47" i="2"/>
  <c r="H47" i="2"/>
  <c r="M47" i="2"/>
  <c r="G47" i="2"/>
  <c r="AQ47" i="2"/>
  <c r="I44" i="2"/>
  <c r="K44" i="2"/>
  <c r="F44" i="2"/>
  <c r="AP44" i="2"/>
  <c r="J44" i="2" s="1"/>
  <c r="AQ44" i="2"/>
  <c r="G44" i="2"/>
  <c r="H44" i="2"/>
  <c r="M44" i="2"/>
  <c r="I46" i="2"/>
  <c r="K46" i="2"/>
  <c r="H46" i="2"/>
  <c r="M46" i="2"/>
  <c r="AQ46" i="2"/>
  <c r="G46" i="2"/>
  <c r="AP46" i="2"/>
  <c r="J46" i="2" s="1"/>
  <c r="F46" i="2"/>
  <c r="M48" i="2"/>
  <c r="H48" i="2"/>
  <c r="K48" i="2"/>
  <c r="I48" i="2"/>
  <c r="AP48" i="2"/>
  <c r="F48" i="2"/>
  <c r="AQ48" i="2"/>
  <c r="G48" i="2"/>
  <c r="K43" i="2"/>
  <c r="I43" i="2"/>
  <c r="AP43" i="2"/>
  <c r="F43" i="2"/>
  <c r="AQ43" i="2"/>
  <c r="G43" i="2"/>
  <c r="H43" i="2"/>
  <c r="M43" i="2"/>
  <c r="AP49" i="2"/>
  <c r="F49" i="2"/>
  <c r="I49" i="2"/>
  <c r="K49" i="2"/>
  <c r="M49" i="2"/>
  <c r="H49" i="2"/>
  <c r="AQ49" i="2"/>
  <c r="G49" i="2"/>
  <c r="F51" i="2"/>
  <c r="AP51" i="2"/>
  <c r="G51" i="2"/>
  <c r="AQ51" i="2"/>
  <c r="M51" i="2"/>
  <c r="H51" i="2"/>
  <c r="K51" i="2"/>
  <c r="I51" i="2"/>
  <c r="D48" i="2"/>
  <c r="C48" i="2" s="1"/>
  <c r="D46" i="2"/>
  <c r="C46" i="2" s="1"/>
  <c r="D50" i="2"/>
  <c r="C50" i="2" s="1"/>
  <c r="D47" i="2"/>
  <c r="C47" i="2" s="1"/>
  <c r="D42" i="2"/>
  <c r="C42" i="2" s="1"/>
  <c r="D49" i="2"/>
  <c r="C49" i="2" s="1"/>
  <c r="D43" i="2"/>
  <c r="C43" i="2" s="1"/>
  <c r="D51" i="2"/>
  <c r="C51" i="2" s="1"/>
  <c r="E45" i="2"/>
  <c r="E47" i="2"/>
  <c r="E49" i="2"/>
  <c r="E44" i="2"/>
  <c r="E50" i="2"/>
  <c r="ET390" i="2"/>
  <c r="EX390" i="2"/>
  <c r="EW390" i="2"/>
  <c r="ER367" i="2"/>
  <c r="ES361" i="2"/>
  <c r="ET89" i="2"/>
  <c r="EW89" i="2"/>
  <c r="EX89" i="2"/>
  <c r="EW469" i="2"/>
  <c r="EX469" i="2"/>
  <c r="ET469" i="2"/>
  <c r="EW191" i="2"/>
  <c r="ET191" i="2"/>
  <c r="EX191" i="2"/>
  <c r="EY55" i="2"/>
  <c r="ES54" i="2"/>
  <c r="ES69" i="2"/>
  <c r="ER75" i="2"/>
  <c r="ER74" i="2"/>
  <c r="ES68" i="2"/>
  <c r="EW397" i="2"/>
  <c r="ET397" i="2"/>
  <c r="EX397" i="2"/>
  <c r="ER902" i="2"/>
  <c r="EY898" i="2"/>
  <c r="EY899" i="2" s="1"/>
  <c r="EV647" i="2"/>
  <c r="EW647" i="2" s="1"/>
  <c r="EV653" i="2"/>
  <c r="EW653" i="2" s="1"/>
  <c r="EV648" i="2"/>
  <c r="EW648" i="2" s="1"/>
  <c r="EV645" i="2"/>
  <c r="EW645" i="2" s="1"/>
  <c r="EV651" i="2"/>
  <c r="EW651" i="2" s="1"/>
  <c r="EV650" i="2"/>
  <c r="EW650" i="2" s="1"/>
  <c r="EV644" i="2"/>
  <c r="EW644" i="2" s="1"/>
  <c r="EV649" i="2"/>
  <c r="EW649" i="2" s="1"/>
  <c r="EV646" i="2"/>
  <c r="EW646" i="2" s="1"/>
  <c r="EV652" i="2"/>
  <c r="EW652" i="2" s="1"/>
  <c r="EX194" i="2"/>
  <c r="EW194" i="2"/>
  <c r="ET194" i="2"/>
  <c r="ER775" i="2"/>
  <c r="EY774" i="2"/>
  <c r="EY775" i="2" s="1"/>
  <c r="EY776" i="2" s="1"/>
  <c r="EY777" i="2" s="1"/>
  <c r="EY778" i="2" s="1"/>
  <c r="ER778" i="2"/>
  <c r="EY792" i="2"/>
  <c r="EY793" i="2" s="1"/>
  <c r="EY794" i="2" s="1"/>
  <c r="EY795" i="2" s="1"/>
  <c r="EY796" i="2" s="1"/>
  <c r="EY169" i="2"/>
  <c r="ES168" i="2"/>
  <c r="EX904" i="2"/>
  <c r="EW904" i="2"/>
  <c r="ET904" i="2"/>
  <c r="ET363" i="2"/>
  <c r="EW363" i="2"/>
  <c r="EX363" i="2"/>
  <c r="ET911" i="2"/>
  <c r="EW911" i="2"/>
  <c r="EX911" i="2"/>
  <c r="EX178" i="2"/>
  <c r="ET178" i="2"/>
  <c r="EW178" i="2"/>
  <c r="ER376" i="2"/>
  <c r="ES370" i="2"/>
  <c r="EW362" i="2"/>
  <c r="ET362" i="2"/>
  <c r="EX362" i="2"/>
  <c r="ER803" i="2"/>
  <c r="ES803" i="2" s="1"/>
  <c r="EY802" i="2"/>
  <c r="EY803" i="2" s="1"/>
  <c r="EY799" i="2"/>
  <c r="ER802" i="2"/>
  <c r="ES802" i="2" s="1"/>
  <c r="EW86" i="2"/>
  <c r="ET86" i="2"/>
  <c r="EX86" i="2"/>
  <c r="EW479" i="2"/>
  <c r="ET479" i="2"/>
  <c r="EX479" i="2"/>
  <c r="ER76" i="2"/>
  <c r="ES70" i="2"/>
  <c r="ER73" i="2"/>
  <c r="ES67" i="2"/>
  <c r="EW93" i="2"/>
  <c r="EX93" i="2"/>
  <c r="ET93" i="2"/>
  <c r="ES371" i="2"/>
  <c r="ER377" i="2"/>
  <c r="EX187" i="2"/>
  <c r="ET187" i="2"/>
  <c r="EW187" i="2"/>
  <c r="ET192" i="2"/>
  <c r="EX192" i="2"/>
  <c r="EW192" i="2"/>
  <c r="EY651" i="2"/>
  <c r="EZ651" i="2" s="1"/>
  <c r="EY649" i="2"/>
  <c r="EZ649" i="2" s="1"/>
  <c r="EY647" i="2"/>
  <c r="EZ647" i="2" s="1"/>
  <c r="EY644" i="2"/>
  <c r="EZ644" i="2" s="1"/>
  <c r="EY650" i="2"/>
  <c r="EZ650" i="2" s="1"/>
  <c r="EY646" i="2"/>
  <c r="EZ646" i="2" s="1"/>
  <c r="EY652" i="2"/>
  <c r="EZ652" i="2" s="1"/>
  <c r="EY645" i="2"/>
  <c r="EZ645" i="2" s="1"/>
  <c r="EY653" i="2"/>
  <c r="EZ653" i="2" s="1"/>
  <c r="EY648" i="2"/>
  <c r="EZ648" i="2" s="1"/>
  <c r="E46" i="2"/>
  <c r="E51" i="2"/>
  <c r="EX355" i="2"/>
  <c r="ET355" i="2"/>
  <c r="EW355" i="2"/>
  <c r="ES356" i="2"/>
  <c r="EY357" i="2"/>
  <c r="EY471" i="2"/>
  <c r="ES471" i="2" s="1"/>
  <c r="ES470" i="2"/>
  <c r="ET185" i="2"/>
  <c r="EW185" i="2"/>
  <c r="EX185" i="2"/>
  <c r="ER66" i="2"/>
  <c r="ES60" i="2"/>
  <c r="EX63" i="2"/>
  <c r="EW63" i="2"/>
  <c r="ET63" i="2"/>
  <c r="EW62" i="2"/>
  <c r="EX62" i="2"/>
  <c r="ET62" i="2"/>
  <c r="ES646" i="2"/>
  <c r="ET646" i="2" s="1"/>
  <c r="ES653" i="2"/>
  <c r="ET653" i="2" s="1"/>
  <c r="ES651" i="2"/>
  <c r="ET651" i="2" s="1"/>
  <c r="ES644" i="2"/>
  <c r="ET644" i="2" s="1"/>
  <c r="ES645" i="2"/>
  <c r="ET645" i="2" s="1"/>
  <c r="ES649" i="2"/>
  <c r="ET649" i="2" s="1"/>
  <c r="ES647" i="2"/>
  <c r="ET647" i="2" s="1"/>
  <c r="ES648" i="2"/>
  <c r="ET648" i="2" s="1"/>
  <c r="ES652" i="2"/>
  <c r="ET652" i="2" s="1"/>
  <c r="ES650" i="2"/>
  <c r="ET650" i="2" s="1"/>
  <c r="EW188" i="2"/>
  <c r="EX188" i="2"/>
  <c r="ET188" i="2"/>
  <c r="ER768" i="2"/>
  <c r="EY767" i="2"/>
  <c r="EY786" i="2"/>
  <c r="EY787" i="2" s="1"/>
  <c r="EY788" i="2" s="1"/>
  <c r="EY789" i="2" s="1"/>
  <c r="EY790" i="2" s="1"/>
  <c r="ER777" i="2"/>
  <c r="EY780" i="2"/>
  <c r="EY781" i="2" s="1"/>
  <c r="EY782" i="2" s="1"/>
  <c r="EY783" i="2" s="1"/>
  <c r="EY784" i="2" s="1"/>
  <c r="ER776" i="2"/>
  <c r="ET167" i="2"/>
  <c r="EW167" i="2"/>
  <c r="EX167" i="2"/>
  <c r="EW908" i="2"/>
  <c r="EX908" i="2"/>
  <c r="ET908" i="2"/>
  <c r="E43" i="2"/>
  <c r="E48" i="2"/>
  <c r="ES369" i="2"/>
  <c r="ER375" i="2"/>
  <c r="ER190" i="2"/>
  <c r="ES190" i="2" s="1"/>
  <c r="ES184" i="2"/>
  <c r="EW364" i="2"/>
  <c r="ET364" i="2"/>
  <c r="EX364" i="2"/>
  <c r="ER374" i="2"/>
  <c r="ES368" i="2"/>
  <c r="ER915" i="2"/>
  <c r="ES912" i="2"/>
  <c r="EY914" i="2"/>
  <c r="EW85" i="2"/>
  <c r="EX85" i="2"/>
  <c r="ET85" i="2"/>
  <c r="ES485" i="2"/>
  <c r="ER491" i="2"/>
  <c r="ES491" i="2" s="1"/>
  <c r="EX64" i="2"/>
  <c r="ET64" i="2"/>
  <c r="EW64" i="2"/>
  <c r="EW61" i="2"/>
  <c r="ET61" i="2"/>
  <c r="EX61" i="2"/>
  <c r="EX92" i="2"/>
  <c r="ET92" i="2"/>
  <c r="EW92" i="2"/>
  <c r="EW365" i="2"/>
  <c r="EX365" i="2"/>
  <c r="ET365" i="2"/>
  <c r="EW193" i="2"/>
  <c r="ET193" i="2"/>
  <c r="EX193" i="2"/>
  <c r="ER907" i="2"/>
  <c r="ES907" i="2" s="1"/>
  <c r="ES903" i="2"/>
  <c r="ET186" i="2"/>
  <c r="EW186" i="2"/>
  <c r="EX186" i="2"/>
  <c r="BI119" i="7949"/>
  <c r="BV161" i="7949" s="1"/>
  <c r="BV43" i="7949"/>
  <c r="AB254" i="7955"/>
  <c r="K65" i="7950"/>
  <c r="K58" i="7950"/>
  <c r="AV65" i="7950"/>
  <c r="AZ73" i="7949"/>
  <c r="BO75" i="7949"/>
  <c r="BO85" i="7949"/>
  <c r="BO72" i="7949"/>
  <c r="AZ72" i="7949" s="1"/>
  <c r="BX68" i="7949"/>
  <c r="FJ124" i="2"/>
  <c r="FL101" i="2" s="1"/>
  <c r="BF155" i="7949" s="1"/>
  <c r="BF156" i="7949"/>
  <c r="BR61" i="7949"/>
  <c r="BR83" i="7949"/>
  <c r="BR63" i="7949"/>
  <c r="BQ87" i="7949"/>
  <c r="BR62" i="7949"/>
  <c r="BQ63" i="7949"/>
  <c r="BQ83" i="7949"/>
  <c r="BQ84" i="7949"/>
  <c r="BQ61" i="7949"/>
  <c r="BR75" i="7949"/>
  <c r="BR51" i="7949"/>
  <c r="BQ49" i="7949"/>
  <c r="BR71" i="7949"/>
  <c r="BQ73" i="7949"/>
  <c r="AA254" i="7955"/>
  <c r="AA554" i="7955"/>
  <c r="BQ48" i="7949"/>
  <c r="BQ74" i="7949"/>
  <c r="BQ50" i="7949"/>
  <c r="AB405" i="7955"/>
  <c r="AB505" i="7955"/>
  <c r="AB454" i="7955"/>
  <c r="AB555" i="7955"/>
  <c r="AB305" i="7955"/>
  <c r="AB304" i="7955"/>
  <c r="AB155" i="7955"/>
  <c r="AB355" i="7955"/>
  <c r="AB54" i="7955"/>
  <c r="AB354" i="7955"/>
  <c r="BY42" i="7949"/>
  <c r="BN68" i="7949"/>
  <c r="BN45" i="7949"/>
  <c r="BM49" i="7949"/>
  <c r="BP49" i="7949" s="1"/>
  <c r="BM51" i="7949"/>
  <c r="BP51" i="7949" s="1"/>
  <c r="BM87" i="7949"/>
  <c r="BP87" i="7949" s="1"/>
  <c r="BM60" i="7949"/>
  <c r="BP60" i="7949" s="1"/>
  <c r="BM84" i="7949"/>
  <c r="BP84" i="7949" s="1"/>
  <c r="BM74" i="7949"/>
  <c r="BP74" i="7949" s="1"/>
  <c r="BM48" i="7949"/>
  <c r="BP48" i="7949" s="1"/>
  <c r="BM63" i="7949"/>
  <c r="BP63" i="7949" s="1"/>
  <c r="BO87" i="7949"/>
  <c r="BO83" i="7949"/>
  <c r="BO86" i="7949"/>
  <c r="BN44" i="7949"/>
  <c r="BG117" i="7949"/>
  <c r="BM69" i="7949"/>
  <c r="BP69" i="7949" s="1"/>
  <c r="BM47" i="7949"/>
  <c r="BP47" i="7949" s="1"/>
  <c r="BM70" i="7949"/>
  <c r="BP70" i="7949" s="1"/>
  <c r="BR55" i="7949"/>
  <c r="BM160" i="7949"/>
  <c r="BP160" i="7949" s="1"/>
  <c r="BM43" i="7949"/>
  <c r="BP43" i="7949" s="1"/>
  <c r="AZ81" i="7949"/>
  <c r="BQ51" i="7949"/>
  <c r="BT66" i="7949"/>
  <c r="BW66" i="7949" s="1"/>
  <c r="BN66" i="7949"/>
  <c r="BT55" i="7949"/>
  <c r="BW55" i="7949" s="1"/>
  <c r="BN59" i="7949"/>
  <c r="BT81" i="7949"/>
  <c r="BW81" i="7949" s="1"/>
  <c r="BN81" i="7949"/>
  <c r="BN67" i="7949"/>
  <c r="BU132" i="7949"/>
  <c r="BU155" i="7949"/>
  <c r="BV138" i="7949"/>
  <c r="BV164" i="7949"/>
  <c r="AZ51" i="7949"/>
  <c r="BV135" i="7949"/>
  <c r="BV136" i="7949"/>
  <c r="BV163" i="7949"/>
  <c r="BO71" i="7949"/>
  <c r="BO60" i="7949"/>
  <c r="BO50" i="7949"/>
  <c r="BO48" i="7949"/>
  <c r="BO49" i="7949"/>
  <c r="BO63" i="7949"/>
  <c r="BO84" i="7949"/>
  <c r="BO74" i="7949"/>
  <c r="AZ74" i="7949" s="1"/>
  <c r="BF119" i="7949"/>
  <c r="BO43" i="7949"/>
  <c r="AZ43" i="7949" s="1"/>
  <c r="BO47" i="7949"/>
  <c r="AZ47" i="7949" s="1"/>
  <c r="BO70" i="7949"/>
  <c r="AZ70" i="7949" s="1"/>
  <c r="BO69" i="7949"/>
  <c r="AZ69" i="7949" s="1"/>
  <c r="BB121" i="7949"/>
  <c r="BX133" i="7949" s="1"/>
  <c r="AZ115" i="7949"/>
  <c r="BA121" i="7949"/>
  <c r="BR131" i="7949" s="1"/>
  <c r="BT48" i="7949"/>
  <c r="BW48" i="7949" s="1"/>
  <c r="BA48" i="7949" s="1"/>
  <c r="AZ46" i="7949"/>
  <c r="BQ45" i="7949"/>
  <c r="BX42" i="7949"/>
  <c r="BQ68" i="7949"/>
  <c r="BR68" i="7949"/>
  <c r="BY68" i="7949"/>
  <c r="BR45" i="7949"/>
  <c r="BY45" i="7949"/>
  <c r="BQ133" i="7949"/>
  <c r="BR66" i="7949"/>
  <c r="BQ66" i="7949"/>
  <c r="BN55" i="7949"/>
  <c r="BT59" i="7949"/>
  <c r="BW59" i="7949" s="1"/>
  <c r="BT82" i="7949"/>
  <c r="BW82" i="7949" s="1"/>
  <c r="BA82" i="7949" s="1"/>
  <c r="BN82" i="7949"/>
  <c r="AY82" i="7949" s="1"/>
  <c r="BR59" i="7949"/>
  <c r="BT67" i="7949"/>
  <c r="BW67" i="7949" s="1"/>
  <c r="BA67" i="7949" s="1"/>
  <c r="BU129" i="7949"/>
  <c r="BT46" i="7949"/>
  <c r="BW46" i="7949" s="1"/>
  <c r="BA46" i="7949" s="1"/>
  <c r="BT44" i="7949"/>
  <c r="BW44" i="7949" s="1"/>
  <c r="BT49" i="7949"/>
  <c r="BW49" i="7949" s="1"/>
  <c r="BA49" i="7949" s="1"/>
  <c r="BM135" i="7949"/>
  <c r="BP135" i="7949" s="1"/>
  <c r="BM137" i="7949"/>
  <c r="BP137" i="7949" s="1"/>
  <c r="BM164" i="7949"/>
  <c r="BP164" i="7949" s="1"/>
  <c r="BT63" i="7949"/>
  <c r="BW63" i="7949" s="1"/>
  <c r="BA63" i="7949" s="1"/>
  <c r="BT86" i="7949"/>
  <c r="BW86" i="7949" s="1"/>
  <c r="BA86" i="7949" s="1"/>
  <c r="BR82" i="7949"/>
  <c r="BT50" i="7949"/>
  <c r="BW50" i="7949" s="1"/>
  <c r="BA50" i="7949" s="1"/>
  <c r="BT75" i="7949"/>
  <c r="BW75" i="7949" s="1"/>
  <c r="BA75" i="7949" s="1"/>
  <c r="BT74" i="7949"/>
  <c r="BW74" i="7949" s="1"/>
  <c r="BA74" i="7949" s="1"/>
  <c r="BT87" i="7949"/>
  <c r="BW87" i="7949" s="1"/>
  <c r="BA87" i="7949" s="1"/>
  <c r="BT61" i="7949"/>
  <c r="BW61" i="7949" s="1"/>
  <c r="BA61" i="7949" s="1"/>
  <c r="BR81" i="7949"/>
  <c r="BU138" i="7949"/>
  <c r="BU162" i="7949"/>
  <c r="BU135" i="7949"/>
  <c r="BU137" i="7949"/>
  <c r="BU160" i="7949"/>
  <c r="BM138" i="7949"/>
  <c r="BP138" i="7949" s="1"/>
  <c r="BV158" i="7949"/>
  <c r="BV130" i="7949"/>
  <c r="BV159" i="7949"/>
  <c r="BV134" i="7949"/>
  <c r="BO159" i="7949"/>
  <c r="AZ159" i="7949" s="1"/>
  <c r="BO134" i="7949"/>
  <c r="AZ134" i="7949" s="1"/>
  <c r="BO158" i="7949"/>
  <c r="AZ158" i="7949" s="1"/>
  <c r="BO130" i="7949"/>
  <c r="BY66" i="7949"/>
  <c r="BQ55" i="7949"/>
  <c r="BX55" i="7949"/>
  <c r="BQ59" i="7949"/>
  <c r="BT73" i="7949"/>
  <c r="BW73" i="7949" s="1"/>
  <c r="BA73" i="7949" s="1"/>
  <c r="BT83" i="7949"/>
  <c r="BW83" i="7949" s="1"/>
  <c r="BA83" i="7949" s="1"/>
  <c r="BT71" i="7949"/>
  <c r="BW71" i="7949" s="1"/>
  <c r="BA71" i="7949" s="1"/>
  <c r="BT51" i="7949"/>
  <c r="BW51" i="7949" s="1"/>
  <c r="BA51" i="7949" s="1"/>
  <c r="BT60" i="7949"/>
  <c r="BW60" i="7949" s="1"/>
  <c r="BA60" i="7949" s="1"/>
  <c r="BT84" i="7949"/>
  <c r="BW84" i="7949" s="1"/>
  <c r="BA84" i="7949" s="1"/>
  <c r="BT62" i="7949"/>
  <c r="BW62" i="7949" s="1"/>
  <c r="BA62" i="7949" s="1"/>
  <c r="BT72" i="7949"/>
  <c r="BW72" i="7949" s="1"/>
  <c r="BA72" i="7949" s="1"/>
  <c r="AZ60" i="7949"/>
  <c r="AZ62" i="7949"/>
  <c r="AZ50" i="7949"/>
  <c r="AZ87" i="7949"/>
  <c r="AZ61" i="7949"/>
  <c r="AZ83" i="7949"/>
  <c r="AZ86" i="7949"/>
  <c r="AZ71" i="7949"/>
  <c r="AZ75" i="7949"/>
  <c r="AZ85" i="7949"/>
  <c r="AZ48" i="7949"/>
  <c r="AZ49" i="7949"/>
  <c r="AZ63" i="7949"/>
  <c r="AZ84" i="7949"/>
  <c r="BU158" i="7949"/>
  <c r="BU130" i="7949"/>
  <c r="BU134" i="7949"/>
  <c r="BU159" i="7949"/>
  <c r="BM159" i="7949"/>
  <c r="BP159" i="7949" s="1"/>
  <c r="BM130" i="7949"/>
  <c r="BP130" i="7949" s="1"/>
  <c r="BM134" i="7949"/>
  <c r="BP134" i="7949" s="1"/>
  <c r="BM158" i="7949"/>
  <c r="BP158" i="7949" s="1"/>
  <c r="AZ68" i="7949"/>
  <c r="BB68" i="7949"/>
  <c r="BY82" i="7949"/>
  <c r="BC82" i="7949" s="1"/>
  <c r="BY81" i="7949"/>
  <c r="BX81" i="7949"/>
  <c r="BP59" i="7951"/>
  <c r="T59" i="7949" s="1"/>
  <c r="AZ117" i="7949"/>
  <c r="BP63" i="7951"/>
  <c r="T61" i="7949" s="1"/>
  <c r="AZ120" i="7949"/>
  <c r="BP62" i="7951"/>
  <c r="AZ119" i="7949"/>
  <c r="BJ116" i="7949"/>
  <c r="BT43" i="7949"/>
  <c r="BW43" i="7949" s="1"/>
  <c r="BA43" i="7949" s="1"/>
  <c r="BT47" i="7949"/>
  <c r="BW47" i="7949" s="1"/>
  <c r="BA47" i="7949" s="1"/>
  <c r="BT70" i="7949"/>
  <c r="BW70" i="7949" s="1"/>
  <c r="BA70" i="7949" s="1"/>
  <c r="BT134" i="7949"/>
  <c r="BW134" i="7949" s="1"/>
  <c r="BT69" i="7949"/>
  <c r="BW69" i="7949" s="1"/>
  <c r="BA69" i="7949" s="1"/>
  <c r="BE117" i="7949"/>
  <c r="BN136" i="7949" s="1"/>
  <c r="AY136" i="7949" s="1"/>
  <c r="BN83" i="7949"/>
  <c r="AY83" i="7949" s="1"/>
  <c r="BN51" i="7949"/>
  <c r="AY51" i="7949" s="1"/>
  <c r="BN75" i="7949"/>
  <c r="AY75" i="7949" s="1"/>
  <c r="BN164" i="7949"/>
  <c r="AY164" i="7949" s="1"/>
  <c r="BN50" i="7949"/>
  <c r="AY50" i="7949" s="1"/>
  <c r="BN73" i="7949"/>
  <c r="AY73" i="7949" s="1"/>
  <c r="BN60" i="7949"/>
  <c r="AY60" i="7949" s="1"/>
  <c r="BN48" i="7949"/>
  <c r="AY48" i="7949" s="1"/>
  <c r="BN72" i="7949"/>
  <c r="AY72" i="7949" s="1"/>
  <c r="BN49" i="7949"/>
  <c r="AY49" i="7949" s="1"/>
  <c r="BN74" i="7949"/>
  <c r="AY74" i="7949" s="1"/>
  <c r="BN84" i="7949"/>
  <c r="AY84" i="7949" s="1"/>
  <c r="BN61" i="7949"/>
  <c r="AY61" i="7949" s="1"/>
  <c r="BN71" i="7949"/>
  <c r="AY71" i="7949" s="1"/>
  <c r="BN62" i="7949"/>
  <c r="AY62" i="7949" s="1"/>
  <c r="BN85" i="7949"/>
  <c r="AY85" i="7949" s="1"/>
  <c r="BN87" i="7949"/>
  <c r="AY87" i="7949" s="1"/>
  <c r="BN163" i="7949"/>
  <c r="AY163" i="7949" s="1"/>
  <c r="BN86" i="7949"/>
  <c r="AY86" i="7949" s="1"/>
  <c r="BN63" i="7949"/>
  <c r="AY63" i="7949" s="1"/>
  <c r="BN43" i="7949"/>
  <c r="AY43" i="7949" s="1"/>
  <c r="AX43" i="7949" s="1"/>
  <c r="BN47" i="7949"/>
  <c r="AY47" i="7949" s="1"/>
  <c r="BH47" i="7949" s="1"/>
  <c r="BN70" i="7949"/>
  <c r="AY70" i="7949" s="1"/>
  <c r="BN159" i="7949"/>
  <c r="BN69" i="7949"/>
  <c r="AY69" i="7949" s="1"/>
  <c r="AX69" i="7949" s="1"/>
  <c r="AY44" i="7949"/>
  <c r="BA44" i="7949"/>
  <c r="AY81" i="7949"/>
  <c r="BG81" i="7949" s="1"/>
  <c r="BQ81" i="7949"/>
  <c r="J43" i="7947"/>
  <c r="BY55" i="7949"/>
  <c r="BY59" i="7949"/>
  <c r="BC59" i="7949" s="1"/>
  <c r="BX59" i="7949"/>
  <c r="BQ82" i="7949"/>
  <c r="BX82" i="7949"/>
  <c r="BQ129" i="7949"/>
  <c r="AY46" i="7949"/>
  <c r="AH43" i="7947"/>
  <c r="BB45" i="7949"/>
  <c r="AY66" i="7949"/>
  <c r="AY67" i="7949"/>
  <c r="Y82" i="7951"/>
  <c r="BX44" i="7949"/>
  <c r="BX155" i="7949"/>
  <c r="AB55" i="7947"/>
  <c r="AA63" i="7955"/>
  <c r="AA62" i="7955"/>
  <c r="AA113" i="7955"/>
  <c r="AA112" i="7955"/>
  <c r="AA312" i="7955"/>
  <c r="AA313" i="7955"/>
  <c r="AA263" i="7955"/>
  <c r="AA262" i="7955"/>
  <c r="AA562" i="7955"/>
  <c r="AA563" i="7955"/>
  <c r="AB563" i="7955"/>
  <c r="AB565" i="7955" s="1"/>
  <c r="AB562" i="7955"/>
  <c r="AB162" i="7955"/>
  <c r="AB163" i="7955"/>
  <c r="AB165" i="7955" s="1"/>
  <c r="AB513" i="7955"/>
  <c r="AB515" i="7955" s="1"/>
  <c r="AB512" i="7955"/>
  <c r="AB413" i="7955"/>
  <c r="AB415" i="7955" s="1"/>
  <c r="AB412" i="7955"/>
  <c r="AB112" i="7955"/>
  <c r="AB113" i="7955"/>
  <c r="AB115" i="7955" s="1"/>
  <c r="AB213" i="7955"/>
  <c r="AB215" i="7955" s="1"/>
  <c r="AB212" i="7955"/>
  <c r="I41" i="7947"/>
  <c r="D44" i="7947" s="1"/>
  <c r="AH42" i="7947"/>
  <c r="D42" i="7947"/>
  <c r="J42" i="7947"/>
  <c r="BY54" i="7949"/>
  <c r="BX54" i="7949"/>
  <c r="BR54" i="7949"/>
  <c r="BC54" i="7949" s="1"/>
  <c r="BQ54" i="7949"/>
  <c r="BB54" i="7949" s="1"/>
  <c r="BU54" i="7949"/>
  <c r="BT54" i="7949"/>
  <c r="BW54" i="7949" s="1"/>
  <c r="BN54" i="7949"/>
  <c r="AY54" i="7949" s="1"/>
  <c r="BO54" i="7949"/>
  <c r="BM54" i="7949"/>
  <c r="BP54" i="7949" s="1"/>
  <c r="BV54" i="7949"/>
  <c r="BX57" i="7949"/>
  <c r="BF57" i="7949"/>
  <c r="BY57" i="7949"/>
  <c r="BR57" i="7949"/>
  <c r="BQ57" i="7949"/>
  <c r="BB57" i="7949" s="1"/>
  <c r="BV57" i="7949"/>
  <c r="BN57" i="7949"/>
  <c r="BU57" i="7949"/>
  <c r="BO57" i="7949"/>
  <c r="BT57" i="7949"/>
  <c r="BW57" i="7949" s="1"/>
  <c r="BM57" i="7949"/>
  <c r="BP57" i="7949" s="1"/>
  <c r="AA41" i="7947"/>
  <c r="V42" i="7947" s="1"/>
  <c r="D45" i="7947"/>
  <c r="J45" i="7947"/>
  <c r="AH45" i="7947"/>
  <c r="BY78" i="7949"/>
  <c r="BX78" i="7949"/>
  <c r="BF78" i="7949"/>
  <c r="BR78" i="7949"/>
  <c r="BQ78" i="7949"/>
  <c r="BV78" i="7949"/>
  <c r="BN78" i="7949"/>
  <c r="BM78" i="7949"/>
  <c r="BP78" i="7949" s="1"/>
  <c r="BU78" i="7949"/>
  <c r="BO78" i="7949"/>
  <c r="AZ78" i="7949" s="1"/>
  <c r="BT78" i="7949"/>
  <c r="BW78" i="7949" s="1"/>
  <c r="BG69" i="7949"/>
  <c r="BX79" i="7949"/>
  <c r="BY79" i="7949"/>
  <c r="BF79" i="7949"/>
  <c r="BQ79" i="7949"/>
  <c r="BR79" i="7949"/>
  <c r="BU79" i="7949"/>
  <c r="BN79" i="7949"/>
  <c r="BO79" i="7949"/>
  <c r="BT79" i="7949"/>
  <c r="BW79" i="7949" s="1"/>
  <c r="BM79" i="7949"/>
  <c r="BP79" i="7949" s="1"/>
  <c r="BV79" i="7949"/>
  <c r="O50" i="7947"/>
  <c r="J52" i="7947" s="1"/>
  <c r="AB52" i="7947"/>
  <c r="V52" i="7947"/>
  <c r="AE313" i="7955"/>
  <c r="AE315" i="7955" s="1"/>
  <c r="AE312" i="7955"/>
  <c r="AE562" i="7955"/>
  <c r="AE563" i="7955"/>
  <c r="AE565" i="7955" s="1"/>
  <c r="AE212" i="7955"/>
  <c r="AE213" i="7955"/>
  <c r="AE215" i="7955" s="1"/>
  <c r="AE163" i="7955"/>
  <c r="AE165" i="7955" s="1"/>
  <c r="AE162" i="7955"/>
  <c r="AE62" i="7955"/>
  <c r="AE63" i="7955"/>
  <c r="AE65" i="7955" s="1"/>
  <c r="AC562" i="7955"/>
  <c r="AC563" i="7955"/>
  <c r="AC565" i="7955" s="1"/>
  <c r="AC163" i="7955"/>
  <c r="AC165" i="7955" s="1"/>
  <c r="AC162" i="7955"/>
  <c r="AC513" i="7955"/>
  <c r="AC515" i="7955" s="1"/>
  <c r="AC512" i="7955"/>
  <c r="AC112" i="7955"/>
  <c r="AC113" i="7955"/>
  <c r="AC115" i="7955" s="1"/>
  <c r="AC362" i="7955"/>
  <c r="AC363" i="7955"/>
  <c r="AC365" i="7955" s="1"/>
  <c r="AC312" i="7955"/>
  <c r="AC313" i="7955"/>
  <c r="AC315" i="7955" s="1"/>
  <c r="AC213" i="7955"/>
  <c r="AC215" i="7955" s="1"/>
  <c r="AC212" i="7955"/>
  <c r="AC62" i="7955"/>
  <c r="AC63" i="7955"/>
  <c r="AC65" i="7955" s="1"/>
  <c r="BG46" i="7949"/>
  <c r="BY58" i="7949"/>
  <c r="BX58" i="7949"/>
  <c r="BF58" i="7949"/>
  <c r="BR58" i="7949"/>
  <c r="BQ58" i="7949"/>
  <c r="BT58" i="7949"/>
  <c r="BW58" i="7949" s="1"/>
  <c r="BN58" i="7949"/>
  <c r="BU58" i="7949"/>
  <c r="BO58" i="7949"/>
  <c r="BM58" i="7949"/>
  <c r="BP58" i="7949" s="1"/>
  <c r="BA58" i="7949" s="1"/>
  <c r="BV58" i="7949"/>
  <c r="U41" i="7947"/>
  <c r="J44" i="7947"/>
  <c r="AA455" i="7955"/>
  <c r="AA462" i="7955" s="1"/>
  <c r="Y64" i="7951"/>
  <c r="AL43" i="7947" s="1"/>
  <c r="BQ43" i="7949"/>
  <c r="BR158" i="7949"/>
  <c r="BR70" i="7949"/>
  <c r="BQ159" i="7949"/>
  <c r="BR130" i="7949"/>
  <c r="BR134" i="7949"/>
  <c r="BQ134" i="7949"/>
  <c r="BR69" i="7949"/>
  <c r="BR43" i="7949"/>
  <c r="BQ47" i="7949"/>
  <c r="BR47" i="7949"/>
  <c r="BQ158" i="7949"/>
  <c r="BQ70" i="7949"/>
  <c r="BR159" i="7949"/>
  <c r="BQ130" i="7949"/>
  <c r="BQ69" i="7949"/>
  <c r="BA66" i="7949"/>
  <c r="BF66" i="7949"/>
  <c r="BA59" i="7949"/>
  <c r="BA81" i="7949"/>
  <c r="FJ118" i="2"/>
  <c r="FL95" i="2" s="1"/>
  <c r="BF54" i="7949" s="1"/>
  <c r="FJ120" i="2"/>
  <c r="FL97" i="2" s="1"/>
  <c r="FJ119" i="2"/>
  <c r="FL96" i="2" s="1"/>
  <c r="BR67" i="7949"/>
  <c r="AJ124" i="7950"/>
  <c r="AD405" i="7955"/>
  <c r="AD155" i="7955"/>
  <c r="AD454" i="7955"/>
  <c r="AD54" i="7955"/>
  <c r="AD204" i="7955"/>
  <c r="AD255" i="7955"/>
  <c r="AD505" i="7955"/>
  <c r="AD104" i="7955"/>
  <c r="AD254" i="7955"/>
  <c r="AD355" i="7955"/>
  <c r="AD305" i="7955"/>
  <c r="BY129" i="7949"/>
  <c r="BR132" i="7949"/>
  <c r="BQ132" i="7949"/>
  <c r="BF132" i="7949"/>
  <c r="BR46" i="7949"/>
  <c r="BX46" i="7949"/>
  <c r="BY46" i="7949"/>
  <c r="AZ44" i="7949"/>
  <c r="BQ44" i="7949"/>
  <c r="BR155" i="7949"/>
  <c r="AH44" i="7947"/>
  <c r="AA512" i="7955"/>
  <c r="AA513" i="7955"/>
  <c r="AA212" i="7955"/>
  <c r="AA213" i="7955"/>
  <c r="AA362" i="7955"/>
  <c r="AA363" i="7955"/>
  <c r="AA412" i="7955"/>
  <c r="AA413" i="7955"/>
  <c r="AA162" i="7955"/>
  <c r="AA163" i="7955"/>
  <c r="BP57" i="7951"/>
  <c r="T57" i="7949" s="1"/>
  <c r="CU291" i="7949"/>
  <c r="CU241" i="7949"/>
  <c r="CU298" i="7949"/>
  <c r="CU299" i="7949"/>
  <c r="CU307" i="7949"/>
  <c r="CU285" i="7949"/>
  <c r="CU248" i="7949"/>
  <c r="CU271" i="7949"/>
  <c r="CU272" i="7949"/>
  <c r="CU283" i="7949"/>
  <c r="CU240" i="7949"/>
  <c r="CU249" i="7949"/>
  <c r="CU261" i="7949"/>
  <c r="CU273" i="7949"/>
  <c r="CU226" i="7949"/>
  <c r="CU227" i="7949"/>
  <c r="CU284" i="7949"/>
  <c r="CU262" i="7949"/>
  <c r="CU229" i="7949"/>
  <c r="CU239" i="7949"/>
  <c r="CU306" i="7949"/>
  <c r="CU312" i="7949"/>
  <c r="CU251" i="7949"/>
  <c r="CU250" i="7949"/>
  <c r="CU311" i="7949"/>
  <c r="CU263" i="7949"/>
  <c r="CU260" i="7949"/>
  <c r="CU274" i="7949"/>
  <c r="CU270" i="7949"/>
  <c r="CU238" i="7949"/>
  <c r="CU237" i="7949"/>
  <c r="CU290" i="7949"/>
  <c r="CU297" i="7949"/>
  <c r="CU230" i="7949"/>
  <c r="CU292" i="7949"/>
  <c r="CU252" i="7949"/>
  <c r="CU228" i="7949"/>
  <c r="CU259" i="7949"/>
  <c r="AB463" i="7955"/>
  <c r="AB465" i="7955" s="1"/>
  <c r="AB462" i="7955"/>
  <c r="AB313" i="7955"/>
  <c r="AB315" i="7955" s="1"/>
  <c r="AB312" i="7955"/>
  <c r="AB62" i="7955"/>
  <c r="AB63" i="7955"/>
  <c r="AB65" i="7955" s="1"/>
  <c r="AB363" i="7955"/>
  <c r="AB365" i="7955" s="1"/>
  <c r="AB362" i="7955"/>
  <c r="AB263" i="7955"/>
  <c r="AB265" i="7955" s="1"/>
  <c r="AB262" i="7955"/>
  <c r="X54" i="7949"/>
  <c r="Y54" i="7949" s="1"/>
  <c r="X55" i="7949"/>
  <c r="Y55" i="7949" s="1"/>
  <c r="X49" i="7949"/>
  <c r="Y49" i="7949" s="1"/>
  <c r="X45" i="7949"/>
  <c r="Y45" i="7949" s="1"/>
  <c r="X60" i="7949"/>
  <c r="Y60" i="7949" s="1"/>
  <c r="X50" i="7949"/>
  <c r="Y50" i="7949" s="1"/>
  <c r="X51" i="7949"/>
  <c r="Y51" i="7949" s="1"/>
  <c r="X42" i="7949"/>
  <c r="Y42" i="7949" s="1"/>
  <c r="X57" i="7949"/>
  <c r="Y57" i="7949" s="1"/>
  <c r="X52" i="7949"/>
  <c r="Y52" i="7949" s="1"/>
  <c r="X46" i="7949"/>
  <c r="Y46" i="7949" s="1"/>
  <c r="X47" i="7949"/>
  <c r="Y47" i="7949" s="1"/>
  <c r="X61" i="7949"/>
  <c r="Y61" i="7949" s="1"/>
  <c r="X48" i="7949"/>
  <c r="Y48" i="7949" s="1"/>
  <c r="X43" i="7949"/>
  <c r="Y43" i="7949" s="1"/>
  <c r="X44" i="7949"/>
  <c r="Y44" i="7949" s="1"/>
  <c r="X58" i="7949"/>
  <c r="Y58" i="7949" s="1"/>
  <c r="X59" i="7949"/>
  <c r="Y59" i="7949" s="1"/>
  <c r="X56" i="7949"/>
  <c r="Y56" i="7949" s="1"/>
  <c r="X53" i="7949"/>
  <c r="Y53" i="7949" s="1"/>
  <c r="U50" i="7947"/>
  <c r="P51" i="7947" s="1"/>
  <c r="AB53" i="7947"/>
  <c r="P53" i="7947"/>
  <c r="V53" i="7947"/>
  <c r="BX80" i="7949"/>
  <c r="BY80" i="7949"/>
  <c r="BF80" i="7949"/>
  <c r="BQ80" i="7949"/>
  <c r="BR80" i="7949"/>
  <c r="BU80" i="7949"/>
  <c r="BN80" i="7949"/>
  <c r="BO80" i="7949"/>
  <c r="BT80" i="7949"/>
  <c r="BW80" i="7949" s="1"/>
  <c r="BM80" i="7949"/>
  <c r="BP80" i="7949" s="1"/>
  <c r="BV80" i="7949"/>
  <c r="I50" i="7947"/>
  <c r="D53" i="7947" s="1"/>
  <c r="AB51" i="7947"/>
  <c r="V51" i="7947"/>
  <c r="AD105" i="7955"/>
  <c r="Y118" i="7951"/>
  <c r="N47" i="7947" s="1"/>
  <c r="AE263" i="7955"/>
  <c r="AE265" i="7955" s="1"/>
  <c r="AE262" i="7955"/>
  <c r="AE512" i="7955"/>
  <c r="AE513" i="7955"/>
  <c r="AE515" i="7955" s="1"/>
  <c r="AE363" i="7955"/>
  <c r="AE365" i="7955" s="1"/>
  <c r="AE362" i="7955"/>
  <c r="AE463" i="7955"/>
  <c r="AE465" i="7955" s="1"/>
  <c r="AE462" i="7955"/>
  <c r="AE112" i="7955"/>
  <c r="AE113" i="7955"/>
  <c r="AE115" i="7955" s="1"/>
  <c r="AE413" i="7955"/>
  <c r="AE415" i="7955" s="1"/>
  <c r="AE412" i="7955"/>
  <c r="AC413" i="7955"/>
  <c r="AC415" i="7955" s="1"/>
  <c r="AC412" i="7955"/>
  <c r="AC463" i="7955"/>
  <c r="AC465" i="7955" s="1"/>
  <c r="AC462" i="7955"/>
  <c r="AC263" i="7955"/>
  <c r="AC265" i="7955" s="1"/>
  <c r="AC262" i="7955"/>
  <c r="AG41" i="7947"/>
  <c r="AH46" i="7947"/>
  <c r="BX56" i="7949"/>
  <c r="BY56" i="7949"/>
  <c r="BF56" i="7949"/>
  <c r="BR56" i="7949"/>
  <c r="BC56" i="7949" s="1"/>
  <c r="BQ56" i="7949"/>
  <c r="BB56" i="7949" s="1"/>
  <c r="BT56" i="7949"/>
  <c r="BW56" i="7949" s="1"/>
  <c r="BV56" i="7949"/>
  <c r="BM56" i="7949"/>
  <c r="BP56" i="7949" s="1"/>
  <c r="BA56" i="7949" s="1"/>
  <c r="BN56" i="7949"/>
  <c r="BU56" i="7949"/>
  <c r="BO56" i="7949"/>
  <c r="AZ56" i="7949" s="1"/>
  <c r="BX43" i="7949"/>
  <c r="BX47" i="7949"/>
  <c r="BY73" i="7949"/>
  <c r="BY163" i="7949"/>
  <c r="BY136" i="7949"/>
  <c r="BY49" i="7949"/>
  <c r="BC49" i="7949" s="1"/>
  <c r="BE49" i="7949" s="1"/>
  <c r="BX161" i="7949"/>
  <c r="BX137" i="7949"/>
  <c r="BX51" i="7949"/>
  <c r="BB51" i="7949" s="1"/>
  <c r="BY138" i="7949"/>
  <c r="BX135" i="7949"/>
  <c r="BY162" i="7949"/>
  <c r="BX74" i="7949"/>
  <c r="BB74" i="7949" s="1"/>
  <c r="BY160" i="7949"/>
  <c r="BX75" i="7949"/>
  <c r="BB75" i="7949" s="1"/>
  <c r="BX73" i="7949"/>
  <c r="BB73" i="7949" s="1"/>
  <c r="BX164" i="7949"/>
  <c r="BY161" i="7949"/>
  <c r="BY137" i="7949"/>
  <c r="BY74" i="7949"/>
  <c r="BC74" i="7949" s="1"/>
  <c r="BE74" i="7949" s="1"/>
  <c r="BX86" i="7949"/>
  <c r="BB86" i="7949" s="1"/>
  <c r="BY61" i="7949"/>
  <c r="BC61" i="7949" s="1"/>
  <c r="BE61" i="7949" s="1"/>
  <c r="BY60" i="7949"/>
  <c r="BC60" i="7949" s="1"/>
  <c r="BE60" i="7949" s="1"/>
  <c r="BY63" i="7949"/>
  <c r="BC63" i="7949" s="1"/>
  <c r="BE63" i="7949" s="1"/>
  <c r="BY86" i="7949"/>
  <c r="BC86" i="7949" s="1"/>
  <c r="BE86" i="7949" s="1"/>
  <c r="BX61" i="7949"/>
  <c r="BB61" i="7949" s="1"/>
  <c r="BX60" i="7949"/>
  <c r="BB60" i="7949" s="1"/>
  <c r="BD60" i="7949" s="1"/>
  <c r="BY84" i="7949"/>
  <c r="BC84" i="7949" s="1"/>
  <c r="BE84" i="7949" s="1"/>
  <c r="BX83" i="7949"/>
  <c r="BY158" i="7949"/>
  <c r="BX70" i="7949"/>
  <c r="BY159" i="7949"/>
  <c r="BX159" i="7949"/>
  <c r="BY130" i="7949"/>
  <c r="BX69" i="7949"/>
  <c r="BY43" i="7949"/>
  <c r="BY47" i="7949"/>
  <c r="BX163" i="7949"/>
  <c r="BY71" i="7949"/>
  <c r="BC71" i="7949" s="1"/>
  <c r="BE71" i="7949" s="1"/>
  <c r="BX136" i="7949"/>
  <c r="BX49" i="7949"/>
  <c r="BB49" i="7949" s="1"/>
  <c r="BY72" i="7949"/>
  <c r="BC72" i="7949" s="1"/>
  <c r="BE72" i="7949" s="1"/>
  <c r="BY50" i="7949"/>
  <c r="BC50" i="7949" s="1"/>
  <c r="BE50" i="7949" s="1"/>
  <c r="BY51" i="7949"/>
  <c r="BC51" i="7949" s="1"/>
  <c r="BE51" i="7949" s="1"/>
  <c r="BX138" i="7949"/>
  <c r="BY135" i="7949"/>
  <c r="BX162" i="7949"/>
  <c r="BX160" i="7949"/>
  <c r="BY75" i="7949"/>
  <c r="BC75" i="7949" s="1"/>
  <c r="BE75" i="7949" s="1"/>
  <c r="BY48" i="7949"/>
  <c r="BC48" i="7949" s="1"/>
  <c r="BE48" i="7949" s="1"/>
  <c r="BX71" i="7949"/>
  <c r="BB71" i="7949" s="1"/>
  <c r="BY164" i="7949"/>
  <c r="BX72" i="7949"/>
  <c r="BB72" i="7949" s="1"/>
  <c r="BX50" i="7949"/>
  <c r="BB50" i="7949" s="1"/>
  <c r="BX48" i="7949"/>
  <c r="BB48" i="7949" s="1"/>
  <c r="BX62" i="7949"/>
  <c r="BB62" i="7949" s="1"/>
  <c r="BY85" i="7949"/>
  <c r="BC85" i="7949" s="1"/>
  <c r="BE85" i="7949" s="1"/>
  <c r="BX87" i="7949"/>
  <c r="BB87" i="7949" s="1"/>
  <c r="BX84" i="7949"/>
  <c r="BB84" i="7949" s="1"/>
  <c r="BY62" i="7949"/>
  <c r="BC62" i="7949" s="1"/>
  <c r="BE62" i="7949" s="1"/>
  <c r="BX85" i="7949"/>
  <c r="BB85" i="7949" s="1"/>
  <c r="BD85" i="7949" s="1"/>
  <c r="BX63" i="7949"/>
  <c r="BB63" i="7949" s="1"/>
  <c r="BY83" i="7949"/>
  <c r="BC83" i="7949" s="1"/>
  <c r="BE83" i="7949" s="1"/>
  <c r="BY87" i="7949"/>
  <c r="BC87" i="7949" s="1"/>
  <c r="BE87" i="7949" s="1"/>
  <c r="BX158" i="7949"/>
  <c r="BY70" i="7949"/>
  <c r="BX130" i="7949"/>
  <c r="BY134" i="7949"/>
  <c r="BX134" i="7949"/>
  <c r="BY69" i="7949"/>
  <c r="L43" i="7947"/>
  <c r="K43" i="7947"/>
  <c r="BB83" i="7949"/>
  <c r="BC73" i="7949"/>
  <c r="BE73" i="7949" s="1"/>
  <c r="AY42" i="7949"/>
  <c r="BA42" i="7949"/>
  <c r="AZ42" i="7949"/>
  <c r="BB42" i="7949"/>
  <c r="BC42" i="7949"/>
  <c r="BA68" i="7949"/>
  <c r="AY68" i="7949"/>
  <c r="BA45" i="7949"/>
  <c r="AY45" i="7949"/>
  <c r="AZ66" i="7949"/>
  <c r="AX66" i="7949" s="1"/>
  <c r="BC66" i="7949"/>
  <c r="BB66" i="7949"/>
  <c r="AZ55" i="7949"/>
  <c r="BA55" i="7949"/>
  <c r="AY55" i="7949"/>
  <c r="BC55" i="7949"/>
  <c r="AY59" i="7949"/>
  <c r="AZ59" i="7949"/>
  <c r="AZ82" i="7949"/>
  <c r="BB81" i="7949"/>
  <c r="F60" i="7949"/>
  <c r="F58" i="7949"/>
  <c r="AZ67" i="7949"/>
  <c r="BG67" i="7949" s="1"/>
  <c r="BY67" i="7949"/>
  <c r="BQ67" i="7949"/>
  <c r="BX67" i="7949"/>
  <c r="AJ108" i="7950"/>
  <c r="AD154" i="7955"/>
  <c r="AD555" i="7955"/>
  <c r="AD205" i="7955"/>
  <c r="AD404" i="7955"/>
  <c r="AD304" i="7955"/>
  <c r="AD554" i="7955"/>
  <c r="AD354" i="7955"/>
  <c r="AD455" i="7955"/>
  <c r="AD55" i="7955"/>
  <c r="AD504" i="7955"/>
  <c r="BR129" i="7949"/>
  <c r="BC129" i="7949" s="1"/>
  <c r="BX132" i="7949"/>
  <c r="BY132" i="7949"/>
  <c r="BQ46" i="7949"/>
  <c r="BB46" i="7949" s="1"/>
  <c r="BY44" i="7949"/>
  <c r="BR44" i="7949"/>
  <c r="BY155" i="7949"/>
  <c r="BQ155" i="7949"/>
  <c r="BB155" i="7949" s="1"/>
  <c r="J46" i="7947"/>
  <c r="V55" i="7947"/>
  <c r="D44" i="2"/>
  <c r="C44" i="2" s="1"/>
  <c r="D45" i="2"/>
  <c r="C45" i="2" s="1"/>
  <c r="EX809" i="2"/>
  <c r="ET809" i="2"/>
  <c r="EW809" i="2"/>
  <c r="ET803" i="2"/>
  <c r="EX803" i="2"/>
  <c r="EW803" i="2"/>
  <c r="EW810" i="2"/>
  <c r="EX810" i="2"/>
  <c r="ET810" i="2"/>
  <c r="ET806" i="2"/>
  <c r="EW806" i="2"/>
  <c r="EX806" i="2"/>
  <c r="EX802" i="2"/>
  <c r="EW802" i="2"/>
  <c r="ET802" i="2"/>
  <c r="ET907" i="2" l="1"/>
  <c r="EX907" i="2"/>
  <c r="EW907" i="2"/>
  <c r="EX491" i="2"/>
  <c r="ET491" i="2"/>
  <c r="EW491" i="2"/>
  <c r="EX912" i="2"/>
  <c r="ET912" i="2"/>
  <c r="EW912" i="2"/>
  <c r="ET368" i="2"/>
  <c r="EX368" i="2"/>
  <c r="EW368" i="2"/>
  <c r="ET190" i="2"/>
  <c r="EX190" i="2"/>
  <c r="EW190" i="2"/>
  <c r="ET369" i="2"/>
  <c r="EW369" i="2"/>
  <c r="EX369" i="2"/>
  <c r="ER774" i="2"/>
  <c r="EY768" i="2"/>
  <c r="EU646" i="2"/>
  <c r="ER658" i="2" s="1"/>
  <c r="EU648" i="2"/>
  <c r="ER660" i="2" s="1"/>
  <c r="EU647" i="2"/>
  <c r="ER659" i="2" s="1"/>
  <c r="EU645" i="2"/>
  <c r="ER657" i="2" s="1"/>
  <c r="EU644" i="2"/>
  <c r="ET60" i="2"/>
  <c r="EW60" i="2"/>
  <c r="EX60" i="2"/>
  <c r="EX471" i="2"/>
  <c r="EW471" i="2"/>
  <c r="ET471" i="2"/>
  <c r="ET356" i="2"/>
  <c r="EX356" i="2"/>
  <c r="EW356" i="2"/>
  <c r="FA645" i="2"/>
  <c r="ER695" i="2" s="1"/>
  <c r="FA644" i="2"/>
  <c r="ER694" i="2" s="1"/>
  <c r="ER383" i="2"/>
  <c r="ES383" i="2" s="1"/>
  <c r="ES377" i="2"/>
  <c r="ER79" i="2"/>
  <c r="ES79" i="2" s="1"/>
  <c r="ES73" i="2"/>
  <c r="ES76" i="2"/>
  <c r="ER82" i="2"/>
  <c r="ES82" i="2" s="1"/>
  <c r="EY800" i="2"/>
  <c r="ES800" i="2" s="1"/>
  <c r="ES799" i="2"/>
  <c r="EW370" i="2"/>
  <c r="ET370" i="2"/>
  <c r="EX370" i="2"/>
  <c r="EX168" i="2"/>
  <c r="EW168" i="2"/>
  <c r="ET168" i="2"/>
  <c r="EX644" i="2"/>
  <c r="ER687" i="2" s="1"/>
  <c r="EX645" i="2"/>
  <c r="ER688" i="2" s="1"/>
  <c r="ES899" i="2"/>
  <c r="EY900" i="2"/>
  <c r="ES900" i="2" s="1"/>
  <c r="ES74" i="2"/>
  <c r="ER80" i="2"/>
  <c r="ES80" i="2" s="1"/>
  <c r="ET69" i="2"/>
  <c r="EX69" i="2"/>
  <c r="EW69" i="2"/>
  <c r="ES55" i="2"/>
  <c r="EY56" i="2"/>
  <c r="ET361" i="2"/>
  <c r="EW361" i="2"/>
  <c r="EX361" i="2"/>
  <c r="J51" i="2"/>
  <c r="J47" i="2"/>
  <c r="EW903" i="2"/>
  <c r="ET903" i="2"/>
  <c r="EX903" i="2"/>
  <c r="ET485" i="2"/>
  <c r="EW485" i="2"/>
  <c r="EX485" i="2"/>
  <c r="ES914" i="2"/>
  <c r="EY915" i="2"/>
  <c r="ES915" i="2" s="1"/>
  <c r="ES374" i="2"/>
  <c r="ER380" i="2"/>
  <c r="ES380" i="2" s="1"/>
  <c r="EW184" i="2"/>
  <c r="ET184" i="2"/>
  <c r="EX184" i="2"/>
  <c r="ES375" i="2"/>
  <c r="ER381" i="2"/>
  <c r="ES381" i="2" s="1"/>
  <c r="ER782" i="2"/>
  <c r="ES776" i="2"/>
  <c r="ES777" i="2"/>
  <c r="ER783" i="2"/>
  <c r="ER72" i="2"/>
  <c r="ES66" i="2"/>
  <c r="ET470" i="2"/>
  <c r="EW470" i="2"/>
  <c r="EX470" i="2"/>
  <c r="ES357" i="2"/>
  <c r="EY358" i="2"/>
  <c r="EX371" i="2"/>
  <c r="ET371" i="2"/>
  <c r="EW371" i="2"/>
  <c r="EX67" i="2"/>
  <c r="EW67" i="2"/>
  <c r="ET67" i="2"/>
  <c r="EX70" i="2"/>
  <c r="ET70" i="2"/>
  <c r="EW70" i="2"/>
  <c r="ES376" i="2"/>
  <c r="ER382" i="2"/>
  <c r="ES382" i="2" s="1"/>
  <c r="ES169" i="2"/>
  <c r="EY170" i="2"/>
  <c r="ES170" i="2" s="1"/>
  <c r="ES778" i="2"/>
  <c r="ER784" i="2"/>
  <c r="ER781" i="2"/>
  <c r="ES775" i="2"/>
  <c r="ES898" i="2"/>
  <c r="ES902" i="2"/>
  <c r="ER906" i="2"/>
  <c r="ES906" i="2" s="1"/>
  <c r="EX68" i="2"/>
  <c r="ET68" i="2"/>
  <c r="EW68" i="2"/>
  <c r="ER81" i="2"/>
  <c r="ES81" i="2" s="1"/>
  <c r="ES75" i="2"/>
  <c r="EX54" i="2"/>
  <c r="EW54" i="2"/>
  <c r="ET54" i="2"/>
  <c r="ES367" i="2"/>
  <c r="ER373" i="2"/>
  <c r="J49" i="2"/>
  <c r="J43" i="2"/>
  <c r="J48" i="2"/>
  <c r="BV162" i="7949"/>
  <c r="BV160" i="7949"/>
  <c r="BV137" i="7949"/>
  <c r="BV155" i="7949"/>
  <c r="BV129" i="7949"/>
  <c r="BV131" i="7949"/>
  <c r="BV132" i="7949"/>
  <c r="BV133" i="7949"/>
  <c r="BV157" i="7949"/>
  <c r="BV156" i="7949"/>
  <c r="M65" i="7950"/>
  <c r="AX65" i="7950"/>
  <c r="AZ65" i="7950"/>
  <c r="AH61" i="7950" s="1"/>
  <c r="AH64" i="7950" s="1"/>
  <c r="D48" i="7948" s="1"/>
  <c r="AW65" i="7950"/>
  <c r="AY65" i="7950"/>
  <c r="BY157" i="7949"/>
  <c r="AX47" i="7949"/>
  <c r="AX44" i="7949"/>
  <c r="BM136" i="7949"/>
  <c r="BP136" i="7949" s="1"/>
  <c r="BM155" i="7949"/>
  <c r="BP155" i="7949" s="1"/>
  <c r="BM131" i="7949"/>
  <c r="BP131" i="7949" s="1"/>
  <c r="BM133" i="7949"/>
  <c r="BP133" i="7949" s="1"/>
  <c r="BM161" i="7949"/>
  <c r="BP161" i="7949" s="1"/>
  <c r="BM163" i="7949"/>
  <c r="BP163" i="7949" s="1"/>
  <c r="BM162" i="7949"/>
  <c r="BP162" i="7949" s="1"/>
  <c r="BM132" i="7949"/>
  <c r="BP132" i="7949" s="1"/>
  <c r="BM129" i="7949"/>
  <c r="BP129" i="7949" s="1"/>
  <c r="BM157" i="7949"/>
  <c r="BP157" i="7949" s="1"/>
  <c r="BM156" i="7949"/>
  <c r="BP156" i="7949" s="1"/>
  <c r="AX73" i="7949"/>
  <c r="BA134" i="7949"/>
  <c r="BX131" i="7949"/>
  <c r="BX129" i="7949"/>
  <c r="BX157" i="7949"/>
  <c r="BB55" i="7949"/>
  <c r="AX74" i="7949"/>
  <c r="BB133" i="7949"/>
  <c r="BO138" i="7949"/>
  <c r="AZ138" i="7949" s="1"/>
  <c r="BO136" i="7949"/>
  <c r="AZ136" i="7949" s="1"/>
  <c r="BO163" i="7949"/>
  <c r="AZ163" i="7949" s="1"/>
  <c r="BG163" i="7949" s="1"/>
  <c r="BO162" i="7949"/>
  <c r="AZ162" i="7949" s="1"/>
  <c r="BO164" i="7949"/>
  <c r="AZ164" i="7949" s="1"/>
  <c r="BG164" i="7949" s="1"/>
  <c r="BO132" i="7949"/>
  <c r="AZ132" i="7949" s="1"/>
  <c r="BO131" i="7949"/>
  <c r="AZ131" i="7949" s="1"/>
  <c r="BO133" i="7949"/>
  <c r="AZ133" i="7949" s="1"/>
  <c r="BO157" i="7949"/>
  <c r="BO161" i="7949"/>
  <c r="AZ161" i="7949" s="1"/>
  <c r="BO135" i="7949"/>
  <c r="AZ135" i="7949" s="1"/>
  <c r="BO160" i="7949"/>
  <c r="AZ160" i="7949" s="1"/>
  <c r="BO137" i="7949"/>
  <c r="AZ137" i="7949" s="1"/>
  <c r="BO155" i="7949"/>
  <c r="AZ155" i="7949" s="1"/>
  <c r="BO129" i="7949"/>
  <c r="AZ129" i="7949" s="1"/>
  <c r="BO156" i="7949"/>
  <c r="AZ156" i="7949" s="1"/>
  <c r="AC54" i="7947"/>
  <c r="M43" i="7947"/>
  <c r="AX85" i="7949"/>
  <c r="BB59" i="7949"/>
  <c r="BE59" i="7949" s="1"/>
  <c r="AX46" i="7949"/>
  <c r="BH67" i="7949"/>
  <c r="BR133" i="7949"/>
  <c r="BQ157" i="7949"/>
  <c r="BB157" i="7949" s="1"/>
  <c r="BR161" i="7949"/>
  <c r="BC161" i="7949" s="1"/>
  <c r="BE161" i="7949" s="1"/>
  <c r="BR162" i="7949"/>
  <c r="BC162" i="7949" s="1"/>
  <c r="BE162" i="7949" s="1"/>
  <c r="BR160" i="7949"/>
  <c r="BC160" i="7949" s="1"/>
  <c r="BE160" i="7949" s="1"/>
  <c r="BQ163" i="7949"/>
  <c r="BB163" i="7949" s="1"/>
  <c r="BQ164" i="7949"/>
  <c r="BB164" i="7949" s="1"/>
  <c r="BQ136" i="7949"/>
  <c r="BB136" i="7949" s="1"/>
  <c r="BQ137" i="7949"/>
  <c r="BB137" i="7949" s="1"/>
  <c r="BR138" i="7949"/>
  <c r="BC138" i="7949" s="1"/>
  <c r="BE138" i="7949" s="1"/>
  <c r="BQ135" i="7949"/>
  <c r="BB135" i="7949" s="1"/>
  <c r="BQ162" i="7949"/>
  <c r="BB162" i="7949" s="1"/>
  <c r="BQ156" i="7949"/>
  <c r="BQ131" i="7949"/>
  <c r="BB131" i="7949" s="1"/>
  <c r="BR157" i="7949"/>
  <c r="BR164" i="7949"/>
  <c r="BC164" i="7949" s="1"/>
  <c r="BR137" i="7949"/>
  <c r="BC137" i="7949" s="1"/>
  <c r="BR163" i="7949"/>
  <c r="BC163" i="7949" s="1"/>
  <c r="BE163" i="7949" s="1"/>
  <c r="BR136" i="7949"/>
  <c r="BC136" i="7949" s="1"/>
  <c r="BQ161" i="7949"/>
  <c r="BB161" i="7949" s="1"/>
  <c r="BQ138" i="7949"/>
  <c r="BB138" i="7949" s="1"/>
  <c r="BR135" i="7949"/>
  <c r="BC135" i="7949" s="1"/>
  <c r="BE135" i="7949" s="1"/>
  <c r="BQ160" i="7949"/>
  <c r="BB160" i="7949" s="1"/>
  <c r="BD160" i="7949" s="1"/>
  <c r="AS160" i="7949" s="1"/>
  <c r="BR156" i="7949"/>
  <c r="BX156" i="7949"/>
  <c r="BY156" i="7949"/>
  <c r="BY131" i="7949"/>
  <c r="BC131" i="7949" s="1"/>
  <c r="BY133" i="7949"/>
  <c r="BE55" i="7949"/>
  <c r="F59" i="7949"/>
  <c r="BD61" i="7949"/>
  <c r="N43" i="7947"/>
  <c r="BB44" i="7949"/>
  <c r="AX81" i="7949"/>
  <c r="V44" i="7947"/>
  <c r="X44" i="7947" s="1"/>
  <c r="BH46" i="7949"/>
  <c r="BB129" i="7949"/>
  <c r="BE129" i="7949" s="1"/>
  <c r="AY159" i="7949"/>
  <c r="BG159" i="7949" s="1"/>
  <c r="AX63" i="7949"/>
  <c r="BE54" i="7949"/>
  <c r="AX86" i="7949"/>
  <c r="BC81" i="7949"/>
  <c r="BD81" i="7949" s="1"/>
  <c r="J51" i="7947"/>
  <c r="N51" i="7947" s="1"/>
  <c r="J53" i="7947"/>
  <c r="BH69" i="7949"/>
  <c r="BN130" i="7949"/>
  <c r="AY130" i="7949" s="1"/>
  <c r="AX62" i="7949"/>
  <c r="AX61" i="7949"/>
  <c r="BE56" i="7949"/>
  <c r="BN161" i="7949"/>
  <c r="AY161" i="7949" s="1"/>
  <c r="BG161" i="7949" s="1"/>
  <c r="BN135" i="7949"/>
  <c r="AY135" i="7949" s="1"/>
  <c r="BN138" i="7949"/>
  <c r="AY138" i="7949" s="1"/>
  <c r="BN158" i="7949"/>
  <c r="AY158" i="7949" s="1"/>
  <c r="BG158" i="7949" s="1"/>
  <c r="BN137" i="7949"/>
  <c r="AY137" i="7949" s="1"/>
  <c r="BN134" i="7949"/>
  <c r="AY134" i="7949" s="1"/>
  <c r="BN162" i="7949"/>
  <c r="AY162" i="7949" s="1"/>
  <c r="BG162" i="7949" s="1"/>
  <c r="BH82" i="7949"/>
  <c r="BC45" i="7949"/>
  <c r="BD45" i="7949" s="1"/>
  <c r="AU120" i="7949" s="1"/>
  <c r="BC68" i="7949"/>
  <c r="BE68" i="7949" s="1"/>
  <c r="AX82" i="7949"/>
  <c r="BD68" i="7949"/>
  <c r="AU144" i="7949" s="1"/>
  <c r="BN160" i="7949"/>
  <c r="AY160" i="7949" s="1"/>
  <c r="BG160" i="7949" s="1"/>
  <c r="AZ130" i="7949"/>
  <c r="BE81" i="7949"/>
  <c r="F61" i="7949"/>
  <c r="AZ121" i="7949"/>
  <c r="BG63" i="7949"/>
  <c r="BH63" i="7949"/>
  <c r="BH87" i="7949"/>
  <c r="BG87" i="7949"/>
  <c r="BH62" i="7949"/>
  <c r="BG62" i="7949"/>
  <c r="BG71" i="7949"/>
  <c r="BH71" i="7949"/>
  <c r="BH84" i="7949"/>
  <c r="BG84" i="7949"/>
  <c r="AX72" i="7949"/>
  <c r="BG72" i="7949"/>
  <c r="BH72" i="7949"/>
  <c r="BI72" i="7949" s="1"/>
  <c r="AX60" i="7949"/>
  <c r="BG60" i="7949"/>
  <c r="BH60" i="7949"/>
  <c r="BI60" i="7949" s="1"/>
  <c r="BH50" i="7949"/>
  <c r="AX50" i="7949"/>
  <c r="BG50" i="7949"/>
  <c r="BG136" i="7949"/>
  <c r="AX75" i="7949"/>
  <c r="BG75" i="7949"/>
  <c r="BH75" i="7949"/>
  <c r="BI75" i="7949" s="1"/>
  <c r="AX83" i="7949"/>
  <c r="BG83" i="7949"/>
  <c r="BH83" i="7949"/>
  <c r="BI83" i="7949" s="1"/>
  <c r="BT138" i="7949"/>
  <c r="BW138" i="7949" s="1"/>
  <c r="BA138" i="7949" s="1"/>
  <c r="BT135" i="7949"/>
  <c r="BW135" i="7949" s="1"/>
  <c r="BA135" i="7949" s="1"/>
  <c r="BT164" i="7949"/>
  <c r="BW164" i="7949" s="1"/>
  <c r="BA164" i="7949" s="1"/>
  <c r="BH164" i="7949" s="1"/>
  <c r="BT137" i="7949"/>
  <c r="BW137" i="7949" s="1"/>
  <c r="BA137" i="7949" s="1"/>
  <c r="BT162" i="7949"/>
  <c r="BW162" i="7949" s="1"/>
  <c r="BA162" i="7949" s="1"/>
  <c r="BT132" i="7949"/>
  <c r="BW132" i="7949" s="1"/>
  <c r="BA132" i="7949" s="1"/>
  <c r="BT133" i="7949"/>
  <c r="BW133" i="7949" s="1"/>
  <c r="BT136" i="7949"/>
  <c r="BW136" i="7949" s="1"/>
  <c r="BA136" i="7949" s="1"/>
  <c r="AX136" i="7949" s="1"/>
  <c r="BT160" i="7949"/>
  <c r="BW160" i="7949" s="1"/>
  <c r="BA160" i="7949" s="1"/>
  <c r="BT161" i="7949"/>
  <c r="BW161" i="7949" s="1"/>
  <c r="BA161" i="7949" s="1"/>
  <c r="BT163" i="7949"/>
  <c r="BW163" i="7949" s="1"/>
  <c r="BT155" i="7949"/>
  <c r="BW155" i="7949" s="1"/>
  <c r="BA155" i="7949" s="1"/>
  <c r="BT129" i="7949"/>
  <c r="BW129" i="7949" s="1"/>
  <c r="BA129" i="7949" s="1"/>
  <c r="BT131" i="7949"/>
  <c r="BW131" i="7949" s="1"/>
  <c r="BA131" i="7949" s="1"/>
  <c r="BT157" i="7949"/>
  <c r="BW157" i="7949" s="1"/>
  <c r="BT156" i="7949"/>
  <c r="BW156" i="7949" s="1"/>
  <c r="BA156" i="7949" s="1"/>
  <c r="BH70" i="7949"/>
  <c r="AX70" i="7949"/>
  <c r="BG70" i="7949"/>
  <c r="BG86" i="7949"/>
  <c r="BH86" i="7949"/>
  <c r="BH85" i="7949"/>
  <c r="BI85" i="7949" s="1"/>
  <c r="BG85" i="7949"/>
  <c r="BG138" i="7949"/>
  <c r="BG61" i="7949"/>
  <c r="BH61" i="7949"/>
  <c r="BH74" i="7949"/>
  <c r="BI74" i="7949" s="1"/>
  <c r="BG74" i="7949"/>
  <c r="BG49" i="7949"/>
  <c r="AX49" i="7949"/>
  <c r="BH49" i="7949"/>
  <c r="BH48" i="7949"/>
  <c r="AX48" i="7949"/>
  <c r="BG48" i="7949"/>
  <c r="BH73" i="7949"/>
  <c r="BI73" i="7949" s="1"/>
  <c r="BG73" i="7949"/>
  <c r="BG51" i="7949"/>
  <c r="AX51" i="7949"/>
  <c r="BH51" i="7949"/>
  <c r="BN132" i="7949"/>
  <c r="AY132" i="7949" s="1"/>
  <c r="BG132" i="7949" s="1"/>
  <c r="BN131" i="7949"/>
  <c r="AY131" i="7949" s="1"/>
  <c r="BN133" i="7949"/>
  <c r="AY133" i="7949" s="1"/>
  <c r="BN157" i="7949"/>
  <c r="AY157" i="7949" s="1"/>
  <c r="BN155" i="7949"/>
  <c r="AY155" i="7949" s="1"/>
  <c r="BN129" i="7949"/>
  <c r="AY129" i="7949" s="1"/>
  <c r="BN156" i="7949"/>
  <c r="AY156" i="7949" s="1"/>
  <c r="AF54" i="7947"/>
  <c r="AJ43" i="7947"/>
  <c r="AX84" i="7949"/>
  <c r="BI84" i="7949" s="1"/>
  <c r="AX71" i="7949"/>
  <c r="AX87" i="7949"/>
  <c r="BI87" i="7949" s="1"/>
  <c r="BG47" i="7949"/>
  <c r="BT159" i="7949"/>
  <c r="BW159" i="7949" s="1"/>
  <c r="BA159" i="7949" s="1"/>
  <c r="AX159" i="7949" s="1"/>
  <c r="BT130" i="7949"/>
  <c r="BW130" i="7949" s="1"/>
  <c r="BA130" i="7949" s="1"/>
  <c r="BT158" i="7949"/>
  <c r="BW158" i="7949" s="1"/>
  <c r="BA158" i="7949" s="1"/>
  <c r="BB82" i="7949"/>
  <c r="BD82" i="7949" s="1"/>
  <c r="BD59" i="7949"/>
  <c r="F57" i="7949"/>
  <c r="AE54" i="7947"/>
  <c r="AD54" i="7947"/>
  <c r="AI43" i="7947"/>
  <c r="AK43" i="7947"/>
  <c r="BD54" i="7949"/>
  <c r="BC58" i="7949"/>
  <c r="AY79" i="7949"/>
  <c r="BC79" i="7949"/>
  <c r="BC78" i="7949"/>
  <c r="AZ57" i="7949"/>
  <c r="BA54" i="7949"/>
  <c r="BH54" i="7949" s="1"/>
  <c r="BC44" i="7949"/>
  <c r="BD66" i="7949"/>
  <c r="AU142" i="7949" s="1"/>
  <c r="BE42" i="7949"/>
  <c r="BD83" i="7949"/>
  <c r="BD62" i="7949"/>
  <c r="BD73" i="7949"/>
  <c r="AU149" i="7949" s="1"/>
  <c r="BA80" i="7949"/>
  <c r="AZ80" i="7949"/>
  <c r="BB80" i="7949"/>
  <c r="BB58" i="7949"/>
  <c r="BA79" i="7949"/>
  <c r="BB79" i="7949"/>
  <c r="BA78" i="7949"/>
  <c r="BB78" i="7949"/>
  <c r="BC57" i="7949"/>
  <c r="BE57" i="7949" s="1"/>
  <c r="BD48" i="7949"/>
  <c r="AU123" i="7949" s="1"/>
  <c r="BD72" i="7949"/>
  <c r="AU148" i="7949" s="1"/>
  <c r="BD75" i="7949"/>
  <c r="AU151" i="7949" s="1"/>
  <c r="BD51" i="7949"/>
  <c r="AU126" i="7949" s="1"/>
  <c r="BD86" i="7949"/>
  <c r="E53" i="7947"/>
  <c r="G53" i="7947"/>
  <c r="H53" i="7947"/>
  <c r="F53" i="7947"/>
  <c r="I53" i="7947" s="1"/>
  <c r="X42" i="7947"/>
  <c r="Z42" i="7947"/>
  <c r="W42" i="7947"/>
  <c r="Y42" i="7947"/>
  <c r="W55" i="7947"/>
  <c r="Y55" i="7947"/>
  <c r="Z55" i="7947"/>
  <c r="X55" i="7947"/>
  <c r="AA55" i="7947" s="1"/>
  <c r="AD512" i="7955"/>
  <c r="AD513" i="7955"/>
  <c r="AD515" i="7955" s="1"/>
  <c r="AD563" i="7955"/>
  <c r="AD565" i="7955" s="1"/>
  <c r="AD562" i="7955"/>
  <c r="AD413" i="7955"/>
  <c r="AD415" i="7955" s="1"/>
  <c r="AD412" i="7955"/>
  <c r="AD108" i="7950"/>
  <c r="BG59" i="7949"/>
  <c r="AX59" i="7949"/>
  <c r="AX55" i="7949"/>
  <c r="BH68" i="7949"/>
  <c r="BG68" i="7949"/>
  <c r="AX68" i="7949"/>
  <c r="AB46" i="7947"/>
  <c r="AB47" i="7947"/>
  <c r="AB43" i="7947"/>
  <c r="Z51" i="7947"/>
  <c r="Y51" i="7947"/>
  <c r="W51" i="7947"/>
  <c r="X51" i="7947"/>
  <c r="L51" i="7947"/>
  <c r="S53" i="7947"/>
  <c r="R53" i="7947"/>
  <c r="T53" i="7947"/>
  <c r="Q53" i="7947"/>
  <c r="P54" i="7947"/>
  <c r="P55" i="7947"/>
  <c r="CV228" i="7949"/>
  <c r="CZ228" i="7949"/>
  <c r="CW228" i="7949"/>
  <c r="CX228" i="7949"/>
  <c r="CY228" i="7949"/>
  <c r="CX292" i="7949"/>
  <c r="CV292" i="7949"/>
  <c r="CZ292" i="7949"/>
  <c r="CY292" i="7949"/>
  <c r="CW292" i="7949"/>
  <c r="CZ297" i="7949"/>
  <c r="CY297" i="7949"/>
  <c r="CW297" i="7949"/>
  <c r="CX297" i="7949"/>
  <c r="CV297" i="7949"/>
  <c r="CY237" i="7949"/>
  <c r="CZ237" i="7949"/>
  <c r="CW237" i="7949"/>
  <c r="CV237" i="7949"/>
  <c r="CX237" i="7949"/>
  <c r="CY270" i="7949"/>
  <c r="CZ270" i="7949"/>
  <c r="CX270" i="7949"/>
  <c r="CV270" i="7949"/>
  <c r="CW270" i="7949"/>
  <c r="CX260" i="7949"/>
  <c r="CW260" i="7949"/>
  <c r="CZ260" i="7949"/>
  <c r="CV260" i="7949"/>
  <c r="CY260" i="7949"/>
  <c r="CY311" i="7949"/>
  <c r="CX311" i="7949"/>
  <c r="CV311" i="7949"/>
  <c r="CZ311" i="7949"/>
  <c r="CW311" i="7949"/>
  <c r="CV251" i="7949"/>
  <c r="CY251" i="7949"/>
  <c r="CX251" i="7949"/>
  <c r="CW251" i="7949"/>
  <c r="CZ251" i="7949"/>
  <c r="CZ306" i="7949"/>
  <c r="CW306" i="7949"/>
  <c r="CY306" i="7949"/>
  <c r="CV306" i="7949"/>
  <c r="CX306" i="7949"/>
  <c r="CY229" i="7949"/>
  <c r="CX229" i="7949"/>
  <c r="CW229" i="7949"/>
  <c r="CZ229" i="7949"/>
  <c r="CV229" i="7949"/>
  <c r="CW284" i="7949"/>
  <c r="CX284" i="7949"/>
  <c r="CV284" i="7949"/>
  <c r="CZ284" i="7949"/>
  <c r="CY284" i="7949"/>
  <c r="CX226" i="7949"/>
  <c r="CV226" i="7949"/>
  <c r="CZ226" i="7949"/>
  <c r="CW226" i="7949"/>
  <c r="CY226" i="7949"/>
  <c r="CZ261" i="7949"/>
  <c r="CX261" i="7949"/>
  <c r="CY261" i="7949"/>
  <c r="CW261" i="7949"/>
  <c r="CV261" i="7949"/>
  <c r="CV240" i="7949"/>
  <c r="CX240" i="7949"/>
  <c r="CZ240" i="7949"/>
  <c r="CW240" i="7949"/>
  <c r="CY240" i="7949"/>
  <c r="CZ272" i="7949"/>
  <c r="CV272" i="7949"/>
  <c r="CX272" i="7949"/>
  <c r="CY272" i="7949"/>
  <c r="CW272" i="7949"/>
  <c r="CV248" i="7949"/>
  <c r="CZ248" i="7949"/>
  <c r="CY248" i="7949"/>
  <c r="CW248" i="7949"/>
  <c r="CX248" i="7949"/>
  <c r="CW307" i="7949"/>
  <c r="CV307" i="7949"/>
  <c r="CX307" i="7949"/>
  <c r="CY307" i="7949"/>
  <c r="CZ307" i="7949"/>
  <c r="CX298" i="7949"/>
  <c r="CZ298" i="7949"/>
  <c r="CV298" i="7949"/>
  <c r="CY298" i="7949"/>
  <c r="CW298" i="7949"/>
  <c r="CZ291" i="7949"/>
  <c r="CW291" i="7949"/>
  <c r="CV291" i="7949"/>
  <c r="CX291" i="7949"/>
  <c r="CY291" i="7949"/>
  <c r="AA165" i="7955"/>
  <c r="AA415" i="7955"/>
  <c r="AA365" i="7955"/>
  <c r="AA215" i="7955"/>
  <c r="AA515" i="7955"/>
  <c r="AI44" i="7947"/>
  <c r="AJ44" i="7947"/>
  <c r="AL44" i="7947"/>
  <c r="AK44" i="7947"/>
  <c r="AD113" i="7955"/>
  <c r="AD115" i="7955" s="1"/>
  <c r="AD112" i="7955"/>
  <c r="AD63" i="7955"/>
  <c r="AD65" i="7955" s="1"/>
  <c r="AD62" i="7955"/>
  <c r="AD124" i="7950"/>
  <c r="BF131" i="7949"/>
  <c r="BF44" i="7949"/>
  <c r="BH44" i="7949" s="1"/>
  <c r="Z44" i="7947"/>
  <c r="Y44" i="7947"/>
  <c r="P46" i="7947"/>
  <c r="P47" i="7947"/>
  <c r="P43" i="7947"/>
  <c r="X52" i="7947"/>
  <c r="Y52" i="7947"/>
  <c r="W52" i="7947"/>
  <c r="Z52" i="7947"/>
  <c r="AE52" i="7947"/>
  <c r="AC52" i="7947"/>
  <c r="AF52" i="7947"/>
  <c r="AD52" i="7947"/>
  <c r="J54" i="7947"/>
  <c r="J55" i="7947"/>
  <c r="K45" i="7947"/>
  <c r="N45" i="7947"/>
  <c r="L45" i="7947"/>
  <c r="O45" i="7947" s="1"/>
  <c r="M45" i="7947"/>
  <c r="N42" i="7947"/>
  <c r="M42" i="7947"/>
  <c r="L42" i="7947"/>
  <c r="K42" i="7947"/>
  <c r="AI42" i="7947"/>
  <c r="AL42" i="7947"/>
  <c r="AJ42" i="7947"/>
  <c r="AK42" i="7947"/>
  <c r="AA265" i="7955"/>
  <c r="AA115" i="7955"/>
  <c r="AA65" i="7955"/>
  <c r="BB67" i="7949"/>
  <c r="BE66" i="7949"/>
  <c r="BD42" i="7949"/>
  <c r="AU117" i="7949" s="1"/>
  <c r="BD50" i="7949"/>
  <c r="AU125" i="7949" s="1"/>
  <c r="BD74" i="7949"/>
  <c r="AU150" i="7949" s="1"/>
  <c r="BD49" i="7949"/>
  <c r="AU124" i="7949" s="1"/>
  <c r="BD84" i="7949"/>
  <c r="BD63" i="7949"/>
  <c r="BD87" i="7949"/>
  <c r="AY56" i="7949"/>
  <c r="BD56" i="7949"/>
  <c r="Z54" i="7947"/>
  <c r="W54" i="7947"/>
  <c r="D51" i="7947"/>
  <c r="AY80" i="7949"/>
  <c r="BC80" i="7949"/>
  <c r="CU568" i="7949"/>
  <c r="F59" i="7947"/>
  <c r="H64" i="7947"/>
  <c r="Z59" i="7947"/>
  <c r="L67" i="7947"/>
  <c r="O67" i="7947" s="1"/>
  <c r="CU795" i="7949"/>
  <c r="Q60" i="7947"/>
  <c r="X64" i="7947"/>
  <c r="AA64" i="7947" s="1"/>
  <c r="CU574" i="7949"/>
  <c r="Q66" i="7947"/>
  <c r="Q68" i="7947"/>
  <c r="E65" i="7947"/>
  <c r="CU827" i="7949"/>
  <c r="CU794" i="7949"/>
  <c r="W65" i="7947"/>
  <c r="T67" i="7947"/>
  <c r="CU826" i="7949"/>
  <c r="CU837" i="7949"/>
  <c r="CU845" i="7949"/>
  <c r="E62" i="7947"/>
  <c r="M63" i="7947"/>
  <c r="Y63" i="7947"/>
  <c r="AI67" i="7947"/>
  <c r="L61" i="7947"/>
  <c r="O61" i="7947" s="1"/>
  <c r="L59" i="7947"/>
  <c r="O59" i="7947" s="1"/>
  <c r="Z61" i="7947"/>
  <c r="CU548" i="7949"/>
  <c r="W68" i="7947"/>
  <c r="M64" i="7947"/>
  <c r="N65" i="7947"/>
  <c r="Y62" i="7947"/>
  <c r="CU783" i="7949"/>
  <c r="CU528" i="7949"/>
  <c r="AL61" i="7947"/>
  <c r="S65" i="7947"/>
  <c r="AC60" i="7947"/>
  <c r="AL62" i="7947"/>
  <c r="G65" i="7947"/>
  <c r="AI60" i="7947"/>
  <c r="E68" i="7947"/>
  <c r="W66" i="7947"/>
  <c r="CU802" i="7949"/>
  <c r="CU865" i="7949"/>
  <c r="W60" i="7947"/>
  <c r="G62" i="7947"/>
  <c r="AE67" i="7947"/>
  <c r="E64" i="7947"/>
  <c r="AI68" i="7947"/>
  <c r="Z63" i="7947"/>
  <c r="Q67" i="7947"/>
  <c r="AF60" i="7947"/>
  <c r="CU853" i="7949"/>
  <c r="R62" i="7947"/>
  <c r="U62" i="7947" s="1"/>
  <c r="AF62" i="7947"/>
  <c r="X62" i="7947"/>
  <c r="G66" i="7947"/>
  <c r="CU781" i="7949"/>
  <c r="AI65" i="7947"/>
  <c r="AF68" i="7947"/>
  <c r="AC63" i="7947"/>
  <c r="CU537" i="7949"/>
  <c r="F60" i="7947"/>
  <c r="I60" i="7947" s="1"/>
  <c r="CU791" i="7949"/>
  <c r="AL68" i="7947"/>
  <c r="X61" i="7947"/>
  <c r="AA61" i="7947" s="1"/>
  <c r="AJ66" i="7947"/>
  <c r="AM66" i="7947" s="1"/>
  <c r="W59" i="7947"/>
  <c r="N66" i="7947"/>
  <c r="CU569" i="7949"/>
  <c r="R60" i="7947"/>
  <c r="U60" i="7947" s="1"/>
  <c r="AJ59" i="7947"/>
  <c r="AM59" i="7947" s="1"/>
  <c r="Y68" i="7947"/>
  <c r="Q63" i="7947"/>
  <c r="CU828" i="7949"/>
  <c r="CU583" i="7949"/>
  <c r="X66" i="7947"/>
  <c r="AA66" i="7947" s="1"/>
  <c r="AJ61" i="7947"/>
  <c r="AM61" i="7947" s="1"/>
  <c r="H66" i="7947"/>
  <c r="CU550" i="7949"/>
  <c r="CU804" i="7949"/>
  <c r="CU515" i="7949"/>
  <c r="Y60" i="7947"/>
  <c r="AC68" i="7947"/>
  <c r="E59" i="7947"/>
  <c r="AI66" i="7947"/>
  <c r="S66" i="7947"/>
  <c r="AC67" i="7947"/>
  <c r="AD64" i="7947"/>
  <c r="AG64" i="7947" s="1"/>
  <c r="CU851" i="7949"/>
  <c r="M60" i="7947"/>
  <c r="R61" i="7947"/>
  <c r="X63" i="7947"/>
  <c r="AA63" i="7947" s="1"/>
  <c r="AD60" i="7947"/>
  <c r="AG60" i="7947" s="1"/>
  <c r="CU562" i="7949"/>
  <c r="CU806" i="7949"/>
  <c r="G61" i="7947"/>
  <c r="E67" i="7947"/>
  <c r="AI62" i="7947"/>
  <c r="Y64" i="7947"/>
  <c r="M66" i="7947"/>
  <c r="Y61" i="7947"/>
  <c r="S63" i="7947"/>
  <c r="M59" i="7947"/>
  <c r="CU839" i="7949"/>
  <c r="CU866" i="7949"/>
  <c r="E66" i="7947"/>
  <c r="Z68" i="7947"/>
  <c r="R59" i="7947"/>
  <c r="U59" i="7947" s="1"/>
  <c r="AD65" i="7947"/>
  <c r="AG65" i="7947" s="1"/>
  <c r="G64" i="7947"/>
  <c r="AC64" i="7947"/>
  <c r="AL60" i="7947"/>
  <c r="R68" i="7947"/>
  <c r="U68" i="7947" s="1"/>
  <c r="CU518" i="7949"/>
  <c r="T66" i="7947"/>
  <c r="AJ68" i="7947"/>
  <c r="AM68" i="7947" s="1"/>
  <c r="AL66" i="7947"/>
  <c r="AC61" i="7947"/>
  <c r="CU507" i="7949"/>
  <c r="CU514" i="7949"/>
  <c r="CU589" i="7949"/>
  <c r="AF66" i="7947"/>
  <c r="L64" i="7947"/>
  <c r="O64" i="7947" s="1"/>
  <c r="S59" i="7947"/>
  <c r="S67" i="7947"/>
  <c r="E60" i="7947"/>
  <c r="Z62" i="7947"/>
  <c r="AD67" i="7947"/>
  <c r="AG67" i="7947" s="1"/>
  <c r="CU551" i="7949"/>
  <c r="CU517" i="7949"/>
  <c r="AE62" i="7947"/>
  <c r="AD61" i="7947"/>
  <c r="AG61" i="7947" s="1"/>
  <c r="F64" i="7947"/>
  <c r="I64" i="7947" s="1"/>
  <c r="CU536" i="7949"/>
  <c r="CU526" i="7949"/>
  <c r="CU793" i="7949"/>
  <c r="H65" i="7947"/>
  <c r="Y66" i="7947"/>
  <c r="W67" i="7947"/>
  <c r="AD59" i="7947"/>
  <c r="AG59" i="7947" s="1"/>
  <c r="AJ63" i="7947"/>
  <c r="AM63" i="7947" s="1"/>
  <c r="Q61" i="7947"/>
  <c r="H60" i="7947"/>
  <c r="CU813" i="7949"/>
  <c r="CU803" i="7949"/>
  <c r="AE66" i="7947"/>
  <c r="K68" i="7947"/>
  <c r="G67" i="7947"/>
  <c r="Z65" i="7947"/>
  <c r="S61" i="7947"/>
  <c r="W61" i="7947"/>
  <c r="Z64" i="7947"/>
  <c r="M62" i="7947"/>
  <c r="CU504" i="7949"/>
  <c r="AF65" i="7947"/>
  <c r="T64" i="7947"/>
  <c r="R65" i="7947"/>
  <c r="U65" i="7947" s="1"/>
  <c r="H67" i="7947"/>
  <c r="BC132" i="7949"/>
  <c r="AF55" i="7947"/>
  <c r="AD55" i="7947"/>
  <c r="AK47" i="7947"/>
  <c r="AL47" i="7947"/>
  <c r="L47" i="7947"/>
  <c r="O47" i="7947" s="1"/>
  <c r="K47" i="7947"/>
  <c r="BB130" i="7949"/>
  <c r="BB70" i="7949"/>
  <c r="BC47" i="7949"/>
  <c r="BC43" i="7949"/>
  <c r="BB134" i="7949"/>
  <c r="BC130" i="7949"/>
  <c r="BC70" i="7949"/>
  <c r="BB43" i="7949"/>
  <c r="BD43" i="7949" s="1"/>
  <c r="AU118" i="7949" s="1"/>
  <c r="AB44" i="7947"/>
  <c r="AZ79" i="7949"/>
  <c r="BG79" i="7949" s="1"/>
  <c r="AX67" i="7949"/>
  <c r="BH81" i="7949"/>
  <c r="BG82" i="7949"/>
  <c r="AY78" i="7949"/>
  <c r="BG66" i="7949"/>
  <c r="V45" i="7947"/>
  <c r="AB45" i="7947"/>
  <c r="BA57" i="7949"/>
  <c r="AY57" i="7949"/>
  <c r="BD57" i="7949"/>
  <c r="AB42" i="7947"/>
  <c r="AA463" i="7955"/>
  <c r="N46" i="7947"/>
  <c r="M46" i="7947"/>
  <c r="K46" i="7947"/>
  <c r="L46" i="7947"/>
  <c r="O46" i="7947" s="1"/>
  <c r="AX132" i="7949"/>
  <c r="AD363" i="7955"/>
  <c r="AD365" i="7955" s="1"/>
  <c r="AD362" i="7955"/>
  <c r="AD312" i="7955"/>
  <c r="AD313" i="7955"/>
  <c r="AD315" i="7955" s="1"/>
  <c r="AD163" i="7955"/>
  <c r="AD165" i="7955" s="1"/>
  <c r="AD162" i="7955"/>
  <c r="BH45" i="7949"/>
  <c r="BG45" i="7949"/>
  <c r="AX42" i="7949"/>
  <c r="AI46" i="7947"/>
  <c r="AJ46" i="7947"/>
  <c r="AK46" i="7947"/>
  <c r="AL46" i="7947"/>
  <c r="T51" i="7947"/>
  <c r="S51" i="7947"/>
  <c r="R51" i="7947"/>
  <c r="Q51" i="7947"/>
  <c r="AC51" i="7947"/>
  <c r="AD51" i="7947"/>
  <c r="AF51" i="7947"/>
  <c r="AE51" i="7947"/>
  <c r="D55" i="7947"/>
  <c r="D54" i="7947"/>
  <c r="Z53" i="7947"/>
  <c r="X53" i="7947"/>
  <c r="Y53" i="7947"/>
  <c r="W53" i="7947"/>
  <c r="M53" i="7947"/>
  <c r="L53" i="7947"/>
  <c r="O53" i="7947" s="1"/>
  <c r="K53" i="7947"/>
  <c r="N53" i="7947"/>
  <c r="AC53" i="7947"/>
  <c r="AE53" i="7947"/>
  <c r="AD53" i="7947"/>
  <c r="AF53" i="7947"/>
  <c r="CV259" i="7949"/>
  <c r="CX259" i="7949"/>
  <c r="CY259" i="7949"/>
  <c r="CZ259" i="7949"/>
  <c r="CW259" i="7949"/>
  <c r="CY252" i="7949"/>
  <c r="CW252" i="7949"/>
  <c r="CX252" i="7949"/>
  <c r="CV252" i="7949"/>
  <c r="CZ252" i="7949"/>
  <c r="CX230" i="7949"/>
  <c r="CY230" i="7949"/>
  <c r="CZ230" i="7949"/>
  <c r="CW230" i="7949"/>
  <c r="CV230" i="7949"/>
  <c r="CX290" i="7949"/>
  <c r="CY290" i="7949"/>
  <c r="CV290" i="7949"/>
  <c r="CW290" i="7949"/>
  <c r="CZ290" i="7949"/>
  <c r="CZ238" i="7949"/>
  <c r="CW238" i="7949"/>
  <c r="CV238" i="7949"/>
  <c r="CX238" i="7949"/>
  <c r="CY238" i="7949"/>
  <c r="CW274" i="7949"/>
  <c r="CV274" i="7949"/>
  <c r="CX274" i="7949"/>
  <c r="CY274" i="7949"/>
  <c r="CZ274" i="7949"/>
  <c r="CV263" i="7949"/>
  <c r="CW263" i="7949"/>
  <c r="CY263" i="7949"/>
  <c r="CZ263" i="7949"/>
  <c r="CX263" i="7949"/>
  <c r="CW250" i="7949"/>
  <c r="CV250" i="7949"/>
  <c r="CX250" i="7949"/>
  <c r="CY250" i="7949"/>
  <c r="CZ250" i="7949"/>
  <c r="CY312" i="7949"/>
  <c r="CV312" i="7949"/>
  <c r="CX312" i="7949"/>
  <c r="CZ312" i="7949"/>
  <c r="CW312" i="7949"/>
  <c r="CW239" i="7949"/>
  <c r="CY239" i="7949"/>
  <c r="CZ239" i="7949"/>
  <c r="CX239" i="7949"/>
  <c r="CV239" i="7949"/>
  <c r="CY262" i="7949"/>
  <c r="CV262" i="7949"/>
  <c r="CZ262" i="7949"/>
  <c r="CW262" i="7949"/>
  <c r="CX262" i="7949"/>
  <c r="CY227" i="7949"/>
  <c r="CV227" i="7949"/>
  <c r="CW227" i="7949"/>
  <c r="CZ227" i="7949"/>
  <c r="CX227" i="7949"/>
  <c r="CZ273" i="7949"/>
  <c r="CX273" i="7949"/>
  <c r="CY273" i="7949"/>
  <c r="CV273" i="7949"/>
  <c r="CW273" i="7949"/>
  <c r="CY249" i="7949"/>
  <c r="CV249" i="7949"/>
  <c r="CW249" i="7949"/>
  <c r="CZ249" i="7949"/>
  <c r="CX249" i="7949"/>
  <c r="CX283" i="7949"/>
  <c r="CV283" i="7949"/>
  <c r="CW283" i="7949"/>
  <c r="CY283" i="7949"/>
  <c r="CZ283" i="7949"/>
  <c r="CV271" i="7949"/>
  <c r="CY271" i="7949"/>
  <c r="CZ271" i="7949"/>
  <c r="CX271" i="7949"/>
  <c r="CW271" i="7949"/>
  <c r="CZ285" i="7949"/>
  <c r="CY285" i="7949"/>
  <c r="CV285" i="7949"/>
  <c r="CW285" i="7949"/>
  <c r="CX285" i="7949"/>
  <c r="CY299" i="7949"/>
  <c r="CZ299" i="7949"/>
  <c r="CW299" i="7949"/>
  <c r="CV299" i="7949"/>
  <c r="CX299" i="7949"/>
  <c r="CX241" i="7949"/>
  <c r="CZ241" i="7949"/>
  <c r="CW241" i="7949"/>
  <c r="CY241" i="7949"/>
  <c r="CV241" i="7949"/>
  <c r="AD263" i="7955"/>
  <c r="AD265" i="7955" s="1"/>
  <c r="AD262" i="7955"/>
  <c r="AD213" i="7955"/>
  <c r="AD215" i="7955" s="1"/>
  <c r="AD212" i="7955"/>
  <c r="AD463" i="7955"/>
  <c r="AD465" i="7955" s="1"/>
  <c r="AD462" i="7955"/>
  <c r="BF43" i="7949"/>
  <c r="BF130" i="7949"/>
  <c r="BF55" i="7949"/>
  <c r="BH55" i="7949" s="1"/>
  <c r="AD104" i="7949"/>
  <c r="BI69" i="7949" s="1"/>
  <c r="AD97" i="7949"/>
  <c r="AD111" i="7949"/>
  <c r="BF129" i="7949"/>
  <c r="BF42" i="7949"/>
  <c r="BH42" i="7949" s="1"/>
  <c r="G44" i="7947"/>
  <c r="H44" i="7947"/>
  <c r="E44" i="7947"/>
  <c r="F44" i="7947"/>
  <c r="I44" i="7947" s="1"/>
  <c r="M44" i="7947"/>
  <c r="L44" i="7947"/>
  <c r="O44" i="7947" s="1"/>
  <c r="K44" i="7947"/>
  <c r="N44" i="7947"/>
  <c r="N52" i="7947"/>
  <c r="K52" i="7947"/>
  <c r="L52" i="7947"/>
  <c r="M52" i="7947"/>
  <c r="AI45" i="7947"/>
  <c r="AL45" i="7947"/>
  <c r="AJ45" i="7947"/>
  <c r="AK45" i="7947"/>
  <c r="G45" i="7947"/>
  <c r="E45" i="7947"/>
  <c r="F45" i="7947"/>
  <c r="I45" i="7947" s="1"/>
  <c r="H45" i="7947"/>
  <c r="V46" i="7947"/>
  <c r="V47" i="7947"/>
  <c r="V43" i="7947"/>
  <c r="H42" i="7947"/>
  <c r="F42" i="7947"/>
  <c r="G42" i="7947"/>
  <c r="E42" i="7947"/>
  <c r="D46" i="7947"/>
  <c r="D47" i="7947"/>
  <c r="D43" i="7947"/>
  <c r="AQ563" i="7955"/>
  <c r="AA565" i="7955"/>
  <c r="AA315" i="7955"/>
  <c r="BD71" i="7949"/>
  <c r="AU147" i="7949" s="1"/>
  <c r="BD162" i="7949"/>
  <c r="AS162" i="7949" s="1"/>
  <c r="X54" i="7947"/>
  <c r="Y54" i="7947"/>
  <c r="BG80" i="7949"/>
  <c r="Y63" i="7949"/>
  <c r="Y64" i="7949" s="1"/>
  <c r="CU861" i="7949"/>
  <c r="AI59" i="7947"/>
  <c r="Z66" i="7947"/>
  <c r="X60" i="7947"/>
  <c r="AA60" i="7947" s="1"/>
  <c r="AE68" i="7947"/>
  <c r="K62" i="7947"/>
  <c r="G59" i="7947"/>
  <c r="H62" i="7947"/>
  <c r="M61" i="7947"/>
  <c r="CU838" i="7949"/>
  <c r="Z60" i="7947"/>
  <c r="AI64" i="7947"/>
  <c r="AE63" i="7947"/>
  <c r="CU844" i="7949"/>
  <c r="AF59" i="7947"/>
  <c r="AJ62" i="7947"/>
  <c r="AM62" i="7947" s="1"/>
  <c r="AF63" i="7947"/>
  <c r="CU538" i="7949"/>
  <c r="CU527" i="7949"/>
  <c r="Q65" i="7947"/>
  <c r="AE59" i="7947"/>
  <c r="E63" i="7947"/>
  <c r="R67" i="7947"/>
  <c r="U67" i="7947" s="1"/>
  <c r="AI61" i="7947"/>
  <c r="N61" i="7947"/>
  <c r="S62" i="7947"/>
  <c r="K60" i="7947"/>
  <c r="CU584" i="7949"/>
  <c r="Q62" i="7947"/>
  <c r="F65" i="7947"/>
  <c r="I65" i="7947" s="1"/>
  <c r="X67" i="7947"/>
  <c r="AA67" i="7947" s="1"/>
  <c r="L65" i="7947"/>
  <c r="O65" i="7947" s="1"/>
  <c r="CU816" i="7949"/>
  <c r="CU516" i="7949"/>
  <c r="E61" i="7947"/>
  <c r="L68" i="7947"/>
  <c r="O68" i="7947" s="1"/>
  <c r="N63" i="7947"/>
  <c r="AL59" i="7947"/>
  <c r="H63" i="7947"/>
  <c r="AD63" i="7947"/>
  <c r="K59" i="7947"/>
  <c r="CU784" i="7949"/>
  <c r="CU529" i="7949"/>
  <c r="CU780" i="7949"/>
  <c r="H61" i="7947"/>
  <c r="N64" i="7947"/>
  <c r="F68" i="7947"/>
  <c r="I68" i="7947" s="1"/>
  <c r="G63" i="7947"/>
  <c r="X68" i="7947"/>
  <c r="AA68" i="7947" s="1"/>
  <c r="M68" i="7947"/>
  <c r="L66" i="7947"/>
  <c r="O66" i="7947" s="1"/>
  <c r="CU525" i="7949"/>
  <c r="AK68" i="7947"/>
  <c r="K66" i="7947"/>
  <c r="L62" i="7947"/>
  <c r="O62" i="7947" s="1"/>
  <c r="AK62" i="7947"/>
  <c r="CU817" i="7949"/>
  <c r="N60" i="7947"/>
  <c r="T59" i="7947"/>
  <c r="N59" i="7947"/>
  <c r="CU824" i="7949"/>
  <c r="AL63" i="7947"/>
  <c r="CU549" i="7949"/>
  <c r="CU846" i="7949"/>
  <c r="AF64" i="7947"/>
  <c r="F62" i="7947"/>
  <c r="I62" i="7947" s="1"/>
  <c r="G60" i="7947"/>
  <c r="R63" i="7947"/>
  <c r="U63" i="7947" s="1"/>
  <c r="CU814" i="7949"/>
  <c r="L60" i="7947"/>
  <c r="Z67" i="7947"/>
  <c r="K61" i="7947"/>
  <c r="L63" i="7947"/>
  <c r="O63" i="7947" s="1"/>
  <c r="K63" i="7947"/>
  <c r="CU561" i="7949"/>
  <c r="AC65" i="7947"/>
  <c r="T60" i="7947"/>
  <c r="Q64" i="7947"/>
  <c r="AD68" i="7947"/>
  <c r="AG68" i="7947" s="1"/>
  <c r="CU539" i="7949"/>
  <c r="CU567" i="7949"/>
  <c r="AE60" i="7947"/>
  <c r="W62" i="7947"/>
  <c r="AE64" i="7947"/>
  <c r="H68" i="7947"/>
  <c r="AK64" i="7947"/>
  <c r="AJ65" i="7947"/>
  <c r="AM65" i="7947" s="1"/>
  <c r="N68" i="7947"/>
  <c r="F61" i="7947"/>
  <c r="I61" i="7947" s="1"/>
  <c r="CU560" i="7949"/>
  <c r="X59" i="7947"/>
  <c r="AA59" i="7947" s="1"/>
  <c r="AL64" i="7947"/>
  <c r="AK65" i="7947"/>
  <c r="CU547" i="7949"/>
  <c r="CU576" i="7949"/>
  <c r="CU860" i="7949"/>
  <c r="AE61" i="7947"/>
  <c r="G68" i="7947"/>
  <c r="AD62" i="7947"/>
  <c r="AG62" i="7947" s="1"/>
  <c r="M65" i="7947"/>
  <c r="R66" i="7947"/>
  <c r="U66" i="7947" s="1"/>
  <c r="AK60" i="7947"/>
  <c r="W64" i="7947"/>
  <c r="CU506" i="7949"/>
  <c r="CU588" i="7949"/>
  <c r="CU792" i="7949"/>
  <c r="AC59" i="7947"/>
  <c r="S60" i="7947"/>
  <c r="AK66" i="7947"/>
  <c r="W63" i="7947"/>
  <c r="F66" i="7947"/>
  <c r="I66" i="7947" s="1"/>
  <c r="K67" i="7947"/>
  <c r="AK67" i="7947"/>
  <c r="CU505" i="7949"/>
  <c r="M67" i="7947"/>
  <c r="AJ64" i="7947"/>
  <c r="AK61" i="7947"/>
  <c r="Y59" i="7947"/>
  <c r="Q59" i="7947"/>
  <c r="CU540" i="7949"/>
  <c r="CU575" i="7949"/>
  <c r="AE65" i="7947"/>
  <c r="AK63" i="7947"/>
  <c r="Y65" i="7947"/>
  <c r="T63" i="7947"/>
  <c r="AC66" i="7947"/>
  <c r="AL67" i="7947"/>
  <c r="K65" i="7947"/>
  <c r="T61" i="7947"/>
  <c r="CU805" i="7949"/>
  <c r="AI63" i="7947"/>
  <c r="AF67" i="7947"/>
  <c r="S64" i="7947"/>
  <c r="N67" i="7947"/>
  <c r="CU782" i="7949"/>
  <c r="CU852" i="7949"/>
  <c r="N62" i="7947"/>
  <c r="T65" i="7947"/>
  <c r="K64" i="7947"/>
  <c r="F63" i="7947"/>
  <c r="I63" i="7947" s="1"/>
  <c r="T68" i="7947"/>
  <c r="AJ60" i="7947"/>
  <c r="AM60" i="7947" s="1"/>
  <c r="AL65" i="7947"/>
  <c r="AD66" i="7947"/>
  <c r="AG66" i="7947" s="1"/>
  <c r="CU815" i="7949"/>
  <c r="CU503" i="7949"/>
  <c r="AK59" i="7947"/>
  <c r="F67" i="7947"/>
  <c r="I67" i="7947" s="1"/>
  <c r="H59" i="7947"/>
  <c r="S68" i="7947"/>
  <c r="AJ67" i="7947"/>
  <c r="AM67" i="7947" s="1"/>
  <c r="T62" i="7947"/>
  <c r="X65" i="7947"/>
  <c r="AA65" i="7947" s="1"/>
  <c r="CU825" i="7949"/>
  <c r="AF61" i="7947"/>
  <c r="Y67" i="7947"/>
  <c r="R64" i="7947"/>
  <c r="U64" i="7947" s="1"/>
  <c r="AC62" i="7947"/>
  <c r="BC155" i="7949"/>
  <c r="BE155" i="7949" s="1"/>
  <c r="BC46" i="7949"/>
  <c r="BE46" i="7949" s="1"/>
  <c r="BB132" i="7949"/>
  <c r="BH132" i="7949"/>
  <c r="BC67" i="7949"/>
  <c r="BH59" i="7949"/>
  <c r="BD55" i="7949"/>
  <c r="BH66" i="7949"/>
  <c r="AX45" i="7949"/>
  <c r="AE55" i="7947"/>
  <c r="AC55" i="7947"/>
  <c r="AI47" i="7947"/>
  <c r="AJ47" i="7947"/>
  <c r="M47" i="7947"/>
  <c r="BB69" i="7949"/>
  <c r="BC159" i="7949"/>
  <c r="BB158" i="7949"/>
  <c r="BB47" i="7949"/>
  <c r="BC69" i="7949"/>
  <c r="BE69" i="7949" s="1"/>
  <c r="BC134" i="7949"/>
  <c r="BB159" i="7949"/>
  <c r="BC158" i="7949"/>
  <c r="P44" i="7947"/>
  <c r="AZ58" i="7949"/>
  <c r="AY58" i="7949"/>
  <c r="D52" i="7947"/>
  <c r="P52" i="7947"/>
  <c r="P45" i="7947"/>
  <c r="AZ54" i="7949"/>
  <c r="BG54" i="7949" s="1"/>
  <c r="P42" i="7947"/>
  <c r="ES373" i="2" l="1"/>
  <c r="ER379" i="2"/>
  <c r="ES379" i="2" s="1"/>
  <c r="EW81" i="2"/>
  <c r="EX81" i="2"/>
  <c r="ET81" i="2"/>
  <c r="ET906" i="2"/>
  <c r="EX906" i="2"/>
  <c r="EW906" i="2"/>
  <c r="EX898" i="2"/>
  <c r="EW898" i="2"/>
  <c r="ET898" i="2"/>
  <c r="ES781" i="2"/>
  <c r="ER787" i="2"/>
  <c r="EX778" i="2"/>
  <c r="EW778" i="2"/>
  <c r="ET778" i="2"/>
  <c r="EW169" i="2"/>
  <c r="EX169" i="2"/>
  <c r="ET169" i="2"/>
  <c r="EW376" i="2"/>
  <c r="EX376" i="2"/>
  <c r="ET376" i="2"/>
  <c r="ES358" i="2"/>
  <c r="EY359" i="2"/>
  <c r="ES359" i="2" s="1"/>
  <c r="ES72" i="2"/>
  <c r="ER78" i="2"/>
  <c r="ET777" i="2"/>
  <c r="EW777" i="2"/>
  <c r="EX777" i="2"/>
  <c r="ES782" i="2"/>
  <c r="ER788" i="2"/>
  <c r="ET375" i="2"/>
  <c r="EW375" i="2"/>
  <c r="EX375" i="2"/>
  <c r="EW380" i="2"/>
  <c r="EX380" i="2"/>
  <c r="ET380" i="2"/>
  <c r="EW915" i="2"/>
  <c r="ET915" i="2"/>
  <c r="EX915" i="2"/>
  <c r="EX55" i="2"/>
  <c r="EW55" i="2"/>
  <c r="ET55" i="2"/>
  <c r="EX80" i="2"/>
  <c r="EW80" i="2"/>
  <c r="ET80" i="2"/>
  <c r="ET900" i="2"/>
  <c r="EX900" i="2"/>
  <c r="EW900" i="2"/>
  <c r="EY690" i="2"/>
  <c r="EY691" i="2" s="1"/>
  <c r="ER691" i="2"/>
  <c r="ES691" i="2" s="1"/>
  <c r="EW799" i="2"/>
  <c r="EX799" i="2"/>
  <c r="ET799" i="2"/>
  <c r="EW82" i="2"/>
  <c r="EX82" i="2"/>
  <c r="ET82" i="2"/>
  <c r="EW73" i="2"/>
  <c r="ET73" i="2"/>
  <c r="EX73" i="2"/>
  <c r="ET377" i="2"/>
  <c r="EW377" i="2"/>
  <c r="EX377" i="2"/>
  <c r="ER697" i="2"/>
  <c r="EY694" i="2"/>
  <c r="EY695" i="2" s="1"/>
  <c r="ES695" i="2" s="1"/>
  <c r="ER663" i="2"/>
  <c r="EY662" i="2"/>
  <c r="EY663" i="2" s="1"/>
  <c r="EY664" i="2" s="1"/>
  <c r="EY665" i="2" s="1"/>
  <c r="EY666" i="2" s="1"/>
  <c r="EY680" i="2"/>
  <c r="EY681" i="2" s="1"/>
  <c r="EY682" i="2" s="1"/>
  <c r="EY683" i="2" s="1"/>
  <c r="EY684" i="2" s="1"/>
  <c r="ER666" i="2"/>
  <c r="EY769" i="2"/>
  <c r="ES768" i="2"/>
  <c r="EX367" i="2"/>
  <c r="ET367" i="2"/>
  <c r="EW367" i="2"/>
  <c r="EW75" i="2"/>
  <c r="ET75" i="2"/>
  <c r="EX75" i="2"/>
  <c r="ET902" i="2"/>
  <c r="EW902" i="2"/>
  <c r="EX902" i="2"/>
  <c r="ET775" i="2"/>
  <c r="EX775" i="2"/>
  <c r="EW775" i="2"/>
  <c r="ES784" i="2"/>
  <c r="ER790" i="2"/>
  <c r="ET170" i="2"/>
  <c r="EX170" i="2"/>
  <c r="EW170" i="2"/>
  <c r="EX382" i="2"/>
  <c r="ET382" i="2"/>
  <c r="EW382" i="2"/>
  <c r="EX357" i="2"/>
  <c r="ET357" i="2"/>
  <c r="EW357" i="2"/>
  <c r="EX66" i="2"/>
  <c r="ET66" i="2"/>
  <c r="EW66" i="2"/>
  <c r="ER789" i="2"/>
  <c r="ES783" i="2"/>
  <c r="EX776" i="2"/>
  <c r="ET776" i="2"/>
  <c r="EW776" i="2"/>
  <c r="EX381" i="2"/>
  <c r="EW381" i="2"/>
  <c r="ET381" i="2"/>
  <c r="EW374" i="2"/>
  <c r="ET374" i="2"/>
  <c r="EX374" i="2"/>
  <c r="ET914" i="2"/>
  <c r="EW914" i="2"/>
  <c r="EX914" i="2"/>
  <c r="EY57" i="2"/>
  <c r="ES56" i="2"/>
  <c r="EW74" i="2"/>
  <c r="EX74" i="2"/>
  <c r="ET74" i="2"/>
  <c r="EX899" i="2"/>
  <c r="ET899" i="2"/>
  <c r="EW899" i="2"/>
  <c r="EY687" i="2"/>
  <c r="EY688" i="2" s="1"/>
  <c r="ES688" i="2" s="1"/>
  <c r="ER690" i="2"/>
  <c r="ES690" i="2" s="1"/>
  <c r="ES687" i="2"/>
  <c r="EX800" i="2"/>
  <c r="EW800" i="2"/>
  <c r="ET800" i="2"/>
  <c r="EX76" i="2"/>
  <c r="ET76" i="2"/>
  <c r="EW76" i="2"/>
  <c r="EW79" i="2"/>
  <c r="EX79" i="2"/>
  <c r="ET79" i="2"/>
  <c r="EW383" i="2"/>
  <c r="ET383" i="2"/>
  <c r="EX383" i="2"/>
  <c r="ER698" i="2"/>
  <c r="EY697" i="2"/>
  <c r="EY698" i="2" s="1"/>
  <c r="ES698" i="2" s="1"/>
  <c r="EY655" i="2"/>
  <c r="ER656" i="2"/>
  <c r="ER665" i="2"/>
  <c r="EY674" i="2"/>
  <c r="EY675" i="2" s="1"/>
  <c r="EY676" i="2" s="1"/>
  <c r="EY677" i="2" s="1"/>
  <c r="EY678" i="2" s="1"/>
  <c r="ER664" i="2"/>
  <c r="EY668" i="2"/>
  <c r="EY669" i="2" s="1"/>
  <c r="EY670" i="2" s="1"/>
  <c r="EY671" i="2" s="1"/>
  <c r="EY672" i="2" s="1"/>
  <c r="ER780" i="2"/>
  <c r="ES774" i="2"/>
  <c r="AX160" i="7949"/>
  <c r="BD79" i="7949"/>
  <c r="AG54" i="7947"/>
  <c r="AX129" i="7949"/>
  <c r="AZ157" i="7949"/>
  <c r="BH138" i="7949"/>
  <c r="AG65" i="7950"/>
  <c r="AG66" i="7950" s="1"/>
  <c r="AG67" i="7950" s="1"/>
  <c r="AH60" i="7950"/>
  <c r="AH63" i="7950" s="1"/>
  <c r="D47" i="7948" s="1"/>
  <c r="BE134" i="7949"/>
  <c r="BD47" i="7949"/>
  <c r="AU122" i="7949" s="1"/>
  <c r="BI66" i="7949"/>
  <c r="BH129" i="7949"/>
  <c r="AX164" i="7949"/>
  <c r="BI164" i="7949" s="1"/>
  <c r="BI61" i="7949"/>
  <c r="AX135" i="7949"/>
  <c r="BG135" i="7949"/>
  <c r="K51" i="7947"/>
  <c r="BE44" i="7949"/>
  <c r="AX130" i="7949"/>
  <c r="BI71" i="7949"/>
  <c r="AX155" i="7949"/>
  <c r="BI86" i="7949"/>
  <c r="BD161" i="7949"/>
  <c r="AS161" i="7949" s="1"/>
  <c r="AX79" i="7949"/>
  <c r="BD80" i="7949"/>
  <c r="BH80" i="7949"/>
  <c r="AM43" i="7947"/>
  <c r="BH135" i="7949"/>
  <c r="BI135" i="7949" s="1"/>
  <c r="BD163" i="7949"/>
  <c r="AS163" i="7949" s="1"/>
  <c r="BG157" i="7949"/>
  <c r="BG44" i="7949"/>
  <c r="BI44" i="7949"/>
  <c r="BG133" i="7949"/>
  <c r="BD129" i="7949"/>
  <c r="AS129" i="7949" s="1"/>
  <c r="W44" i="7947"/>
  <c r="BG131" i="7949"/>
  <c r="M51" i="7947"/>
  <c r="BA157" i="7949"/>
  <c r="AX157" i="7949" s="1"/>
  <c r="BA163" i="7949"/>
  <c r="AX163" i="7949" s="1"/>
  <c r="BA133" i="7949"/>
  <c r="BH133" i="7949" s="1"/>
  <c r="BG137" i="7949"/>
  <c r="BC157" i="7949"/>
  <c r="BE157" i="7949" s="1"/>
  <c r="BH160" i="7949"/>
  <c r="BE164" i="7949"/>
  <c r="BD164" i="7949"/>
  <c r="AS164" i="7949" s="1"/>
  <c r="AX161" i="7949"/>
  <c r="AX137" i="7949"/>
  <c r="BE131" i="7949"/>
  <c r="BD138" i="7949"/>
  <c r="AS138" i="7949" s="1"/>
  <c r="BI62" i="7949"/>
  <c r="BI63" i="7949"/>
  <c r="BE78" i="7949"/>
  <c r="BH155" i="7949"/>
  <c r="BI47" i="7949"/>
  <c r="AX156" i="7949"/>
  <c r="BD135" i="7949"/>
  <c r="AS135" i="7949" s="1"/>
  <c r="BD78" i="7949"/>
  <c r="BE136" i="7949"/>
  <c r="BD136" i="7949"/>
  <c r="AS136" i="7949" s="1"/>
  <c r="BE137" i="7949"/>
  <c r="BD137" i="7949"/>
  <c r="AS137" i="7949" s="1"/>
  <c r="BD157" i="7949"/>
  <c r="AS157" i="7949" s="1"/>
  <c r="BD131" i="7949"/>
  <c r="AS131" i="7949" s="1"/>
  <c r="BB156" i="7949"/>
  <c r="BC133" i="7949"/>
  <c r="BC156" i="7949"/>
  <c r="BE156" i="7949" s="1"/>
  <c r="AQ413" i="7955"/>
  <c r="BH156" i="7949"/>
  <c r="BG155" i="7949"/>
  <c r="AX131" i="7949"/>
  <c r="BE80" i="7949"/>
  <c r="AQ63" i="7955"/>
  <c r="AQ113" i="7955"/>
  <c r="BG156" i="7949"/>
  <c r="BH161" i="7949"/>
  <c r="BH162" i="7949"/>
  <c r="AX138" i="7949"/>
  <c r="BI138" i="7949" s="1"/>
  <c r="BG134" i="7949"/>
  <c r="BH134" i="7949"/>
  <c r="AX134" i="7949"/>
  <c r="BE79" i="7949"/>
  <c r="BE58" i="7949"/>
  <c r="BE45" i="7949"/>
  <c r="BI50" i="7949"/>
  <c r="BI51" i="7949"/>
  <c r="BI49" i="7949"/>
  <c r="BI70" i="7949"/>
  <c r="BI82" i="7949"/>
  <c r="BE82" i="7949"/>
  <c r="BH158" i="7949"/>
  <c r="AX158" i="7949"/>
  <c r="BH136" i="7949"/>
  <c r="BI136" i="7949" s="1"/>
  <c r="AX162" i="7949"/>
  <c r="BH159" i="7949"/>
  <c r="BI159" i="7949" s="1"/>
  <c r="BI48" i="7949"/>
  <c r="BH137" i="7949"/>
  <c r="BI46" i="7949"/>
  <c r="AQ313" i="7955"/>
  <c r="BH79" i="7949"/>
  <c r="BI79" i="7949" s="1"/>
  <c r="BI45" i="7949"/>
  <c r="BE67" i="7949"/>
  <c r="BD132" i="7949"/>
  <c r="AS132" i="7949" s="1"/>
  <c r="BD44" i="7949"/>
  <c r="AU119" i="7949" s="1"/>
  <c r="AX80" i="7949"/>
  <c r="BI80" i="7949" s="1"/>
  <c r="AQ513" i="7955"/>
  <c r="O51" i="7947"/>
  <c r="AG53" i="7947"/>
  <c r="BD58" i="7949"/>
  <c r="BI81" i="7949"/>
  <c r="AM42" i="7947"/>
  <c r="O42" i="7947"/>
  <c r="AG52" i="7947"/>
  <c r="AM44" i="7947"/>
  <c r="BE158" i="7949"/>
  <c r="BE159" i="7949"/>
  <c r="U51" i="7947"/>
  <c r="BD130" i="7949"/>
  <c r="AS130" i="7949" s="1"/>
  <c r="S42" i="7947"/>
  <c r="T42" i="7947"/>
  <c r="Q42" i="7947"/>
  <c r="R42" i="7947"/>
  <c r="S52" i="7947"/>
  <c r="R52" i="7947"/>
  <c r="Q52" i="7947"/>
  <c r="T52" i="7947"/>
  <c r="BH58" i="7949"/>
  <c r="AX58" i="7949"/>
  <c r="BG58" i="7949"/>
  <c r="CY825" i="7949"/>
  <c r="CV825" i="7949"/>
  <c r="CW825" i="7949"/>
  <c r="CZ825" i="7949"/>
  <c r="CX825" i="7949"/>
  <c r="CW503" i="7949"/>
  <c r="CZ503" i="7949"/>
  <c r="CX503" i="7949"/>
  <c r="CV503" i="7949"/>
  <c r="CY503" i="7949"/>
  <c r="CY852" i="7949"/>
  <c r="CV852" i="7949"/>
  <c r="CX852" i="7949"/>
  <c r="CZ852" i="7949"/>
  <c r="CW852" i="7949"/>
  <c r="CV805" i="7949"/>
  <c r="CW805" i="7949"/>
  <c r="CZ805" i="7949"/>
  <c r="CX805" i="7949"/>
  <c r="CY805" i="7949"/>
  <c r="CX540" i="7949"/>
  <c r="CZ540" i="7949"/>
  <c r="CY540" i="7949"/>
  <c r="CV540" i="7949"/>
  <c r="CW540" i="7949"/>
  <c r="CW505" i="7949"/>
  <c r="CX505" i="7949"/>
  <c r="CY505" i="7949"/>
  <c r="CZ505" i="7949"/>
  <c r="CV505" i="7949"/>
  <c r="CX792" i="7949"/>
  <c r="CZ792" i="7949"/>
  <c r="CW792" i="7949"/>
  <c r="CV792" i="7949"/>
  <c r="CY792" i="7949"/>
  <c r="CY506" i="7949"/>
  <c r="CV506" i="7949"/>
  <c r="CZ506" i="7949"/>
  <c r="CX506" i="7949"/>
  <c r="CW506" i="7949"/>
  <c r="CZ860" i="7949"/>
  <c r="CX860" i="7949"/>
  <c r="CV860" i="7949"/>
  <c r="CY860" i="7949"/>
  <c r="CW860" i="7949"/>
  <c r="CW547" i="7949"/>
  <c r="CV547" i="7949"/>
  <c r="CX547" i="7949"/>
  <c r="CZ547" i="7949"/>
  <c r="CY547" i="7949"/>
  <c r="CX560" i="7949"/>
  <c r="CZ560" i="7949"/>
  <c r="CY560" i="7949"/>
  <c r="CV560" i="7949"/>
  <c r="CW560" i="7949"/>
  <c r="CX539" i="7949"/>
  <c r="CZ539" i="7949"/>
  <c r="CW539" i="7949"/>
  <c r="CY539" i="7949"/>
  <c r="CV539" i="7949"/>
  <c r="CW846" i="7949"/>
  <c r="CV846" i="7949"/>
  <c r="CX846" i="7949"/>
  <c r="CY846" i="7949"/>
  <c r="CZ846" i="7949"/>
  <c r="CW525" i="7949"/>
  <c r="CY525" i="7949"/>
  <c r="CV525" i="7949"/>
  <c r="CX525" i="7949"/>
  <c r="CZ525" i="7949"/>
  <c r="CX780" i="7949"/>
  <c r="CY780" i="7949"/>
  <c r="CZ780" i="7949"/>
  <c r="CW780" i="7949"/>
  <c r="CV780" i="7949"/>
  <c r="CY784" i="7949"/>
  <c r="CZ784" i="7949"/>
  <c r="CW784" i="7949"/>
  <c r="CV784" i="7949"/>
  <c r="CX784" i="7949"/>
  <c r="CW516" i="7949"/>
  <c r="CV516" i="7949"/>
  <c r="CX516" i="7949"/>
  <c r="CZ516" i="7949"/>
  <c r="CY516" i="7949"/>
  <c r="CV584" i="7949"/>
  <c r="CZ584" i="7949"/>
  <c r="CW584" i="7949"/>
  <c r="CY584" i="7949"/>
  <c r="CX584" i="7949"/>
  <c r="CZ538" i="7949"/>
  <c r="CY538" i="7949"/>
  <c r="CW538" i="7949"/>
  <c r="CV538" i="7949"/>
  <c r="CX538" i="7949"/>
  <c r="CY844" i="7949"/>
  <c r="CZ844" i="7949"/>
  <c r="CW844" i="7949"/>
  <c r="CV844" i="7949"/>
  <c r="CX844" i="7949"/>
  <c r="CX838" i="7949"/>
  <c r="CZ838" i="7949"/>
  <c r="CW838" i="7949"/>
  <c r="CY838" i="7949"/>
  <c r="CV838" i="7949"/>
  <c r="F43" i="7947"/>
  <c r="I43" i="7947" s="1"/>
  <c r="H43" i="7947"/>
  <c r="E43" i="7947"/>
  <c r="G43" i="7947"/>
  <c r="F46" i="7947"/>
  <c r="I46" i="7947" s="1"/>
  <c r="H46" i="7947"/>
  <c r="G46" i="7947"/>
  <c r="E46" i="7947"/>
  <c r="W47" i="7947"/>
  <c r="Y47" i="7947"/>
  <c r="Z47" i="7947"/>
  <c r="X47" i="7947"/>
  <c r="AA47" i="7947" s="1"/>
  <c r="BG43" i="7949"/>
  <c r="BH43" i="7949"/>
  <c r="BI43" i="7949" s="1"/>
  <c r="H55" i="7947"/>
  <c r="G55" i="7947"/>
  <c r="E55" i="7947"/>
  <c r="F55" i="7947"/>
  <c r="I55" i="7947" s="1"/>
  <c r="AF42" i="7947"/>
  <c r="AC42" i="7947"/>
  <c r="AE42" i="7947"/>
  <c r="AD42" i="7947"/>
  <c r="AX57" i="7949"/>
  <c r="BH57" i="7949"/>
  <c r="BG57" i="7949"/>
  <c r="AF45" i="7947"/>
  <c r="AC45" i="7947"/>
  <c r="AE45" i="7947"/>
  <c r="AD45" i="7947"/>
  <c r="CD348" i="7949"/>
  <c r="CD347" i="7949"/>
  <c r="CD346" i="7949"/>
  <c r="CD349" i="7949"/>
  <c r="CD351" i="7949"/>
  <c r="CD350" i="7949"/>
  <c r="CC350" i="7949" s="1"/>
  <c r="CD352" i="7949"/>
  <c r="CC352" i="7949" s="1"/>
  <c r="CD343" i="7949"/>
  <c r="CC343" i="7949" s="1"/>
  <c r="CD345" i="7949"/>
  <c r="CD344" i="7949"/>
  <c r="CC344" i="7949" s="1"/>
  <c r="AD44" i="7947"/>
  <c r="AC44" i="7947"/>
  <c r="AE44" i="7947"/>
  <c r="AF44" i="7947"/>
  <c r="BE70" i="7949"/>
  <c r="CX504" i="7949"/>
  <c r="CV504" i="7949"/>
  <c r="CW504" i="7949"/>
  <c r="CZ504" i="7949"/>
  <c r="CY504" i="7949"/>
  <c r="CY813" i="7949"/>
  <c r="CZ813" i="7949"/>
  <c r="CX813" i="7949"/>
  <c r="CV813" i="7949"/>
  <c r="CW813" i="7949"/>
  <c r="CW793" i="7949"/>
  <c r="CX793" i="7949"/>
  <c r="CV793" i="7949"/>
  <c r="CZ793" i="7949"/>
  <c r="CY793" i="7949"/>
  <c r="CW536" i="7949"/>
  <c r="CV536" i="7949"/>
  <c r="CY536" i="7949"/>
  <c r="CX536" i="7949"/>
  <c r="CZ536" i="7949"/>
  <c r="CZ517" i="7949"/>
  <c r="CX517" i="7949"/>
  <c r="CY517" i="7949"/>
  <c r="CV517" i="7949"/>
  <c r="CW517" i="7949"/>
  <c r="CY514" i="7949"/>
  <c r="CX514" i="7949"/>
  <c r="CW514" i="7949"/>
  <c r="CZ514" i="7949"/>
  <c r="CV514" i="7949"/>
  <c r="CY518" i="7949"/>
  <c r="CV518" i="7949"/>
  <c r="CZ518" i="7949"/>
  <c r="CX518" i="7949"/>
  <c r="CW518" i="7949"/>
  <c r="CV839" i="7949"/>
  <c r="CW839" i="7949"/>
  <c r="CZ839" i="7949"/>
  <c r="CY839" i="7949"/>
  <c r="CX839" i="7949"/>
  <c r="CX562" i="7949"/>
  <c r="CZ562" i="7949"/>
  <c r="CY562" i="7949"/>
  <c r="CW562" i="7949"/>
  <c r="CV562" i="7949"/>
  <c r="CY804" i="7949"/>
  <c r="CV804" i="7949"/>
  <c r="CX804" i="7949"/>
  <c r="CW804" i="7949"/>
  <c r="CZ804" i="7949"/>
  <c r="CW828" i="7949"/>
  <c r="CV828" i="7949"/>
  <c r="CX828" i="7949"/>
  <c r="CY828" i="7949"/>
  <c r="CZ828" i="7949"/>
  <c r="CV853" i="7949"/>
  <c r="CW853" i="7949"/>
  <c r="CY853" i="7949"/>
  <c r="CZ853" i="7949"/>
  <c r="CX853" i="7949"/>
  <c r="CZ802" i="7949"/>
  <c r="CW802" i="7949"/>
  <c r="CV802" i="7949"/>
  <c r="CX802" i="7949"/>
  <c r="CY802" i="7949"/>
  <c r="CX783" i="7949"/>
  <c r="CY783" i="7949"/>
  <c r="CV783" i="7949"/>
  <c r="CW783" i="7949"/>
  <c r="CZ783" i="7949"/>
  <c r="CY837" i="7949"/>
  <c r="CZ837" i="7949"/>
  <c r="CX837" i="7949"/>
  <c r="CV837" i="7949"/>
  <c r="CW837" i="7949"/>
  <c r="CZ794" i="7949"/>
  <c r="CW794" i="7949"/>
  <c r="CY794" i="7949"/>
  <c r="CV794" i="7949"/>
  <c r="CX794" i="7949"/>
  <c r="CY795" i="7949"/>
  <c r="CV795" i="7949"/>
  <c r="CW795" i="7949"/>
  <c r="CX795" i="7949"/>
  <c r="CZ795" i="7949"/>
  <c r="E51" i="7947"/>
  <c r="H51" i="7947"/>
  <c r="F51" i="7947"/>
  <c r="G51" i="7947"/>
  <c r="BH56" i="7949"/>
  <c r="AX56" i="7949"/>
  <c r="BG56" i="7949"/>
  <c r="L55" i="7947"/>
  <c r="O55" i="7947" s="1"/>
  <c r="K55" i="7947"/>
  <c r="M55" i="7947"/>
  <c r="N55" i="7947"/>
  <c r="S43" i="7947"/>
  <c r="R43" i="7947"/>
  <c r="T43" i="7947"/>
  <c r="Q43" i="7947"/>
  <c r="T46" i="7947"/>
  <c r="S46" i="7947"/>
  <c r="R46" i="7947"/>
  <c r="U46" i="7947" s="1"/>
  <c r="Q46" i="7947"/>
  <c r="S54" i="7947"/>
  <c r="R54" i="7947"/>
  <c r="U54" i="7947" s="1"/>
  <c r="T54" i="7947"/>
  <c r="Q54" i="7947"/>
  <c r="AD47" i="7947"/>
  <c r="AG47" i="7947" s="1"/>
  <c r="AE47" i="7947"/>
  <c r="AC47" i="7947"/>
  <c r="AF47" i="7947"/>
  <c r="AF108" i="7950"/>
  <c r="AG108" i="7950"/>
  <c r="BG42" i="7949"/>
  <c r="BI67" i="7949"/>
  <c r="BD134" i="7949"/>
  <c r="AS134" i="7949" s="1"/>
  <c r="BE47" i="7949"/>
  <c r="BE132" i="7949"/>
  <c r="BI155" i="7949"/>
  <c r="BD67" i="7949"/>
  <c r="AU143" i="7949" s="1"/>
  <c r="AA44" i="7947"/>
  <c r="CT305" i="7949"/>
  <c r="BI156" i="7949"/>
  <c r="BH131" i="7949"/>
  <c r="BI131" i="7949" s="1"/>
  <c r="BI55" i="7949"/>
  <c r="BI59" i="7949"/>
  <c r="BG129" i="7949"/>
  <c r="AA42" i="7947"/>
  <c r="S45" i="7947"/>
  <c r="T45" i="7947"/>
  <c r="R45" i="7947"/>
  <c r="U45" i="7947" s="1"/>
  <c r="Q45" i="7947"/>
  <c r="E52" i="7947"/>
  <c r="H52" i="7947"/>
  <c r="G52" i="7947"/>
  <c r="F52" i="7947"/>
  <c r="I52" i="7947" s="1"/>
  <c r="Q44" i="7947"/>
  <c r="T44" i="7947"/>
  <c r="R44" i="7947"/>
  <c r="S44" i="7947"/>
  <c r="CW815" i="7949"/>
  <c r="CV815" i="7949"/>
  <c r="CZ815" i="7949"/>
  <c r="CX815" i="7949"/>
  <c r="CY815" i="7949"/>
  <c r="CY782" i="7949"/>
  <c r="CZ782" i="7949"/>
  <c r="CW782" i="7949"/>
  <c r="CV782" i="7949"/>
  <c r="CX782" i="7949"/>
  <c r="CW575" i="7949"/>
  <c r="CZ575" i="7949"/>
  <c r="CX575" i="7949"/>
  <c r="CY575" i="7949"/>
  <c r="CV575" i="7949"/>
  <c r="CW588" i="7949"/>
  <c r="CY588" i="7949"/>
  <c r="CX588" i="7949"/>
  <c r="CZ588" i="7949"/>
  <c r="CV588" i="7949"/>
  <c r="CW576" i="7949"/>
  <c r="CZ576" i="7949"/>
  <c r="CX576" i="7949"/>
  <c r="CY576" i="7949"/>
  <c r="CV576" i="7949"/>
  <c r="CX567" i="7949"/>
  <c r="CV567" i="7949"/>
  <c r="CY567" i="7949"/>
  <c r="CZ567" i="7949"/>
  <c r="CW567" i="7949"/>
  <c r="CW561" i="7949"/>
  <c r="CV561" i="7949"/>
  <c r="CX561" i="7949"/>
  <c r="CY561" i="7949"/>
  <c r="CZ561" i="7949"/>
  <c r="CV814" i="7949"/>
  <c r="CX814" i="7949"/>
  <c r="CZ814" i="7949"/>
  <c r="CW814" i="7949"/>
  <c r="CY814" i="7949"/>
  <c r="CW549" i="7949"/>
  <c r="CX549" i="7949"/>
  <c r="CZ549" i="7949"/>
  <c r="CY549" i="7949"/>
  <c r="CV549" i="7949"/>
  <c r="CZ824" i="7949"/>
  <c r="CW824" i="7949"/>
  <c r="CV824" i="7949"/>
  <c r="CX824" i="7949"/>
  <c r="CY824" i="7949"/>
  <c r="CX817" i="7949"/>
  <c r="CV817" i="7949"/>
  <c r="CW817" i="7949"/>
  <c r="CY817" i="7949"/>
  <c r="CZ817" i="7949"/>
  <c r="CY529" i="7949"/>
  <c r="CV529" i="7949"/>
  <c r="CX529" i="7949"/>
  <c r="CZ529" i="7949"/>
  <c r="CW529" i="7949"/>
  <c r="CX816" i="7949"/>
  <c r="CZ816" i="7949"/>
  <c r="CV816" i="7949"/>
  <c r="CY816" i="7949"/>
  <c r="CW816" i="7949"/>
  <c r="CZ527" i="7949"/>
  <c r="CY527" i="7949"/>
  <c r="CW527" i="7949"/>
  <c r="CV527" i="7949"/>
  <c r="CX527" i="7949"/>
  <c r="CZ861" i="7949"/>
  <c r="CW861" i="7949"/>
  <c r="CY861" i="7949"/>
  <c r="CV861" i="7949"/>
  <c r="CX861" i="7949"/>
  <c r="G47" i="7947"/>
  <c r="F47" i="7947"/>
  <c r="I47" i="7947" s="1"/>
  <c r="H47" i="7947"/>
  <c r="E47" i="7947"/>
  <c r="W43" i="7947"/>
  <c r="Y43" i="7947"/>
  <c r="Z43" i="7947"/>
  <c r="X43" i="7947"/>
  <c r="Z46" i="7947"/>
  <c r="Y46" i="7947"/>
  <c r="W46" i="7947"/>
  <c r="X46" i="7947"/>
  <c r="AA46" i="7947" s="1"/>
  <c r="BH130" i="7949"/>
  <c r="BI130" i="7949" s="1"/>
  <c r="BG130" i="7949"/>
  <c r="H54" i="7947"/>
  <c r="F54" i="7947"/>
  <c r="I54" i="7947" s="1"/>
  <c r="E54" i="7947"/>
  <c r="G54" i="7947"/>
  <c r="BI42" i="7949"/>
  <c r="AD72" i="7949"/>
  <c r="AD74" i="7949" s="1"/>
  <c r="P45" i="7949"/>
  <c r="AQ463" i="7955"/>
  <c r="AA465" i="7955"/>
  <c r="Y45" i="7947"/>
  <c r="X45" i="7947"/>
  <c r="Z45" i="7947"/>
  <c r="W45" i="7947"/>
  <c r="BG78" i="7949"/>
  <c r="BH78" i="7949"/>
  <c r="AX78" i="7949"/>
  <c r="CV803" i="7949"/>
  <c r="CW803" i="7949"/>
  <c r="CZ803" i="7949"/>
  <c r="CX803" i="7949"/>
  <c r="CY803" i="7949"/>
  <c r="CZ526" i="7949"/>
  <c r="CX526" i="7949"/>
  <c r="CV526" i="7949"/>
  <c r="CY526" i="7949"/>
  <c r="CW526" i="7949"/>
  <c r="CW551" i="7949"/>
  <c r="CZ551" i="7949"/>
  <c r="CY551" i="7949"/>
  <c r="CX551" i="7949"/>
  <c r="CV551" i="7949"/>
  <c r="CW589" i="7949"/>
  <c r="CY589" i="7949"/>
  <c r="CV589" i="7949"/>
  <c r="CX589" i="7949"/>
  <c r="CZ589" i="7949"/>
  <c r="CV507" i="7949"/>
  <c r="CY507" i="7949"/>
  <c r="CW507" i="7949"/>
  <c r="CZ507" i="7949"/>
  <c r="CX507" i="7949"/>
  <c r="CZ866" i="7949"/>
  <c r="CX866" i="7949"/>
  <c r="CV866" i="7949"/>
  <c r="CY866" i="7949"/>
  <c r="CW866" i="7949"/>
  <c r="CV806" i="7949"/>
  <c r="CX806" i="7949"/>
  <c r="CY806" i="7949"/>
  <c r="CZ806" i="7949"/>
  <c r="CW806" i="7949"/>
  <c r="CX851" i="7949"/>
  <c r="CV851" i="7949"/>
  <c r="CW851" i="7949"/>
  <c r="CY851" i="7949"/>
  <c r="CZ851" i="7949"/>
  <c r="CY515" i="7949"/>
  <c r="CV515" i="7949"/>
  <c r="CW515" i="7949"/>
  <c r="CZ515" i="7949"/>
  <c r="CX515" i="7949"/>
  <c r="CY550" i="7949"/>
  <c r="CW550" i="7949"/>
  <c r="CZ550" i="7949"/>
  <c r="CX550" i="7949"/>
  <c r="CV550" i="7949"/>
  <c r="CV583" i="7949"/>
  <c r="CZ583" i="7949"/>
  <c r="CX583" i="7949"/>
  <c r="CY583" i="7949"/>
  <c r="CW583" i="7949"/>
  <c r="CZ569" i="7949"/>
  <c r="CV569" i="7949"/>
  <c r="CW569" i="7949"/>
  <c r="CY569" i="7949"/>
  <c r="CX569" i="7949"/>
  <c r="CZ791" i="7949"/>
  <c r="CX791" i="7949"/>
  <c r="CV791" i="7949"/>
  <c r="CW791" i="7949"/>
  <c r="CY791" i="7949"/>
  <c r="CY537" i="7949"/>
  <c r="CV537" i="7949"/>
  <c r="CW537" i="7949"/>
  <c r="CZ537" i="7949"/>
  <c r="CX537" i="7949"/>
  <c r="CW781" i="7949"/>
  <c r="CZ781" i="7949"/>
  <c r="CX781" i="7949"/>
  <c r="CY781" i="7949"/>
  <c r="CV781" i="7949"/>
  <c r="CX865" i="7949"/>
  <c r="CW865" i="7949"/>
  <c r="CZ865" i="7949"/>
  <c r="CY865" i="7949"/>
  <c r="CV865" i="7949"/>
  <c r="CV528" i="7949"/>
  <c r="CY528" i="7949"/>
  <c r="CW528" i="7949"/>
  <c r="CZ528" i="7949"/>
  <c r="CX528" i="7949"/>
  <c r="CZ548" i="7949"/>
  <c r="CW548" i="7949"/>
  <c r="CY548" i="7949"/>
  <c r="CX548" i="7949"/>
  <c r="CV548" i="7949"/>
  <c r="CW845" i="7949"/>
  <c r="CZ845" i="7949"/>
  <c r="CX845" i="7949"/>
  <c r="CY845" i="7949"/>
  <c r="CV845" i="7949"/>
  <c r="CV826" i="7949"/>
  <c r="CX826" i="7949"/>
  <c r="CW826" i="7949"/>
  <c r="CZ826" i="7949"/>
  <c r="CY826" i="7949"/>
  <c r="CV827" i="7949"/>
  <c r="CX827" i="7949"/>
  <c r="CZ827" i="7949"/>
  <c r="CW827" i="7949"/>
  <c r="CY827" i="7949"/>
  <c r="CZ574" i="7949"/>
  <c r="CY574" i="7949"/>
  <c r="CV574" i="7949"/>
  <c r="CW574" i="7949"/>
  <c r="CX574" i="7949"/>
  <c r="CW568" i="7949"/>
  <c r="CZ568" i="7949"/>
  <c r="CX568" i="7949"/>
  <c r="CV568" i="7949"/>
  <c r="CY568" i="7949"/>
  <c r="K54" i="7947"/>
  <c r="M54" i="7947"/>
  <c r="L54" i="7947"/>
  <c r="O54" i="7947" s="1"/>
  <c r="N54" i="7947"/>
  <c r="T47" i="7947"/>
  <c r="Q47" i="7947"/>
  <c r="S47" i="7947"/>
  <c r="R47" i="7947"/>
  <c r="U47" i="7947" s="1"/>
  <c r="AF124" i="7950"/>
  <c r="AG124" i="7950"/>
  <c r="T55" i="7947"/>
  <c r="R55" i="7947"/>
  <c r="U55" i="7947" s="1"/>
  <c r="S55" i="7947"/>
  <c r="Q55" i="7947"/>
  <c r="AC43" i="7947"/>
  <c r="AE43" i="7947"/>
  <c r="AF43" i="7947"/>
  <c r="AD43" i="7947"/>
  <c r="AF46" i="7947"/>
  <c r="AD46" i="7947"/>
  <c r="AE46" i="7947"/>
  <c r="AC46" i="7947"/>
  <c r="CD622" i="7949"/>
  <c r="CD625" i="7949"/>
  <c r="CD621" i="7949"/>
  <c r="CD629" i="7949"/>
  <c r="CD626" i="7949"/>
  <c r="CD624" i="7949"/>
  <c r="CD627" i="7949"/>
  <c r="CC627" i="7949" s="1"/>
  <c r="CD623" i="7949"/>
  <c r="CD620" i="7949"/>
  <c r="CC620" i="7949" s="1"/>
  <c r="CD628" i="7949"/>
  <c r="BD159" i="7949"/>
  <c r="AS159" i="7949" s="1"/>
  <c r="BD158" i="7949"/>
  <c r="AS158" i="7949" s="1"/>
  <c r="BD69" i="7949"/>
  <c r="AU145" i="7949" s="1"/>
  <c r="BD46" i="7949"/>
  <c r="AU121" i="7949" s="1"/>
  <c r="AM45" i="7947"/>
  <c r="CT282" i="7949"/>
  <c r="AA53" i="7947"/>
  <c r="AG51" i="7947"/>
  <c r="AM46" i="7947"/>
  <c r="BI132" i="7949"/>
  <c r="BI129" i="7949"/>
  <c r="BE130" i="7949"/>
  <c r="BE43" i="7949"/>
  <c r="BD70" i="7949"/>
  <c r="AU146" i="7949" s="1"/>
  <c r="BI158" i="7949"/>
  <c r="BD155" i="7949"/>
  <c r="AS155" i="7949" s="1"/>
  <c r="AQ263" i="7955"/>
  <c r="AX54" i="7949"/>
  <c r="AA52" i="7947"/>
  <c r="AQ213" i="7955"/>
  <c r="AQ363" i="7955"/>
  <c r="AQ163" i="7955"/>
  <c r="CT225" i="7949"/>
  <c r="AA51" i="7947"/>
  <c r="BI68" i="7949"/>
  <c r="BG55" i="7949"/>
  <c r="AD78" i="7949"/>
  <c r="AD80" i="7949" s="1"/>
  <c r="ER786" i="2" l="1"/>
  <c r="ES780" i="2"/>
  <c r="ES664" i="2"/>
  <c r="ER670" i="2"/>
  <c r="ES665" i="2"/>
  <c r="ER671" i="2"/>
  <c r="ET690" i="2"/>
  <c r="EX690" i="2"/>
  <c r="EW690" i="2"/>
  <c r="ET56" i="2"/>
  <c r="EW56" i="2"/>
  <c r="EX56" i="2"/>
  <c r="EW783" i="2"/>
  <c r="ET783" i="2"/>
  <c r="EX783" i="2"/>
  <c r="ER796" i="2"/>
  <c r="ES796" i="2" s="1"/>
  <c r="ES790" i="2"/>
  <c r="EX768" i="2"/>
  <c r="EW768" i="2"/>
  <c r="ET768" i="2"/>
  <c r="ER672" i="2"/>
  <c r="ES666" i="2"/>
  <c r="ES694" i="2"/>
  <c r="ES697" i="2"/>
  <c r="ET782" i="2"/>
  <c r="EX782" i="2"/>
  <c r="EW782" i="2"/>
  <c r="ES78" i="2"/>
  <c r="ET359" i="2"/>
  <c r="EW359" i="2"/>
  <c r="EX359" i="2"/>
  <c r="EX781" i="2"/>
  <c r="EW781" i="2"/>
  <c r="ET781" i="2"/>
  <c r="EG355" i="2"/>
  <c r="EG354" i="2"/>
  <c r="EG463" i="2"/>
  <c r="EF463" i="2"/>
  <c r="EH463" i="2" s="1"/>
  <c r="EW379" i="2"/>
  <c r="EX379" i="2"/>
  <c r="ET379" i="2"/>
  <c r="EW774" i="2"/>
  <c r="ET774" i="2"/>
  <c r="EX774" i="2"/>
  <c r="ER662" i="2"/>
  <c r="EY656" i="2"/>
  <c r="EY657" i="2" s="1"/>
  <c r="ES656" i="2"/>
  <c r="EW698" i="2"/>
  <c r="EX698" i="2"/>
  <c r="ET698" i="2"/>
  <c r="EW687" i="2"/>
  <c r="EX687" i="2"/>
  <c r="ET687" i="2"/>
  <c r="EX688" i="2"/>
  <c r="EW688" i="2"/>
  <c r="ET688" i="2"/>
  <c r="ES57" i="2"/>
  <c r="EY58" i="2"/>
  <c r="ES58" i="2" s="1"/>
  <c r="ER795" i="2"/>
  <c r="ES795" i="2" s="1"/>
  <c r="ES789" i="2"/>
  <c r="EX784" i="2"/>
  <c r="EW784" i="2"/>
  <c r="ET784" i="2"/>
  <c r="ES769" i="2"/>
  <c r="EY770" i="2"/>
  <c r="ER669" i="2"/>
  <c r="ES663" i="2"/>
  <c r="EW695" i="2"/>
  <c r="ET695" i="2"/>
  <c r="EX695" i="2"/>
  <c r="EW691" i="2"/>
  <c r="EX691" i="2"/>
  <c r="ET691" i="2"/>
  <c r="ER794" i="2"/>
  <c r="ES794" i="2" s="1"/>
  <c r="ES788" i="2"/>
  <c r="EX72" i="2"/>
  <c r="ET72" i="2"/>
  <c r="EW72" i="2"/>
  <c r="ET358" i="2"/>
  <c r="EX358" i="2"/>
  <c r="EW358" i="2"/>
  <c r="ER793" i="2"/>
  <c r="ES793" i="2" s="1"/>
  <c r="ES787" i="2"/>
  <c r="EF355" i="2"/>
  <c r="EH355" i="2" s="1"/>
  <c r="EF464" i="2"/>
  <c r="EG464" i="2"/>
  <c r="EF354" i="2"/>
  <c r="EH354" i="2" s="1"/>
  <c r="EX373" i="2"/>
  <c r="ET373" i="2"/>
  <c r="EW373" i="2"/>
  <c r="BI160" i="7949"/>
  <c r="AJ125" i="7950"/>
  <c r="AJ109" i="7950"/>
  <c r="O57" i="7950"/>
  <c r="BH163" i="7949"/>
  <c r="BI163" i="7949" s="1"/>
  <c r="BH157" i="7949"/>
  <c r="BI157" i="7949" s="1"/>
  <c r="AX133" i="7949"/>
  <c r="BI133" i="7949" s="1"/>
  <c r="BI161" i="7949"/>
  <c r="BI137" i="7949"/>
  <c r="CD42" i="7949"/>
  <c r="CC42" i="7949" s="1"/>
  <c r="BE133" i="7949"/>
  <c r="BD133" i="7949"/>
  <c r="AS133" i="7949" s="1"/>
  <c r="BD156" i="7949"/>
  <c r="AS156" i="7949" s="1"/>
  <c r="BI162" i="7949"/>
  <c r="BI134" i="7949"/>
  <c r="CE597" i="7949" s="1"/>
  <c r="AG42" i="7947"/>
  <c r="BI58" i="7949"/>
  <c r="U42" i="7947"/>
  <c r="CC628" i="7949"/>
  <c r="CC623" i="7949"/>
  <c r="AG43" i="7947"/>
  <c r="CE348" i="7949"/>
  <c r="CC349" i="7949"/>
  <c r="CC347" i="7949"/>
  <c r="AG45" i="7947"/>
  <c r="AD73" i="7949"/>
  <c r="BI54" i="7949"/>
  <c r="CE325" i="7949"/>
  <c r="CE324" i="7949"/>
  <c r="CE321" i="7949"/>
  <c r="CE320" i="7949"/>
  <c r="CE326" i="7949"/>
  <c r="CE323" i="7949"/>
  <c r="CE319" i="7949"/>
  <c r="CE322" i="7949"/>
  <c r="CE328" i="7949"/>
  <c r="CE327" i="7949"/>
  <c r="CC624" i="7949"/>
  <c r="CC629" i="7949"/>
  <c r="CC625" i="7949"/>
  <c r="U43" i="7947"/>
  <c r="BI57" i="7949"/>
  <c r="CT779" i="7949"/>
  <c r="CT859" i="7949"/>
  <c r="CT502" i="7949"/>
  <c r="CE345" i="7949"/>
  <c r="CE347" i="7949"/>
  <c r="CE343" i="7949"/>
  <c r="CE349" i="7949"/>
  <c r="CE346" i="7949"/>
  <c r="CD49" i="7949"/>
  <c r="CD48" i="7949"/>
  <c r="CD51" i="7949"/>
  <c r="CD45" i="7949"/>
  <c r="CD50" i="7949"/>
  <c r="DG227" i="7949"/>
  <c r="DG228" i="7949"/>
  <c r="DG230" i="7949"/>
  <c r="DG229" i="7949"/>
  <c r="DG226" i="7949"/>
  <c r="DG283" i="7949"/>
  <c r="DG284" i="7949"/>
  <c r="DG285" i="7949"/>
  <c r="BI78" i="7949"/>
  <c r="AD79" i="7949"/>
  <c r="CD67" i="7949"/>
  <c r="CD73" i="7949"/>
  <c r="CD75" i="7949"/>
  <c r="CD66" i="7949"/>
  <c r="CC66" i="7949" s="1"/>
  <c r="CD72" i="7949"/>
  <c r="CD74" i="7949"/>
  <c r="CC74" i="7949" s="1"/>
  <c r="CD68" i="7949"/>
  <c r="CC68" i="7949" s="1"/>
  <c r="CD69" i="7949"/>
  <c r="CD71" i="7949"/>
  <c r="CD70" i="7949"/>
  <c r="CC70" i="7949" s="1"/>
  <c r="CD597" i="7949"/>
  <c r="CD602" i="7949"/>
  <c r="CD601" i="7949"/>
  <c r="CD600" i="7949"/>
  <c r="CD605" i="7949"/>
  <c r="CD603" i="7949"/>
  <c r="CC603" i="7949" s="1"/>
  <c r="CD596" i="7949"/>
  <c r="CC596" i="7949" s="1"/>
  <c r="CD604" i="7949"/>
  <c r="CC604" i="7949" s="1"/>
  <c r="CD599" i="7949"/>
  <c r="CD598" i="7949"/>
  <c r="DG307" i="7949"/>
  <c r="DG306" i="7949"/>
  <c r="CD326" i="7949"/>
  <c r="CD322" i="7949"/>
  <c r="CD328" i="7949"/>
  <c r="CD319" i="7949"/>
  <c r="CC319" i="7949" s="1"/>
  <c r="CD325" i="7949"/>
  <c r="CD321" i="7949"/>
  <c r="CD324" i="7949"/>
  <c r="CD320" i="7949"/>
  <c r="CD327" i="7949"/>
  <c r="CC327" i="7949" s="1"/>
  <c r="CD323" i="7949"/>
  <c r="CC323" i="7949" s="1"/>
  <c r="CC626" i="7949"/>
  <c r="CC621" i="7949"/>
  <c r="CC622" i="7949"/>
  <c r="CT582" i="7949"/>
  <c r="AA43" i="7947"/>
  <c r="BI56" i="7949"/>
  <c r="CT836" i="7949"/>
  <c r="AG44" i="7947"/>
  <c r="CC345" i="7949"/>
  <c r="CC351" i="7949"/>
  <c r="CC346" i="7949"/>
  <c r="CC348" i="7949"/>
  <c r="CT559" i="7949"/>
  <c r="U52" i="7947"/>
  <c r="CE344" i="7949"/>
  <c r="CE352" i="7949"/>
  <c r="CE351" i="7949"/>
  <c r="CE350" i="7949"/>
  <c r="CD44" i="7949"/>
  <c r="CD47" i="7949"/>
  <c r="CD46" i="7949"/>
  <c r="CC46" i="7949" s="1"/>
  <c r="CD43" i="7949"/>
  <c r="EG162" i="2"/>
  <c r="EF163" i="2"/>
  <c r="EG163" i="2"/>
  <c r="EH163" i="2" s="1"/>
  <c r="EF162" i="2"/>
  <c r="EH162" i="2" s="1"/>
  <c r="EW793" i="2" l="1"/>
  <c r="ET793" i="2"/>
  <c r="EX793" i="2"/>
  <c r="EG465" i="2"/>
  <c r="EA348" i="2"/>
  <c r="EC348" i="2" s="1"/>
  <c r="EE348" i="2" s="1"/>
  <c r="EI348" i="2" s="1"/>
  <c r="EJ348" i="2" s="1"/>
  <c r="EK348" i="2" s="1"/>
  <c r="EG598" i="2"/>
  <c r="EG599" i="2"/>
  <c r="EA591" i="2"/>
  <c r="EC591" i="2" s="1"/>
  <c r="EE591" i="2" s="1"/>
  <c r="EI591" i="2" s="1"/>
  <c r="EJ591" i="2" s="1"/>
  <c r="EK591" i="2" s="1"/>
  <c r="EA345" i="2"/>
  <c r="EC345" i="2" s="1"/>
  <c r="EE345" i="2" s="1"/>
  <c r="EI345" i="2" s="1"/>
  <c r="EJ345" i="2" s="1"/>
  <c r="EK345" i="2" s="1"/>
  <c r="EG363" i="2"/>
  <c r="EG467" i="2"/>
  <c r="EA347" i="2"/>
  <c r="EC347" i="2" s="1"/>
  <c r="EE347" i="2" s="1"/>
  <c r="EI347" i="2" s="1"/>
  <c r="EJ347" i="2" s="1"/>
  <c r="EK347" i="2" s="1"/>
  <c r="EG361" i="2"/>
  <c r="EG357" i="2"/>
  <c r="EG359" i="2"/>
  <c r="EA457" i="2"/>
  <c r="EC457" i="2" s="1"/>
  <c r="EE457" i="2" s="1"/>
  <c r="EI457" i="2" s="1"/>
  <c r="EJ457" i="2" s="1"/>
  <c r="EK457" i="2" s="1"/>
  <c r="EA352" i="2"/>
  <c r="EC352" i="2" s="1"/>
  <c r="EE352" i="2" s="1"/>
  <c r="EI352" i="2" s="1"/>
  <c r="EJ352" i="2" s="1"/>
  <c r="EK352" i="2" s="1"/>
  <c r="EA351" i="2"/>
  <c r="EC351" i="2" s="1"/>
  <c r="EE351" i="2" s="1"/>
  <c r="EI351" i="2" s="1"/>
  <c r="EJ351" i="2" s="1"/>
  <c r="EK351" i="2" s="1"/>
  <c r="EA344" i="2"/>
  <c r="EC344" i="2" s="1"/>
  <c r="EE344" i="2" s="1"/>
  <c r="EI344" i="2" s="1"/>
  <c r="EJ344" i="2" s="1"/>
  <c r="EK344" i="2" s="1"/>
  <c r="EG596" i="2"/>
  <c r="EA343" i="2"/>
  <c r="EC343" i="2" s="1"/>
  <c r="EE343" i="2" s="1"/>
  <c r="EI343" i="2" s="1"/>
  <c r="EJ343" i="2" s="1"/>
  <c r="EK343" i="2" s="1"/>
  <c r="EA590" i="2"/>
  <c r="EC590" i="2" s="1"/>
  <c r="EE590" i="2" s="1"/>
  <c r="EI590" i="2" s="1"/>
  <c r="EJ590" i="2" s="1"/>
  <c r="EK590" i="2" s="1"/>
  <c r="EA461" i="2"/>
  <c r="EC461" i="2" s="1"/>
  <c r="EE461" i="2" s="1"/>
  <c r="EI461" i="2" s="1"/>
  <c r="EJ461" i="2" s="1"/>
  <c r="EK461" i="2" s="1"/>
  <c r="EA346" i="2"/>
  <c r="EC346" i="2" s="1"/>
  <c r="EE346" i="2" s="1"/>
  <c r="EI346" i="2" s="1"/>
  <c r="EJ346" i="2" s="1"/>
  <c r="EK346" i="2" s="1"/>
  <c r="EG358" i="2"/>
  <c r="EG597" i="2"/>
  <c r="EG469" i="2"/>
  <c r="EA593" i="2"/>
  <c r="EC593" i="2" s="1"/>
  <c r="EE593" i="2" s="1"/>
  <c r="EI593" i="2" s="1"/>
  <c r="EJ593" i="2" s="1"/>
  <c r="EK593" i="2" s="1"/>
  <c r="EG356" i="2"/>
  <c r="EA592" i="2"/>
  <c r="EC592" i="2" s="1"/>
  <c r="EE592" i="2" s="1"/>
  <c r="EI592" i="2" s="1"/>
  <c r="EJ592" i="2" s="1"/>
  <c r="EK592" i="2" s="1"/>
  <c r="EG595" i="2"/>
  <c r="EG468" i="2"/>
  <c r="EA456" i="2"/>
  <c r="EC456" i="2" s="1"/>
  <c r="EE456" i="2" s="1"/>
  <c r="EI456" i="2" s="1"/>
  <c r="EJ456" i="2" s="1"/>
  <c r="EK456" i="2" s="1"/>
  <c r="EG466" i="2"/>
  <c r="EA459" i="2"/>
  <c r="EC459" i="2" s="1"/>
  <c r="EE459" i="2" s="1"/>
  <c r="EI459" i="2" s="1"/>
  <c r="EJ459" i="2" s="1"/>
  <c r="EK459" i="2" s="1"/>
  <c r="EA458" i="2"/>
  <c r="EC458" i="2" s="1"/>
  <c r="EE458" i="2" s="1"/>
  <c r="EI458" i="2" s="1"/>
  <c r="EJ458" i="2" s="1"/>
  <c r="EK458" i="2" s="1"/>
  <c r="EA460" i="2"/>
  <c r="EC460" i="2" s="1"/>
  <c r="EE460" i="2" s="1"/>
  <c r="EI460" i="2" s="1"/>
  <c r="EJ460" i="2" s="1"/>
  <c r="EK460" i="2" s="1"/>
  <c r="EA349" i="2"/>
  <c r="EC349" i="2" s="1"/>
  <c r="EE349" i="2" s="1"/>
  <c r="EI349" i="2" s="1"/>
  <c r="EJ349" i="2" s="1"/>
  <c r="EK349" i="2" s="1"/>
  <c r="EG360" i="2"/>
  <c r="EA350" i="2"/>
  <c r="EC350" i="2" s="1"/>
  <c r="EE350" i="2" s="1"/>
  <c r="EI350" i="2" s="1"/>
  <c r="EJ350" i="2" s="1"/>
  <c r="EK350" i="2" s="1"/>
  <c r="EG362" i="2"/>
  <c r="EA589" i="2"/>
  <c r="EC589" i="2" s="1"/>
  <c r="EE589" i="2" s="1"/>
  <c r="EI589" i="2" s="1"/>
  <c r="EJ589" i="2" s="1"/>
  <c r="EK589" i="2" s="1"/>
  <c r="EA455" i="2"/>
  <c r="EC455" i="2" s="1"/>
  <c r="EE455" i="2" s="1"/>
  <c r="EI455" i="2" s="1"/>
  <c r="EJ455" i="2" s="1"/>
  <c r="EK455" i="2" s="1"/>
  <c r="EX794" i="2"/>
  <c r="EW794" i="2"/>
  <c r="ET794" i="2"/>
  <c r="ER675" i="2"/>
  <c r="ES669" i="2"/>
  <c r="EW769" i="2"/>
  <c r="ET769" i="2"/>
  <c r="EX769" i="2"/>
  <c r="EW789" i="2"/>
  <c r="ET789" i="2"/>
  <c r="EX789" i="2"/>
  <c r="EX58" i="2"/>
  <c r="ET58" i="2"/>
  <c r="EW58" i="2"/>
  <c r="EY658" i="2"/>
  <c r="ES657" i="2"/>
  <c r="EF54" i="2"/>
  <c r="EF53" i="2"/>
  <c r="EG54" i="2"/>
  <c r="EX697" i="2"/>
  <c r="ET697" i="2"/>
  <c r="EW697" i="2"/>
  <c r="EW666" i="2"/>
  <c r="ET666" i="2"/>
  <c r="EX666" i="2"/>
  <c r="EW796" i="2"/>
  <c r="ET796" i="2"/>
  <c r="EX796" i="2"/>
  <c r="ER677" i="2"/>
  <c r="ES671" i="2"/>
  <c r="ES670" i="2"/>
  <c r="ER676" i="2"/>
  <c r="EW780" i="2"/>
  <c r="ET780" i="2"/>
  <c r="EX780" i="2"/>
  <c r="EH464" i="2"/>
  <c r="ET787" i="2"/>
  <c r="EX787" i="2"/>
  <c r="EW787" i="2"/>
  <c r="EF597" i="2"/>
  <c r="DZ345" i="2"/>
  <c r="DZ589" i="2"/>
  <c r="DZ344" i="2"/>
  <c r="DZ351" i="2"/>
  <c r="DZ352" i="2"/>
  <c r="DZ350" i="2"/>
  <c r="EF596" i="2"/>
  <c r="EH596" i="2" s="1"/>
  <c r="DZ459" i="2"/>
  <c r="EF362" i="2"/>
  <c r="EH362" i="2" s="1"/>
  <c r="DZ591" i="2"/>
  <c r="DZ461" i="2"/>
  <c r="DZ456" i="2"/>
  <c r="DZ349" i="2"/>
  <c r="DZ346" i="2"/>
  <c r="EF469" i="2"/>
  <c r="EH469" i="2" s="1"/>
  <c r="EF598" i="2"/>
  <c r="EH598" i="2" s="1"/>
  <c r="DZ348" i="2"/>
  <c r="EF357" i="2"/>
  <c r="EH357" i="2" s="1"/>
  <c r="DZ593" i="2"/>
  <c r="DZ458" i="2"/>
  <c r="EF467" i="2"/>
  <c r="EH467" i="2" s="1"/>
  <c r="EF595" i="2"/>
  <c r="EH595" i="2" s="1"/>
  <c r="EF599" i="2"/>
  <c r="EH599" i="2" s="1"/>
  <c r="EF361" i="2"/>
  <c r="EH361" i="2" s="1"/>
  <c r="EF359" i="2"/>
  <c r="EH359" i="2" s="1"/>
  <c r="DZ592" i="2"/>
  <c r="EF465" i="2"/>
  <c r="EH465" i="2" s="1"/>
  <c r="DZ343" i="2"/>
  <c r="EF466" i="2"/>
  <c r="EH466" i="2" s="1"/>
  <c r="EF360" i="2"/>
  <c r="EH360" i="2" s="1"/>
  <c r="DZ455" i="2"/>
  <c r="DZ460" i="2"/>
  <c r="EF363" i="2"/>
  <c r="EH363" i="2" s="1"/>
  <c r="EF356" i="2"/>
  <c r="EH356" i="2" s="1"/>
  <c r="DZ457" i="2"/>
  <c r="DZ347" i="2"/>
  <c r="EF358" i="2"/>
  <c r="EH358" i="2" s="1"/>
  <c r="EF468" i="2"/>
  <c r="EH468" i="2" s="1"/>
  <c r="DZ590" i="2"/>
  <c r="EX788" i="2"/>
  <c r="EW788" i="2"/>
  <c r="ET788" i="2"/>
  <c r="ET663" i="2"/>
  <c r="EW663" i="2"/>
  <c r="EX663" i="2"/>
  <c r="ES770" i="2"/>
  <c r="EY771" i="2"/>
  <c r="ET795" i="2"/>
  <c r="EX795" i="2"/>
  <c r="EW795" i="2"/>
  <c r="ET57" i="2"/>
  <c r="EX57" i="2"/>
  <c r="EW57" i="2"/>
  <c r="EX656" i="2"/>
  <c r="EW656" i="2"/>
  <c r="ET656" i="2"/>
  <c r="ES662" i="2"/>
  <c r="ER668" i="2"/>
  <c r="EG53" i="2"/>
  <c r="EW78" i="2"/>
  <c r="ET78" i="2"/>
  <c r="EX78" i="2"/>
  <c r="EX694" i="2"/>
  <c r="EW694" i="2"/>
  <c r="ET694" i="2"/>
  <c r="ES672" i="2"/>
  <c r="ER678" i="2"/>
  <c r="EW790" i="2"/>
  <c r="ET790" i="2"/>
  <c r="EX790" i="2"/>
  <c r="ET665" i="2"/>
  <c r="EW665" i="2"/>
  <c r="EX665" i="2"/>
  <c r="ET664" i="2"/>
  <c r="EX664" i="2"/>
  <c r="EW664" i="2"/>
  <c r="ES786" i="2"/>
  <c r="ER792" i="2"/>
  <c r="ES792" i="2" s="1"/>
  <c r="CE602" i="7949"/>
  <c r="CE596" i="7949"/>
  <c r="AD125" i="7950"/>
  <c r="AP123" i="7950"/>
  <c r="AB133" i="7950"/>
  <c r="AH128" i="7950"/>
  <c r="AG128" i="7950"/>
  <c r="AA133" i="7950"/>
  <c r="AG129" i="7950"/>
  <c r="AH127" i="7950"/>
  <c r="AB132" i="7950"/>
  <c r="Z133" i="7950"/>
  <c r="AG127" i="7950"/>
  <c r="Z132" i="7950"/>
  <c r="AA132" i="7950"/>
  <c r="AD109" i="7950"/>
  <c r="AG111" i="7950"/>
  <c r="AH111" i="7950"/>
  <c r="AG112" i="7950"/>
  <c r="Z117" i="7950"/>
  <c r="AP107" i="7950"/>
  <c r="AG113" i="7950"/>
  <c r="AH112" i="7950"/>
  <c r="AA116" i="7950"/>
  <c r="Z116" i="7950"/>
  <c r="AB116" i="7950"/>
  <c r="AA117" i="7950"/>
  <c r="AB117" i="7950"/>
  <c r="CE624" i="7949"/>
  <c r="CE622" i="7949"/>
  <c r="CC43" i="7949"/>
  <c r="CE626" i="7949"/>
  <c r="CE603" i="7949"/>
  <c r="CE604" i="7949"/>
  <c r="CE598" i="7949"/>
  <c r="CE620" i="7949"/>
  <c r="CE623" i="7949"/>
  <c r="CE621" i="7949"/>
  <c r="CE600" i="7949"/>
  <c r="CE601" i="7949"/>
  <c r="CE599" i="7949"/>
  <c r="CE605" i="7949"/>
  <c r="CE625" i="7949"/>
  <c r="CE628" i="7949"/>
  <c r="CE629" i="7949"/>
  <c r="CE627" i="7949"/>
  <c r="CH620" i="7949"/>
  <c r="CI619" i="7949" s="1"/>
  <c r="CI626" i="7949" s="1"/>
  <c r="CJ626" i="7949" s="1"/>
  <c r="CC44" i="7949"/>
  <c r="CH344" i="7949"/>
  <c r="CL342" i="7949" s="1"/>
  <c r="CL346" i="7949" s="1"/>
  <c r="CM346" i="7949" s="1"/>
  <c r="CC599" i="7949"/>
  <c r="CC605" i="7949"/>
  <c r="CC602" i="7949"/>
  <c r="CC71" i="7949"/>
  <c r="CC75" i="7949"/>
  <c r="CC67" i="7949"/>
  <c r="DG561" i="7949"/>
  <c r="DG560" i="7949"/>
  <c r="DG562" i="7949"/>
  <c r="DG839" i="7949"/>
  <c r="DG837" i="7949"/>
  <c r="DG838" i="7949"/>
  <c r="CC325" i="7949"/>
  <c r="CC324" i="7949"/>
  <c r="DI307" i="7949"/>
  <c r="DJ307" i="7949"/>
  <c r="CE72" i="7949"/>
  <c r="CE75" i="7949"/>
  <c r="CE69" i="7949"/>
  <c r="CE68" i="7949"/>
  <c r="CE71" i="7949"/>
  <c r="CE73" i="7949"/>
  <c r="CE70" i="7949"/>
  <c r="CE66" i="7949"/>
  <c r="CE67" i="7949"/>
  <c r="CE74" i="7949"/>
  <c r="DJ285" i="7949"/>
  <c r="DI285" i="7949"/>
  <c r="DJ283" i="7949"/>
  <c r="DI283" i="7949"/>
  <c r="DH229" i="7949"/>
  <c r="DI229" i="7949"/>
  <c r="DG235" i="7949"/>
  <c r="DH228" i="7949"/>
  <c r="DI228" i="7949"/>
  <c r="DG234" i="7949"/>
  <c r="CC50" i="7949"/>
  <c r="CC49" i="7949"/>
  <c r="DG503" i="7949"/>
  <c r="DG507" i="7949"/>
  <c r="DG506" i="7949"/>
  <c r="DG505" i="7949"/>
  <c r="DG504" i="7949"/>
  <c r="DG784" i="7949"/>
  <c r="DG782" i="7949"/>
  <c r="DG780" i="7949"/>
  <c r="DG783" i="7949"/>
  <c r="DG781" i="7949"/>
  <c r="CE42" i="7949"/>
  <c r="CE47" i="7949"/>
  <c r="CE44" i="7949"/>
  <c r="CE46" i="7949"/>
  <c r="CE45" i="7949"/>
  <c r="CE43" i="7949"/>
  <c r="CE49" i="7949"/>
  <c r="CE51" i="7949"/>
  <c r="CE48" i="7949"/>
  <c r="CE50" i="7949"/>
  <c r="CC328" i="7949"/>
  <c r="CC326" i="7949"/>
  <c r="CC597" i="7949"/>
  <c r="CC72" i="7949"/>
  <c r="CH622" i="7949"/>
  <c r="CO619" i="7949" s="1"/>
  <c r="CC51" i="7949"/>
  <c r="CH343" i="7949"/>
  <c r="CI342" i="7949" s="1"/>
  <c r="DG584" i="7949"/>
  <c r="DG583" i="7949"/>
  <c r="CC321" i="7949"/>
  <c r="CC320" i="7949"/>
  <c r="DJ306" i="7949"/>
  <c r="DI306" i="7949"/>
  <c r="CC601" i="7949"/>
  <c r="CC600" i="7949"/>
  <c r="Z60" i="7952"/>
  <c r="BE62" i="7950"/>
  <c r="DJ284" i="7949"/>
  <c r="DI284" i="7949"/>
  <c r="DH226" i="7949"/>
  <c r="DI226" i="7949"/>
  <c r="DG232" i="7949"/>
  <c r="DI230" i="7949"/>
  <c r="DH230" i="7949"/>
  <c r="DG236" i="7949"/>
  <c r="DH227" i="7949"/>
  <c r="DI227" i="7949"/>
  <c r="DG233" i="7949"/>
  <c r="DG861" i="7949"/>
  <c r="DG860" i="7949"/>
  <c r="Z59" i="7952"/>
  <c r="BE61" i="7950"/>
  <c r="CC47" i="7949"/>
  <c r="CC322" i="7949"/>
  <c r="CC598" i="7949"/>
  <c r="CC69" i="7949"/>
  <c r="CC73" i="7949"/>
  <c r="CH621" i="7949"/>
  <c r="CL619" i="7949" s="1"/>
  <c r="CC45" i="7949"/>
  <c r="CC48" i="7949"/>
  <c r="CH345" i="7949"/>
  <c r="CO342" i="7949" s="1"/>
  <c r="EW786" i="2" l="1"/>
  <c r="ET786" i="2"/>
  <c r="EX786" i="2"/>
  <c r="ES678" i="2"/>
  <c r="ER684" i="2"/>
  <c r="ES684" i="2" s="1"/>
  <c r="EX670" i="2"/>
  <c r="EW670" i="2"/>
  <c r="ET670" i="2"/>
  <c r="ER683" i="2"/>
  <c r="ES683" i="2" s="1"/>
  <c r="ES677" i="2"/>
  <c r="EH54" i="2"/>
  <c r="EY659" i="2"/>
  <c r="ES658" i="2"/>
  <c r="EX669" i="2"/>
  <c r="EW669" i="2"/>
  <c r="ET669" i="2"/>
  <c r="EW662" i="2"/>
  <c r="ET662" i="2"/>
  <c r="EX662" i="2"/>
  <c r="DZ43" i="2"/>
  <c r="DZ291" i="2"/>
  <c r="EF295" i="2"/>
  <c r="DZ50" i="2"/>
  <c r="DZ44" i="2"/>
  <c r="EF57" i="2"/>
  <c r="EF298" i="2"/>
  <c r="EF56" i="2"/>
  <c r="EF296" i="2"/>
  <c r="EF62" i="2"/>
  <c r="EF166" i="2"/>
  <c r="DZ47" i="2"/>
  <c r="EF60" i="2"/>
  <c r="DZ156" i="2"/>
  <c r="DZ288" i="2"/>
  <c r="DZ290" i="2"/>
  <c r="EF167" i="2"/>
  <c r="DZ154" i="2"/>
  <c r="DZ292" i="2"/>
  <c r="DZ48" i="2"/>
  <c r="EF164" i="2"/>
  <c r="EF294" i="2"/>
  <c r="EF58" i="2"/>
  <c r="DZ160" i="2"/>
  <c r="EF61" i="2"/>
  <c r="EF165" i="2"/>
  <c r="DZ155" i="2"/>
  <c r="DZ159" i="2"/>
  <c r="DZ289" i="2"/>
  <c r="DZ46" i="2"/>
  <c r="EF297" i="2"/>
  <c r="EF59" i="2"/>
  <c r="EF168" i="2"/>
  <c r="DZ45" i="2"/>
  <c r="DZ51" i="2"/>
  <c r="DZ49" i="2"/>
  <c r="DZ157" i="2"/>
  <c r="DZ158" i="2"/>
  <c r="EF55" i="2"/>
  <c r="DZ42" i="2"/>
  <c r="ES771" i="2"/>
  <c r="EY772" i="2"/>
  <c r="ES772" i="2" s="1"/>
  <c r="EX792" i="2"/>
  <c r="ET792" i="2"/>
  <c r="EW792" i="2"/>
  <c r="EX672" i="2"/>
  <c r="ET672" i="2"/>
  <c r="EW672" i="2"/>
  <c r="ER674" i="2"/>
  <c r="ES668" i="2"/>
  <c r="EG58" i="2"/>
  <c r="EA157" i="2"/>
  <c r="EC157" i="2" s="1"/>
  <c r="EE157" i="2" s="1"/>
  <c r="EI157" i="2" s="1"/>
  <c r="EJ157" i="2" s="1"/>
  <c r="EK157" i="2" s="1"/>
  <c r="EA45" i="2"/>
  <c r="EC45" i="2" s="1"/>
  <c r="EE45" i="2" s="1"/>
  <c r="EI45" i="2" s="1"/>
  <c r="EJ45" i="2" s="1"/>
  <c r="EK45" i="2" s="1"/>
  <c r="EG168" i="2"/>
  <c r="EA43" i="2"/>
  <c r="EC43" i="2" s="1"/>
  <c r="EE43" i="2" s="1"/>
  <c r="EI43" i="2" s="1"/>
  <c r="EJ43" i="2" s="1"/>
  <c r="EK43" i="2" s="1"/>
  <c r="EG295" i="2"/>
  <c r="EA154" i="2"/>
  <c r="EC154" i="2" s="1"/>
  <c r="EE154" i="2" s="1"/>
  <c r="EI154" i="2" s="1"/>
  <c r="EJ154" i="2" s="1"/>
  <c r="EK154" i="2" s="1"/>
  <c r="EG55" i="2"/>
  <c r="EG60" i="2"/>
  <c r="EA288" i="2"/>
  <c r="EC288" i="2" s="1"/>
  <c r="EE288" i="2" s="1"/>
  <c r="EI288" i="2" s="1"/>
  <c r="EJ288" i="2" s="1"/>
  <c r="EK288" i="2" s="1"/>
  <c r="EA50" i="2"/>
  <c r="EC50" i="2" s="1"/>
  <c r="EE50" i="2" s="1"/>
  <c r="EI50" i="2" s="1"/>
  <c r="EJ50" i="2" s="1"/>
  <c r="EK50" i="2" s="1"/>
  <c r="EG62" i="2"/>
  <c r="EG294" i="2"/>
  <c r="EA46" i="2"/>
  <c r="EC46" i="2" s="1"/>
  <c r="EE46" i="2" s="1"/>
  <c r="EI46" i="2" s="1"/>
  <c r="EJ46" i="2" s="1"/>
  <c r="EK46" i="2" s="1"/>
  <c r="EA289" i="2"/>
  <c r="EC289" i="2" s="1"/>
  <c r="EE289" i="2" s="1"/>
  <c r="EI289" i="2" s="1"/>
  <c r="EJ289" i="2" s="1"/>
  <c r="EK289" i="2" s="1"/>
  <c r="EA51" i="2"/>
  <c r="EC51" i="2" s="1"/>
  <c r="EE51" i="2" s="1"/>
  <c r="EI51" i="2" s="1"/>
  <c r="EJ51" i="2" s="1"/>
  <c r="EK51" i="2" s="1"/>
  <c r="EG296" i="2"/>
  <c r="EH296" i="2" s="1"/>
  <c r="EA48" i="2"/>
  <c r="EC48" i="2" s="1"/>
  <c r="EE48" i="2" s="1"/>
  <c r="EI48" i="2" s="1"/>
  <c r="EJ48" i="2" s="1"/>
  <c r="EK48" i="2" s="1"/>
  <c r="EA292" i="2"/>
  <c r="EC292" i="2" s="1"/>
  <c r="EE292" i="2" s="1"/>
  <c r="EI292" i="2" s="1"/>
  <c r="EJ292" i="2" s="1"/>
  <c r="EK292" i="2" s="1"/>
  <c r="EA155" i="2"/>
  <c r="EC155" i="2" s="1"/>
  <c r="EE155" i="2" s="1"/>
  <c r="EI155" i="2" s="1"/>
  <c r="EJ155" i="2" s="1"/>
  <c r="EK155" i="2" s="1"/>
  <c r="EG164" i="2"/>
  <c r="EH164" i="2" s="1"/>
  <c r="EG166" i="2"/>
  <c r="EG297" i="2"/>
  <c r="EA47" i="2"/>
  <c r="EC47" i="2" s="1"/>
  <c r="EE47" i="2" s="1"/>
  <c r="EI47" i="2" s="1"/>
  <c r="EJ47" i="2" s="1"/>
  <c r="EK47" i="2" s="1"/>
  <c r="EA42" i="2"/>
  <c r="EC42" i="2" s="1"/>
  <c r="EE42" i="2" s="1"/>
  <c r="EI42" i="2" s="1"/>
  <c r="EJ42" i="2" s="1"/>
  <c r="EK42" i="2" s="1"/>
  <c r="EG165" i="2"/>
  <c r="EG57" i="2"/>
  <c r="EG61" i="2"/>
  <c r="EG56" i="2"/>
  <c r="EA49" i="2"/>
  <c r="EC49" i="2" s="1"/>
  <c r="EE49" i="2" s="1"/>
  <c r="EI49" i="2" s="1"/>
  <c r="EJ49" i="2" s="1"/>
  <c r="EK49" i="2" s="1"/>
  <c r="EA159" i="2"/>
  <c r="EC159" i="2" s="1"/>
  <c r="EE159" i="2" s="1"/>
  <c r="EI159" i="2" s="1"/>
  <c r="EJ159" i="2" s="1"/>
  <c r="EK159" i="2" s="1"/>
  <c r="EG167" i="2"/>
  <c r="EA156" i="2"/>
  <c r="EC156" i="2" s="1"/>
  <c r="EE156" i="2" s="1"/>
  <c r="EI156" i="2" s="1"/>
  <c r="EJ156" i="2" s="1"/>
  <c r="EK156" i="2" s="1"/>
  <c r="EA160" i="2"/>
  <c r="EC160" i="2" s="1"/>
  <c r="EE160" i="2" s="1"/>
  <c r="EI160" i="2" s="1"/>
  <c r="EJ160" i="2" s="1"/>
  <c r="EK160" i="2" s="1"/>
  <c r="EG298" i="2"/>
  <c r="EG59" i="2"/>
  <c r="EA158" i="2"/>
  <c r="EC158" i="2" s="1"/>
  <c r="EE158" i="2" s="1"/>
  <c r="EI158" i="2" s="1"/>
  <c r="EJ158" i="2" s="1"/>
  <c r="EK158" i="2" s="1"/>
  <c r="EA44" i="2"/>
  <c r="EC44" i="2" s="1"/>
  <c r="EE44" i="2" s="1"/>
  <c r="EI44" i="2" s="1"/>
  <c r="EJ44" i="2" s="1"/>
  <c r="EK44" i="2" s="1"/>
  <c r="EA291" i="2"/>
  <c r="EC291" i="2" s="1"/>
  <c r="EE291" i="2" s="1"/>
  <c r="EI291" i="2" s="1"/>
  <c r="EJ291" i="2" s="1"/>
  <c r="EK291" i="2" s="1"/>
  <c r="EA290" i="2"/>
  <c r="EC290" i="2" s="1"/>
  <c r="EE290" i="2" s="1"/>
  <c r="EI290" i="2" s="1"/>
  <c r="EJ290" i="2" s="1"/>
  <c r="EK290" i="2" s="1"/>
  <c r="EW770" i="2"/>
  <c r="EX770" i="2"/>
  <c r="ET770" i="2"/>
  <c r="EH597" i="2"/>
  <c r="ES676" i="2"/>
  <c r="ER682" i="2"/>
  <c r="ES682" i="2" s="1"/>
  <c r="EW671" i="2"/>
  <c r="ET671" i="2"/>
  <c r="EX671" i="2"/>
  <c r="EH53" i="2"/>
  <c r="EW657" i="2"/>
  <c r="ET657" i="2"/>
  <c r="EX657" i="2"/>
  <c r="ES675" i="2"/>
  <c r="ER681" i="2"/>
  <c r="ES681" i="2" s="1"/>
  <c r="I107" i="7950"/>
  <c r="E107" i="7950"/>
  <c r="AT107" i="7950"/>
  <c r="AU107" i="7950" s="1"/>
  <c r="AQ107" i="7950"/>
  <c r="G107" i="7950"/>
  <c r="AR107" i="7950"/>
  <c r="AG125" i="7950"/>
  <c r="AF125" i="7950"/>
  <c r="AG130" i="7950"/>
  <c r="AG131" i="7950" s="1"/>
  <c r="O121" i="7950" s="1"/>
  <c r="AG109" i="7950"/>
  <c r="AF109" i="7950"/>
  <c r="AR123" i="7950"/>
  <c r="AQ123" i="7950"/>
  <c r="G123" i="7950"/>
  <c r="E123" i="7950"/>
  <c r="AT123" i="7950"/>
  <c r="AU123" i="7950" s="1"/>
  <c r="I123" i="7950"/>
  <c r="AG114" i="7950"/>
  <c r="AG115" i="7950" s="1"/>
  <c r="O105" i="7950" s="1"/>
  <c r="CH320" i="7949"/>
  <c r="CL318" i="7949" s="1"/>
  <c r="CL320" i="7949" s="1"/>
  <c r="CM320" i="7949" s="1"/>
  <c r="CI623" i="7949"/>
  <c r="CJ623" i="7949" s="1"/>
  <c r="CI628" i="7949"/>
  <c r="CJ628" i="7949" s="1"/>
  <c r="DO283" i="7949"/>
  <c r="DO285" i="7949"/>
  <c r="CL350" i="7949"/>
  <c r="CM350" i="7949" s="1"/>
  <c r="CL348" i="7949"/>
  <c r="CM348" i="7949" s="1"/>
  <c r="CL344" i="7949"/>
  <c r="CM344" i="7949" s="1"/>
  <c r="CI622" i="7949"/>
  <c r="CJ622" i="7949" s="1"/>
  <c r="CI627" i="7949"/>
  <c r="CJ627" i="7949" s="1"/>
  <c r="CI621" i="7949"/>
  <c r="CJ621" i="7949" s="1"/>
  <c r="CL352" i="7949"/>
  <c r="CM352" i="7949" s="1"/>
  <c r="CL345" i="7949"/>
  <c r="CM345" i="7949" s="1"/>
  <c r="CL349" i="7949"/>
  <c r="CM349" i="7949" s="1"/>
  <c r="CL347" i="7949"/>
  <c r="CM347" i="7949" s="1"/>
  <c r="CL351" i="7949"/>
  <c r="CM351" i="7949" s="1"/>
  <c r="CL343" i="7949"/>
  <c r="CM343" i="7949" s="1"/>
  <c r="CI620" i="7949"/>
  <c r="CJ620" i="7949" s="1"/>
  <c r="CI629" i="7949"/>
  <c r="CJ629" i="7949" s="1"/>
  <c r="CI625" i="7949"/>
  <c r="CJ625" i="7949" s="1"/>
  <c r="CI624" i="7949"/>
  <c r="CJ624" i="7949" s="1"/>
  <c r="DO284" i="7949"/>
  <c r="CH44" i="7949"/>
  <c r="CO41" i="7949" s="1"/>
  <c r="CO43" i="7949" s="1"/>
  <c r="CP43" i="7949" s="1"/>
  <c r="CH319" i="7949"/>
  <c r="CI318" i="7949" s="1"/>
  <c r="CI325" i="7949" s="1"/>
  <c r="CJ325" i="7949" s="1"/>
  <c r="CH598" i="7949"/>
  <c r="CO595" i="7949" s="1"/>
  <c r="CO605" i="7949" s="1"/>
  <c r="CP605" i="7949" s="1"/>
  <c r="DO307" i="7949"/>
  <c r="CH66" i="7949"/>
  <c r="CI65" i="7949" s="1"/>
  <c r="CI72" i="7949" s="1"/>
  <c r="CJ72" i="7949" s="1"/>
  <c r="CO345" i="7949"/>
  <c r="CP345" i="7949" s="1"/>
  <c r="CO346" i="7949"/>
  <c r="CP346" i="7949" s="1"/>
  <c r="CO347" i="7949"/>
  <c r="CP347" i="7949" s="1"/>
  <c r="CO348" i="7949"/>
  <c r="CP348" i="7949" s="1"/>
  <c r="CO351" i="7949"/>
  <c r="CP351" i="7949" s="1"/>
  <c r="CO350" i="7949"/>
  <c r="CP350" i="7949" s="1"/>
  <c r="CO349" i="7949"/>
  <c r="CP349" i="7949" s="1"/>
  <c r="CO352" i="7949"/>
  <c r="CP352" i="7949" s="1"/>
  <c r="CO343" i="7949"/>
  <c r="CP343" i="7949" s="1"/>
  <c r="CO344" i="7949"/>
  <c r="CP344" i="7949" s="1"/>
  <c r="DI861" i="7949"/>
  <c r="DJ861" i="7949"/>
  <c r="DJ236" i="7949"/>
  <c r="DI236" i="7949"/>
  <c r="DI583" i="7949"/>
  <c r="DJ583" i="7949"/>
  <c r="CI346" i="7949"/>
  <c r="CJ346" i="7949" s="1"/>
  <c r="CI349" i="7949"/>
  <c r="CJ349" i="7949" s="1"/>
  <c r="CI343" i="7949"/>
  <c r="CJ343" i="7949" s="1"/>
  <c r="CI344" i="7949"/>
  <c r="CJ344" i="7949" s="1"/>
  <c r="CI347" i="7949"/>
  <c r="CJ347" i="7949" s="1"/>
  <c r="CI345" i="7949"/>
  <c r="CJ345" i="7949" s="1"/>
  <c r="CI351" i="7949"/>
  <c r="CJ351" i="7949" s="1"/>
  <c r="CI348" i="7949"/>
  <c r="CJ348" i="7949" s="1"/>
  <c r="CI352" i="7949"/>
  <c r="CJ352" i="7949" s="1"/>
  <c r="CI350" i="7949"/>
  <c r="CJ350" i="7949" s="1"/>
  <c r="CO623" i="7949"/>
  <c r="CP623" i="7949" s="1"/>
  <c r="CO624" i="7949"/>
  <c r="CP624" i="7949" s="1"/>
  <c r="CO625" i="7949"/>
  <c r="CP625" i="7949" s="1"/>
  <c r="CO622" i="7949"/>
  <c r="CP622" i="7949" s="1"/>
  <c r="CO621" i="7949"/>
  <c r="CP621" i="7949" s="1"/>
  <c r="CO620" i="7949"/>
  <c r="CP620" i="7949" s="1"/>
  <c r="CO628" i="7949"/>
  <c r="CP628" i="7949" s="1"/>
  <c r="CO629" i="7949"/>
  <c r="CP629" i="7949" s="1"/>
  <c r="CO626" i="7949"/>
  <c r="CP626" i="7949" s="1"/>
  <c r="CO627" i="7949"/>
  <c r="CP627" i="7949" s="1"/>
  <c r="DI783" i="7949"/>
  <c r="DG789" i="7949"/>
  <c r="DH783" i="7949"/>
  <c r="DI782" i="7949"/>
  <c r="DH782" i="7949"/>
  <c r="DG788" i="7949"/>
  <c r="DI504" i="7949"/>
  <c r="DG510" i="7949"/>
  <c r="DH504" i="7949"/>
  <c r="DI506" i="7949"/>
  <c r="DG512" i="7949"/>
  <c r="DH506" i="7949"/>
  <c r="DI503" i="7949"/>
  <c r="DG509" i="7949"/>
  <c r="DH503" i="7949"/>
  <c r="DJ234" i="7949"/>
  <c r="DI234" i="7949"/>
  <c r="DJ838" i="7949"/>
  <c r="DI838" i="7949"/>
  <c r="DJ839" i="7949"/>
  <c r="DI839" i="7949"/>
  <c r="DJ560" i="7949"/>
  <c r="DI560" i="7949"/>
  <c r="CH67" i="7949"/>
  <c r="CL65" i="7949" s="1"/>
  <c r="CH68" i="7949"/>
  <c r="CO65" i="7949" s="1"/>
  <c r="CH43" i="7949"/>
  <c r="CL41" i="7949" s="1"/>
  <c r="CH596" i="7949"/>
  <c r="CI595" i="7949" s="1"/>
  <c r="CH597" i="7949"/>
  <c r="CL595" i="7949" s="1"/>
  <c r="CH42" i="7949"/>
  <c r="CI41" i="7949" s="1"/>
  <c r="CL627" i="7949"/>
  <c r="CM627" i="7949" s="1"/>
  <c r="CL626" i="7949"/>
  <c r="CM626" i="7949" s="1"/>
  <c r="CL621" i="7949"/>
  <c r="CM621" i="7949" s="1"/>
  <c r="CL622" i="7949"/>
  <c r="CM622" i="7949" s="1"/>
  <c r="CL623" i="7949"/>
  <c r="CM623" i="7949" s="1"/>
  <c r="CL624" i="7949"/>
  <c r="CM624" i="7949" s="1"/>
  <c r="CL629" i="7949"/>
  <c r="CM629" i="7949" s="1"/>
  <c r="CL620" i="7949"/>
  <c r="CM620" i="7949" s="1"/>
  <c r="CL625" i="7949"/>
  <c r="CM625" i="7949" s="1"/>
  <c r="CL628" i="7949"/>
  <c r="CM628" i="7949" s="1"/>
  <c r="AJ77" i="7950"/>
  <c r="AD77" i="7950" s="1"/>
  <c r="AJ92" i="7950"/>
  <c r="AJ93" i="7950"/>
  <c r="AD93" i="7950" s="1"/>
  <c r="AJ76" i="7950"/>
  <c r="DJ860" i="7949"/>
  <c r="DI860" i="7949"/>
  <c r="DI233" i="7949"/>
  <c r="DJ233" i="7949"/>
  <c r="DI232" i="7949"/>
  <c r="DJ232" i="7949"/>
  <c r="DZ228" i="7949"/>
  <c r="DZ230" i="7949"/>
  <c r="DZ229" i="7949"/>
  <c r="DZ226" i="7949"/>
  <c r="DX226" i="7949" s="1"/>
  <c r="DZ227" i="7949"/>
  <c r="T50" i="7952"/>
  <c r="T55" i="7952"/>
  <c r="T51" i="7952"/>
  <c r="T57" i="7952"/>
  <c r="T56" i="7952"/>
  <c r="T52" i="7952"/>
  <c r="T54" i="7952"/>
  <c r="T53" i="7952"/>
  <c r="DI584" i="7949"/>
  <c r="DJ584" i="7949"/>
  <c r="DH781" i="7949"/>
  <c r="DG787" i="7949"/>
  <c r="DI781" i="7949"/>
  <c r="DG786" i="7949"/>
  <c r="DI780" i="7949"/>
  <c r="DH780" i="7949"/>
  <c r="DG790" i="7949"/>
  <c r="DI784" i="7949"/>
  <c r="DH784" i="7949"/>
  <c r="DH505" i="7949"/>
  <c r="DI505" i="7949"/>
  <c r="DG511" i="7949"/>
  <c r="DI507" i="7949"/>
  <c r="DH507" i="7949"/>
  <c r="DG513" i="7949"/>
  <c r="DI235" i="7949"/>
  <c r="DJ235" i="7949"/>
  <c r="DJ837" i="7949"/>
  <c r="DI837" i="7949"/>
  <c r="DI562" i="7949"/>
  <c r="DJ562" i="7949"/>
  <c r="DJ561" i="7949"/>
  <c r="DI561" i="7949"/>
  <c r="DO306" i="7949"/>
  <c r="CH321" i="7949"/>
  <c r="CO318" i="7949" s="1"/>
  <c r="ET681" i="2" l="1"/>
  <c r="EX681" i="2"/>
  <c r="EW681" i="2"/>
  <c r="ET676" i="2"/>
  <c r="EX676" i="2"/>
  <c r="EW676" i="2"/>
  <c r="ES674" i="2"/>
  <c r="ER680" i="2"/>
  <c r="ES680" i="2" s="1"/>
  <c r="ET771" i="2"/>
  <c r="EX771" i="2"/>
  <c r="EW771" i="2"/>
  <c r="EH55" i="2"/>
  <c r="EH168" i="2"/>
  <c r="EH297" i="2"/>
  <c r="EH61" i="2"/>
  <c r="EH58" i="2"/>
  <c r="EH167" i="2"/>
  <c r="EH60" i="2"/>
  <c r="EH166" i="2"/>
  <c r="EH298" i="2"/>
  <c r="EH295" i="2"/>
  <c r="EY660" i="2"/>
  <c r="ES660" i="2" s="1"/>
  <c r="ES659" i="2"/>
  <c r="EW677" i="2"/>
  <c r="EX677" i="2"/>
  <c r="ET677" i="2"/>
  <c r="EW678" i="2"/>
  <c r="ET678" i="2"/>
  <c r="EX678" i="2"/>
  <c r="EX675" i="2"/>
  <c r="EW675" i="2"/>
  <c r="ET675" i="2"/>
  <c r="EW682" i="2"/>
  <c r="ET682" i="2"/>
  <c r="EX682" i="2"/>
  <c r="EW668" i="2"/>
  <c r="ET668" i="2"/>
  <c r="EX668" i="2"/>
  <c r="ET772" i="2"/>
  <c r="EX772" i="2"/>
  <c r="EW772" i="2"/>
  <c r="EH59" i="2"/>
  <c r="EH165" i="2"/>
  <c r="EH294" i="2"/>
  <c r="EH62" i="2"/>
  <c r="EH56" i="2"/>
  <c r="EH57" i="2"/>
  <c r="ET658" i="2"/>
  <c r="EX658" i="2"/>
  <c r="EW658" i="2"/>
  <c r="EX683" i="2"/>
  <c r="EW683" i="2"/>
  <c r="ET683" i="2"/>
  <c r="ET684" i="2"/>
  <c r="EX684" i="2"/>
  <c r="EW684" i="2"/>
  <c r="K107" i="7950"/>
  <c r="AV107" i="7950"/>
  <c r="K123" i="7950"/>
  <c r="AV123" i="7950"/>
  <c r="CI319" i="7949"/>
  <c r="CJ319" i="7949" s="1"/>
  <c r="CI326" i="7949"/>
  <c r="CJ326" i="7949" s="1"/>
  <c r="CL319" i="7949"/>
  <c r="CM319" i="7949" s="1"/>
  <c r="CK624" i="7949"/>
  <c r="CT692" i="7949" s="1"/>
  <c r="CT703" i="7949" s="1"/>
  <c r="CL326" i="7949"/>
  <c r="CM326" i="7949" s="1"/>
  <c r="CL325" i="7949"/>
  <c r="CM325" i="7949" s="1"/>
  <c r="CL328" i="7949"/>
  <c r="CM328" i="7949" s="1"/>
  <c r="CL321" i="7949"/>
  <c r="CM321" i="7949" s="1"/>
  <c r="CL323" i="7949"/>
  <c r="CM323" i="7949" s="1"/>
  <c r="CL327" i="7949"/>
  <c r="CM327" i="7949" s="1"/>
  <c r="CL322" i="7949"/>
  <c r="CM322" i="7949" s="1"/>
  <c r="CL324" i="7949"/>
  <c r="CM324" i="7949" s="1"/>
  <c r="CO599" i="7949"/>
  <c r="CP599" i="7949" s="1"/>
  <c r="CI67" i="7949"/>
  <c r="CJ67" i="7949" s="1"/>
  <c r="CO45" i="7949"/>
  <c r="CP45" i="7949" s="1"/>
  <c r="CO600" i="7949"/>
  <c r="CP600" i="7949" s="1"/>
  <c r="CI66" i="7949"/>
  <c r="CJ66" i="7949" s="1"/>
  <c r="CO602" i="7949"/>
  <c r="CP602" i="7949" s="1"/>
  <c r="CO604" i="7949"/>
  <c r="CP604" i="7949" s="1"/>
  <c r="CO51" i="7949"/>
  <c r="CP51" i="7949" s="1"/>
  <c r="CN343" i="7949"/>
  <c r="CT468" i="7949" s="1"/>
  <c r="CN344" i="7949"/>
  <c r="CT469" i="7949" s="1"/>
  <c r="CT476" i="7949" s="1"/>
  <c r="CI320" i="7949"/>
  <c r="CJ320" i="7949" s="1"/>
  <c r="CI327" i="7949"/>
  <c r="CJ327" i="7949" s="1"/>
  <c r="CI328" i="7949"/>
  <c r="CJ328" i="7949" s="1"/>
  <c r="DX229" i="7949"/>
  <c r="CI71" i="7949"/>
  <c r="CJ71" i="7949" s="1"/>
  <c r="CI73" i="7949"/>
  <c r="CJ73" i="7949" s="1"/>
  <c r="CI69" i="7949"/>
  <c r="CJ69" i="7949" s="1"/>
  <c r="CO597" i="7949"/>
  <c r="CP597" i="7949" s="1"/>
  <c r="CO49" i="7949"/>
  <c r="CP49" i="7949" s="1"/>
  <c r="CO44" i="7949"/>
  <c r="CP44" i="7949" s="1"/>
  <c r="CO46" i="7949"/>
  <c r="CP46" i="7949" s="1"/>
  <c r="CK622" i="7949"/>
  <c r="CT690" i="7949" s="1"/>
  <c r="CT701" i="7949" s="1"/>
  <c r="DX227" i="7949"/>
  <c r="CI68" i="7949"/>
  <c r="CJ68" i="7949" s="1"/>
  <c r="CI74" i="7949"/>
  <c r="CJ74" i="7949" s="1"/>
  <c r="CI75" i="7949"/>
  <c r="CJ75" i="7949" s="1"/>
  <c r="CI70" i="7949"/>
  <c r="CJ70" i="7949" s="1"/>
  <c r="CO598" i="7949"/>
  <c r="CP598" i="7949" s="1"/>
  <c r="CO601" i="7949"/>
  <c r="CP601" i="7949" s="1"/>
  <c r="CO603" i="7949"/>
  <c r="CP603" i="7949" s="1"/>
  <c r="CO596" i="7949"/>
  <c r="CP596" i="7949" s="1"/>
  <c r="CO50" i="7949"/>
  <c r="CP50" i="7949" s="1"/>
  <c r="CO47" i="7949"/>
  <c r="CP47" i="7949" s="1"/>
  <c r="CO48" i="7949"/>
  <c r="CP48" i="7949" s="1"/>
  <c r="CO42" i="7949"/>
  <c r="CP42" i="7949" s="1"/>
  <c r="DO562" i="7949"/>
  <c r="DO235" i="7949"/>
  <c r="CK623" i="7949"/>
  <c r="CT691" i="7949" s="1"/>
  <c r="CT702" i="7949" s="1"/>
  <c r="CN345" i="7949"/>
  <c r="CT470" i="7949" s="1"/>
  <c r="CT477" i="7949" s="1"/>
  <c r="CK621" i="7949"/>
  <c r="CT689" i="7949" s="1"/>
  <c r="CT700" i="7949" s="1"/>
  <c r="CK620" i="7949"/>
  <c r="CT688" i="7949" s="1"/>
  <c r="CI322" i="7949"/>
  <c r="CJ322" i="7949" s="1"/>
  <c r="CI321" i="7949"/>
  <c r="CJ321" i="7949" s="1"/>
  <c r="CI323" i="7949"/>
  <c r="CJ323" i="7949" s="1"/>
  <c r="CI324" i="7949"/>
  <c r="CJ324" i="7949" s="1"/>
  <c r="DO232" i="7949"/>
  <c r="DO233" i="7949"/>
  <c r="DO560" i="7949"/>
  <c r="DO839" i="7949"/>
  <c r="DO838" i="7949"/>
  <c r="DO234" i="7949"/>
  <c r="DO583" i="7949"/>
  <c r="DO861" i="7949"/>
  <c r="DO561" i="7949"/>
  <c r="DO837" i="7949"/>
  <c r="DO584" i="7949"/>
  <c r="CO325" i="7949"/>
  <c r="CP325" i="7949" s="1"/>
  <c r="CO319" i="7949"/>
  <c r="CP319" i="7949" s="1"/>
  <c r="CO324" i="7949"/>
  <c r="CP324" i="7949" s="1"/>
  <c r="CO327" i="7949"/>
  <c r="CP327" i="7949" s="1"/>
  <c r="CO328" i="7949"/>
  <c r="CP328" i="7949" s="1"/>
  <c r="CO322" i="7949"/>
  <c r="CP322" i="7949" s="1"/>
  <c r="CO320" i="7949"/>
  <c r="CP320" i="7949" s="1"/>
  <c r="CO323" i="7949"/>
  <c r="CP323" i="7949" s="1"/>
  <c r="CO326" i="7949"/>
  <c r="CP326" i="7949" s="1"/>
  <c r="CO321" i="7949"/>
  <c r="CP321" i="7949" s="1"/>
  <c r="DJ511" i="7949"/>
  <c r="DI511" i="7949"/>
  <c r="DZ780" i="7949"/>
  <c r="DX780" i="7949" s="1"/>
  <c r="DZ781" i="7949"/>
  <c r="DZ783" i="7949"/>
  <c r="DZ784" i="7949"/>
  <c r="DZ782" i="7949"/>
  <c r="DJ786" i="7949"/>
  <c r="DI786" i="7949"/>
  <c r="DI787" i="7949"/>
  <c r="DJ787" i="7949"/>
  <c r="AF93" i="7950"/>
  <c r="AG93" i="7950"/>
  <c r="AF77" i="7950"/>
  <c r="AG77" i="7950"/>
  <c r="CL601" i="7949"/>
  <c r="CM601" i="7949" s="1"/>
  <c r="CL602" i="7949"/>
  <c r="CM602" i="7949" s="1"/>
  <c r="CL596" i="7949"/>
  <c r="CM596" i="7949" s="1"/>
  <c r="CL598" i="7949"/>
  <c r="CM598" i="7949" s="1"/>
  <c r="CL597" i="7949"/>
  <c r="CM597" i="7949" s="1"/>
  <c r="CL603" i="7949"/>
  <c r="CM603" i="7949" s="1"/>
  <c r="CL604" i="7949"/>
  <c r="CM604" i="7949" s="1"/>
  <c r="CL600" i="7949"/>
  <c r="CM600" i="7949" s="1"/>
  <c r="CL599" i="7949"/>
  <c r="CM599" i="7949" s="1"/>
  <c r="CL605" i="7949"/>
  <c r="CM605" i="7949" s="1"/>
  <c r="CL45" i="7949"/>
  <c r="CM45" i="7949" s="1"/>
  <c r="CL44" i="7949"/>
  <c r="CM44" i="7949" s="1"/>
  <c r="CL43" i="7949"/>
  <c r="CM43" i="7949" s="1"/>
  <c r="CL50" i="7949"/>
  <c r="CM50" i="7949" s="1"/>
  <c r="CL46" i="7949"/>
  <c r="CM46" i="7949" s="1"/>
  <c r="CL49" i="7949"/>
  <c r="CM49" i="7949" s="1"/>
  <c r="CL48" i="7949"/>
  <c r="CM48" i="7949" s="1"/>
  <c r="CL47" i="7949"/>
  <c r="CM47" i="7949" s="1"/>
  <c r="CL51" i="7949"/>
  <c r="CM51" i="7949" s="1"/>
  <c r="CL42" i="7949"/>
  <c r="CM42" i="7949" s="1"/>
  <c r="CL71" i="7949"/>
  <c r="CM71" i="7949" s="1"/>
  <c r="CL75" i="7949"/>
  <c r="CM75" i="7949" s="1"/>
  <c r="CL68" i="7949"/>
  <c r="CM68" i="7949" s="1"/>
  <c r="CL69" i="7949"/>
  <c r="CM69" i="7949" s="1"/>
  <c r="CL67" i="7949"/>
  <c r="CM67" i="7949" s="1"/>
  <c r="CL66" i="7949"/>
  <c r="CM66" i="7949" s="1"/>
  <c r="CL74" i="7949"/>
  <c r="CM74" i="7949" s="1"/>
  <c r="CL73" i="7949"/>
  <c r="CM73" i="7949" s="1"/>
  <c r="CL70" i="7949"/>
  <c r="CM70" i="7949" s="1"/>
  <c r="CL72" i="7949"/>
  <c r="CM72" i="7949" s="1"/>
  <c r="DA732" i="7949"/>
  <c r="DA733" i="7949" s="1"/>
  <c r="DA734" i="7949" s="1"/>
  <c r="DA735" i="7949" s="1"/>
  <c r="DA736" i="7949" s="1"/>
  <c r="DA737" i="7949" s="1"/>
  <c r="DZ503" i="7949"/>
  <c r="DX503" i="7949" s="1"/>
  <c r="DZ506" i="7949"/>
  <c r="DZ507" i="7949"/>
  <c r="DZ504" i="7949"/>
  <c r="DZ505" i="7949"/>
  <c r="DI512" i="7949"/>
  <c r="DJ512" i="7949"/>
  <c r="CK347" i="7949"/>
  <c r="CT415" i="7949" s="1"/>
  <c r="CK345" i="7949"/>
  <c r="CT413" i="7949" s="1"/>
  <c r="CK346" i="7949"/>
  <c r="CT414" i="7949" s="1"/>
  <c r="CK343" i="7949"/>
  <c r="CK344" i="7949"/>
  <c r="CT412" i="7949" s="1"/>
  <c r="CQ344" i="7949"/>
  <c r="CT492" i="7949" s="1"/>
  <c r="CQ343" i="7949"/>
  <c r="DX228" i="7949"/>
  <c r="DI513" i="7949"/>
  <c r="DJ513" i="7949"/>
  <c r="DI790" i="7949"/>
  <c r="DJ790" i="7949"/>
  <c r="AB84" i="7950"/>
  <c r="AP75" i="7950"/>
  <c r="AD76" i="7950"/>
  <c r="AB85" i="7950"/>
  <c r="AG81" i="7950"/>
  <c r="Z85" i="7950"/>
  <c r="AH79" i="7950"/>
  <c r="AH80" i="7950"/>
  <c r="AA85" i="7950"/>
  <c r="AG80" i="7950"/>
  <c r="Z84" i="7950"/>
  <c r="AA84" i="7950"/>
  <c r="AG79" i="7950"/>
  <c r="AG97" i="7950"/>
  <c r="AG96" i="7950"/>
  <c r="AA101" i="7950"/>
  <c r="AD92" i="7950"/>
  <c r="AG95" i="7950"/>
  <c r="Z100" i="7950"/>
  <c r="Z101" i="7950"/>
  <c r="AH95" i="7950"/>
  <c r="AB100" i="7950"/>
  <c r="AP91" i="7950"/>
  <c r="AA100" i="7950"/>
  <c r="AH96" i="7950"/>
  <c r="AB101" i="7950"/>
  <c r="CN620" i="7949"/>
  <c r="CN622" i="7949"/>
  <c r="CT747" i="7949" s="1"/>
  <c r="CN621" i="7949"/>
  <c r="CT746" i="7949" s="1"/>
  <c r="CI44" i="7949"/>
  <c r="CJ44" i="7949" s="1"/>
  <c r="CI45" i="7949"/>
  <c r="CJ45" i="7949" s="1"/>
  <c r="CI50" i="7949"/>
  <c r="CJ50" i="7949" s="1"/>
  <c r="CI46" i="7949"/>
  <c r="CJ46" i="7949" s="1"/>
  <c r="CI43" i="7949"/>
  <c r="CJ43" i="7949" s="1"/>
  <c r="CI47" i="7949"/>
  <c r="CJ47" i="7949" s="1"/>
  <c r="CI42" i="7949"/>
  <c r="CJ42" i="7949" s="1"/>
  <c r="CI49" i="7949"/>
  <c r="CJ49" i="7949" s="1"/>
  <c r="CI48" i="7949"/>
  <c r="CJ48" i="7949" s="1"/>
  <c r="CI51" i="7949"/>
  <c r="CJ51" i="7949" s="1"/>
  <c r="CI596" i="7949"/>
  <c r="CJ596" i="7949" s="1"/>
  <c r="CI603" i="7949"/>
  <c r="CJ603" i="7949" s="1"/>
  <c r="CI597" i="7949"/>
  <c r="CJ597" i="7949" s="1"/>
  <c r="CI605" i="7949"/>
  <c r="CJ605" i="7949" s="1"/>
  <c r="CI599" i="7949"/>
  <c r="CJ599" i="7949" s="1"/>
  <c r="CI602" i="7949"/>
  <c r="CJ602" i="7949" s="1"/>
  <c r="CI598" i="7949"/>
  <c r="CJ598" i="7949" s="1"/>
  <c r="CI601" i="7949"/>
  <c r="CJ601" i="7949" s="1"/>
  <c r="CI604" i="7949"/>
  <c r="CJ604" i="7949" s="1"/>
  <c r="CI600" i="7949"/>
  <c r="CJ600" i="7949" s="1"/>
  <c r="CO69" i="7949"/>
  <c r="CP69" i="7949" s="1"/>
  <c r="CO71" i="7949"/>
  <c r="CP71" i="7949" s="1"/>
  <c r="CO73" i="7949"/>
  <c r="CP73" i="7949" s="1"/>
  <c r="CO68" i="7949"/>
  <c r="CP68" i="7949" s="1"/>
  <c r="CO75" i="7949"/>
  <c r="CP75" i="7949" s="1"/>
  <c r="CO72" i="7949"/>
  <c r="CP72" i="7949" s="1"/>
  <c r="CO66" i="7949"/>
  <c r="CP66" i="7949" s="1"/>
  <c r="CO70" i="7949"/>
  <c r="CP70" i="7949" s="1"/>
  <c r="CO67" i="7949"/>
  <c r="CP67" i="7949" s="1"/>
  <c r="CO74" i="7949"/>
  <c r="CP74" i="7949" s="1"/>
  <c r="DJ509" i="7949"/>
  <c r="DI509" i="7949"/>
  <c r="DI510" i="7949"/>
  <c r="DJ510" i="7949"/>
  <c r="DJ788" i="7949"/>
  <c r="DI788" i="7949"/>
  <c r="DI789" i="7949"/>
  <c r="DJ789" i="7949"/>
  <c r="CQ620" i="7949"/>
  <c r="CQ621" i="7949"/>
  <c r="CT769" i="7949" s="1"/>
  <c r="DX230" i="7949"/>
  <c r="DO860" i="7949"/>
  <c r="DO236" i="7949"/>
  <c r="ET659" i="2" l="1"/>
  <c r="EX659" i="2"/>
  <c r="EW659" i="2"/>
  <c r="EF655" i="2"/>
  <c r="EH655" i="2" s="1"/>
  <c r="EW680" i="2"/>
  <c r="ET680" i="2"/>
  <c r="EX680" i="2"/>
  <c r="EW660" i="2"/>
  <c r="ET660" i="2"/>
  <c r="EX660" i="2"/>
  <c r="EG656" i="2" s="1"/>
  <c r="EG655" i="2"/>
  <c r="EF656" i="2"/>
  <c r="EH656" i="2" s="1"/>
  <c r="ET674" i="2"/>
  <c r="EX674" i="2"/>
  <c r="EW674" i="2"/>
  <c r="M123" i="7950"/>
  <c r="AZ123" i="7950"/>
  <c r="AY123" i="7950"/>
  <c r="AX123" i="7950"/>
  <c r="AW123" i="7950"/>
  <c r="AX107" i="7950"/>
  <c r="AW107" i="7950"/>
  <c r="M107" i="7950"/>
  <c r="AZ107" i="7950"/>
  <c r="AY107" i="7950"/>
  <c r="DA721" i="7949"/>
  <c r="DA722" i="7949" s="1"/>
  <c r="DA723" i="7949" s="1"/>
  <c r="DA724" i="7949" s="1"/>
  <c r="DA725" i="7949" s="1"/>
  <c r="DA726" i="7949" s="1"/>
  <c r="CU726" i="7949" s="1"/>
  <c r="CN319" i="7949"/>
  <c r="DA710" i="7949"/>
  <c r="DA711" i="7949" s="1"/>
  <c r="DA712" i="7949" s="1"/>
  <c r="DA713" i="7949" s="1"/>
  <c r="DA714" i="7949" s="1"/>
  <c r="DA715" i="7949" s="1"/>
  <c r="CU715" i="7949" s="1"/>
  <c r="DA475" i="7949"/>
  <c r="DA476" i="7949" s="1"/>
  <c r="DA477" i="7949" s="1"/>
  <c r="DA478" i="7949" s="1"/>
  <c r="CQ597" i="7949"/>
  <c r="CT677" i="7949" s="1"/>
  <c r="DA681" i="7949" s="1"/>
  <c r="DA682" i="7949" s="1"/>
  <c r="DA683" i="7949" s="1"/>
  <c r="CK70" i="7949"/>
  <c r="CT138" i="7949" s="1"/>
  <c r="DA178" i="7949" s="1"/>
  <c r="DA179" i="7949" s="1"/>
  <c r="DA180" i="7949" s="1"/>
  <c r="DA181" i="7949" s="1"/>
  <c r="DA182" i="7949" s="1"/>
  <c r="DA183" i="7949" s="1"/>
  <c r="CN320" i="7949"/>
  <c r="CT377" i="7949" s="1"/>
  <c r="DA383" i="7949" s="1"/>
  <c r="DA384" i="7949" s="1"/>
  <c r="DA385" i="7949" s="1"/>
  <c r="DA386" i="7949" s="1"/>
  <c r="CK319" i="7949"/>
  <c r="CT319" i="7949" s="1"/>
  <c r="CN321" i="7949"/>
  <c r="CT378" i="7949" s="1"/>
  <c r="DA390" i="7949" s="1"/>
  <c r="DA391" i="7949" s="1"/>
  <c r="DA392" i="7949" s="1"/>
  <c r="DA393" i="7949" s="1"/>
  <c r="DA482" i="7949"/>
  <c r="DA483" i="7949" s="1"/>
  <c r="DA484" i="7949" s="1"/>
  <c r="DA485" i="7949" s="1"/>
  <c r="DA486" i="7949" s="1"/>
  <c r="CQ43" i="7949"/>
  <c r="CT123" i="7949" s="1"/>
  <c r="CT128" i="7949" s="1"/>
  <c r="CK69" i="7949"/>
  <c r="CT137" i="7949" s="1"/>
  <c r="DA167" i="7949" s="1"/>
  <c r="DA168" i="7949" s="1"/>
  <c r="DA169" i="7949" s="1"/>
  <c r="DA170" i="7949" s="1"/>
  <c r="DA171" i="7949" s="1"/>
  <c r="DA172" i="7949" s="1"/>
  <c r="DA699" i="7949"/>
  <c r="DA700" i="7949" s="1"/>
  <c r="DA701" i="7949" s="1"/>
  <c r="DA702" i="7949" s="1"/>
  <c r="DA703" i="7949" s="1"/>
  <c r="DA704" i="7949" s="1"/>
  <c r="CU704" i="7949" s="1"/>
  <c r="CK66" i="7949"/>
  <c r="CT134" i="7949" s="1"/>
  <c r="CQ42" i="7949"/>
  <c r="CT122" i="7949" s="1"/>
  <c r="CQ596" i="7949"/>
  <c r="CT676" i="7949" s="1"/>
  <c r="CK68" i="7949"/>
  <c r="CT136" i="7949" s="1"/>
  <c r="DA156" i="7949" s="1"/>
  <c r="DA157" i="7949" s="1"/>
  <c r="DA158" i="7949" s="1"/>
  <c r="DA159" i="7949" s="1"/>
  <c r="DA160" i="7949" s="1"/>
  <c r="DA161" i="7949" s="1"/>
  <c r="CK322" i="7949"/>
  <c r="CT322" i="7949" s="1"/>
  <c r="CT333" i="7949" s="1"/>
  <c r="CK67" i="7949"/>
  <c r="CT135" i="7949" s="1"/>
  <c r="DA145" i="7949" s="1"/>
  <c r="DA146" i="7949" s="1"/>
  <c r="DA147" i="7949" s="1"/>
  <c r="DA148" i="7949" s="1"/>
  <c r="DA149" i="7949" s="1"/>
  <c r="DA150" i="7949" s="1"/>
  <c r="DA467" i="7949"/>
  <c r="CK323" i="7949"/>
  <c r="CT323" i="7949" s="1"/>
  <c r="CT334" i="7949" s="1"/>
  <c r="EC226" i="7949"/>
  <c r="ED225" i="7949" s="1"/>
  <c r="DA687" i="7949"/>
  <c r="CK321" i="7949"/>
  <c r="CT321" i="7949" s="1"/>
  <c r="DA341" i="7949" s="1"/>
  <c r="DA342" i="7949" s="1"/>
  <c r="DA343" i="7949" s="1"/>
  <c r="DA344" i="7949" s="1"/>
  <c r="DA345" i="7949" s="1"/>
  <c r="DA346" i="7949" s="1"/>
  <c r="CK320" i="7949"/>
  <c r="CT320" i="7949" s="1"/>
  <c r="DA330" i="7949" s="1"/>
  <c r="DA331" i="7949" s="1"/>
  <c r="DA332" i="7949" s="1"/>
  <c r="DA333" i="7949" s="1"/>
  <c r="DA334" i="7949" s="1"/>
  <c r="DA335" i="7949" s="1"/>
  <c r="DX504" i="7949"/>
  <c r="DX782" i="7949"/>
  <c r="DX784" i="7949"/>
  <c r="DX781" i="7949"/>
  <c r="DO789" i="7949"/>
  <c r="DO510" i="7949"/>
  <c r="DX505" i="7949"/>
  <c r="DX507" i="7949"/>
  <c r="DO786" i="7949"/>
  <c r="CT376" i="7949"/>
  <c r="CT774" i="7949"/>
  <c r="DA773" i="7949"/>
  <c r="DA774" i="7949" s="1"/>
  <c r="DA775" i="7949" s="1"/>
  <c r="CT713" i="7949"/>
  <c r="CT699" i="7949"/>
  <c r="DA688" i="7949"/>
  <c r="DA689" i="7949" s="1"/>
  <c r="CT711" i="7949"/>
  <c r="DA752" i="7949"/>
  <c r="DA753" i="7949" s="1"/>
  <c r="DA754" i="7949" s="1"/>
  <c r="DA755" i="7949" s="1"/>
  <c r="CT753" i="7949"/>
  <c r="CT745" i="7949"/>
  <c r="DA744" i="7949"/>
  <c r="G91" i="7950"/>
  <c r="AQ91" i="7950"/>
  <c r="E91" i="7950"/>
  <c r="I91" i="7950"/>
  <c r="AR91" i="7950"/>
  <c r="AT91" i="7950"/>
  <c r="AU91" i="7950" s="1"/>
  <c r="AG92" i="7950"/>
  <c r="AG98" i="7950" s="1"/>
  <c r="AG99" i="7950" s="1"/>
  <c r="O89" i="7950" s="1"/>
  <c r="AF92" i="7950"/>
  <c r="AG76" i="7950"/>
  <c r="AG82" i="7950" s="1"/>
  <c r="AG83" i="7950" s="1"/>
  <c r="O73" i="7950" s="1"/>
  <c r="AF76" i="7950"/>
  <c r="CU477" i="7949"/>
  <c r="CT484" i="7949"/>
  <c r="CU484" i="7949" s="1"/>
  <c r="DA352" i="7949"/>
  <c r="DA353" i="7949" s="1"/>
  <c r="DA354" i="7949" s="1"/>
  <c r="DA355" i="7949" s="1"/>
  <c r="DA356" i="7949" s="1"/>
  <c r="DA357" i="7949" s="1"/>
  <c r="CT149" i="7949"/>
  <c r="CT497" i="7949"/>
  <c r="DA496" i="7949"/>
  <c r="DA497" i="7949" s="1"/>
  <c r="DA498" i="7949" s="1"/>
  <c r="CT411" i="7949"/>
  <c r="DA410" i="7949"/>
  <c r="CT424" i="7949"/>
  <c r="DA433" i="7949"/>
  <c r="DA434" i="7949" s="1"/>
  <c r="DA435" i="7949" s="1"/>
  <c r="DA436" i="7949" s="1"/>
  <c r="DA437" i="7949" s="1"/>
  <c r="DA438" i="7949" s="1"/>
  <c r="DA716" i="7949"/>
  <c r="CT714" i="7949"/>
  <c r="CN597" i="7949"/>
  <c r="CT654" i="7949" s="1"/>
  <c r="CN598" i="7949"/>
  <c r="CT655" i="7949" s="1"/>
  <c r="CN596" i="7949"/>
  <c r="CU476" i="7949"/>
  <c r="CT483" i="7949"/>
  <c r="DO788" i="7949"/>
  <c r="DO509" i="7949"/>
  <c r="EC227" i="7949"/>
  <c r="EG225" i="7949" s="1"/>
  <c r="DO790" i="7949"/>
  <c r="DO513" i="7949"/>
  <c r="DO787" i="7949"/>
  <c r="DO511" i="7949"/>
  <c r="CT384" i="7949"/>
  <c r="DA767" i="7949"/>
  <c r="CT768" i="7949"/>
  <c r="CQ67" i="7949"/>
  <c r="CT215" i="7949" s="1"/>
  <c r="CQ66" i="7949"/>
  <c r="CK600" i="7949"/>
  <c r="CT600" i="7949" s="1"/>
  <c r="CK598" i="7949"/>
  <c r="CT598" i="7949" s="1"/>
  <c r="CK599" i="7949"/>
  <c r="CT599" i="7949" s="1"/>
  <c r="CK597" i="7949"/>
  <c r="CT597" i="7949" s="1"/>
  <c r="CK596" i="7949"/>
  <c r="CK46" i="7949"/>
  <c r="CT46" i="7949" s="1"/>
  <c r="CK44" i="7949"/>
  <c r="CT44" i="7949" s="1"/>
  <c r="CK43" i="7949"/>
  <c r="CT43" i="7949" s="1"/>
  <c r="CK45" i="7949"/>
  <c r="CT45" i="7949" s="1"/>
  <c r="CK42" i="7949"/>
  <c r="DA759" i="7949"/>
  <c r="DA760" i="7949" s="1"/>
  <c r="DA761" i="7949" s="1"/>
  <c r="DA762" i="7949" s="1"/>
  <c r="CT754" i="7949"/>
  <c r="G75" i="7950"/>
  <c r="I75" i="7950"/>
  <c r="AQ75" i="7950"/>
  <c r="AR75" i="7950"/>
  <c r="AT75" i="7950"/>
  <c r="AU75" i="7950" s="1"/>
  <c r="E75" i="7950"/>
  <c r="CU485" i="7949"/>
  <c r="CT491" i="7949"/>
  <c r="DA490" i="7949"/>
  <c r="CT423" i="7949"/>
  <c r="DA422" i="7949"/>
  <c r="DA423" i="7949" s="1"/>
  <c r="DA424" i="7949" s="1"/>
  <c r="DA425" i="7949" s="1"/>
  <c r="DA426" i="7949" s="1"/>
  <c r="DA427" i="7949" s="1"/>
  <c r="DA444" i="7949"/>
  <c r="DA445" i="7949" s="1"/>
  <c r="DA446" i="7949" s="1"/>
  <c r="DA447" i="7949" s="1"/>
  <c r="DA448" i="7949" s="1"/>
  <c r="DA449" i="7949" s="1"/>
  <c r="CT425" i="7949"/>
  <c r="DA455" i="7949"/>
  <c r="DA456" i="7949" s="1"/>
  <c r="DA457" i="7949" s="1"/>
  <c r="DA458" i="7949" s="1"/>
  <c r="DA459" i="7949" s="1"/>
  <c r="DA460" i="7949" s="1"/>
  <c r="CT426" i="7949"/>
  <c r="CT712" i="7949"/>
  <c r="CU737" i="7949"/>
  <c r="DA738" i="7949"/>
  <c r="CN68" i="7949"/>
  <c r="CT193" i="7949" s="1"/>
  <c r="CN67" i="7949"/>
  <c r="CT192" i="7949" s="1"/>
  <c r="CN66" i="7949"/>
  <c r="CN44" i="7949"/>
  <c r="CT101" i="7949" s="1"/>
  <c r="CN43" i="7949"/>
  <c r="CT100" i="7949" s="1"/>
  <c r="CN42" i="7949"/>
  <c r="DA468" i="7949"/>
  <c r="DA469" i="7949" s="1"/>
  <c r="CT475" i="7949"/>
  <c r="CU478" i="7949"/>
  <c r="DA479" i="7949"/>
  <c r="CQ319" i="7949"/>
  <c r="CQ320" i="7949"/>
  <c r="CT400" i="7949" s="1"/>
  <c r="DO512" i="7949"/>
  <c r="DX506" i="7949"/>
  <c r="DX783" i="7949"/>
  <c r="EA653" i="2" l="1"/>
  <c r="EC653" i="2" s="1"/>
  <c r="EE653" i="2" s="1"/>
  <c r="EI653" i="2" s="1"/>
  <c r="EJ653" i="2" s="1"/>
  <c r="EK653" i="2" s="1"/>
  <c r="EG765" i="2"/>
  <c r="EG661" i="2"/>
  <c r="EG900" i="2"/>
  <c r="EG767" i="2"/>
  <c r="EA890" i="2"/>
  <c r="EC890" i="2" s="1"/>
  <c r="EE890" i="2" s="1"/>
  <c r="EI890" i="2" s="1"/>
  <c r="EJ890" i="2" s="1"/>
  <c r="EK890" i="2" s="1"/>
  <c r="EA648" i="2"/>
  <c r="EC648" i="2" s="1"/>
  <c r="EE648" i="2" s="1"/>
  <c r="EI648" i="2" s="1"/>
  <c r="EJ648" i="2" s="1"/>
  <c r="EK648" i="2" s="1"/>
  <c r="EG898" i="2"/>
  <c r="EG768" i="2"/>
  <c r="EA893" i="2"/>
  <c r="EC893" i="2" s="1"/>
  <c r="EE893" i="2" s="1"/>
  <c r="EI893" i="2" s="1"/>
  <c r="EJ893" i="2" s="1"/>
  <c r="EK893" i="2" s="1"/>
  <c r="EA650" i="2"/>
  <c r="EC650" i="2" s="1"/>
  <c r="EE650" i="2" s="1"/>
  <c r="EI650" i="2" s="1"/>
  <c r="EJ650" i="2" s="1"/>
  <c r="EK650" i="2" s="1"/>
  <c r="EG658" i="2"/>
  <c r="EA644" i="2"/>
  <c r="EC644" i="2" s="1"/>
  <c r="EE644" i="2" s="1"/>
  <c r="EI644" i="2" s="1"/>
  <c r="EJ644" i="2" s="1"/>
  <c r="EK644" i="2" s="1"/>
  <c r="EG664" i="2"/>
  <c r="EA645" i="2"/>
  <c r="EC645" i="2" s="1"/>
  <c r="EE645" i="2" s="1"/>
  <c r="EI645" i="2" s="1"/>
  <c r="EJ645" i="2" s="1"/>
  <c r="EK645" i="2" s="1"/>
  <c r="EA892" i="2"/>
  <c r="EC892" i="2" s="1"/>
  <c r="EE892" i="2" s="1"/>
  <c r="EI892" i="2" s="1"/>
  <c r="EJ892" i="2" s="1"/>
  <c r="EK892" i="2" s="1"/>
  <c r="EG896" i="2"/>
  <c r="EA762" i="2"/>
  <c r="EC762" i="2" s="1"/>
  <c r="EE762" i="2" s="1"/>
  <c r="EI762" i="2" s="1"/>
  <c r="EJ762" i="2" s="1"/>
  <c r="EK762" i="2" s="1"/>
  <c r="EA761" i="2"/>
  <c r="EC761" i="2" s="1"/>
  <c r="EE761" i="2" s="1"/>
  <c r="EI761" i="2" s="1"/>
  <c r="EJ761" i="2" s="1"/>
  <c r="EK761" i="2" s="1"/>
  <c r="EG764" i="2"/>
  <c r="EG660" i="2"/>
  <c r="EG659" i="2"/>
  <c r="EA652" i="2"/>
  <c r="EC652" i="2" s="1"/>
  <c r="EE652" i="2" s="1"/>
  <c r="EI652" i="2" s="1"/>
  <c r="EJ652" i="2" s="1"/>
  <c r="EK652" i="2" s="1"/>
  <c r="EA758" i="2"/>
  <c r="EC758" i="2" s="1"/>
  <c r="EE758" i="2" s="1"/>
  <c r="EI758" i="2" s="1"/>
  <c r="EJ758" i="2" s="1"/>
  <c r="EK758" i="2" s="1"/>
  <c r="EG663" i="2"/>
  <c r="EG769" i="2"/>
  <c r="EA891" i="2"/>
  <c r="EC891" i="2" s="1"/>
  <c r="EE891" i="2" s="1"/>
  <c r="EI891" i="2" s="1"/>
  <c r="EJ891" i="2" s="1"/>
  <c r="EK891" i="2" s="1"/>
  <c r="EA759" i="2"/>
  <c r="EC759" i="2" s="1"/>
  <c r="EE759" i="2" s="1"/>
  <c r="EI759" i="2" s="1"/>
  <c r="EJ759" i="2" s="1"/>
  <c r="EK759" i="2" s="1"/>
  <c r="EA646" i="2"/>
  <c r="EC646" i="2" s="1"/>
  <c r="EE646" i="2" s="1"/>
  <c r="EI646" i="2" s="1"/>
  <c r="EJ646" i="2" s="1"/>
  <c r="EK646" i="2" s="1"/>
  <c r="EG770" i="2"/>
  <c r="EG766" i="2"/>
  <c r="EG657" i="2"/>
  <c r="EA756" i="2"/>
  <c r="EC756" i="2" s="1"/>
  <c r="EE756" i="2" s="1"/>
  <c r="EI756" i="2" s="1"/>
  <c r="EJ756" i="2" s="1"/>
  <c r="EK756" i="2" s="1"/>
  <c r="EA894" i="2"/>
  <c r="EC894" i="2" s="1"/>
  <c r="EE894" i="2" s="1"/>
  <c r="EI894" i="2" s="1"/>
  <c r="EJ894" i="2" s="1"/>
  <c r="EK894" i="2" s="1"/>
  <c r="EG899" i="2"/>
  <c r="EA757" i="2"/>
  <c r="EC757" i="2" s="1"/>
  <c r="EE757" i="2" s="1"/>
  <c r="EI757" i="2" s="1"/>
  <c r="EJ757" i="2" s="1"/>
  <c r="EK757" i="2" s="1"/>
  <c r="EG662" i="2"/>
  <c r="EA651" i="2"/>
  <c r="EC651" i="2" s="1"/>
  <c r="EE651" i="2" s="1"/>
  <c r="EI651" i="2" s="1"/>
  <c r="EJ651" i="2" s="1"/>
  <c r="EK651" i="2" s="1"/>
  <c r="EA760" i="2"/>
  <c r="EC760" i="2" s="1"/>
  <c r="EE760" i="2" s="1"/>
  <c r="EI760" i="2" s="1"/>
  <c r="EJ760" i="2" s="1"/>
  <c r="EK760" i="2" s="1"/>
  <c r="EG897" i="2"/>
  <c r="EA647" i="2"/>
  <c r="EC647" i="2" s="1"/>
  <c r="EE647" i="2" s="1"/>
  <c r="EI647" i="2" s="1"/>
  <c r="EJ647" i="2" s="1"/>
  <c r="EK647" i="2" s="1"/>
  <c r="EA649" i="2"/>
  <c r="EC649" i="2" s="1"/>
  <c r="EE649" i="2" s="1"/>
  <c r="EI649" i="2" s="1"/>
  <c r="EJ649" i="2" s="1"/>
  <c r="EK649" i="2" s="1"/>
  <c r="EF765" i="2"/>
  <c r="EF664" i="2"/>
  <c r="EH664" i="2" s="1"/>
  <c r="EF657" i="2"/>
  <c r="EH657" i="2" s="1"/>
  <c r="DZ650" i="2"/>
  <c r="EF900" i="2"/>
  <c r="EH900" i="2" s="1"/>
  <c r="EF896" i="2"/>
  <c r="EH896" i="2" s="1"/>
  <c r="DZ647" i="2"/>
  <c r="DZ894" i="2"/>
  <c r="EF899" i="2"/>
  <c r="EH899" i="2" s="1"/>
  <c r="EF770" i="2"/>
  <c r="EH770" i="2" s="1"/>
  <c r="DZ761" i="2"/>
  <c r="EF658" i="2"/>
  <c r="EH658" i="2" s="1"/>
  <c r="DZ759" i="2"/>
  <c r="DZ890" i="2"/>
  <c r="EF766" i="2"/>
  <c r="EH766" i="2" s="1"/>
  <c r="EF660" i="2"/>
  <c r="EH660" i="2" s="1"/>
  <c r="EF768" i="2"/>
  <c r="EH768" i="2" s="1"/>
  <c r="EF662" i="2"/>
  <c r="EH662" i="2" s="1"/>
  <c r="EF769" i="2"/>
  <c r="EH769" i="2" s="1"/>
  <c r="EF764" i="2"/>
  <c r="EH764" i="2" s="1"/>
  <c r="DZ649" i="2"/>
  <c r="EF663" i="2"/>
  <c r="EH663" i="2" s="1"/>
  <c r="DZ760" i="2"/>
  <c r="DZ892" i="2"/>
  <c r="EF767" i="2"/>
  <c r="EH767" i="2" s="1"/>
  <c r="DZ893" i="2"/>
  <c r="DZ762" i="2"/>
  <c r="DZ648" i="2"/>
  <c r="DZ757" i="2"/>
  <c r="DZ644" i="2"/>
  <c r="EF897" i="2"/>
  <c r="EH897" i="2" s="1"/>
  <c r="DZ652" i="2"/>
  <c r="EF661" i="2"/>
  <c r="EH661" i="2" s="1"/>
  <c r="EF898" i="2"/>
  <c r="EH898" i="2" s="1"/>
  <c r="DZ758" i="2"/>
  <c r="DZ646" i="2"/>
  <c r="DZ645" i="2"/>
  <c r="DZ651" i="2"/>
  <c r="DZ756" i="2"/>
  <c r="DZ653" i="2"/>
  <c r="DZ891" i="2"/>
  <c r="EF659" i="2"/>
  <c r="EH659" i="2" s="1"/>
  <c r="AP124" i="7950"/>
  <c r="I124" i="7950" s="1"/>
  <c r="AP108" i="7950"/>
  <c r="DA727" i="7949"/>
  <c r="CU727" i="7949" s="1"/>
  <c r="CU701" i="7949"/>
  <c r="CW701" i="7949" s="1"/>
  <c r="CT331" i="7949"/>
  <c r="CU331" i="7949" s="1"/>
  <c r="CT146" i="7949"/>
  <c r="CT157" i="7949" s="1"/>
  <c r="DA127" i="7949"/>
  <c r="DA128" i="7949" s="1"/>
  <c r="DA129" i="7949" s="1"/>
  <c r="DA130" i="7949" s="1"/>
  <c r="CU130" i="7949" s="1"/>
  <c r="DA705" i="7949"/>
  <c r="DA706" i="7949" s="1"/>
  <c r="CT385" i="7949"/>
  <c r="CT392" i="7949" s="1"/>
  <c r="CU392" i="7949" s="1"/>
  <c r="DA375" i="7949"/>
  <c r="CT682" i="7949"/>
  <c r="CU700" i="7949"/>
  <c r="CV700" i="7949" s="1"/>
  <c r="CU702" i="7949"/>
  <c r="CX702" i="7949" s="1"/>
  <c r="DA675" i="7949"/>
  <c r="CU483" i="7949"/>
  <c r="CW483" i="7949" s="1"/>
  <c r="CT148" i="7949"/>
  <c r="CT159" i="7949" s="1"/>
  <c r="CT147" i="7949"/>
  <c r="CT158" i="7949" s="1"/>
  <c r="DA363" i="7949"/>
  <c r="DA364" i="7949" s="1"/>
  <c r="DA365" i="7949" s="1"/>
  <c r="DA366" i="7949" s="1"/>
  <c r="DA367" i="7949" s="1"/>
  <c r="DA368" i="7949" s="1"/>
  <c r="CU368" i="7949" s="1"/>
  <c r="DA121" i="7949"/>
  <c r="EC503" i="7949"/>
  <c r="ED502" i="7949" s="1"/>
  <c r="CU703" i="7949"/>
  <c r="CV703" i="7949" s="1"/>
  <c r="DA133" i="7949"/>
  <c r="CU468" i="7949"/>
  <c r="CY468" i="7949" s="1"/>
  <c r="CT332" i="7949"/>
  <c r="CT343" i="7949" s="1"/>
  <c r="EC781" i="7949"/>
  <c r="EG779" i="7949" s="1"/>
  <c r="DA318" i="7949"/>
  <c r="CU682" i="7949"/>
  <c r="CY682" i="7949" s="1"/>
  <c r="EC780" i="7949"/>
  <c r="ED779" i="7949" s="1"/>
  <c r="CU497" i="7949"/>
  <c r="CX497" i="7949" s="1"/>
  <c r="CU774" i="7949"/>
  <c r="CX774" i="7949" s="1"/>
  <c r="CT405" i="7949"/>
  <c r="DA404" i="7949"/>
  <c r="DA405" i="7949" s="1"/>
  <c r="DA406" i="7949" s="1"/>
  <c r="CU479" i="7949"/>
  <c r="DA480" i="7949"/>
  <c r="CU480" i="7949" s="1"/>
  <c r="CT399" i="7949"/>
  <c r="DA398" i="7949"/>
  <c r="CW478" i="7949"/>
  <c r="CY478" i="7949"/>
  <c r="CV478" i="7949"/>
  <c r="CZ478" i="7949"/>
  <c r="CX478" i="7949"/>
  <c r="CT482" i="7949"/>
  <c r="CU482" i="7949" s="1"/>
  <c r="CU475" i="7949"/>
  <c r="CT99" i="7949"/>
  <c r="DA98" i="7949"/>
  <c r="CT108" i="7949"/>
  <c r="DA113" i="7949"/>
  <c r="DA114" i="7949" s="1"/>
  <c r="DA115" i="7949" s="1"/>
  <c r="DA116" i="7949" s="1"/>
  <c r="DA198" i="7949"/>
  <c r="DA199" i="7949" s="1"/>
  <c r="DA200" i="7949" s="1"/>
  <c r="DA201" i="7949" s="1"/>
  <c r="CT199" i="7949"/>
  <c r="CU738" i="7949"/>
  <c r="DA739" i="7949"/>
  <c r="CT723" i="7949"/>
  <c r="CU712" i="7949"/>
  <c r="CT437" i="7949"/>
  <c r="CU426" i="7949"/>
  <c r="DA450" i="7949"/>
  <c r="CU449" i="7949"/>
  <c r="CU427" i="7949"/>
  <c r="DA428" i="7949"/>
  <c r="CU150" i="7949"/>
  <c r="DA151" i="7949"/>
  <c r="DA369" i="7949"/>
  <c r="CU335" i="7949"/>
  <c r="DA336" i="7949"/>
  <c r="CU332" i="7949"/>
  <c r="CV485" i="7949"/>
  <c r="CX485" i="7949"/>
  <c r="CZ485" i="7949"/>
  <c r="CY485" i="7949"/>
  <c r="CW485" i="7949"/>
  <c r="DA763" i="7949"/>
  <c r="CU762" i="7949"/>
  <c r="DA75" i="7949"/>
  <c r="DA76" i="7949" s="1"/>
  <c r="DA77" i="7949" s="1"/>
  <c r="DA78" i="7949" s="1"/>
  <c r="DA79" i="7949" s="1"/>
  <c r="DA80" i="7949" s="1"/>
  <c r="CT56" i="7949"/>
  <c r="CT55" i="7949"/>
  <c r="DA64" i="7949"/>
  <c r="DA65" i="7949" s="1"/>
  <c r="DA66" i="7949" s="1"/>
  <c r="DA67" i="7949" s="1"/>
  <c r="DA68" i="7949" s="1"/>
  <c r="DA69" i="7949" s="1"/>
  <c r="DA595" i="7949"/>
  <c r="CT596" i="7949"/>
  <c r="DA629" i="7949"/>
  <c r="DA630" i="7949" s="1"/>
  <c r="DA631" i="7949" s="1"/>
  <c r="DA632" i="7949" s="1"/>
  <c r="DA633" i="7949" s="1"/>
  <c r="DA634" i="7949" s="1"/>
  <c r="CT610" i="7949"/>
  <c r="CT611" i="7949"/>
  <c r="DA640" i="7949"/>
  <c r="DA641" i="7949" s="1"/>
  <c r="DA642" i="7949" s="1"/>
  <c r="DA643" i="7949" s="1"/>
  <c r="DA644" i="7949" s="1"/>
  <c r="DA645" i="7949" s="1"/>
  <c r="DA219" i="7949"/>
  <c r="DA220" i="7949" s="1"/>
  <c r="DA221" i="7949" s="1"/>
  <c r="CT220" i="7949"/>
  <c r="CU705" i="7949"/>
  <c r="DA768" i="7949"/>
  <c r="DA769" i="7949" s="1"/>
  <c r="CT773" i="7949"/>
  <c r="CU773" i="7949" s="1"/>
  <c r="CU768" i="7949"/>
  <c r="CT391" i="7949"/>
  <c r="CU391" i="7949" s="1"/>
  <c r="CU384" i="7949"/>
  <c r="CU393" i="7949"/>
  <c r="DA394" i="7949"/>
  <c r="CX476" i="7949"/>
  <c r="CV476" i="7949"/>
  <c r="CY476" i="7949"/>
  <c r="CW476" i="7949"/>
  <c r="CZ476" i="7949"/>
  <c r="DA667" i="7949"/>
  <c r="DA668" i="7949" s="1"/>
  <c r="DA669" i="7949" s="1"/>
  <c r="DA670" i="7949" s="1"/>
  <c r="CT662" i="7949"/>
  <c r="CT725" i="7949"/>
  <c r="CU714" i="7949"/>
  <c r="CZ715" i="7949"/>
  <c r="CX715" i="7949"/>
  <c r="CV715" i="7949"/>
  <c r="CW715" i="7949"/>
  <c r="CY715" i="7949"/>
  <c r="DA439" i="7949"/>
  <c r="CU438" i="7949"/>
  <c r="CU148" i="7949"/>
  <c r="DA184" i="7949"/>
  <c r="CU183" i="7949"/>
  <c r="CT145" i="7949"/>
  <c r="DA134" i="7949"/>
  <c r="DA135" i="7949" s="1"/>
  <c r="DA358" i="7949"/>
  <c r="CU357" i="7949"/>
  <c r="CX484" i="7949"/>
  <c r="CZ484" i="7949"/>
  <c r="CY484" i="7949"/>
  <c r="CW484" i="7949"/>
  <c r="CV484" i="7949"/>
  <c r="C55" i="7948"/>
  <c r="C60" i="7948"/>
  <c r="H45" i="7948"/>
  <c r="AJ141" i="7950"/>
  <c r="AD141" i="7950" s="1"/>
  <c r="L45" i="7948"/>
  <c r="D55" i="7948"/>
  <c r="T43" i="7952"/>
  <c r="U43" i="7952" s="1"/>
  <c r="D43" i="7952" s="1"/>
  <c r="K46" i="7948"/>
  <c r="D60" i="7948"/>
  <c r="L46" i="7948"/>
  <c r="K45" i="7948"/>
  <c r="T45" i="7952"/>
  <c r="U45" i="7952" s="1"/>
  <c r="D45" i="7952" s="1"/>
  <c r="AJ157" i="7950"/>
  <c r="AD157" i="7950" s="1"/>
  <c r="AJ140" i="7950"/>
  <c r="D56" i="7948"/>
  <c r="G45" i="7948"/>
  <c r="G46" i="7948"/>
  <c r="D59" i="7948"/>
  <c r="H46" i="7948"/>
  <c r="C59" i="7948"/>
  <c r="AJ156" i="7950"/>
  <c r="C56" i="7948"/>
  <c r="T44" i="7952"/>
  <c r="U44" i="7952" s="1"/>
  <c r="D44" i="7952" s="1"/>
  <c r="T42" i="7952"/>
  <c r="U42" i="7952" s="1"/>
  <c r="D42" i="7952" s="1"/>
  <c r="K91" i="7950"/>
  <c r="AV91" i="7950"/>
  <c r="DA756" i="7949"/>
  <c r="CU755" i="7949"/>
  <c r="CT722" i="7949"/>
  <c r="CU711" i="7949"/>
  <c r="DA690" i="7949"/>
  <c r="CU689" i="7949"/>
  <c r="CY702" i="7949"/>
  <c r="CY774" i="7949"/>
  <c r="CW774" i="7949"/>
  <c r="DA376" i="7949"/>
  <c r="DA377" i="7949" s="1"/>
  <c r="CT383" i="7949"/>
  <c r="CU376" i="7949"/>
  <c r="EC504" i="7949"/>
  <c r="EG502" i="7949" s="1"/>
  <c r="DA470" i="7949"/>
  <c r="CU469" i="7949"/>
  <c r="DA106" i="7949"/>
  <c r="DA107" i="7949" s="1"/>
  <c r="DA108" i="7949" s="1"/>
  <c r="DA109" i="7949" s="1"/>
  <c r="CT107" i="7949"/>
  <c r="DA190" i="7949"/>
  <c r="CT191" i="7949"/>
  <c r="CT200" i="7949"/>
  <c r="DA205" i="7949"/>
  <c r="DA206" i="7949" s="1"/>
  <c r="DA207" i="7949" s="1"/>
  <c r="DA208" i="7949" s="1"/>
  <c r="CW737" i="7949"/>
  <c r="CV737" i="7949"/>
  <c r="CX737" i="7949"/>
  <c r="CY737" i="7949"/>
  <c r="CZ737" i="7949"/>
  <c r="CY701" i="7949"/>
  <c r="CX701" i="7949"/>
  <c r="CU460" i="7949"/>
  <c r="DA461" i="7949"/>
  <c r="CT436" i="7949"/>
  <c r="CU425" i="7949"/>
  <c r="CT434" i="7949"/>
  <c r="CU423" i="7949"/>
  <c r="DA491" i="7949"/>
  <c r="DA492" i="7949" s="1"/>
  <c r="CT496" i="7949"/>
  <c r="CU496" i="7949" s="1"/>
  <c r="CU491" i="7949"/>
  <c r="DA162" i="7949"/>
  <c r="CU161" i="7949"/>
  <c r="CU146" i="7949"/>
  <c r="CT345" i="7949"/>
  <c r="CU334" i="7949"/>
  <c r="DA347" i="7949"/>
  <c r="CU346" i="7949"/>
  <c r="CU129" i="7949"/>
  <c r="DA487" i="7949"/>
  <c r="CU487" i="7949" s="1"/>
  <c r="CU486" i="7949"/>
  <c r="AV75" i="7950"/>
  <c r="K75" i="7950"/>
  <c r="CT761" i="7949"/>
  <c r="CU761" i="7949" s="1"/>
  <c r="CU754" i="7949"/>
  <c r="DA41" i="7949"/>
  <c r="CT42" i="7949"/>
  <c r="DA53" i="7949"/>
  <c r="DA54" i="7949" s="1"/>
  <c r="DA55" i="7949" s="1"/>
  <c r="DA56" i="7949" s="1"/>
  <c r="DA57" i="7949" s="1"/>
  <c r="DA58" i="7949" s="1"/>
  <c r="CT54" i="7949"/>
  <c r="CT57" i="7949"/>
  <c r="DA86" i="7949"/>
  <c r="DA87" i="7949" s="1"/>
  <c r="DA88" i="7949" s="1"/>
  <c r="DA89" i="7949" s="1"/>
  <c r="DA90" i="7949" s="1"/>
  <c r="DA91" i="7949" s="1"/>
  <c r="CT608" i="7949"/>
  <c r="DA607" i="7949"/>
  <c r="DA608" i="7949" s="1"/>
  <c r="DA609" i="7949" s="1"/>
  <c r="DA610" i="7949" s="1"/>
  <c r="DA611" i="7949" s="1"/>
  <c r="DA612" i="7949" s="1"/>
  <c r="DA618" i="7949"/>
  <c r="DA619" i="7949" s="1"/>
  <c r="DA620" i="7949" s="1"/>
  <c r="DA621" i="7949" s="1"/>
  <c r="DA622" i="7949" s="1"/>
  <c r="DA623" i="7949" s="1"/>
  <c r="CT609" i="7949"/>
  <c r="CT214" i="7949"/>
  <c r="DA213" i="7949"/>
  <c r="CZ704" i="7949"/>
  <c r="CX704" i="7949"/>
  <c r="CV704" i="7949"/>
  <c r="CW704" i="7949"/>
  <c r="CY704" i="7949"/>
  <c r="CY726" i="7949"/>
  <c r="CZ726" i="7949"/>
  <c r="CX726" i="7949"/>
  <c r="CV726" i="7949"/>
  <c r="CW726" i="7949"/>
  <c r="CU386" i="7949"/>
  <c r="DA387" i="7949"/>
  <c r="CT681" i="7949"/>
  <c r="CU681" i="7949" s="1"/>
  <c r="DA676" i="7949"/>
  <c r="DA677" i="7949" s="1"/>
  <c r="CT653" i="7949"/>
  <c r="DA652" i="7949"/>
  <c r="DA660" i="7949"/>
  <c r="DA661" i="7949" s="1"/>
  <c r="DA662" i="7949" s="1"/>
  <c r="DA663" i="7949" s="1"/>
  <c r="CT661" i="7949"/>
  <c r="CU716" i="7949"/>
  <c r="DA717" i="7949"/>
  <c r="CT435" i="7949"/>
  <c r="CU424" i="7949"/>
  <c r="CT422" i="7949"/>
  <c r="DA411" i="7949"/>
  <c r="DA412" i="7949" s="1"/>
  <c r="CU498" i="7949"/>
  <c r="DA499" i="7949"/>
  <c r="CU499" i="7949" s="1"/>
  <c r="CU172" i="7949"/>
  <c r="DA173" i="7949"/>
  <c r="CU149" i="7949"/>
  <c r="CT160" i="7949"/>
  <c r="CT344" i="7949"/>
  <c r="CU333" i="7949"/>
  <c r="CT330" i="7949"/>
  <c r="DA319" i="7949"/>
  <c r="DA320" i="7949" s="1"/>
  <c r="DA122" i="7949"/>
  <c r="DA123" i="7949" s="1"/>
  <c r="CT127" i="7949"/>
  <c r="CU127" i="7949" s="1"/>
  <c r="CV477" i="7949"/>
  <c r="CW477" i="7949"/>
  <c r="CY477" i="7949"/>
  <c r="CX477" i="7949"/>
  <c r="CZ477" i="7949"/>
  <c r="CT752" i="7949"/>
  <c r="DA745" i="7949"/>
  <c r="DA746" i="7949" s="1"/>
  <c r="CU753" i="7949"/>
  <c r="CT760" i="7949"/>
  <c r="CU760" i="7949" s="1"/>
  <c r="CW700" i="7949"/>
  <c r="CZ700" i="7949"/>
  <c r="CT710" i="7949"/>
  <c r="CU699" i="7949"/>
  <c r="CU713" i="7949"/>
  <c r="CT724" i="7949"/>
  <c r="DA776" i="7949"/>
  <c r="CU776" i="7949" s="1"/>
  <c r="CU775" i="7949"/>
  <c r="CU683" i="7949"/>
  <c r="DA684" i="7949"/>
  <c r="CU684" i="7949" s="1"/>
  <c r="CU688" i="7949"/>
  <c r="EH765" i="2" l="1"/>
  <c r="CU147" i="7949"/>
  <c r="E124" i="7950"/>
  <c r="G124" i="7950"/>
  <c r="AT124" i="7950"/>
  <c r="AU124" i="7950" s="1"/>
  <c r="K124" i="7950" s="1"/>
  <c r="AR124" i="7950"/>
  <c r="AQ124" i="7950"/>
  <c r="AQ108" i="7950"/>
  <c r="AT108" i="7950"/>
  <c r="AU108" i="7950" s="1"/>
  <c r="I108" i="7950"/>
  <c r="E108" i="7950"/>
  <c r="AR108" i="7950"/>
  <c r="G108" i="7950"/>
  <c r="CV497" i="7949"/>
  <c r="DA728" i="7949"/>
  <c r="DA729" i="7949" s="1"/>
  <c r="CX483" i="7949"/>
  <c r="CV702" i="7949"/>
  <c r="CX700" i="7949"/>
  <c r="CY700" i="7949"/>
  <c r="CZ701" i="7949"/>
  <c r="CV701" i="7949"/>
  <c r="CV774" i="7949"/>
  <c r="CZ774" i="7949"/>
  <c r="CX703" i="7949"/>
  <c r="CU385" i="7949"/>
  <c r="CX385" i="7949" s="1"/>
  <c r="CT342" i="7949"/>
  <c r="CU342" i="7949" s="1"/>
  <c r="CZ468" i="7949"/>
  <c r="CZ682" i="7949"/>
  <c r="CZ702" i="7949"/>
  <c r="CW703" i="7949"/>
  <c r="CY483" i="7949"/>
  <c r="CV483" i="7949"/>
  <c r="CX468" i="7949"/>
  <c r="CW468" i="7949"/>
  <c r="CU128" i="7949"/>
  <c r="CV128" i="7949" s="1"/>
  <c r="CV682" i="7949"/>
  <c r="CW702" i="7949"/>
  <c r="CZ703" i="7949"/>
  <c r="CY703" i="7949"/>
  <c r="CZ483" i="7949"/>
  <c r="CV468" i="7949"/>
  <c r="CW682" i="7949"/>
  <c r="CX682" i="7949"/>
  <c r="CY497" i="7949"/>
  <c r="CZ497" i="7949"/>
  <c r="CW497" i="7949"/>
  <c r="CU122" i="7949"/>
  <c r="CZ122" i="7949" s="1"/>
  <c r="CU220" i="7949"/>
  <c r="CY220" i="7949" s="1"/>
  <c r="CU319" i="7949"/>
  <c r="CW319" i="7949" s="1"/>
  <c r="CU411" i="7949"/>
  <c r="CV411" i="7949" s="1"/>
  <c r="CU676" i="7949"/>
  <c r="CX676" i="7949" s="1"/>
  <c r="CU134" i="7949"/>
  <c r="CV134" i="7949" s="1"/>
  <c r="CW684" i="7949"/>
  <c r="CY684" i="7949"/>
  <c r="CV684" i="7949"/>
  <c r="CX684" i="7949"/>
  <c r="CZ684" i="7949"/>
  <c r="CZ699" i="7949"/>
  <c r="CX699" i="7949"/>
  <c r="CY699" i="7949"/>
  <c r="CW699" i="7949"/>
  <c r="CV699" i="7949"/>
  <c r="DA747" i="7949"/>
  <c r="CU746" i="7949"/>
  <c r="CZ499" i="7949"/>
  <c r="CW499" i="7949"/>
  <c r="CV499" i="7949"/>
  <c r="CY499" i="7949"/>
  <c r="CX499" i="7949"/>
  <c r="CY716" i="7949"/>
  <c r="CV716" i="7949"/>
  <c r="CX716" i="7949"/>
  <c r="CZ716" i="7949"/>
  <c r="CW716" i="7949"/>
  <c r="CU663" i="7949"/>
  <c r="DA664" i="7949"/>
  <c r="DA653" i="7949"/>
  <c r="DA654" i="7949" s="1"/>
  <c r="CT660" i="7949"/>
  <c r="CU653" i="7949"/>
  <c r="CX681" i="7949"/>
  <c r="CV681" i="7949"/>
  <c r="CW681" i="7949"/>
  <c r="CY681" i="7949"/>
  <c r="CZ681" i="7949"/>
  <c r="CX392" i="7949"/>
  <c r="CZ392" i="7949"/>
  <c r="CW392" i="7949"/>
  <c r="CY392" i="7949"/>
  <c r="CV392" i="7949"/>
  <c r="CV386" i="7949"/>
  <c r="CW386" i="7949"/>
  <c r="CZ386" i="7949"/>
  <c r="CY386" i="7949"/>
  <c r="CX386" i="7949"/>
  <c r="CT219" i="7949"/>
  <c r="CU219" i="7949" s="1"/>
  <c r="DA214" i="7949"/>
  <c r="DA215" i="7949" s="1"/>
  <c r="CT620" i="7949"/>
  <c r="CU609" i="7949"/>
  <c r="CU608" i="7949"/>
  <c r="CT619" i="7949"/>
  <c r="CU91" i="7949"/>
  <c r="DA92" i="7949"/>
  <c r="CU54" i="7949"/>
  <c r="CT65" i="7949"/>
  <c r="CT53" i="7949"/>
  <c r="DA42" i="7949"/>
  <c r="DA43" i="7949" s="1"/>
  <c r="CW754" i="7949"/>
  <c r="CZ754" i="7949"/>
  <c r="CY754" i="7949"/>
  <c r="CX754" i="7949"/>
  <c r="CV754" i="7949"/>
  <c r="CX486" i="7949"/>
  <c r="CZ486" i="7949"/>
  <c r="CY486" i="7949"/>
  <c r="CV486" i="7949"/>
  <c r="CW486" i="7949"/>
  <c r="CW129" i="7949"/>
  <c r="CY129" i="7949"/>
  <c r="CX129" i="7949"/>
  <c r="CZ129" i="7949"/>
  <c r="CV129" i="7949"/>
  <c r="CV346" i="7949"/>
  <c r="CW346" i="7949"/>
  <c r="CZ346" i="7949"/>
  <c r="CY346" i="7949"/>
  <c r="CX346" i="7949"/>
  <c r="CY334" i="7949"/>
  <c r="CX334" i="7949"/>
  <c r="CZ334" i="7949"/>
  <c r="CV334" i="7949"/>
  <c r="CW334" i="7949"/>
  <c r="CZ146" i="7949"/>
  <c r="CY146" i="7949"/>
  <c r="CX146" i="7949"/>
  <c r="CW146" i="7949"/>
  <c r="CV146" i="7949"/>
  <c r="CY161" i="7949"/>
  <c r="CZ161" i="7949"/>
  <c r="CX161" i="7949"/>
  <c r="CV161" i="7949"/>
  <c r="CW161" i="7949"/>
  <c r="CV491" i="7949"/>
  <c r="CX491" i="7949"/>
  <c r="CZ491" i="7949"/>
  <c r="CY491" i="7949"/>
  <c r="CW491" i="7949"/>
  <c r="DA493" i="7949"/>
  <c r="CU492" i="7949"/>
  <c r="CU434" i="7949"/>
  <c r="CT445" i="7949"/>
  <c r="CU436" i="7949"/>
  <c r="CT447" i="7949"/>
  <c r="CV460" i="7949"/>
  <c r="CY460" i="7949"/>
  <c r="CX460" i="7949"/>
  <c r="CZ460" i="7949"/>
  <c r="CW460" i="7949"/>
  <c r="DA209" i="7949"/>
  <c r="CU208" i="7949"/>
  <c r="DA191" i="7949"/>
  <c r="DA192" i="7949" s="1"/>
  <c r="CT198" i="7949"/>
  <c r="CT114" i="7949"/>
  <c r="CU114" i="7949" s="1"/>
  <c r="CU107" i="7949"/>
  <c r="DA110" i="7949"/>
  <c r="CU109" i="7949"/>
  <c r="CY469" i="7949"/>
  <c r="CX469" i="7949"/>
  <c r="CZ469" i="7949"/>
  <c r="CW469" i="7949"/>
  <c r="CV469" i="7949"/>
  <c r="CX128" i="7949"/>
  <c r="CW376" i="7949"/>
  <c r="CY376" i="7949"/>
  <c r="CZ376" i="7949"/>
  <c r="CV376" i="7949"/>
  <c r="CX376" i="7949"/>
  <c r="DA378" i="7949"/>
  <c r="CU377" i="7949"/>
  <c r="DA691" i="7949"/>
  <c r="CU690" i="7949"/>
  <c r="CU722" i="7949"/>
  <c r="CT733" i="7949"/>
  <c r="CU733" i="7949" s="1"/>
  <c r="DA757" i="7949"/>
  <c r="CU757" i="7949" s="1"/>
  <c r="CU756" i="7949"/>
  <c r="AB164" i="7950"/>
  <c r="AG159" i="7950"/>
  <c r="Z165" i="7950"/>
  <c r="AG161" i="7950"/>
  <c r="AB165" i="7950"/>
  <c r="AG160" i="7950"/>
  <c r="Z164" i="7950"/>
  <c r="AP155" i="7950"/>
  <c r="AH160" i="7950"/>
  <c r="AA165" i="7950"/>
  <c r="AH159" i="7950"/>
  <c r="AD156" i="7950"/>
  <c r="AA164" i="7950"/>
  <c r="AF157" i="7950"/>
  <c r="AG157" i="7950"/>
  <c r="CX357" i="7949"/>
  <c r="CV357" i="7949"/>
  <c r="CZ357" i="7949"/>
  <c r="CW357" i="7949"/>
  <c r="CY357" i="7949"/>
  <c r="CT156" i="7949"/>
  <c r="CU145" i="7949"/>
  <c r="CU184" i="7949"/>
  <c r="DA185" i="7949"/>
  <c r="CX148" i="7949"/>
  <c r="CV148" i="7949"/>
  <c r="CW148" i="7949"/>
  <c r="CY148" i="7949"/>
  <c r="CZ148" i="7949"/>
  <c r="CU439" i="7949"/>
  <c r="DA440" i="7949"/>
  <c r="CY714" i="7949"/>
  <c r="CV714" i="7949"/>
  <c r="CW714" i="7949"/>
  <c r="CX714" i="7949"/>
  <c r="CZ714" i="7949"/>
  <c r="CU670" i="7949"/>
  <c r="DA671" i="7949"/>
  <c r="DA395" i="7949"/>
  <c r="CU395" i="7949" s="1"/>
  <c r="CU394" i="7949"/>
  <c r="CZ384" i="7949"/>
  <c r="CY384" i="7949"/>
  <c r="CX384" i="7949"/>
  <c r="CV384" i="7949"/>
  <c r="CW384" i="7949"/>
  <c r="CW768" i="7949"/>
  <c r="CZ768" i="7949"/>
  <c r="CV768" i="7949"/>
  <c r="CX768" i="7949"/>
  <c r="CY768" i="7949"/>
  <c r="DA770" i="7949"/>
  <c r="CU769" i="7949"/>
  <c r="CZ727" i="7949"/>
  <c r="CW727" i="7949"/>
  <c r="CY727" i="7949"/>
  <c r="CX727" i="7949"/>
  <c r="CV727" i="7949"/>
  <c r="CY705" i="7949"/>
  <c r="CW705" i="7949"/>
  <c r="CX705" i="7949"/>
  <c r="CZ705" i="7949"/>
  <c r="CV705" i="7949"/>
  <c r="CU611" i="7949"/>
  <c r="CT622" i="7949"/>
  <c r="CT621" i="7949"/>
  <c r="CU610" i="7949"/>
  <c r="CT607" i="7949"/>
  <c r="DA596" i="7949"/>
  <c r="DA597" i="7949" s="1"/>
  <c r="CU55" i="7949"/>
  <c r="CT66" i="7949"/>
  <c r="CT67" i="7949"/>
  <c r="CU56" i="7949"/>
  <c r="CV762" i="7949"/>
  <c r="CW762" i="7949"/>
  <c r="CZ762" i="7949"/>
  <c r="CY762" i="7949"/>
  <c r="CX762" i="7949"/>
  <c r="CT354" i="7949"/>
  <c r="CU343" i="7949"/>
  <c r="CV335" i="7949"/>
  <c r="CY335" i="7949"/>
  <c r="CW335" i="7949"/>
  <c r="CZ335" i="7949"/>
  <c r="CX335" i="7949"/>
  <c r="CU369" i="7949"/>
  <c r="DA370" i="7949"/>
  <c r="CV150" i="7949"/>
  <c r="CW150" i="7949"/>
  <c r="CY150" i="7949"/>
  <c r="CZ150" i="7949"/>
  <c r="CX150" i="7949"/>
  <c r="CZ147" i="7949"/>
  <c r="CX147" i="7949"/>
  <c r="CV147" i="7949"/>
  <c r="CW147" i="7949"/>
  <c r="CY147" i="7949"/>
  <c r="CX427" i="7949"/>
  <c r="CZ427" i="7949"/>
  <c r="CW427" i="7949"/>
  <c r="CV427" i="7949"/>
  <c r="CY427" i="7949"/>
  <c r="DA451" i="7949"/>
  <c r="CU450" i="7949"/>
  <c r="CU437" i="7949"/>
  <c r="CT448" i="7949"/>
  <c r="CT734" i="7949"/>
  <c r="CU734" i="7949" s="1"/>
  <c r="CU723" i="7949"/>
  <c r="CW738" i="7949"/>
  <c r="CY738" i="7949"/>
  <c r="CV738" i="7949"/>
  <c r="CX738" i="7949"/>
  <c r="CZ738" i="7949"/>
  <c r="CT206" i="7949"/>
  <c r="CU206" i="7949" s="1"/>
  <c r="CU199" i="7949"/>
  <c r="CT115" i="7949"/>
  <c r="CU115" i="7949" s="1"/>
  <c r="CU108" i="7949"/>
  <c r="DA99" i="7949"/>
  <c r="DA100" i="7949" s="1"/>
  <c r="CT106" i="7949"/>
  <c r="CW482" i="7949"/>
  <c r="CV482" i="7949"/>
  <c r="CZ482" i="7949"/>
  <c r="CY482" i="7949"/>
  <c r="CX482" i="7949"/>
  <c r="CV480" i="7949"/>
  <c r="CX480" i="7949"/>
  <c r="CW480" i="7949"/>
  <c r="CZ480" i="7949"/>
  <c r="CY480" i="7949"/>
  <c r="CU406" i="7949"/>
  <c r="DA407" i="7949"/>
  <c r="CU407" i="7949" s="1"/>
  <c r="CU405" i="7949"/>
  <c r="CX775" i="7949"/>
  <c r="CZ775" i="7949"/>
  <c r="CW775" i="7949"/>
  <c r="CY775" i="7949"/>
  <c r="CV775" i="7949"/>
  <c r="CU724" i="7949"/>
  <c r="CT735" i="7949"/>
  <c r="CU735" i="7949" s="1"/>
  <c r="CY753" i="7949"/>
  <c r="CX753" i="7949"/>
  <c r="CV753" i="7949"/>
  <c r="CZ753" i="7949"/>
  <c r="CW753" i="7949"/>
  <c r="CZ127" i="7949"/>
  <c r="CY127" i="7949"/>
  <c r="CX127" i="7949"/>
  <c r="CV127" i="7949"/>
  <c r="CW127" i="7949"/>
  <c r="CT341" i="7949"/>
  <c r="CU330" i="7949"/>
  <c r="CU344" i="7949"/>
  <c r="CT355" i="7949"/>
  <c r="CT171" i="7949"/>
  <c r="CU160" i="7949"/>
  <c r="CU173" i="7949"/>
  <c r="DA174" i="7949"/>
  <c r="CU422" i="7949"/>
  <c r="CT433" i="7949"/>
  <c r="CT446" i="7949"/>
  <c r="CU435" i="7949"/>
  <c r="CV688" i="7949"/>
  <c r="CZ688" i="7949"/>
  <c r="CX688" i="7949"/>
  <c r="CW688" i="7949"/>
  <c r="CY688" i="7949"/>
  <c r="CY683" i="7949"/>
  <c r="CW683" i="7949"/>
  <c r="CX683" i="7949"/>
  <c r="CZ683" i="7949"/>
  <c r="CV683" i="7949"/>
  <c r="CZ776" i="7949"/>
  <c r="CX776" i="7949"/>
  <c r="CV776" i="7949"/>
  <c r="CW776" i="7949"/>
  <c r="CY776" i="7949"/>
  <c r="CV713" i="7949"/>
  <c r="CW713" i="7949"/>
  <c r="CY713" i="7949"/>
  <c r="CZ713" i="7949"/>
  <c r="CX713" i="7949"/>
  <c r="CT721" i="7949"/>
  <c r="CU710" i="7949"/>
  <c r="CV760" i="7949"/>
  <c r="CW760" i="7949"/>
  <c r="CZ760" i="7949"/>
  <c r="CY760" i="7949"/>
  <c r="CX760" i="7949"/>
  <c r="CT759" i="7949"/>
  <c r="CU759" i="7949" s="1"/>
  <c r="CU752" i="7949"/>
  <c r="DA124" i="7949"/>
  <c r="CU123" i="7949"/>
  <c r="DA321" i="7949"/>
  <c r="CU320" i="7949"/>
  <c r="CZ333" i="7949"/>
  <c r="CX333" i="7949"/>
  <c r="CV333" i="7949"/>
  <c r="CY333" i="7949"/>
  <c r="CW333" i="7949"/>
  <c r="CW149" i="7949"/>
  <c r="CZ149" i="7949"/>
  <c r="CX149" i="7949"/>
  <c r="CV149" i="7949"/>
  <c r="CY149" i="7949"/>
  <c r="CW172" i="7949"/>
  <c r="CY172" i="7949"/>
  <c r="CZ172" i="7949"/>
  <c r="CX172" i="7949"/>
  <c r="CV172" i="7949"/>
  <c r="CZ498" i="7949"/>
  <c r="CY498" i="7949"/>
  <c r="CX498" i="7949"/>
  <c r="CV498" i="7949"/>
  <c r="CW498" i="7949"/>
  <c r="DA413" i="7949"/>
  <c r="CU412" i="7949"/>
  <c r="CW424" i="7949"/>
  <c r="CV424" i="7949"/>
  <c r="CY424" i="7949"/>
  <c r="CZ424" i="7949"/>
  <c r="CX424" i="7949"/>
  <c r="DA718" i="7949"/>
  <c r="CU717" i="7949"/>
  <c r="CT668" i="7949"/>
  <c r="CU668" i="7949" s="1"/>
  <c r="CU661" i="7949"/>
  <c r="DA678" i="7949"/>
  <c r="CU677" i="7949"/>
  <c r="CU387" i="7949"/>
  <c r="DA388" i="7949"/>
  <c r="CU388" i="7949" s="1"/>
  <c r="DA624" i="7949"/>
  <c r="CU623" i="7949"/>
  <c r="DA613" i="7949"/>
  <c r="CU612" i="7949"/>
  <c r="CT68" i="7949"/>
  <c r="CU57" i="7949"/>
  <c r="CU58" i="7949"/>
  <c r="DA59" i="7949"/>
  <c r="CV761" i="7949"/>
  <c r="CX761" i="7949"/>
  <c r="CY761" i="7949"/>
  <c r="CW761" i="7949"/>
  <c r="CZ761" i="7949"/>
  <c r="AX75" i="7950"/>
  <c r="AZ75" i="7950"/>
  <c r="M75" i="7950"/>
  <c r="AY75" i="7950"/>
  <c r="AW75" i="7950"/>
  <c r="AP76" i="7950"/>
  <c r="CV487" i="7949"/>
  <c r="CY487" i="7949"/>
  <c r="CX487" i="7949"/>
  <c r="CZ487" i="7949"/>
  <c r="CW487" i="7949"/>
  <c r="CZ130" i="7949"/>
  <c r="CV130" i="7949"/>
  <c r="CY130" i="7949"/>
  <c r="CX130" i="7949"/>
  <c r="CW130" i="7949"/>
  <c r="DA348" i="7949"/>
  <c r="CU347" i="7949"/>
  <c r="CW331" i="7949"/>
  <c r="CY331" i="7949"/>
  <c r="CV331" i="7949"/>
  <c r="CZ331" i="7949"/>
  <c r="CX331" i="7949"/>
  <c r="CU345" i="7949"/>
  <c r="CT356" i="7949"/>
  <c r="CT168" i="7949"/>
  <c r="CU157" i="7949"/>
  <c r="DA163" i="7949"/>
  <c r="CU162" i="7949"/>
  <c r="CV496" i="7949"/>
  <c r="CX496" i="7949"/>
  <c r="CY496" i="7949"/>
  <c r="CW496" i="7949"/>
  <c r="CZ496" i="7949"/>
  <c r="CX423" i="7949"/>
  <c r="CV423" i="7949"/>
  <c r="CW423" i="7949"/>
  <c r="CZ423" i="7949"/>
  <c r="CY423" i="7949"/>
  <c r="CV425" i="7949"/>
  <c r="CW425" i="7949"/>
  <c r="CZ425" i="7949"/>
  <c r="CY425" i="7949"/>
  <c r="CX425" i="7949"/>
  <c r="DA462" i="7949"/>
  <c r="CU461" i="7949"/>
  <c r="CU200" i="7949"/>
  <c r="CT207" i="7949"/>
  <c r="CU207" i="7949" s="1"/>
  <c r="DA471" i="7949"/>
  <c r="CU470" i="7949"/>
  <c r="CU383" i="7949"/>
  <c r="CT390" i="7949"/>
  <c r="CU390" i="7949" s="1"/>
  <c r="CY689" i="7949"/>
  <c r="CZ689" i="7949"/>
  <c r="CV689" i="7949"/>
  <c r="CX689" i="7949"/>
  <c r="CW689" i="7949"/>
  <c r="CX711" i="7949"/>
  <c r="CZ711" i="7949"/>
  <c r="CW711" i="7949"/>
  <c r="CV711" i="7949"/>
  <c r="CY711" i="7949"/>
  <c r="CX755" i="7949"/>
  <c r="CY755" i="7949"/>
  <c r="CZ755" i="7949"/>
  <c r="CV755" i="7949"/>
  <c r="CW755" i="7949"/>
  <c r="AZ91" i="7950"/>
  <c r="M91" i="7950"/>
  <c r="AY91" i="7950"/>
  <c r="AP92" i="7950" s="1"/>
  <c r="AW91" i="7950"/>
  <c r="AX91" i="7950"/>
  <c r="AG145" i="7950"/>
  <c r="Z149" i="7950"/>
  <c r="AG143" i="7950"/>
  <c r="Z148" i="7950"/>
  <c r="AH143" i="7950"/>
  <c r="AP139" i="7950"/>
  <c r="AD140" i="7950"/>
  <c r="AG144" i="7950"/>
  <c r="AA149" i="7950"/>
  <c r="AH144" i="7950"/>
  <c r="AB149" i="7950"/>
  <c r="AB148" i="7950"/>
  <c r="AA148" i="7950"/>
  <c r="AF141" i="7950"/>
  <c r="AG141" i="7950"/>
  <c r="CU358" i="7949"/>
  <c r="DA359" i="7949"/>
  <c r="DA136" i="7949"/>
  <c r="CU135" i="7949"/>
  <c r="CX183" i="7949"/>
  <c r="CV183" i="7949"/>
  <c r="CW183" i="7949"/>
  <c r="CY183" i="7949"/>
  <c r="CZ183" i="7949"/>
  <c r="CT170" i="7949"/>
  <c r="CU159" i="7949"/>
  <c r="CY438" i="7949"/>
  <c r="CW438" i="7949"/>
  <c r="CZ438" i="7949"/>
  <c r="CX438" i="7949"/>
  <c r="CV438" i="7949"/>
  <c r="CT736" i="7949"/>
  <c r="CU736" i="7949" s="1"/>
  <c r="CU725" i="7949"/>
  <c r="CT669" i="7949"/>
  <c r="CU669" i="7949" s="1"/>
  <c r="CU662" i="7949"/>
  <c r="CY393" i="7949"/>
  <c r="CZ393" i="7949"/>
  <c r="CW393" i="7949"/>
  <c r="CX393" i="7949"/>
  <c r="CV393" i="7949"/>
  <c r="CV391" i="7949"/>
  <c r="CY391" i="7949"/>
  <c r="CW391" i="7949"/>
  <c r="CZ391" i="7949"/>
  <c r="CX391" i="7949"/>
  <c r="CV773" i="7949"/>
  <c r="CY773" i="7949"/>
  <c r="CZ773" i="7949"/>
  <c r="CX773" i="7949"/>
  <c r="CW773" i="7949"/>
  <c r="CU728" i="7949"/>
  <c r="CU706" i="7949"/>
  <c r="DA707" i="7949"/>
  <c r="CU221" i="7949"/>
  <c r="DA222" i="7949"/>
  <c r="CU222" i="7949" s="1"/>
  <c r="CU645" i="7949"/>
  <c r="DA646" i="7949"/>
  <c r="DA635" i="7949"/>
  <c r="CU634" i="7949"/>
  <c r="DA70" i="7949"/>
  <c r="CU69" i="7949"/>
  <c r="DA81" i="7949"/>
  <c r="CU80" i="7949"/>
  <c r="CU763" i="7949"/>
  <c r="DA764" i="7949"/>
  <c r="CU764" i="7949" s="1"/>
  <c r="CY332" i="7949"/>
  <c r="CV332" i="7949"/>
  <c r="CX332" i="7949"/>
  <c r="CZ332" i="7949"/>
  <c r="CW332" i="7949"/>
  <c r="DA337" i="7949"/>
  <c r="CU336" i="7949"/>
  <c r="CW368" i="7949"/>
  <c r="CV368" i="7949"/>
  <c r="CX368" i="7949"/>
  <c r="CZ368" i="7949"/>
  <c r="CY368" i="7949"/>
  <c r="CU151" i="7949"/>
  <c r="DA152" i="7949"/>
  <c r="CU158" i="7949"/>
  <c r="CT169" i="7949"/>
  <c r="DA429" i="7949"/>
  <c r="CU428" i="7949"/>
  <c r="CV449" i="7949"/>
  <c r="CW449" i="7949"/>
  <c r="CZ449" i="7949"/>
  <c r="CY449" i="7949"/>
  <c r="CX449" i="7949"/>
  <c r="CZ426" i="7949"/>
  <c r="CX426" i="7949"/>
  <c r="CV426" i="7949"/>
  <c r="CW426" i="7949"/>
  <c r="CY426" i="7949"/>
  <c r="CY712" i="7949"/>
  <c r="CW712" i="7949"/>
  <c r="CX712" i="7949"/>
  <c r="CV712" i="7949"/>
  <c r="CZ712" i="7949"/>
  <c r="CU739" i="7949"/>
  <c r="DA740" i="7949"/>
  <c r="DA202" i="7949"/>
  <c r="CU201" i="7949"/>
  <c r="CU116" i="7949"/>
  <c r="DA117" i="7949"/>
  <c r="CV475" i="7949"/>
  <c r="CY475" i="7949"/>
  <c r="CZ475" i="7949"/>
  <c r="CW475" i="7949"/>
  <c r="CX475" i="7949"/>
  <c r="DA399" i="7949"/>
  <c r="DA400" i="7949" s="1"/>
  <c r="CT404" i="7949"/>
  <c r="CU404" i="7949" s="1"/>
  <c r="CW479" i="7949"/>
  <c r="CY479" i="7949"/>
  <c r="CZ479" i="7949"/>
  <c r="CX479" i="7949"/>
  <c r="CV479" i="7949"/>
  <c r="CU745" i="7949"/>
  <c r="AV124" i="7950" l="1"/>
  <c r="M124" i="7950" s="1"/>
  <c r="CW220" i="7949"/>
  <c r="CT353" i="7949"/>
  <c r="AV108" i="7950"/>
  <c r="K108" i="7950"/>
  <c r="CV319" i="7949"/>
  <c r="CV385" i="7949"/>
  <c r="CU399" i="7949"/>
  <c r="CZ385" i="7949"/>
  <c r="CV122" i="7949"/>
  <c r="CX411" i="7949"/>
  <c r="CV220" i="7949"/>
  <c r="CY128" i="7949"/>
  <c r="CW385" i="7949"/>
  <c r="CY385" i="7949"/>
  <c r="CY122" i="7949"/>
  <c r="CW122" i="7949"/>
  <c r="CZ411" i="7949"/>
  <c r="CW411" i="7949"/>
  <c r="CZ220" i="7949"/>
  <c r="CY134" i="7949"/>
  <c r="CW128" i="7949"/>
  <c r="CZ128" i="7949"/>
  <c r="CZ319" i="7949"/>
  <c r="CX319" i="7949"/>
  <c r="CY319" i="7949"/>
  <c r="CY676" i="7949"/>
  <c r="CZ676" i="7949"/>
  <c r="CX122" i="7949"/>
  <c r="CY411" i="7949"/>
  <c r="CX220" i="7949"/>
  <c r="CW134" i="7949"/>
  <c r="CZ134" i="7949"/>
  <c r="CX134" i="7949"/>
  <c r="CU42" i="7949"/>
  <c r="CV676" i="7949"/>
  <c r="CW676" i="7949"/>
  <c r="CU99" i="7949"/>
  <c r="CZ745" i="7949"/>
  <c r="CW745" i="7949"/>
  <c r="CV745" i="7949"/>
  <c r="CX745" i="7949"/>
  <c r="CY745" i="7949"/>
  <c r="CV404" i="7949"/>
  <c r="CZ404" i="7949"/>
  <c r="CW404" i="7949"/>
  <c r="CX404" i="7949"/>
  <c r="CY404" i="7949"/>
  <c r="CY116" i="7949"/>
  <c r="CW116" i="7949"/>
  <c r="CX116" i="7949"/>
  <c r="CZ116" i="7949"/>
  <c r="CV116" i="7949"/>
  <c r="DA203" i="7949"/>
  <c r="CU203" i="7949" s="1"/>
  <c r="CU202" i="7949"/>
  <c r="CZ739" i="7949"/>
  <c r="CX739" i="7949"/>
  <c r="CV739" i="7949"/>
  <c r="CW739" i="7949"/>
  <c r="CY739" i="7949"/>
  <c r="CX428" i="7949"/>
  <c r="CZ428" i="7949"/>
  <c r="CV428" i="7949"/>
  <c r="CY428" i="7949"/>
  <c r="CW428" i="7949"/>
  <c r="CU169" i="7949"/>
  <c r="CT180" i="7949"/>
  <c r="CU180" i="7949" s="1"/>
  <c r="CU152" i="7949"/>
  <c r="DA153" i="7949"/>
  <c r="DA338" i="7949"/>
  <c r="CU337" i="7949"/>
  <c r="CW764" i="7949"/>
  <c r="CZ764" i="7949"/>
  <c r="CX764" i="7949"/>
  <c r="CY764" i="7949"/>
  <c r="CV764" i="7949"/>
  <c r="CY80" i="7949"/>
  <c r="CZ80" i="7949"/>
  <c r="CX80" i="7949"/>
  <c r="CV80" i="7949"/>
  <c r="CW80" i="7949"/>
  <c r="CY69" i="7949"/>
  <c r="CZ69" i="7949"/>
  <c r="CX69" i="7949"/>
  <c r="CW69" i="7949"/>
  <c r="CV69" i="7949"/>
  <c r="DA636" i="7949"/>
  <c r="CU635" i="7949"/>
  <c r="CX645" i="7949"/>
  <c r="CY645" i="7949"/>
  <c r="CW645" i="7949"/>
  <c r="CV645" i="7949"/>
  <c r="CZ645" i="7949"/>
  <c r="CX221" i="7949"/>
  <c r="CV221" i="7949"/>
  <c r="CY221" i="7949"/>
  <c r="CZ221" i="7949"/>
  <c r="CW221" i="7949"/>
  <c r="CV706" i="7949"/>
  <c r="CW706" i="7949"/>
  <c r="CX706" i="7949"/>
  <c r="CZ706" i="7949"/>
  <c r="CY706" i="7949"/>
  <c r="CU729" i="7949"/>
  <c r="DA730" i="7949"/>
  <c r="CU730" i="7949" s="1"/>
  <c r="CZ662" i="7949"/>
  <c r="CW662" i="7949"/>
  <c r="CV662" i="7949"/>
  <c r="CX662" i="7949"/>
  <c r="CY662" i="7949"/>
  <c r="CZ725" i="7949"/>
  <c r="CW725" i="7949"/>
  <c r="CY725" i="7949"/>
  <c r="CV725" i="7949"/>
  <c r="CX725" i="7949"/>
  <c r="CU170" i="7949"/>
  <c r="CT181" i="7949"/>
  <c r="CU181" i="7949" s="1"/>
  <c r="CX135" i="7949"/>
  <c r="CV135" i="7949"/>
  <c r="CW135" i="7949"/>
  <c r="CZ135" i="7949"/>
  <c r="CY135" i="7949"/>
  <c r="CU359" i="7949"/>
  <c r="DA360" i="7949"/>
  <c r="AG140" i="7950"/>
  <c r="AG146" i="7950" s="1"/>
  <c r="AG147" i="7950" s="1"/>
  <c r="O137" i="7950" s="1"/>
  <c r="AF140" i="7950"/>
  <c r="CX390" i="7949"/>
  <c r="CZ390" i="7949"/>
  <c r="CV390" i="7949"/>
  <c r="CW390" i="7949"/>
  <c r="CY390" i="7949"/>
  <c r="CX470" i="7949"/>
  <c r="CY470" i="7949"/>
  <c r="CW470" i="7949"/>
  <c r="CZ470" i="7949"/>
  <c r="CV470" i="7949"/>
  <c r="CV207" i="7949"/>
  <c r="CX207" i="7949"/>
  <c r="CZ207" i="7949"/>
  <c r="CY207" i="7949"/>
  <c r="CW207" i="7949"/>
  <c r="CX461" i="7949"/>
  <c r="CZ461" i="7949"/>
  <c r="CY461" i="7949"/>
  <c r="CW461" i="7949"/>
  <c r="CV461" i="7949"/>
  <c r="DA164" i="7949"/>
  <c r="CU163" i="7949"/>
  <c r="CU168" i="7949"/>
  <c r="CT179" i="7949"/>
  <c r="CU179" i="7949" s="1"/>
  <c r="CX345" i="7949"/>
  <c r="CZ345" i="7949"/>
  <c r="CY345" i="7949"/>
  <c r="CW345" i="7949"/>
  <c r="CV345" i="7949"/>
  <c r="CZ347" i="7949"/>
  <c r="CY347" i="7949"/>
  <c r="CW347" i="7949"/>
  <c r="CV347" i="7949"/>
  <c r="CX347" i="7949"/>
  <c r="AR76" i="7950"/>
  <c r="G76" i="7950"/>
  <c r="E76" i="7950"/>
  <c r="AQ76" i="7950"/>
  <c r="I76" i="7950"/>
  <c r="AT76" i="7950"/>
  <c r="AU76" i="7950" s="1"/>
  <c r="CV58" i="7949"/>
  <c r="CW58" i="7949"/>
  <c r="CX58" i="7949"/>
  <c r="CZ58" i="7949"/>
  <c r="CY58" i="7949"/>
  <c r="CT79" i="7949"/>
  <c r="CU68" i="7949"/>
  <c r="CU613" i="7949"/>
  <c r="DA614" i="7949"/>
  <c r="DA625" i="7949"/>
  <c r="CU624" i="7949"/>
  <c r="CY387" i="7949"/>
  <c r="CX387" i="7949"/>
  <c r="CV387" i="7949"/>
  <c r="CZ387" i="7949"/>
  <c r="CW387" i="7949"/>
  <c r="CW677" i="7949"/>
  <c r="CY677" i="7949"/>
  <c r="CZ677" i="7949"/>
  <c r="CX677" i="7949"/>
  <c r="CV677" i="7949"/>
  <c r="CW661" i="7949"/>
  <c r="CZ661" i="7949"/>
  <c r="CX661" i="7949"/>
  <c r="CY661" i="7949"/>
  <c r="CV661" i="7949"/>
  <c r="CX717" i="7949"/>
  <c r="CV717" i="7949"/>
  <c r="CZ717" i="7949"/>
  <c r="CY717" i="7949"/>
  <c r="CW717" i="7949"/>
  <c r="DA414" i="7949"/>
  <c r="CU413" i="7949"/>
  <c r="DA322" i="7949"/>
  <c r="CU321" i="7949"/>
  <c r="DA125" i="7949"/>
  <c r="CU125" i="7949" s="1"/>
  <c r="CU124" i="7949"/>
  <c r="CY752" i="7949"/>
  <c r="CV752" i="7949"/>
  <c r="CW752" i="7949"/>
  <c r="CX752" i="7949"/>
  <c r="CZ752" i="7949"/>
  <c r="CT732" i="7949"/>
  <c r="CU732" i="7949" s="1"/>
  <c r="CU721" i="7949"/>
  <c r="CT457" i="7949"/>
  <c r="CU457" i="7949" s="1"/>
  <c r="CU446" i="7949"/>
  <c r="CW422" i="7949"/>
  <c r="CV422" i="7949"/>
  <c r="CX422" i="7949"/>
  <c r="CY422" i="7949"/>
  <c r="CZ422" i="7949"/>
  <c r="DA175" i="7949"/>
  <c r="CU174" i="7949"/>
  <c r="CZ160" i="7949"/>
  <c r="CW160" i="7949"/>
  <c r="CV160" i="7949"/>
  <c r="CY160" i="7949"/>
  <c r="CX160" i="7949"/>
  <c r="CT366" i="7949"/>
  <c r="CU366" i="7949" s="1"/>
  <c r="CU355" i="7949"/>
  <c r="CX330" i="7949"/>
  <c r="CZ330" i="7949"/>
  <c r="CY330" i="7949"/>
  <c r="CW330" i="7949"/>
  <c r="CV330" i="7949"/>
  <c r="CW724" i="7949"/>
  <c r="CV724" i="7949"/>
  <c r="CX724" i="7949"/>
  <c r="CY724" i="7949"/>
  <c r="CZ724" i="7949"/>
  <c r="CV405" i="7949"/>
  <c r="CW405" i="7949"/>
  <c r="CY405" i="7949"/>
  <c r="CX405" i="7949"/>
  <c r="CZ405" i="7949"/>
  <c r="CY406" i="7949"/>
  <c r="CW406" i="7949"/>
  <c r="CZ406" i="7949"/>
  <c r="CV406" i="7949"/>
  <c r="CX406" i="7949"/>
  <c r="CW99" i="7949"/>
  <c r="CX99" i="7949"/>
  <c r="CY99" i="7949"/>
  <c r="CV99" i="7949"/>
  <c r="CZ99" i="7949"/>
  <c r="CY108" i="7949"/>
  <c r="CX108" i="7949"/>
  <c r="CV108" i="7949"/>
  <c r="CZ108" i="7949"/>
  <c r="CW108" i="7949"/>
  <c r="CX199" i="7949"/>
  <c r="CZ199" i="7949"/>
  <c r="CV199" i="7949"/>
  <c r="CY199" i="7949"/>
  <c r="CW199" i="7949"/>
  <c r="CZ734" i="7949"/>
  <c r="CW734" i="7949"/>
  <c r="CY734" i="7949"/>
  <c r="CV734" i="7949"/>
  <c r="CX734" i="7949"/>
  <c r="CW437" i="7949"/>
  <c r="CZ437" i="7949"/>
  <c r="CX437" i="7949"/>
  <c r="CY437" i="7949"/>
  <c r="CV437" i="7949"/>
  <c r="DA452" i="7949"/>
  <c r="CU451" i="7949"/>
  <c r="DA371" i="7949"/>
  <c r="CU370" i="7949"/>
  <c r="CT365" i="7949"/>
  <c r="CU365" i="7949" s="1"/>
  <c r="CU354" i="7949"/>
  <c r="CV56" i="7949"/>
  <c r="CW56" i="7949"/>
  <c r="CX56" i="7949"/>
  <c r="CZ56" i="7949"/>
  <c r="CY56" i="7949"/>
  <c r="CU66" i="7949"/>
  <c r="CT77" i="7949"/>
  <c r="DA598" i="7949"/>
  <c r="CU597" i="7949"/>
  <c r="CU607" i="7949"/>
  <c r="CT618" i="7949"/>
  <c r="CU621" i="7949"/>
  <c r="CT632" i="7949"/>
  <c r="CW611" i="7949"/>
  <c r="CY611" i="7949"/>
  <c r="CV611" i="7949"/>
  <c r="CX611" i="7949"/>
  <c r="CZ611" i="7949"/>
  <c r="CX769" i="7949"/>
  <c r="CZ769" i="7949"/>
  <c r="CY769" i="7949"/>
  <c r="CV769" i="7949"/>
  <c r="CW769" i="7949"/>
  <c r="CZ394" i="7949"/>
  <c r="CX394" i="7949"/>
  <c r="CV394" i="7949"/>
  <c r="CW394" i="7949"/>
  <c r="CY394" i="7949"/>
  <c r="DA672" i="7949"/>
  <c r="CU672" i="7949" s="1"/>
  <c r="CU671" i="7949"/>
  <c r="CZ439" i="7949"/>
  <c r="CX439" i="7949"/>
  <c r="CY439" i="7949"/>
  <c r="CW439" i="7949"/>
  <c r="CV439" i="7949"/>
  <c r="CU185" i="7949"/>
  <c r="DA186" i="7949"/>
  <c r="CZ145" i="7949"/>
  <c r="CY145" i="7949"/>
  <c r="CV145" i="7949"/>
  <c r="CX145" i="7949"/>
  <c r="CW145" i="7949"/>
  <c r="CV757" i="7949"/>
  <c r="CW757" i="7949"/>
  <c r="CZ757" i="7949"/>
  <c r="CX757" i="7949"/>
  <c r="CY757" i="7949"/>
  <c r="CY722" i="7949"/>
  <c r="CZ722" i="7949"/>
  <c r="CX722" i="7949"/>
  <c r="CV722" i="7949"/>
  <c r="CW722" i="7949"/>
  <c r="DA692" i="7949"/>
  <c r="CU691" i="7949"/>
  <c r="DA379" i="7949"/>
  <c r="CU378" i="7949"/>
  <c r="CZ109" i="7949"/>
  <c r="CX109" i="7949"/>
  <c r="CV109" i="7949"/>
  <c r="CY109" i="7949"/>
  <c r="CW109" i="7949"/>
  <c r="CZ107" i="7949"/>
  <c r="CW107" i="7949"/>
  <c r="CY107" i="7949"/>
  <c r="CX107" i="7949"/>
  <c r="CV107" i="7949"/>
  <c r="CT205" i="7949"/>
  <c r="CU205" i="7949" s="1"/>
  <c r="CU198" i="7949"/>
  <c r="DA193" i="7949"/>
  <c r="CU192" i="7949"/>
  <c r="DA210" i="7949"/>
  <c r="CU210" i="7949" s="1"/>
  <c r="CU209" i="7949"/>
  <c r="CU447" i="7949"/>
  <c r="CT458" i="7949"/>
  <c r="CU458" i="7949" s="1"/>
  <c r="CT456" i="7949"/>
  <c r="CU456" i="7949" s="1"/>
  <c r="CU445" i="7949"/>
  <c r="CZ492" i="7949"/>
  <c r="CX492" i="7949"/>
  <c r="CY492" i="7949"/>
  <c r="CV492" i="7949"/>
  <c r="CW492" i="7949"/>
  <c r="CZ342" i="7949"/>
  <c r="CY342" i="7949"/>
  <c r="CX342" i="7949"/>
  <c r="CV342" i="7949"/>
  <c r="CW342" i="7949"/>
  <c r="CY42" i="7949"/>
  <c r="CZ42" i="7949"/>
  <c r="CX42" i="7949"/>
  <c r="CV42" i="7949"/>
  <c r="CW42" i="7949"/>
  <c r="CU53" i="7949"/>
  <c r="CT64" i="7949"/>
  <c r="CX54" i="7949"/>
  <c r="CV54" i="7949"/>
  <c r="CY54" i="7949"/>
  <c r="CW54" i="7949"/>
  <c r="CZ54" i="7949"/>
  <c r="CX91" i="7949"/>
  <c r="CV91" i="7949"/>
  <c r="CW91" i="7949"/>
  <c r="CY91" i="7949"/>
  <c r="CZ91" i="7949"/>
  <c r="CW608" i="7949"/>
  <c r="CY608" i="7949"/>
  <c r="CZ608" i="7949"/>
  <c r="CX608" i="7949"/>
  <c r="CV608" i="7949"/>
  <c r="CU620" i="7949"/>
  <c r="CT631" i="7949"/>
  <c r="DA216" i="7949"/>
  <c r="CU215" i="7949"/>
  <c r="CY653" i="7949"/>
  <c r="CZ653" i="7949"/>
  <c r="CX653" i="7949"/>
  <c r="CV653" i="7949"/>
  <c r="CW653" i="7949"/>
  <c r="DA655" i="7949"/>
  <c r="CU654" i="7949"/>
  <c r="CX663" i="7949"/>
  <c r="CY663" i="7949"/>
  <c r="CV663" i="7949"/>
  <c r="CW663" i="7949"/>
  <c r="CZ663" i="7949"/>
  <c r="DA748" i="7949"/>
  <c r="CU747" i="7949"/>
  <c r="CZ399" i="7949"/>
  <c r="CY399" i="7949"/>
  <c r="CW399" i="7949"/>
  <c r="CV399" i="7949"/>
  <c r="CX399" i="7949"/>
  <c r="DA401" i="7949"/>
  <c r="CU400" i="7949"/>
  <c r="CU117" i="7949"/>
  <c r="DA118" i="7949"/>
  <c r="CU118" i="7949" s="1"/>
  <c r="CW201" i="7949"/>
  <c r="CZ201" i="7949"/>
  <c r="CX201" i="7949"/>
  <c r="CY201" i="7949"/>
  <c r="CV201" i="7949"/>
  <c r="DA741" i="7949"/>
  <c r="CU741" i="7949" s="1"/>
  <c r="CU740" i="7949"/>
  <c r="CU429" i="7949"/>
  <c r="DA430" i="7949"/>
  <c r="CY158" i="7949"/>
  <c r="CV158" i="7949"/>
  <c r="CX158" i="7949"/>
  <c r="CW158" i="7949"/>
  <c r="CZ158" i="7949"/>
  <c r="CZ151" i="7949"/>
  <c r="CW151" i="7949"/>
  <c r="CY151" i="7949"/>
  <c r="CV151" i="7949"/>
  <c r="CX151" i="7949"/>
  <c r="CV336" i="7949"/>
  <c r="CX336" i="7949"/>
  <c r="CW336" i="7949"/>
  <c r="CZ336" i="7949"/>
  <c r="CY336" i="7949"/>
  <c r="CV763" i="7949"/>
  <c r="CX763" i="7949"/>
  <c r="CZ763" i="7949"/>
  <c r="CW763" i="7949"/>
  <c r="CY763" i="7949"/>
  <c r="DA82" i="7949"/>
  <c r="CU81" i="7949"/>
  <c r="DA71" i="7949"/>
  <c r="CU70" i="7949"/>
  <c r="CV634" i="7949"/>
  <c r="CZ634" i="7949"/>
  <c r="CY634" i="7949"/>
  <c r="CW634" i="7949"/>
  <c r="CX634" i="7949"/>
  <c r="CU646" i="7949"/>
  <c r="DA647" i="7949"/>
  <c r="CW222" i="7949"/>
  <c r="CY222" i="7949"/>
  <c r="CX222" i="7949"/>
  <c r="CZ222" i="7949"/>
  <c r="CV222" i="7949"/>
  <c r="CU707" i="7949"/>
  <c r="DA708" i="7949"/>
  <c r="CU708" i="7949" s="1"/>
  <c r="CZ728" i="7949"/>
  <c r="CX728" i="7949"/>
  <c r="CY728" i="7949"/>
  <c r="CW728" i="7949"/>
  <c r="CV728" i="7949"/>
  <c r="CZ669" i="7949"/>
  <c r="CY669" i="7949"/>
  <c r="CX669" i="7949"/>
  <c r="CW669" i="7949"/>
  <c r="CV669" i="7949"/>
  <c r="CY736" i="7949"/>
  <c r="CW736" i="7949"/>
  <c r="CX736" i="7949"/>
  <c r="CZ736" i="7949"/>
  <c r="CV736" i="7949"/>
  <c r="CZ159" i="7949"/>
  <c r="CX159" i="7949"/>
  <c r="CV159" i="7949"/>
  <c r="CW159" i="7949"/>
  <c r="CY159" i="7949"/>
  <c r="DA137" i="7949"/>
  <c r="CU136" i="7949"/>
  <c r="CV358" i="7949"/>
  <c r="CX358" i="7949"/>
  <c r="CZ358" i="7949"/>
  <c r="CY358" i="7949"/>
  <c r="CW358" i="7949"/>
  <c r="AQ139" i="7950"/>
  <c r="E139" i="7950"/>
  <c r="G139" i="7950"/>
  <c r="I139" i="7950"/>
  <c r="AT139" i="7950"/>
  <c r="AU139" i="7950" s="1"/>
  <c r="AR139" i="7950"/>
  <c r="G92" i="7950"/>
  <c r="E92" i="7950"/>
  <c r="AT92" i="7950"/>
  <c r="AU92" i="7950" s="1"/>
  <c r="AR92" i="7950"/>
  <c r="I92" i="7950"/>
  <c r="AQ92" i="7950"/>
  <c r="CW383" i="7949"/>
  <c r="CY383" i="7949"/>
  <c r="CX383" i="7949"/>
  <c r="CZ383" i="7949"/>
  <c r="CV383" i="7949"/>
  <c r="CU471" i="7949"/>
  <c r="DA472" i="7949"/>
  <c r="CW200" i="7949"/>
  <c r="CX200" i="7949"/>
  <c r="CV200" i="7949"/>
  <c r="CY200" i="7949"/>
  <c r="CZ200" i="7949"/>
  <c r="DA463" i="7949"/>
  <c r="CU462" i="7949"/>
  <c r="CY162" i="7949"/>
  <c r="CV162" i="7949"/>
  <c r="CX162" i="7949"/>
  <c r="CZ162" i="7949"/>
  <c r="CW162" i="7949"/>
  <c r="CZ157" i="7949"/>
  <c r="CX157" i="7949"/>
  <c r="CV157" i="7949"/>
  <c r="CW157" i="7949"/>
  <c r="CY157" i="7949"/>
  <c r="CU356" i="7949"/>
  <c r="CT367" i="7949"/>
  <c r="CU367" i="7949" s="1"/>
  <c r="DA349" i="7949"/>
  <c r="CU348" i="7949"/>
  <c r="CU59" i="7949"/>
  <c r="DA60" i="7949"/>
  <c r="CZ57" i="7949"/>
  <c r="CY57" i="7949"/>
  <c r="CX57" i="7949"/>
  <c r="CW57" i="7949"/>
  <c r="CV57" i="7949"/>
  <c r="CW612" i="7949"/>
  <c r="CV612" i="7949"/>
  <c r="CZ612" i="7949"/>
  <c r="CX612" i="7949"/>
  <c r="CY612" i="7949"/>
  <c r="CX623" i="7949"/>
  <c r="CV623" i="7949"/>
  <c r="CW623" i="7949"/>
  <c r="CY623" i="7949"/>
  <c r="CZ623" i="7949"/>
  <c r="CW388" i="7949"/>
  <c r="CZ388" i="7949"/>
  <c r="CY388" i="7949"/>
  <c r="CX388" i="7949"/>
  <c r="CV388" i="7949"/>
  <c r="DA679" i="7949"/>
  <c r="CU679" i="7949" s="1"/>
  <c r="CU678" i="7949"/>
  <c r="CY668" i="7949"/>
  <c r="CV668" i="7949"/>
  <c r="CW668" i="7949"/>
  <c r="CZ668" i="7949"/>
  <c r="CX668" i="7949"/>
  <c r="DA719" i="7949"/>
  <c r="CU719" i="7949" s="1"/>
  <c r="CU718" i="7949"/>
  <c r="CY412" i="7949"/>
  <c r="CW412" i="7949"/>
  <c r="CZ412" i="7949"/>
  <c r="CV412" i="7949"/>
  <c r="CX412" i="7949"/>
  <c r="CW320" i="7949"/>
  <c r="CV320" i="7949"/>
  <c r="CY320" i="7949"/>
  <c r="CZ320" i="7949"/>
  <c r="CX320" i="7949"/>
  <c r="CZ123" i="7949"/>
  <c r="CX123" i="7949"/>
  <c r="CV123" i="7949"/>
  <c r="CW123" i="7949"/>
  <c r="CY123" i="7949"/>
  <c r="CY759" i="7949"/>
  <c r="CX759" i="7949"/>
  <c r="CW759" i="7949"/>
  <c r="CV759" i="7949"/>
  <c r="CZ759" i="7949"/>
  <c r="CX710" i="7949"/>
  <c r="CV710" i="7949"/>
  <c r="CY710" i="7949"/>
  <c r="CZ710" i="7949"/>
  <c r="CW710" i="7949"/>
  <c r="CX435" i="7949"/>
  <c r="CZ435" i="7949"/>
  <c r="CV435" i="7949"/>
  <c r="CW435" i="7949"/>
  <c r="CY435" i="7949"/>
  <c r="CT444" i="7949"/>
  <c r="CU433" i="7949"/>
  <c r="CZ173" i="7949"/>
  <c r="CW173" i="7949"/>
  <c r="CY173" i="7949"/>
  <c r="CX173" i="7949"/>
  <c r="CV173" i="7949"/>
  <c r="CU171" i="7949"/>
  <c r="CT182" i="7949"/>
  <c r="CU182" i="7949" s="1"/>
  <c r="CY344" i="7949"/>
  <c r="CX344" i="7949"/>
  <c r="CV344" i="7949"/>
  <c r="CZ344" i="7949"/>
  <c r="CW344" i="7949"/>
  <c r="CU341" i="7949"/>
  <c r="CT352" i="7949"/>
  <c r="CY735" i="7949"/>
  <c r="CZ735" i="7949"/>
  <c r="CX735" i="7949"/>
  <c r="CV735" i="7949"/>
  <c r="CW735" i="7949"/>
  <c r="CX407" i="7949"/>
  <c r="CV407" i="7949"/>
  <c r="CZ407" i="7949"/>
  <c r="CY407" i="7949"/>
  <c r="CW407" i="7949"/>
  <c r="CU106" i="7949"/>
  <c r="CT113" i="7949"/>
  <c r="CU113" i="7949" s="1"/>
  <c r="DA101" i="7949"/>
  <c r="CU100" i="7949"/>
  <c r="CW115" i="7949"/>
  <c r="CY115" i="7949"/>
  <c r="CZ115" i="7949"/>
  <c r="CV115" i="7949"/>
  <c r="CX115" i="7949"/>
  <c r="CZ206" i="7949"/>
  <c r="CX206" i="7949"/>
  <c r="CY206" i="7949"/>
  <c r="CV206" i="7949"/>
  <c r="CW206" i="7949"/>
  <c r="CZ723" i="7949"/>
  <c r="CV723" i="7949"/>
  <c r="CX723" i="7949"/>
  <c r="CY723" i="7949"/>
  <c r="CW723" i="7949"/>
  <c r="CT459" i="7949"/>
  <c r="CU459" i="7949" s="1"/>
  <c r="CU448" i="7949"/>
  <c r="CW450" i="7949"/>
  <c r="CV450" i="7949"/>
  <c r="CY450" i="7949"/>
  <c r="CZ450" i="7949"/>
  <c r="CX450" i="7949"/>
  <c r="CY369" i="7949"/>
  <c r="CV369" i="7949"/>
  <c r="CZ369" i="7949"/>
  <c r="CX369" i="7949"/>
  <c r="CW369" i="7949"/>
  <c r="CV343" i="7949"/>
  <c r="CW343" i="7949"/>
  <c r="CX343" i="7949"/>
  <c r="CZ343" i="7949"/>
  <c r="CY343" i="7949"/>
  <c r="CT78" i="7949"/>
  <c r="CU67" i="7949"/>
  <c r="CW55" i="7949"/>
  <c r="CY55" i="7949"/>
  <c r="CZ55" i="7949"/>
  <c r="CV55" i="7949"/>
  <c r="CX55" i="7949"/>
  <c r="CZ610" i="7949"/>
  <c r="CX610" i="7949"/>
  <c r="CV610" i="7949"/>
  <c r="CW610" i="7949"/>
  <c r="CY610" i="7949"/>
  <c r="CT633" i="7949"/>
  <c r="CU622" i="7949"/>
  <c r="DA771" i="7949"/>
  <c r="CU771" i="7949" s="1"/>
  <c r="CU770" i="7949"/>
  <c r="CZ395" i="7949"/>
  <c r="CW395" i="7949"/>
  <c r="CY395" i="7949"/>
  <c r="CV395" i="7949"/>
  <c r="CX395" i="7949"/>
  <c r="CW670" i="7949"/>
  <c r="CZ670" i="7949"/>
  <c r="CX670" i="7949"/>
  <c r="CV670" i="7949"/>
  <c r="CY670" i="7949"/>
  <c r="CU440" i="7949"/>
  <c r="DA441" i="7949"/>
  <c r="CV184" i="7949"/>
  <c r="CX184" i="7949"/>
  <c r="CW184" i="7949"/>
  <c r="CY184" i="7949"/>
  <c r="CZ184" i="7949"/>
  <c r="CU156" i="7949"/>
  <c r="CT167" i="7949"/>
  <c r="AF156" i="7950"/>
  <c r="AG156" i="7950"/>
  <c r="AG162" i="7950" s="1"/>
  <c r="AG163" i="7950" s="1"/>
  <c r="O153" i="7950" s="1"/>
  <c r="AR155" i="7950"/>
  <c r="AQ155" i="7950"/>
  <c r="E155" i="7950"/>
  <c r="AT155" i="7950"/>
  <c r="AU155" i="7950" s="1"/>
  <c r="G155" i="7950"/>
  <c r="I155" i="7950"/>
  <c r="CY756" i="7949"/>
  <c r="CZ756" i="7949"/>
  <c r="CW756" i="7949"/>
  <c r="CV756" i="7949"/>
  <c r="CX756" i="7949"/>
  <c r="CZ733" i="7949"/>
  <c r="CX733" i="7949"/>
  <c r="CY733" i="7949"/>
  <c r="CW733" i="7949"/>
  <c r="CV733" i="7949"/>
  <c r="CY690" i="7949"/>
  <c r="CW690" i="7949"/>
  <c r="CX690" i="7949"/>
  <c r="CV690" i="7949"/>
  <c r="CZ690" i="7949"/>
  <c r="CW377" i="7949"/>
  <c r="CY377" i="7949"/>
  <c r="CX377" i="7949"/>
  <c r="CV377" i="7949"/>
  <c r="CZ377" i="7949"/>
  <c r="DA111" i="7949"/>
  <c r="CU111" i="7949" s="1"/>
  <c r="CU110" i="7949"/>
  <c r="CZ114" i="7949"/>
  <c r="CV114" i="7949"/>
  <c r="CY114" i="7949"/>
  <c r="CW114" i="7949"/>
  <c r="CX114" i="7949"/>
  <c r="CY208" i="7949"/>
  <c r="CX208" i="7949"/>
  <c r="CZ208" i="7949"/>
  <c r="CW208" i="7949"/>
  <c r="CV208" i="7949"/>
  <c r="CX436" i="7949"/>
  <c r="CV436" i="7949"/>
  <c r="CW436" i="7949"/>
  <c r="CZ436" i="7949"/>
  <c r="CY436" i="7949"/>
  <c r="CX434" i="7949"/>
  <c r="CZ434" i="7949"/>
  <c r="CV434" i="7949"/>
  <c r="CY434" i="7949"/>
  <c r="CW434" i="7949"/>
  <c r="CU493" i="7949"/>
  <c r="DA494" i="7949"/>
  <c r="CU494" i="7949" s="1"/>
  <c r="CT364" i="7949"/>
  <c r="CU364" i="7949" s="1"/>
  <c r="CU353" i="7949"/>
  <c r="CU43" i="7949"/>
  <c r="DA44" i="7949"/>
  <c r="CU65" i="7949"/>
  <c r="CT76" i="7949"/>
  <c r="DA93" i="7949"/>
  <c r="CU92" i="7949"/>
  <c r="CT630" i="7949"/>
  <c r="CU619" i="7949"/>
  <c r="CW609" i="7949"/>
  <c r="CY609" i="7949"/>
  <c r="CV609" i="7949"/>
  <c r="CX609" i="7949"/>
  <c r="CZ609" i="7949"/>
  <c r="CZ219" i="7949"/>
  <c r="CW219" i="7949"/>
  <c r="CY219" i="7949"/>
  <c r="CV219" i="7949"/>
  <c r="CX219" i="7949"/>
  <c r="CT667" i="7949"/>
  <c r="CU667" i="7949" s="1"/>
  <c r="CU660" i="7949"/>
  <c r="CU664" i="7949"/>
  <c r="DA665" i="7949"/>
  <c r="CU665" i="7949" s="1"/>
  <c r="CW746" i="7949"/>
  <c r="CV746" i="7949"/>
  <c r="CX746" i="7949"/>
  <c r="CY746" i="7949"/>
  <c r="CZ746" i="7949"/>
  <c r="CU596" i="7949"/>
  <c r="CU191" i="7949"/>
  <c r="CU214" i="7949"/>
  <c r="AW124" i="7950" l="1"/>
  <c r="AZ124" i="7950"/>
  <c r="AY124" i="7950"/>
  <c r="AX124" i="7950"/>
  <c r="AW108" i="7950"/>
  <c r="AZ108" i="7950"/>
  <c r="M108" i="7950"/>
  <c r="AX108" i="7950"/>
  <c r="AY108" i="7950"/>
  <c r="CV596" i="7949"/>
  <c r="CY596" i="7949"/>
  <c r="CZ596" i="7949"/>
  <c r="CW596" i="7949"/>
  <c r="CX596" i="7949"/>
  <c r="CY667" i="7949"/>
  <c r="CZ667" i="7949"/>
  <c r="CW667" i="7949"/>
  <c r="CV667" i="7949"/>
  <c r="CX667" i="7949"/>
  <c r="CX65" i="7949"/>
  <c r="CV65" i="7949"/>
  <c r="CW65" i="7949"/>
  <c r="CY65" i="7949"/>
  <c r="CZ65" i="7949"/>
  <c r="CV43" i="7949"/>
  <c r="CW43" i="7949"/>
  <c r="CY43" i="7949"/>
  <c r="CZ43" i="7949"/>
  <c r="CX43" i="7949"/>
  <c r="CX364" i="7949"/>
  <c r="CY364" i="7949"/>
  <c r="CV364" i="7949"/>
  <c r="CW364" i="7949"/>
  <c r="CZ364" i="7949"/>
  <c r="CY493" i="7949"/>
  <c r="CX493" i="7949"/>
  <c r="CZ493" i="7949"/>
  <c r="CW493" i="7949"/>
  <c r="CV493" i="7949"/>
  <c r="CW111" i="7949"/>
  <c r="CZ111" i="7949"/>
  <c r="CX111" i="7949"/>
  <c r="CY111" i="7949"/>
  <c r="CV111" i="7949"/>
  <c r="CW156" i="7949"/>
  <c r="CY156" i="7949"/>
  <c r="CZ156" i="7949"/>
  <c r="CX156" i="7949"/>
  <c r="CV156" i="7949"/>
  <c r="DA442" i="7949"/>
  <c r="CU442" i="7949" s="1"/>
  <c r="CU441" i="7949"/>
  <c r="CY770" i="7949"/>
  <c r="CW770" i="7949"/>
  <c r="CZ770" i="7949"/>
  <c r="CV770" i="7949"/>
  <c r="CX770" i="7949"/>
  <c r="CV622" i="7949"/>
  <c r="CY622" i="7949"/>
  <c r="CW622" i="7949"/>
  <c r="CX622" i="7949"/>
  <c r="CZ622" i="7949"/>
  <c r="CX67" i="7949"/>
  <c r="CV67" i="7949"/>
  <c r="CW67" i="7949"/>
  <c r="CY67" i="7949"/>
  <c r="CZ67" i="7949"/>
  <c r="CZ459" i="7949"/>
  <c r="CW459" i="7949"/>
  <c r="CY459" i="7949"/>
  <c r="CV459" i="7949"/>
  <c r="CX459" i="7949"/>
  <c r="DA102" i="7949"/>
  <c r="CU101" i="7949"/>
  <c r="CV106" i="7949"/>
  <c r="CX106" i="7949"/>
  <c r="CY106" i="7949"/>
  <c r="CZ106" i="7949"/>
  <c r="CW106" i="7949"/>
  <c r="CX341" i="7949"/>
  <c r="CZ341" i="7949"/>
  <c r="CV341" i="7949"/>
  <c r="CW341" i="7949"/>
  <c r="CY341" i="7949"/>
  <c r="CV182" i="7949"/>
  <c r="CY182" i="7949"/>
  <c r="CW182" i="7949"/>
  <c r="CX182" i="7949"/>
  <c r="CZ182" i="7949"/>
  <c r="CT455" i="7949"/>
  <c r="CU455" i="7949" s="1"/>
  <c r="CU444" i="7949"/>
  <c r="CY719" i="7949"/>
  <c r="CZ719" i="7949"/>
  <c r="CX719" i="7949"/>
  <c r="CV719" i="7949"/>
  <c r="CW719" i="7949"/>
  <c r="CX678" i="7949"/>
  <c r="CZ678" i="7949"/>
  <c r="CW678" i="7949"/>
  <c r="CY678" i="7949"/>
  <c r="CV678" i="7949"/>
  <c r="CU60" i="7949"/>
  <c r="DA61" i="7949"/>
  <c r="CW348" i="7949"/>
  <c r="CY348" i="7949"/>
  <c r="CX348" i="7949"/>
  <c r="CV348" i="7949"/>
  <c r="CZ348" i="7949"/>
  <c r="CY367" i="7949"/>
  <c r="CW367" i="7949"/>
  <c r="CV367" i="7949"/>
  <c r="CX367" i="7949"/>
  <c r="CZ367" i="7949"/>
  <c r="CZ462" i="7949"/>
  <c r="CX462" i="7949"/>
  <c r="CV462" i="7949"/>
  <c r="CY462" i="7949"/>
  <c r="CW462" i="7949"/>
  <c r="CW471" i="7949"/>
  <c r="CZ471" i="7949"/>
  <c r="CY471" i="7949"/>
  <c r="CX471" i="7949"/>
  <c r="CV471" i="7949"/>
  <c r="AV92" i="7950"/>
  <c r="K92" i="7950"/>
  <c r="AV139" i="7950"/>
  <c r="K139" i="7950"/>
  <c r="CY136" i="7949"/>
  <c r="CV136" i="7949"/>
  <c r="CX136" i="7949"/>
  <c r="CW136" i="7949"/>
  <c r="CZ136" i="7949"/>
  <c r="CV708" i="7949"/>
  <c r="CW708" i="7949"/>
  <c r="CY708" i="7949"/>
  <c r="CZ708" i="7949"/>
  <c r="CX708" i="7949"/>
  <c r="CW646" i="7949"/>
  <c r="CV646" i="7949"/>
  <c r="CX646" i="7949"/>
  <c r="CZ646" i="7949"/>
  <c r="CY646" i="7949"/>
  <c r="CV70" i="7949"/>
  <c r="CX70" i="7949"/>
  <c r="CW70" i="7949"/>
  <c r="CZ70" i="7949"/>
  <c r="CY70" i="7949"/>
  <c r="CZ81" i="7949"/>
  <c r="CW81" i="7949"/>
  <c r="CY81" i="7949"/>
  <c r="CV81" i="7949"/>
  <c r="CX81" i="7949"/>
  <c r="CU430" i="7949"/>
  <c r="DA431" i="7949"/>
  <c r="CU431" i="7949" s="1"/>
  <c r="CW740" i="7949"/>
  <c r="CV740" i="7949"/>
  <c r="CX740" i="7949"/>
  <c r="CY740" i="7949"/>
  <c r="CZ740" i="7949"/>
  <c r="CY117" i="7949"/>
  <c r="CX117" i="7949"/>
  <c r="CZ117" i="7949"/>
  <c r="CV117" i="7949"/>
  <c r="CW117" i="7949"/>
  <c r="CU401" i="7949"/>
  <c r="DA402" i="7949"/>
  <c r="CU402" i="7949" s="1"/>
  <c r="CY747" i="7949"/>
  <c r="CZ747" i="7949"/>
  <c r="CW747" i="7949"/>
  <c r="CV747" i="7949"/>
  <c r="CX747" i="7949"/>
  <c r="DA656" i="7949"/>
  <c r="CU655" i="7949"/>
  <c r="CZ215" i="7949"/>
  <c r="CX215" i="7949"/>
  <c r="CV215" i="7949"/>
  <c r="CW215" i="7949"/>
  <c r="CY215" i="7949"/>
  <c r="CU631" i="7949"/>
  <c r="CT642" i="7949"/>
  <c r="CU642" i="7949" s="1"/>
  <c r="CV53" i="7949"/>
  <c r="CX53" i="7949"/>
  <c r="CW53" i="7949"/>
  <c r="CZ53" i="7949"/>
  <c r="CY53" i="7949"/>
  <c r="CX445" i="7949"/>
  <c r="CV445" i="7949"/>
  <c r="CW445" i="7949"/>
  <c r="CZ445" i="7949"/>
  <c r="CY445" i="7949"/>
  <c r="CY458" i="7949"/>
  <c r="CV458" i="7949"/>
  <c r="CW458" i="7949"/>
  <c r="CZ458" i="7949"/>
  <c r="CX458" i="7949"/>
  <c r="CZ209" i="7949"/>
  <c r="CY209" i="7949"/>
  <c r="CV209" i="7949"/>
  <c r="CX209" i="7949"/>
  <c r="CW209" i="7949"/>
  <c r="CX192" i="7949"/>
  <c r="CY192" i="7949"/>
  <c r="CZ192" i="7949"/>
  <c r="CW192" i="7949"/>
  <c r="CV192" i="7949"/>
  <c r="CZ198" i="7949"/>
  <c r="CW198" i="7949"/>
  <c r="CY198" i="7949"/>
  <c r="CX198" i="7949"/>
  <c r="CV198" i="7949"/>
  <c r="CW378" i="7949"/>
  <c r="CZ378" i="7949"/>
  <c r="CY378" i="7949"/>
  <c r="CX378" i="7949"/>
  <c r="CV378" i="7949"/>
  <c r="CV691" i="7949"/>
  <c r="CW691" i="7949"/>
  <c r="CY691" i="7949"/>
  <c r="CZ691" i="7949"/>
  <c r="CX691" i="7949"/>
  <c r="CX185" i="7949"/>
  <c r="CV185" i="7949"/>
  <c r="CW185" i="7949"/>
  <c r="CY185" i="7949"/>
  <c r="CZ185" i="7949"/>
  <c r="CX671" i="7949"/>
  <c r="CY671" i="7949"/>
  <c r="CW671" i="7949"/>
  <c r="CV671" i="7949"/>
  <c r="CZ671" i="7949"/>
  <c r="CY621" i="7949"/>
  <c r="CZ621" i="7949"/>
  <c r="CV621" i="7949"/>
  <c r="CX621" i="7949"/>
  <c r="CW621" i="7949"/>
  <c r="CZ607" i="7949"/>
  <c r="CW607" i="7949"/>
  <c r="CX607" i="7949"/>
  <c r="CV607" i="7949"/>
  <c r="CY607" i="7949"/>
  <c r="DA599" i="7949"/>
  <c r="CU598" i="7949"/>
  <c r="CW66" i="7949"/>
  <c r="CZ66" i="7949"/>
  <c r="CY66" i="7949"/>
  <c r="CV66" i="7949"/>
  <c r="CX66" i="7949"/>
  <c r="CW354" i="7949"/>
  <c r="CY354" i="7949"/>
  <c r="CZ354" i="7949"/>
  <c r="CX354" i="7949"/>
  <c r="CV354" i="7949"/>
  <c r="CV370" i="7949"/>
  <c r="CW370" i="7949"/>
  <c r="CZ370" i="7949"/>
  <c r="CY370" i="7949"/>
  <c r="CX370" i="7949"/>
  <c r="CZ451" i="7949"/>
  <c r="CY451" i="7949"/>
  <c r="CX451" i="7949"/>
  <c r="CV451" i="7949"/>
  <c r="CW451" i="7949"/>
  <c r="CV366" i="7949"/>
  <c r="CW366" i="7949"/>
  <c r="CZ366" i="7949"/>
  <c r="CX366" i="7949"/>
  <c r="CY366" i="7949"/>
  <c r="CW174" i="7949"/>
  <c r="CY174" i="7949"/>
  <c r="CV174" i="7949"/>
  <c r="CX174" i="7949"/>
  <c r="CZ174" i="7949"/>
  <c r="CV457" i="7949"/>
  <c r="CW457" i="7949"/>
  <c r="CX457" i="7949"/>
  <c r="CZ457" i="7949"/>
  <c r="CY457" i="7949"/>
  <c r="CX732" i="7949"/>
  <c r="CZ732" i="7949"/>
  <c r="CW732" i="7949"/>
  <c r="CY732" i="7949"/>
  <c r="CV732" i="7949"/>
  <c r="CZ124" i="7949"/>
  <c r="CW124" i="7949"/>
  <c r="CX124" i="7949"/>
  <c r="CY124" i="7949"/>
  <c r="CV124" i="7949"/>
  <c r="CY321" i="7949"/>
  <c r="CV321" i="7949"/>
  <c r="CW321" i="7949"/>
  <c r="CX321" i="7949"/>
  <c r="CZ321" i="7949"/>
  <c r="CY413" i="7949"/>
  <c r="CX413" i="7949"/>
  <c r="CZ413" i="7949"/>
  <c r="CV413" i="7949"/>
  <c r="CW413" i="7949"/>
  <c r="CZ624" i="7949"/>
  <c r="CW624" i="7949"/>
  <c r="CX624" i="7949"/>
  <c r="CV624" i="7949"/>
  <c r="CY624" i="7949"/>
  <c r="DA615" i="7949"/>
  <c r="CU614" i="7949"/>
  <c r="CZ68" i="7949"/>
  <c r="CW68" i="7949"/>
  <c r="CY68" i="7949"/>
  <c r="CV68" i="7949"/>
  <c r="CX68" i="7949"/>
  <c r="CV168" i="7949"/>
  <c r="CX168" i="7949"/>
  <c r="CZ168" i="7949"/>
  <c r="CW168" i="7949"/>
  <c r="CY168" i="7949"/>
  <c r="CU164" i="7949"/>
  <c r="DA165" i="7949"/>
  <c r="CU165" i="7949" s="1"/>
  <c r="CV359" i="7949"/>
  <c r="CY359" i="7949"/>
  <c r="CX359" i="7949"/>
  <c r="CZ359" i="7949"/>
  <c r="CW359" i="7949"/>
  <c r="CY181" i="7949"/>
  <c r="CW181" i="7949"/>
  <c r="CV181" i="7949"/>
  <c r="CZ181" i="7949"/>
  <c r="CX181" i="7949"/>
  <c r="CX730" i="7949"/>
  <c r="CV730" i="7949"/>
  <c r="CW730" i="7949"/>
  <c r="CY730" i="7949"/>
  <c r="CZ730" i="7949"/>
  <c r="DA637" i="7949"/>
  <c r="CU636" i="7949"/>
  <c r="CW337" i="7949"/>
  <c r="CZ337" i="7949"/>
  <c r="CX337" i="7949"/>
  <c r="CV337" i="7949"/>
  <c r="CY337" i="7949"/>
  <c r="DA154" i="7949"/>
  <c r="CU154" i="7949" s="1"/>
  <c r="CU153" i="7949"/>
  <c r="CY180" i="7949"/>
  <c r="CV180" i="7949"/>
  <c r="CX180" i="7949"/>
  <c r="CW180" i="7949"/>
  <c r="CZ180" i="7949"/>
  <c r="CW202" i="7949"/>
  <c r="CV202" i="7949"/>
  <c r="CX202" i="7949"/>
  <c r="CY202" i="7949"/>
  <c r="CZ202" i="7949"/>
  <c r="CV664" i="7949"/>
  <c r="CX664" i="7949"/>
  <c r="CY664" i="7949"/>
  <c r="CZ664" i="7949"/>
  <c r="CW664" i="7949"/>
  <c r="CT641" i="7949"/>
  <c r="CU641" i="7949" s="1"/>
  <c r="CU630" i="7949"/>
  <c r="CU93" i="7949"/>
  <c r="DA94" i="7949"/>
  <c r="CZ214" i="7949"/>
  <c r="CW214" i="7949"/>
  <c r="CY214" i="7949"/>
  <c r="CV214" i="7949"/>
  <c r="CX214" i="7949"/>
  <c r="CX191" i="7949"/>
  <c r="CZ191" i="7949"/>
  <c r="CV191" i="7949"/>
  <c r="CW191" i="7949"/>
  <c r="CY191" i="7949"/>
  <c r="CZ665" i="7949"/>
  <c r="CX665" i="7949"/>
  <c r="CY665" i="7949"/>
  <c r="CV665" i="7949"/>
  <c r="CW665" i="7949"/>
  <c r="CX660" i="7949"/>
  <c r="CV660" i="7949"/>
  <c r="CZ660" i="7949"/>
  <c r="CW660" i="7949"/>
  <c r="CY660" i="7949"/>
  <c r="CX619" i="7949"/>
  <c r="CV619" i="7949"/>
  <c r="CZ619" i="7949"/>
  <c r="CY619" i="7949"/>
  <c r="CW619" i="7949"/>
  <c r="CV92" i="7949"/>
  <c r="CX92" i="7949"/>
  <c r="CW92" i="7949"/>
  <c r="CY92" i="7949"/>
  <c r="CZ92" i="7949"/>
  <c r="CT87" i="7949"/>
  <c r="CU87" i="7949" s="1"/>
  <c r="CU76" i="7949"/>
  <c r="DA45" i="7949"/>
  <c r="CU44" i="7949"/>
  <c r="CW353" i="7949"/>
  <c r="CZ353" i="7949"/>
  <c r="CX353" i="7949"/>
  <c r="CV353" i="7949"/>
  <c r="CY353" i="7949"/>
  <c r="CW494" i="7949"/>
  <c r="CX494" i="7949"/>
  <c r="CZ494" i="7949"/>
  <c r="CV494" i="7949"/>
  <c r="CY494" i="7949"/>
  <c r="CW110" i="7949"/>
  <c r="CV110" i="7949"/>
  <c r="CX110" i="7949"/>
  <c r="CY110" i="7949"/>
  <c r="CZ110" i="7949"/>
  <c r="K155" i="7950"/>
  <c r="AV155" i="7950"/>
  <c r="CT178" i="7949"/>
  <c r="CU178" i="7949" s="1"/>
  <c r="CU167" i="7949"/>
  <c r="CX440" i="7949"/>
  <c r="CV440" i="7949"/>
  <c r="CY440" i="7949"/>
  <c r="CW440" i="7949"/>
  <c r="CZ440" i="7949"/>
  <c r="CW771" i="7949"/>
  <c r="CY771" i="7949"/>
  <c r="CZ771" i="7949"/>
  <c r="CX771" i="7949"/>
  <c r="CV771" i="7949"/>
  <c r="CU633" i="7949"/>
  <c r="CT644" i="7949"/>
  <c r="CU644" i="7949" s="1"/>
  <c r="CU78" i="7949"/>
  <c r="CT89" i="7949"/>
  <c r="CU89" i="7949" s="1"/>
  <c r="CX448" i="7949"/>
  <c r="CZ448" i="7949"/>
  <c r="CY448" i="7949"/>
  <c r="CV448" i="7949"/>
  <c r="CW448" i="7949"/>
  <c r="CZ100" i="7949"/>
  <c r="CX100" i="7949"/>
  <c r="CY100" i="7949"/>
  <c r="CV100" i="7949"/>
  <c r="CW100" i="7949"/>
  <c r="CV113" i="7949"/>
  <c r="CX113" i="7949"/>
  <c r="CW113" i="7949"/>
  <c r="CY113" i="7949"/>
  <c r="CZ113" i="7949"/>
  <c r="CU352" i="7949"/>
  <c r="CT363" i="7949"/>
  <c r="CU363" i="7949" s="1"/>
  <c r="CV171" i="7949"/>
  <c r="CX171" i="7949"/>
  <c r="CY171" i="7949"/>
  <c r="CZ171" i="7949"/>
  <c r="CW171" i="7949"/>
  <c r="CV433" i="7949"/>
  <c r="CX433" i="7949"/>
  <c r="CZ433" i="7949"/>
  <c r="CW433" i="7949"/>
  <c r="CY433" i="7949"/>
  <c r="CZ718" i="7949"/>
  <c r="CW718" i="7949"/>
  <c r="CY718" i="7949"/>
  <c r="CV718" i="7949"/>
  <c r="CX718" i="7949"/>
  <c r="CX679" i="7949"/>
  <c r="CV679" i="7949"/>
  <c r="CW679" i="7949"/>
  <c r="CY679" i="7949"/>
  <c r="CZ679" i="7949"/>
  <c r="CY59" i="7949"/>
  <c r="CV59" i="7949"/>
  <c r="CX59" i="7949"/>
  <c r="CZ59" i="7949"/>
  <c r="CW59" i="7949"/>
  <c r="CU349" i="7949"/>
  <c r="DA350" i="7949"/>
  <c r="CU350" i="7949" s="1"/>
  <c r="CX356" i="7949"/>
  <c r="CY356" i="7949"/>
  <c r="CV356" i="7949"/>
  <c r="CW356" i="7949"/>
  <c r="CZ356" i="7949"/>
  <c r="DA464" i="7949"/>
  <c r="CU464" i="7949" s="1"/>
  <c r="CU463" i="7949"/>
  <c r="DA473" i="7949"/>
  <c r="CU473" i="7949" s="1"/>
  <c r="CU472" i="7949"/>
  <c r="DA138" i="7949"/>
  <c r="CU137" i="7949"/>
  <c r="CV707" i="7949"/>
  <c r="CX707" i="7949"/>
  <c r="CZ707" i="7949"/>
  <c r="CW707" i="7949"/>
  <c r="CY707" i="7949"/>
  <c r="CU647" i="7949"/>
  <c r="DA648" i="7949"/>
  <c r="DA72" i="7949"/>
  <c r="CU71" i="7949"/>
  <c r="DA83" i="7949"/>
  <c r="CU82" i="7949"/>
  <c r="CX429" i="7949"/>
  <c r="CV429" i="7949"/>
  <c r="CW429" i="7949"/>
  <c r="CZ429" i="7949"/>
  <c r="CY429" i="7949"/>
  <c r="CZ741" i="7949"/>
  <c r="CX741" i="7949"/>
  <c r="CV741" i="7949"/>
  <c r="CW741" i="7949"/>
  <c r="CY741" i="7949"/>
  <c r="CV118" i="7949"/>
  <c r="CZ118" i="7949"/>
  <c r="CY118" i="7949"/>
  <c r="CW118" i="7949"/>
  <c r="CX118" i="7949"/>
  <c r="CX400" i="7949"/>
  <c r="CY400" i="7949"/>
  <c r="CV400" i="7949"/>
  <c r="CW400" i="7949"/>
  <c r="CZ400" i="7949"/>
  <c r="DA749" i="7949"/>
  <c r="CU748" i="7949"/>
  <c r="CX654" i="7949"/>
  <c r="CY654" i="7949"/>
  <c r="CV654" i="7949"/>
  <c r="CW654" i="7949"/>
  <c r="CZ654" i="7949"/>
  <c r="CU216" i="7949"/>
  <c r="DA217" i="7949"/>
  <c r="CU217" i="7949" s="1"/>
  <c r="CZ620" i="7949"/>
  <c r="CW620" i="7949"/>
  <c r="CX620" i="7949"/>
  <c r="CV620" i="7949"/>
  <c r="CY620" i="7949"/>
  <c r="CU64" i="7949"/>
  <c r="CT75" i="7949"/>
  <c r="CZ456" i="7949"/>
  <c r="CX456" i="7949"/>
  <c r="CY456" i="7949"/>
  <c r="CV456" i="7949"/>
  <c r="CW456" i="7949"/>
  <c r="CV447" i="7949"/>
  <c r="CW447" i="7949"/>
  <c r="CZ447" i="7949"/>
  <c r="CY447" i="7949"/>
  <c r="CX447" i="7949"/>
  <c r="CZ210" i="7949"/>
  <c r="CX210" i="7949"/>
  <c r="CY210" i="7949"/>
  <c r="CV210" i="7949"/>
  <c r="CW210" i="7949"/>
  <c r="DA194" i="7949"/>
  <c r="CU193" i="7949"/>
  <c r="CW205" i="7949"/>
  <c r="CY205" i="7949"/>
  <c r="CX205" i="7949"/>
  <c r="CV205" i="7949"/>
  <c r="CZ205" i="7949"/>
  <c r="DA380" i="7949"/>
  <c r="CU379" i="7949"/>
  <c r="DA693" i="7949"/>
  <c r="CU692" i="7949"/>
  <c r="DA187" i="7949"/>
  <c r="CU187" i="7949" s="1"/>
  <c r="CU186" i="7949"/>
  <c r="CZ672" i="7949"/>
  <c r="CW672" i="7949"/>
  <c r="CY672" i="7949"/>
  <c r="CV672" i="7949"/>
  <c r="CX672" i="7949"/>
  <c r="CU632" i="7949"/>
  <c r="CT643" i="7949"/>
  <c r="CU643" i="7949" s="1"/>
  <c r="CT629" i="7949"/>
  <c r="CU618" i="7949"/>
  <c r="CY597" i="7949"/>
  <c r="CZ597" i="7949"/>
  <c r="CV597" i="7949"/>
  <c r="CX597" i="7949"/>
  <c r="CW597" i="7949"/>
  <c r="CT88" i="7949"/>
  <c r="CU88" i="7949" s="1"/>
  <c r="CU77" i="7949"/>
  <c r="CW365" i="7949"/>
  <c r="CY365" i="7949"/>
  <c r="CV365" i="7949"/>
  <c r="CZ365" i="7949"/>
  <c r="CX365" i="7949"/>
  <c r="DA372" i="7949"/>
  <c r="CU372" i="7949" s="1"/>
  <c r="CU371" i="7949"/>
  <c r="CU452" i="7949"/>
  <c r="DA453" i="7949"/>
  <c r="CU453" i="7949" s="1"/>
  <c r="CX355" i="7949"/>
  <c r="CW355" i="7949"/>
  <c r="CZ355" i="7949"/>
  <c r="CV355" i="7949"/>
  <c r="CY355" i="7949"/>
  <c r="DA176" i="7949"/>
  <c r="CU176" i="7949" s="1"/>
  <c r="CU175" i="7949"/>
  <c r="CZ446" i="7949"/>
  <c r="CY446" i="7949"/>
  <c r="CW446" i="7949"/>
  <c r="CV446" i="7949"/>
  <c r="CX446" i="7949"/>
  <c r="CZ721" i="7949"/>
  <c r="CW721" i="7949"/>
  <c r="CY721" i="7949"/>
  <c r="CV721" i="7949"/>
  <c r="CX721" i="7949"/>
  <c r="CV125" i="7949"/>
  <c r="CX125" i="7949"/>
  <c r="CY125" i="7949"/>
  <c r="CZ125" i="7949"/>
  <c r="CW125" i="7949"/>
  <c r="DA323" i="7949"/>
  <c r="CU322" i="7949"/>
  <c r="DA415" i="7949"/>
  <c r="CU414" i="7949"/>
  <c r="DA626" i="7949"/>
  <c r="CU625" i="7949"/>
  <c r="CW613" i="7949"/>
  <c r="CZ613" i="7949"/>
  <c r="CX613" i="7949"/>
  <c r="CY613" i="7949"/>
  <c r="CV613" i="7949"/>
  <c r="CT90" i="7949"/>
  <c r="CU90" i="7949" s="1"/>
  <c r="CU79" i="7949"/>
  <c r="K76" i="7950"/>
  <c r="AV76" i="7950"/>
  <c r="CZ179" i="7949"/>
  <c r="CX179" i="7949"/>
  <c r="CY179" i="7949"/>
  <c r="CW179" i="7949"/>
  <c r="CV179" i="7949"/>
  <c r="CZ163" i="7949"/>
  <c r="CX163" i="7949"/>
  <c r="CV163" i="7949"/>
  <c r="CW163" i="7949"/>
  <c r="CY163" i="7949"/>
  <c r="H58" i="7948"/>
  <c r="K58" i="7948"/>
  <c r="H57" i="7948"/>
  <c r="L57" i="7948"/>
  <c r="K57" i="7948"/>
  <c r="G58" i="7948"/>
  <c r="G57" i="7948"/>
  <c r="L58" i="7948"/>
  <c r="CU360" i="7949"/>
  <c r="DA361" i="7949"/>
  <c r="CU361" i="7949" s="1"/>
  <c r="CX170" i="7949"/>
  <c r="CV170" i="7949"/>
  <c r="CW170" i="7949"/>
  <c r="CY170" i="7949"/>
  <c r="CZ170" i="7949"/>
  <c r="CY729" i="7949"/>
  <c r="CV729" i="7949"/>
  <c r="CX729" i="7949"/>
  <c r="CZ729" i="7949"/>
  <c r="CW729" i="7949"/>
  <c r="CW635" i="7949"/>
  <c r="CY635" i="7949"/>
  <c r="CV635" i="7949"/>
  <c r="CZ635" i="7949"/>
  <c r="CX635" i="7949"/>
  <c r="DA339" i="7949"/>
  <c r="CU339" i="7949" s="1"/>
  <c r="CU338" i="7949"/>
  <c r="CZ152" i="7949"/>
  <c r="CX152" i="7949"/>
  <c r="CV152" i="7949"/>
  <c r="CW152" i="7949"/>
  <c r="CY152" i="7949"/>
  <c r="CY169" i="7949"/>
  <c r="CV169" i="7949"/>
  <c r="CX169" i="7949"/>
  <c r="CZ169" i="7949"/>
  <c r="CW169" i="7949"/>
  <c r="CV203" i="7949"/>
  <c r="CW203" i="7949"/>
  <c r="CZ203" i="7949"/>
  <c r="CX203" i="7949"/>
  <c r="CY203" i="7949"/>
  <c r="AP125" i="7950" l="1"/>
  <c r="AR125" i="7950" s="1"/>
  <c r="AP109" i="7950"/>
  <c r="G109" i="7950" s="1"/>
  <c r="CV338" i="7949"/>
  <c r="CW338" i="7949"/>
  <c r="CY338" i="7949"/>
  <c r="CX338" i="7949"/>
  <c r="CZ338" i="7949"/>
  <c r="CV339" i="7949"/>
  <c r="CY339" i="7949"/>
  <c r="CW339" i="7949"/>
  <c r="CZ339" i="7949"/>
  <c r="CX339" i="7949"/>
  <c r="CZ361" i="7949"/>
  <c r="CX361" i="7949"/>
  <c r="CV361" i="7949"/>
  <c r="CY361" i="7949"/>
  <c r="CW361" i="7949"/>
  <c r="M76" i="7950"/>
  <c r="AX76" i="7950"/>
  <c r="AW76" i="7950"/>
  <c r="AY76" i="7950"/>
  <c r="AZ76" i="7950"/>
  <c r="CV79" i="7949"/>
  <c r="CX79" i="7949"/>
  <c r="CW79" i="7949"/>
  <c r="CZ79" i="7949"/>
  <c r="CY79" i="7949"/>
  <c r="DA627" i="7949"/>
  <c r="CU627" i="7949" s="1"/>
  <c r="CU626" i="7949"/>
  <c r="DA416" i="7949"/>
  <c r="CU415" i="7949"/>
  <c r="DA324" i="7949"/>
  <c r="CU323" i="7949"/>
  <c r="CX175" i="7949"/>
  <c r="CW175" i="7949"/>
  <c r="CV175" i="7949"/>
  <c r="CY175" i="7949"/>
  <c r="CZ175" i="7949"/>
  <c r="CX452" i="7949"/>
  <c r="CW452" i="7949"/>
  <c r="CZ452" i="7949"/>
  <c r="CV452" i="7949"/>
  <c r="CY452" i="7949"/>
  <c r="CX372" i="7949"/>
  <c r="CW372" i="7949"/>
  <c r="CV372" i="7949"/>
  <c r="CY372" i="7949"/>
  <c r="CZ372" i="7949"/>
  <c r="CV77" i="7949"/>
  <c r="CX77" i="7949"/>
  <c r="CW77" i="7949"/>
  <c r="CY77" i="7949"/>
  <c r="CZ77" i="7949"/>
  <c r="CU629" i="7949"/>
  <c r="CT640" i="7949"/>
  <c r="CU640" i="7949" s="1"/>
  <c r="CW632" i="7949"/>
  <c r="CY632" i="7949"/>
  <c r="CZ632" i="7949"/>
  <c r="CX632" i="7949"/>
  <c r="CV632" i="7949"/>
  <c r="CX186" i="7949"/>
  <c r="CZ186" i="7949"/>
  <c r="CV186" i="7949"/>
  <c r="CY186" i="7949"/>
  <c r="CW186" i="7949"/>
  <c r="CW692" i="7949"/>
  <c r="CZ692" i="7949"/>
  <c r="CX692" i="7949"/>
  <c r="CV692" i="7949"/>
  <c r="CY692" i="7949"/>
  <c r="CV379" i="7949"/>
  <c r="CY379" i="7949"/>
  <c r="CW379" i="7949"/>
  <c r="CZ379" i="7949"/>
  <c r="CX379" i="7949"/>
  <c r="DA195" i="7949"/>
  <c r="CU194" i="7949"/>
  <c r="CT86" i="7949"/>
  <c r="CU86" i="7949" s="1"/>
  <c r="CU75" i="7949"/>
  <c r="CW216" i="7949"/>
  <c r="CX216" i="7949"/>
  <c r="CY216" i="7949"/>
  <c r="CV216" i="7949"/>
  <c r="CZ216" i="7949"/>
  <c r="CZ748" i="7949"/>
  <c r="CX748" i="7949"/>
  <c r="CY748" i="7949"/>
  <c r="CV748" i="7949"/>
  <c r="CW748" i="7949"/>
  <c r="CX82" i="7949"/>
  <c r="CV82" i="7949"/>
  <c r="CY82" i="7949"/>
  <c r="CZ82" i="7949"/>
  <c r="CW82" i="7949"/>
  <c r="CX71" i="7949"/>
  <c r="CV71" i="7949"/>
  <c r="CW71" i="7949"/>
  <c r="CZ71" i="7949"/>
  <c r="CY71" i="7949"/>
  <c r="DA649" i="7949"/>
  <c r="CU649" i="7949" s="1"/>
  <c r="CU648" i="7949"/>
  <c r="DA139" i="7949"/>
  <c r="CU138" i="7949"/>
  <c r="CV473" i="7949"/>
  <c r="CX473" i="7949"/>
  <c r="CY473" i="7949"/>
  <c r="CW473" i="7949"/>
  <c r="CZ473" i="7949"/>
  <c r="CW464" i="7949"/>
  <c r="CZ464" i="7949"/>
  <c r="CY464" i="7949"/>
  <c r="CV464" i="7949"/>
  <c r="CX464" i="7949"/>
  <c r="CV350" i="7949"/>
  <c r="CW350" i="7949"/>
  <c r="CZ350" i="7949"/>
  <c r="CY350" i="7949"/>
  <c r="CX350" i="7949"/>
  <c r="CX352" i="7949"/>
  <c r="CZ352" i="7949"/>
  <c r="CV352" i="7949"/>
  <c r="CW352" i="7949"/>
  <c r="CY352" i="7949"/>
  <c r="CW89" i="7949"/>
  <c r="CV89" i="7949"/>
  <c r="CY89" i="7949"/>
  <c r="CZ89" i="7949"/>
  <c r="CX89" i="7949"/>
  <c r="CX644" i="7949"/>
  <c r="CZ644" i="7949"/>
  <c r="CW644" i="7949"/>
  <c r="CY644" i="7949"/>
  <c r="CV644" i="7949"/>
  <c r="CZ167" i="7949"/>
  <c r="CV167" i="7949"/>
  <c r="CX167" i="7949"/>
  <c r="CY167" i="7949"/>
  <c r="CW167" i="7949"/>
  <c r="M155" i="7950"/>
  <c r="AX155" i="7950"/>
  <c r="AY155" i="7950"/>
  <c r="AW155" i="7950"/>
  <c r="AZ155" i="7950"/>
  <c r="DA46" i="7949"/>
  <c r="CU45" i="7949"/>
  <c r="CW87" i="7949"/>
  <c r="CY87" i="7949"/>
  <c r="CZ87" i="7949"/>
  <c r="CV87" i="7949"/>
  <c r="CX87" i="7949"/>
  <c r="CY93" i="7949"/>
  <c r="CW93" i="7949"/>
  <c r="CV93" i="7949"/>
  <c r="CZ93" i="7949"/>
  <c r="CX93" i="7949"/>
  <c r="CV641" i="7949"/>
  <c r="CW641" i="7949"/>
  <c r="CY641" i="7949"/>
  <c r="CZ641" i="7949"/>
  <c r="CX641" i="7949"/>
  <c r="CZ154" i="7949"/>
  <c r="CY154" i="7949"/>
  <c r="CV154" i="7949"/>
  <c r="CW154" i="7949"/>
  <c r="CX154" i="7949"/>
  <c r="CV636" i="7949"/>
  <c r="CW636" i="7949"/>
  <c r="CY636" i="7949"/>
  <c r="CZ636" i="7949"/>
  <c r="CX636" i="7949"/>
  <c r="CW164" i="7949"/>
  <c r="CY164" i="7949"/>
  <c r="CV164" i="7949"/>
  <c r="CX164" i="7949"/>
  <c r="CZ164" i="7949"/>
  <c r="CU615" i="7949"/>
  <c r="DA616" i="7949"/>
  <c r="CU616" i="7949" s="1"/>
  <c r="DA600" i="7949"/>
  <c r="CU599" i="7949"/>
  <c r="CZ631" i="7949"/>
  <c r="CW631" i="7949"/>
  <c r="CY631" i="7949"/>
  <c r="CV631" i="7949"/>
  <c r="CX631" i="7949"/>
  <c r="CY655" i="7949"/>
  <c r="CX655" i="7949"/>
  <c r="CV655" i="7949"/>
  <c r="CZ655" i="7949"/>
  <c r="CW655" i="7949"/>
  <c r="CX401" i="7949"/>
  <c r="CZ401" i="7949"/>
  <c r="CW401" i="7949"/>
  <c r="CY401" i="7949"/>
  <c r="CV401" i="7949"/>
  <c r="CW430" i="7949"/>
  <c r="CV430" i="7949"/>
  <c r="CX430" i="7949"/>
  <c r="CY430" i="7949"/>
  <c r="CZ430" i="7949"/>
  <c r="DA62" i="7949"/>
  <c r="CU62" i="7949" s="1"/>
  <c r="CU61" i="7949"/>
  <c r="CW444" i="7949"/>
  <c r="CX444" i="7949"/>
  <c r="CZ444" i="7949"/>
  <c r="CY444" i="7949"/>
  <c r="CV444" i="7949"/>
  <c r="DA103" i="7949"/>
  <c r="CU102" i="7949"/>
  <c r="CX442" i="7949"/>
  <c r="CV442" i="7949"/>
  <c r="CY442" i="7949"/>
  <c r="CW442" i="7949"/>
  <c r="CZ442" i="7949"/>
  <c r="CT767" i="7949"/>
  <c r="CV360" i="7949"/>
  <c r="CW360" i="7949"/>
  <c r="CY360" i="7949"/>
  <c r="CX360" i="7949"/>
  <c r="CZ360" i="7949"/>
  <c r="CY90" i="7949"/>
  <c r="CW90" i="7949"/>
  <c r="CZ90" i="7949"/>
  <c r="CV90" i="7949"/>
  <c r="CX90" i="7949"/>
  <c r="CX625" i="7949"/>
  <c r="CV625" i="7949"/>
  <c r="CW625" i="7949"/>
  <c r="CY625" i="7949"/>
  <c r="CZ625" i="7949"/>
  <c r="CX414" i="7949"/>
  <c r="CV414" i="7949"/>
  <c r="CY414" i="7949"/>
  <c r="CW414" i="7949"/>
  <c r="CZ414" i="7949"/>
  <c r="CZ322" i="7949"/>
  <c r="CY322" i="7949"/>
  <c r="CX322" i="7949"/>
  <c r="CV322" i="7949"/>
  <c r="CW322" i="7949"/>
  <c r="CX176" i="7949"/>
  <c r="CY176" i="7949"/>
  <c r="CZ176" i="7949"/>
  <c r="CW176" i="7949"/>
  <c r="CV176" i="7949"/>
  <c r="CW453" i="7949"/>
  <c r="CX453" i="7949"/>
  <c r="CV453" i="7949"/>
  <c r="CY453" i="7949"/>
  <c r="CZ453" i="7949"/>
  <c r="CW371" i="7949"/>
  <c r="CV371" i="7949"/>
  <c r="CX371" i="7949"/>
  <c r="CZ371" i="7949"/>
  <c r="CY371" i="7949"/>
  <c r="CW88" i="7949"/>
  <c r="CX88" i="7949"/>
  <c r="CV88" i="7949"/>
  <c r="CY88" i="7949"/>
  <c r="CZ88" i="7949"/>
  <c r="CZ618" i="7949"/>
  <c r="CW618" i="7949"/>
  <c r="CY618" i="7949"/>
  <c r="CV618" i="7949"/>
  <c r="CX618" i="7949"/>
  <c r="CV643" i="7949"/>
  <c r="CW643" i="7949"/>
  <c r="CY643" i="7949"/>
  <c r="CZ643" i="7949"/>
  <c r="CX643" i="7949"/>
  <c r="CX187" i="7949"/>
  <c r="CZ187" i="7949"/>
  <c r="CW187" i="7949"/>
  <c r="CY187" i="7949"/>
  <c r="CV187" i="7949"/>
  <c r="CU693" i="7949"/>
  <c r="DA694" i="7949"/>
  <c r="DA381" i="7949"/>
  <c r="CU381" i="7949" s="1"/>
  <c r="CU380" i="7949"/>
  <c r="CX193" i="7949"/>
  <c r="CZ193" i="7949"/>
  <c r="CW193" i="7949"/>
  <c r="CY193" i="7949"/>
  <c r="CV193" i="7949"/>
  <c r="CV64" i="7949"/>
  <c r="CY64" i="7949"/>
  <c r="CW64" i="7949"/>
  <c r="CZ64" i="7949"/>
  <c r="CX64" i="7949"/>
  <c r="CX217" i="7949"/>
  <c r="CV217" i="7949"/>
  <c r="CZ217" i="7949"/>
  <c r="CY217" i="7949"/>
  <c r="CT213" i="7949" s="1"/>
  <c r="CW217" i="7949"/>
  <c r="DA750" i="7949"/>
  <c r="CU750" i="7949" s="1"/>
  <c r="CU749" i="7949"/>
  <c r="CU83" i="7949"/>
  <c r="DA84" i="7949"/>
  <c r="CU84" i="7949" s="1"/>
  <c r="CU72" i="7949"/>
  <c r="DA73" i="7949"/>
  <c r="CU73" i="7949" s="1"/>
  <c r="CW647" i="7949"/>
  <c r="CY647" i="7949"/>
  <c r="CZ647" i="7949"/>
  <c r="CX647" i="7949"/>
  <c r="CV647" i="7949"/>
  <c r="CY137" i="7949"/>
  <c r="CW137" i="7949"/>
  <c r="CX137" i="7949"/>
  <c r="CV137" i="7949"/>
  <c r="CZ137" i="7949"/>
  <c r="CZ472" i="7949"/>
  <c r="CV472" i="7949"/>
  <c r="CY472" i="7949"/>
  <c r="CT467" i="7949" s="1"/>
  <c r="CX472" i="7949"/>
  <c r="CW472" i="7949"/>
  <c r="CZ463" i="7949"/>
  <c r="CX463" i="7949"/>
  <c r="CV463" i="7949"/>
  <c r="CY463" i="7949"/>
  <c r="CW463" i="7949"/>
  <c r="CX349" i="7949"/>
  <c r="CZ349" i="7949"/>
  <c r="CY349" i="7949"/>
  <c r="CW349" i="7949"/>
  <c r="CV349" i="7949"/>
  <c r="CW363" i="7949"/>
  <c r="CV363" i="7949"/>
  <c r="CX363" i="7949"/>
  <c r="CZ363" i="7949"/>
  <c r="CY363" i="7949"/>
  <c r="CZ78" i="7949"/>
  <c r="CY78" i="7949"/>
  <c r="CW78" i="7949"/>
  <c r="CV78" i="7949"/>
  <c r="CX78" i="7949"/>
  <c r="CY633" i="7949"/>
  <c r="CV633" i="7949"/>
  <c r="CX633" i="7949"/>
  <c r="CZ633" i="7949"/>
  <c r="CW633" i="7949"/>
  <c r="CW178" i="7949"/>
  <c r="CY178" i="7949"/>
  <c r="CV178" i="7949"/>
  <c r="CX178" i="7949"/>
  <c r="CZ178" i="7949"/>
  <c r="CY44" i="7949"/>
  <c r="CV44" i="7949"/>
  <c r="CW44" i="7949"/>
  <c r="CZ44" i="7949"/>
  <c r="CX44" i="7949"/>
  <c r="CX76" i="7949"/>
  <c r="CV76" i="7949"/>
  <c r="CW76" i="7949"/>
  <c r="CZ76" i="7949"/>
  <c r="CY76" i="7949"/>
  <c r="DA95" i="7949"/>
  <c r="CU95" i="7949" s="1"/>
  <c r="CU94" i="7949"/>
  <c r="CV630" i="7949"/>
  <c r="CW630" i="7949"/>
  <c r="CY630" i="7949"/>
  <c r="CZ630" i="7949"/>
  <c r="CX630" i="7949"/>
  <c r="CX153" i="7949"/>
  <c r="CW153" i="7949"/>
  <c r="CV153" i="7949"/>
  <c r="CY153" i="7949"/>
  <c r="CZ153" i="7949"/>
  <c r="CU637" i="7949"/>
  <c r="DA638" i="7949"/>
  <c r="CU638" i="7949" s="1"/>
  <c r="CW165" i="7949"/>
  <c r="CV165" i="7949"/>
  <c r="CZ165" i="7949"/>
  <c r="CY165" i="7949"/>
  <c r="CX165" i="7949"/>
  <c r="CZ614" i="7949"/>
  <c r="CX614" i="7949"/>
  <c r="CV614" i="7949"/>
  <c r="CW614" i="7949"/>
  <c r="CY614" i="7949"/>
  <c r="CZ598" i="7949"/>
  <c r="CW598" i="7949"/>
  <c r="CY598" i="7949"/>
  <c r="CV598" i="7949"/>
  <c r="CX598" i="7949"/>
  <c r="CW642" i="7949"/>
  <c r="CY642" i="7949"/>
  <c r="CV642" i="7949"/>
  <c r="CX642" i="7949"/>
  <c r="CZ642" i="7949"/>
  <c r="DA657" i="7949"/>
  <c r="CU656" i="7949"/>
  <c r="CZ402" i="7949"/>
  <c r="CX402" i="7949"/>
  <c r="CY402" i="7949"/>
  <c r="CW402" i="7949"/>
  <c r="CV402" i="7949"/>
  <c r="CW431" i="7949"/>
  <c r="CZ431" i="7949"/>
  <c r="CY431" i="7949"/>
  <c r="CX431" i="7949"/>
  <c r="CV431" i="7949"/>
  <c r="AZ139" i="7950"/>
  <c r="AW139" i="7950"/>
  <c r="AX139" i="7950"/>
  <c r="M139" i="7950"/>
  <c r="AY139" i="7950"/>
  <c r="AP140" i="7950" s="1"/>
  <c r="M92" i="7950"/>
  <c r="AW92" i="7950"/>
  <c r="AX92" i="7950"/>
  <c r="AY92" i="7950"/>
  <c r="AZ92" i="7950"/>
  <c r="CZ60" i="7949"/>
  <c r="CX60" i="7949"/>
  <c r="CY60" i="7949"/>
  <c r="CV60" i="7949"/>
  <c r="CW60" i="7949"/>
  <c r="CZ455" i="7949"/>
  <c r="CW455" i="7949"/>
  <c r="CY455" i="7949"/>
  <c r="CV455" i="7949"/>
  <c r="CX455" i="7949"/>
  <c r="CW101" i="7949"/>
  <c r="CY101" i="7949"/>
  <c r="CX101" i="7949"/>
  <c r="CV101" i="7949"/>
  <c r="CZ101" i="7949"/>
  <c r="CV441" i="7949"/>
  <c r="CY441" i="7949"/>
  <c r="CX441" i="7949"/>
  <c r="CW441" i="7949"/>
  <c r="CZ441" i="7949"/>
  <c r="CT121" i="7949"/>
  <c r="CT675" i="7949"/>
  <c r="CT490" i="7949"/>
  <c r="AT125" i="7950" l="1"/>
  <c r="AU125" i="7950" s="1"/>
  <c r="K125" i="7950" s="1"/>
  <c r="AQ125" i="7950"/>
  <c r="E125" i="7950"/>
  <c r="G125" i="7950"/>
  <c r="I125" i="7950"/>
  <c r="I109" i="7950"/>
  <c r="AT109" i="7950"/>
  <c r="AU109" i="7950" s="1"/>
  <c r="AV109" i="7950" s="1"/>
  <c r="AR109" i="7950"/>
  <c r="E109" i="7950"/>
  <c r="AQ109" i="7950"/>
  <c r="K109" i="7950"/>
  <c r="CT398" i="7949"/>
  <c r="DG399" i="7949" s="1"/>
  <c r="AP156" i="7950"/>
  <c r="AR156" i="7950" s="1"/>
  <c r="AP93" i="7950"/>
  <c r="E93" i="7950" s="1"/>
  <c r="G156" i="7950"/>
  <c r="DG214" i="7949"/>
  <c r="DG215" i="7949"/>
  <c r="DG677" i="7949"/>
  <c r="DG676" i="7949"/>
  <c r="CU657" i="7949"/>
  <c r="DA658" i="7949"/>
  <c r="CU658" i="7949" s="1"/>
  <c r="CZ637" i="7949"/>
  <c r="CW637" i="7949"/>
  <c r="CY637" i="7949"/>
  <c r="CV637" i="7949"/>
  <c r="CX637" i="7949"/>
  <c r="CY95" i="7949"/>
  <c r="CW95" i="7949"/>
  <c r="CX95" i="7949"/>
  <c r="CV95" i="7949"/>
  <c r="CZ95" i="7949"/>
  <c r="CV73" i="7949"/>
  <c r="CW73" i="7949"/>
  <c r="CY73" i="7949"/>
  <c r="CZ73" i="7949"/>
  <c r="CX73" i="7949"/>
  <c r="CX84" i="7949"/>
  <c r="CZ84" i="7949"/>
  <c r="CY84" i="7949"/>
  <c r="CV84" i="7949"/>
  <c r="CW84" i="7949"/>
  <c r="CW749" i="7949"/>
  <c r="CY749" i="7949"/>
  <c r="CV749" i="7949"/>
  <c r="CX749" i="7949"/>
  <c r="CZ749" i="7949"/>
  <c r="CY381" i="7949"/>
  <c r="CZ381" i="7949"/>
  <c r="CX381" i="7949"/>
  <c r="CW381" i="7949"/>
  <c r="CV381" i="7949"/>
  <c r="CZ693" i="7949"/>
  <c r="CX693" i="7949"/>
  <c r="CV693" i="7949"/>
  <c r="CW693" i="7949"/>
  <c r="CY693" i="7949"/>
  <c r="DA104" i="7949"/>
  <c r="CU104" i="7949" s="1"/>
  <c r="CU103" i="7949"/>
  <c r="CZ61" i="7949"/>
  <c r="CW61" i="7949"/>
  <c r="CX61" i="7949"/>
  <c r="CY61" i="7949"/>
  <c r="CV61" i="7949"/>
  <c r="CV599" i="7949"/>
  <c r="CZ599" i="7949"/>
  <c r="CX599" i="7949"/>
  <c r="CY599" i="7949"/>
  <c r="CW599" i="7949"/>
  <c r="CY616" i="7949"/>
  <c r="CX616" i="7949"/>
  <c r="CZ616" i="7949"/>
  <c r="CW616" i="7949"/>
  <c r="CV616" i="7949"/>
  <c r="CW45" i="7949"/>
  <c r="CX45" i="7949"/>
  <c r="CZ45" i="7949"/>
  <c r="CY45" i="7949"/>
  <c r="CV45" i="7949"/>
  <c r="DA140" i="7949"/>
  <c r="CU139" i="7949"/>
  <c r="CV649" i="7949"/>
  <c r="CW649" i="7949"/>
  <c r="CX649" i="7949"/>
  <c r="CZ649" i="7949"/>
  <c r="CY649" i="7949"/>
  <c r="CW86" i="7949"/>
  <c r="CX86" i="7949"/>
  <c r="CZ86" i="7949"/>
  <c r="CY86" i="7949"/>
  <c r="CV86" i="7949"/>
  <c r="CU195" i="7949"/>
  <c r="DA196" i="7949"/>
  <c r="CU196" i="7949" s="1"/>
  <c r="CX629" i="7949"/>
  <c r="CY629" i="7949"/>
  <c r="CW629" i="7949"/>
  <c r="CZ629" i="7949"/>
  <c r="CV629" i="7949"/>
  <c r="DA325" i="7949"/>
  <c r="CU324" i="7949"/>
  <c r="CU416" i="7949"/>
  <c r="DA417" i="7949"/>
  <c r="CY627" i="7949"/>
  <c r="CW627" i="7949"/>
  <c r="CV627" i="7949"/>
  <c r="CZ627" i="7949"/>
  <c r="CX627" i="7949"/>
  <c r="AP77" i="7950"/>
  <c r="DG491" i="7949"/>
  <c r="DG492" i="7949"/>
  <c r="DG123" i="7949"/>
  <c r="DG122" i="7949"/>
  <c r="E140" i="7950"/>
  <c r="AR140" i="7950"/>
  <c r="I140" i="7950"/>
  <c r="G140" i="7950"/>
  <c r="AT140" i="7950"/>
  <c r="AU140" i="7950" s="1"/>
  <c r="AQ140" i="7950"/>
  <c r="CW656" i="7949"/>
  <c r="CZ656" i="7949"/>
  <c r="CX656" i="7949"/>
  <c r="CY656" i="7949"/>
  <c r="CV656" i="7949"/>
  <c r="CW638" i="7949"/>
  <c r="CV638" i="7949"/>
  <c r="CZ638" i="7949"/>
  <c r="CX638" i="7949"/>
  <c r="CY638" i="7949"/>
  <c r="CX94" i="7949"/>
  <c r="CV94" i="7949"/>
  <c r="CW94" i="7949"/>
  <c r="CY94" i="7949"/>
  <c r="CZ94" i="7949"/>
  <c r="DG468" i="7949"/>
  <c r="DG469" i="7949"/>
  <c r="DG470" i="7949"/>
  <c r="CZ72" i="7949"/>
  <c r="CW72" i="7949"/>
  <c r="CX72" i="7949"/>
  <c r="CV72" i="7949"/>
  <c r="CY72" i="7949"/>
  <c r="CV83" i="7949"/>
  <c r="CZ83" i="7949"/>
  <c r="CY83" i="7949"/>
  <c r="CW83" i="7949"/>
  <c r="CX83" i="7949"/>
  <c r="CW750" i="7949"/>
  <c r="CZ750" i="7949"/>
  <c r="CV750" i="7949"/>
  <c r="CY750" i="7949"/>
  <c r="CX750" i="7949"/>
  <c r="CX380" i="7949"/>
  <c r="CZ380" i="7949"/>
  <c r="CV380" i="7949"/>
  <c r="CW380" i="7949"/>
  <c r="CY380" i="7949"/>
  <c r="CU694" i="7949"/>
  <c r="DA695" i="7949"/>
  <c r="DG769" i="7949"/>
  <c r="DG768" i="7949"/>
  <c r="CV102" i="7949"/>
  <c r="CY102" i="7949"/>
  <c r="CZ102" i="7949"/>
  <c r="CX102" i="7949"/>
  <c r="CW102" i="7949"/>
  <c r="CY62" i="7949"/>
  <c r="CV62" i="7949"/>
  <c r="CW62" i="7949"/>
  <c r="CX62" i="7949"/>
  <c r="CZ62" i="7949"/>
  <c r="DA601" i="7949"/>
  <c r="CU600" i="7949"/>
  <c r="CZ615" i="7949"/>
  <c r="CW615" i="7949"/>
  <c r="CY615" i="7949"/>
  <c r="CV615" i="7949"/>
  <c r="CX615" i="7949"/>
  <c r="DA47" i="7949"/>
  <c r="CU46" i="7949"/>
  <c r="CZ138" i="7949"/>
  <c r="CX138" i="7949"/>
  <c r="CW138" i="7949"/>
  <c r="CY138" i="7949"/>
  <c r="CV138" i="7949"/>
  <c r="CY648" i="7949"/>
  <c r="CX648" i="7949"/>
  <c r="CV648" i="7949"/>
  <c r="CZ648" i="7949"/>
  <c r="CW648" i="7949"/>
  <c r="CV75" i="7949"/>
  <c r="CX75" i="7949"/>
  <c r="CW75" i="7949"/>
  <c r="CY75" i="7949"/>
  <c r="CZ75" i="7949"/>
  <c r="CV194" i="7949"/>
  <c r="CY194" i="7949"/>
  <c r="CZ194" i="7949"/>
  <c r="CX194" i="7949"/>
  <c r="CW194" i="7949"/>
  <c r="CW640" i="7949"/>
  <c r="CX640" i="7949"/>
  <c r="CZ640" i="7949"/>
  <c r="CV640" i="7949"/>
  <c r="CY640" i="7949"/>
  <c r="CZ323" i="7949"/>
  <c r="CY323" i="7949"/>
  <c r="CW323" i="7949"/>
  <c r="CV323" i="7949"/>
  <c r="CX323" i="7949"/>
  <c r="CW415" i="7949"/>
  <c r="CZ415" i="7949"/>
  <c r="CV415" i="7949"/>
  <c r="CX415" i="7949"/>
  <c r="CY415" i="7949"/>
  <c r="CZ626" i="7949"/>
  <c r="CV626" i="7949"/>
  <c r="CY626" i="7949"/>
  <c r="CW626" i="7949"/>
  <c r="CX626" i="7949"/>
  <c r="AV125" i="7950" l="1"/>
  <c r="M125" i="7950" s="1"/>
  <c r="AX109" i="7950"/>
  <c r="AZ109" i="7950"/>
  <c r="AW109" i="7950"/>
  <c r="M109" i="7950"/>
  <c r="AY109" i="7950"/>
  <c r="CT744" i="7949"/>
  <c r="DG747" i="7949" s="1"/>
  <c r="AQ156" i="7950"/>
  <c r="I93" i="7950"/>
  <c r="AT156" i="7950"/>
  <c r="AU156" i="7950" s="1"/>
  <c r="K156" i="7950" s="1"/>
  <c r="E156" i="7950"/>
  <c r="I156" i="7950"/>
  <c r="AR93" i="7950"/>
  <c r="AT93" i="7950"/>
  <c r="AU93" i="7950" s="1"/>
  <c r="K93" i="7950" s="1"/>
  <c r="DG400" i="7949"/>
  <c r="DJ400" i="7949" s="1"/>
  <c r="G93" i="7950"/>
  <c r="AQ93" i="7950"/>
  <c r="DA48" i="7949"/>
  <c r="CU47" i="7949"/>
  <c r="DA602" i="7949"/>
  <c r="CU601" i="7949"/>
  <c r="DI769" i="7949"/>
  <c r="DJ769" i="7949"/>
  <c r="CZ46" i="7949"/>
  <c r="CX46" i="7949"/>
  <c r="CY46" i="7949"/>
  <c r="CW46" i="7949"/>
  <c r="CV46" i="7949"/>
  <c r="CW600" i="7949"/>
  <c r="CZ600" i="7949"/>
  <c r="CX600" i="7949"/>
  <c r="CY600" i="7949"/>
  <c r="CV600" i="7949"/>
  <c r="DJ768" i="7949"/>
  <c r="DI768" i="7949"/>
  <c r="DA696" i="7949"/>
  <c r="CU695" i="7949"/>
  <c r="DJ470" i="7949"/>
  <c r="DI470" i="7949"/>
  <c r="DI123" i="7949"/>
  <c r="DJ123" i="7949"/>
  <c r="DJ491" i="7949"/>
  <c r="DI491" i="7949"/>
  <c r="DA418" i="7949"/>
  <c r="CU417" i="7949"/>
  <c r="CX324" i="7949"/>
  <c r="CV324" i="7949"/>
  <c r="CW324" i="7949"/>
  <c r="CZ324" i="7949"/>
  <c r="CY324" i="7949"/>
  <c r="CZ195" i="7949"/>
  <c r="CW195" i="7949"/>
  <c r="CX195" i="7949"/>
  <c r="CV195" i="7949"/>
  <c r="CY195" i="7949"/>
  <c r="DA141" i="7949"/>
  <c r="CU140" i="7949"/>
  <c r="CX104" i="7949"/>
  <c r="CZ104" i="7949"/>
  <c r="CY104" i="7949"/>
  <c r="CW104" i="7949"/>
  <c r="CV104" i="7949"/>
  <c r="CV658" i="7949"/>
  <c r="CW658" i="7949"/>
  <c r="CY658" i="7949"/>
  <c r="CX658" i="7949"/>
  <c r="CZ658" i="7949"/>
  <c r="DI676" i="7949"/>
  <c r="DJ676" i="7949"/>
  <c r="DJ214" i="7949"/>
  <c r="DI214" i="7949"/>
  <c r="DI399" i="7949"/>
  <c r="DJ399" i="7949"/>
  <c r="CT375" i="7949"/>
  <c r="CZ694" i="7949"/>
  <c r="CV694" i="7949"/>
  <c r="CY694" i="7949"/>
  <c r="CX694" i="7949"/>
  <c r="CW694" i="7949"/>
  <c r="AV140" i="7950"/>
  <c r="K140" i="7950"/>
  <c r="DJ122" i="7949"/>
  <c r="DI122" i="7949"/>
  <c r="DJ492" i="7949"/>
  <c r="DI492" i="7949"/>
  <c r="G77" i="7950"/>
  <c r="E77" i="7950"/>
  <c r="AT77" i="7950"/>
  <c r="AU77" i="7950" s="1"/>
  <c r="I77" i="7950"/>
  <c r="AQ77" i="7950"/>
  <c r="AR77" i="7950"/>
  <c r="CV416" i="7949"/>
  <c r="CX416" i="7949"/>
  <c r="CY416" i="7949"/>
  <c r="CZ416" i="7949"/>
  <c r="CW416" i="7949"/>
  <c r="CU325" i="7949"/>
  <c r="DA326" i="7949"/>
  <c r="CV196" i="7949"/>
  <c r="CY196" i="7949"/>
  <c r="CZ196" i="7949"/>
  <c r="CX196" i="7949"/>
  <c r="CW196" i="7949"/>
  <c r="CW139" i="7949"/>
  <c r="CY139" i="7949"/>
  <c r="CZ139" i="7949"/>
  <c r="CX139" i="7949"/>
  <c r="CV139" i="7949"/>
  <c r="CV103" i="7949"/>
  <c r="CZ103" i="7949"/>
  <c r="CY103" i="7949"/>
  <c r="CX103" i="7949"/>
  <c r="CW103" i="7949"/>
  <c r="CZ657" i="7949"/>
  <c r="CW657" i="7949"/>
  <c r="CV657" i="7949"/>
  <c r="CX657" i="7949"/>
  <c r="CY657" i="7949"/>
  <c r="DJ677" i="7949"/>
  <c r="DI677" i="7949"/>
  <c r="DJ215" i="7949"/>
  <c r="DI215" i="7949"/>
  <c r="AV93" i="7950" l="1"/>
  <c r="AX93" i="7950" s="1"/>
  <c r="AY125" i="7950"/>
  <c r="AW125" i="7950"/>
  <c r="AZ125" i="7950"/>
  <c r="AX125" i="7950"/>
  <c r="AP126" i="7950"/>
  <c r="G126" i="7950" s="1"/>
  <c r="DG745" i="7949"/>
  <c r="DI745" i="7949" s="1"/>
  <c r="DG746" i="7949"/>
  <c r="AP110" i="7950"/>
  <c r="AV156" i="7950"/>
  <c r="AW156" i="7950" s="1"/>
  <c r="DI400" i="7949"/>
  <c r="DO214" i="7949"/>
  <c r="CT190" i="7949"/>
  <c r="DG192" i="7949" s="1"/>
  <c r="DO491" i="7949"/>
  <c r="DO470" i="7949"/>
  <c r="DO768" i="7949"/>
  <c r="DO400" i="7949"/>
  <c r="DO215" i="7949"/>
  <c r="DO677" i="7949"/>
  <c r="CT652" i="7949"/>
  <c r="DG653" i="7949" s="1"/>
  <c r="DA327" i="7949"/>
  <c r="CU326" i="7949"/>
  <c r="K77" i="7950"/>
  <c r="AV77" i="7950"/>
  <c r="CZ417" i="7949"/>
  <c r="CV417" i="7949"/>
  <c r="CY417" i="7949"/>
  <c r="CW417" i="7949"/>
  <c r="CX417" i="7949"/>
  <c r="CW325" i="7949"/>
  <c r="CY325" i="7949"/>
  <c r="CX325" i="7949"/>
  <c r="CZ325" i="7949"/>
  <c r="CV325" i="7949"/>
  <c r="M140" i="7950"/>
  <c r="AW140" i="7950"/>
  <c r="AX140" i="7950"/>
  <c r="AZ140" i="7950"/>
  <c r="AY140" i="7950"/>
  <c r="DG376" i="7949"/>
  <c r="DG378" i="7949"/>
  <c r="DG377" i="7949"/>
  <c r="CU141" i="7949"/>
  <c r="DA142" i="7949"/>
  <c r="DA419" i="7949"/>
  <c r="CU418" i="7949"/>
  <c r="DA697" i="7949"/>
  <c r="CU697" i="7949" s="1"/>
  <c r="CU696" i="7949"/>
  <c r="DJ746" i="7949"/>
  <c r="DI746" i="7949"/>
  <c r="DI747" i="7949"/>
  <c r="DJ747" i="7949"/>
  <c r="CU602" i="7949"/>
  <c r="DA603" i="7949"/>
  <c r="CU48" i="7949"/>
  <c r="DA49" i="7949"/>
  <c r="DO492" i="7949"/>
  <c r="DO122" i="7949"/>
  <c r="DO399" i="7949"/>
  <c r="DO676" i="7949"/>
  <c r="CT98" i="7949"/>
  <c r="DO123" i="7949"/>
  <c r="DO769" i="7949"/>
  <c r="CX140" i="7949"/>
  <c r="CW140" i="7949"/>
  <c r="CV140" i="7949"/>
  <c r="CY140" i="7949"/>
  <c r="CZ140" i="7949"/>
  <c r="CV695" i="7949"/>
  <c r="CZ695" i="7949"/>
  <c r="CW695" i="7949"/>
  <c r="CX695" i="7949"/>
  <c r="CY695" i="7949"/>
  <c r="CZ601" i="7949"/>
  <c r="CX601" i="7949"/>
  <c r="CY601" i="7949"/>
  <c r="CW601" i="7949"/>
  <c r="CV601" i="7949"/>
  <c r="CX47" i="7949"/>
  <c r="CV47" i="7949"/>
  <c r="CZ47" i="7949"/>
  <c r="CY47" i="7949"/>
  <c r="CW47" i="7949"/>
  <c r="DJ745" i="7949" l="1"/>
  <c r="AZ93" i="7950"/>
  <c r="M93" i="7950"/>
  <c r="AY93" i="7950"/>
  <c r="AW93" i="7950"/>
  <c r="I126" i="7950"/>
  <c r="AQ126" i="7950"/>
  <c r="E126" i="7950"/>
  <c r="AR126" i="7950"/>
  <c r="AT126" i="7950"/>
  <c r="AU126" i="7950" s="1"/>
  <c r="AY156" i="7950"/>
  <c r="M156" i="7950"/>
  <c r="E110" i="7950"/>
  <c r="AR110" i="7950"/>
  <c r="AQ110" i="7950"/>
  <c r="AT110" i="7950"/>
  <c r="AU110" i="7950" s="1"/>
  <c r="G110" i="7950"/>
  <c r="I110" i="7950"/>
  <c r="AV126" i="7950"/>
  <c r="K126" i="7950"/>
  <c r="AZ156" i="7950"/>
  <c r="AP157" i="7950" s="1"/>
  <c r="AX156" i="7950"/>
  <c r="DO745" i="7949"/>
  <c r="DO746" i="7949"/>
  <c r="AP141" i="7950"/>
  <c r="AQ141" i="7950" s="1"/>
  <c r="DG654" i="7949"/>
  <c r="DJ654" i="7949" s="1"/>
  <c r="DG193" i="7949"/>
  <c r="DI193" i="7949" s="1"/>
  <c r="DG655" i="7949"/>
  <c r="DJ655" i="7949" s="1"/>
  <c r="DG191" i="7949"/>
  <c r="DG100" i="7949"/>
  <c r="DG101" i="7949"/>
  <c r="DG99" i="7949"/>
  <c r="CY48" i="7949"/>
  <c r="CV48" i="7949"/>
  <c r="CZ48" i="7949"/>
  <c r="CW48" i="7949"/>
  <c r="CX48" i="7949"/>
  <c r="CZ602" i="7949"/>
  <c r="CW602" i="7949"/>
  <c r="CX602" i="7949"/>
  <c r="CY602" i="7949"/>
  <c r="CV602" i="7949"/>
  <c r="CV697" i="7949"/>
  <c r="CX697" i="7949"/>
  <c r="CY697" i="7949"/>
  <c r="CZ697" i="7949"/>
  <c r="CW697" i="7949"/>
  <c r="CU419" i="7949"/>
  <c r="DA420" i="7949"/>
  <c r="CU420" i="7949" s="1"/>
  <c r="CX141" i="7949"/>
  <c r="CZ141" i="7949"/>
  <c r="CW141" i="7949"/>
  <c r="CY141" i="7949"/>
  <c r="CV141" i="7949"/>
  <c r="DI378" i="7949"/>
  <c r="DJ378" i="7949"/>
  <c r="CU327" i="7949"/>
  <c r="DA328" i="7949"/>
  <c r="CU328" i="7949" s="1"/>
  <c r="DO747" i="7949"/>
  <c r="DA50" i="7949"/>
  <c r="CU49" i="7949"/>
  <c r="CU603" i="7949"/>
  <c r="DA604" i="7949"/>
  <c r="CY696" i="7949"/>
  <c r="CV696" i="7949"/>
  <c r="CX696" i="7949"/>
  <c r="CZ696" i="7949"/>
  <c r="CW696" i="7949"/>
  <c r="CY418" i="7949"/>
  <c r="CW418" i="7949"/>
  <c r="CZ418" i="7949"/>
  <c r="CX418" i="7949"/>
  <c r="CV418" i="7949"/>
  <c r="CU142" i="7949"/>
  <c r="DA143" i="7949"/>
  <c r="CU143" i="7949" s="1"/>
  <c r="DJ377" i="7949"/>
  <c r="DI377" i="7949"/>
  <c r="DJ376" i="7949"/>
  <c r="DI376" i="7949"/>
  <c r="AW77" i="7950"/>
  <c r="AX77" i="7950"/>
  <c r="M77" i="7950"/>
  <c r="AZ77" i="7950"/>
  <c r="AY77" i="7950"/>
  <c r="CX326" i="7949"/>
  <c r="CW326" i="7949"/>
  <c r="CY326" i="7949"/>
  <c r="CZ326" i="7949"/>
  <c r="CV326" i="7949"/>
  <c r="DJ653" i="7949"/>
  <c r="DI653" i="7949"/>
  <c r="AP94" i="7950"/>
  <c r="DI655" i="7949" l="1"/>
  <c r="DO655" i="7949" s="1"/>
  <c r="DI654" i="7949"/>
  <c r="DO654" i="7949" s="1"/>
  <c r="M126" i="7950"/>
  <c r="AW126" i="7950"/>
  <c r="AY126" i="7950"/>
  <c r="AX126" i="7950"/>
  <c r="AZ126" i="7950"/>
  <c r="K110" i="7950"/>
  <c r="AV110" i="7950"/>
  <c r="G141" i="7950"/>
  <c r="DJ193" i="7949"/>
  <c r="DO193" i="7949" s="1"/>
  <c r="AP78" i="7950"/>
  <c r="AR78" i="7950" s="1"/>
  <c r="AR141" i="7950"/>
  <c r="I141" i="7950"/>
  <c r="E141" i="7950"/>
  <c r="AT141" i="7950"/>
  <c r="AU141" i="7950" s="1"/>
  <c r="K141" i="7950" s="1"/>
  <c r="DO376" i="7949"/>
  <c r="DO377" i="7949"/>
  <c r="DO378" i="7949"/>
  <c r="AT157" i="7950"/>
  <c r="AU157" i="7950" s="1"/>
  <c r="G157" i="7950"/>
  <c r="AQ157" i="7950"/>
  <c r="E157" i="7950"/>
  <c r="I157" i="7950"/>
  <c r="AR157" i="7950"/>
  <c r="AQ94" i="7950"/>
  <c r="I94" i="7950"/>
  <c r="AR94" i="7950"/>
  <c r="AT94" i="7950"/>
  <c r="AU94" i="7950" s="1"/>
  <c r="E94" i="7950"/>
  <c r="G94" i="7950"/>
  <c r="CY142" i="7949"/>
  <c r="CZ142" i="7949"/>
  <c r="CX142" i="7949"/>
  <c r="CV142" i="7949"/>
  <c r="CW142" i="7949"/>
  <c r="CX603" i="7949"/>
  <c r="CV603" i="7949"/>
  <c r="CW603" i="7949"/>
  <c r="CY603" i="7949"/>
  <c r="CZ603" i="7949"/>
  <c r="DA51" i="7949"/>
  <c r="CU51" i="7949" s="1"/>
  <c r="CU50" i="7949"/>
  <c r="CZ328" i="7949"/>
  <c r="CW328" i="7949"/>
  <c r="CY328" i="7949"/>
  <c r="CV328" i="7949"/>
  <c r="CX328" i="7949"/>
  <c r="CZ419" i="7949"/>
  <c r="CY419" i="7949"/>
  <c r="CX419" i="7949"/>
  <c r="CV419" i="7949"/>
  <c r="CW419" i="7949"/>
  <c r="DI99" i="7949"/>
  <c r="DJ99" i="7949"/>
  <c r="DI100" i="7949"/>
  <c r="DJ100" i="7949"/>
  <c r="DO653" i="7949"/>
  <c r="G78" i="7950"/>
  <c r="CY143" i="7949"/>
  <c r="CW143" i="7949"/>
  <c r="CZ143" i="7949"/>
  <c r="CV143" i="7949"/>
  <c r="CX143" i="7949"/>
  <c r="CU604" i="7949"/>
  <c r="DA605" i="7949"/>
  <c r="CU605" i="7949" s="1"/>
  <c r="CX49" i="7949"/>
  <c r="CZ49" i="7949"/>
  <c r="CV49" i="7949"/>
  <c r="CY49" i="7949"/>
  <c r="CW49" i="7949"/>
  <c r="CV327" i="7949"/>
  <c r="DI469" i="7949" s="1"/>
  <c r="CX327" i="7949"/>
  <c r="CZ327" i="7949"/>
  <c r="CY327" i="7949"/>
  <c r="CW327" i="7949"/>
  <c r="DJ469" i="7949" s="1"/>
  <c r="CV420" i="7949"/>
  <c r="CZ420" i="7949"/>
  <c r="CX420" i="7949"/>
  <c r="CY420" i="7949"/>
  <c r="CW420" i="7949"/>
  <c r="DJ101" i="7949"/>
  <c r="DI101" i="7949"/>
  <c r="CT687" i="7949"/>
  <c r="AP127" i="7950" l="1"/>
  <c r="AR127" i="7950" s="1"/>
  <c r="AW110" i="7950"/>
  <c r="AX110" i="7950"/>
  <c r="AZ110" i="7950"/>
  <c r="M110" i="7950"/>
  <c r="AY110" i="7950"/>
  <c r="AP111" i="7950" s="1"/>
  <c r="AT127" i="7950"/>
  <c r="AU127" i="7950" s="1"/>
  <c r="AV141" i="7950"/>
  <c r="AW141" i="7950" s="1"/>
  <c r="AQ78" i="7950"/>
  <c r="AT78" i="7950"/>
  <c r="AU78" i="7950" s="1"/>
  <c r="K78" i="7950" s="1"/>
  <c r="I78" i="7950"/>
  <c r="E78" i="7950"/>
  <c r="DJ468" i="7949"/>
  <c r="DO469" i="7949"/>
  <c r="DI468" i="7949"/>
  <c r="DO468" i="7949" s="1"/>
  <c r="DO100" i="7949"/>
  <c r="CT410" i="7949"/>
  <c r="DG411" i="7949" s="1"/>
  <c r="CT133" i="7949"/>
  <c r="DG136" i="7949" s="1"/>
  <c r="DG414" i="7949"/>
  <c r="CV605" i="7949"/>
  <c r="CW605" i="7949"/>
  <c r="CY605" i="7949"/>
  <c r="CZ605" i="7949"/>
  <c r="CX605" i="7949"/>
  <c r="CV50" i="7949"/>
  <c r="CY50" i="7949"/>
  <c r="CX50" i="7949"/>
  <c r="CW50" i="7949"/>
  <c r="CZ50" i="7949"/>
  <c r="K157" i="7950"/>
  <c r="AV157" i="7950"/>
  <c r="DO99" i="7949"/>
  <c r="DG688" i="7949"/>
  <c r="DG692" i="7949"/>
  <c r="DG691" i="7949"/>
  <c r="DG690" i="7949"/>
  <c r="DG689" i="7949"/>
  <c r="CV604" i="7949"/>
  <c r="CW604" i="7949"/>
  <c r="CY604" i="7949"/>
  <c r="CZ604" i="7949"/>
  <c r="CX604" i="7949"/>
  <c r="CZ51" i="7949"/>
  <c r="CX51" i="7949"/>
  <c r="CY51" i="7949"/>
  <c r="CW51" i="7949"/>
  <c r="CV51" i="7949"/>
  <c r="K94" i="7950"/>
  <c r="AV94" i="7950"/>
  <c r="DO101" i="7949"/>
  <c r="CT318" i="7949"/>
  <c r="AZ141" i="7950" l="1"/>
  <c r="AQ127" i="7950"/>
  <c r="G127" i="7950"/>
  <c r="E127" i="7950"/>
  <c r="I127" i="7950"/>
  <c r="K127" i="7950"/>
  <c r="AV127" i="7950"/>
  <c r="AQ111" i="7950"/>
  <c r="AT111" i="7950"/>
  <c r="AU111" i="7950" s="1"/>
  <c r="G111" i="7950"/>
  <c r="E111" i="7950"/>
  <c r="AR111" i="7950"/>
  <c r="I111" i="7950"/>
  <c r="AV78" i="7950"/>
  <c r="M141" i="7950"/>
  <c r="AY141" i="7950"/>
  <c r="AX141" i="7950"/>
  <c r="DI191" i="7949"/>
  <c r="DJ192" i="7949"/>
  <c r="DG412" i="7949"/>
  <c r="DH412" i="7949" s="1"/>
  <c r="DI192" i="7949"/>
  <c r="DO192" i="7949" s="1"/>
  <c r="DG137" i="7949"/>
  <c r="DI137" i="7949" s="1"/>
  <c r="DJ191" i="7949"/>
  <c r="DG135" i="7949"/>
  <c r="DG415" i="7949"/>
  <c r="DH415" i="7949" s="1"/>
  <c r="DG134" i="7949"/>
  <c r="DH134" i="7949" s="1"/>
  <c r="DG138" i="7949"/>
  <c r="DG144" i="7949" s="1"/>
  <c r="CT41" i="7949"/>
  <c r="DK307" i="7949" s="1"/>
  <c r="DG413" i="7949"/>
  <c r="DG419" i="7949" s="1"/>
  <c r="DG319" i="7949"/>
  <c r="DL583" i="7949"/>
  <c r="DN583" i="7949" s="1"/>
  <c r="DL560" i="7949"/>
  <c r="DN560" i="7949" s="1"/>
  <c r="DK584" i="7949"/>
  <c r="DL562" i="7949"/>
  <c r="DN562" i="7949" s="1"/>
  <c r="DK561" i="7949"/>
  <c r="DK583" i="7949"/>
  <c r="DK560" i="7949"/>
  <c r="DL584" i="7949"/>
  <c r="DN584" i="7949" s="1"/>
  <c r="DK562" i="7949"/>
  <c r="DL561" i="7949"/>
  <c r="DN561" i="7949" s="1"/>
  <c r="DL511" i="7949"/>
  <c r="DN511" i="7949" s="1"/>
  <c r="DK512" i="7949"/>
  <c r="DL513" i="7949"/>
  <c r="DN513" i="7949" s="1"/>
  <c r="DK509" i="7949"/>
  <c r="DK510" i="7949"/>
  <c r="DK511" i="7949"/>
  <c r="DL512" i="7949"/>
  <c r="DN512" i="7949" s="1"/>
  <c r="DK513" i="7949"/>
  <c r="DL509" i="7949"/>
  <c r="DN509" i="7949" s="1"/>
  <c r="DL510" i="7949"/>
  <c r="DN510" i="7949" s="1"/>
  <c r="DG321" i="7949"/>
  <c r="DG322" i="7949"/>
  <c r="DG323" i="7949"/>
  <c r="DG320" i="7949"/>
  <c r="DK400" i="7949"/>
  <c r="DL470" i="7949"/>
  <c r="DN470" i="7949" s="1"/>
  <c r="DK468" i="7949"/>
  <c r="DK491" i="7949"/>
  <c r="DK399" i="7949"/>
  <c r="DL469" i="7949"/>
  <c r="DN469" i="7949" s="1"/>
  <c r="DL492" i="7949"/>
  <c r="DN492" i="7949" s="1"/>
  <c r="DL400" i="7949"/>
  <c r="DN400" i="7949" s="1"/>
  <c r="DK470" i="7949"/>
  <c r="DL468" i="7949"/>
  <c r="DN468" i="7949" s="1"/>
  <c r="DL491" i="7949"/>
  <c r="DN491" i="7949" s="1"/>
  <c r="DL399" i="7949"/>
  <c r="DN399" i="7949" s="1"/>
  <c r="DK469" i="7949"/>
  <c r="DK492" i="7949"/>
  <c r="DL378" i="7949"/>
  <c r="DN378" i="7949" s="1"/>
  <c r="DK377" i="7949"/>
  <c r="DK376" i="7949"/>
  <c r="DK378" i="7949"/>
  <c r="DL377" i="7949"/>
  <c r="DN377" i="7949" s="1"/>
  <c r="DL376" i="7949"/>
  <c r="DN376" i="7949" s="1"/>
  <c r="DI690" i="7949"/>
  <c r="DH690" i="7949"/>
  <c r="DG696" i="7949"/>
  <c r="DG698" i="7949"/>
  <c r="DH692" i="7949"/>
  <c r="DI692" i="7949"/>
  <c r="M157" i="7950"/>
  <c r="AW157" i="7950"/>
  <c r="AX157" i="7950"/>
  <c r="AY157" i="7950"/>
  <c r="AZ157" i="7950"/>
  <c r="DG140" i="7949"/>
  <c r="DH138" i="7949"/>
  <c r="DH136" i="7949"/>
  <c r="DG142" i="7949"/>
  <c r="DI136" i="7949"/>
  <c r="DG418" i="7949"/>
  <c r="DG421" i="7949"/>
  <c r="DI414" i="7949"/>
  <c r="DG420" i="7949"/>
  <c r="DH414" i="7949"/>
  <c r="AW94" i="7950"/>
  <c r="M94" i="7950"/>
  <c r="AX94" i="7950"/>
  <c r="AZ94" i="7950"/>
  <c r="AY94" i="7950"/>
  <c r="DK285" i="7949"/>
  <c r="DK284" i="7949"/>
  <c r="DK233" i="7949"/>
  <c r="DL123" i="7949"/>
  <c r="DN123" i="7949" s="1"/>
  <c r="DK192" i="7949"/>
  <c r="DK99" i="7949"/>
  <c r="DI689" i="7949"/>
  <c r="DG695" i="7949"/>
  <c r="DH689" i="7949"/>
  <c r="DG697" i="7949"/>
  <c r="DI691" i="7949"/>
  <c r="DH691" i="7949"/>
  <c r="DI688" i="7949"/>
  <c r="DG694" i="7949"/>
  <c r="DH688" i="7949"/>
  <c r="AX78" i="7950"/>
  <c r="AW78" i="7950"/>
  <c r="M78" i="7950"/>
  <c r="AY78" i="7950"/>
  <c r="AZ78" i="7950"/>
  <c r="DH135" i="7949"/>
  <c r="DG141" i="7949"/>
  <c r="DI135" i="7949"/>
  <c r="DH137" i="7949"/>
  <c r="DI413" i="7949"/>
  <c r="DH413" i="7949"/>
  <c r="DG417" i="7949"/>
  <c r="DH411" i="7949"/>
  <c r="DI411" i="7949"/>
  <c r="CT595" i="7949"/>
  <c r="AP142" i="7950" l="1"/>
  <c r="E142" i="7950" s="1"/>
  <c r="DI412" i="7949"/>
  <c r="DI138" i="7949"/>
  <c r="AV111" i="7950"/>
  <c r="K111" i="7950"/>
  <c r="AW127" i="7950"/>
  <c r="AZ127" i="7950"/>
  <c r="AX127" i="7950"/>
  <c r="M127" i="7950"/>
  <c r="AY127" i="7950"/>
  <c r="DG143" i="7949"/>
  <c r="DI415" i="7949"/>
  <c r="I142" i="7950"/>
  <c r="AR142" i="7950"/>
  <c r="DO191" i="7949"/>
  <c r="DL193" i="7949"/>
  <c r="DN193" i="7949" s="1"/>
  <c r="DK123" i="7949"/>
  <c r="DG45" i="7949"/>
  <c r="DI45" i="7949" s="1"/>
  <c r="DL232" i="7949"/>
  <c r="DN232" i="7949" s="1"/>
  <c r="DL307" i="7949"/>
  <c r="DN307" i="7949" s="1"/>
  <c r="DI134" i="7949"/>
  <c r="DM492" i="7949"/>
  <c r="DP492" i="7949" s="1"/>
  <c r="DT492" i="7949" s="1"/>
  <c r="DU492" i="7949" s="1"/>
  <c r="DV492" i="7949" s="1"/>
  <c r="DM513" i="7949"/>
  <c r="DP513" i="7949" s="1"/>
  <c r="DM511" i="7949"/>
  <c r="DP511" i="7949" s="1"/>
  <c r="DT511" i="7949" s="1"/>
  <c r="DU511" i="7949" s="1"/>
  <c r="DV511" i="7949" s="1"/>
  <c r="DM583" i="7949"/>
  <c r="DP583" i="7949" s="1"/>
  <c r="DT583" i="7949" s="1"/>
  <c r="DU583" i="7949" s="1"/>
  <c r="DV583" i="7949" s="1"/>
  <c r="DM378" i="7949"/>
  <c r="DP378" i="7949" s="1"/>
  <c r="DT378" i="7949" s="1"/>
  <c r="DU378" i="7949" s="1"/>
  <c r="DV378" i="7949" s="1"/>
  <c r="DM123" i="7949"/>
  <c r="DP123" i="7949" s="1"/>
  <c r="DT123" i="7949" s="1"/>
  <c r="DU123" i="7949" s="1"/>
  <c r="DV123" i="7949" s="1"/>
  <c r="AP95" i="7950"/>
  <c r="E95" i="7950" s="1"/>
  <c r="DL101" i="7949"/>
  <c r="DN101" i="7949" s="1"/>
  <c r="DL100" i="7949"/>
  <c r="DN100" i="7949" s="1"/>
  <c r="DK191" i="7949"/>
  <c r="DK122" i="7949"/>
  <c r="DL122" i="7949"/>
  <c r="DN122" i="7949" s="1"/>
  <c r="DG44" i="7949"/>
  <c r="DI44" i="7949" s="1"/>
  <c r="DL235" i="7949"/>
  <c r="DN235" i="7949" s="1"/>
  <c r="DK236" i="7949"/>
  <c r="DL234" i="7949"/>
  <c r="DN234" i="7949" s="1"/>
  <c r="DK283" i="7949"/>
  <c r="DL306" i="7949"/>
  <c r="DN306" i="7949" s="1"/>
  <c r="DG46" i="7949"/>
  <c r="DH46" i="7949" s="1"/>
  <c r="DK100" i="7949"/>
  <c r="DK101" i="7949"/>
  <c r="DL99" i="7949"/>
  <c r="DN99" i="7949" s="1"/>
  <c r="DL192" i="7949"/>
  <c r="DN192" i="7949" s="1"/>
  <c r="DK193" i="7949"/>
  <c r="DL191" i="7949"/>
  <c r="DN191" i="7949" s="1"/>
  <c r="DL214" i="7949"/>
  <c r="DN214" i="7949" s="1"/>
  <c r="DK215" i="7949"/>
  <c r="DK214" i="7949"/>
  <c r="DM214" i="7949" s="1"/>
  <c r="DP214" i="7949" s="1"/>
  <c r="DT214" i="7949" s="1"/>
  <c r="DU214" i="7949" s="1"/>
  <c r="DV214" i="7949" s="1"/>
  <c r="DL215" i="7949"/>
  <c r="DN215" i="7949" s="1"/>
  <c r="DG42" i="7949"/>
  <c r="DG48" i="7949" s="1"/>
  <c r="DG43" i="7949"/>
  <c r="DH43" i="7949" s="1"/>
  <c r="DK232" i="7949"/>
  <c r="DM232" i="7949" s="1"/>
  <c r="DP232" i="7949" s="1"/>
  <c r="DT232" i="7949" s="1"/>
  <c r="DU232" i="7949" s="1"/>
  <c r="DV232" i="7949" s="1"/>
  <c r="DK234" i="7949"/>
  <c r="DK235" i="7949"/>
  <c r="DM235" i="7949" s="1"/>
  <c r="DP235" i="7949" s="1"/>
  <c r="DL233" i="7949"/>
  <c r="DN233" i="7949" s="1"/>
  <c r="DL236" i="7949"/>
  <c r="DN236" i="7949" s="1"/>
  <c r="DK306" i="7949"/>
  <c r="DL285" i="7949"/>
  <c r="DN285" i="7949" s="1"/>
  <c r="DL284" i="7949"/>
  <c r="DN284" i="7949" s="1"/>
  <c r="DL283" i="7949"/>
  <c r="DN283" i="7949" s="1"/>
  <c r="AP158" i="7950"/>
  <c r="AT158" i="7950" s="1"/>
  <c r="AU158" i="7950" s="1"/>
  <c r="DM469" i="7949"/>
  <c r="DP469" i="7949" s="1"/>
  <c r="DT469" i="7949" s="1"/>
  <c r="DU469" i="7949" s="1"/>
  <c r="DV469" i="7949" s="1"/>
  <c r="DM470" i="7949"/>
  <c r="DP470" i="7949" s="1"/>
  <c r="DT470" i="7949" s="1"/>
  <c r="DU470" i="7949" s="1"/>
  <c r="DV470" i="7949" s="1"/>
  <c r="DM562" i="7949"/>
  <c r="DP562" i="7949" s="1"/>
  <c r="DT562" i="7949" s="1"/>
  <c r="DU562" i="7949" s="1"/>
  <c r="DV562" i="7949" s="1"/>
  <c r="DM560" i="7949"/>
  <c r="DP560" i="7949" s="1"/>
  <c r="DT560" i="7949" s="1"/>
  <c r="DU560" i="7949" s="1"/>
  <c r="DV560" i="7949" s="1"/>
  <c r="AP79" i="7950"/>
  <c r="AT79" i="7950" s="1"/>
  <c r="AU79" i="7950" s="1"/>
  <c r="DL861" i="7949"/>
  <c r="DN861" i="7949" s="1"/>
  <c r="DK838" i="7949"/>
  <c r="DK839" i="7949"/>
  <c r="DL860" i="7949"/>
  <c r="DN860" i="7949" s="1"/>
  <c r="DL837" i="7949"/>
  <c r="DN837" i="7949" s="1"/>
  <c r="DK861" i="7949"/>
  <c r="DL838" i="7949"/>
  <c r="DN838" i="7949" s="1"/>
  <c r="DL839" i="7949"/>
  <c r="DN839" i="7949" s="1"/>
  <c r="DK860" i="7949"/>
  <c r="DK837" i="7949"/>
  <c r="DL786" i="7949"/>
  <c r="DN786" i="7949" s="1"/>
  <c r="DL787" i="7949"/>
  <c r="DN787" i="7949" s="1"/>
  <c r="DL790" i="7949"/>
  <c r="DN790" i="7949" s="1"/>
  <c r="DK788" i="7949"/>
  <c r="DK789" i="7949"/>
  <c r="DK786" i="7949"/>
  <c r="DK787" i="7949"/>
  <c r="DK790" i="7949"/>
  <c r="DL788" i="7949"/>
  <c r="DN788" i="7949" s="1"/>
  <c r="DL789" i="7949"/>
  <c r="DN789" i="7949" s="1"/>
  <c r="DG597" i="7949"/>
  <c r="DG596" i="7949"/>
  <c r="DG600" i="7949"/>
  <c r="DG598" i="7949"/>
  <c r="DG599" i="7949"/>
  <c r="DL769" i="7949"/>
  <c r="DN769" i="7949" s="1"/>
  <c r="DL768" i="7949"/>
  <c r="DN768" i="7949" s="1"/>
  <c r="DK769" i="7949"/>
  <c r="DM769" i="7949" s="1"/>
  <c r="DP769" i="7949" s="1"/>
  <c r="DT769" i="7949" s="1"/>
  <c r="DU769" i="7949" s="1"/>
  <c r="DV769" i="7949" s="1"/>
  <c r="DK768" i="7949"/>
  <c r="DM768" i="7949" s="1"/>
  <c r="DP768" i="7949" s="1"/>
  <c r="DT768" i="7949" s="1"/>
  <c r="DU768" i="7949" s="1"/>
  <c r="DV768" i="7949" s="1"/>
  <c r="DK676" i="7949"/>
  <c r="DL677" i="7949"/>
  <c r="DN677" i="7949" s="1"/>
  <c r="DL676" i="7949"/>
  <c r="DN676" i="7949" s="1"/>
  <c r="DK677" i="7949"/>
  <c r="DM677" i="7949" s="1"/>
  <c r="DP677" i="7949" s="1"/>
  <c r="DT677" i="7949" s="1"/>
  <c r="DU677" i="7949" s="1"/>
  <c r="DV677" i="7949" s="1"/>
  <c r="DL746" i="7949"/>
  <c r="DN746" i="7949" s="1"/>
  <c r="DL747" i="7949"/>
  <c r="DN747" i="7949" s="1"/>
  <c r="DK745" i="7949"/>
  <c r="DK746" i="7949"/>
  <c r="DK747" i="7949"/>
  <c r="DL745" i="7949"/>
  <c r="DN745" i="7949" s="1"/>
  <c r="DK654" i="7949"/>
  <c r="DL655" i="7949"/>
  <c r="DN655" i="7949" s="1"/>
  <c r="DK653" i="7949"/>
  <c r="DL654" i="7949"/>
  <c r="DN654" i="7949" s="1"/>
  <c r="DK655" i="7949"/>
  <c r="DL653" i="7949"/>
  <c r="DN653" i="7949" s="1"/>
  <c r="DK417" i="7949"/>
  <c r="DJ417" i="7949"/>
  <c r="DI417" i="7949"/>
  <c r="DL417" i="7949"/>
  <c r="DN417" i="7949" s="1"/>
  <c r="DK419" i="7949"/>
  <c r="DL419" i="7949"/>
  <c r="DN419" i="7949" s="1"/>
  <c r="DI419" i="7949"/>
  <c r="DJ419" i="7949"/>
  <c r="DL143" i="7949"/>
  <c r="DN143" i="7949" s="1"/>
  <c r="DI143" i="7949"/>
  <c r="DK143" i="7949"/>
  <c r="DM143" i="7949" s="1"/>
  <c r="DJ143" i="7949"/>
  <c r="DL141" i="7949"/>
  <c r="DN141" i="7949" s="1"/>
  <c r="DI141" i="7949"/>
  <c r="DK141" i="7949"/>
  <c r="DM141" i="7949" s="1"/>
  <c r="DJ141" i="7949"/>
  <c r="DZ692" i="7949"/>
  <c r="DZ690" i="7949"/>
  <c r="DZ689" i="7949"/>
  <c r="DZ691" i="7949"/>
  <c r="DX691" i="7949" s="1"/>
  <c r="DZ688" i="7949"/>
  <c r="DX688" i="7949" s="1"/>
  <c r="DG49" i="7949"/>
  <c r="AR95" i="7950"/>
  <c r="I95" i="7950"/>
  <c r="DI420" i="7949"/>
  <c r="DJ420" i="7949"/>
  <c r="DK420" i="7949"/>
  <c r="DL420" i="7949"/>
  <c r="DN420" i="7949" s="1"/>
  <c r="DJ144" i="7949"/>
  <c r="DI144" i="7949"/>
  <c r="DK144" i="7949"/>
  <c r="DL144" i="7949"/>
  <c r="DN144" i="7949" s="1"/>
  <c r="DI140" i="7949"/>
  <c r="DL140" i="7949"/>
  <c r="DN140" i="7949" s="1"/>
  <c r="DK140" i="7949"/>
  <c r="DJ140" i="7949"/>
  <c r="AQ158" i="7950"/>
  <c r="DJ698" i="7949"/>
  <c r="DK698" i="7949"/>
  <c r="DL698" i="7949"/>
  <c r="DN698" i="7949" s="1"/>
  <c r="DI698" i="7949"/>
  <c r="DG326" i="7949"/>
  <c r="DI320" i="7949"/>
  <c r="DH320" i="7949"/>
  <c r="DH322" i="7949"/>
  <c r="DI322" i="7949"/>
  <c r="DG328" i="7949"/>
  <c r="DT513" i="7949"/>
  <c r="DU513" i="7949" s="1"/>
  <c r="DV513" i="7949" s="1"/>
  <c r="ED507" i="7949"/>
  <c r="EE507" i="7949" s="1"/>
  <c r="EG507" i="7949"/>
  <c r="EH507" i="7949" s="1"/>
  <c r="ED505" i="7949"/>
  <c r="EE505" i="7949" s="1"/>
  <c r="DG325" i="7949"/>
  <c r="DH319" i="7949"/>
  <c r="DI319" i="7949"/>
  <c r="DM101" i="7949"/>
  <c r="DP101" i="7949" s="1"/>
  <c r="DT101" i="7949" s="1"/>
  <c r="DU101" i="7949" s="1"/>
  <c r="DV101" i="7949" s="1"/>
  <c r="DM377" i="7949"/>
  <c r="DP377" i="7949" s="1"/>
  <c r="DT377" i="7949" s="1"/>
  <c r="DU377" i="7949" s="1"/>
  <c r="DV377" i="7949" s="1"/>
  <c r="DM491" i="7949"/>
  <c r="DP491" i="7949" s="1"/>
  <c r="DT491" i="7949" s="1"/>
  <c r="DU491" i="7949" s="1"/>
  <c r="DV491" i="7949" s="1"/>
  <c r="DM509" i="7949"/>
  <c r="DP509" i="7949" s="1"/>
  <c r="DM512" i="7949"/>
  <c r="DP512" i="7949" s="1"/>
  <c r="DZ413" i="7949"/>
  <c r="DZ412" i="7949"/>
  <c r="DZ414" i="7949"/>
  <c r="DX414" i="7949" s="1"/>
  <c r="DZ415" i="7949"/>
  <c r="DZ411" i="7949"/>
  <c r="DX411" i="7949" s="1"/>
  <c r="AQ79" i="7950"/>
  <c r="E79" i="7950"/>
  <c r="DK694" i="7949"/>
  <c r="DJ694" i="7949"/>
  <c r="DL694" i="7949"/>
  <c r="DN694" i="7949" s="1"/>
  <c r="DI694" i="7949"/>
  <c r="DO694" i="7949" s="1"/>
  <c r="DK697" i="7949"/>
  <c r="DJ697" i="7949"/>
  <c r="DL697" i="7949"/>
  <c r="DN697" i="7949" s="1"/>
  <c r="DI697" i="7949"/>
  <c r="DO697" i="7949" s="1"/>
  <c r="DI695" i="7949"/>
  <c r="DL695" i="7949"/>
  <c r="DN695" i="7949" s="1"/>
  <c r="DJ695" i="7949"/>
  <c r="DK695" i="7949"/>
  <c r="DM695" i="7949" s="1"/>
  <c r="DG50" i="7949"/>
  <c r="DG51" i="7949"/>
  <c r="DL421" i="7949"/>
  <c r="DN421" i="7949" s="1"/>
  <c r="DJ421" i="7949"/>
  <c r="DI421" i="7949"/>
  <c r="DK421" i="7949"/>
  <c r="DI418" i="7949"/>
  <c r="DK418" i="7949"/>
  <c r="DL418" i="7949"/>
  <c r="DN418" i="7949" s="1"/>
  <c r="DJ418" i="7949"/>
  <c r="DK142" i="7949"/>
  <c r="DL142" i="7949"/>
  <c r="DN142" i="7949" s="1"/>
  <c r="DI142" i="7949"/>
  <c r="DJ142" i="7949"/>
  <c r="DZ136" i="7949"/>
  <c r="DZ134" i="7949"/>
  <c r="DX134" i="7949" s="1"/>
  <c r="DZ137" i="7949"/>
  <c r="DX137" i="7949" s="1"/>
  <c r="DZ135" i="7949"/>
  <c r="DX135" i="7949" s="1"/>
  <c r="DZ138" i="7949"/>
  <c r="DL696" i="7949"/>
  <c r="DN696" i="7949" s="1"/>
  <c r="DI696" i="7949"/>
  <c r="DJ696" i="7949"/>
  <c r="DK696" i="7949"/>
  <c r="DH323" i="7949"/>
  <c r="DI323" i="7949"/>
  <c r="DG329" i="7949"/>
  <c r="DI321" i="7949"/>
  <c r="DG327" i="7949"/>
  <c r="DH321" i="7949"/>
  <c r="DM376" i="7949"/>
  <c r="DP376" i="7949" s="1"/>
  <c r="DT376" i="7949" s="1"/>
  <c r="DU376" i="7949" s="1"/>
  <c r="DV376" i="7949" s="1"/>
  <c r="DM399" i="7949"/>
  <c r="DP399" i="7949" s="1"/>
  <c r="DT399" i="7949" s="1"/>
  <c r="DU399" i="7949" s="1"/>
  <c r="DV399" i="7949" s="1"/>
  <c r="DM468" i="7949"/>
  <c r="DP468" i="7949" s="1"/>
  <c r="DT468" i="7949" s="1"/>
  <c r="DU468" i="7949" s="1"/>
  <c r="DV468" i="7949" s="1"/>
  <c r="DM400" i="7949"/>
  <c r="DP400" i="7949" s="1"/>
  <c r="DT400" i="7949" s="1"/>
  <c r="DU400" i="7949" s="1"/>
  <c r="DV400" i="7949" s="1"/>
  <c r="DM510" i="7949"/>
  <c r="DP510" i="7949" s="1"/>
  <c r="DM561" i="7949"/>
  <c r="DP561" i="7949" s="1"/>
  <c r="DT561" i="7949" s="1"/>
  <c r="DU561" i="7949" s="1"/>
  <c r="DV561" i="7949" s="1"/>
  <c r="DM584" i="7949"/>
  <c r="DP584" i="7949" s="1"/>
  <c r="DT584" i="7949" s="1"/>
  <c r="DU584" i="7949" s="1"/>
  <c r="DV584" i="7949" s="1"/>
  <c r="AT142" i="7950" l="1"/>
  <c r="AU142" i="7950" s="1"/>
  <c r="AP128" i="7950"/>
  <c r="G142" i="7950"/>
  <c r="AQ142" i="7950"/>
  <c r="AW111" i="7950"/>
  <c r="AX111" i="7950"/>
  <c r="AY111" i="7950"/>
  <c r="M111" i="7950"/>
  <c r="AZ111" i="7950"/>
  <c r="DI46" i="7949"/>
  <c r="DH45" i="7949"/>
  <c r="EG505" i="7949"/>
  <c r="EH505" i="7949" s="1"/>
  <c r="G158" i="7950"/>
  <c r="I158" i="7950"/>
  <c r="G95" i="7950"/>
  <c r="DI43" i="7949"/>
  <c r="DX138" i="7949"/>
  <c r="DM192" i="7949"/>
  <c r="DP192" i="7949" s="1"/>
  <c r="DT192" i="7949" s="1"/>
  <c r="DU192" i="7949" s="1"/>
  <c r="DV192" i="7949" s="1"/>
  <c r="DG52" i="7949"/>
  <c r="BK60" i="7949" s="1"/>
  <c r="AU60" i="7949" s="1"/>
  <c r="DH44" i="7949"/>
  <c r="DZ45" i="7949" s="1"/>
  <c r="DM307" i="7949"/>
  <c r="DP307" i="7949" s="1"/>
  <c r="DT307" i="7949" s="1"/>
  <c r="DU307" i="7949" s="1"/>
  <c r="DV307" i="7949" s="1"/>
  <c r="E158" i="7950"/>
  <c r="AR158" i="7950"/>
  <c r="AT95" i="7950"/>
  <c r="AU95" i="7950" s="1"/>
  <c r="AV95" i="7950" s="1"/>
  <c r="AQ95" i="7950"/>
  <c r="DX692" i="7949"/>
  <c r="DM655" i="7949"/>
  <c r="DP655" i="7949" s="1"/>
  <c r="DT655" i="7949" s="1"/>
  <c r="DU655" i="7949" s="1"/>
  <c r="DV655" i="7949" s="1"/>
  <c r="DM747" i="7949"/>
  <c r="DP747" i="7949" s="1"/>
  <c r="DT747" i="7949" s="1"/>
  <c r="DU747" i="7949" s="1"/>
  <c r="DV747" i="7949" s="1"/>
  <c r="DM790" i="7949"/>
  <c r="DP790" i="7949" s="1"/>
  <c r="ED784" i="7949" s="1"/>
  <c r="EE784" i="7949" s="1"/>
  <c r="DM786" i="7949"/>
  <c r="DP786" i="7949" s="1"/>
  <c r="EG780" i="7949" s="1"/>
  <c r="EH780" i="7949" s="1"/>
  <c r="DM837" i="7949"/>
  <c r="DP837" i="7949" s="1"/>
  <c r="DT837" i="7949" s="1"/>
  <c r="DU837" i="7949" s="1"/>
  <c r="DV837" i="7949" s="1"/>
  <c r="DM861" i="7949"/>
  <c r="DP861" i="7949" s="1"/>
  <c r="DT861" i="7949" s="1"/>
  <c r="DU861" i="7949" s="1"/>
  <c r="DV861" i="7949" s="1"/>
  <c r="DM193" i="7949"/>
  <c r="DP193" i="7949" s="1"/>
  <c r="DT193" i="7949" s="1"/>
  <c r="DU193" i="7949" s="1"/>
  <c r="DV193" i="7949" s="1"/>
  <c r="DM100" i="7949"/>
  <c r="DP100" i="7949" s="1"/>
  <c r="DT100" i="7949" s="1"/>
  <c r="DU100" i="7949" s="1"/>
  <c r="DV100" i="7949" s="1"/>
  <c r="DO144" i="7949"/>
  <c r="DM233" i="7949"/>
  <c r="DP233" i="7949" s="1"/>
  <c r="DY227" i="7949" s="1"/>
  <c r="DO417" i="7949"/>
  <c r="DM418" i="7949"/>
  <c r="DM421" i="7949"/>
  <c r="DT233" i="7949"/>
  <c r="DU233" i="7949" s="1"/>
  <c r="DV233" i="7949" s="1"/>
  <c r="AR79" i="7950"/>
  <c r="ED226" i="7949"/>
  <c r="EE226" i="7949" s="1"/>
  <c r="DH42" i="7949"/>
  <c r="DM306" i="7949"/>
  <c r="DP306" i="7949" s="1"/>
  <c r="DT306" i="7949" s="1"/>
  <c r="DU306" i="7949" s="1"/>
  <c r="DV306" i="7949" s="1"/>
  <c r="DM234" i="7949"/>
  <c r="DP234" i="7949" s="1"/>
  <c r="DM284" i="7949"/>
  <c r="DP284" i="7949" s="1"/>
  <c r="DT284" i="7949" s="1"/>
  <c r="DU284" i="7949" s="1"/>
  <c r="DV284" i="7949" s="1"/>
  <c r="DM122" i="7949"/>
  <c r="DP122" i="7949" s="1"/>
  <c r="DT122" i="7949" s="1"/>
  <c r="DU122" i="7949" s="1"/>
  <c r="DV122" i="7949" s="1"/>
  <c r="DM99" i="7949"/>
  <c r="DP99" i="7949" s="1"/>
  <c r="DT99" i="7949" s="1"/>
  <c r="DU99" i="7949" s="1"/>
  <c r="DV99" i="7949" s="1"/>
  <c r="DM285" i="7949"/>
  <c r="DP285" i="7949" s="1"/>
  <c r="DT285" i="7949" s="1"/>
  <c r="DU285" i="7949" s="1"/>
  <c r="DV285" i="7949" s="1"/>
  <c r="I79" i="7950"/>
  <c r="G79" i="7950"/>
  <c r="EG226" i="7949"/>
  <c r="EH226" i="7949" s="1"/>
  <c r="DI42" i="7949"/>
  <c r="DM746" i="7949"/>
  <c r="DP746" i="7949" s="1"/>
  <c r="DT746" i="7949" s="1"/>
  <c r="DU746" i="7949" s="1"/>
  <c r="DV746" i="7949" s="1"/>
  <c r="DM787" i="7949"/>
  <c r="DP787" i="7949" s="1"/>
  <c r="EG781" i="7949" s="1"/>
  <c r="EH781" i="7949" s="1"/>
  <c r="DM860" i="7949"/>
  <c r="DP860" i="7949" s="1"/>
  <c r="DT860" i="7949" s="1"/>
  <c r="DU860" i="7949" s="1"/>
  <c r="DV860" i="7949" s="1"/>
  <c r="DM215" i="7949"/>
  <c r="DP215" i="7949" s="1"/>
  <c r="DT215" i="7949" s="1"/>
  <c r="DU215" i="7949" s="1"/>
  <c r="DV215" i="7949" s="1"/>
  <c r="DM283" i="7949"/>
  <c r="DP283" i="7949" s="1"/>
  <c r="DT283" i="7949" s="1"/>
  <c r="DU283" i="7949" s="1"/>
  <c r="DV283" i="7949" s="1"/>
  <c r="DM236" i="7949"/>
  <c r="DP236" i="7949" s="1"/>
  <c r="DM191" i="7949"/>
  <c r="DP191" i="7949" s="1"/>
  <c r="DT191" i="7949" s="1"/>
  <c r="DU191" i="7949" s="1"/>
  <c r="DV191" i="7949" s="1"/>
  <c r="DX413" i="7949"/>
  <c r="BK71" i="7949"/>
  <c r="AU71" i="7949" s="1"/>
  <c r="DM140" i="7949"/>
  <c r="DO140" i="7949"/>
  <c r="DK327" i="7949"/>
  <c r="DL327" i="7949"/>
  <c r="DN327" i="7949" s="1"/>
  <c r="DJ327" i="7949"/>
  <c r="DI327" i="7949"/>
  <c r="DK329" i="7949"/>
  <c r="DL329" i="7949"/>
  <c r="DN329" i="7949" s="1"/>
  <c r="DJ329" i="7949"/>
  <c r="DI329" i="7949"/>
  <c r="DT510" i="7949"/>
  <c r="DU510" i="7949" s="1"/>
  <c r="DV510" i="7949" s="1"/>
  <c r="ED504" i="7949"/>
  <c r="EE504" i="7949" s="1"/>
  <c r="EG504" i="7949"/>
  <c r="EH504" i="7949" s="1"/>
  <c r="DJ51" i="7949"/>
  <c r="DK51" i="7949"/>
  <c r="DL51" i="7949"/>
  <c r="DN51" i="7949" s="1"/>
  <c r="DI51" i="7949"/>
  <c r="DJ50" i="7949"/>
  <c r="DK50" i="7949"/>
  <c r="DI50" i="7949"/>
  <c r="DO50" i="7949" s="1"/>
  <c r="DL50" i="7949"/>
  <c r="DN50" i="7949" s="1"/>
  <c r="AV79" i="7950"/>
  <c r="K79" i="7950"/>
  <c r="DT512" i="7949"/>
  <c r="DU512" i="7949" s="1"/>
  <c r="DV512" i="7949" s="1"/>
  <c r="ED506" i="7949"/>
  <c r="EE506" i="7949" s="1"/>
  <c r="EG506" i="7949"/>
  <c r="EH506" i="7949" s="1"/>
  <c r="DZ320" i="7949"/>
  <c r="DZ323" i="7949"/>
  <c r="DZ321" i="7949"/>
  <c r="DX321" i="7949" s="1"/>
  <c r="DZ322" i="7949"/>
  <c r="DZ319" i="7949"/>
  <c r="DX319" i="7949" s="1"/>
  <c r="DL328" i="7949"/>
  <c r="DN328" i="7949" s="1"/>
  <c r="DJ328" i="7949"/>
  <c r="DI328" i="7949"/>
  <c r="DK328" i="7949"/>
  <c r="K158" i="7950"/>
  <c r="AV158" i="7950"/>
  <c r="K95" i="7950"/>
  <c r="DJ49" i="7949"/>
  <c r="DI49" i="7949"/>
  <c r="DL49" i="7949"/>
  <c r="DN49" i="7949" s="1"/>
  <c r="DK49" i="7949"/>
  <c r="DL48" i="7949"/>
  <c r="DN48" i="7949" s="1"/>
  <c r="DI48" i="7949"/>
  <c r="DJ48" i="7949"/>
  <c r="DK48" i="7949"/>
  <c r="DH599" i="7949"/>
  <c r="DG605" i="7949"/>
  <c r="DI599" i="7949"/>
  <c r="DG606" i="7949"/>
  <c r="DH600" i="7949"/>
  <c r="DI600" i="7949"/>
  <c r="DG603" i="7949"/>
  <c r="DH597" i="7949"/>
  <c r="DI597" i="7949"/>
  <c r="DT787" i="7949"/>
  <c r="DU787" i="7949" s="1"/>
  <c r="DV787" i="7949" s="1"/>
  <c r="ED781" i="7949"/>
  <c r="EE781" i="7949" s="1"/>
  <c r="DM696" i="7949"/>
  <c r="DO696" i="7949"/>
  <c r="DX136" i="7949"/>
  <c r="DO142" i="7949"/>
  <c r="DM142" i="7949"/>
  <c r="DO418" i="7949"/>
  <c r="DO421" i="7949"/>
  <c r="DX415" i="7949"/>
  <c r="DX412" i="7949"/>
  <c r="BK47" i="7949"/>
  <c r="AU47" i="7949" s="1"/>
  <c r="BK51" i="7949"/>
  <c r="AU51" i="7949" s="1"/>
  <c r="BK94" i="7949"/>
  <c r="BK97" i="7949"/>
  <c r="BK48" i="7949"/>
  <c r="AU48" i="7949" s="1"/>
  <c r="BK73" i="7949"/>
  <c r="AU73" i="7949" s="1"/>
  <c r="BK66" i="7949"/>
  <c r="AU66" i="7949" s="1"/>
  <c r="BK45" i="7949"/>
  <c r="AU45" i="7949" s="1"/>
  <c r="BK75" i="7949"/>
  <c r="AU75" i="7949" s="1"/>
  <c r="BK46" i="7949"/>
  <c r="AU46" i="7949" s="1"/>
  <c r="BK95" i="7949"/>
  <c r="BK49" i="7949"/>
  <c r="AU49" i="7949" s="1"/>
  <c r="BK72" i="7949"/>
  <c r="AU72" i="7949" s="1"/>
  <c r="DO698" i="7949"/>
  <c r="DM698" i="7949"/>
  <c r="DM144" i="7949"/>
  <c r="DP144" i="7949" s="1"/>
  <c r="DT144" i="7949" s="1"/>
  <c r="DU144" i="7949" s="1"/>
  <c r="DV144" i="7949" s="1"/>
  <c r="DM420" i="7949"/>
  <c r="DO420" i="7949"/>
  <c r="BK59" i="7949"/>
  <c r="AU59" i="7949" s="1"/>
  <c r="BK106" i="7949"/>
  <c r="BK105" i="7949"/>
  <c r="BK63" i="7949"/>
  <c r="AU63" i="7949" s="1"/>
  <c r="BK87" i="7949"/>
  <c r="AU87" i="7949" s="1"/>
  <c r="DX690" i="7949"/>
  <c r="DO141" i="7949"/>
  <c r="DP141" i="7949" s="1"/>
  <c r="DT141" i="7949" s="1"/>
  <c r="DU141" i="7949" s="1"/>
  <c r="DV141" i="7949" s="1"/>
  <c r="DO143" i="7949"/>
  <c r="DP143" i="7949" s="1"/>
  <c r="DT143" i="7949" s="1"/>
  <c r="DU143" i="7949" s="1"/>
  <c r="DV143" i="7949" s="1"/>
  <c r="DM789" i="7949"/>
  <c r="DP789" i="7949" s="1"/>
  <c r="DM839" i="7949"/>
  <c r="DP839" i="7949" s="1"/>
  <c r="DT839" i="7949" s="1"/>
  <c r="DU839" i="7949" s="1"/>
  <c r="DV839" i="7949" s="1"/>
  <c r="DL52" i="7949"/>
  <c r="DN52" i="7949" s="1"/>
  <c r="DK52" i="7949"/>
  <c r="DT509" i="7949"/>
  <c r="DU509" i="7949" s="1"/>
  <c r="DV509" i="7949" s="1"/>
  <c r="DY505" i="7949"/>
  <c r="DY507" i="7949"/>
  <c r="DY506" i="7949"/>
  <c r="DY503" i="7949"/>
  <c r="DY504" i="7949"/>
  <c r="ED503" i="7949"/>
  <c r="EE503" i="7949" s="1"/>
  <c r="EG503" i="7949"/>
  <c r="EH503" i="7949" s="1"/>
  <c r="EG229" i="7949"/>
  <c r="EH229" i="7949" s="1"/>
  <c r="DT235" i="7949"/>
  <c r="DU235" i="7949" s="1"/>
  <c r="DV235" i="7949" s="1"/>
  <c r="ED229" i="7949"/>
  <c r="EE229" i="7949" s="1"/>
  <c r="DJ325" i="7949"/>
  <c r="DK325" i="7949"/>
  <c r="DI325" i="7949"/>
  <c r="DO325" i="7949" s="1"/>
  <c r="DL325" i="7949"/>
  <c r="DN325" i="7949" s="1"/>
  <c r="DI326" i="7949"/>
  <c r="DK326" i="7949"/>
  <c r="DL326" i="7949"/>
  <c r="DN326" i="7949" s="1"/>
  <c r="DJ326" i="7949"/>
  <c r="DZ44" i="7949"/>
  <c r="DI598" i="7949"/>
  <c r="DG604" i="7949"/>
  <c r="DH598" i="7949"/>
  <c r="DI596" i="7949"/>
  <c r="DG602" i="7949"/>
  <c r="DH596" i="7949"/>
  <c r="DT790" i="7949"/>
  <c r="DU790" i="7949" s="1"/>
  <c r="DV790" i="7949" s="1"/>
  <c r="EG784" i="7949"/>
  <c r="EH784" i="7949" s="1"/>
  <c r="DT786" i="7949"/>
  <c r="DU786" i="7949" s="1"/>
  <c r="DV786" i="7949" s="1"/>
  <c r="ED780" i="7949"/>
  <c r="EE780" i="7949" s="1"/>
  <c r="DO695" i="7949"/>
  <c r="DP695" i="7949" s="1"/>
  <c r="DT695" i="7949" s="1"/>
  <c r="DU695" i="7949" s="1"/>
  <c r="DV695" i="7949" s="1"/>
  <c r="DM697" i="7949"/>
  <c r="DP697" i="7949" s="1"/>
  <c r="DT697" i="7949" s="1"/>
  <c r="DU697" i="7949" s="1"/>
  <c r="DV697" i="7949" s="1"/>
  <c r="DM694" i="7949"/>
  <c r="DP694" i="7949" s="1"/>
  <c r="BK69" i="7949"/>
  <c r="AU69" i="7949" s="1"/>
  <c r="BK50" i="7949"/>
  <c r="AU50" i="7949" s="1"/>
  <c r="BK99" i="7949"/>
  <c r="BK74" i="7949"/>
  <c r="AU74" i="7949" s="1"/>
  <c r="BK90" i="7949"/>
  <c r="BK92" i="7949"/>
  <c r="BK96" i="7949"/>
  <c r="BK98" i="7949"/>
  <c r="BK91" i="7949"/>
  <c r="BK93" i="7949"/>
  <c r="BK44" i="7949"/>
  <c r="AU44" i="7949" s="1"/>
  <c r="BK83" i="7949"/>
  <c r="AU83" i="7949" s="1"/>
  <c r="BK56" i="7949"/>
  <c r="AU56" i="7949" s="1"/>
  <c r="BK78" i="7949"/>
  <c r="AU78" i="7949" s="1"/>
  <c r="BK61" i="7949"/>
  <c r="AU61" i="7949" s="1"/>
  <c r="BK80" i="7949"/>
  <c r="AU80" i="7949" s="1"/>
  <c r="BK85" i="7949"/>
  <c r="AU85" i="7949" s="1"/>
  <c r="BK102" i="7949"/>
  <c r="DX689" i="7949"/>
  <c r="DO419" i="7949"/>
  <c r="DM419" i="7949"/>
  <c r="DM417" i="7949"/>
  <c r="DP417" i="7949" s="1"/>
  <c r="DM653" i="7949"/>
  <c r="DP653" i="7949" s="1"/>
  <c r="DT653" i="7949" s="1"/>
  <c r="DU653" i="7949" s="1"/>
  <c r="DV653" i="7949" s="1"/>
  <c r="DM654" i="7949"/>
  <c r="DP654" i="7949" s="1"/>
  <c r="DT654" i="7949" s="1"/>
  <c r="DU654" i="7949" s="1"/>
  <c r="DV654" i="7949" s="1"/>
  <c r="DM745" i="7949"/>
  <c r="DP745" i="7949" s="1"/>
  <c r="DT745" i="7949" s="1"/>
  <c r="DU745" i="7949" s="1"/>
  <c r="DV745" i="7949" s="1"/>
  <c r="DM676" i="7949"/>
  <c r="DP676" i="7949" s="1"/>
  <c r="DT676" i="7949" s="1"/>
  <c r="DU676" i="7949" s="1"/>
  <c r="DV676" i="7949" s="1"/>
  <c r="DM788" i="7949"/>
  <c r="DP788" i="7949" s="1"/>
  <c r="DM838" i="7949"/>
  <c r="DP838" i="7949" s="1"/>
  <c r="DT838" i="7949" s="1"/>
  <c r="DU838" i="7949" s="1"/>
  <c r="DV838" i="7949" s="1"/>
  <c r="AV142" i="7950" l="1"/>
  <c r="K142" i="7950"/>
  <c r="AQ128" i="7950"/>
  <c r="G128" i="7950"/>
  <c r="AT128" i="7950"/>
  <c r="AU128" i="7950" s="1"/>
  <c r="E128" i="7950"/>
  <c r="I128" i="7950"/>
  <c r="AR128" i="7950"/>
  <c r="AP112" i="7950"/>
  <c r="E112" i="7950" s="1"/>
  <c r="DM52" i="7949"/>
  <c r="DZ43" i="7949"/>
  <c r="DX45" i="7949"/>
  <c r="EC688" i="7949"/>
  <c r="ED687" i="7949" s="1"/>
  <c r="ED691" i="7949" s="1"/>
  <c r="EE691" i="7949" s="1"/>
  <c r="BK86" i="7949"/>
  <c r="AU86" i="7949" s="1"/>
  <c r="BK111" i="7949"/>
  <c r="BK57" i="7949"/>
  <c r="AU57" i="7949" s="1"/>
  <c r="BK109" i="7949"/>
  <c r="BK62" i="7949"/>
  <c r="AU62" i="7949" s="1"/>
  <c r="BK81" i="7949"/>
  <c r="AU81" i="7949" s="1"/>
  <c r="BK107" i="7949"/>
  <c r="DZ42" i="7949"/>
  <c r="DX42" i="7949" s="1"/>
  <c r="DZ46" i="7949"/>
  <c r="DX46" i="7949" s="1"/>
  <c r="DJ52" i="7949"/>
  <c r="DI52" i="7949"/>
  <c r="BK110" i="7949"/>
  <c r="BK103" i="7949"/>
  <c r="BK58" i="7949"/>
  <c r="AU58" i="7949" s="1"/>
  <c r="BK104" i="7949"/>
  <c r="BK108" i="7949"/>
  <c r="BK84" i="7949"/>
  <c r="AU84" i="7949" s="1"/>
  <c r="DP421" i="7949"/>
  <c r="DT421" i="7949" s="1"/>
  <c r="DU421" i="7949" s="1"/>
  <c r="DV421" i="7949" s="1"/>
  <c r="EC134" i="7949"/>
  <c r="ED133" i="7949" s="1"/>
  <c r="ED137" i="7949" s="1"/>
  <c r="EE137" i="7949" s="1"/>
  <c r="DX44" i="7949"/>
  <c r="EC411" i="7949"/>
  <c r="ED410" i="7949" s="1"/>
  <c r="ED411" i="7949" s="1"/>
  <c r="EE411" i="7949" s="1"/>
  <c r="DY230" i="7949"/>
  <c r="DY229" i="7949"/>
  <c r="EC135" i="7949"/>
  <c r="EG133" i="7949" s="1"/>
  <c r="EG135" i="7949" s="1"/>
  <c r="EH135" i="7949" s="1"/>
  <c r="DY228" i="7949"/>
  <c r="DY783" i="7949"/>
  <c r="DP418" i="7949"/>
  <c r="DT418" i="7949" s="1"/>
  <c r="DU418" i="7949" s="1"/>
  <c r="DV418" i="7949" s="1"/>
  <c r="BK68" i="7949" s="1"/>
  <c r="AU68" i="7949" s="1"/>
  <c r="DP698" i="7949"/>
  <c r="DT698" i="7949" s="1"/>
  <c r="DU698" i="7949" s="1"/>
  <c r="DV698" i="7949" s="1"/>
  <c r="EC412" i="7949"/>
  <c r="EG410" i="7949" s="1"/>
  <c r="EG412" i="7949" s="1"/>
  <c r="EH412" i="7949" s="1"/>
  <c r="DM48" i="7949"/>
  <c r="DO48" i="7949"/>
  <c r="DM49" i="7949"/>
  <c r="DO49" i="7949"/>
  <c r="DM328" i="7949"/>
  <c r="DO51" i="7949"/>
  <c r="ED227" i="7949"/>
  <c r="EE227" i="7949" s="1"/>
  <c r="EG227" i="7949"/>
  <c r="EH227" i="7949" s="1"/>
  <c r="BK158" i="7949"/>
  <c r="AU158" i="7949" s="1"/>
  <c r="ED228" i="7949"/>
  <c r="EE228" i="7949" s="1"/>
  <c r="DT234" i="7949"/>
  <c r="DU234" i="7949" s="1"/>
  <c r="DV234" i="7949" s="1"/>
  <c r="EG228" i="7949"/>
  <c r="EH228" i="7949" s="1"/>
  <c r="DT236" i="7949"/>
  <c r="DU236" i="7949" s="1"/>
  <c r="DV236" i="7949" s="1"/>
  <c r="EG230" i="7949"/>
  <c r="EH230" i="7949" s="1"/>
  <c r="ED230" i="7949"/>
  <c r="EE230" i="7949" s="1"/>
  <c r="EI227" i="7949"/>
  <c r="EC257" i="7949" s="1"/>
  <c r="EJ261" i="7949" s="1"/>
  <c r="EJ262" i="7949" s="1"/>
  <c r="EJ263" i="7949" s="1"/>
  <c r="DY226" i="7949"/>
  <c r="BK189" i="7949"/>
  <c r="BK190" i="7949"/>
  <c r="BK161" i="7949"/>
  <c r="AU161" i="7949" s="1"/>
  <c r="BK188" i="7949"/>
  <c r="BK138" i="7949"/>
  <c r="AU138" i="7949" s="1"/>
  <c r="BK162" i="7949"/>
  <c r="AU162" i="7949" s="1"/>
  <c r="BK157" i="7949"/>
  <c r="AU157" i="7949" s="1"/>
  <c r="DO329" i="7949"/>
  <c r="DO327" i="7949"/>
  <c r="DM327" i="7949"/>
  <c r="DP140" i="7949"/>
  <c r="DT140" i="7949" s="1"/>
  <c r="DU140" i="7949" s="1"/>
  <c r="DV140" i="7949" s="1"/>
  <c r="DY780" i="7949"/>
  <c r="BK155" i="7949"/>
  <c r="AU155" i="7949" s="1"/>
  <c r="BK132" i="7949"/>
  <c r="AU132" i="7949" s="1"/>
  <c r="BK137" i="7949"/>
  <c r="AU137" i="7949" s="1"/>
  <c r="BK133" i="7949"/>
  <c r="AU133" i="7949" s="1"/>
  <c r="BK164" i="7949"/>
  <c r="AU164" i="7949" s="1"/>
  <c r="DP696" i="7949"/>
  <c r="DT696" i="7949" s="1"/>
  <c r="DU696" i="7949" s="1"/>
  <c r="DV696" i="7949" s="1"/>
  <c r="DX322" i="7949"/>
  <c r="DT417" i="7949"/>
  <c r="DU417" i="7949" s="1"/>
  <c r="DV417" i="7949" s="1"/>
  <c r="DT694" i="7949"/>
  <c r="DU694" i="7949" s="1"/>
  <c r="DV694" i="7949" s="1"/>
  <c r="BK156" i="7949" s="1"/>
  <c r="AU156" i="7949" s="1"/>
  <c r="ED689" i="7949"/>
  <c r="EE689" i="7949" s="1"/>
  <c r="ED688" i="7949"/>
  <c r="EE688" i="7949" s="1"/>
  <c r="DK602" i="7949"/>
  <c r="DL602" i="7949"/>
  <c r="DN602" i="7949" s="1"/>
  <c r="DI602" i="7949"/>
  <c r="DJ602" i="7949"/>
  <c r="EF504" i="7949"/>
  <c r="EC511" i="7949" s="1"/>
  <c r="EF505" i="7949"/>
  <c r="EC512" i="7949" s="1"/>
  <c r="EF503" i="7949"/>
  <c r="DJ603" i="7949"/>
  <c r="DK603" i="7949"/>
  <c r="DL603" i="7949"/>
  <c r="DN603" i="7949" s="1"/>
  <c r="DI603" i="7949"/>
  <c r="AW95" i="7950"/>
  <c r="M95" i="7950"/>
  <c r="AX95" i="7950"/>
  <c r="AZ95" i="7950"/>
  <c r="AY95" i="7950"/>
  <c r="AW79" i="7950"/>
  <c r="AX79" i="7950"/>
  <c r="M79" i="7950"/>
  <c r="AY79" i="7950"/>
  <c r="AZ79" i="7950"/>
  <c r="EC689" i="7949"/>
  <c r="EG687" i="7949" s="1"/>
  <c r="DM326" i="7949"/>
  <c r="DM325" i="7949"/>
  <c r="DP325" i="7949" s="1"/>
  <c r="DP420" i="7949"/>
  <c r="DT420" i="7949" s="1"/>
  <c r="DU420" i="7949" s="1"/>
  <c r="DV420" i="7949" s="1"/>
  <c r="DP142" i="7949"/>
  <c r="ED136" i="7949" s="1"/>
  <c r="EE136" i="7949" s="1"/>
  <c r="DO328" i="7949"/>
  <c r="DX320" i="7949"/>
  <c r="DT788" i="7949"/>
  <c r="DU788" i="7949" s="1"/>
  <c r="DV788" i="7949" s="1"/>
  <c r="EG782" i="7949"/>
  <c r="EH782" i="7949" s="1"/>
  <c r="ED782" i="7949"/>
  <c r="EE782" i="7949" s="1"/>
  <c r="DZ596" i="7949"/>
  <c r="DX596" i="7949" s="1"/>
  <c r="DZ600" i="7949"/>
  <c r="DZ597" i="7949"/>
  <c r="DX597" i="7949" s="1"/>
  <c r="DZ599" i="7949"/>
  <c r="DZ598" i="7949"/>
  <c r="DX598" i="7949" s="1"/>
  <c r="DJ604" i="7949"/>
  <c r="DL604" i="7949"/>
  <c r="DN604" i="7949" s="1"/>
  <c r="DI604" i="7949"/>
  <c r="DO604" i="7949" s="1"/>
  <c r="DK604" i="7949"/>
  <c r="DM604" i="7949" s="1"/>
  <c r="EI503" i="7949"/>
  <c r="EC533" i="7949" s="1"/>
  <c r="EI504" i="7949"/>
  <c r="EC534" i="7949" s="1"/>
  <c r="EG138" i="7949"/>
  <c r="EH138" i="7949" s="1"/>
  <c r="DT789" i="7949"/>
  <c r="DU789" i="7949" s="1"/>
  <c r="DV789" i="7949" s="1"/>
  <c r="ED783" i="7949"/>
  <c r="EE783" i="7949" s="1"/>
  <c r="EG783" i="7949"/>
  <c r="EH783" i="7949" s="1"/>
  <c r="DK606" i="7949"/>
  <c r="DI606" i="7949"/>
  <c r="DL606" i="7949"/>
  <c r="DN606" i="7949" s="1"/>
  <c r="DJ606" i="7949"/>
  <c r="DJ605" i="7949"/>
  <c r="DI605" i="7949"/>
  <c r="DK605" i="7949"/>
  <c r="DL605" i="7949"/>
  <c r="DN605" i="7949" s="1"/>
  <c r="M158" i="7950"/>
  <c r="AX158" i="7950"/>
  <c r="AW158" i="7950"/>
  <c r="AY158" i="7950"/>
  <c r="AZ158" i="7950"/>
  <c r="DP419" i="7949"/>
  <c r="DT419" i="7949" s="1"/>
  <c r="DU419" i="7949" s="1"/>
  <c r="DV419" i="7949" s="1"/>
  <c r="DY782" i="7949"/>
  <c r="DY784" i="7949"/>
  <c r="DY781" i="7949"/>
  <c r="BK135" i="7949"/>
  <c r="AU135" i="7949" s="1"/>
  <c r="BK160" i="7949"/>
  <c r="AU160" i="7949" s="1"/>
  <c r="BK184" i="7949"/>
  <c r="BK163" i="7949"/>
  <c r="AU163" i="7949" s="1"/>
  <c r="BK186" i="7949"/>
  <c r="BK136" i="7949"/>
  <c r="AU136" i="7949" s="1"/>
  <c r="BK134" i="7949"/>
  <c r="AU134" i="7949" s="1"/>
  <c r="BK181" i="7949"/>
  <c r="BK183" i="7949"/>
  <c r="BK187" i="7949"/>
  <c r="BK182" i="7949"/>
  <c r="BK131" i="7949"/>
  <c r="AU131" i="7949" s="1"/>
  <c r="BK185" i="7949"/>
  <c r="DO326" i="7949"/>
  <c r="DX43" i="7949"/>
  <c r="DX323" i="7949"/>
  <c r="DM50" i="7949"/>
  <c r="DP50" i="7949" s="1"/>
  <c r="DT50" i="7949" s="1"/>
  <c r="DU50" i="7949" s="1"/>
  <c r="DV50" i="7949" s="1"/>
  <c r="DM51" i="7949"/>
  <c r="DP51" i="7949" s="1"/>
  <c r="DT51" i="7949" s="1"/>
  <c r="DU51" i="7949" s="1"/>
  <c r="DV51" i="7949" s="1"/>
  <c r="DM329" i="7949"/>
  <c r="AX142" i="7950" l="1"/>
  <c r="M142" i="7950"/>
  <c r="AZ142" i="7950"/>
  <c r="AW142" i="7950"/>
  <c r="AY142" i="7950"/>
  <c r="AP143" i="7950" s="1"/>
  <c r="K128" i="7950"/>
  <c r="AV128" i="7950"/>
  <c r="EG137" i="7949"/>
  <c r="EH137" i="7949" s="1"/>
  <c r="AR112" i="7950"/>
  <c r="G112" i="7950"/>
  <c r="AT112" i="7950"/>
  <c r="AU112" i="7950" s="1"/>
  <c r="AV112" i="7950" s="1"/>
  <c r="AQ112" i="7950"/>
  <c r="I112" i="7950"/>
  <c r="EC320" i="7949"/>
  <c r="EG318" i="7949" s="1"/>
  <c r="EG319" i="7949" s="1"/>
  <c r="EH319" i="7949" s="1"/>
  <c r="ED135" i="7949"/>
  <c r="EE135" i="7949" s="1"/>
  <c r="DP326" i="7949"/>
  <c r="DT326" i="7949" s="1"/>
  <c r="DU326" i="7949" s="1"/>
  <c r="DV326" i="7949" s="1"/>
  <c r="BK42" i="7949" s="1"/>
  <c r="AU42" i="7949" s="1"/>
  <c r="ED415" i="7949"/>
  <c r="EE415" i="7949" s="1"/>
  <c r="BK159" i="7949"/>
  <c r="AU159" i="7949" s="1"/>
  <c r="AJ161" i="7949" s="1"/>
  <c r="DO52" i="7949"/>
  <c r="DP52" i="7949" s="1"/>
  <c r="DT52" i="7949" s="1"/>
  <c r="DU52" i="7949" s="1"/>
  <c r="DV52" i="7949" s="1"/>
  <c r="EG415" i="7949"/>
  <c r="EH415" i="7949" s="1"/>
  <c r="ED138" i="7949"/>
  <c r="EE138" i="7949" s="1"/>
  <c r="BK67" i="7949"/>
  <c r="AU67" i="7949" s="1"/>
  <c r="AK164" i="7949" s="1"/>
  <c r="BK70" i="7949"/>
  <c r="AU70" i="7949" s="1"/>
  <c r="BK79" i="7949"/>
  <c r="AU79" i="7949" s="1"/>
  <c r="BK82" i="7949"/>
  <c r="AU82" i="7949" s="1"/>
  <c r="AJ163" i="7949"/>
  <c r="EG411" i="7949"/>
  <c r="EH411" i="7949" s="1"/>
  <c r="EI226" i="7949"/>
  <c r="EC256" i="7949" s="1"/>
  <c r="EC261" i="7949" s="1"/>
  <c r="ED261" i="7949" s="1"/>
  <c r="DP48" i="7949"/>
  <c r="ED412" i="7949"/>
  <c r="EE412" i="7949" s="1"/>
  <c r="EG134" i="7949"/>
  <c r="EH134" i="7949" s="1"/>
  <c r="EC262" i="7949"/>
  <c r="ED262" i="7949" s="1"/>
  <c r="ED692" i="7949"/>
  <c r="EE692" i="7949" s="1"/>
  <c r="DP327" i="7949"/>
  <c r="DT327" i="7949" s="1"/>
  <c r="DU327" i="7949" s="1"/>
  <c r="DV327" i="7949" s="1"/>
  <c r="DP49" i="7949"/>
  <c r="DT49" i="7949" s="1"/>
  <c r="DU49" i="7949" s="1"/>
  <c r="DV49" i="7949" s="1"/>
  <c r="BK54" i="7949" s="1"/>
  <c r="AU54" i="7949" s="1"/>
  <c r="DP329" i="7949"/>
  <c r="DT329" i="7949" s="1"/>
  <c r="DU329" i="7949" s="1"/>
  <c r="DV329" i="7949" s="1"/>
  <c r="DP328" i="7949"/>
  <c r="DT328" i="7949" s="1"/>
  <c r="DU328" i="7949" s="1"/>
  <c r="DV328" i="7949" s="1"/>
  <c r="EG136" i="7949"/>
  <c r="EH136" i="7949" s="1"/>
  <c r="EG414" i="7949"/>
  <c r="EH414" i="7949" s="1"/>
  <c r="ED134" i="7949"/>
  <c r="EE134" i="7949" s="1"/>
  <c r="EF135" i="7949" s="1"/>
  <c r="EC142" i="7949" s="1"/>
  <c r="EF227" i="7949"/>
  <c r="EC234" i="7949" s="1"/>
  <c r="AP96" i="7950"/>
  <c r="AT96" i="7950" s="1"/>
  <c r="AU96" i="7950" s="1"/>
  <c r="DY688" i="7949"/>
  <c r="ED690" i="7949"/>
  <c r="EE690" i="7949" s="1"/>
  <c r="DY690" i="7949"/>
  <c r="EF226" i="7949"/>
  <c r="EC233" i="7949" s="1"/>
  <c r="EJ233" i="7949" s="1"/>
  <c r="EJ234" i="7949" s="1"/>
  <c r="DO603" i="7949"/>
  <c r="DY692" i="7949"/>
  <c r="DY689" i="7949"/>
  <c r="DY691" i="7949"/>
  <c r="EF228" i="7949"/>
  <c r="EC43" i="7949"/>
  <c r="EG41" i="7949" s="1"/>
  <c r="EG45" i="7949" s="1"/>
  <c r="EH45" i="7949" s="1"/>
  <c r="DM605" i="7949"/>
  <c r="EI780" i="7949"/>
  <c r="EC810" i="7949" s="1"/>
  <c r="EC815" i="7949" s="1"/>
  <c r="EG413" i="7949"/>
  <c r="EH413" i="7949" s="1"/>
  <c r="DX599" i="7949"/>
  <c r="EF782" i="7949"/>
  <c r="EC789" i="7949" s="1"/>
  <c r="EC796" i="7949" s="1"/>
  <c r="DO602" i="7949"/>
  <c r="DM602" i="7949"/>
  <c r="EC319" i="7949"/>
  <c r="ED318" i="7949" s="1"/>
  <c r="EC539" i="7949"/>
  <c r="EJ538" i="7949"/>
  <c r="EJ539" i="7949" s="1"/>
  <c r="EJ540" i="7949" s="1"/>
  <c r="EJ524" i="7949"/>
  <c r="EJ525" i="7949" s="1"/>
  <c r="EJ526" i="7949" s="1"/>
  <c r="EJ527" i="7949" s="1"/>
  <c r="EC519" i="7949"/>
  <c r="AP159" i="7950"/>
  <c r="DO605" i="7949"/>
  <c r="DO606" i="7949"/>
  <c r="EC42" i="7949"/>
  <c r="ED41" i="7949" s="1"/>
  <c r="DP604" i="7949"/>
  <c r="DT604" i="7949" s="1"/>
  <c r="DU604" i="7949" s="1"/>
  <c r="DV604" i="7949" s="1"/>
  <c r="DX600" i="7949"/>
  <c r="EI781" i="7949"/>
  <c r="EC811" i="7949" s="1"/>
  <c r="EF781" i="7949"/>
  <c r="EC788" i="7949" s="1"/>
  <c r="ED413" i="7949"/>
  <c r="EE413" i="7949" s="1"/>
  <c r="DY415" i="7949"/>
  <c r="DY414" i="7949"/>
  <c r="DT325" i="7949"/>
  <c r="DU325" i="7949" s="1"/>
  <c r="DV325" i="7949" s="1"/>
  <c r="BK43" i="7949" s="1"/>
  <c r="AU43" i="7949" s="1"/>
  <c r="EJ533" i="7949"/>
  <c r="EJ534" i="7949" s="1"/>
  <c r="EJ535" i="7949" s="1"/>
  <c r="EC538" i="7949"/>
  <c r="ED533" i="7949"/>
  <c r="DT142" i="7949"/>
  <c r="DU142" i="7949" s="1"/>
  <c r="DV142" i="7949" s="1"/>
  <c r="DY135" i="7949"/>
  <c r="DY134" i="7949"/>
  <c r="DY136" i="7949"/>
  <c r="DY138" i="7949"/>
  <c r="DY137" i="7949"/>
  <c r="I143" i="7950"/>
  <c r="G143" i="7950"/>
  <c r="E143" i="7950"/>
  <c r="AR143" i="7950"/>
  <c r="AT143" i="7950"/>
  <c r="AU143" i="7950" s="1"/>
  <c r="AQ143" i="7950"/>
  <c r="EG688" i="7949"/>
  <c r="EH688" i="7949" s="1"/>
  <c r="EG689" i="7949"/>
  <c r="EH689" i="7949" s="1"/>
  <c r="EG690" i="7949"/>
  <c r="EH690" i="7949" s="1"/>
  <c r="EG691" i="7949"/>
  <c r="EH691" i="7949" s="1"/>
  <c r="EG692" i="7949"/>
  <c r="EH692" i="7949" s="1"/>
  <c r="EJ509" i="7949"/>
  <c r="EC510" i="7949"/>
  <c r="EC518" i="7949"/>
  <c r="EJ517" i="7949"/>
  <c r="EJ518" i="7949" s="1"/>
  <c r="EJ519" i="7949" s="1"/>
  <c r="EJ520" i="7949" s="1"/>
  <c r="ED263" i="7949"/>
  <c r="EJ264" i="7949"/>
  <c r="ED264" i="7949" s="1"/>
  <c r="DM606" i="7949"/>
  <c r="EF780" i="7949"/>
  <c r="AP80" i="7950"/>
  <c r="DM603" i="7949"/>
  <c r="ED414" i="7949"/>
  <c r="EE414" i="7949" s="1"/>
  <c r="DY411" i="7949"/>
  <c r="DY412" i="7949"/>
  <c r="DY413" i="7949"/>
  <c r="AX128" i="7950" l="1"/>
  <c r="M128" i="7950"/>
  <c r="AY128" i="7950"/>
  <c r="AW128" i="7950"/>
  <c r="AZ128" i="7950"/>
  <c r="AJ164" i="7949"/>
  <c r="EG320" i="7949"/>
  <c r="EH320" i="7949" s="1"/>
  <c r="K112" i="7950"/>
  <c r="AJ160" i="7949"/>
  <c r="AJ156" i="7949"/>
  <c r="AJ162" i="7949"/>
  <c r="AW112" i="7950"/>
  <c r="AX112" i="7950"/>
  <c r="AZ112" i="7950"/>
  <c r="M112" i="7950"/>
  <c r="AY112" i="7950"/>
  <c r="AP113" i="7950" s="1"/>
  <c r="G113" i="7950" s="1"/>
  <c r="AJ155" i="7949"/>
  <c r="AJ157" i="7949"/>
  <c r="AS46" i="7949"/>
  <c r="AJ158" i="7949"/>
  <c r="AJ159" i="7949"/>
  <c r="EF134" i="7949"/>
  <c r="EC240" i="7949"/>
  <c r="EC247" i="7949" s="1"/>
  <c r="ED538" i="7949"/>
  <c r="EE538" i="7949" s="1"/>
  <c r="EG321" i="7949"/>
  <c r="EH321" i="7949" s="1"/>
  <c r="EG323" i="7949"/>
  <c r="EH323" i="7949" s="1"/>
  <c r="ED321" i="7949"/>
  <c r="EE321" i="7949" s="1"/>
  <c r="DY43" i="7949"/>
  <c r="AS86" i="7949"/>
  <c r="AT86" i="7949" s="1"/>
  <c r="EF136" i="7949"/>
  <c r="EC143" i="7949" s="1"/>
  <c r="EJ155" i="7949" s="1"/>
  <c r="EJ156" i="7949" s="1"/>
  <c r="EJ157" i="7949" s="1"/>
  <c r="EJ158" i="7949" s="1"/>
  <c r="DP605" i="7949"/>
  <c r="DT605" i="7949" s="1"/>
  <c r="DU605" i="7949" s="1"/>
  <c r="DV605" i="7949" s="1"/>
  <c r="EF689" i="7949"/>
  <c r="EC696" i="7949" s="1"/>
  <c r="EJ702" i="7949" s="1"/>
  <c r="EJ703" i="7949" s="1"/>
  <c r="EJ704" i="7949" s="1"/>
  <c r="EJ705" i="7949" s="1"/>
  <c r="G96" i="7950"/>
  <c r="EI134" i="7949"/>
  <c r="EC164" i="7949" s="1"/>
  <c r="EJ164" i="7949" s="1"/>
  <c r="EJ165" i="7949" s="1"/>
  <c r="EJ166" i="7949" s="1"/>
  <c r="AK163" i="7949"/>
  <c r="AI163" i="7949" s="1"/>
  <c r="AI164" i="7949"/>
  <c r="EJ256" i="7949"/>
  <c r="EJ257" i="7949" s="1"/>
  <c r="EJ258" i="7949" s="1"/>
  <c r="DY319" i="7949"/>
  <c r="DY42" i="7949"/>
  <c r="AS69" i="7949"/>
  <c r="AS78" i="7949"/>
  <c r="AP78" i="7949" s="1"/>
  <c r="AS70" i="7949"/>
  <c r="EF690" i="7949"/>
  <c r="EC697" i="7949" s="1"/>
  <c r="EJ709" i="7949" s="1"/>
  <c r="EJ710" i="7949" s="1"/>
  <c r="EJ711" i="7949" s="1"/>
  <c r="EJ712" i="7949" s="1"/>
  <c r="I96" i="7950"/>
  <c r="EC597" i="7949"/>
  <c r="EG595" i="7949" s="1"/>
  <c r="EG598" i="7949" s="1"/>
  <c r="EH598" i="7949" s="1"/>
  <c r="EJ810" i="7949"/>
  <c r="EJ811" i="7949" s="1"/>
  <c r="EJ812" i="7949" s="1"/>
  <c r="EJ813" i="7949" s="1"/>
  <c r="ED813" i="7949" s="1"/>
  <c r="EF688" i="7949"/>
  <c r="AR96" i="7950"/>
  <c r="ED322" i="7949"/>
  <c r="EE322" i="7949" s="1"/>
  <c r="E96" i="7950"/>
  <c r="AQ96" i="7950"/>
  <c r="AT113" i="7950"/>
  <c r="AU113" i="7950" s="1"/>
  <c r="K113" i="7950" s="1"/>
  <c r="EG44" i="7949"/>
  <c r="EH44" i="7949" s="1"/>
  <c r="EI412" i="7949"/>
  <c r="EC442" i="7949" s="1"/>
  <c r="EJ446" i="7949" s="1"/>
  <c r="EJ447" i="7949" s="1"/>
  <c r="EJ448" i="7949" s="1"/>
  <c r="E113" i="7950"/>
  <c r="AQ113" i="7950"/>
  <c r="EG46" i="7949"/>
  <c r="EH46" i="7949" s="1"/>
  <c r="EI135" i="7949"/>
  <c r="EC165" i="7949" s="1"/>
  <c r="EC170" i="7949" s="1"/>
  <c r="EG42" i="7949"/>
  <c r="EH42" i="7949" s="1"/>
  <c r="EI411" i="7949"/>
  <c r="EC441" i="7949" s="1"/>
  <c r="EJ441" i="7949" s="1"/>
  <c r="EJ442" i="7949" s="1"/>
  <c r="EJ443" i="7949" s="1"/>
  <c r="EC596" i="7949"/>
  <c r="ED595" i="7949" s="1"/>
  <c r="ED599" i="7949" s="1"/>
  <c r="EE599" i="7949" s="1"/>
  <c r="DY321" i="7949"/>
  <c r="DY44" i="7949"/>
  <c r="DT48" i="7949"/>
  <c r="DU48" i="7949" s="1"/>
  <c r="DV48" i="7949" s="1"/>
  <c r="BK55" i="7949" s="1"/>
  <c r="AU55" i="7949" s="1"/>
  <c r="AS54" i="7949" s="1"/>
  <c r="AP54" i="7949" s="1"/>
  <c r="AS80" i="7949"/>
  <c r="AP80" i="7949" s="1"/>
  <c r="AK160" i="7949"/>
  <c r="AI160" i="7949" s="1"/>
  <c r="AS67" i="7949"/>
  <c r="AS68" i="7949"/>
  <c r="AK162" i="7949"/>
  <c r="AI162" i="7949" s="1"/>
  <c r="AS73" i="7949"/>
  <c r="AS84" i="7949"/>
  <c r="AP84" i="7949" s="1"/>
  <c r="AS72" i="7949"/>
  <c r="DP603" i="7949"/>
  <c r="DT603" i="7949" s="1"/>
  <c r="DU603" i="7949" s="1"/>
  <c r="DV603" i="7949" s="1"/>
  <c r="BK129" i="7949" s="1"/>
  <c r="AU129" i="7949" s="1"/>
  <c r="DY320" i="7949"/>
  <c r="DY322" i="7949"/>
  <c r="DY323" i="7949"/>
  <c r="DY46" i="7949"/>
  <c r="DY45" i="7949"/>
  <c r="EJ801" i="7949"/>
  <c r="EJ802" i="7949" s="1"/>
  <c r="EJ803" i="7949" s="1"/>
  <c r="EJ804" i="7949" s="1"/>
  <c r="ED804" i="7949" s="1"/>
  <c r="EG43" i="7949"/>
  <c r="EH43" i="7949" s="1"/>
  <c r="EG322" i="7949"/>
  <c r="EH322" i="7949" s="1"/>
  <c r="AS79" i="7949"/>
  <c r="AS82" i="7949"/>
  <c r="AP82" i="7949" s="1"/>
  <c r="AS83" i="7949"/>
  <c r="AK159" i="7949"/>
  <c r="AS66" i="7949"/>
  <c r="AK155" i="7949"/>
  <c r="AI155" i="7949" s="1"/>
  <c r="AS71" i="7949"/>
  <c r="AK158" i="7949"/>
  <c r="AS74" i="7949"/>
  <c r="AK157" i="7949"/>
  <c r="AK161" i="7949"/>
  <c r="AI161" i="7949" s="1"/>
  <c r="AI159" i="7949"/>
  <c r="AS85" i="7949"/>
  <c r="AS87" i="7949"/>
  <c r="AK156" i="7949"/>
  <c r="AS75" i="7949"/>
  <c r="AI156" i="7949"/>
  <c r="AS81" i="7949"/>
  <c r="EI262" i="7949"/>
  <c r="EE262" i="7949"/>
  <c r="EH262" i="7949"/>
  <c r="ED323" i="7949"/>
  <c r="EE323" i="7949" s="1"/>
  <c r="ED319" i="7949"/>
  <c r="EE319" i="7949" s="1"/>
  <c r="EJ240" i="7949"/>
  <c r="EJ241" i="7949" s="1"/>
  <c r="EJ242" i="7949" s="1"/>
  <c r="EJ243" i="7949" s="1"/>
  <c r="EC241" i="7949"/>
  <c r="EF413" i="7949"/>
  <c r="EC420" i="7949" s="1"/>
  <c r="EJ432" i="7949" s="1"/>
  <c r="EJ433" i="7949" s="1"/>
  <c r="EJ434" i="7949" s="1"/>
  <c r="EJ435" i="7949" s="1"/>
  <c r="ED810" i="7949"/>
  <c r="EH810" i="7949" s="1"/>
  <c r="ED320" i="7949"/>
  <c r="EE320" i="7949" s="1"/>
  <c r="DP602" i="7949"/>
  <c r="DT602" i="7949" s="1"/>
  <c r="DU602" i="7949" s="1"/>
  <c r="DV602" i="7949" s="1"/>
  <c r="BK130" i="7949" s="1"/>
  <c r="AU130" i="7949" s="1"/>
  <c r="EC235" i="7949"/>
  <c r="EJ232" i="7949"/>
  <c r="ED233" i="7949"/>
  <c r="AK137" i="7949"/>
  <c r="AK132" i="7949"/>
  <c r="EC787" i="7949"/>
  <c r="EJ786" i="7949"/>
  <c r="EE263" i="7949"/>
  <c r="EI263" i="7949"/>
  <c r="EH263" i="7949"/>
  <c r="EJ521" i="7949"/>
  <c r="ED520" i="7949"/>
  <c r="EJ510" i="7949"/>
  <c r="EJ511" i="7949" s="1"/>
  <c r="EC517" i="7949"/>
  <c r="EJ148" i="7949"/>
  <c r="EJ149" i="7949" s="1"/>
  <c r="EJ150" i="7949" s="1"/>
  <c r="EJ151" i="7949" s="1"/>
  <c r="EC149" i="7949"/>
  <c r="EI688" i="7949"/>
  <c r="EC718" i="7949" s="1"/>
  <c r="EI689" i="7949"/>
  <c r="EC719" i="7949" s="1"/>
  <c r="AV143" i="7950"/>
  <c r="K143" i="7950"/>
  <c r="EJ235" i="7949"/>
  <c r="ED234" i="7949"/>
  <c r="EI538" i="7949"/>
  <c r="EC795" i="7949"/>
  <c r="EJ794" i="7949"/>
  <c r="EJ795" i="7949" s="1"/>
  <c r="EJ796" i="7949" s="1"/>
  <c r="EJ797" i="7949" s="1"/>
  <c r="ED46" i="7949"/>
  <c r="EE46" i="7949" s="1"/>
  <c r="ED42" i="7949"/>
  <c r="EE42" i="7949" s="1"/>
  <c r="ED45" i="7949"/>
  <c r="EE45" i="7949" s="1"/>
  <c r="ED44" i="7949"/>
  <c r="EE44" i="7949" s="1"/>
  <c r="ED43" i="7949"/>
  <c r="EE43" i="7949" s="1"/>
  <c r="AT159" i="7950"/>
  <c r="AU159" i="7950" s="1"/>
  <c r="AQ159" i="7950"/>
  <c r="G159" i="7950"/>
  <c r="AR159" i="7950"/>
  <c r="I159" i="7950"/>
  <c r="E159" i="7950"/>
  <c r="EC703" i="7949"/>
  <c r="ED519" i="7949"/>
  <c r="EC526" i="7949"/>
  <c r="ED526" i="7949" s="1"/>
  <c r="EJ541" i="7949"/>
  <c r="ED541" i="7949" s="1"/>
  <c r="ED540" i="7949"/>
  <c r="EC803" i="7949"/>
  <c r="EF411" i="7949"/>
  <c r="EF412" i="7949"/>
  <c r="EC419" i="7949" s="1"/>
  <c r="AS48" i="7949"/>
  <c r="AK129" i="7949"/>
  <c r="AS51" i="7949"/>
  <c r="AS43" i="7949"/>
  <c r="AS45" i="7949"/>
  <c r="AQ80" i="7950"/>
  <c r="AT80" i="7950"/>
  <c r="AU80" i="7950" s="1"/>
  <c r="G80" i="7950"/>
  <c r="I80" i="7950"/>
  <c r="AR80" i="7950"/>
  <c r="E80" i="7950"/>
  <c r="EE264" i="7949"/>
  <c r="EI264" i="7949"/>
  <c r="EH264" i="7949"/>
  <c r="EC525" i="7949"/>
  <c r="ED525" i="7949" s="1"/>
  <c r="ED518" i="7949"/>
  <c r="EC141" i="7949"/>
  <c r="EI261" i="7949"/>
  <c r="EH261" i="7949"/>
  <c r="EE261" i="7949"/>
  <c r="EH533" i="7949"/>
  <c r="EE533" i="7949"/>
  <c r="EI533" i="7949"/>
  <c r="EJ536" i="7949"/>
  <c r="ED536" i="7949" s="1"/>
  <c r="ED535" i="7949"/>
  <c r="AK130" i="7949"/>
  <c r="AK131" i="7949"/>
  <c r="AK133" i="7949"/>
  <c r="AK135" i="7949"/>
  <c r="AK136" i="7949"/>
  <c r="AK134" i="7949"/>
  <c r="EJ815" i="7949"/>
  <c r="EJ816" i="7949" s="1"/>
  <c r="EJ817" i="7949" s="1"/>
  <c r="EC816" i="7949"/>
  <c r="EJ528" i="7949"/>
  <c r="ED527" i="7949"/>
  <c r="AV96" i="7950"/>
  <c r="K96" i="7950"/>
  <c r="EJ805" i="7949"/>
  <c r="AK138" i="7949"/>
  <c r="DP606" i="7949"/>
  <c r="DT606" i="7949" s="1"/>
  <c r="DU606" i="7949" s="1"/>
  <c r="DV606" i="7949" s="1"/>
  <c r="ED534" i="7949"/>
  <c r="ED539" i="7949"/>
  <c r="AS50" i="7949"/>
  <c r="AS49" i="7949"/>
  <c r="AS42" i="7949"/>
  <c r="AS44" i="7949"/>
  <c r="AS47" i="7949"/>
  <c r="U50" i="7952"/>
  <c r="U56" i="7952"/>
  <c r="AH46" i="7949"/>
  <c r="AH43" i="7949"/>
  <c r="AH67" i="7949"/>
  <c r="U52" i="7952"/>
  <c r="U54" i="7952"/>
  <c r="AH68" i="7949"/>
  <c r="AH73" i="7949"/>
  <c r="AH72" i="7949"/>
  <c r="AH74" i="7949"/>
  <c r="AH49" i="7949"/>
  <c r="AH48" i="7949"/>
  <c r="AH44" i="7949"/>
  <c r="AH75" i="7949"/>
  <c r="AH42" i="7949"/>
  <c r="AH47" i="7949"/>
  <c r="AH51" i="7949"/>
  <c r="AH69" i="7949"/>
  <c r="AH70" i="7949"/>
  <c r="AH66" i="7949"/>
  <c r="AH71" i="7949"/>
  <c r="AH45" i="7949"/>
  <c r="AH50" i="7949"/>
  <c r="EH538" i="7949" l="1"/>
  <c r="AI157" i="7949"/>
  <c r="AI158" i="7949"/>
  <c r="I113" i="7950"/>
  <c r="AR113" i="7950"/>
  <c r="AP129" i="7950"/>
  <c r="D54" i="7952"/>
  <c r="D56" i="7952"/>
  <c r="D52" i="7952"/>
  <c r="D50" i="7952"/>
  <c r="ED510" i="7949"/>
  <c r="EC704" i="7949"/>
  <c r="I46" i="7949"/>
  <c r="G46" i="7949"/>
  <c r="M46" i="7949"/>
  <c r="AK46" i="7949"/>
  <c r="H46" i="7949"/>
  <c r="F46" i="7949"/>
  <c r="AJ46" i="7949"/>
  <c r="K46" i="7949"/>
  <c r="ED803" i="7949"/>
  <c r="ED257" i="7949"/>
  <c r="EJ140" i="7949"/>
  <c r="EC169" i="7949"/>
  <c r="EC150" i="7949"/>
  <c r="AS60" i="7949"/>
  <c r="EI319" i="7949"/>
  <c r="EC349" i="7949" s="1"/>
  <c r="AJ136" i="7949"/>
  <c r="AS61" i="7949"/>
  <c r="AV113" i="7950"/>
  <c r="AJ132" i="7949"/>
  <c r="AI132" i="7949" s="1"/>
  <c r="EJ169" i="7949"/>
  <c r="EJ170" i="7949" s="1"/>
  <c r="EJ171" i="7949" s="1"/>
  <c r="EC447" i="7949"/>
  <c r="EJ694" i="7949"/>
  <c r="EF321" i="7949"/>
  <c r="EC328" i="7949" s="1"/>
  <c r="AT84" i="7949"/>
  <c r="ED812" i="7949"/>
  <c r="EC446" i="7949"/>
  <c r="EE810" i="7949"/>
  <c r="ED796" i="7949"/>
  <c r="ED598" i="7949"/>
  <c r="EE598" i="7949" s="1"/>
  <c r="EE233" i="7949"/>
  <c r="AP86" i="7949"/>
  <c r="EG599" i="7949"/>
  <c r="EH599" i="7949" s="1"/>
  <c r="K106" i="7950"/>
  <c r="ED811" i="7949"/>
  <c r="EI810" i="7949"/>
  <c r="ED256" i="7949"/>
  <c r="EH256" i="7949" s="1"/>
  <c r="AT70" i="7949"/>
  <c r="AI70" i="7949" s="1"/>
  <c r="F53" i="7949"/>
  <c r="K53" i="7949"/>
  <c r="H53" i="7949"/>
  <c r="I53" i="7949"/>
  <c r="M53" i="7949"/>
  <c r="AK69" i="7949"/>
  <c r="G53" i="7949"/>
  <c r="AJ69" i="7949"/>
  <c r="J53" i="7949" s="1"/>
  <c r="D53" i="7949"/>
  <c r="C53" i="7949" s="1"/>
  <c r="G54" i="7949"/>
  <c r="AK70" i="7949"/>
  <c r="I54" i="7949"/>
  <c r="AJ70" i="7949"/>
  <c r="J54" i="7949" s="1"/>
  <c r="H54" i="7949"/>
  <c r="F54" i="7949"/>
  <c r="M54" i="7949"/>
  <c r="K54" i="7949"/>
  <c r="E54" i="7949"/>
  <c r="D54" i="7949"/>
  <c r="C54" i="7949" s="1"/>
  <c r="EI43" i="7949"/>
  <c r="EC73" i="7949" s="1"/>
  <c r="EC695" i="7949"/>
  <c r="AS56" i="7949"/>
  <c r="AP56" i="7949" s="1"/>
  <c r="AS63" i="7949"/>
  <c r="EI42" i="7949"/>
  <c r="EC72" i="7949" s="1"/>
  <c r="AS62" i="7949"/>
  <c r="AS58" i="7949"/>
  <c r="EI233" i="7949"/>
  <c r="AS55" i="7949"/>
  <c r="AS59" i="7949"/>
  <c r="AS57" i="7949"/>
  <c r="ED240" i="7949"/>
  <c r="EF319" i="7949"/>
  <c r="EC326" i="7949" s="1"/>
  <c r="AJ133" i="7949"/>
  <c r="ED597" i="7949"/>
  <c r="EE597" i="7949" s="1"/>
  <c r="AJ73" i="7949"/>
  <c r="AK73" i="7949"/>
  <c r="H52" i="7949"/>
  <c r="F52" i="7949"/>
  <c r="M52" i="7949"/>
  <c r="G52" i="7949"/>
  <c r="I52" i="7949"/>
  <c r="AK68" i="7949"/>
  <c r="K52" i="7949"/>
  <c r="AJ68" i="7949"/>
  <c r="J52" i="7949" s="1"/>
  <c r="M51" i="7949"/>
  <c r="G51" i="7949"/>
  <c r="F51" i="7949"/>
  <c r="I51" i="7949"/>
  <c r="K51" i="7949"/>
  <c r="AK67" i="7949"/>
  <c r="H51" i="7949"/>
  <c r="AJ67" i="7949"/>
  <c r="J51" i="7949" s="1"/>
  <c r="EC354" i="7949"/>
  <c r="EJ349" i="7949"/>
  <c r="EJ350" i="7949" s="1"/>
  <c r="EJ351" i="7949" s="1"/>
  <c r="EJ352" i="7949" s="1"/>
  <c r="ED352" i="7949" s="1"/>
  <c r="AT68" i="7949"/>
  <c r="AI68" i="7949" s="1"/>
  <c r="E52" i="7949" s="1"/>
  <c r="D52" i="7949"/>
  <c r="C52" i="7949" s="1"/>
  <c r="D51" i="7949"/>
  <c r="C51" i="7949" s="1"/>
  <c r="AT69" i="7949"/>
  <c r="AI69" i="7949" s="1"/>
  <c r="E53" i="7949" s="1"/>
  <c r="EF320" i="7949"/>
  <c r="EC327" i="7949" s="1"/>
  <c r="EG597" i="7949"/>
  <c r="EH597" i="7949" s="1"/>
  <c r="EE256" i="7949"/>
  <c r="EI320" i="7949"/>
  <c r="EC350" i="7949" s="1"/>
  <c r="EC355" i="7949" s="1"/>
  <c r="AJ134" i="7949"/>
  <c r="DY600" i="7949"/>
  <c r="AJ72" i="7949"/>
  <c r="AK72" i="7949"/>
  <c r="EC427" i="7949"/>
  <c r="AK74" i="7949"/>
  <c r="AJ74" i="7949"/>
  <c r="AJ71" i="7949"/>
  <c r="AK71" i="7949"/>
  <c r="M50" i="7949"/>
  <c r="AK66" i="7949"/>
  <c r="K50" i="7949"/>
  <c r="E50" i="7949"/>
  <c r="D50" i="7949"/>
  <c r="C50" i="7949" s="1"/>
  <c r="G50" i="7949"/>
  <c r="H50" i="7949"/>
  <c r="F50" i="7949"/>
  <c r="I50" i="7949"/>
  <c r="AJ66" i="7949"/>
  <c r="J50" i="7949" s="1"/>
  <c r="AT67" i="7949"/>
  <c r="AI67" i="7949" s="1"/>
  <c r="E51" i="7949" s="1"/>
  <c r="AT83" i="7949"/>
  <c r="AP83" i="7949"/>
  <c r="AT80" i="7949"/>
  <c r="AT79" i="7949"/>
  <c r="AP79" i="7949"/>
  <c r="AJ75" i="7949"/>
  <c r="AK75" i="7949"/>
  <c r="AP85" i="7949"/>
  <c r="AT85" i="7949"/>
  <c r="AT81" i="7949"/>
  <c r="AP81" i="7949"/>
  <c r="AT82" i="7949"/>
  <c r="AP87" i="7949"/>
  <c r="AT87" i="7949"/>
  <c r="AJ131" i="7949"/>
  <c r="AI131" i="7949" s="1"/>
  <c r="EH233" i="7949"/>
  <c r="EG596" i="7949"/>
  <c r="EH596" i="7949" s="1"/>
  <c r="AJ137" i="7949"/>
  <c r="AJ138" i="7949"/>
  <c r="AJ129" i="7949"/>
  <c r="AI129" i="7949" s="1"/>
  <c r="AJ130" i="7949"/>
  <c r="AJ135" i="7949"/>
  <c r="ED596" i="7949"/>
  <c r="EE596" i="7949" s="1"/>
  <c r="ED169" i="7949"/>
  <c r="EI169" i="7949" s="1"/>
  <c r="EI256" i="7949"/>
  <c r="AI137" i="7949"/>
  <c r="EJ244" i="7949"/>
  <c r="ED243" i="7949"/>
  <c r="ED241" i="7949"/>
  <c r="EC248" i="7949"/>
  <c r="D45" i="7949"/>
  <c r="C45" i="7949" s="1"/>
  <c r="AI134" i="7949"/>
  <c r="ED446" i="7949"/>
  <c r="J46" i="7949"/>
  <c r="DY599" i="7949"/>
  <c r="EC242" i="7949"/>
  <c r="EJ247" i="7949"/>
  <c r="EJ248" i="7949" s="1"/>
  <c r="ED164" i="7949"/>
  <c r="EE164" i="7949" s="1"/>
  <c r="ED816" i="7949"/>
  <c r="EE816" i="7949" s="1"/>
  <c r="DY596" i="7949"/>
  <c r="ED170" i="7949"/>
  <c r="EI170" i="7949" s="1"/>
  <c r="G47" i="7949"/>
  <c r="H47" i="7949"/>
  <c r="M47" i="7949"/>
  <c r="K47" i="7949"/>
  <c r="F47" i="7949"/>
  <c r="I47" i="7949"/>
  <c r="AK47" i="7949"/>
  <c r="AJ47" i="7949"/>
  <c r="AJ49" i="7949"/>
  <c r="AK49" i="7949"/>
  <c r="AJ51" i="7949"/>
  <c r="AK51" i="7949"/>
  <c r="AK48" i="7949"/>
  <c r="AJ48" i="7949"/>
  <c r="F44" i="7949"/>
  <c r="M44" i="7949"/>
  <c r="H44" i="7949"/>
  <c r="G44" i="7949"/>
  <c r="I44" i="7949"/>
  <c r="K44" i="7949"/>
  <c r="AJ44" i="7949"/>
  <c r="AK44" i="7949"/>
  <c r="K45" i="7949"/>
  <c r="G45" i="7949"/>
  <c r="F45" i="7949"/>
  <c r="H45" i="7949"/>
  <c r="M45" i="7949"/>
  <c r="I45" i="7949"/>
  <c r="AJ45" i="7949"/>
  <c r="AK45" i="7949"/>
  <c r="AJ50" i="7949"/>
  <c r="AK50" i="7949"/>
  <c r="H42" i="7949"/>
  <c r="K42" i="7949"/>
  <c r="M42" i="7949"/>
  <c r="G42" i="7949"/>
  <c r="E42" i="7949"/>
  <c r="F42" i="7949"/>
  <c r="I42" i="7949"/>
  <c r="AK42" i="7949"/>
  <c r="AJ42" i="7949"/>
  <c r="H43" i="7949"/>
  <c r="I43" i="7949"/>
  <c r="G43" i="7949"/>
  <c r="F43" i="7949"/>
  <c r="M43" i="7949"/>
  <c r="K43" i="7949"/>
  <c r="AJ43" i="7949"/>
  <c r="AK43" i="7949"/>
  <c r="AT62" i="7949"/>
  <c r="AP62" i="7949"/>
  <c r="AT61" i="7949"/>
  <c r="AP61" i="7949"/>
  <c r="AT45" i="7949"/>
  <c r="AI45" i="7949" s="1"/>
  <c r="E45" i="7949" s="1"/>
  <c r="EH539" i="7949"/>
  <c r="EE539" i="7949"/>
  <c r="EI539" i="7949"/>
  <c r="EJ333" i="7949"/>
  <c r="EJ334" i="7949" s="1"/>
  <c r="EJ335" i="7949" s="1"/>
  <c r="EJ336" i="7949" s="1"/>
  <c r="EC334" i="7949"/>
  <c r="EC335" i="7949"/>
  <c r="EJ340" i="7949"/>
  <c r="EJ341" i="7949" s="1"/>
  <c r="EJ342" i="7949" s="1"/>
  <c r="EJ343" i="7949" s="1"/>
  <c r="M113" i="7950"/>
  <c r="AW113" i="7950"/>
  <c r="AX113" i="7950"/>
  <c r="AY113" i="7950"/>
  <c r="AH108" i="7950" s="1"/>
  <c r="AZ113" i="7950"/>
  <c r="AH109" i="7950" s="1"/>
  <c r="EE812" i="7949"/>
  <c r="EH812" i="7949"/>
  <c r="EI812" i="7949"/>
  <c r="EJ806" i="7949"/>
  <c r="ED806" i="7949" s="1"/>
  <c r="ED805" i="7949"/>
  <c r="EE169" i="7949"/>
  <c r="M96" i="7950"/>
  <c r="AX96" i="7950"/>
  <c r="AW96" i="7950"/>
  <c r="AZ96" i="7950"/>
  <c r="AY96" i="7950"/>
  <c r="ED528" i="7949"/>
  <c r="EJ529" i="7949"/>
  <c r="ED529" i="7949" s="1"/>
  <c r="ED704" i="7949"/>
  <c r="EC711" i="7949"/>
  <c r="ED711" i="7949" s="1"/>
  <c r="EH816" i="7949"/>
  <c r="EI816" i="7949"/>
  <c r="EI446" i="7949"/>
  <c r="EH446" i="7949"/>
  <c r="EE446" i="7949"/>
  <c r="ED443" i="7949"/>
  <c r="EJ444" i="7949"/>
  <c r="ED444" i="7949" s="1"/>
  <c r="EI536" i="7949"/>
  <c r="EE536" i="7949"/>
  <c r="EH536" i="7949"/>
  <c r="EC148" i="7949"/>
  <c r="EJ141" i="7949"/>
  <c r="EJ142" i="7949" s="1"/>
  <c r="ED150" i="7949"/>
  <c r="EC157" i="7949"/>
  <c r="ED157" i="7949" s="1"/>
  <c r="EH518" i="7949"/>
  <c r="EE518" i="7949"/>
  <c r="EI518" i="7949"/>
  <c r="K80" i="7950"/>
  <c r="AV80" i="7950"/>
  <c r="AP60" i="7949"/>
  <c r="AT60" i="7949"/>
  <c r="AT63" i="7949"/>
  <c r="AP63" i="7949"/>
  <c r="AT46" i="7949"/>
  <c r="AI46" i="7949" s="1"/>
  <c r="E46" i="7949" s="1"/>
  <c r="EC426" i="7949"/>
  <c r="EJ425" i="7949"/>
  <c r="EJ426" i="7949" s="1"/>
  <c r="EJ427" i="7949" s="1"/>
  <c r="EJ428" i="7949" s="1"/>
  <c r="EC77" i="7949"/>
  <c r="EJ72" i="7949"/>
  <c r="EJ73" i="7949" s="1"/>
  <c r="EJ74" i="7949" s="1"/>
  <c r="EE803" i="7949"/>
  <c r="EH803" i="7949"/>
  <c r="EI803" i="7949"/>
  <c r="EJ172" i="7949"/>
  <c r="ED172" i="7949" s="1"/>
  <c r="ED171" i="7949"/>
  <c r="EI541" i="7949"/>
  <c r="EH541" i="7949"/>
  <c r="EE541" i="7949"/>
  <c r="EE526" i="7949"/>
  <c r="EI526" i="7949"/>
  <c r="EH526" i="7949"/>
  <c r="ED703" i="7949"/>
  <c r="EC710" i="7949"/>
  <c r="ED710" i="7949" s="1"/>
  <c r="EJ798" i="7949"/>
  <c r="ED797" i="7949"/>
  <c r="ED448" i="7949"/>
  <c r="EJ449" i="7949"/>
  <c r="ED449" i="7949" s="1"/>
  <c r="EH234" i="7949"/>
  <c r="EE234" i="7949"/>
  <c r="EI234" i="7949"/>
  <c r="EJ259" i="7949"/>
  <c r="ED259" i="7949" s="1"/>
  <c r="ED258" i="7949"/>
  <c r="EC724" i="7949"/>
  <c r="EJ723" i="7949"/>
  <c r="EJ724" i="7949" s="1"/>
  <c r="EJ725" i="7949" s="1"/>
  <c r="EJ152" i="7949"/>
  <c r="ED151" i="7949"/>
  <c r="ED517" i="7949"/>
  <c r="EC524" i="7949"/>
  <c r="ED524" i="7949" s="1"/>
  <c r="EI520" i="7949"/>
  <c r="EH520" i="7949"/>
  <c r="EE520" i="7949"/>
  <c r="ED435" i="7949"/>
  <c r="EJ436" i="7949"/>
  <c r="AI138" i="7949"/>
  <c r="ED815" i="7949"/>
  <c r="DY597" i="7949"/>
  <c r="AI136" i="7949"/>
  <c r="ED442" i="7949"/>
  <c r="ED600" i="7949"/>
  <c r="EE600" i="7949" s="1"/>
  <c r="EF596" i="7949" s="1"/>
  <c r="AT47" i="7949"/>
  <c r="AI47" i="7949" s="1"/>
  <c r="E47" i="7949" s="1"/>
  <c r="AT58" i="7949"/>
  <c r="AP58" i="7949"/>
  <c r="AT43" i="7949"/>
  <c r="AI43" i="7949" s="1"/>
  <c r="E43" i="7949" s="1"/>
  <c r="EE534" i="7949"/>
  <c r="EI534" i="7949"/>
  <c r="EH534" i="7949"/>
  <c r="EJ325" i="7949"/>
  <c r="EI813" i="7949"/>
  <c r="EH813" i="7949"/>
  <c r="EE813" i="7949"/>
  <c r="EE804" i="7949"/>
  <c r="EH804" i="7949"/>
  <c r="EI804" i="7949"/>
  <c r="EJ167" i="7949"/>
  <c r="ED167" i="7949" s="1"/>
  <c r="ED166" i="7949"/>
  <c r="EE527" i="7949"/>
  <c r="EH527" i="7949"/>
  <c r="EI527" i="7949"/>
  <c r="EC702" i="7949"/>
  <c r="EJ695" i="7949"/>
  <c r="EJ696" i="7949" s="1"/>
  <c r="EJ713" i="7949"/>
  <c r="ED712" i="7949"/>
  <c r="EH811" i="7949"/>
  <c r="EE811" i="7949"/>
  <c r="EI811" i="7949"/>
  <c r="EJ818" i="7949"/>
  <c r="ED818" i="7949" s="1"/>
  <c r="ED817" i="7949"/>
  <c r="EH535" i="7949"/>
  <c r="EE535" i="7949"/>
  <c r="EI535" i="7949"/>
  <c r="EJ159" i="7949"/>
  <c r="ED158" i="7949"/>
  <c r="EE525" i="7949"/>
  <c r="EI525" i="7949"/>
  <c r="EH525" i="7949"/>
  <c r="EJ354" i="7949"/>
  <c r="EJ355" i="7949" s="1"/>
  <c r="EJ356" i="7949" s="1"/>
  <c r="AT55" i="7949"/>
  <c r="AP55" i="7949"/>
  <c r="AT59" i="7949"/>
  <c r="AP59" i="7949"/>
  <c r="AP57" i="7949"/>
  <c r="AT57" i="7949"/>
  <c r="AT44" i="7949"/>
  <c r="AI44" i="7949" s="1"/>
  <c r="E44" i="7949" s="1"/>
  <c r="EJ417" i="7949"/>
  <c r="EC418" i="7949"/>
  <c r="ED351" i="7949"/>
  <c r="EC78" i="7949"/>
  <c r="EJ77" i="7949"/>
  <c r="EJ78" i="7949" s="1"/>
  <c r="EJ79" i="7949" s="1"/>
  <c r="EI796" i="7949"/>
  <c r="EH796" i="7949"/>
  <c r="EE796" i="7949"/>
  <c r="EE540" i="7949"/>
  <c r="EI540" i="7949"/>
  <c r="EH540" i="7949"/>
  <c r="EE519" i="7949"/>
  <c r="EH519" i="7949"/>
  <c r="EI519" i="7949"/>
  <c r="ED705" i="7949"/>
  <c r="EJ706" i="7949"/>
  <c r="K159" i="7950"/>
  <c r="AV159" i="7950"/>
  <c r="EF42" i="7949"/>
  <c r="EF44" i="7949"/>
  <c r="EC51" i="7949" s="1"/>
  <c r="EF43" i="7949"/>
  <c r="EC50" i="7949" s="1"/>
  <c r="EC802" i="7949"/>
  <c r="ED802" i="7949" s="1"/>
  <c r="ED795" i="7949"/>
  <c r="EJ236" i="7949"/>
  <c r="ED235" i="7949"/>
  <c r="EE240" i="7949"/>
  <c r="EI240" i="7949"/>
  <c r="EH240" i="7949"/>
  <c r="EI257" i="7949"/>
  <c r="EE257" i="7949"/>
  <c r="EH257" i="7949"/>
  <c r="AW143" i="7950"/>
  <c r="M143" i="7950"/>
  <c r="AX143" i="7950"/>
  <c r="AY143" i="7950"/>
  <c r="AZ143" i="7950"/>
  <c r="EJ718" i="7949"/>
  <c r="EJ719" i="7949" s="1"/>
  <c r="EJ720" i="7949" s="1"/>
  <c r="EC723" i="7949"/>
  <c r="ED723" i="7949" s="1"/>
  <c r="ED149" i="7949"/>
  <c r="EC156" i="7949"/>
  <c r="ED156" i="7949" s="1"/>
  <c r="EE510" i="7949"/>
  <c r="EI510" i="7949"/>
  <c r="EH510" i="7949"/>
  <c r="EJ512" i="7949"/>
  <c r="ED511" i="7949"/>
  <c r="ED521" i="7949"/>
  <c r="EJ522" i="7949"/>
  <c r="ED522" i="7949" s="1"/>
  <c r="EJ787" i="7949"/>
  <c r="EJ788" i="7949" s="1"/>
  <c r="EC794" i="7949"/>
  <c r="ED787" i="7949"/>
  <c r="EC434" i="7949"/>
  <c r="ED434" i="7949" s="1"/>
  <c r="ED427" i="7949"/>
  <c r="ED441" i="7949"/>
  <c r="EG600" i="7949"/>
  <c r="EH600" i="7949" s="1"/>
  <c r="EI596" i="7949" s="1"/>
  <c r="EC626" i="7949" s="1"/>
  <c r="AI133" i="7949"/>
  <c r="D46" i="7949" s="1"/>
  <c r="C46" i="7949" s="1"/>
  <c r="AI130" i="7949"/>
  <c r="D42" i="7949" s="1"/>
  <c r="C42" i="7949" s="1"/>
  <c r="DY598" i="7949"/>
  <c r="AI135" i="7949"/>
  <c r="ED165" i="7949"/>
  <c r="ED447" i="7949"/>
  <c r="U55" i="7952"/>
  <c r="U53" i="7952"/>
  <c r="U57" i="7952"/>
  <c r="U51" i="7952"/>
  <c r="E129" i="7950" l="1"/>
  <c r="AR129" i="7950"/>
  <c r="AT129" i="7950"/>
  <c r="AU129" i="7950" s="1"/>
  <c r="AQ129" i="7950"/>
  <c r="I129" i="7950"/>
  <c r="G129" i="7950"/>
  <c r="AT56" i="7949"/>
  <c r="D57" i="7952"/>
  <c r="D55" i="7952"/>
  <c r="D53" i="7952"/>
  <c r="D51" i="7952"/>
  <c r="ED718" i="7949"/>
  <c r="EH169" i="7949"/>
  <c r="EI164" i="7949"/>
  <c r="D47" i="7949"/>
  <c r="C47" i="7949" s="1"/>
  <c r="D44" i="7949"/>
  <c r="C44" i="7949" s="1"/>
  <c r="ED350" i="7949"/>
  <c r="EF597" i="7949"/>
  <c r="EC604" i="7949" s="1"/>
  <c r="EJ610" i="7949" s="1"/>
  <c r="EJ611" i="7949" s="1"/>
  <c r="EJ612" i="7949" s="1"/>
  <c r="EJ613" i="7949" s="1"/>
  <c r="EE170" i="7949"/>
  <c r="EH164" i="7949"/>
  <c r="ED349" i="7949"/>
  <c r="D43" i="7949"/>
  <c r="C43" i="7949" s="1"/>
  <c r="EE241" i="7949"/>
  <c r="EH241" i="7949"/>
  <c r="EI241" i="7949"/>
  <c r="EJ245" i="7949"/>
  <c r="ED245" i="7949" s="1"/>
  <c r="ED244" i="7949"/>
  <c r="EI243" i="7949"/>
  <c r="EE243" i="7949"/>
  <c r="EH243" i="7949"/>
  <c r="ED724" i="7949"/>
  <c r="EI724" i="7949" s="1"/>
  <c r="AP144" i="7950"/>
  <c r="AT144" i="7950" s="1"/>
  <c r="AU144" i="7950" s="1"/>
  <c r="EF598" i="7949"/>
  <c r="EC605" i="7949" s="1"/>
  <c r="EJ617" i="7949" s="1"/>
  <c r="EJ618" i="7949" s="1"/>
  <c r="EJ619" i="7949" s="1"/>
  <c r="EJ620" i="7949" s="1"/>
  <c r="EH170" i="7949"/>
  <c r="ED247" i="7949"/>
  <c r="EC249" i="7949"/>
  <c r="ED242" i="7949"/>
  <c r="EJ249" i="7949"/>
  <c r="EJ250" i="7949" s="1"/>
  <c r="ED248" i="7949"/>
  <c r="ED73" i="7949"/>
  <c r="EI73" i="7949" s="1"/>
  <c r="EI247" i="7949"/>
  <c r="J43" i="7949"/>
  <c r="J47" i="7949"/>
  <c r="ED78" i="7949"/>
  <c r="EE78" i="7949" s="1"/>
  <c r="ED355" i="7949"/>
  <c r="EE355" i="7949" s="1"/>
  <c r="AP97" i="7950"/>
  <c r="AR97" i="7950" s="1"/>
  <c r="EC631" i="7949"/>
  <c r="EJ626" i="7949"/>
  <c r="EJ627" i="7949" s="1"/>
  <c r="EJ628" i="7949" s="1"/>
  <c r="EI521" i="7949"/>
  <c r="EH521" i="7949"/>
  <c r="EE521" i="7949"/>
  <c r="EJ513" i="7949"/>
  <c r="ED512" i="7949"/>
  <c r="EH447" i="7949"/>
  <c r="EI447" i="7949"/>
  <c r="EE447" i="7949"/>
  <c r="EI427" i="7949"/>
  <c r="EE427" i="7949"/>
  <c r="EH427" i="7949"/>
  <c r="EC801" i="7949"/>
  <c r="ED801" i="7949" s="1"/>
  <c r="ED794" i="7949"/>
  <c r="EH522" i="7949"/>
  <c r="EE522" i="7949"/>
  <c r="EI522" i="7949"/>
  <c r="EH511" i="7949"/>
  <c r="EE511" i="7949"/>
  <c r="EI511" i="7949"/>
  <c r="EH149" i="7949"/>
  <c r="EE149" i="7949"/>
  <c r="EI149" i="7949"/>
  <c r="EH723" i="7949"/>
  <c r="EE723" i="7949"/>
  <c r="EI723" i="7949"/>
  <c r="ED236" i="7949"/>
  <c r="EJ237" i="7949"/>
  <c r="EH795" i="7949"/>
  <c r="EI795" i="7949"/>
  <c r="EE795" i="7949"/>
  <c r="EC57" i="7949"/>
  <c r="EJ56" i="7949"/>
  <c r="EJ57" i="7949" s="1"/>
  <c r="EJ58" i="7949" s="1"/>
  <c r="EJ59" i="7949" s="1"/>
  <c r="EC49" i="7949"/>
  <c r="EJ48" i="7949"/>
  <c r="AW159" i="7950"/>
  <c r="M159" i="7950"/>
  <c r="AX159" i="7950"/>
  <c r="AZ159" i="7950"/>
  <c r="AY159" i="7950"/>
  <c r="EJ707" i="7949"/>
  <c r="ED707" i="7949" s="1"/>
  <c r="ED706" i="7949"/>
  <c r="ED79" i="7949"/>
  <c r="EJ80" i="7949"/>
  <c r="ED80" i="7949" s="1"/>
  <c r="EE351" i="7949"/>
  <c r="EH351" i="7949"/>
  <c r="EI351" i="7949"/>
  <c r="EC425" i="7949"/>
  <c r="EJ418" i="7949"/>
  <c r="EJ419" i="7949" s="1"/>
  <c r="EJ357" i="7949"/>
  <c r="ED357" i="7949" s="1"/>
  <c r="ED356" i="7949"/>
  <c r="EE158" i="7949"/>
  <c r="EI158" i="7949"/>
  <c r="EH158" i="7949"/>
  <c r="EI818" i="7949"/>
  <c r="EE818" i="7949"/>
  <c r="EH818" i="7949"/>
  <c r="EH712" i="7949"/>
  <c r="EE712" i="7949"/>
  <c r="EI712" i="7949"/>
  <c r="ED702" i="7949"/>
  <c r="EC709" i="7949"/>
  <c r="ED709" i="7949" s="1"/>
  <c r="EH166" i="7949"/>
  <c r="EE166" i="7949"/>
  <c r="EI166" i="7949"/>
  <c r="EE442" i="7949"/>
  <c r="EH442" i="7949"/>
  <c r="EI442" i="7949"/>
  <c r="EI815" i="7949"/>
  <c r="EE815" i="7949"/>
  <c r="EH815" i="7949"/>
  <c r="ED436" i="7949"/>
  <c r="EJ437" i="7949"/>
  <c r="ED437" i="7949" s="1"/>
  <c r="EE517" i="7949"/>
  <c r="EI517" i="7949"/>
  <c r="EH517" i="7949"/>
  <c r="EJ153" i="7949"/>
  <c r="ED153" i="7949" s="1"/>
  <c r="ED152" i="7949"/>
  <c r="EJ726" i="7949"/>
  <c r="ED726" i="7949" s="1"/>
  <c r="ED725" i="7949"/>
  <c r="EI258" i="7949"/>
  <c r="EH258" i="7949"/>
  <c r="EE258" i="7949"/>
  <c r="EH448" i="7949"/>
  <c r="EI448" i="7949"/>
  <c r="EE448" i="7949"/>
  <c r="EJ799" i="7949"/>
  <c r="ED799" i="7949" s="1"/>
  <c r="ED798" i="7949"/>
  <c r="EI703" i="7949"/>
  <c r="EH703" i="7949"/>
  <c r="EE703" i="7949"/>
  <c r="EE172" i="7949"/>
  <c r="EH172" i="7949"/>
  <c r="EI172" i="7949"/>
  <c r="EJ75" i="7949"/>
  <c r="ED75" i="7949" s="1"/>
  <c r="ED74" i="7949"/>
  <c r="EJ429" i="7949"/>
  <c r="ED428" i="7949"/>
  <c r="M80" i="7950"/>
  <c r="AX80" i="7950"/>
  <c r="AW80" i="7950"/>
  <c r="AZ80" i="7950"/>
  <c r="AY80" i="7950"/>
  <c r="EE157" i="7949"/>
  <c r="EH157" i="7949"/>
  <c r="EI157" i="7949"/>
  <c r="ED148" i="7949"/>
  <c r="EC155" i="7949"/>
  <c r="ED155" i="7949" s="1"/>
  <c r="EE444" i="7949"/>
  <c r="EI444" i="7949"/>
  <c r="EH444" i="7949"/>
  <c r="EI711" i="7949"/>
  <c r="EE711" i="7949"/>
  <c r="EH711" i="7949"/>
  <c r="EI529" i="7949"/>
  <c r="EE529" i="7949"/>
  <c r="EH529" i="7949"/>
  <c r="EE805" i="7949"/>
  <c r="EH805" i="7949"/>
  <c r="EI805" i="7949"/>
  <c r="EC342" i="7949"/>
  <c r="ED342" i="7949" s="1"/>
  <c r="ED335" i="7949"/>
  <c r="EC341" i="7949"/>
  <c r="ED341" i="7949" s="1"/>
  <c r="ED334" i="7949"/>
  <c r="EI597" i="7949"/>
  <c r="EC627" i="7949" s="1"/>
  <c r="ED695" i="7949"/>
  <c r="ED141" i="7949"/>
  <c r="J42" i="7949"/>
  <c r="J45" i="7949"/>
  <c r="J44" i="7949"/>
  <c r="EE165" i="7949"/>
  <c r="EI165" i="7949"/>
  <c r="EH165" i="7949"/>
  <c r="EI441" i="7949"/>
  <c r="EE441" i="7949"/>
  <c r="EH441" i="7949"/>
  <c r="EH434" i="7949"/>
  <c r="EE434" i="7949"/>
  <c r="EI434" i="7949"/>
  <c r="EE787" i="7949"/>
  <c r="EI787" i="7949"/>
  <c r="EH787" i="7949"/>
  <c r="EJ789" i="7949"/>
  <c r="ED788" i="7949"/>
  <c r="EI156" i="7949"/>
  <c r="EH156" i="7949"/>
  <c r="EE156" i="7949"/>
  <c r="EI718" i="7949"/>
  <c r="EE718" i="7949"/>
  <c r="EH718" i="7949"/>
  <c r="EJ721" i="7949"/>
  <c r="ED721" i="7949" s="1"/>
  <c r="ED720" i="7949"/>
  <c r="EC603" i="7949"/>
  <c r="EI235" i="7949"/>
  <c r="EH235" i="7949"/>
  <c r="EE235" i="7949"/>
  <c r="EI802" i="7949"/>
  <c r="EE802" i="7949"/>
  <c r="EH802" i="7949"/>
  <c r="EJ63" i="7949"/>
  <c r="EJ64" i="7949" s="1"/>
  <c r="EJ65" i="7949" s="1"/>
  <c r="EJ66" i="7949" s="1"/>
  <c r="EC58" i="7949"/>
  <c r="EH705" i="7949"/>
  <c r="EE705" i="7949"/>
  <c r="EI705" i="7949"/>
  <c r="EE73" i="7949"/>
  <c r="EH352" i="7949"/>
  <c r="EE352" i="7949"/>
  <c r="EI352" i="7949"/>
  <c r="EE350" i="7949"/>
  <c r="EI350" i="7949"/>
  <c r="EH350" i="7949"/>
  <c r="EH355" i="7949"/>
  <c r="ED159" i="7949"/>
  <c r="EJ160" i="7949"/>
  <c r="ED160" i="7949" s="1"/>
  <c r="EH817" i="7949"/>
  <c r="EI817" i="7949"/>
  <c r="EE817" i="7949"/>
  <c r="EJ714" i="7949"/>
  <c r="ED714" i="7949" s="1"/>
  <c r="ED713" i="7949"/>
  <c r="EJ697" i="7949"/>
  <c r="ED696" i="7949"/>
  <c r="EE167" i="7949"/>
  <c r="EI167" i="7949"/>
  <c r="EH167" i="7949"/>
  <c r="EJ326" i="7949"/>
  <c r="EJ327" i="7949" s="1"/>
  <c r="EC333" i="7949"/>
  <c r="EH435" i="7949"/>
  <c r="EI435" i="7949"/>
  <c r="EE435" i="7949"/>
  <c r="EI524" i="7949"/>
  <c r="EE524" i="7949"/>
  <c r="EH524" i="7949"/>
  <c r="EI151" i="7949"/>
  <c r="EE151" i="7949"/>
  <c r="EH151" i="7949"/>
  <c r="EE724" i="7949"/>
  <c r="EE259" i="7949"/>
  <c r="EH259" i="7949"/>
  <c r="EI259" i="7949"/>
  <c r="EH449" i="7949"/>
  <c r="EI449" i="7949"/>
  <c r="EE449" i="7949"/>
  <c r="EE797" i="7949"/>
  <c r="EH797" i="7949"/>
  <c r="EI797" i="7949"/>
  <c r="EH710" i="7949"/>
  <c r="EE710" i="7949"/>
  <c r="EI710" i="7949"/>
  <c r="EI171" i="7949"/>
  <c r="EE171" i="7949"/>
  <c r="EH171" i="7949"/>
  <c r="ED426" i="7949"/>
  <c r="EC433" i="7949"/>
  <c r="ED433" i="7949" s="1"/>
  <c r="EI150" i="7949"/>
  <c r="EH150" i="7949"/>
  <c r="EE150" i="7949"/>
  <c r="EJ143" i="7949"/>
  <c r="ED142" i="7949"/>
  <c r="EH443" i="7949"/>
  <c r="EI443" i="7949"/>
  <c r="EE443" i="7949"/>
  <c r="EI704" i="7949"/>
  <c r="EH704" i="7949"/>
  <c r="EE704" i="7949"/>
  <c r="EI528" i="7949"/>
  <c r="EE528" i="7949"/>
  <c r="EH528" i="7949"/>
  <c r="EE806" i="7949"/>
  <c r="EH806" i="7949"/>
  <c r="EI806" i="7949"/>
  <c r="ED343" i="7949"/>
  <c r="EJ344" i="7949"/>
  <c r="ED336" i="7949"/>
  <c r="EJ337" i="7949"/>
  <c r="ED354" i="7949"/>
  <c r="ED719" i="7949"/>
  <c r="ED72" i="7949"/>
  <c r="ED77" i="7949"/>
  <c r="AV129" i="7950" l="1"/>
  <c r="K122" i="7950"/>
  <c r="K129" i="7950"/>
  <c r="ED326" i="7949"/>
  <c r="EC611" i="7949"/>
  <c r="EI78" i="7949"/>
  <c r="I144" i="7950"/>
  <c r="EE349" i="7949"/>
  <c r="EH349" i="7949"/>
  <c r="EI349" i="7949"/>
  <c r="AQ144" i="7950"/>
  <c r="G144" i="7950"/>
  <c r="EI355" i="7949"/>
  <c r="EC612" i="7949"/>
  <c r="EC619" i="7949" s="1"/>
  <c r="ED619" i="7949" s="1"/>
  <c r="EH724" i="7949"/>
  <c r="EJ602" i="7949"/>
  <c r="EH244" i="7949"/>
  <c r="EE244" i="7949"/>
  <c r="EI244" i="7949"/>
  <c r="EI245" i="7949"/>
  <c r="EE245" i="7949"/>
  <c r="EH245" i="7949"/>
  <c r="EH247" i="7949"/>
  <c r="EE247" i="7949"/>
  <c r="EH73" i="7949"/>
  <c r="E144" i="7950"/>
  <c r="AR144" i="7950"/>
  <c r="EJ251" i="7949"/>
  <c r="ED250" i="7949"/>
  <c r="EI248" i="7949"/>
  <c r="EE248" i="7949"/>
  <c r="EH248" i="7949"/>
  <c r="EE242" i="7949"/>
  <c r="EH242" i="7949"/>
  <c r="EI242" i="7949"/>
  <c r="ED249" i="7949"/>
  <c r="EH78" i="7949"/>
  <c r="AP81" i="7950"/>
  <c r="G81" i="7950" s="1"/>
  <c r="AQ97" i="7950"/>
  <c r="AT97" i="7950"/>
  <c r="AU97" i="7950" s="1"/>
  <c r="K97" i="7950" s="1"/>
  <c r="E97" i="7950"/>
  <c r="AP160" i="7950"/>
  <c r="E160" i="7950" s="1"/>
  <c r="I97" i="7950"/>
  <c r="G97" i="7950"/>
  <c r="EH77" i="7949"/>
  <c r="EE77" i="7949"/>
  <c r="EI77" i="7949"/>
  <c r="EE719" i="7949"/>
  <c r="EI719" i="7949"/>
  <c r="EH719" i="7949"/>
  <c r="EE336" i="7949"/>
  <c r="EI336" i="7949"/>
  <c r="EH336" i="7949"/>
  <c r="EE343" i="7949"/>
  <c r="EI343" i="7949"/>
  <c r="EH343" i="7949"/>
  <c r="EJ144" i="7949"/>
  <c r="ED143" i="7949"/>
  <c r="EH433" i="7949"/>
  <c r="EI433" i="7949"/>
  <c r="EE433" i="7949"/>
  <c r="EC340" i="7949"/>
  <c r="ED333" i="7949"/>
  <c r="EJ698" i="7949"/>
  <c r="ED697" i="7949"/>
  <c r="EH714" i="7949"/>
  <c r="EE714" i="7949"/>
  <c r="EI714" i="7949"/>
  <c r="EE160" i="7949"/>
  <c r="EH160" i="7949"/>
  <c r="EI160" i="7949"/>
  <c r="ED66" i="7949"/>
  <c r="EJ67" i="7949"/>
  <c r="ED612" i="7949"/>
  <c r="EE720" i="7949"/>
  <c r="EI720" i="7949"/>
  <c r="EH720" i="7949"/>
  <c r="EI788" i="7949"/>
  <c r="EE788" i="7949"/>
  <c r="EH788" i="7949"/>
  <c r="EH141" i="7949"/>
  <c r="EI141" i="7949"/>
  <c r="EE141" i="7949"/>
  <c r="EJ631" i="7949"/>
  <c r="EJ632" i="7949" s="1"/>
  <c r="EJ633" i="7949" s="1"/>
  <c r="EC632" i="7949"/>
  <c r="ED627" i="7949"/>
  <c r="EH334" i="7949"/>
  <c r="EI334" i="7949"/>
  <c r="EE334" i="7949"/>
  <c r="EE335" i="7949"/>
  <c r="EH335" i="7949"/>
  <c r="EI335" i="7949"/>
  <c r="EE155" i="7949"/>
  <c r="EH155" i="7949"/>
  <c r="EI155" i="7949"/>
  <c r="EJ430" i="7949"/>
  <c r="ED430" i="7949" s="1"/>
  <c r="ED429" i="7949"/>
  <c r="EE75" i="7949"/>
  <c r="EI75" i="7949"/>
  <c r="EH75" i="7949"/>
  <c r="EE799" i="7949"/>
  <c r="EH799" i="7949"/>
  <c r="EI799" i="7949"/>
  <c r="EI726" i="7949"/>
  <c r="EH726" i="7949"/>
  <c r="EE726" i="7949"/>
  <c r="EI153" i="7949"/>
  <c r="EH153" i="7949"/>
  <c r="EE153" i="7949"/>
  <c r="EI437" i="7949"/>
  <c r="EE437" i="7949"/>
  <c r="EH437" i="7949"/>
  <c r="EH702" i="7949"/>
  <c r="EE702" i="7949"/>
  <c r="EI702" i="7949"/>
  <c r="EE356" i="7949"/>
  <c r="EH356" i="7949"/>
  <c r="EI356" i="7949"/>
  <c r="ED425" i="7949"/>
  <c r="EC432" i="7949"/>
  <c r="ED432" i="7949" s="1"/>
  <c r="EE80" i="7949"/>
  <c r="EH80" i="7949"/>
  <c r="EI80" i="7949"/>
  <c r="EI706" i="7949"/>
  <c r="EH706" i="7949"/>
  <c r="EE706" i="7949"/>
  <c r="EC64" i="7949"/>
  <c r="ED64" i="7949" s="1"/>
  <c r="ED57" i="7949"/>
  <c r="ED237" i="7949"/>
  <c r="EJ238" i="7949"/>
  <c r="ED238" i="7949" s="1"/>
  <c r="ED611" i="7949"/>
  <c r="EC618" i="7949"/>
  <c r="ED618" i="7949" s="1"/>
  <c r="EE801" i="7949"/>
  <c r="EH801" i="7949"/>
  <c r="EI801" i="7949"/>
  <c r="EE512" i="7949"/>
  <c r="EI512" i="7949"/>
  <c r="EH512" i="7949"/>
  <c r="EJ629" i="7949"/>
  <c r="ED629" i="7949" s="1"/>
  <c r="ED628" i="7949"/>
  <c r="ED418" i="7949"/>
  <c r="EH72" i="7949"/>
  <c r="EE72" i="7949"/>
  <c r="EI72" i="7949"/>
  <c r="EH354" i="7949"/>
  <c r="EE354" i="7949"/>
  <c r="EI354" i="7949"/>
  <c r="EJ338" i="7949"/>
  <c r="ED338" i="7949" s="1"/>
  <c r="ED337" i="7949"/>
  <c r="ED344" i="7949"/>
  <c r="EJ345" i="7949"/>
  <c r="ED345" i="7949" s="1"/>
  <c r="EI142" i="7949"/>
  <c r="EH142" i="7949"/>
  <c r="EE142" i="7949"/>
  <c r="EH426" i="7949"/>
  <c r="EI426" i="7949"/>
  <c r="EE426" i="7949"/>
  <c r="EH326" i="7949"/>
  <c r="EI326" i="7949"/>
  <c r="EE326" i="7949"/>
  <c r="EJ328" i="7949"/>
  <c r="ED327" i="7949"/>
  <c r="EE696" i="7949"/>
  <c r="EH696" i="7949"/>
  <c r="EI696" i="7949"/>
  <c r="EH713" i="7949"/>
  <c r="EE713" i="7949"/>
  <c r="EI713" i="7949"/>
  <c r="EH159" i="7949"/>
  <c r="EE159" i="7949"/>
  <c r="EI159" i="7949"/>
  <c r="ED58" i="7949"/>
  <c r="EC65" i="7949"/>
  <c r="ED65" i="7949" s="1"/>
  <c r="EC610" i="7949"/>
  <c r="EJ603" i="7949"/>
  <c r="EJ604" i="7949" s="1"/>
  <c r="EJ621" i="7949"/>
  <c r="ED620" i="7949"/>
  <c r="EE721" i="7949"/>
  <c r="EI721" i="7949"/>
  <c r="EH721" i="7949"/>
  <c r="EJ790" i="7949"/>
  <c r="ED789" i="7949"/>
  <c r="EI695" i="7949"/>
  <c r="EE695" i="7949"/>
  <c r="EH695" i="7949"/>
  <c r="EI341" i="7949"/>
  <c r="EH341" i="7949"/>
  <c r="EE341" i="7949"/>
  <c r="EH342" i="7949"/>
  <c r="EE342" i="7949"/>
  <c r="EI342" i="7949"/>
  <c r="EI148" i="7949"/>
  <c r="EH148" i="7949"/>
  <c r="EE148" i="7949"/>
  <c r="AR81" i="7950"/>
  <c r="I81" i="7950"/>
  <c r="EH428" i="7949"/>
  <c r="EI428" i="7949"/>
  <c r="EE428" i="7949"/>
  <c r="EE74" i="7949"/>
  <c r="EH74" i="7949"/>
  <c r="EI74" i="7949"/>
  <c r="EH798" i="7949"/>
  <c r="EI798" i="7949"/>
  <c r="EE798" i="7949"/>
  <c r="EE725" i="7949"/>
  <c r="EI725" i="7949"/>
  <c r="EH725" i="7949"/>
  <c r="EH152" i="7949"/>
  <c r="EE152" i="7949"/>
  <c r="EI152" i="7949"/>
  <c r="EI436" i="7949"/>
  <c r="EH436" i="7949"/>
  <c r="EE436" i="7949"/>
  <c r="EI709" i="7949"/>
  <c r="EE709" i="7949"/>
  <c r="EH709" i="7949"/>
  <c r="EI357" i="7949"/>
  <c r="EE357" i="7949"/>
  <c r="EH357" i="7949"/>
  <c r="EJ420" i="7949"/>
  <c r="ED419" i="7949"/>
  <c r="EI79" i="7949"/>
  <c r="EE79" i="7949"/>
  <c r="EH79" i="7949"/>
  <c r="EH707" i="7949"/>
  <c r="EE707" i="7949"/>
  <c r="EI707" i="7949"/>
  <c r="EC56" i="7949"/>
  <c r="EJ49" i="7949"/>
  <c r="EJ50" i="7949" s="1"/>
  <c r="EJ60" i="7949"/>
  <c r="ED59" i="7949"/>
  <c r="EH236" i="7949"/>
  <c r="EE236" i="7949"/>
  <c r="EI236" i="7949"/>
  <c r="EJ614" i="7949"/>
  <c r="ED613" i="7949"/>
  <c r="EE794" i="7949"/>
  <c r="EH794" i="7949"/>
  <c r="EI794" i="7949"/>
  <c r="ED513" i="7949"/>
  <c r="EJ514" i="7949"/>
  <c r="K144" i="7950"/>
  <c r="AV144" i="7950"/>
  <c r="ED626" i="7949"/>
  <c r="AW129" i="7950" l="1"/>
  <c r="AX129" i="7950"/>
  <c r="AZ129" i="7950"/>
  <c r="AH125" i="7950" s="1"/>
  <c r="M129" i="7950"/>
  <c r="AY129" i="7950"/>
  <c r="AH124" i="7950" s="1"/>
  <c r="AQ81" i="7950"/>
  <c r="AV97" i="7950"/>
  <c r="AX97" i="7950" s="1"/>
  <c r="ED631" i="7949"/>
  <c r="K90" i="7950"/>
  <c r="ED632" i="7949"/>
  <c r="EE632" i="7949" s="1"/>
  <c r="EH249" i="7949"/>
  <c r="EI249" i="7949"/>
  <c r="EE249" i="7949"/>
  <c r="EJ252" i="7949"/>
  <c r="ED252" i="7949" s="1"/>
  <c r="ED251" i="7949"/>
  <c r="EI250" i="7949"/>
  <c r="EH250" i="7949"/>
  <c r="EE250" i="7949"/>
  <c r="AT81" i="7950"/>
  <c r="AU81" i="7950" s="1"/>
  <c r="AV81" i="7950" s="1"/>
  <c r="E81" i="7950"/>
  <c r="AQ160" i="7950"/>
  <c r="I160" i="7950"/>
  <c r="AT160" i="7950"/>
  <c r="AU160" i="7950" s="1"/>
  <c r="K160" i="7950" s="1"/>
  <c r="G160" i="7950"/>
  <c r="AR160" i="7950"/>
  <c r="EE513" i="7949"/>
  <c r="EH513" i="7949"/>
  <c r="EI513" i="7949"/>
  <c r="EH613" i="7949"/>
  <c r="EE613" i="7949"/>
  <c r="EI613" i="7949"/>
  <c r="ED60" i="7949"/>
  <c r="EJ61" i="7949"/>
  <c r="ED61" i="7949" s="1"/>
  <c r="EJ51" i="7949"/>
  <c r="ED50" i="7949"/>
  <c r="EH419" i="7949"/>
  <c r="EI419" i="7949"/>
  <c r="EE419" i="7949"/>
  <c r="K81" i="7950"/>
  <c r="EH789" i="7949"/>
  <c r="EI789" i="7949"/>
  <c r="EE789" i="7949"/>
  <c r="EJ622" i="7949"/>
  <c r="ED622" i="7949" s="1"/>
  <c r="ED621" i="7949"/>
  <c r="EJ605" i="7949"/>
  <c r="ED604" i="7949"/>
  <c r="EI65" i="7949"/>
  <c r="EE65" i="7949"/>
  <c r="EH65" i="7949"/>
  <c r="EJ329" i="7949"/>
  <c r="ED328" i="7949"/>
  <c r="EE345" i="7949"/>
  <c r="EI345" i="7949"/>
  <c r="EH345" i="7949"/>
  <c r="EI337" i="7949"/>
  <c r="EH337" i="7949"/>
  <c r="EE337" i="7949"/>
  <c r="EH631" i="7949"/>
  <c r="EE631" i="7949"/>
  <c r="EI631" i="7949"/>
  <c r="EI418" i="7949"/>
  <c r="EE418" i="7949"/>
  <c r="EH418" i="7949"/>
  <c r="EE628" i="7949"/>
  <c r="EI628" i="7949"/>
  <c r="EH628" i="7949"/>
  <c r="M97" i="7950"/>
  <c r="AW97" i="7950"/>
  <c r="AZ97" i="7950"/>
  <c r="AH93" i="7950" s="1"/>
  <c r="EH611" i="7949"/>
  <c r="EI611" i="7949"/>
  <c r="EE611" i="7949"/>
  <c r="EH237" i="7949"/>
  <c r="EE237" i="7949"/>
  <c r="EI237" i="7949"/>
  <c r="EI64" i="7949"/>
  <c r="EE64" i="7949"/>
  <c r="EH64" i="7949"/>
  <c r="EI425" i="7949"/>
  <c r="EE425" i="7949"/>
  <c r="EH425" i="7949"/>
  <c r="EE429" i="7949"/>
  <c r="EH429" i="7949"/>
  <c r="EI429" i="7949"/>
  <c r="EI632" i="7949"/>
  <c r="EH612" i="7949"/>
  <c r="EE612" i="7949"/>
  <c r="EI612" i="7949"/>
  <c r="EE66" i="7949"/>
  <c r="EI66" i="7949"/>
  <c r="EH66" i="7949"/>
  <c r="ED698" i="7949"/>
  <c r="EJ699" i="7949"/>
  <c r="ED340" i="7949"/>
  <c r="EI143" i="7949"/>
  <c r="EH143" i="7949"/>
  <c r="EE143" i="7949"/>
  <c r="EE626" i="7949"/>
  <c r="EI626" i="7949"/>
  <c r="EH626" i="7949"/>
  <c r="AW144" i="7950"/>
  <c r="M144" i="7950"/>
  <c r="AX144" i="7950"/>
  <c r="AY144" i="7950"/>
  <c r="AZ144" i="7950"/>
  <c r="ED514" i="7949"/>
  <c r="EJ515" i="7949"/>
  <c r="ED515" i="7949" s="1"/>
  <c r="ED614" i="7949"/>
  <c r="EJ615" i="7949"/>
  <c r="ED615" i="7949" s="1"/>
  <c r="EI59" i="7949"/>
  <c r="EE59" i="7949"/>
  <c r="EH59" i="7949"/>
  <c r="ED56" i="7949"/>
  <c r="EC63" i="7949"/>
  <c r="EJ421" i="7949"/>
  <c r="ED420" i="7949"/>
  <c r="EJ791" i="7949"/>
  <c r="ED790" i="7949"/>
  <c r="EH620" i="7949"/>
  <c r="EI620" i="7949"/>
  <c r="EE620" i="7949"/>
  <c r="EC617" i="7949"/>
  <c r="ED610" i="7949"/>
  <c r="EE58" i="7949"/>
  <c r="EH58" i="7949"/>
  <c r="EI58" i="7949"/>
  <c r="EI327" i="7949"/>
  <c r="EH327" i="7949"/>
  <c r="EE327" i="7949"/>
  <c r="EI344" i="7949"/>
  <c r="EH344" i="7949"/>
  <c r="EE344" i="7949"/>
  <c r="EE338" i="7949"/>
  <c r="EI338" i="7949"/>
  <c r="EH338" i="7949"/>
  <c r="EH629" i="7949"/>
  <c r="EE629" i="7949"/>
  <c r="EI629" i="7949"/>
  <c r="EI618" i="7949"/>
  <c r="EH618" i="7949"/>
  <c r="EE618" i="7949"/>
  <c r="EH238" i="7949"/>
  <c r="EE238" i="7949"/>
  <c r="EI238" i="7949"/>
  <c r="EE57" i="7949"/>
  <c r="EI57" i="7949"/>
  <c r="EH57" i="7949"/>
  <c r="EH432" i="7949"/>
  <c r="EE432" i="7949"/>
  <c r="EI432" i="7949"/>
  <c r="EH430" i="7949"/>
  <c r="EI430" i="7949"/>
  <c r="EE430" i="7949"/>
  <c r="EH627" i="7949"/>
  <c r="EE627" i="7949"/>
  <c r="EI627" i="7949"/>
  <c r="ED633" i="7949"/>
  <c r="EJ634" i="7949"/>
  <c r="ED634" i="7949" s="1"/>
  <c r="EH619" i="7949"/>
  <c r="EI619" i="7949"/>
  <c r="EE619" i="7949"/>
  <c r="EJ68" i="7949"/>
  <c r="ED68" i="7949" s="1"/>
  <c r="ED67" i="7949"/>
  <c r="EE697" i="7949"/>
  <c r="EH697" i="7949"/>
  <c r="EI697" i="7949"/>
  <c r="EH333" i="7949"/>
  <c r="EE333" i="7949"/>
  <c r="EI333" i="7949"/>
  <c r="EJ145" i="7949"/>
  <c r="ED144" i="7949"/>
  <c r="ED49" i="7949"/>
  <c r="ED603" i="7949"/>
  <c r="AV160" i="7950" l="1"/>
  <c r="AW160" i="7950" s="1"/>
  <c r="AY97" i="7950"/>
  <c r="AH92" i="7950" s="1"/>
  <c r="K74" i="7950"/>
  <c r="EH632" i="7949"/>
  <c r="EE251" i="7949"/>
  <c r="EH251" i="7949"/>
  <c r="EI251" i="7949"/>
  <c r="EI252" i="7949"/>
  <c r="EE252" i="7949"/>
  <c r="EH252" i="7949"/>
  <c r="EH144" i="7949"/>
  <c r="EE144" i="7949"/>
  <c r="EI144" i="7949"/>
  <c r="EH67" i="7949"/>
  <c r="EI67" i="7949"/>
  <c r="EE67" i="7949"/>
  <c r="EH633" i="7949"/>
  <c r="EE633" i="7949"/>
  <c r="EI633" i="7949"/>
  <c r="EI610" i="7949"/>
  <c r="EH610" i="7949"/>
  <c r="EE610" i="7949"/>
  <c r="ED791" i="7949"/>
  <c r="EJ792" i="7949"/>
  <c r="ED792" i="7949" s="1"/>
  <c r="EJ422" i="7949"/>
  <c r="ED421" i="7949"/>
  <c r="EE56" i="7949"/>
  <c r="EI56" i="7949"/>
  <c r="EH56" i="7949"/>
  <c r="EE615" i="7949"/>
  <c r="EI615" i="7949"/>
  <c r="EH615" i="7949"/>
  <c r="EH515" i="7949"/>
  <c r="EI515" i="7949"/>
  <c r="EE515" i="7949"/>
  <c r="EI340" i="7949"/>
  <c r="EH340" i="7949"/>
  <c r="EE340" i="7949"/>
  <c r="EE698" i="7949"/>
  <c r="EI698" i="7949"/>
  <c r="EH698" i="7949"/>
  <c r="ED329" i="7949"/>
  <c r="EJ330" i="7949"/>
  <c r="EH604" i="7949"/>
  <c r="EE604" i="7949"/>
  <c r="EI604" i="7949"/>
  <c r="EE621" i="7949"/>
  <c r="EI621" i="7949"/>
  <c r="EH621" i="7949"/>
  <c r="M81" i="7950"/>
  <c r="AX81" i="7950"/>
  <c r="AW81" i="7950"/>
  <c r="AY81" i="7950"/>
  <c r="AH76" i="7950" s="1"/>
  <c r="AZ81" i="7950"/>
  <c r="AH77" i="7950" s="1"/>
  <c r="EJ52" i="7949"/>
  <c r="ED51" i="7949"/>
  <c r="EE60" i="7949"/>
  <c r="EI60" i="7949"/>
  <c r="EH60" i="7949"/>
  <c r="AP145" i="7950"/>
  <c r="EH49" i="7949"/>
  <c r="EI49" i="7949"/>
  <c r="EE49" i="7949"/>
  <c r="AZ160" i="7950"/>
  <c r="EH603" i="7949"/>
  <c r="EE603" i="7949"/>
  <c r="EI603" i="7949"/>
  <c r="ED145" i="7949"/>
  <c r="EJ146" i="7949"/>
  <c r="ED146" i="7949" s="1"/>
  <c r="EH68" i="7949"/>
  <c r="EE68" i="7949"/>
  <c r="EI68" i="7949"/>
  <c r="EE634" i="7949"/>
  <c r="EI634" i="7949"/>
  <c r="EH634" i="7949"/>
  <c r="ED617" i="7949"/>
  <c r="EI790" i="7949"/>
  <c r="EE790" i="7949"/>
  <c r="EH790" i="7949"/>
  <c r="EH420" i="7949"/>
  <c r="EE420" i="7949"/>
  <c r="EI420" i="7949"/>
  <c r="ED63" i="7949"/>
  <c r="EE614" i="7949"/>
  <c r="EI614" i="7949"/>
  <c r="EH614" i="7949"/>
  <c r="EI514" i="7949"/>
  <c r="EH514" i="7949"/>
  <c r="EE514" i="7949"/>
  <c r="ED699" i="7949"/>
  <c r="EJ700" i="7949"/>
  <c r="ED700" i="7949" s="1"/>
  <c r="EE328" i="7949"/>
  <c r="EH328" i="7949"/>
  <c r="EI328" i="7949"/>
  <c r="EJ606" i="7949"/>
  <c r="ED605" i="7949"/>
  <c r="EE622" i="7949"/>
  <c r="EH622" i="7949"/>
  <c r="EI622" i="7949"/>
  <c r="EH50" i="7949"/>
  <c r="EI50" i="7949"/>
  <c r="EE50" i="7949"/>
  <c r="EI61" i="7949"/>
  <c r="EE61" i="7949"/>
  <c r="EH61" i="7949"/>
  <c r="AX160" i="7950" l="1"/>
  <c r="AY160" i="7950"/>
  <c r="M160" i="7950"/>
  <c r="EH700" i="7949"/>
  <c r="EE700" i="7949"/>
  <c r="EI700" i="7949"/>
  <c r="EI63" i="7949"/>
  <c r="EH63" i="7949"/>
  <c r="EE63" i="7949"/>
  <c r="EI146" i="7949"/>
  <c r="EH146" i="7949"/>
  <c r="EE146" i="7949"/>
  <c r="EH51" i="7949"/>
  <c r="EE51" i="7949"/>
  <c r="EI51" i="7949"/>
  <c r="EE329" i="7949"/>
  <c r="EH329" i="7949"/>
  <c r="EI329" i="7949"/>
  <c r="EH421" i="7949"/>
  <c r="EE421" i="7949"/>
  <c r="EI421" i="7949"/>
  <c r="EH792" i="7949"/>
  <c r="EI792" i="7949"/>
  <c r="EE792" i="7949"/>
  <c r="EJ607" i="7949"/>
  <c r="ED606" i="7949"/>
  <c r="EI605" i="7949"/>
  <c r="EE605" i="7949"/>
  <c r="EH605" i="7949"/>
  <c r="EI699" i="7949"/>
  <c r="EH699" i="7949"/>
  <c r="EE699" i="7949"/>
  <c r="EH617" i="7949"/>
  <c r="EE617" i="7949"/>
  <c r="EI617" i="7949"/>
  <c r="EI145" i="7949"/>
  <c r="EH145" i="7949"/>
  <c r="EE145" i="7949"/>
  <c r="E145" i="7950"/>
  <c r="G145" i="7950"/>
  <c r="AR145" i="7950"/>
  <c r="AT145" i="7950"/>
  <c r="AU145" i="7950" s="1"/>
  <c r="I145" i="7950"/>
  <c r="AQ145" i="7950"/>
  <c r="EJ53" i="7949"/>
  <c r="ED52" i="7949"/>
  <c r="ED330" i="7949"/>
  <c r="EJ331" i="7949"/>
  <c r="ED331" i="7949" s="1"/>
  <c r="EJ423" i="7949"/>
  <c r="ED423" i="7949" s="1"/>
  <c r="ED422" i="7949"/>
  <c r="EE791" i="7949"/>
  <c r="EH791" i="7949"/>
  <c r="EI791" i="7949"/>
  <c r="AP161" i="7950"/>
  <c r="AT161" i="7950" l="1"/>
  <c r="AU161" i="7950" s="1"/>
  <c r="E161" i="7950"/>
  <c r="G161" i="7950"/>
  <c r="AR161" i="7950"/>
  <c r="AQ161" i="7950"/>
  <c r="I161" i="7950"/>
  <c r="EE331" i="7949"/>
  <c r="EI331" i="7949"/>
  <c r="EH331" i="7949"/>
  <c r="EE52" i="7949"/>
  <c r="EI52" i="7949"/>
  <c r="EH52" i="7949"/>
  <c r="K145" i="7950"/>
  <c r="AV145" i="7950"/>
  <c r="K138" i="7950"/>
  <c r="EH606" i="7949"/>
  <c r="EE606" i="7949"/>
  <c r="EI606" i="7949"/>
  <c r="EI422" i="7949"/>
  <c r="EE422" i="7949"/>
  <c r="EH422" i="7949"/>
  <c r="EE423" i="7949"/>
  <c r="EH423" i="7949"/>
  <c r="EI423" i="7949"/>
  <c r="EE330" i="7949"/>
  <c r="EI330" i="7949"/>
  <c r="EH330" i="7949"/>
  <c r="EJ54" i="7949"/>
  <c r="ED54" i="7949" s="1"/>
  <c r="ED53" i="7949"/>
  <c r="EJ608" i="7949"/>
  <c r="ED607" i="7949"/>
  <c r="DR417" i="7949" l="1"/>
  <c r="DR418" i="7949"/>
  <c r="DR326" i="7949"/>
  <c r="DQ417" i="7949"/>
  <c r="DQ418" i="7949"/>
  <c r="DQ325" i="7949"/>
  <c r="DQ326" i="7949"/>
  <c r="DS326" i="7949" s="1"/>
  <c r="DR325" i="7949"/>
  <c r="DL506" i="7949"/>
  <c r="DN506" i="7949" s="1"/>
  <c r="DP506" i="7949" s="1"/>
  <c r="DT506" i="7949" s="1"/>
  <c r="DU506" i="7949" s="1"/>
  <c r="DV506" i="7949" s="1"/>
  <c r="DS325" i="7949"/>
  <c r="DL319" i="7949"/>
  <c r="DN319" i="7949" s="1"/>
  <c r="DP319" i="7949" s="1"/>
  <c r="DT319" i="7949" s="1"/>
  <c r="DU319" i="7949" s="1"/>
  <c r="DV319" i="7949" s="1"/>
  <c r="DS417" i="7949"/>
  <c r="DL414" i="7949"/>
  <c r="DN414" i="7949" s="1"/>
  <c r="DP414" i="7949" s="1"/>
  <c r="DT414" i="7949" s="1"/>
  <c r="DU414" i="7949" s="1"/>
  <c r="DV414" i="7949" s="1"/>
  <c r="EE607" i="7949"/>
  <c r="EI607" i="7949"/>
  <c r="EH607" i="7949"/>
  <c r="EH53" i="7949"/>
  <c r="EI53" i="7949"/>
  <c r="EE53" i="7949"/>
  <c r="DK504" i="7949"/>
  <c r="DQ512" i="7949"/>
  <c r="DK414" i="7949"/>
  <c r="DK322" i="7949"/>
  <c r="DK507" i="7949"/>
  <c r="DK411" i="7949"/>
  <c r="DK323" i="7949"/>
  <c r="DK505" i="7949"/>
  <c r="DK412" i="7949"/>
  <c r="DQ420" i="7949"/>
  <c r="DQ327" i="7949"/>
  <c r="DK506" i="7949"/>
  <c r="DK321" i="7949"/>
  <c r="DQ511" i="7949"/>
  <c r="DK415" i="7949"/>
  <c r="DK319" i="7949"/>
  <c r="DQ329" i="7949"/>
  <c r="DQ510" i="7949"/>
  <c r="DQ419" i="7949"/>
  <c r="DK503" i="7949"/>
  <c r="DQ509" i="7949"/>
  <c r="DK320" i="7949"/>
  <c r="DQ421" i="7949"/>
  <c r="DQ513" i="7949"/>
  <c r="DK413" i="7949"/>
  <c r="DQ328" i="7949"/>
  <c r="AV161" i="7950"/>
  <c r="K161" i="7950"/>
  <c r="K154" i="7950"/>
  <c r="DL504" i="7949"/>
  <c r="DN504" i="7949" s="1"/>
  <c r="DP504" i="7949" s="1"/>
  <c r="DT504" i="7949" s="1"/>
  <c r="DU504" i="7949" s="1"/>
  <c r="DV504" i="7949" s="1"/>
  <c r="DR329" i="7949"/>
  <c r="DL323" i="7949"/>
  <c r="DN323" i="7949" s="1"/>
  <c r="DP323" i="7949" s="1"/>
  <c r="DT323" i="7949" s="1"/>
  <c r="DU323" i="7949" s="1"/>
  <c r="DV323" i="7949" s="1"/>
  <c r="ED608" i="7949"/>
  <c r="EH54" i="7949"/>
  <c r="EE54" i="7949"/>
  <c r="EI54" i="7949"/>
  <c r="DR510" i="7949"/>
  <c r="DL503" i="7949"/>
  <c r="DN503" i="7949" s="1"/>
  <c r="DP503" i="7949" s="1"/>
  <c r="DT503" i="7949" s="1"/>
  <c r="DU503" i="7949" s="1"/>
  <c r="DV503" i="7949" s="1"/>
  <c r="DL507" i="7949"/>
  <c r="DN507" i="7949" s="1"/>
  <c r="DP507" i="7949" s="1"/>
  <c r="DT507" i="7949" s="1"/>
  <c r="DU507" i="7949" s="1"/>
  <c r="DV507" i="7949" s="1"/>
  <c r="DR513" i="7949"/>
  <c r="DR512" i="7949"/>
  <c r="DL320" i="7949"/>
  <c r="DN320" i="7949" s="1"/>
  <c r="DP320" i="7949" s="1"/>
  <c r="DT320" i="7949" s="1"/>
  <c r="DU320" i="7949" s="1"/>
  <c r="DV320" i="7949" s="1"/>
  <c r="DL321" i="7949"/>
  <c r="DN321" i="7949" s="1"/>
  <c r="DP321" i="7949" s="1"/>
  <c r="DT321" i="7949" s="1"/>
  <c r="DU321" i="7949" s="1"/>
  <c r="DV321" i="7949" s="1"/>
  <c r="DL412" i="7949"/>
  <c r="DN412" i="7949" s="1"/>
  <c r="DP412" i="7949" s="1"/>
  <c r="DT412" i="7949" s="1"/>
  <c r="DU412" i="7949" s="1"/>
  <c r="DV412" i="7949" s="1"/>
  <c r="DR327" i="7949"/>
  <c r="DR419" i="7949"/>
  <c r="DL413" i="7949"/>
  <c r="DN413" i="7949" s="1"/>
  <c r="DP413" i="7949" s="1"/>
  <c r="DT413" i="7949" s="1"/>
  <c r="DU413" i="7949" s="1"/>
  <c r="DV413" i="7949" s="1"/>
  <c r="DL322" i="7949"/>
  <c r="DN322" i="7949" s="1"/>
  <c r="DP322" i="7949" s="1"/>
  <c r="DT322" i="7949" s="1"/>
  <c r="DU322" i="7949" s="1"/>
  <c r="DV322" i="7949" s="1"/>
  <c r="DL505" i="7949"/>
  <c r="DN505" i="7949" s="1"/>
  <c r="DP505" i="7949" s="1"/>
  <c r="DT505" i="7949" s="1"/>
  <c r="DU505" i="7949" s="1"/>
  <c r="DV505" i="7949" s="1"/>
  <c r="DL415" i="7949"/>
  <c r="DN415" i="7949" s="1"/>
  <c r="DP415" i="7949" s="1"/>
  <c r="DT415" i="7949" s="1"/>
  <c r="DU415" i="7949" s="1"/>
  <c r="DV415" i="7949" s="1"/>
  <c r="M145" i="7950"/>
  <c r="AW145" i="7950"/>
  <c r="AX145" i="7950"/>
  <c r="AY145" i="7950"/>
  <c r="AH140" i="7950" s="1"/>
  <c r="AZ145" i="7950"/>
  <c r="AH141" i="7950" s="1"/>
  <c r="DK228" i="7949"/>
  <c r="DL411" i="7949"/>
  <c r="DN411" i="7949" s="1"/>
  <c r="DP411" i="7949" s="1"/>
  <c r="DT411" i="7949" s="1"/>
  <c r="DU411" i="7949" s="1"/>
  <c r="DV411" i="7949" s="1"/>
  <c r="DR328" i="7949"/>
  <c r="DR421" i="7949"/>
  <c r="DR509" i="7949"/>
  <c r="DR511" i="7949"/>
  <c r="DR420" i="7949"/>
  <c r="DQ236" i="7949" l="1"/>
  <c r="DQ143" i="7949"/>
  <c r="DL228" i="7949"/>
  <c r="DN228" i="7949" s="1"/>
  <c r="DP228" i="7949" s="1"/>
  <c r="DT228" i="7949" s="1"/>
  <c r="DU228" i="7949" s="1"/>
  <c r="DV228" i="7949" s="1"/>
  <c r="DS418" i="7949"/>
  <c r="DK137" i="7949"/>
  <c r="DK230" i="7949"/>
  <c r="DK43" i="7949"/>
  <c r="DK42" i="7949"/>
  <c r="DQ233" i="7949"/>
  <c r="DQ142" i="7949"/>
  <c r="DQ51" i="7949"/>
  <c r="DK134" i="7949"/>
  <c r="DQ144" i="7949"/>
  <c r="DK229" i="7949"/>
  <c r="DQ141" i="7949"/>
  <c r="DR141" i="7949"/>
  <c r="DR140" i="7949"/>
  <c r="DQ140" i="7949"/>
  <c r="DR48" i="7949"/>
  <c r="DQ49" i="7949"/>
  <c r="DQ48" i="7949"/>
  <c r="DS48" i="7949" s="1"/>
  <c r="DR49" i="7949"/>
  <c r="DQ232" i="7949"/>
  <c r="DL226" i="7949"/>
  <c r="DN226" i="7949" s="1"/>
  <c r="DP226" i="7949" s="1"/>
  <c r="DT226" i="7949" s="1"/>
  <c r="DU226" i="7949" s="1"/>
  <c r="DV226" i="7949" s="1"/>
  <c r="DQ50" i="7949"/>
  <c r="DK44" i="7949"/>
  <c r="DK138" i="7949"/>
  <c r="DK226" i="7949"/>
  <c r="DQ52" i="7949"/>
  <c r="DK136" i="7949"/>
  <c r="DK227" i="7949"/>
  <c r="DK46" i="7949"/>
  <c r="DK135" i="7949"/>
  <c r="DQ234" i="7949"/>
  <c r="DQ235" i="7949"/>
  <c r="DK45" i="7949"/>
  <c r="EE608" i="7949"/>
  <c r="EI608" i="7949"/>
  <c r="EH608" i="7949"/>
  <c r="DL46" i="7949"/>
  <c r="DN46" i="7949" s="1"/>
  <c r="DP46" i="7949" s="1"/>
  <c r="DT46" i="7949" s="1"/>
  <c r="DU46" i="7949" s="1"/>
  <c r="DV46" i="7949" s="1"/>
  <c r="DL42" i="7949"/>
  <c r="DN42" i="7949" s="1"/>
  <c r="DP42" i="7949" s="1"/>
  <c r="DT42" i="7949" s="1"/>
  <c r="DU42" i="7949" s="1"/>
  <c r="DV42" i="7949" s="1"/>
  <c r="DL229" i="7949"/>
  <c r="DN229" i="7949" s="1"/>
  <c r="DP229" i="7949" s="1"/>
  <c r="DT229" i="7949" s="1"/>
  <c r="DU229" i="7949" s="1"/>
  <c r="DV229" i="7949" s="1"/>
  <c r="DR50" i="7949"/>
  <c r="DL137" i="7949"/>
  <c r="DN137" i="7949" s="1"/>
  <c r="DP137" i="7949" s="1"/>
  <c r="DT137" i="7949" s="1"/>
  <c r="DU137" i="7949" s="1"/>
  <c r="DV137" i="7949" s="1"/>
  <c r="DR232" i="7949"/>
  <c r="DR144" i="7949"/>
  <c r="DS144" i="7949" s="1"/>
  <c r="DL134" i="7949"/>
  <c r="DN134" i="7949" s="1"/>
  <c r="DP134" i="7949" s="1"/>
  <c r="DT134" i="7949" s="1"/>
  <c r="DU134" i="7949" s="1"/>
  <c r="DV134" i="7949" s="1"/>
  <c r="DL230" i="7949"/>
  <c r="DN230" i="7949" s="1"/>
  <c r="DP230" i="7949" s="1"/>
  <c r="DT230" i="7949" s="1"/>
  <c r="DU230" i="7949" s="1"/>
  <c r="DV230" i="7949" s="1"/>
  <c r="DL45" i="7949"/>
  <c r="DN45" i="7949" s="1"/>
  <c r="DP45" i="7949" s="1"/>
  <c r="DT45" i="7949" s="1"/>
  <c r="DU45" i="7949" s="1"/>
  <c r="DV45" i="7949" s="1"/>
  <c r="DL138" i="7949"/>
  <c r="DN138" i="7949" s="1"/>
  <c r="DP138" i="7949" s="1"/>
  <c r="DT138" i="7949" s="1"/>
  <c r="DU138" i="7949" s="1"/>
  <c r="DV138" i="7949" s="1"/>
  <c r="DR234" i="7949"/>
  <c r="DK781" i="7949"/>
  <c r="DK782" i="7949"/>
  <c r="DR52" i="7949"/>
  <c r="DS52" i="7949" s="1"/>
  <c r="DR143" i="7949"/>
  <c r="DR233" i="7949"/>
  <c r="DS233" i="7949" s="1"/>
  <c r="DR51" i="7949"/>
  <c r="DS51" i="7949" s="1"/>
  <c r="DL43" i="7949"/>
  <c r="DN43" i="7949" s="1"/>
  <c r="DP43" i="7949" s="1"/>
  <c r="DT43" i="7949" s="1"/>
  <c r="DU43" i="7949" s="1"/>
  <c r="DV43" i="7949" s="1"/>
  <c r="DR236" i="7949"/>
  <c r="DS236" i="7949" s="1"/>
  <c r="DR235" i="7949"/>
  <c r="DS235" i="7949" s="1"/>
  <c r="DS421" i="7949"/>
  <c r="DS509" i="7949"/>
  <c r="DS419" i="7949"/>
  <c r="DS329" i="7949"/>
  <c r="DS327" i="7949"/>
  <c r="M161" i="7950"/>
  <c r="AX161" i="7950"/>
  <c r="AW161" i="7950"/>
  <c r="AZ161" i="7950"/>
  <c r="AH157" i="7950" s="1"/>
  <c r="AY161" i="7950"/>
  <c r="AH156" i="7950" s="1"/>
  <c r="DL691" i="7949"/>
  <c r="DN691" i="7949" s="1"/>
  <c r="DP691" i="7949" s="1"/>
  <c r="DT691" i="7949" s="1"/>
  <c r="DU691" i="7949" s="1"/>
  <c r="DV691" i="7949" s="1"/>
  <c r="DL784" i="7949"/>
  <c r="DN784" i="7949" s="1"/>
  <c r="DP784" i="7949" s="1"/>
  <c r="DT784" i="7949" s="1"/>
  <c r="DU784" i="7949" s="1"/>
  <c r="DV784" i="7949" s="1"/>
  <c r="DL780" i="7949"/>
  <c r="DN780" i="7949" s="1"/>
  <c r="DP780" i="7949" s="1"/>
  <c r="DT780" i="7949" s="1"/>
  <c r="DU780" i="7949" s="1"/>
  <c r="DV780" i="7949" s="1"/>
  <c r="DS50" i="7949"/>
  <c r="DS232" i="7949"/>
  <c r="DL44" i="7949"/>
  <c r="DN44" i="7949" s="1"/>
  <c r="DP44" i="7949" s="1"/>
  <c r="DT44" i="7949" s="1"/>
  <c r="DU44" i="7949" s="1"/>
  <c r="DV44" i="7949" s="1"/>
  <c r="DL136" i="7949"/>
  <c r="DN136" i="7949" s="1"/>
  <c r="DP136" i="7949" s="1"/>
  <c r="DT136" i="7949" s="1"/>
  <c r="DU136" i="7949" s="1"/>
  <c r="DV136" i="7949" s="1"/>
  <c r="DL227" i="7949"/>
  <c r="DN227" i="7949" s="1"/>
  <c r="DP227" i="7949" s="1"/>
  <c r="DT227" i="7949" s="1"/>
  <c r="DU227" i="7949" s="1"/>
  <c r="DV227" i="7949" s="1"/>
  <c r="DR142" i="7949"/>
  <c r="DL135" i="7949"/>
  <c r="DN135" i="7949" s="1"/>
  <c r="DP135" i="7949" s="1"/>
  <c r="DT135" i="7949" s="1"/>
  <c r="DU135" i="7949" s="1"/>
  <c r="DV135" i="7949" s="1"/>
  <c r="DS328" i="7949"/>
  <c r="DS513" i="7949"/>
  <c r="DS510" i="7949"/>
  <c r="DS511" i="7949"/>
  <c r="DS420" i="7949"/>
  <c r="DS512" i="7949"/>
  <c r="DK600" i="7949" l="1"/>
  <c r="DS142" i="7949"/>
  <c r="DR698" i="7949"/>
  <c r="DR786" i="7949"/>
  <c r="DR788" i="7949"/>
  <c r="DK597" i="7949"/>
  <c r="DS234" i="7949"/>
  <c r="DR606" i="7949"/>
  <c r="DL781" i="7949"/>
  <c r="DN781" i="7949" s="1"/>
  <c r="DP781" i="7949" s="1"/>
  <c r="DT781" i="7949" s="1"/>
  <c r="DU781" i="7949" s="1"/>
  <c r="DV781" i="7949" s="1"/>
  <c r="DR697" i="7949"/>
  <c r="DR787" i="7949"/>
  <c r="DR696" i="7949"/>
  <c r="DL600" i="7949"/>
  <c r="DN600" i="7949" s="1"/>
  <c r="DP600" i="7949" s="1"/>
  <c r="DT600" i="7949" s="1"/>
  <c r="DU600" i="7949" s="1"/>
  <c r="DV600" i="7949" s="1"/>
  <c r="DR605" i="7949"/>
  <c r="DS143" i="7949"/>
  <c r="DK598" i="7949"/>
  <c r="DQ786" i="7949"/>
  <c r="DQ694" i="7949"/>
  <c r="DR695" i="7949"/>
  <c r="DR694" i="7949"/>
  <c r="DS694" i="7949" s="1"/>
  <c r="DQ602" i="7949"/>
  <c r="DQ695" i="7949"/>
  <c r="DQ789" i="7949"/>
  <c r="DK690" i="7949"/>
  <c r="DK596" i="7949"/>
  <c r="DQ604" i="7949"/>
  <c r="DK784" i="7949"/>
  <c r="DQ696" i="7949"/>
  <c r="DS696" i="7949" s="1"/>
  <c r="DK599" i="7949"/>
  <c r="DS140" i="7949"/>
  <c r="DS141" i="7949"/>
  <c r="DS49" i="7949"/>
  <c r="DR603" i="7949"/>
  <c r="DR602" i="7949"/>
  <c r="DQ603" i="7949"/>
  <c r="DK689" i="7949"/>
  <c r="DL690" i="7949"/>
  <c r="DN690" i="7949" s="1"/>
  <c r="DP690" i="7949" s="1"/>
  <c r="DT690" i="7949" s="1"/>
  <c r="DU690" i="7949" s="1"/>
  <c r="DV690" i="7949" s="1"/>
  <c r="DL782" i="7949"/>
  <c r="DN782" i="7949" s="1"/>
  <c r="DP782" i="7949" s="1"/>
  <c r="DT782" i="7949" s="1"/>
  <c r="DU782" i="7949" s="1"/>
  <c r="DV782" i="7949" s="1"/>
  <c r="DL596" i="7949"/>
  <c r="DN596" i="7949" s="1"/>
  <c r="DP596" i="7949" s="1"/>
  <c r="DT596" i="7949" s="1"/>
  <c r="DU596" i="7949" s="1"/>
  <c r="DV596" i="7949" s="1"/>
  <c r="DL689" i="7949"/>
  <c r="DN689" i="7949" s="1"/>
  <c r="DP689" i="7949" s="1"/>
  <c r="DT689" i="7949" s="1"/>
  <c r="DU689" i="7949" s="1"/>
  <c r="DV689" i="7949" s="1"/>
  <c r="DR789" i="7949"/>
  <c r="DL599" i="7949"/>
  <c r="DN599" i="7949" s="1"/>
  <c r="DP599" i="7949" s="1"/>
  <c r="DT599" i="7949" s="1"/>
  <c r="DU599" i="7949" s="1"/>
  <c r="DV599" i="7949" s="1"/>
  <c r="DR790" i="7949"/>
  <c r="DL598" i="7949"/>
  <c r="DN598" i="7949" s="1"/>
  <c r="DP598" i="7949" s="1"/>
  <c r="DT598" i="7949" s="1"/>
  <c r="DU598" i="7949" s="1"/>
  <c r="DV598" i="7949" s="1"/>
  <c r="DL688" i="7949"/>
  <c r="DN688" i="7949" s="1"/>
  <c r="DP688" i="7949" s="1"/>
  <c r="DT688" i="7949" s="1"/>
  <c r="DU688" i="7949" s="1"/>
  <c r="DV688" i="7949" s="1"/>
  <c r="DR604" i="7949"/>
  <c r="DS604" i="7949" s="1"/>
  <c r="DL692" i="7949"/>
  <c r="DN692" i="7949" s="1"/>
  <c r="DP692" i="7949" s="1"/>
  <c r="DT692" i="7949" s="1"/>
  <c r="DU692" i="7949" s="1"/>
  <c r="DV692" i="7949" s="1"/>
  <c r="DL783" i="7949"/>
  <c r="DN783" i="7949" s="1"/>
  <c r="DP783" i="7949" s="1"/>
  <c r="DT783" i="7949" s="1"/>
  <c r="DU783" i="7949" s="1"/>
  <c r="DV783" i="7949" s="1"/>
  <c r="DL597" i="7949"/>
  <c r="DN597" i="7949" s="1"/>
  <c r="DP597" i="7949" s="1"/>
  <c r="DT597" i="7949" s="1"/>
  <c r="DU597" i="7949" s="1"/>
  <c r="DV597" i="7949" s="1"/>
  <c r="DK688" i="7949"/>
  <c r="DK780" i="7949"/>
  <c r="DQ697" i="7949"/>
  <c r="DK691" i="7949"/>
  <c r="DQ788" i="7949"/>
  <c r="DS788" i="7949" s="1"/>
  <c r="DQ698" i="7949"/>
  <c r="DQ787" i="7949"/>
  <c r="DS787" i="7949" s="1"/>
  <c r="DQ606" i="7949"/>
  <c r="DK692" i="7949"/>
  <c r="DQ790" i="7949"/>
  <c r="DS790" i="7949" s="1"/>
  <c r="DQ605" i="7949"/>
  <c r="DS605" i="7949" s="1"/>
  <c r="DK783" i="7949"/>
  <c r="DS697" i="7949"/>
  <c r="DS698" i="7949"/>
  <c r="DS786" i="7949"/>
  <c r="DS789" i="7949" l="1"/>
  <c r="DS602" i="7949"/>
  <c r="DS695" i="7949"/>
  <c r="DS606" i="7949"/>
  <c r="DS603" i="7949"/>
</calcChain>
</file>

<file path=xl/sharedStrings.xml><?xml version="1.0" encoding="utf-8"?>
<sst xmlns="http://schemas.openxmlformats.org/spreadsheetml/2006/main" count="6119" uniqueCount="730">
  <si>
    <t>A bajnokság közben, amennyiben új játékost kíván igazolni a csapat azt 15 főig megteheti oly módon, hogy a módosított nevezési lapot az adott mérkőzés előtt legalább 5 nappal korábban elektronikusan megküldi a Szakosztály vezetőjének, aki először e-mailben visszajelez a változásról, majd ezt követően a módosult nevezési lapot a csapatvezető nyomtatva viszi magával, amíg a Szakosztály vezetőségének egyik tagja nem hitelesíti azt. A visszajelzésről szóló e-mail nyomtatott példányát a módosított nevezési lap hitelesítésének megtörténtéig az adott csapatvezető köteles magánál tartani, és az ellenfél csapatvezetőjének/a Szakosztály vezetőségi tagjának bemutatni.</t>
  </si>
  <si>
    <t xml:space="preserve">Amennyiben egy csapat kimerítette a 15 fős nevezési keretét jogosult - maximum 2 fő erejéig - a csapat tagjait módosítani. Ez esetben az előző bekezdésben foglaltak szerint kell eljárni, azzal a kiegészítéssel, hogy meg kell jelölni azt a maximum 2 személyt, aki helyett az új személy(eke)t szerepeltetni kívánja a csapat. A nevezési lapról ily módon törölt személyek a bajnokság további küzdelmeiben ugyanezen csapat tagjaként nem játszhatnak. </t>
  </si>
  <si>
    <t>Egy játékos egyidejűleg egy hitelesített nevezési lapon szerepelhet.</t>
  </si>
  <si>
    <t>8. Technikai értekezlet:</t>
  </si>
  <si>
    <t>A bajnokság lebonyolításával kapcsolatos technikai kérdések megbeszélésének, helye: Budapesti Honvéd Sporttelep - Budapest, bejárat a Dózsa György út felől - időpontja: 2015. március 04. 18.00.-tól</t>
  </si>
  <si>
    <t>9. Részvétel:</t>
  </si>
  <si>
    <t>A bajnokságban részt vehet minden olyan katonai szervezet ill. polgári személyek által működő labdarúgó csapat, amely a nevezési határidőig a nevezési díjat befizette és a versenykiírást, valamint a játék és fegyelmi szabályokat magára nézve kötelezően elfogadta.</t>
  </si>
  <si>
    <t>10. A bajnokság rendszere és szabályai:</t>
  </si>
  <si>
    <t>A bajnokságban a csapatok 2 teljes kört játszanak, ezt követően rájátszás következik. A felső ágba a 2 kör után az első hat helyezett csapat kerül, az alsó ágra a 7-11. helyezettek. A rájátszásba minden csapat viszi magával a megszerzett góljait és gólkülönbségét, nem viszi a megszerzett pontjait. A rájátszás kezdete előtt az adott ág utolsó helyezett csapatának 0 pontja van, és az eggyel előtte lévő csapatnak a köztük lévő pontkülönbséggel megegyező pontja, de maximum 4 pont. Ez a szabály így folytatódik egészen az adott ág első helyezettjéig és az adott pont mindig „ráadódik” az előtte lévő helyezett pontszámára. Minden ágon minden csapat egy teljes kört játszik a rájátszásban. A végeredményt az így megszerzett pontok jelentik majd, helyezés tekintetében az alsó ágból nem lehet előrébb lépni a felső ágba.</t>
  </si>
  <si>
    <t>A mérkőzések játékideje: 2 x 20 perc, futóóra.</t>
  </si>
  <si>
    <t>A mérkőzések kezdési időpontjában várakozási idő 5 perc!</t>
  </si>
  <si>
    <t xml:space="preserve">Győzelemért 3 pont, döntetlenért 1 pont, vereségért 0 pont jár. A végeredményt és az aktuális tabellát a szerzett pontok száma - a csapatok egymás elleni eredménye - a gólkülönbség - a több rúgott gól - sorrend határozza meg. A csapatok egymás elleni eredményét csak a szerzett pontok határozzák meg. Pontegyenlősége esetén a fenti rendező elv lép érvénybe. </t>
  </si>
  <si>
    <t>Amennyiben egy csapat nem tud egy adott mérkőzésen kiállni, az érintett csapat vezetője köteles azt az adott játéknapon 15.00.-ig jelezni a szakosztály vezetőségének telefonon (kivétel a játékvezetésért felelős tagot). A szakosztály vezetőségi tagja értesíti ki az ellenfél csapatának csapatvezetőjét. Ha az érintett csapat csapatvezetője az előző mondatban szereplő értesítési kötelezettségének, a fenti mondatban leírt módon két alkalommal nem tesz eleget, a harmadik eset után a csapattól (amellett, hogy az érintett mérkőzés eredménye 0-3-as gólaránnyal az ellenfél javára kerül megállapításra 2 további bűntetőpont, majd minden egyes ilyen eset után 2-2 újabb bűntetőpont kerül levonásra.</t>
  </si>
  <si>
    <t>Ha egy csapat a mérkőzéseinek legalább 30%-án, vagy egymást követő 3 mérkőzésén (úgy hogy erről nem értesítette az ellenfelet, vagy a Szakosztály vezetőségének bármely tagját) nem jelenik meg, a csapat kizárásra kerül a bajnokságból, és az ellene játszott eredmények törlődnek.</t>
  </si>
  <si>
    <t>11. Díjazás:</t>
  </si>
  <si>
    <t>Az első helyezett elnyeri a Budapest Helyőrség Bajnoka címet és neve felkerül a bajnok által egy évig birtokolt vándordíjra.</t>
  </si>
  <si>
    <t>A bajnokság 1., 2., 3., helyezettje kupa, érem és oklevél díjazásban részesül, az összes többi csapat emléklapot kap.</t>
  </si>
  <si>
    <t>A bajnokság szervezői ebben a bajnokságban különdíjat ajánlanak fel a legjobb góllövőnek és a legeredményesebb csapatvezetőnek.</t>
  </si>
  <si>
    <t>12. Általános szabályok:</t>
  </si>
  <si>
    <t>www.honvedase.hu</t>
  </si>
  <si>
    <t>K &amp; H</t>
  </si>
  <si>
    <t>Korábbi FC Kifly + Hercules</t>
  </si>
  <si>
    <t>+36 30 242 1271</t>
  </si>
  <si>
    <t>Illes.balint@upcmail.hu</t>
  </si>
  <si>
    <t xml:space="preserve">Tóth István </t>
  </si>
  <si>
    <t>+ 36 30 737 4406</t>
  </si>
  <si>
    <t>81.toth.istvan@gmail.com</t>
  </si>
  <si>
    <t>BBK ismeretlen 16</t>
  </si>
  <si>
    <t>Káplár Jenő</t>
  </si>
  <si>
    <t>Vajs Ábrahám őszre nincs nevezve</t>
  </si>
  <si>
    <t>Győri Péter</t>
  </si>
  <si>
    <t>A mérkőzéseken résztvevő játékosok 16 évnél nem lehetnek fiatalabbak. A mérkőzéseken csak salak vagy teremcipő használható! Bármilyen stoplis cipő használata TILOS! A sérülések elkerülése érdekében a mérkőzéseken a becsúszó szerelés szigorúan tilos! A szabály be nem tartása a játékos mérkőzésből történő kizárását vonhatja maga után ! Minden csapat játékosa tartózkodjanak a mérkőzés során egymás és az ellenfél játékosával történő összeszólalkozástól, a káromkodástól és a pejoratív kijelentésektől. A játékvezetők szidalmazása és tevékenységük negatív minősítése a játékból történő azonnali kizárást von maga után. Oldalról bedobás és berúgás végezhető el. A sorfal távolsága 5 méter. A kapus kidobással hozza játékba a labdát, melynek a saját térfélen le kell pattannia vagy egy játékosnak hozzá kell érnie. Játékközben megszerzett labdát a pálya bármely pontjára eljuttathatja. Szögletrúgásnál a minimum távolság 3 méter. A csapatoktól sportorvosi igazolást nem kérünk, a csapatok játékosai saját felelősségükre játszanak. Az esetleges sérülések miatt sem a sportegyesület, sem a munkáltató követeléssel nem támadható. A csapatokat kötelesek a mérkőzéseken labdarúgásnak megfelelő, egységes, számozott mezben (szerelésben) játszani. Minden játékosnak legyen saját mezszáma, melyet a nevezési lapon fel kell tüntetni.</t>
  </si>
  <si>
    <t>Minden csapat köteles a mérkőzésekre egy darab játékra alkalmas labdát magával vinni, mellyel a mérkőzést játsszák.</t>
  </si>
  <si>
    <t>A sportcentrum öltözőjének használata során a rend és tisztaság megtartása közös érdek. A pályán ill. az öltözőben hagyott tárgyakért a szervezők felelősséget nem tudnak vállalni. Az öltözőt 21.30-ig el kell hagyni!</t>
  </si>
  <si>
    <t>A Szakosztály vezetősége fenntartja a jogot a jelen versenykiírás megváltoztatására.</t>
  </si>
  <si>
    <t>13. Egyéb információk:</t>
  </si>
  <si>
    <t>A kommunikáció jövőbeni lebonyolítása érdekében minden csapat vezetője rendelkezzen internetes elérhetőséggel, hogy a kétoldalú információáramlás biztosítva legyen. A szervezéssel és lebonyolítással kapcsolatos összes kérdésben és teendővel a szervezőbizottságot keressétek:</t>
  </si>
  <si>
    <t xml:space="preserve">Sikesdi László </t>
  </si>
  <si>
    <t xml:space="preserve">Tel.: +36-20-937-3019 </t>
  </si>
  <si>
    <t>E-mail: sikilaca@gmail.com</t>
  </si>
  <si>
    <t>Tel.: + 36-70-334-9720</t>
  </si>
  <si>
    <t>E-mail: roland.sandor78@gmail.com</t>
  </si>
  <si>
    <t>Radvánszki Róbert</t>
  </si>
  <si>
    <t>Tel:+ 36-30-275-7100</t>
  </si>
  <si>
    <t>E-mail: hirdet@gmail.com</t>
  </si>
  <si>
    <t>A bajnokság honlapja (jelenleg): www.bhb.uw.hu</t>
  </si>
  <si>
    <t>A bajnokság honlapjának url címe megváltozhat.</t>
  </si>
  <si>
    <t>Mindenkinek eredményes versenyzést kíván a Labdarúgó szakosztály vezetősége!</t>
  </si>
  <si>
    <t>Budapest, 2015. március 10.</t>
  </si>
  <si>
    <t>A labdarúgó szakosztály vezetőségének nevében:</t>
  </si>
  <si>
    <t>/ Sándor Roland sk. /</t>
  </si>
  <si>
    <t>szakosztály vezető</t>
  </si>
  <si>
    <t>Sándor Roland, Szakosztály vezető</t>
  </si>
  <si>
    <t>Radvánszki Róbert, Szakosztály vezetőségi tag (játékvezetésért felelős tag)</t>
  </si>
  <si>
    <t>Sikesdi László, Szakosztály vezetőségi tag</t>
  </si>
  <si>
    <t>Két fordulós (tavaszi - őszi) lebonyolítási rendszerben, a Budapest Helyőrségben a HM. és az MH. Állományában szolgálatot teljesítő hivatásos és polgári állomány, valamint polgári személyek, rendszeres, versenyszerű tömegsportolási lehetőségének biztosítása.</t>
  </si>
  <si>
    <t>2015. március 25.- június 24-ig (tavaszi idény)</t>
  </si>
  <si>
    <t>2015. augusztus 26. - november 18-ig (őszi idény)</t>
  </si>
  <si>
    <t>A bajnokság mérkőzései a Bp.XIV.ker Önkormányzat, Bp.XIV. Kövér Lajos u. 5. - 7. szám alatti sporttelepén, műfüves pályákon kerülnek lebonyolításra.</t>
  </si>
  <si>
    <t>A bajnokságban azok a csapatok vehetnek részt ,akik 2015. április 15-ig a szervező bizottságnak, - a HASE. HMII.-ben megtalálható irodájában – a nevezési lapot leadta ill. a nevezési díjat (ami igény esetén egyben tagsági díj is) befizette. A csapatok a nevezési díjat, - külön kérésre - 2 egyenlő részben is befizethetik. Az első felét (72.500.- Ft) április 15-ig, a második felét szeptember 16-ig (72.500.-Ft). A nevezési díj késedelmes befizetése pontlevonás szankciót vonhat maga után. (Ügyintézés: kedd 09.00 – 15.00-ig)</t>
  </si>
  <si>
    <t>+ 36 30 8643 474</t>
  </si>
  <si>
    <t>konvektor83@freemail.hu</t>
  </si>
  <si>
    <t>+ 36 30 900 6437</t>
  </si>
  <si>
    <t>sule.zoltan@hm.gov.hu</t>
  </si>
  <si>
    <t>+ 36 30 387 2565</t>
  </si>
  <si>
    <t>hangya.gaba@gmail.com</t>
  </si>
  <si>
    <t>Korábbi "1/2 PSK Old Boys"</t>
  </si>
  <si>
    <t>FC Élelmesek</t>
  </si>
  <si>
    <t>+ 36 70 334 9720</t>
  </si>
  <si>
    <t>roland.sandor78@gmail.com</t>
  </si>
  <si>
    <t>Fazekas Flórián</t>
  </si>
  <si>
    <t>+ 36 30 543 7721</t>
  </si>
  <si>
    <t>fazekas.florian@hm.gov.hu</t>
  </si>
  <si>
    <t>MH BHD</t>
  </si>
  <si>
    <t>+36 30 628 4593</t>
  </si>
  <si>
    <t>vadaszi.norbert@mil.hu</t>
  </si>
  <si>
    <t>Royal Guard</t>
  </si>
  <si>
    <t>+ 36 20 292 7973</t>
  </si>
  <si>
    <t>aztur@gmail.hu; davidmatthew@citromail.hu</t>
  </si>
  <si>
    <t>Új csapat</t>
  </si>
  <si>
    <t>+ 36 30 630 9825</t>
  </si>
  <si>
    <t>baran.janos@currus.hu</t>
  </si>
  <si>
    <t>CarbonÁSz</t>
  </si>
  <si>
    <t>Oláh Sándor Bálint</t>
  </si>
  <si>
    <t>+ 36 20 4343 310</t>
  </si>
  <si>
    <t>olahsandorbalint@t-online.hu</t>
  </si>
  <si>
    <t>Korábbi C-ARB-on + TérképÁszok</t>
  </si>
  <si>
    <t>--&gt; változás lehetséges</t>
  </si>
  <si>
    <t>elnök</t>
  </si>
  <si>
    <t>Radványszki Róbert</t>
  </si>
  <si>
    <t>+ 36 30 2757 100</t>
  </si>
  <si>
    <t>hirdet@gmail.com</t>
  </si>
  <si>
    <t>játékvezetésért felelős tag</t>
  </si>
  <si>
    <t>+36 20 937 3019</t>
  </si>
  <si>
    <t>sikilaca@gmail.com</t>
  </si>
  <si>
    <t>VERSENYKIÍRÁS</t>
  </si>
  <si>
    <t>ELÉRHETŐSÉGEK</t>
  </si>
  <si>
    <t>CSAPATNÉV</t>
  </si>
  <si>
    <t>MEGJEGYZÉS</t>
  </si>
  <si>
    <t>Bakafogó FC-Honvéd Sashegy SE</t>
  </si>
  <si>
    <t>CSAPATVEZETŐ</t>
  </si>
  <si>
    <t>TELEFONSZÁMA</t>
  </si>
  <si>
    <t>E-MAIL CÍME</t>
  </si>
  <si>
    <t xml:space="preserve">A Bajnokság weboldala: </t>
  </si>
  <si>
    <t>A szakosztály elnöksége:</t>
  </si>
  <si>
    <t>Ezen az oldalon tudjuk a rájátszás csoportmérkőzéseinek eredményét beírni, amelyeket itt is mindig a csapatok nevei közé, a bekeretezett mezőkbe vagy a kötőjel két oldalára kell begépelni. A játéknapok között itt is úgy tudunk lapozni, hogy a fejlécen a kiválasztott játéknap számára kattintunk.</t>
  </si>
  <si>
    <t xml:space="preserve">Amennyiben a bajnokság kezdetekor a versenykiírásból egyértelműen kiderült ezen csoportmérkőzések sorsolási rendszere, akkor a mérkőzések előtt baloldalon színes számokkal láthatjuk a párosítások kódját, amely a fejlécen található csapatnévsor alapján működik. Ha nincs előre meghatározott lebonyolítási rendszer, vagy ha az év közben történik változás, a felhasználó módosíthatja a párosításokat azáltal, hogy a sorsolási számokat felülírja. </t>
  </si>
  <si>
    <t>FELÜLÍRÁS ELLENI VÉDELEM</t>
  </si>
  <si>
    <t>Ha írásvédettség miatt nem tudunk rögzíteni egy adatot, akkor biztosan rossz mezőbe akartuk ezt bevinni. Az egész táblázatrendszer előre precízen kiszámított beépített képletek segítségével működik. A mérkőzések eredményeinek, dátumok és feljegyzések bevitelén, illetve a kiválasztási lehetőségeken kívül minden funkció automatikus, vagyis a program minden állást azonnal magától kiszámol és megjelenít a képernyőn. Ha a rengeteg képlet rendszerében akár egyet is megváltoztatnánk vagy kitörölnénk, a táblázat már nem működne megbízhatóan. Ilyen esetben a hibát is nagyon nehéz megtalálni és behatárolni. Ezért a lapok felülírás elleni védelemmel, úgynevezett lapvédelemmel vannak ellátva, de ugyanakkor azok a mezők, ahol nekünk az eredményeket kell bevinni mindig szabadon változtathatók.</t>
  </si>
  <si>
    <t>PONTOSSÁG</t>
  </si>
  <si>
    <t>Nagyon fontos, hogy a mérkőzések eredményeit pontosan adjuk meg, egyébként mind a csapatok sorrendjében, mind pedig a hozzájuk tartozó részletekben hibás adatokat kaphatunk. Amikor a mérkőzések lezajlottak, és bevisszük az eredményeket, egyszerűen csak ügyeljünk arra, hogy ne tévesszük el a számokat. Éppen ezért érdemes egy-kétszer újra átfutni az eredményeket, és ellenőrizni azok helyességét. Hibás kiindulási adatokkal az egész rendszer megbízhatatlanul fog működni.</t>
  </si>
  <si>
    <t>RENDSZERIDŐ</t>
  </si>
  <si>
    <t xml:space="preserve">Ügyeljünk a számítógépünkön a helyes dátumbeállításra. A táblázatokban sok képlet és funkció használja a számítógép rendszerében beállított dátumot, hogy jelölje az aktuális és már lejátszott mérkőzéseket. Ezért az egyébként a felhasználást megkönnyítő színek és formázások felborulhatnak, és zűrzavart okozhatnak, ha a rendszeridő, illetve dátum nem pontos. </t>
  </si>
  <si>
    <t>KÉPERNYŐ FELBONTÁSA</t>
  </si>
  <si>
    <t>SZERZŐI JOGOK</t>
  </si>
  <si>
    <t>VISSZAJELZÉS</t>
  </si>
  <si>
    <t>Kérdéseit, visszajelzéseit és észrevételeit szívesen fogadjuk a táblázattal kapcsolatban. 
Elérhetőségeink:</t>
  </si>
  <si>
    <t>A SZERZŐ</t>
  </si>
  <si>
    <t>AJÁNLÓ</t>
  </si>
  <si>
    <t>http://www.nemzetisport.hu/minden_mas_foci/20030215/szurkoloi_szoftverek/</t>
  </si>
  <si>
    <t>M</t>
  </si>
  <si>
    <t>Gy</t>
  </si>
  <si>
    <t>V</t>
  </si>
  <si>
    <t>L</t>
  </si>
  <si>
    <t>K</t>
  </si>
  <si>
    <t>Gk</t>
  </si>
  <si>
    <t>P</t>
  </si>
  <si>
    <t>hely</t>
  </si>
  <si>
    <t>winh</t>
  </si>
  <si>
    <t>wina</t>
  </si>
  <si>
    <t>drawh</t>
  </si>
  <si>
    <t>drawa</t>
  </si>
  <si>
    <t>lossh</t>
  </si>
  <si>
    <t>lossa</t>
  </si>
  <si>
    <t>D</t>
  </si>
  <si>
    <t>A</t>
  </si>
  <si>
    <t>B</t>
  </si>
  <si>
    <t>x</t>
  </si>
  <si>
    <t>home</t>
  </si>
  <si>
    <t>away</t>
  </si>
  <si>
    <t>GHH</t>
  </si>
  <si>
    <t>GAA</t>
  </si>
  <si>
    <t>Naptár</t>
  </si>
  <si>
    <t>Következő:</t>
  </si>
  <si>
    <t>f.</t>
  </si>
  <si>
    <t>game</t>
  </si>
  <si>
    <t>Részleges tabella megtekintése a következő két forduló közötti periódusra:</t>
  </si>
  <si>
    <t>Részleges tabella megtekintése csak hazai vagy idegenbeli mérkőzésekről. (Jelölje ki a kívánt szempontot.)</t>
  </si>
  <si>
    <t>A táblázatokon lapvédelem van, ami elsősorban a beépített képleteket hivatott megvédeni, hogy a táblák mindenkor a helyes eredményt számítsák ki. Ha a program írásvédettségre hivatkozik, biztosak lehetünk abban, hogy nem a megfelelő mezőt használtuk az adatbevitelre.</t>
  </si>
  <si>
    <t>SÚGÓ / HASZNÁLATI ISMERTETŐ</t>
  </si>
  <si>
    <t>Gyurka Szilárd - gymm@mailbox.hu</t>
  </si>
  <si>
    <t>I.-10</t>
  </si>
  <si>
    <t>gy</t>
  </si>
  <si>
    <t>d</t>
  </si>
  <si>
    <t>l</t>
  </si>
  <si>
    <t>k</t>
  </si>
  <si>
    <t>sorr</t>
  </si>
  <si>
    <t>g.</t>
  </si>
  <si>
    <t>w.</t>
  </si>
  <si>
    <t xml:space="preserve"> draw</t>
  </si>
  <si>
    <t>F</t>
  </si>
  <si>
    <t>Rangsor sima:</t>
  </si>
  <si>
    <t>Rangsor több győzelem:</t>
  </si>
  <si>
    <t>Rangsor ee eredmény:</t>
  </si>
  <si>
    <t>Eredetileg a táblázat 1024x768 képpontos képernyőméret mellett készült. Amennyiben Ön a számítógépén más beállításokat használ, elképzelhető, hogy az oldalak túlnyúlnak a képernyő szélein. Ekkor használhatja a görgetősávokat.</t>
  </si>
  <si>
    <t>Csapatok száma (Adatok):</t>
  </si>
  <si>
    <t>Mérkőzések száma (Adatok):</t>
  </si>
  <si>
    <t>Csapatok száma (Felülírt):</t>
  </si>
  <si>
    <t>Mérkőzések száma (Felülírt):</t>
  </si>
  <si>
    <t>Csapatok (Adatok):</t>
  </si>
  <si>
    <t>CSAPATOK</t>
  </si>
  <si>
    <t>Csapatok (2):</t>
  </si>
  <si>
    <t>Csapatok száma (2):</t>
  </si>
  <si>
    <t>Mérkőzések száma (2):</t>
  </si>
  <si>
    <t>SPORTÁG</t>
  </si>
  <si>
    <t>ALAPADATOK BEVITELÉHEZ ÉRVÉNYESÍTŐ LISTA</t>
  </si>
  <si>
    <t>Labdarúgás:</t>
  </si>
  <si>
    <t>Kézilabda:</t>
  </si>
  <si>
    <t>Kosárlabda:</t>
  </si>
  <si>
    <t>Vízilabda:</t>
  </si>
  <si>
    <t>Kezdő forduló beállítva:</t>
  </si>
  <si>
    <t>Összes/Hazai/Idegen beállítás:</t>
  </si>
  <si>
    <t>Kezdő forduló sorszáma:</t>
  </si>
  <si>
    <t>Kezdő forduló sorszáma (Felülírt):</t>
  </si>
  <si>
    <t>Záró forduló sorszáma:</t>
  </si>
  <si>
    <t>Záró forduló sorszáma (Felülírt):</t>
  </si>
  <si>
    <t>Záró forduló beállítva:</t>
  </si>
  <si>
    <t>.av1</t>
  </si>
  <si>
    <t>.aa1</t>
  </si>
  <si>
    <t>.av2</t>
  </si>
  <si>
    <t>.aa2</t>
  </si>
  <si>
    <t>Pa</t>
  </si>
  <si>
    <t>Rel</t>
  </si>
  <si>
    <t>.av</t>
  </si>
  <si>
    <t>.aa</t>
  </si>
  <si>
    <t>Csapatok (2) VAN-E:</t>
  </si>
  <si>
    <t>NK</t>
  </si>
  <si>
    <t>Pko</t>
  </si>
  <si>
    <t>TABELLÁK ADATAI</t>
  </si>
  <si>
    <t>1. tabella félidőt elérte (.av1):</t>
  </si>
  <si>
    <t>1. tabella végéhez ért (.aa1):</t>
  </si>
  <si>
    <t>1. tabella EEE-t számolhatja (.av1):</t>
  </si>
  <si>
    <t>1. tabella büntetést levonhatja (.av1):</t>
  </si>
  <si>
    <t>2. tabella félidőt elérte (.av2):</t>
  </si>
  <si>
    <t>2. tabella végéhez ért (.aa2):</t>
  </si>
  <si>
    <t>2. tabella EEE-t számolhatja (.av2):</t>
  </si>
  <si>
    <t>2. tabella büntetést levonhatja (.av2):</t>
  </si>
  <si>
    <t>P-</t>
  </si>
  <si>
    <t>eee</t>
  </si>
  <si>
    <t>BÜNTETÉSEK CSAPATNÉVSORHOZ ÉRVÉNYESÍTŐ LISTA</t>
  </si>
  <si>
    <t>P.aa1</t>
  </si>
  <si>
    <t>REL.aa1</t>
  </si>
  <si>
    <t>DB</t>
  </si>
  <si>
    <t>P.aa2</t>
  </si>
  <si>
    <t>REL.aa2</t>
  </si>
  <si>
    <t>I.-7</t>
  </si>
  <si>
    <t>I.-5</t>
  </si>
  <si>
    <t>I.-4</t>
  </si>
  <si>
    <t>I.-3</t>
  </si>
  <si>
    <t>I.-2</t>
  </si>
  <si>
    <t>II.-5</t>
  </si>
  <si>
    <t>II.-3</t>
  </si>
  <si>
    <t>II.-2</t>
  </si>
  <si>
    <t>multiple</t>
  </si>
  <si>
    <t>mgy</t>
  </si>
  <si>
    <t>GY</t>
  </si>
  <si>
    <t>PA</t>
  </si>
  <si>
    <t>score</t>
  </si>
  <si>
    <t>finom</t>
  </si>
  <si>
    <t>normál</t>
  </si>
  <si>
    <t xml:space="preserve">Gk </t>
  </si>
  <si>
    <t>MKB Veszprém KC</t>
  </si>
  <si>
    <t>ÁTVITT EREDMÉNYEK</t>
  </si>
  <si>
    <t>1. sorozat:</t>
  </si>
  <si>
    <t>2. sorozat:</t>
  </si>
  <si>
    <t>3. sorozat:</t>
  </si>
  <si>
    <t>4. sorozat:</t>
  </si>
  <si>
    <t>wh</t>
  </si>
  <si>
    <t>wa</t>
  </si>
  <si>
    <t>dh</t>
  </si>
  <si>
    <t>lh</t>
  </si>
  <si>
    <t>da</t>
  </si>
  <si>
    <t>la</t>
  </si>
  <si>
    <t>1.</t>
  </si>
  <si>
    <t>2.</t>
  </si>
  <si>
    <t>3.</t>
  </si>
  <si>
    <t>4.</t>
  </si>
  <si>
    <t>–</t>
  </si>
  <si>
    <t>L–K</t>
  </si>
  <si>
    <t>.rv</t>
  </si>
  <si>
    <t>.rr</t>
  </si>
  <si>
    <t>1. csoport</t>
  </si>
  <si>
    <t>cs.</t>
  </si>
  <si>
    <t>cím</t>
  </si>
  <si>
    <t>2. csoport</t>
  </si>
  <si>
    <t>No.</t>
  </si>
  <si>
    <t>Indulhat?</t>
  </si>
  <si>
    <t>GBB</t>
  </si>
  <si>
    <t>.rv1</t>
  </si>
  <si>
    <t>.rv2</t>
  </si>
  <si>
    <t>Tabellához hozott eredményt hozzáadja:</t>
  </si>
  <si>
    <t>.rr1</t>
  </si>
  <si>
    <t>.rr2</t>
  </si>
  <si>
    <t>ALAPADATOK</t>
  </si>
  <si>
    <t>Alapszakasz lezárult:</t>
  </si>
  <si>
    <t>1. csoport létezik:</t>
  </si>
  <si>
    <t>2. csoport létezik:</t>
  </si>
  <si>
    <t>REL.rr1</t>
  </si>
  <si>
    <t>P.rr1</t>
  </si>
  <si>
    <t>Záró forduló sorszáma (1.) (Felülírt):</t>
  </si>
  <si>
    <t>Záró forduló sorszáma (2.) (Felülírt):</t>
  </si>
  <si>
    <t>Záró forduló beállítva (1.):</t>
  </si>
  <si>
    <t>Záró forduló beállítva (2.):</t>
  </si>
  <si>
    <t>1. csoport mérkőzések száma:</t>
  </si>
  <si>
    <t>2. csoport mérkőzések száma:</t>
  </si>
  <si>
    <t>1. csoport csapatok száma:</t>
  </si>
  <si>
    <t>2. csoport csapatok száma:</t>
  </si>
  <si>
    <t>1. csoport áthozott meccsek száma:</t>
  </si>
  <si>
    <t>2. csoport áthozott meccsek száma:</t>
  </si>
  <si>
    <t>HOZOTT EREDMÉNYEK</t>
  </si>
  <si>
    <t>1. csoport önkényes ponthozás:</t>
  </si>
  <si>
    <t>2. csoport önkényes ponthozás:</t>
  </si>
  <si>
    <t>Önkényes pontszámok:</t>
  </si>
  <si>
    <t>1. csoport létezik áthozott eeeredmény:</t>
  </si>
  <si>
    <t>2. csoport létezik áthozott eeeredmény:</t>
  </si>
  <si>
    <t>FELJEGYZÉSEK</t>
  </si>
  <si>
    <t>ÖSSZESÍTÉS</t>
  </si>
  <si>
    <t>Véget ért:</t>
  </si>
  <si>
    <t>r</t>
  </si>
  <si>
    <t>a</t>
  </si>
  <si>
    <t>ÉRVÉNYESÍTÉSEK</t>
  </si>
  <si>
    <t>Rájátszás</t>
  </si>
  <si>
    <t>Alapszakasz</t>
  </si>
  <si>
    <t>pont</t>
  </si>
  <si>
    <t>a/r</t>
  </si>
  <si>
    <t>cs</t>
  </si>
  <si>
    <t>KEZDÉSI FELTÉTELEK</t>
  </si>
  <si>
    <t>a1</t>
  </si>
  <si>
    <t>a2</t>
  </si>
  <si>
    <t>r1</t>
  </si>
  <si>
    <t>r2</t>
  </si>
  <si>
    <t>eki</t>
  </si>
  <si>
    <t>w/l</t>
  </si>
  <si>
    <t>név</t>
  </si>
  <si>
    <t>Csoport</t>
  </si>
  <si>
    <t>Egyenes kiesés</t>
  </si>
  <si>
    <t>érkezik</t>
  </si>
  <si>
    <t>CSOP</t>
  </si>
  <si>
    <t>EKI</t>
  </si>
  <si>
    <t>Winner</t>
  </si>
  <si>
    <t>Loser</t>
  </si>
  <si>
    <t>w</t>
  </si>
  <si>
    <t>Pályaválasztó:</t>
  </si>
  <si>
    <t>Másik csapat:</t>
  </si>
  <si>
    <t>Kezdődhet:</t>
  </si>
  <si>
    <t>Célszám:</t>
  </si>
  <si>
    <t>Győztes:</t>
  </si>
  <si>
    <t>Vesztes:</t>
  </si>
  <si>
    <t>p</t>
  </si>
  <si>
    <t>Hozott pontok:</t>
  </si>
  <si>
    <t>played</t>
  </si>
  <si>
    <t>penalt</t>
  </si>
  <si>
    <t>winner</t>
  </si>
  <si>
    <t>loser</t>
  </si>
  <si>
    <t>finished</t>
  </si>
  <si>
    <t>másik</t>
  </si>
  <si>
    <t>pályav</t>
  </si>
  <si>
    <t>Győzelem értéke:</t>
  </si>
  <si>
    <t>valid</t>
  </si>
  <si>
    <t>pálya</t>
  </si>
  <si>
    <t>p/m</t>
  </si>
  <si>
    <t>m</t>
  </si>
  <si>
    <t>név besorolás előtt</t>
  </si>
  <si>
    <t>rank</t>
  </si>
  <si>
    <t>Rájátszás az 5-8. helyért (A)</t>
  </si>
  <si>
    <t>Rájátszás az 5-8. helyért (B)</t>
  </si>
  <si>
    <t>DÖNTŐ</t>
  </si>
  <si>
    <t>Rájátszás a 3. helyért</t>
  </si>
  <si>
    <t>Rájátszás az 5. helyért</t>
  </si>
  <si>
    <t>Rájátszás a 7. helyért</t>
  </si>
  <si>
    <t>3. HELYÉRT</t>
  </si>
  <si>
    <t>5-8. HELYÉRT</t>
  </si>
  <si>
    <t>5. HELYÉRT</t>
  </si>
  <si>
    <t>7. HELYÉRT</t>
  </si>
  <si>
    <t>Valid:</t>
  </si>
  <si>
    <t>TABELLA alapszakasz</t>
  </si>
  <si>
    <t>ALAPSZAKASZ</t>
  </si>
  <si>
    <t>KERESZTTÁBLA (alapszakasz vagy rájátszás)</t>
  </si>
  <si>
    <t>TABELLA rájátszás</t>
  </si>
  <si>
    <t xml:space="preserve">Ez a tabella ugyanúgy működik, mint az alapszakasz esetében. Az elemzési lehetőségek annyival egészülnek itt ki, hogy ha tisztán a rájátszás eredményeit szeretnénk kiértékelni (továbbvitt illetve hozott eredmények nélkül) akkor vegyük ki a pipát a jobb oldalon látható négyzetből. </t>
  </si>
  <si>
    <t xml:space="preserve">A pontlevonást a számítógép nem kezeli továbbviendő eredményként. Éppen ezért ha egy csapat büntetése a rájátszás csoportkörében is érvényes, akkor itt a rájátszás tabellája melletti sorokban ezt újra rögzíteni kell. </t>
  </si>
  <si>
    <t>A program több munkalapból áll, amelyek két fő típusra oszthatók. Néhány munkalapon a felhasználó a mérkőzések eredményét tudja rögzíteni, míg a többi esetében az eredményeket és a csapatok állását tudjuk megtekinteni, esetleg elemezni és kiértékelni. Kérem, tanulmányozza a következő sorokat, hogy megtudhassa, melyik menüpont pontosan milyen célt szolgál.</t>
  </si>
  <si>
    <t>FELJEGYZÉSEK:</t>
  </si>
  <si>
    <t>Győzelemért járó pontszám (Felülírt):</t>
  </si>
  <si>
    <t>Győzelemért járó pontszám:</t>
  </si>
  <si>
    <t>RANGSOROLÁS</t>
  </si>
  <si>
    <t>sor</t>
  </si>
  <si>
    <t>Végső rangsor</t>
  </si>
  <si>
    <t>v</t>
  </si>
  <si>
    <t>v1</t>
  </si>
  <si>
    <t>3. csoport</t>
  </si>
  <si>
    <t>3. csoport létezik:</t>
  </si>
  <si>
    <t>3. csoport csapatok száma:</t>
  </si>
  <si>
    <t>3. csoport mérkőzések száma:</t>
  </si>
  <si>
    <t>Záró forduló sorszáma (3.) (Felülírt):</t>
  </si>
  <si>
    <t>Záró forduló beállítva (3.):</t>
  </si>
  <si>
    <t>3. csoport áthozott meccsek száma:</t>
  </si>
  <si>
    <t>3. csoport létezik áthozott eeeredmény:</t>
  </si>
  <si>
    <t>.rv3</t>
  </si>
  <si>
    <t>.rr3</t>
  </si>
  <si>
    <t>III.-5</t>
  </si>
  <si>
    <t>III.-3</t>
  </si>
  <si>
    <t>III.-2</t>
  </si>
  <si>
    <t>r3</t>
  </si>
  <si>
    <t>A megtekintett tabella gólátlaga:</t>
  </si>
  <si>
    <t>Részleges tabella megtekintése a lőtt illetve kapott gólok szempontjából. (Jelölje ki a kívánt szempontot.)</t>
  </si>
  <si>
    <t>Összes/Támadás/Védekezés:</t>
  </si>
  <si>
    <t>ÖSSZEVONANDÓ ADATOK</t>
  </si>
  <si>
    <t>.av1 TÁMADÁS / VÉDEKEZÉS</t>
  </si>
  <si>
    <t>TÁM/VÉD</t>
  </si>
  <si>
    <t>NORMÁL</t>
  </si>
  <si>
    <t>NYILAK</t>
  </si>
  <si>
    <t>round</t>
  </si>
  <si>
    <t>tám/véd</t>
  </si>
  <si>
    <t>KIVÁLASZTOTT KEDVENC CSAPAT:</t>
  </si>
  <si>
    <t>GAME</t>
  </si>
  <si>
    <t>DATE</t>
  </si>
  <si>
    <t>RANK</t>
  </si>
  <si>
    <t>►▲▼</t>
  </si>
  <si>
    <t>Kiválasztva:</t>
  </si>
  <si>
    <t>NYÍL</t>
  </si>
  <si>
    <t>Bef</t>
  </si>
  <si>
    <t>Aft</t>
  </si>
  <si>
    <t>1. tabella nyilakat rajzolhatja (.av1):</t>
  </si>
  <si>
    <t>.av2 TÁMADÁS / VÉDEKEZÉS</t>
  </si>
  <si>
    <t>2. tabella nyilakat rajzolhatja (.av2):</t>
  </si>
  <si>
    <t>RÉSZTVEVŐ CSAPATOK:</t>
  </si>
  <si>
    <t>Sorsolási számok</t>
  </si>
  <si>
    <t>A megtekintett tabellák gólátlaga:</t>
  </si>
  <si>
    <t>3. tabella nyilakat rajzolhatja (.av3):</t>
  </si>
  <si>
    <t>3. tabella büntetést levonhatja (.av3):</t>
  </si>
  <si>
    <t>3. tabella EEE-t számolhatja (.av3):</t>
  </si>
  <si>
    <t>3. tabella végéhez ért (.aa3):</t>
  </si>
  <si>
    <t>3. tabella félidőt elérte (.av3):</t>
  </si>
  <si>
    <t>round.r</t>
  </si>
  <si>
    <t>1. csoport összes a.sz.er.-t továbbviszi:</t>
  </si>
  <si>
    <t>2. csoport összes a.sz.er.-t továbbviszi:</t>
  </si>
  <si>
    <t>3. csoport összes a.sz.er.-t továbbviszi:</t>
  </si>
  <si>
    <t>P.av1</t>
  </si>
  <si>
    <t>REL.av1</t>
  </si>
  <si>
    <t>P.an1</t>
  </si>
  <si>
    <t>REL.an1</t>
  </si>
  <si>
    <t>P.rv1</t>
  </si>
  <si>
    <t>REL.rv1</t>
  </si>
  <si>
    <t>P.rr2</t>
  </si>
  <si>
    <t>REL.rr2</t>
  </si>
  <si>
    <t>P.rr3</t>
  </si>
  <si>
    <t>REL.rr3</t>
  </si>
  <si>
    <t>P.rv2</t>
  </si>
  <si>
    <t>REL.rv2</t>
  </si>
  <si>
    <t>P.rv3</t>
  </si>
  <si>
    <t>REL.rv3</t>
  </si>
  <si>
    <t>P.rn1</t>
  </si>
  <si>
    <t>REL.rn1</t>
  </si>
  <si>
    <t>P.rn2</t>
  </si>
  <si>
    <t>REL.rn2</t>
  </si>
  <si>
    <t>P.rn3</t>
  </si>
  <si>
    <t>REL.rn3</t>
  </si>
  <si>
    <t>.rn1</t>
  </si>
  <si>
    <t>.rn2</t>
  </si>
  <si>
    <t>.rn3</t>
  </si>
  <si>
    <t xml:space="preserve">Itt láthatjuk a bajnokság állását. A csapatok nevei mellett balra színes nyilak és számok mutatják, hogy az előző teljes fordulóhoz képest a csapatok helyezése változott-e, illetve hogy hány hellyel kerültek feljebb illetve lejjebb a tabellán. Az elemzési kritériumok szerint átalakított tabella esetén is működik ez a funkció az adott megtekintési szempontra vonatkozóan, kivéve ha nem a legelső fordulótól kezdve számoljuk az eredményeket.   </t>
  </si>
  <si>
    <t>Részeredményeket is megtekinthetünk azáltal, hogy jobbra felül a fordulóknak csak egy bizonyos intervallumát adjuk meg. Ugyanakkor ügyelni kell rá, hogy a fordulók határszámait ne fordított sorrendben változtassuk pl. 18.-17., mert akkor a gép hibaüzenetet fog küldeni. Amikor beírjuk a kiválasztott forduló sorszámát, csak puszta számot írjunk, vagyis ne tegyünk pontot a végére.</t>
  </si>
  <si>
    <t>Mivel az elemzés során a bajnokág alapvető állásától teljesen eltérő beállításokkal és sorrendekkel dolgozunk, a tévedések elkerülése érdekében érdemes ügyelni arra, hogy később ezeket a kapcsolókat és értékeket mindig visszaállítsuk az alaphelyzetbe.</t>
  </si>
  <si>
    <t xml:space="preserve"> P </t>
  </si>
  <si>
    <t>ELŐDÖNTŐK</t>
  </si>
  <si>
    <t>RENDELTETÉS</t>
  </si>
  <si>
    <t>EREDMÉNYEK BEVITELE</t>
  </si>
  <si>
    <t>VÉDELEM</t>
  </si>
  <si>
    <t>FELÉPÍTÉS</t>
  </si>
  <si>
    <t>KAPCSOLAT</t>
  </si>
  <si>
    <t>gam.av</t>
  </si>
  <si>
    <t>gam.an</t>
  </si>
  <si>
    <t>gam.rv</t>
  </si>
  <si>
    <t>gam.rn</t>
  </si>
  <si>
    <t>Rangsor olasz/spanyol ee eredmény:</t>
  </si>
  <si>
    <t>1. csoport a.sz.eee. beszámít itt eee-be:</t>
  </si>
  <si>
    <t>2. csoport a.sz.eee. beszámít itt eee-be:</t>
  </si>
  <si>
    <t>3. csoport a.sz.eee. beszámít itt eee-be:</t>
  </si>
  <si>
    <t>ELEMZÉSI LEHETŐSÉGEK</t>
  </si>
  <si>
    <t>PONTLEVONÁSSAL BÜNTETETT CSAPAT</t>
  </si>
  <si>
    <t>PONTOK</t>
  </si>
  <si>
    <t>SÚGÓ</t>
  </si>
  <si>
    <t>KEDVENC CSAPAT EREDMÉNYEI (ALAPSZAKASZ)</t>
  </si>
  <si>
    <t>A BAJNOKSÁG VÉGEREDMÉNYE</t>
  </si>
  <si>
    <t>RÁJÁTSZÁS – EGYENES KIESÉSES SZAKASZ</t>
  </si>
  <si>
    <t>KERESZTTÁBLÁZAT – ALAPSZAKASZ</t>
  </si>
  <si>
    <t>KERESZTTÁBLÁZAT – RÁJÁTSZÁS</t>
  </si>
  <si>
    <t>ÁGRAJZ – RÁJÁTSZÁS</t>
  </si>
  <si>
    <t xml:space="preserve">FORDULÓK ÉS EREDMÉNYEK – RÁJÁTSZÁS CSOPORTMÉRKŐZÉSEK </t>
  </si>
  <si>
    <t>TABELLÁK – RÁJÁTSZÁS</t>
  </si>
  <si>
    <t>TABELLA – ALAPSZAKASZ</t>
  </si>
  <si>
    <t>AZ ALAPSZAKASZ ÁLLÁSA</t>
  </si>
  <si>
    <t>TOVÁBBI FELJEGYZÉSEK</t>
  </si>
  <si>
    <t>VIGYÁZAT: a csapatnevek és az ÖSSZESÍTÉS közötti 3 oszlop az esetleges büntetőkhöz van fenntartva</t>
  </si>
  <si>
    <t>PÁROSÍTÁSOK SORRENDJE:</t>
  </si>
  <si>
    <t>MEGJELENÍTENDŐ ADATOK:</t>
  </si>
  <si>
    <t>LAPOZÁS</t>
  </si>
  <si>
    <t xml:space="preserve">A táblázat lapjai közötti váltást a fejlécen található gombokra való kattintással lehet végrehajtani. Az egyes fordulókhoz való ugráshoz kattintson a megfelelő feliratra a fejléc alsó sávjában. </t>
  </si>
  <si>
    <t>Ezen az oldalon tudjuk az alapszakasz mérkőzéseinek eredményét beírni, amelyet mindig a csapatok nevei közé, a bekeretezett mezőkbe vagy a kötőjel két oldalára kell begépelni. A fordulók között a görgetősávon kívül is tudunk lapozni úgy, hogy a fejlécen arra a feliratra kattintunk, amelyen a kiválasztott forduló száma áll.</t>
  </si>
  <si>
    <t>DÁTUMOK</t>
  </si>
  <si>
    <t>RÉSZLEGES TABELLA</t>
  </si>
  <si>
    <t>PONTLEVONÁS</t>
  </si>
  <si>
    <t>GÓLÁTLAG</t>
  </si>
  <si>
    <t>Mindezeken az adatokon felül a jobb oldali területen az éppen megtekintett részleges vagy teljes tabella gólátlaga (pontátlaga) is olvasható.</t>
  </si>
  <si>
    <t>A mérkőzések mellett jobb oldalon külön feljegyzéseket lehet rögzíteni, tetszés szerinti kiegészítő információkkal, amelyeket a találkozóval vagy akár az egész fordulóval kapcsolatban lényegesnek tartunk.</t>
  </si>
  <si>
    <t xml:space="preserve">Ezek a táblázatok a csoportmérkőzések összefoglalását tartalmazzák. Itt ki tudjuk választani, hogy milyen adatokat szeretnénk megjeleníteni: a mérkőzések eredményeit, a párosítások dátumát, vagy a fordulók sorszámát. Egyébként a cellák színezése itt is hasonló a táblázat többi részéhez, vagyis az aktuális következő illetve az esetlegesen elmaradt mérkőzéseket külön színnel megjelölve láthatjuk majd. </t>
  </si>
  <si>
    <t>RÁJÁTSZÁS (csoportkör)</t>
  </si>
  <si>
    <t>Rájátszás az 1-4. helyért – ELŐDÖNTŐ (A)</t>
  </si>
  <si>
    <t>Rájátszás az 1-4. helyért – ELŐDÖNTŐ (B)</t>
  </si>
  <si>
    <t>1. csoport kosár önkényes ponthozás maximum:</t>
  </si>
  <si>
    <t>2. csoport kosár önkényes ponthozás maximum:</t>
  </si>
  <si>
    <t>3. csoport kosár önkényes ponthozás maximum:</t>
  </si>
  <si>
    <t>3. csoport önkényes ponthozás:</t>
  </si>
  <si>
    <t>Bakafogó-Honvéd-Sashegy SE</t>
  </si>
  <si>
    <t>BBK</t>
  </si>
  <si>
    <t>BHD</t>
  </si>
  <si>
    <t>Bőrdíszmű</t>
  </si>
  <si>
    <t>Carbonász</t>
  </si>
  <si>
    <t>Élelmesek</t>
  </si>
  <si>
    <t>Hercules-Ludovika</t>
  </si>
  <si>
    <t>K&amp;H</t>
  </si>
  <si>
    <t>Royal Guard's</t>
  </si>
  <si>
    <t>Vakana</t>
  </si>
  <si>
    <t>Zrínyigyöngye</t>
  </si>
  <si>
    <t>szabadnapos</t>
  </si>
  <si>
    <t>SORSOLÁS ÉS EREDMÉNYEK – ALAPSZAKASZ</t>
  </si>
  <si>
    <t>19:00 – A pálya</t>
  </si>
  <si>
    <t>19:45 – A pálya</t>
  </si>
  <si>
    <t>20:30 – A pálya</t>
  </si>
  <si>
    <t>19:00 – B pálya</t>
  </si>
  <si>
    <t>19:45 – B pálya</t>
  </si>
  <si>
    <t>20:30 – B pálya</t>
  </si>
  <si>
    <t>=NAGY(EE53:EE62;EP42)</t>
  </si>
  <si>
    <t>…</t>
  </si>
  <si>
    <t>=NAGY(EE53:EE62;EP51)</t>
  </si>
  <si>
    <t xml:space="preserve"> A FELSŐHÁZ ÁLLÁSA</t>
  </si>
  <si>
    <t xml:space="preserve"> AZ ALSÓHÁZ ÁLLÁSA</t>
  </si>
  <si>
    <t>KIVÁLASZTOTT JÁTÉKNAP EREDMÉNYEI</t>
  </si>
  <si>
    <t>FELSŐHÁZ</t>
  </si>
  <si>
    <t>ALSÓHÁZ</t>
  </si>
  <si>
    <t>GÓLLÖVŐLISTA</t>
  </si>
  <si>
    <t>GÓLSZERZŐK RÖGZÍTÉSE</t>
  </si>
  <si>
    <t>LAPOZÁSHOZ KATTINTSON A CSAPATNEVEKRE:</t>
  </si>
  <si>
    <t xml:space="preserve">FORDULÓK: </t>
  </si>
  <si>
    <t>Létezik?</t>
  </si>
  <si>
    <t>Hazai?</t>
  </si>
  <si>
    <t>Aktuális forduló:</t>
  </si>
  <si>
    <t>ÁTIGAZOLÁS</t>
  </si>
  <si>
    <t>ÖSSZES SZERZETT GÓL:</t>
  </si>
  <si>
    <t>EBBŐL ÖNGÓL:</t>
  </si>
  <si>
    <t>ADATBEVITELI ELTÉRÉS:</t>
  </si>
  <si>
    <t>+/-</t>
  </si>
  <si>
    <t xml:space="preserve">Barsánszki János </t>
  </si>
  <si>
    <t>ifj. Barsánszki János</t>
  </si>
  <si>
    <t>Hangya Gábor</t>
  </si>
  <si>
    <t>Hajdú György</t>
  </si>
  <si>
    <t>Hodossy György</t>
  </si>
  <si>
    <t>Kováts Vince</t>
  </si>
  <si>
    <t>Ruszin Romulusz</t>
  </si>
  <si>
    <t>Sikesdi László</t>
  </si>
  <si>
    <t>Szkala Zsolt</t>
  </si>
  <si>
    <t>Tószegi Zoltán</t>
  </si>
  <si>
    <t>Nagy József</t>
  </si>
  <si>
    <t>Fekete Ákos</t>
  </si>
  <si>
    <t>Buzás Roland</t>
  </si>
  <si>
    <t>Matula János</t>
  </si>
  <si>
    <t>Zoványi Richárd</t>
  </si>
  <si>
    <t>Balta Gábor</t>
  </si>
  <si>
    <t>Takács János</t>
  </si>
  <si>
    <t>Breznyánszky Gracián</t>
  </si>
  <si>
    <t>Papp Sándor</t>
  </si>
  <si>
    <t>Tóth Gyula</t>
  </si>
  <si>
    <t>Horváth Dániel</t>
  </si>
  <si>
    <t>Kovács Péter</t>
  </si>
  <si>
    <t>Vajs Ábrahám</t>
  </si>
  <si>
    <t>Treszler Dávid</t>
  </si>
  <si>
    <t>Kiss Tamás</t>
  </si>
  <si>
    <t>Máté Ferenc</t>
  </si>
  <si>
    <t>Cellár Imre</t>
  </si>
  <si>
    <t>Revák Sándor</t>
  </si>
  <si>
    <t>Kapala Krisztián</t>
  </si>
  <si>
    <t>Pap Zoltán</t>
  </si>
  <si>
    <t>Koczák Attila</t>
  </si>
  <si>
    <t>Kiss Ernő</t>
  </si>
  <si>
    <t>Nagy Géza</t>
  </si>
  <si>
    <t>Kiss Benjámin</t>
  </si>
  <si>
    <t>Jóni Ádám</t>
  </si>
  <si>
    <t>Nagy Rudolf</t>
  </si>
  <si>
    <t>Fehér Krisztián</t>
  </si>
  <si>
    <t>Fehér Norbert</t>
  </si>
  <si>
    <t>Ferencz Péter</t>
  </si>
  <si>
    <t>Süle Zoltán</t>
  </si>
  <si>
    <t>Jóni László</t>
  </si>
  <si>
    <t>Farkas Miklós</t>
  </si>
  <si>
    <t>ifj. Nagy Rudolf</t>
  </si>
  <si>
    <t>Török János</t>
  </si>
  <si>
    <t>Baran János</t>
  </si>
  <si>
    <t>Holubák Tamás</t>
  </si>
  <si>
    <t>Szívós Sándor</t>
  </si>
  <si>
    <t>Löffler András</t>
  </si>
  <si>
    <t>Horváth László</t>
  </si>
  <si>
    <t>Király Ákos</t>
  </si>
  <si>
    <t>Simon Dániel</t>
  </si>
  <si>
    <t>Lénárt László</t>
  </si>
  <si>
    <t>Szűcs Ottó</t>
  </si>
  <si>
    <t>Nagy Gergő</t>
  </si>
  <si>
    <t>Motkó Dávid</t>
  </si>
  <si>
    <t>Karászi Olivér</t>
  </si>
  <si>
    <t>Ács János</t>
  </si>
  <si>
    <t>Vatai Nándor</t>
  </si>
  <si>
    <t>Soós Mihály</t>
  </si>
  <si>
    <t>Domokos László</t>
  </si>
  <si>
    <t>Békési Zsolt</t>
  </si>
  <si>
    <t>Szaulik György</t>
  </si>
  <si>
    <t>Tátrai Tibor</t>
  </si>
  <si>
    <t>Szántó Tamás</t>
  </si>
  <si>
    <t>Sándor Roland</t>
  </si>
  <si>
    <t>Takács Jenő György</t>
  </si>
  <si>
    <t>Lengyel Ákos</t>
  </si>
  <si>
    <t>Horváth Attila</t>
  </si>
  <si>
    <t>Forgó János</t>
  </si>
  <si>
    <t>Nahaj Gergely</t>
  </si>
  <si>
    <t>Koncz János</t>
  </si>
  <si>
    <t>Budavári Ádám</t>
  </si>
  <si>
    <t>Kálmán Dávid</t>
  </si>
  <si>
    <t>Király János</t>
  </si>
  <si>
    <t>Sárkány István</t>
  </si>
  <si>
    <t>Bonivárt Erik</t>
  </si>
  <si>
    <t>Mészáros Géza</t>
  </si>
  <si>
    <t>Lotheridesz Balázs</t>
  </si>
  <si>
    <t>Demkovics Gábor</t>
  </si>
  <si>
    <t>Varga Attila</t>
  </si>
  <si>
    <t>Torják Gábor</t>
  </si>
  <si>
    <t>Bakafogó: 8</t>
  </si>
  <si>
    <t>Batik Zoltán</t>
  </si>
  <si>
    <t>Kosztel Róbert</t>
  </si>
  <si>
    <t>Musszer Roland</t>
  </si>
  <si>
    <t>Ballai Péter</t>
  </si>
  <si>
    <t>Ubornyák Attila</t>
  </si>
  <si>
    <t>Tóth István</t>
  </si>
  <si>
    <t>Hofekker József</t>
  </si>
  <si>
    <t>Harmath Zsolt</t>
  </si>
  <si>
    <t>Hornyák Endre</t>
  </si>
  <si>
    <t>Tokár Zoltán</t>
  </si>
  <si>
    <t>Oláh Sándor</t>
  </si>
  <si>
    <t>Szabó Szabolcs</t>
  </si>
  <si>
    <t>Schutz Ferenc</t>
  </si>
  <si>
    <t>Berényi Ádám</t>
  </si>
  <si>
    <t xml:space="preserve">A táblázat azzal a céllal készült, hogy a résztvevők az eredmények feljegyzése által pontosan nyomon tudják követni a versenysorozat alakulását, hogy elemezni tudják a csapatok teljesítményét és formáját, továbbá hogy előzetes eredmények próbálgatásával az esélylatolgatáshoz segítséget nyújtson. </t>
  </si>
  <si>
    <t xml:space="preserve">A mérkőzések eredményét értelemszerűen az 'ALAPSZAKASZ' vagy a 'RÁJÁTSZÁS' oldalakon lehet rögzíteni úgy, hogy a számokat a csapatok nevei közé, a bekeretezett mezőkbe vagy a kötőjelek két oldalára írjuk. Az aktuális forduló mindig kiemelt fejléccel látható. A mérkőzések elszíneződnek, ha ma rendezik meg őket, vagy ha már elméletileg elmúlt a találkozó napja, és ez a változás addig marad fenn, míg az eredményt be nem írtuk. Fontos azonban, hogy a felhasználó számítógépe a helyes dátumra legyen beállítva, különben az erre épülő színezések túl korán vagy későn jelennek meg. </t>
  </si>
  <si>
    <t xml:space="preserve">A mérkőzés előtt bal oldalon olvasható a találkozó dátuma, időpontja és helyszíne. Alapesetben ez magának a fordulónak illetve játéknapnak a dátumára lett beállítva. Halasztások miatt az egyes mérkőzések más időpontra, pályára vagy akár másik napra is kerülhetnek át. A teljesen pontos feljegyzések érdekében ilyenkor a legördülő listából választva módosítani tudjuk a dátumot és a helszínt is. </t>
  </si>
  <si>
    <t xml:space="preserve">A dátumok pontos beállítása, módosítása nem szükséges ahhoz, hogy a táblázat alapvetően jól számoljon. </t>
  </si>
  <si>
    <t xml:space="preserve">A csapatok teljesítményének elemzésére további lehetőségeink is vannak, mivel a megtekintett tabellát leszűkíthetjük csak hazai és idegenbeli mérkőzésekre, vagy figyelembe vehetjük a csapatok támadási illetve védekezési képességét is, ahol a rangsorolás a szerzett illetve a kapott gólok (pontok) száma alapján történik. </t>
  </si>
  <si>
    <t xml:space="preserve">A bajnokság során előfordulhat, hogy egyes csapatokat büntetésként pontlevonással sújtanak, ezért ezeket felhasználóként is rögzíteni tudjuk úgy, hogy a legördülő listából kiválasztjuk a megbüntetett csapat nevét, majd pedig mellé írjuk a levont pontok számát (ezt pozitív egész számként rögzítsük). </t>
  </si>
  <si>
    <t xml:space="preserve">A mérkőzések, dátumok, időpontok, helyszínek és feljegyzések funkciói egyébként pontosan úgy működnek itt is, mint az Alapszakasz esetében. </t>
  </si>
  <si>
    <t>GÓLSZERZŐK</t>
  </si>
  <si>
    <t>Carbonász nem jelent meg</t>
  </si>
  <si>
    <t>Előrehozva az első játéknapra</t>
  </si>
  <si>
    <t>Elhalasztva a 6. játéknapra</t>
  </si>
  <si>
    <t>Elhalasztva a 11. játéknapra</t>
  </si>
  <si>
    <t>Elhalasztva a 15. játéknapra</t>
  </si>
  <si>
    <t>Elhalasztva a 17. játéknapra</t>
  </si>
  <si>
    <t>Elhalasztva a 19. játéknapra</t>
  </si>
  <si>
    <t>Elhalasztva a 20. játéknapra</t>
  </si>
  <si>
    <t xml:space="preserve">A gólszerzők rögzítése úgy történik, hogy a megfelelő fordulónál megkeressük a játékos nevét, és a rubrikába beírjuk az elért góljainak számát. Amennyiben öngól is hozzájárult a csapat eredményéhez, akkor ezt felül a szürke mező alatti helyre kell beírni. A pontos adatbevitelt segíti, hogy felül egy színes szám mutatja, ha túl kevés, vagy túl sok gólt rögzítettünk az adott fordulóhoz. </t>
  </si>
  <si>
    <t>ÁTIGAZOLÁSOK</t>
  </si>
  <si>
    <t>Az átigazolásokhoz az utolsó előtti oszlopot használhatjuk. Ha egy játékos a góljait magával viszi, akkor az előző csapatánál vonjuk ezt le egy negatív szám beírásával, majd pedig az új csapatnál ugyanúgy ide az utolsó előtti oszlopba rögzítsük az áthozott gólok mennyiségét. Ha ezen a módon járunk el, akkor innentől kezdve a góllövőlista az új csapatának megfelelően fogja megjeleníteni az adott játékost, és a két külön csapatban elért góljai össze lesznek adva.</t>
  </si>
  <si>
    <t xml:space="preserve">Ez a táblázat sorba rendezve mutatja be az összes eddigi gólszerzőt. </t>
  </si>
  <si>
    <t>Minden csapathoz tartozik egy összefoglaló táblázat, ahol a bal szélső oszlopba kell a játékosok neveit és mezszámait beírni. Az egyes fordulók dátumai felül láthatóak, alattuk pedig szürkére színezve a már lejátszott mérkőzéseken elért összes gól.</t>
  </si>
  <si>
    <t>Ez az eredménykövető táblázat szellemi tulajdon, és az 1999. évi LXXVI. Szerzői Jogi Törvény védelme alá tartozik. A táblázat lapvédelmének feltörési kísérlete, képleteinek és számítási módszereinek másolása a jogtulajdonos külön írásos engedélye nélkül a törvény megsértését jelenti, amely az ott szabályozott valamint polgári jogi következményekkel jár. Szakmai érdeklődés esetén az illegális próbálkozások helyett javasolt a különböző kérdésekkel és észrevételekkel inkább az alábbi e-mail címen a szerzőhöz fordulni.</t>
  </si>
  <si>
    <t>A Honvéd Aurora Sportegyesület Labdarúgó Szakosztály honlapján</t>
  </si>
  <si>
    <t>http://www.hasefoci.eoldal.hu/</t>
  </si>
  <si>
    <t>Szurkolói füzetek a jelentősebb labdarúgó tornákhoz és a hazai kézi-, kosár-, és vízilabda bajnokságokhoz:</t>
  </si>
  <si>
    <t>Figyelem! Ha egy csapatot esetleg többször is pontlevonással sújtanak, a csapatot ekkor is csak egyszer írjuk be a listába, majd a levont pontok számát összegezve gépeljük be. A pontlevonások a csapatok eredményeiben és így a tabellában is csak akkor jelennek meg, ha az összes mérkőzés és az összes forduló megjelenítése van beállítva a kiértékelésnél.</t>
  </si>
  <si>
    <t>Krausz Bálint</t>
  </si>
  <si>
    <t>Horváth Tamás</t>
  </si>
  <si>
    <t>Jakab Árpád</t>
  </si>
  <si>
    <t>Horváth János</t>
  </si>
  <si>
    <t>Hajós Gergő</t>
  </si>
  <si>
    <t>Kun Viktor</t>
  </si>
  <si>
    <t>Szilágyi Tamás</t>
  </si>
  <si>
    <t>Gots Márk Dávid</t>
  </si>
  <si>
    <t>Réti Gergely</t>
  </si>
  <si>
    <t>Chladny Zoltán</t>
  </si>
  <si>
    <t>Monoki Tamás</t>
  </si>
  <si>
    <t>Mándi Béla</t>
  </si>
  <si>
    <t>Vadászi Norbert</t>
  </si>
  <si>
    <t>Koncz Tibor</t>
  </si>
  <si>
    <t>Balázsi Péter</t>
  </si>
  <si>
    <t>Csehi Attila</t>
  </si>
  <si>
    <t>Kenyér Jenő</t>
  </si>
  <si>
    <t>Pécsi András</t>
  </si>
  <si>
    <t>Kun Gazda Balázs</t>
  </si>
  <si>
    <t>Kiss Csaba</t>
  </si>
  <si>
    <t>Kovács Balázs</t>
  </si>
  <si>
    <t>Demeter Róbert</t>
  </si>
  <si>
    <t>Szabó Dénes</t>
  </si>
  <si>
    <t>Illés Bálint</t>
  </si>
  <si>
    <t>Nagy Gábor</t>
  </si>
  <si>
    <t>Horváth Zsolt</t>
  </si>
  <si>
    <t>Ferenczi Attila</t>
  </si>
  <si>
    <t>Szalai János</t>
  </si>
  <si>
    <t>Józan Csaba</t>
  </si>
  <si>
    <t>Katona Krisztián</t>
  </si>
  <si>
    <t>Kis László</t>
  </si>
  <si>
    <t>Martinek János</t>
  </si>
  <si>
    <t>Jónás Gábor</t>
  </si>
  <si>
    <t>Varga Ferenc</t>
  </si>
  <si>
    <t>Fehér János</t>
  </si>
  <si>
    <t>Bálint Szilárd</t>
  </si>
  <si>
    <t>Korsós János</t>
  </si>
  <si>
    <t>Bics István</t>
  </si>
  <si>
    <t>Bajzát Péter</t>
  </si>
  <si>
    <t>A Budapest Helyőrségbajnokság</t>
  </si>
  <si>
    <t>2015. évi szabadtéri kispályás labdarúgó bajnokságának</t>
  </si>
  <si>
    <t>versenykiírása</t>
  </si>
  <si>
    <t>1. A bajnokság rendezője:</t>
  </si>
  <si>
    <t>A Honvéd AURÓRA Sportegyesület, Labdarúgó Szakosztálya. Irodája: HM. II. objektum (Budapest, XIII. Lehel u. 33-35.) Címe: 1885 Budapest Pf.25.</t>
  </si>
  <si>
    <t>2. Szervező bizottság:</t>
  </si>
  <si>
    <t xml:space="preserve">A szervező bizottság az egyesület labdarúgó szakosztályának vezetősége. Végzi a labdarúgó bajnokság szervezését, rendezését, a játékvezető küldését és a bajnokság teljes lebonyolítást. Tagjai: </t>
  </si>
  <si>
    <t>3. A bajnokság célja:</t>
  </si>
  <si>
    <t>4. A bajnokság ideje:</t>
  </si>
  <si>
    <t>A bajnokságba benevezett csapatok egy osztályban indulnak.</t>
  </si>
  <si>
    <t>A szakosztály vezetősége fenntartja a jogot a fenti időpontok megváltoztatására.</t>
  </si>
  <si>
    <t>Minden héten 1 játéknapon, szerdán rendezzük a mérkőzéseket.</t>
  </si>
  <si>
    <t>A mérkőzéseket két pályán rendezzük, egyidejűleg.</t>
  </si>
  <si>
    <t xml:space="preserve">A mérkőzések kezdési időpontjai: </t>
  </si>
  <si>
    <t>1. mérkőzés - 19.00</t>
  </si>
  <si>
    <t>2. mérkőzés - 19.45</t>
  </si>
  <si>
    <t>3. mérkőzés - 20.30</t>
  </si>
  <si>
    <t>A bajnokságban mérkőzéshalasztásra a szakosztály vezetősségével, és az érintett csapatvezetővel közösen a mérkőzés kezdete előtt maximum 24 órával korábban van lehetőség, a szabad időpontok és pályák erejéig!</t>
  </si>
  <si>
    <t>5. Bajnokság helyszíne:</t>
  </si>
  <si>
    <t>6. Nevezési határidő és részvételi feltételek:</t>
  </si>
  <si>
    <t>A nevezési díjak fizethetőek átutalással is.</t>
  </si>
  <si>
    <t>Kedvezményezett: Honvéd Aurora SE</t>
  </si>
  <si>
    <t>Bankszámlaszám: 11713 0005 – 2002 1719 – 0000 0000 (OTP Bank Nyrt.)</t>
  </si>
  <si>
    <t>Amennyiben valamely csapat a nevezési díjat átutalással kívánja fizetni, akkor azt előzetesen jelezni kell a Honvéd Aurora SE irodájában, ahol az átutalás előtt kiállítják a számlát.</t>
  </si>
  <si>
    <t xml:space="preserve">A csapatok az első mérkőzésen kitöltött nevezési lappal jelenjenek meg és az első játéknap előtt 1 héttel elküldenek elektronikusan a szervező bizottság valamely tagjának (kivéve a játékvezetésért felelős szakosztályvezetői tag). A nevezési lap egy példányát az első mérkőzés előtt a szervező bizottság helyszínen tartózkodó tagja (pecséttel és) aláírásával hitelesít. A hitelesített nevezési lap egy példányát a csapatok, valamint minden benevezett játékos a személyi azonosság igazolására alkalmas közhiteles igazolványát köteles magánál hordani, és az ellenfél csapatvezetőjének kérésére bemutatni. </t>
  </si>
  <si>
    <t xml:space="preserve">A csapatvezetők jogosultak az ellenfél csapatában játszó személyekkel kapcsolatban meggyőződni arról, hogy az adott személy szerepel-e az adott csapat hitelesített nevezési lapján. Ezen jogosultsággal a csapatvezetők az adott mérkőzést megelőző és követő fél-fél óra közötti idősávban élhetnek. Amennyiben a csapatvezető az ellenfélnél olyan játékost észlel, aki nem szerepel az adott csapat hitelesített nevezési lapján, és erről a tényről a fent jelzett módon meggyőződött, jogosult óvást kezdeményezni a játékvezetőnél. A játékvezető köteles az óvást írásban dokumentálni, majd eljuttatni a szakosztály vezetőségének. A szakosztály vezetősége többségi szavazással dönt az óvásról és az esetleges szankciókról, melynek eredményéről értesítik az érintett csapatvezetőket. Amennyiben olyan játékos játszik egy adott mérkőzésen, aki nem szerepel a hitelesített nevezési lapon és óvás történik, melyet a szakosztály vezetősége jóváhagy, a pályán elért eredmény megsemmisítésre kerül, és a 3 pont, 3-0-ás gólkülönbséggel a vétlen csapat javára kerül jóváírásra. </t>
  </si>
  <si>
    <t>A nevezési lapon szereplő adatok közül a játékos neve és mezszáma felkerül a bajnokság honlapjára, melyet a csapatvezetők elfogadnak.</t>
  </si>
  <si>
    <t>7. A bajnoksággal kapcsolatos költségek és a játékosok nevezésének feltételei:</t>
  </si>
  <si>
    <t xml:space="preserve">A bajnokságban induló csapatokba minimum 8, maximum 15 játékost lehet nevezni. Minden csapat 145.000.- Ft nevezési díjat köteles fizetni. A nevezési díj magában foglalja: a bajnoksággal kapcsolatos összes költséget, és az esetlegesen megrendezésre kerülő kupa költségeit is. </t>
  </si>
  <si>
    <t>Horváth Ádám</t>
  </si>
  <si>
    <t>Elhalasztva október 14-re</t>
  </si>
  <si>
    <t>Ludovika nem tud kiállni</t>
  </si>
  <si>
    <t>BBK ismeretlen 20</t>
  </si>
  <si>
    <t>Carbonász ismeretlen 3-as</t>
  </si>
  <si>
    <t>Vakana ismeretlen 15</t>
  </si>
  <si>
    <t>BHD ismeretlen 33</t>
  </si>
  <si>
    <t>Bakafogó ismeretlen 16</t>
  </si>
  <si>
    <t>Vakana-K&amp;H 20:30 B-pálya Vakana nem tud kiállni, 3:0 K&amp;H javára</t>
  </si>
  <si>
    <t>Ismeretlen 7-es</t>
  </si>
  <si>
    <t>Carbonász ismeretlen 4-es</t>
  </si>
  <si>
    <t>Carbonász ismeretlen 7-es</t>
  </si>
  <si>
    <t>Bőrdíszműbe igazolt</t>
  </si>
  <si>
    <t>Németh Zsolt</t>
  </si>
  <si>
    <t>Elhalasztva, időpont később. Ludovika nem jelent meg.</t>
  </si>
  <si>
    <t>Ismeretlen 17-es</t>
  </si>
  <si>
    <t>Ismeretlen 5-ös</t>
  </si>
</sst>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164" formatCode="yyyy\ mm\ dd"/>
    <numFmt numFmtId="165" formatCode="0&quot;.&quot;"/>
    <numFmt numFmtId="166" formatCode="0.000"/>
    <numFmt numFmtId="167" formatCode="0&quot;. -&quot;"/>
    <numFmt numFmtId="168" formatCode="&quot;(&quot;0&quot;)&quot;"/>
    <numFmt numFmtId="169" formatCode="0.0000"/>
    <numFmt numFmtId="170" formatCode="m/dd"/>
    <numFmt numFmtId="171" formatCode="0&quot; &quot;"/>
    <numFmt numFmtId="172" formatCode="yyyy/\ mmmm\ d/\ \–\ dddd"/>
    <numFmt numFmtId="173" formatCode="mmm/\ d/\ \(ddd\)"/>
    <numFmt numFmtId="174" formatCode="m\/d"/>
    <numFmt numFmtId="175" formatCode="mmm/\ d"/>
    <numFmt numFmtId="176" formatCode="&quot; (&quot;0&quot;.)&quot;"/>
    <numFmt numFmtId="177" formatCode="yyyy/mm/dd;@"/>
    <numFmt numFmtId="178" formatCode="&quot; &quot;mm/dd"/>
  </numFmts>
  <fonts count="129" x14ac:knownFonts="1">
    <font>
      <sz val="10"/>
      <name val="Arial"/>
      <charset val="238"/>
    </font>
    <font>
      <sz val="10"/>
      <name val="Arial"/>
      <family val="2"/>
      <charset val="238"/>
    </font>
    <font>
      <u/>
      <sz val="11"/>
      <color indexed="12"/>
      <name val="Arial CE"/>
      <charset val="238"/>
    </font>
    <font>
      <sz val="8"/>
      <name val="Arial"/>
      <family val="2"/>
      <charset val="238"/>
    </font>
    <font>
      <sz val="10"/>
      <name val="Arial Unicode MS"/>
      <family val="2"/>
      <charset val="238"/>
    </font>
    <font>
      <sz val="9"/>
      <name val="Arial Unicode MS"/>
      <family val="2"/>
      <charset val="238"/>
    </font>
    <font>
      <b/>
      <sz val="9"/>
      <name val="Arial Unicode MS"/>
      <family val="2"/>
      <charset val="238"/>
    </font>
    <font>
      <b/>
      <i/>
      <sz val="8"/>
      <color indexed="9"/>
      <name val="Arial Unicode MS"/>
      <family val="2"/>
      <charset val="238"/>
    </font>
    <font>
      <b/>
      <sz val="8"/>
      <name val="Arial Unicode MS"/>
      <family val="2"/>
      <charset val="238"/>
    </font>
    <font>
      <sz val="8"/>
      <name val="Arial Unicode MS"/>
      <family val="2"/>
      <charset val="238"/>
    </font>
    <font>
      <sz val="7"/>
      <name val="Arial Unicode MS"/>
      <family val="2"/>
      <charset val="238"/>
    </font>
    <font>
      <b/>
      <sz val="12"/>
      <name val="Arial Unicode MS"/>
      <family val="2"/>
      <charset val="238"/>
    </font>
    <font>
      <b/>
      <sz val="7"/>
      <color indexed="9"/>
      <name val="Arial Unicode MS"/>
      <family val="2"/>
      <charset val="238"/>
    </font>
    <font>
      <b/>
      <sz val="7"/>
      <color indexed="13"/>
      <name val="Arial Unicode MS"/>
      <family val="2"/>
      <charset val="238"/>
    </font>
    <font>
      <b/>
      <sz val="8"/>
      <color indexed="9"/>
      <name val="Arial Unicode MS"/>
      <family val="2"/>
      <charset val="238"/>
    </font>
    <font>
      <b/>
      <sz val="7"/>
      <name val="Arial Unicode MS"/>
      <family val="2"/>
      <charset val="238"/>
    </font>
    <font>
      <b/>
      <sz val="9"/>
      <color indexed="63"/>
      <name val="Arial Unicode MS"/>
      <family val="2"/>
      <charset val="238"/>
    </font>
    <font>
      <sz val="9"/>
      <color indexed="63"/>
      <name val="Arial Unicode MS"/>
      <family val="2"/>
      <charset val="238"/>
    </font>
    <font>
      <b/>
      <sz val="10"/>
      <color indexed="9"/>
      <name val="Arial Unicode MS"/>
      <family val="2"/>
      <charset val="238"/>
    </font>
    <font>
      <b/>
      <sz val="9"/>
      <color indexed="9"/>
      <name val="Arial Unicode MS"/>
      <family val="2"/>
      <charset val="238"/>
    </font>
    <font>
      <sz val="6"/>
      <name val="Arial Unicode MS"/>
      <family val="2"/>
      <charset val="238"/>
    </font>
    <font>
      <b/>
      <sz val="10"/>
      <name val="Arial Unicode MS"/>
      <family val="2"/>
      <charset val="238"/>
    </font>
    <font>
      <sz val="9"/>
      <color indexed="47"/>
      <name val="Arial Unicode MS"/>
      <family val="2"/>
      <charset val="238"/>
    </font>
    <font>
      <b/>
      <u/>
      <sz val="9"/>
      <name val="Arial Unicode MS"/>
      <family val="2"/>
      <charset val="238"/>
    </font>
    <font>
      <b/>
      <sz val="9"/>
      <color indexed="47"/>
      <name val="Arial Unicode MS"/>
      <family val="2"/>
      <charset val="238"/>
    </font>
    <font>
      <b/>
      <u/>
      <sz val="8"/>
      <name val="Arial Unicode MS"/>
      <family val="2"/>
      <charset val="238"/>
    </font>
    <font>
      <b/>
      <i/>
      <sz val="7"/>
      <color indexed="63"/>
      <name val="Arial Unicode MS"/>
      <family val="2"/>
      <charset val="238"/>
    </font>
    <font>
      <b/>
      <sz val="6"/>
      <color indexed="9"/>
      <name val="Arial Unicode MS"/>
      <family val="2"/>
      <charset val="238"/>
    </font>
    <font>
      <sz val="7.5"/>
      <name val="Arial Unicode MS"/>
      <family val="2"/>
      <charset val="238"/>
    </font>
    <font>
      <sz val="7"/>
      <color indexed="23"/>
      <name val="Arial Unicode MS"/>
      <family val="2"/>
      <charset val="238"/>
    </font>
    <font>
      <b/>
      <sz val="6"/>
      <name val="Arial Unicode MS"/>
      <family val="2"/>
      <charset val="238"/>
    </font>
    <font>
      <b/>
      <sz val="6"/>
      <color indexed="47"/>
      <name val="Arial Unicode MS"/>
      <family val="2"/>
      <charset val="238"/>
    </font>
    <font>
      <sz val="10"/>
      <name val="Calibri"/>
      <family val="2"/>
      <charset val="238"/>
    </font>
    <font>
      <sz val="9"/>
      <name val="Calibri"/>
      <family val="2"/>
      <charset val="238"/>
    </font>
    <font>
      <b/>
      <sz val="9"/>
      <name val="Calibri"/>
      <family val="2"/>
      <charset val="238"/>
    </font>
    <font>
      <b/>
      <sz val="7"/>
      <color indexed="9"/>
      <name val="Calibri"/>
      <family val="2"/>
      <charset val="238"/>
    </font>
    <font>
      <b/>
      <i/>
      <sz val="8"/>
      <color indexed="9"/>
      <name val="Calibri"/>
      <family val="2"/>
      <charset val="238"/>
    </font>
    <font>
      <sz val="8"/>
      <name val="Calibri"/>
      <family val="2"/>
      <charset val="238"/>
    </font>
    <font>
      <sz val="8"/>
      <color indexed="9"/>
      <name val="Calibri"/>
      <family val="2"/>
      <charset val="238"/>
    </font>
    <font>
      <b/>
      <sz val="8"/>
      <color indexed="63"/>
      <name val="Calibri"/>
      <family val="2"/>
      <charset val="238"/>
    </font>
    <font>
      <b/>
      <sz val="9"/>
      <color indexed="63"/>
      <name val="Calibri"/>
      <family val="2"/>
      <charset val="238"/>
    </font>
    <font>
      <sz val="7"/>
      <color indexed="63"/>
      <name val="Calibri"/>
      <family val="2"/>
      <charset val="238"/>
    </font>
    <font>
      <b/>
      <sz val="8"/>
      <color indexed="9"/>
      <name val="Calibri"/>
      <family val="2"/>
      <charset val="238"/>
    </font>
    <font>
      <b/>
      <sz val="8"/>
      <name val="Calibri"/>
      <family val="2"/>
      <charset val="238"/>
    </font>
    <font>
      <sz val="7.5"/>
      <name val="Calibri"/>
      <family val="2"/>
      <charset val="238"/>
    </font>
    <font>
      <sz val="7"/>
      <color indexed="23"/>
      <name val="Calibri"/>
      <family val="2"/>
      <charset val="238"/>
    </font>
    <font>
      <i/>
      <sz val="4"/>
      <name val="Calibri"/>
      <family val="2"/>
      <charset val="238"/>
    </font>
    <font>
      <b/>
      <sz val="10"/>
      <color indexed="9"/>
      <name val="Calibri"/>
      <family val="2"/>
      <charset val="238"/>
    </font>
    <font>
      <b/>
      <sz val="7"/>
      <name val="Calibri"/>
      <family val="2"/>
      <charset val="238"/>
    </font>
    <font>
      <b/>
      <sz val="12"/>
      <name val="Calibri"/>
      <family val="2"/>
      <charset val="238"/>
    </font>
    <font>
      <sz val="12"/>
      <color indexed="9"/>
      <name val="Calibri"/>
      <family val="2"/>
      <charset val="238"/>
    </font>
    <font>
      <i/>
      <sz val="8"/>
      <color indexed="9"/>
      <name val="Calibri"/>
      <family val="2"/>
      <charset val="238"/>
    </font>
    <font>
      <b/>
      <sz val="6"/>
      <color indexed="9"/>
      <name val="Calibri"/>
      <family val="2"/>
      <charset val="238"/>
    </font>
    <font>
      <b/>
      <sz val="9"/>
      <color indexed="9"/>
      <name val="Calibri"/>
      <family val="2"/>
      <charset val="238"/>
    </font>
    <font>
      <b/>
      <sz val="9"/>
      <color indexed="14"/>
      <name val="Calibri"/>
      <family val="2"/>
      <charset val="238"/>
    </font>
    <font>
      <sz val="9"/>
      <color indexed="9"/>
      <name val="Calibri"/>
      <family val="2"/>
      <charset val="238"/>
    </font>
    <font>
      <sz val="11"/>
      <name val="Calibri"/>
      <family val="2"/>
      <charset val="238"/>
    </font>
    <font>
      <sz val="8"/>
      <color indexed="23"/>
      <name val="Calibri"/>
      <family val="2"/>
      <charset val="238"/>
    </font>
    <font>
      <b/>
      <sz val="11"/>
      <color indexed="63"/>
      <name val="Calibri"/>
      <family val="2"/>
      <charset val="238"/>
    </font>
    <font>
      <sz val="9"/>
      <color indexed="63"/>
      <name val="Calibri"/>
      <family val="2"/>
      <charset val="238"/>
    </font>
    <font>
      <sz val="11"/>
      <color indexed="55"/>
      <name val="Calibri"/>
      <family val="2"/>
      <charset val="238"/>
    </font>
    <font>
      <sz val="9"/>
      <color indexed="55"/>
      <name val="Calibri"/>
      <family val="2"/>
      <charset val="238"/>
    </font>
    <font>
      <sz val="7"/>
      <name val="Calibri"/>
      <family val="2"/>
      <charset val="238"/>
    </font>
    <font>
      <b/>
      <sz val="12"/>
      <color indexed="9"/>
      <name val="Calibri"/>
      <family val="2"/>
      <charset val="238"/>
    </font>
    <font>
      <sz val="12"/>
      <name val="Calibri"/>
      <family val="2"/>
      <charset val="238"/>
    </font>
    <font>
      <b/>
      <sz val="7"/>
      <color indexed="13"/>
      <name val="Calibri"/>
      <family val="2"/>
      <charset val="238"/>
    </font>
    <font>
      <sz val="7"/>
      <color indexed="9"/>
      <name val="Calibri"/>
      <family val="2"/>
      <charset val="238"/>
    </font>
    <font>
      <sz val="6"/>
      <color indexed="9"/>
      <name val="Calibri"/>
      <family val="2"/>
      <charset val="238"/>
    </font>
    <font>
      <b/>
      <sz val="7"/>
      <color indexed="63"/>
      <name val="Calibri"/>
      <family val="2"/>
      <charset val="238"/>
    </font>
    <font>
      <b/>
      <sz val="11"/>
      <name val="Calibri"/>
      <family val="2"/>
      <charset val="238"/>
    </font>
    <font>
      <sz val="11"/>
      <color indexed="63"/>
      <name val="Calibri"/>
      <family val="2"/>
      <charset val="238"/>
    </font>
    <font>
      <b/>
      <sz val="9"/>
      <color indexed="13"/>
      <name val="Calibri"/>
      <family val="2"/>
      <charset val="238"/>
    </font>
    <font>
      <sz val="8"/>
      <color indexed="13"/>
      <name val="Calibri"/>
      <family val="2"/>
      <charset val="238"/>
    </font>
    <font>
      <sz val="8"/>
      <color indexed="47"/>
      <name val="Calibri"/>
      <family val="2"/>
      <charset val="238"/>
    </font>
    <font>
      <b/>
      <sz val="7"/>
      <color indexed="14"/>
      <name val="Calibri"/>
      <family val="2"/>
      <charset val="238"/>
    </font>
    <font>
      <sz val="7"/>
      <color indexed="12"/>
      <name val="Calibri"/>
      <family val="2"/>
      <charset val="238"/>
    </font>
    <font>
      <b/>
      <sz val="10"/>
      <name val="Calibri"/>
      <family val="2"/>
      <charset val="238"/>
    </font>
    <font>
      <b/>
      <u/>
      <sz val="8"/>
      <name val="Calibri"/>
      <family val="2"/>
      <charset val="238"/>
    </font>
    <font>
      <b/>
      <sz val="7"/>
      <color indexed="55"/>
      <name val="Calibri"/>
      <family val="2"/>
      <charset val="238"/>
    </font>
    <font>
      <sz val="10"/>
      <color indexed="55"/>
      <name val="Calibri"/>
      <family val="2"/>
      <charset val="238"/>
    </font>
    <font>
      <b/>
      <sz val="7.5"/>
      <color indexed="9"/>
      <name val="Calibri"/>
      <family val="2"/>
      <charset val="238"/>
    </font>
    <font>
      <b/>
      <sz val="8"/>
      <color indexed="14"/>
      <name val="Calibri"/>
      <family val="2"/>
      <charset val="238"/>
    </font>
    <font>
      <b/>
      <sz val="8"/>
      <color indexed="55"/>
      <name val="Calibri"/>
      <family val="2"/>
      <charset val="238"/>
    </font>
    <font>
      <b/>
      <u/>
      <sz val="11"/>
      <name val="Calibri"/>
      <family val="2"/>
      <charset val="238"/>
    </font>
    <font>
      <b/>
      <sz val="18"/>
      <name val="Calibri"/>
      <family val="2"/>
      <charset val="238"/>
    </font>
    <font>
      <u/>
      <sz val="14"/>
      <name val="Calibri"/>
      <family val="2"/>
      <charset val="238"/>
    </font>
    <font>
      <sz val="11"/>
      <color indexed="8"/>
      <name val="Calibri"/>
      <family val="2"/>
      <charset val="238"/>
    </font>
    <font>
      <sz val="11"/>
      <color indexed="9"/>
      <name val="Calibri"/>
      <family val="2"/>
      <charset val="238"/>
    </font>
    <font>
      <sz val="11"/>
      <color indexed="18"/>
      <name val="Calibri"/>
      <family val="2"/>
      <charset val="238"/>
    </font>
    <font>
      <b/>
      <sz val="18"/>
      <color indexed="18"/>
      <name val="Cambria"/>
      <family val="2"/>
      <charset val="238"/>
    </font>
    <font>
      <b/>
      <sz val="15"/>
      <color indexed="18"/>
      <name val="Calibri"/>
      <family val="2"/>
      <charset val="238"/>
    </font>
    <font>
      <b/>
      <sz val="13"/>
      <color indexed="18"/>
      <name val="Calibri"/>
      <family val="2"/>
      <charset val="238"/>
    </font>
    <font>
      <b/>
      <sz val="11"/>
      <color indexed="18"/>
      <name val="Calibri"/>
      <family val="2"/>
      <charset val="238"/>
    </font>
    <font>
      <b/>
      <sz val="11"/>
      <color indexed="9"/>
      <name val="Calibri"/>
      <family val="2"/>
      <charset val="238"/>
    </font>
    <font>
      <sz val="11"/>
      <color indexed="10"/>
      <name val="Calibri"/>
      <family val="2"/>
      <charset val="238"/>
    </font>
    <font>
      <sz val="11"/>
      <color indexed="52"/>
      <name val="Calibri"/>
      <family val="2"/>
      <charset val="238"/>
    </font>
    <font>
      <sz val="11"/>
      <color indexed="21"/>
      <name val="Calibri"/>
      <family val="2"/>
      <charset val="238"/>
    </font>
    <font>
      <i/>
      <sz val="11"/>
      <color indexed="12"/>
      <name val="Calibri"/>
      <family val="2"/>
      <charset val="238"/>
    </font>
    <font>
      <b/>
      <sz val="11"/>
      <color indexed="8"/>
      <name val="Calibri"/>
      <family val="2"/>
      <charset val="238"/>
    </font>
    <font>
      <sz val="11"/>
      <color indexed="36"/>
      <name val="Calibri"/>
      <family val="2"/>
      <charset val="238"/>
    </font>
    <font>
      <sz val="11"/>
      <color indexed="60"/>
      <name val="Calibri"/>
      <family val="2"/>
      <charset val="238"/>
    </font>
    <font>
      <b/>
      <sz val="11"/>
      <color indexed="52"/>
      <name val="Calibri"/>
      <family val="2"/>
      <charset val="238"/>
    </font>
    <font>
      <sz val="10"/>
      <color indexed="9"/>
      <name val="Calibri"/>
      <family val="2"/>
      <charset val="238"/>
    </font>
    <font>
      <sz val="8"/>
      <color indexed="14"/>
      <name val="Calibri"/>
      <family val="2"/>
      <charset val="238"/>
    </font>
    <font>
      <sz val="10"/>
      <color indexed="14"/>
      <name val="Calibri"/>
      <family val="2"/>
      <charset val="238"/>
    </font>
    <font>
      <b/>
      <sz val="6"/>
      <color indexed="14"/>
      <name val="Calibri"/>
      <family val="2"/>
      <charset val="238"/>
    </font>
    <font>
      <sz val="7"/>
      <color indexed="14"/>
      <name val="Calibri"/>
      <family val="2"/>
      <charset val="238"/>
    </font>
    <font>
      <sz val="4"/>
      <name val="Calibri"/>
      <family val="2"/>
      <charset val="238"/>
    </font>
    <font>
      <sz val="6"/>
      <name val="Calibri"/>
      <family val="2"/>
      <charset val="238"/>
    </font>
    <font>
      <b/>
      <sz val="6"/>
      <color indexed="63"/>
      <name val="Calibri"/>
      <family val="2"/>
      <charset val="238"/>
    </font>
    <font>
      <b/>
      <sz val="7"/>
      <color indexed="47"/>
      <name val="Calibri"/>
      <family val="2"/>
      <charset val="238"/>
    </font>
    <font>
      <sz val="10"/>
      <color indexed="63"/>
      <name val="Calibri"/>
      <family val="2"/>
      <charset val="238"/>
    </font>
    <font>
      <sz val="10"/>
      <name val="Arial"/>
      <family val="2"/>
      <charset val="238"/>
    </font>
    <font>
      <sz val="8"/>
      <color indexed="16"/>
      <name val="Calibri"/>
      <family val="2"/>
      <charset val="238"/>
    </font>
    <font>
      <sz val="3"/>
      <name val="Calibri"/>
      <family val="2"/>
      <charset val="238"/>
    </font>
    <font>
      <b/>
      <sz val="8"/>
      <color indexed="47"/>
      <name val="Calibri"/>
      <family val="2"/>
      <charset val="238"/>
    </font>
    <font>
      <sz val="9"/>
      <color indexed="47"/>
      <name val="Calibri"/>
      <family val="2"/>
      <charset val="238"/>
    </font>
    <font>
      <b/>
      <sz val="10"/>
      <color indexed="14"/>
      <name val="Calibri"/>
      <family val="2"/>
      <charset val="238"/>
    </font>
    <font>
      <sz val="10"/>
      <color indexed="9"/>
      <name val="Arial"/>
      <family val="2"/>
      <charset val="238"/>
    </font>
    <font>
      <sz val="6"/>
      <color indexed="9"/>
      <name val="Arial"/>
      <family val="2"/>
      <charset val="238"/>
    </font>
    <font>
      <b/>
      <i/>
      <sz val="9"/>
      <color indexed="47"/>
      <name val="Calibri"/>
      <family val="2"/>
      <charset val="238"/>
    </font>
    <font>
      <b/>
      <sz val="9"/>
      <color indexed="47"/>
      <name val="Calibri"/>
      <family val="2"/>
      <charset val="238"/>
    </font>
    <font>
      <b/>
      <u/>
      <sz val="9"/>
      <color indexed="47"/>
      <name val="Calibri"/>
      <family val="2"/>
      <charset val="238"/>
    </font>
    <font>
      <b/>
      <sz val="22"/>
      <name val="Calibri"/>
      <family val="2"/>
      <charset val="238"/>
    </font>
    <font>
      <u/>
      <sz val="9"/>
      <color indexed="47"/>
      <name val="Calibri"/>
      <family val="2"/>
      <charset val="238"/>
    </font>
    <font>
      <b/>
      <i/>
      <u/>
      <sz val="9"/>
      <color indexed="47"/>
      <name val="Calibri"/>
      <family val="2"/>
      <charset val="238"/>
    </font>
    <font>
      <b/>
      <sz val="12"/>
      <color indexed="47"/>
      <name val="Calibri"/>
      <family val="2"/>
      <charset val="238"/>
    </font>
    <font>
      <b/>
      <u/>
      <sz val="9"/>
      <name val="Calibri"/>
      <family val="2"/>
      <charset val="238"/>
    </font>
    <font>
      <b/>
      <sz val="9"/>
      <color indexed="51"/>
      <name val="Calibri"/>
      <family val="2"/>
      <charset val="238"/>
    </font>
  </fonts>
  <fills count="37">
    <fill>
      <patternFill patternType="none"/>
    </fill>
    <fill>
      <patternFill patternType="gray125"/>
    </fill>
    <fill>
      <patternFill patternType="solid">
        <fgColor indexed="45"/>
      </patternFill>
    </fill>
    <fill>
      <patternFill patternType="solid">
        <fgColor indexed="61"/>
      </patternFill>
    </fill>
    <fill>
      <patternFill patternType="solid">
        <fgColor indexed="27"/>
      </patternFill>
    </fill>
    <fill>
      <patternFill patternType="solid">
        <fgColor indexed="26"/>
      </patternFill>
    </fill>
    <fill>
      <patternFill patternType="solid">
        <fgColor indexed="22"/>
      </patternFill>
    </fill>
    <fill>
      <patternFill patternType="solid">
        <fgColor indexed="14"/>
      </patternFill>
    </fill>
    <fill>
      <patternFill patternType="solid">
        <fgColor indexed="41"/>
      </patternFill>
    </fill>
    <fill>
      <patternFill patternType="solid">
        <fgColor indexed="43"/>
      </patternFill>
    </fill>
    <fill>
      <patternFill patternType="solid">
        <fgColor indexed="55"/>
      </patternFill>
    </fill>
    <fill>
      <patternFill patternType="solid">
        <fgColor indexed="48"/>
      </patternFill>
    </fill>
    <fill>
      <patternFill patternType="solid">
        <fgColor indexed="20"/>
      </patternFill>
    </fill>
    <fill>
      <patternFill patternType="solid">
        <fgColor indexed="17"/>
      </patternFill>
    </fill>
    <fill>
      <patternFill patternType="solid">
        <fgColor indexed="12"/>
      </patternFill>
    </fill>
    <fill>
      <patternFill patternType="solid">
        <fgColor indexed="11"/>
      </patternFill>
    </fill>
    <fill>
      <patternFill patternType="solid">
        <fgColor indexed="33"/>
      </patternFill>
    </fill>
    <fill>
      <patternFill patternType="solid">
        <fgColor indexed="63"/>
        <bgColor indexed="64"/>
      </patternFill>
    </fill>
    <fill>
      <patternFill patternType="solid">
        <fgColor indexed="13"/>
        <bgColor indexed="64"/>
      </patternFill>
    </fill>
    <fill>
      <patternFill patternType="solid">
        <fgColor indexed="15"/>
        <bgColor indexed="64"/>
      </patternFill>
    </fill>
    <fill>
      <patternFill patternType="solid">
        <fgColor indexed="55"/>
        <bgColor indexed="64"/>
      </patternFill>
    </fill>
    <fill>
      <patternFill patternType="solid">
        <fgColor indexed="46"/>
        <bgColor indexed="64"/>
      </patternFill>
    </fill>
    <fill>
      <patternFill patternType="solid">
        <fgColor indexed="8"/>
        <bgColor indexed="64"/>
      </patternFill>
    </fill>
    <fill>
      <patternFill patternType="solid">
        <fgColor indexed="14"/>
        <bgColor indexed="64"/>
      </patternFill>
    </fill>
    <fill>
      <patternFill patternType="solid">
        <fgColor indexed="45"/>
        <bgColor indexed="64"/>
      </patternFill>
    </fill>
    <fill>
      <patternFill patternType="solid">
        <fgColor indexed="50"/>
        <bgColor indexed="64"/>
      </patternFill>
    </fill>
    <fill>
      <patternFill patternType="solid">
        <fgColor indexed="57"/>
        <bgColor indexed="64"/>
      </patternFill>
    </fill>
    <fill>
      <patternFill patternType="solid">
        <fgColor indexed="10"/>
        <bgColor indexed="64"/>
      </patternFill>
    </fill>
    <fill>
      <patternFill patternType="solid">
        <fgColor indexed="47"/>
        <bgColor indexed="64"/>
      </patternFill>
    </fill>
    <fill>
      <patternFill patternType="solid">
        <fgColor indexed="48"/>
        <bgColor indexed="64"/>
      </patternFill>
    </fill>
    <fill>
      <patternFill patternType="solid">
        <fgColor indexed="9"/>
        <bgColor indexed="64"/>
      </patternFill>
    </fill>
    <fill>
      <patternFill patternType="solid">
        <fgColor indexed="52"/>
        <bgColor indexed="64"/>
      </patternFill>
    </fill>
    <fill>
      <patternFill patternType="solid">
        <fgColor indexed="43"/>
        <bgColor indexed="64"/>
      </patternFill>
    </fill>
    <fill>
      <patternFill patternType="solid">
        <fgColor indexed="11"/>
        <bgColor indexed="64"/>
      </patternFill>
    </fill>
    <fill>
      <patternFill patternType="solid">
        <fgColor indexed="22"/>
        <bgColor indexed="64"/>
      </patternFill>
    </fill>
    <fill>
      <patternFill patternType="solid">
        <fgColor indexed="44"/>
        <bgColor indexed="64"/>
      </patternFill>
    </fill>
    <fill>
      <patternFill patternType="solid">
        <fgColor indexed="41"/>
        <bgColor indexed="64"/>
      </patternFill>
    </fill>
  </fills>
  <borders count="78">
    <border>
      <left/>
      <right/>
      <top/>
      <bottom/>
      <diagonal/>
    </border>
    <border>
      <left style="thin">
        <color indexed="12"/>
      </left>
      <right style="thin">
        <color indexed="12"/>
      </right>
      <top style="thin">
        <color indexed="12"/>
      </top>
      <bottom style="thin">
        <color indexed="12"/>
      </bottom>
      <diagonal/>
    </border>
    <border>
      <left/>
      <right/>
      <top/>
      <bottom style="thick">
        <color indexed="41"/>
      </bottom>
      <diagonal/>
    </border>
    <border>
      <left/>
      <right/>
      <top/>
      <bottom style="medium">
        <color indexed="41"/>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1"/>
      </top>
      <bottom style="double">
        <color indexed="4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style="thin">
        <color indexed="22"/>
      </left>
      <right/>
      <top/>
      <bottom/>
      <diagonal/>
    </border>
    <border>
      <left/>
      <right/>
      <top/>
      <bottom style="thin">
        <color indexed="22"/>
      </bottom>
      <diagonal/>
    </border>
    <border>
      <left/>
      <right/>
      <top style="thin">
        <color indexed="22"/>
      </top>
      <bottom style="thin">
        <color indexed="22"/>
      </bottom>
      <diagonal/>
    </border>
    <border>
      <left/>
      <right/>
      <top style="thin">
        <color indexed="22"/>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tted">
        <color indexed="55"/>
      </top>
      <bottom style="dotted">
        <color indexed="55"/>
      </bottom>
      <diagonal/>
    </border>
    <border>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22"/>
      </bottom>
      <diagonal/>
    </border>
    <border>
      <left/>
      <right/>
      <top style="thin">
        <color indexed="22"/>
      </top>
      <bottom style="thin">
        <color indexed="64"/>
      </bottom>
      <diagonal/>
    </border>
    <border>
      <left/>
      <right/>
      <top style="medium">
        <color indexed="45"/>
      </top>
      <bottom/>
      <diagonal/>
    </border>
    <border>
      <left style="thin">
        <color indexed="22"/>
      </left>
      <right style="thin">
        <color indexed="22"/>
      </right>
      <top/>
      <bottom/>
      <diagonal/>
    </border>
    <border>
      <left/>
      <right/>
      <top style="thin">
        <color indexed="55"/>
      </top>
      <bottom style="thin">
        <color indexed="22"/>
      </bottom>
      <diagonal/>
    </border>
    <border>
      <left/>
      <right/>
      <top/>
      <bottom style="thin">
        <color indexed="63"/>
      </bottom>
      <diagonal/>
    </border>
    <border>
      <left style="thin">
        <color indexed="9"/>
      </left>
      <right style="thin">
        <color indexed="9"/>
      </right>
      <top style="thin">
        <color indexed="9"/>
      </top>
      <bottom style="thin">
        <color indexed="9"/>
      </bottom>
      <diagonal/>
    </border>
    <border>
      <left style="thin">
        <color indexed="64"/>
      </left>
      <right style="thin">
        <color indexed="22"/>
      </right>
      <top style="thin">
        <color indexed="64"/>
      </top>
      <bottom style="thin">
        <color indexed="64"/>
      </bottom>
      <diagonal/>
    </border>
    <border>
      <left style="thin">
        <color indexed="22"/>
      </left>
      <right style="thin">
        <color indexed="22"/>
      </right>
      <top style="thin">
        <color indexed="64"/>
      </top>
      <bottom style="thin">
        <color indexed="64"/>
      </bottom>
      <diagonal/>
    </border>
    <border>
      <left style="thin">
        <color indexed="22"/>
      </left>
      <right style="thin">
        <color indexed="64"/>
      </right>
      <top style="thin">
        <color indexed="64"/>
      </top>
      <bottom style="thin">
        <color indexed="64"/>
      </bottom>
      <diagonal/>
    </border>
    <border>
      <left style="thin">
        <color indexed="63"/>
      </left>
      <right style="thin">
        <color indexed="63"/>
      </right>
      <top style="thin">
        <color indexed="63"/>
      </top>
      <bottom/>
      <diagonal/>
    </border>
    <border>
      <left style="thin">
        <color indexed="63"/>
      </left>
      <right style="thin">
        <color indexed="22"/>
      </right>
      <top style="thin">
        <color indexed="63"/>
      </top>
      <bottom style="thin">
        <color indexed="22"/>
      </bottom>
      <diagonal/>
    </border>
    <border>
      <left style="thin">
        <color indexed="22"/>
      </left>
      <right style="thin">
        <color indexed="22"/>
      </right>
      <top style="thin">
        <color indexed="63"/>
      </top>
      <bottom style="thin">
        <color indexed="22"/>
      </bottom>
      <diagonal/>
    </border>
    <border>
      <left style="thin">
        <color indexed="22"/>
      </left>
      <right/>
      <top style="thin">
        <color indexed="63"/>
      </top>
      <bottom style="thin">
        <color indexed="22"/>
      </bottom>
      <diagonal/>
    </border>
    <border>
      <left style="thin">
        <color indexed="64"/>
      </left>
      <right style="thin">
        <color indexed="64"/>
      </right>
      <top style="thin">
        <color indexed="64"/>
      </top>
      <bottom style="thin">
        <color indexed="22"/>
      </bottom>
      <diagonal/>
    </border>
    <border>
      <left/>
      <right style="thin">
        <color indexed="9"/>
      </right>
      <top style="thin">
        <color indexed="9"/>
      </top>
      <bottom style="thin">
        <color indexed="9"/>
      </bottom>
      <diagonal/>
    </border>
    <border>
      <left style="thin">
        <color indexed="63"/>
      </left>
      <right style="thin">
        <color indexed="63"/>
      </right>
      <top style="thin">
        <color indexed="22"/>
      </top>
      <bottom style="thin">
        <color indexed="22"/>
      </bottom>
      <diagonal/>
    </border>
    <border>
      <left style="thin">
        <color indexed="63"/>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style="thin">
        <color indexed="64"/>
      </left>
      <right style="thin">
        <color indexed="64"/>
      </right>
      <top style="thin">
        <color indexed="22"/>
      </top>
      <bottom style="thin">
        <color indexed="22"/>
      </bottom>
      <diagonal/>
    </border>
    <border>
      <left style="thin">
        <color indexed="63"/>
      </left>
      <right style="thin">
        <color indexed="63"/>
      </right>
      <top/>
      <bottom style="thin">
        <color indexed="63"/>
      </bottom>
      <diagonal/>
    </border>
    <border>
      <left style="thin">
        <color indexed="63"/>
      </left>
      <right style="thin">
        <color indexed="22"/>
      </right>
      <top style="thin">
        <color indexed="22"/>
      </top>
      <bottom style="thin">
        <color indexed="63"/>
      </bottom>
      <diagonal/>
    </border>
    <border>
      <left style="thin">
        <color indexed="22"/>
      </left>
      <right style="thin">
        <color indexed="22"/>
      </right>
      <top style="thin">
        <color indexed="22"/>
      </top>
      <bottom style="thin">
        <color indexed="63"/>
      </bottom>
      <diagonal/>
    </border>
    <border>
      <left style="thin">
        <color indexed="22"/>
      </left>
      <right/>
      <top style="thin">
        <color indexed="22"/>
      </top>
      <bottom style="thin">
        <color indexed="63"/>
      </bottom>
      <diagonal/>
    </border>
    <border>
      <left style="thin">
        <color indexed="64"/>
      </left>
      <right style="thin">
        <color indexed="64"/>
      </right>
      <top style="thin">
        <color indexed="22"/>
      </top>
      <bottom style="thin">
        <color indexed="64"/>
      </bottom>
      <diagonal/>
    </border>
    <border>
      <left style="medium">
        <color indexed="9"/>
      </left>
      <right style="medium">
        <color indexed="9"/>
      </right>
      <top style="thick">
        <color indexed="9"/>
      </top>
      <bottom style="medium">
        <color indexed="45"/>
      </bottom>
      <diagonal/>
    </border>
    <border>
      <left/>
      <right style="thin">
        <color indexed="22"/>
      </right>
      <top style="thin">
        <color indexed="63"/>
      </top>
      <bottom style="thin">
        <color indexed="22"/>
      </bottom>
      <diagonal/>
    </border>
    <border>
      <left/>
      <right style="thin">
        <color indexed="22"/>
      </right>
      <top style="thin">
        <color indexed="22"/>
      </top>
      <bottom style="thin">
        <color indexed="22"/>
      </bottom>
      <diagonal/>
    </border>
    <border>
      <left/>
      <right style="thin">
        <color indexed="22"/>
      </right>
      <top style="thin">
        <color indexed="22"/>
      </top>
      <bottom style="thin">
        <color indexed="63"/>
      </bottom>
      <diagonal/>
    </border>
    <border>
      <left style="thin">
        <color indexed="63"/>
      </left>
      <right/>
      <top style="thin">
        <color indexed="63"/>
      </top>
      <bottom/>
      <diagonal/>
    </border>
    <border>
      <left style="thin">
        <color indexed="22"/>
      </left>
      <right style="thin">
        <color indexed="63"/>
      </right>
      <top style="thin">
        <color indexed="63"/>
      </top>
      <bottom style="thin">
        <color indexed="22"/>
      </bottom>
      <diagonal/>
    </border>
    <border>
      <left style="thin">
        <color indexed="22"/>
      </left>
      <right style="thin">
        <color indexed="63"/>
      </right>
      <top style="thin">
        <color indexed="22"/>
      </top>
      <bottom style="thin">
        <color indexed="22"/>
      </bottom>
      <diagonal/>
    </border>
    <border>
      <left style="thin">
        <color indexed="63"/>
      </left>
      <right/>
      <top style="thin">
        <color indexed="22"/>
      </top>
      <bottom style="thin">
        <color indexed="22"/>
      </bottom>
      <diagonal/>
    </border>
    <border>
      <left style="thin">
        <color indexed="63"/>
      </left>
      <right/>
      <top/>
      <bottom style="thin">
        <color indexed="63"/>
      </bottom>
      <diagonal/>
    </border>
    <border>
      <left style="thin">
        <color indexed="22"/>
      </left>
      <right style="thin">
        <color indexed="63"/>
      </right>
      <top style="thin">
        <color indexed="22"/>
      </top>
      <bottom style="thin">
        <color indexed="64"/>
      </bottom>
      <diagonal/>
    </border>
    <border>
      <left style="thin">
        <color indexed="64"/>
      </left>
      <right style="thin">
        <color indexed="22"/>
      </right>
      <top style="thin">
        <color indexed="64"/>
      </top>
      <bottom style="thin">
        <color indexed="22"/>
      </bottom>
      <diagonal/>
    </border>
    <border>
      <left style="thin">
        <color indexed="22"/>
      </left>
      <right style="thin">
        <color indexed="22"/>
      </right>
      <top style="thin">
        <color indexed="64"/>
      </top>
      <bottom style="thin">
        <color indexed="22"/>
      </bottom>
      <diagonal/>
    </border>
    <border>
      <left style="thin">
        <color indexed="22"/>
      </left>
      <right/>
      <top style="thin">
        <color indexed="64"/>
      </top>
      <bottom style="thin">
        <color indexed="22"/>
      </bottom>
      <diagonal/>
    </border>
    <border>
      <left style="thin">
        <color indexed="64"/>
      </left>
      <right style="thin">
        <color indexed="22"/>
      </right>
      <top style="thin">
        <color indexed="22"/>
      </top>
      <bottom style="thin">
        <color indexed="22"/>
      </bottom>
      <diagonal/>
    </border>
    <border>
      <left style="thin">
        <color indexed="64"/>
      </left>
      <right style="thin">
        <color indexed="22"/>
      </right>
      <top style="thin">
        <color indexed="22"/>
      </top>
      <bottom/>
      <diagonal/>
    </border>
    <border>
      <left style="thin">
        <color indexed="22"/>
      </left>
      <right style="thin">
        <color indexed="22"/>
      </right>
      <top style="thin">
        <color indexed="22"/>
      </top>
      <bottom/>
      <diagonal/>
    </border>
    <border>
      <left style="thin">
        <color indexed="22"/>
      </left>
      <right/>
      <top style="thin">
        <color indexed="22"/>
      </top>
      <bottom/>
      <diagonal/>
    </border>
    <border>
      <left style="thin">
        <color indexed="64"/>
      </left>
      <right style="thin">
        <color indexed="55"/>
      </right>
      <top style="dotted">
        <color indexed="55"/>
      </top>
      <bottom style="dotted">
        <color indexed="55"/>
      </bottom>
      <diagonal/>
    </border>
    <border>
      <left style="thin">
        <color indexed="55"/>
      </left>
      <right style="thin">
        <color indexed="55"/>
      </right>
      <top style="dotted">
        <color indexed="55"/>
      </top>
      <bottom style="dotted">
        <color indexed="55"/>
      </bottom>
      <diagonal/>
    </border>
    <border>
      <left style="thin">
        <color indexed="55"/>
      </left>
      <right/>
      <top style="dotted">
        <color indexed="55"/>
      </top>
      <bottom style="dotted">
        <color indexed="55"/>
      </bottom>
      <diagonal/>
    </border>
    <border>
      <left style="thin">
        <color indexed="64"/>
      </left>
      <right style="thin">
        <color indexed="55"/>
      </right>
      <top/>
      <bottom/>
      <diagonal/>
    </border>
    <border>
      <left style="thin">
        <color indexed="55"/>
      </left>
      <right style="thin">
        <color indexed="55"/>
      </right>
      <top/>
      <bottom/>
      <diagonal/>
    </border>
    <border>
      <left style="thin">
        <color indexed="55"/>
      </left>
      <right/>
      <top/>
      <bottom/>
      <diagonal/>
    </border>
  </borders>
  <cellStyleXfs count="43">
    <xf numFmtId="0" fontId="0" fillId="0" borderId="0"/>
    <xf numFmtId="0" fontId="86" fillId="2" borderId="0" applyNumberFormat="0" applyBorder="0" applyAlignment="0" applyProtection="0"/>
    <xf numFmtId="0" fontId="86" fillId="3" borderId="0" applyNumberFormat="0" applyBorder="0" applyAlignment="0" applyProtection="0"/>
    <xf numFmtId="0" fontId="86" fillId="3" borderId="0" applyNumberFormat="0" applyBorder="0" applyAlignment="0" applyProtection="0"/>
    <xf numFmtId="0" fontId="86" fillId="2" borderId="0" applyNumberFormat="0" applyBorder="0" applyAlignment="0" applyProtection="0"/>
    <xf numFmtId="0" fontId="86" fillId="4" borderId="0" applyNumberFormat="0" applyBorder="0" applyAlignment="0" applyProtection="0"/>
    <xf numFmtId="0" fontId="86" fillId="5" borderId="0" applyNumberFormat="0" applyBorder="0" applyAlignment="0" applyProtection="0"/>
    <xf numFmtId="0" fontId="86" fillId="6" borderId="0" applyNumberFormat="0" applyBorder="0" applyAlignment="0" applyProtection="0"/>
    <xf numFmtId="0" fontId="86" fillId="7" borderId="0" applyNumberFormat="0" applyBorder="0" applyAlignment="0" applyProtection="0"/>
    <xf numFmtId="0" fontId="86" fillId="3" borderId="0" applyNumberFormat="0" applyBorder="0" applyAlignment="0" applyProtection="0"/>
    <xf numFmtId="0" fontId="86" fillId="6" borderId="0" applyNumberFormat="0" applyBorder="0" applyAlignment="0" applyProtection="0"/>
    <xf numFmtId="0" fontId="86" fillId="8" borderId="0" applyNumberFormat="0" applyBorder="0" applyAlignment="0" applyProtection="0"/>
    <xf numFmtId="0" fontId="86" fillId="9" borderId="0" applyNumberFormat="0" applyBorder="0" applyAlignment="0" applyProtection="0"/>
    <xf numFmtId="0" fontId="87" fillId="8" borderId="0" applyNumberFormat="0" applyBorder="0" applyAlignment="0" applyProtection="0"/>
    <xf numFmtId="0" fontId="87" fillId="7" borderId="0" applyNumberFormat="0" applyBorder="0" applyAlignment="0" applyProtection="0"/>
    <xf numFmtId="0" fontId="87" fillId="3" borderId="0" applyNumberFormat="0" applyBorder="0" applyAlignment="0" applyProtection="0"/>
    <xf numFmtId="0" fontId="87" fillId="10" borderId="0" applyNumberFormat="0" applyBorder="0" applyAlignment="0" applyProtection="0"/>
    <xf numFmtId="0" fontId="87" fillId="8" borderId="0" applyNumberFormat="0" applyBorder="0" applyAlignment="0" applyProtection="0"/>
    <xf numFmtId="0" fontId="87" fillId="11" borderId="0" applyNumberFormat="0" applyBorder="0" applyAlignment="0" applyProtection="0"/>
    <xf numFmtId="0" fontId="88" fillId="9" borderId="1" applyNumberFormat="0" applyAlignment="0" applyProtection="0"/>
    <xf numFmtId="0" fontId="89" fillId="0" borderId="0" applyNumberFormat="0" applyFill="0" applyBorder="0" applyAlignment="0" applyProtection="0"/>
    <xf numFmtId="0" fontId="90" fillId="0" borderId="2" applyNumberFormat="0" applyFill="0" applyAlignment="0" applyProtection="0"/>
    <xf numFmtId="0" fontId="91" fillId="0" borderId="2" applyNumberFormat="0" applyFill="0" applyAlignment="0" applyProtection="0"/>
    <xf numFmtId="0" fontId="92" fillId="0" borderId="3" applyNumberFormat="0" applyFill="0" applyAlignment="0" applyProtection="0"/>
    <xf numFmtId="0" fontId="92" fillId="0" borderId="0" applyNumberFormat="0" applyFill="0" applyBorder="0" applyAlignment="0" applyProtection="0"/>
    <xf numFmtId="0" fontId="93" fillId="10" borderId="4" applyNumberFormat="0" applyAlignment="0" applyProtection="0"/>
    <xf numFmtId="0" fontId="94" fillId="0" borderId="0" applyNumberFormat="0" applyFill="0" applyBorder="0" applyAlignment="0" applyProtection="0"/>
    <xf numFmtId="0" fontId="2" fillId="0" borderId="0" applyNumberFormat="0" applyFill="0" applyBorder="0" applyAlignment="0" applyProtection="0">
      <alignment vertical="top"/>
      <protection locked="0"/>
    </xf>
    <xf numFmtId="0" fontId="95" fillId="0" borderId="5" applyNumberFormat="0" applyFill="0" applyAlignment="0" applyProtection="0"/>
    <xf numFmtId="0" fontId="1" fillId="5" borderId="6" applyNumberFormat="0" applyFont="0" applyAlignment="0" applyProtection="0"/>
    <xf numFmtId="0" fontId="87" fillId="8" borderId="0" applyNumberFormat="0" applyBorder="0" applyAlignment="0" applyProtection="0"/>
    <xf numFmtId="0" fontId="87" fillId="12" borderId="0" applyNumberFormat="0" applyBorder="0" applyAlignment="0" applyProtection="0"/>
    <xf numFmtId="0" fontId="87" fillId="13" borderId="0" applyNumberFormat="0" applyBorder="0" applyAlignment="0" applyProtection="0"/>
    <xf numFmtId="0" fontId="87" fillId="14" borderId="0" applyNumberFormat="0" applyBorder="0" applyAlignment="0" applyProtection="0"/>
    <xf numFmtId="0" fontId="87" fillId="8" borderId="0" applyNumberFormat="0" applyBorder="0" applyAlignment="0" applyProtection="0"/>
    <xf numFmtId="0" fontId="87" fillId="11" borderId="0" applyNumberFormat="0" applyBorder="0" applyAlignment="0" applyProtection="0"/>
    <xf numFmtId="0" fontId="96" fillId="4" borderId="0" applyNumberFormat="0" applyBorder="0" applyAlignment="0" applyProtection="0"/>
    <xf numFmtId="0" fontId="58" fillId="15" borderId="7" applyNumberFormat="0" applyAlignment="0" applyProtection="0"/>
    <xf numFmtId="0" fontId="97" fillId="0" borderId="0" applyNumberFormat="0" applyFill="0" applyBorder="0" applyAlignment="0" applyProtection="0"/>
    <xf numFmtId="0" fontId="98" fillId="0" borderId="8" applyNumberFormat="0" applyFill="0" applyAlignment="0" applyProtection="0"/>
    <xf numFmtId="0" fontId="99" fillId="16" borderId="0" applyNumberFormat="0" applyBorder="0" applyAlignment="0" applyProtection="0"/>
    <xf numFmtId="0" fontId="100" fillId="9" borderId="0" applyNumberFormat="0" applyBorder="0" applyAlignment="0" applyProtection="0"/>
    <xf numFmtId="0" fontId="101" fillId="15" borderId="1" applyNumberFormat="0" applyAlignment="0" applyProtection="0"/>
  </cellStyleXfs>
  <cellXfs count="875">
    <xf numFmtId="0" fontId="0" fillId="0" borderId="0" xfId="0"/>
    <xf numFmtId="0" fontId="4" fillId="17" borderId="0" xfId="0" applyFont="1" applyFill="1" applyBorder="1" applyProtection="1">
      <protection hidden="1"/>
    </xf>
    <xf numFmtId="0" fontId="7" fillId="17" borderId="0" xfId="0" applyFont="1" applyFill="1" applyBorder="1" applyAlignment="1" applyProtection="1">
      <alignment vertical="center"/>
      <protection hidden="1"/>
    </xf>
    <xf numFmtId="167" fontId="6" fillId="17" borderId="0" xfId="0" applyNumberFormat="1" applyFont="1" applyFill="1" applyBorder="1" applyAlignment="1" applyProtection="1">
      <alignment vertical="center"/>
      <protection hidden="1"/>
    </xf>
    <xf numFmtId="167" fontId="5" fillId="17" borderId="0" xfId="0" applyNumberFormat="1" applyFont="1" applyFill="1" applyBorder="1" applyAlignment="1" applyProtection="1">
      <alignment vertical="center"/>
      <protection hidden="1"/>
    </xf>
    <xf numFmtId="164" fontId="5" fillId="17" borderId="0" xfId="0" applyNumberFormat="1" applyFont="1" applyFill="1" applyBorder="1" applyAlignment="1" applyProtection="1">
      <alignment horizontal="left" vertical="center"/>
      <protection hidden="1"/>
    </xf>
    <xf numFmtId="0" fontId="9" fillId="18" borderId="0" xfId="0" applyFont="1" applyFill="1" applyBorder="1" applyAlignment="1" applyProtection="1">
      <alignment vertical="center"/>
      <protection hidden="1"/>
    </xf>
    <xf numFmtId="0" fontId="6" fillId="0" borderId="0" xfId="0" applyFont="1" applyFill="1" applyBorder="1" applyAlignment="1" applyProtection="1">
      <alignment horizontal="left" vertical="center"/>
      <protection hidden="1"/>
    </xf>
    <xf numFmtId="0" fontId="6" fillId="0" borderId="0" xfId="0" applyFont="1" applyFill="1" applyBorder="1" applyAlignment="1" applyProtection="1">
      <alignment horizontal="center" vertical="center"/>
      <protection hidden="1"/>
    </xf>
    <xf numFmtId="0" fontId="8" fillId="18" borderId="9" xfId="0" applyFont="1" applyFill="1" applyBorder="1" applyAlignment="1" applyProtection="1">
      <alignment vertical="center"/>
      <protection hidden="1"/>
    </xf>
    <xf numFmtId="0" fontId="9" fillId="18" borderId="9" xfId="0" applyFont="1" applyFill="1" applyBorder="1" applyAlignment="1" applyProtection="1">
      <alignment vertical="center"/>
      <protection hidden="1"/>
    </xf>
    <xf numFmtId="0" fontId="12" fillId="19" borderId="10" xfId="0" applyFont="1" applyFill="1" applyBorder="1" applyAlignment="1" applyProtection="1">
      <alignment horizontal="center" vertical="center"/>
      <protection hidden="1"/>
    </xf>
    <xf numFmtId="0" fontId="12" fillId="20" borderId="10" xfId="0" applyFont="1" applyFill="1" applyBorder="1" applyAlignment="1" applyProtection="1">
      <alignment horizontal="center" vertical="center"/>
      <protection hidden="1"/>
    </xf>
    <xf numFmtId="0" fontId="12" fillId="20" borderId="11" xfId="0" applyFont="1" applyFill="1" applyBorder="1" applyAlignment="1" applyProtection="1">
      <alignment horizontal="center" vertical="center"/>
      <protection hidden="1"/>
    </xf>
    <xf numFmtId="0" fontId="9" fillId="18" borderId="10" xfId="0" applyFont="1" applyFill="1" applyBorder="1" applyAlignment="1" applyProtection="1">
      <alignment vertical="center"/>
      <protection hidden="1"/>
    </xf>
    <xf numFmtId="0" fontId="9" fillId="18" borderId="0" xfId="0" applyFont="1" applyFill="1" applyBorder="1" applyAlignment="1" applyProtection="1">
      <alignment horizontal="right" vertical="center"/>
      <protection hidden="1"/>
    </xf>
    <xf numFmtId="0" fontId="9" fillId="18" borderId="10" xfId="0" applyFont="1" applyFill="1" applyBorder="1" applyAlignment="1" applyProtection="1">
      <alignment horizontal="left" vertical="center"/>
      <protection hidden="1"/>
    </xf>
    <xf numFmtId="0" fontId="5" fillId="0" borderId="0" xfId="0" applyFont="1" applyAlignment="1" applyProtection="1">
      <alignment horizontal="center" vertical="center"/>
      <protection hidden="1"/>
    </xf>
    <xf numFmtId="0" fontId="14" fillId="21" borderId="10" xfId="0" applyFont="1" applyFill="1" applyBorder="1" applyAlignment="1" applyProtection="1">
      <alignment horizontal="center" vertical="center"/>
      <protection hidden="1"/>
    </xf>
    <xf numFmtId="0" fontId="10" fillId="18" borderId="10" xfId="0" applyFont="1" applyFill="1" applyBorder="1" applyAlignment="1" applyProtection="1">
      <alignment horizontal="left" vertical="center"/>
      <protection hidden="1"/>
    </xf>
    <xf numFmtId="0" fontId="14" fillId="19" borderId="10" xfId="0" applyFont="1" applyFill="1" applyBorder="1" applyAlignment="1" applyProtection="1">
      <alignment horizontal="center" vertical="center"/>
      <protection locked="0"/>
    </xf>
    <xf numFmtId="0" fontId="14" fillId="19" borderId="10" xfId="0" applyFont="1" applyFill="1" applyBorder="1" applyAlignment="1" applyProtection="1">
      <alignment horizontal="center" vertical="center"/>
      <protection hidden="1"/>
    </xf>
    <xf numFmtId="0" fontId="8" fillId="18" borderId="0" xfId="0" applyFont="1" applyFill="1" applyBorder="1" applyAlignment="1" applyProtection="1">
      <alignment horizontal="center" vertical="center"/>
      <protection hidden="1"/>
    </xf>
    <xf numFmtId="0" fontId="9" fillId="18" borderId="10" xfId="0" applyFont="1" applyFill="1" applyBorder="1" applyAlignment="1" applyProtection="1">
      <alignment horizontal="center" vertical="center"/>
      <protection hidden="1"/>
    </xf>
    <xf numFmtId="0" fontId="4" fillId="22" borderId="0" xfId="0" applyFont="1" applyFill="1" applyBorder="1" applyProtection="1">
      <protection hidden="1"/>
    </xf>
    <xf numFmtId="167" fontId="5" fillId="22" borderId="0" xfId="0" applyNumberFormat="1" applyFont="1" applyFill="1" applyBorder="1" applyAlignment="1" applyProtection="1">
      <alignment horizontal="center"/>
      <protection hidden="1"/>
    </xf>
    <xf numFmtId="0" fontId="6" fillId="22" borderId="0" xfId="0" applyFont="1" applyFill="1" applyBorder="1" applyAlignment="1" applyProtection="1">
      <alignment horizontal="right" vertical="center"/>
      <protection hidden="1"/>
    </xf>
    <xf numFmtId="0" fontId="5" fillId="22" borderId="0" xfId="0" applyFont="1" applyFill="1" applyBorder="1" applyAlignment="1" applyProtection="1">
      <alignment horizontal="right" vertical="center"/>
      <protection hidden="1"/>
    </xf>
    <xf numFmtId="167" fontId="6" fillId="22" borderId="0" xfId="0" applyNumberFormat="1" applyFont="1" applyFill="1" applyBorder="1" applyAlignment="1" applyProtection="1">
      <alignment vertical="center"/>
      <protection hidden="1"/>
    </xf>
    <xf numFmtId="167" fontId="5" fillId="22" borderId="0" xfId="0" applyNumberFormat="1" applyFont="1" applyFill="1" applyBorder="1" applyAlignment="1" applyProtection="1">
      <alignment vertical="center"/>
      <protection hidden="1"/>
    </xf>
    <xf numFmtId="164" fontId="5" fillId="22" borderId="0" xfId="0" applyNumberFormat="1" applyFont="1" applyFill="1" applyBorder="1" applyAlignment="1" applyProtection="1">
      <alignment horizontal="left" vertical="center"/>
      <protection hidden="1"/>
    </xf>
    <xf numFmtId="0" fontId="12" fillId="17" borderId="0" xfId="0" applyFont="1" applyFill="1" applyBorder="1" applyAlignment="1" applyProtection="1">
      <alignment vertical="center"/>
      <protection hidden="1"/>
    </xf>
    <xf numFmtId="0" fontId="9" fillId="23" borderId="0" xfId="0" applyFont="1" applyFill="1" applyBorder="1" applyAlignment="1" applyProtection="1">
      <alignment horizontal="center" vertical="center"/>
      <protection hidden="1"/>
    </xf>
    <xf numFmtId="0" fontId="9" fillId="0" borderId="0" xfId="0" applyFont="1" applyAlignment="1" applyProtection="1">
      <alignment horizontal="center" vertical="center"/>
      <protection hidden="1"/>
    </xf>
    <xf numFmtId="168" fontId="8" fillId="0" borderId="0" xfId="0" applyNumberFormat="1" applyFont="1" applyAlignment="1" applyProtection="1">
      <alignment horizontal="left"/>
      <protection hidden="1"/>
    </xf>
    <xf numFmtId="0" fontId="9" fillId="19" borderId="0" xfId="0" applyFont="1" applyFill="1" applyAlignment="1" applyProtection="1">
      <alignment horizontal="center" vertical="center"/>
      <protection hidden="1"/>
    </xf>
    <xf numFmtId="0" fontId="9" fillId="18" borderId="0" xfId="0" applyFont="1" applyFill="1" applyAlignment="1" applyProtection="1">
      <alignment horizontal="center" vertical="center"/>
      <protection hidden="1"/>
    </xf>
    <xf numFmtId="0" fontId="10" fillId="18" borderId="0" xfId="0" applyFont="1" applyFill="1" applyAlignment="1" applyProtection="1">
      <alignment horizontal="right" vertical="center"/>
      <protection hidden="1"/>
    </xf>
    <xf numFmtId="0" fontId="20" fillId="18" borderId="0" xfId="0" applyFont="1" applyFill="1" applyAlignment="1" applyProtection="1">
      <alignment horizontal="center" vertical="center"/>
      <protection hidden="1"/>
    </xf>
    <xf numFmtId="0" fontId="10" fillId="18" borderId="0" xfId="0" applyFont="1" applyFill="1" applyAlignment="1" applyProtection="1">
      <alignment horizontal="left" vertical="center"/>
      <protection hidden="1"/>
    </xf>
    <xf numFmtId="0" fontId="10" fillId="18" borderId="0" xfId="0" applyFont="1" applyFill="1" applyAlignment="1" applyProtection="1">
      <alignment horizontal="center" vertical="center"/>
      <protection hidden="1"/>
    </xf>
    <xf numFmtId="0" fontId="9" fillId="18" borderId="0" xfId="0" applyFont="1" applyFill="1" applyAlignment="1" applyProtection="1">
      <alignment horizontal="right" vertical="center"/>
      <protection hidden="1"/>
    </xf>
    <xf numFmtId="168" fontId="21" fillId="0" borderId="0" xfId="0" applyNumberFormat="1" applyFont="1" applyAlignment="1" applyProtection="1">
      <alignment horizontal="left" vertical="center"/>
      <protection hidden="1"/>
    </xf>
    <xf numFmtId="0" fontId="5" fillId="0" borderId="0" xfId="0" applyFont="1" applyBorder="1" applyAlignment="1" applyProtection="1">
      <alignment horizontal="center" vertical="center"/>
      <protection hidden="1"/>
    </xf>
    <xf numFmtId="0" fontId="5" fillId="24" borderId="12" xfId="0" applyFont="1" applyFill="1" applyBorder="1" applyAlignment="1" applyProtection="1">
      <alignment horizontal="left" vertical="center"/>
      <protection locked="0"/>
    </xf>
    <xf numFmtId="176" fontId="6" fillId="0" borderId="13" xfId="0" applyNumberFormat="1" applyFont="1" applyBorder="1" applyAlignment="1" applyProtection="1">
      <alignment horizontal="left" vertical="center" indent="1"/>
      <protection hidden="1"/>
    </xf>
    <xf numFmtId="0" fontId="15" fillId="18" borderId="0" xfId="0" applyFont="1" applyFill="1" applyAlignment="1" applyProtection="1">
      <alignment horizontal="center" vertical="center"/>
      <protection hidden="1"/>
    </xf>
    <xf numFmtId="0" fontId="15" fillId="18" borderId="0" xfId="0" applyFont="1" applyFill="1" applyAlignment="1" applyProtection="1">
      <alignment horizontal="left" vertical="center" indent="1"/>
      <protection hidden="1"/>
    </xf>
    <xf numFmtId="0" fontId="9" fillId="0" borderId="0" xfId="0" applyFont="1" applyBorder="1" applyAlignment="1" applyProtection="1">
      <alignment horizontal="center" vertical="center"/>
      <protection hidden="1"/>
    </xf>
    <xf numFmtId="0" fontId="5" fillId="0" borderId="14" xfId="0" applyFont="1" applyFill="1" applyBorder="1" applyAlignment="1" applyProtection="1">
      <alignment horizontal="right" vertical="center"/>
      <protection hidden="1"/>
    </xf>
    <xf numFmtId="175" fontId="5" fillId="0" borderId="14" xfId="0" applyNumberFormat="1" applyFont="1" applyFill="1" applyBorder="1" applyAlignment="1" applyProtection="1">
      <alignment horizontal="center" vertical="center"/>
      <protection hidden="1"/>
    </xf>
    <xf numFmtId="0" fontId="5" fillId="0" borderId="14" xfId="0" applyFont="1" applyFill="1" applyBorder="1" applyAlignment="1" applyProtection="1">
      <alignment horizontal="left" vertical="center"/>
      <protection hidden="1"/>
    </xf>
    <xf numFmtId="0" fontId="20" fillId="18" borderId="10" xfId="0" applyFont="1" applyFill="1" applyBorder="1" applyAlignment="1" applyProtection="1">
      <alignment horizontal="center" vertical="center"/>
      <protection hidden="1"/>
    </xf>
    <xf numFmtId="0" fontId="10" fillId="18" borderId="10" xfId="0" applyFont="1" applyFill="1" applyBorder="1" applyAlignment="1" applyProtection="1">
      <alignment horizontal="center" vertical="center"/>
      <protection hidden="1"/>
    </xf>
    <xf numFmtId="0" fontId="9" fillId="18" borderId="10" xfId="0" applyFont="1" applyFill="1" applyBorder="1" applyAlignment="1" applyProtection="1">
      <alignment horizontal="right" vertical="center"/>
      <protection hidden="1"/>
    </xf>
    <xf numFmtId="0" fontId="5" fillId="0" borderId="15" xfId="0" applyFont="1" applyFill="1" applyBorder="1" applyAlignment="1" applyProtection="1">
      <alignment horizontal="right" vertical="center"/>
      <protection hidden="1"/>
    </xf>
    <xf numFmtId="175" fontId="5" fillId="0" borderId="15" xfId="0" applyNumberFormat="1" applyFont="1" applyFill="1" applyBorder="1" applyAlignment="1" applyProtection="1">
      <alignment horizontal="center" vertical="center"/>
      <protection hidden="1"/>
    </xf>
    <xf numFmtId="0" fontId="5" fillId="0" borderId="15" xfId="0" applyFont="1" applyFill="1" applyBorder="1" applyAlignment="1" applyProtection="1">
      <alignment horizontal="left" vertical="center"/>
      <protection hidden="1"/>
    </xf>
    <xf numFmtId="0" fontId="5" fillId="0" borderId="16" xfId="0" applyFont="1" applyFill="1" applyBorder="1" applyAlignment="1" applyProtection="1">
      <alignment horizontal="right" vertical="center"/>
      <protection hidden="1"/>
    </xf>
    <xf numFmtId="175" fontId="5" fillId="0" borderId="16" xfId="0" applyNumberFormat="1" applyFont="1" applyFill="1" applyBorder="1" applyAlignment="1" applyProtection="1">
      <alignment horizontal="center" vertical="center"/>
      <protection hidden="1"/>
    </xf>
    <xf numFmtId="0" fontId="5" fillId="0" borderId="16" xfId="0" applyFont="1" applyFill="1" applyBorder="1" applyAlignment="1" applyProtection="1">
      <alignment horizontal="left" vertical="center"/>
      <protection hidden="1"/>
    </xf>
    <xf numFmtId="0" fontId="4" fillId="23" borderId="0" xfId="0" applyFont="1" applyFill="1" applyBorder="1" applyAlignment="1" applyProtection="1">
      <alignment vertical="center"/>
      <protection hidden="1"/>
    </xf>
    <xf numFmtId="0" fontId="5" fillId="0" borderId="0" xfId="0" applyFont="1" applyFill="1" applyBorder="1" applyAlignment="1" applyProtection="1">
      <alignment vertical="center"/>
      <protection hidden="1"/>
    </xf>
    <xf numFmtId="165" fontId="21" fillId="0" borderId="0" xfId="0" applyNumberFormat="1" applyFont="1" applyFill="1" applyBorder="1" applyAlignment="1" applyProtection="1">
      <alignment horizontal="right" vertical="center"/>
      <protection hidden="1"/>
    </xf>
    <xf numFmtId="0" fontId="5" fillId="0" borderId="0" xfId="0" applyFont="1" applyFill="1" applyBorder="1" applyAlignment="1" applyProtection="1">
      <alignment horizontal="center" vertical="center"/>
      <protection hidden="1"/>
    </xf>
    <xf numFmtId="0" fontId="9" fillId="0" borderId="0" xfId="0" applyFont="1" applyFill="1" applyBorder="1" applyAlignment="1" applyProtection="1">
      <alignment horizontal="center"/>
      <protection hidden="1"/>
    </xf>
    <xf numFmtId="0" fontId="4" fillId="19" borderId="0" xfId="0" applyFont="1" applyFill="1" applyAlignment="1" applyProtection="1">
      <alignment vertical="center"/>
      <protection hidden="1"/>
    </xf>
    <xf numFmtId="0" fontId="4" fillId="19" borderId="0" xfId="0" applyFont="1" applyFill="1" applyProtection="1">
      <protection hidden="1"/>
    </xf>
    <xf numFmtId="0" fontId="4" fillId="0" borderId="0" xfId="0" applyFont="1" applyFill="1" applyBorder="1" applyProtection="1">
      <protection hidden="1"/>
    </xf>
    <xf numFmtId="0" fontId="23" fillId="0" borderId="0" xfId="0" applyFont="1" applyFill="1" applyBorder="1" applyAlignment="1" applyProtection="1">
      <alignment horizontal="left"/>
      <protection hidden="1"/>
    </xf>
    <xf numFmtId="16" fontId="12" fillId="19" borderId="10" xfId="0" applyNumberFormat="1" applyFont="1" applyFill="1" applyBorder="1" applyAlignment="1" applyProtection="1">
      <alignment horizontal="center" vertical="center"/>
      <protection hidden="1"/>
    </xf>
    <xf numFmtId="0" fontId="9" fillId="18" borderId="0" xfId="0" applyFont="1" applyFill="1" applyBorder="1" applyAlignment="1" applyProtection="1">
      <alignment horizontal="center" vertical="center"/>
      <protection hidden="1"/>
    </xf>
    <xf numFmtId="0" fontId="14" fillId="21" borderId="17" xfId="0" applyFont="1" applyFill="1" applyBorder="1" applyAlignment="1" applyProtection="1">
      <alignment horizontal="center" vertical="center"/>
      <protection hidden="1"/>
    </xf>
    <xf numFmtId="0" fontId="21" fillId="0" borderId="0" xfId="0" applyFont="1" applyFill="1" applyBorder="1" applyAlignment="1" applyProtection="1">
      <alignment horizontal="left" vertical="center"/>
      <protection hidden="1"/>
    </xf>
    <xf numFmtId="165" fontId="21" fillId="0" borderId="9" xfId="0" applyNumberFormat="1" applyFont="1" applyFill="1" applyBorder="1" applyAlignment="1" applyProtection="1">
      <alignment horizontal="right" vertical="center"/>
      <protection hidden="1"/>
    </xf>
    <xf numFmtId="0" fontId="21" fillId="0" borderId="9" xfId="0" applyFont="1" applyFill="1" applyBorder="1" applyAlignment="1" applyProtection="1">
      <alignment horizontal="left" vertical="center"/>
      <protection hidden="1"/>
    </xf>
    <xf numFmtId="0" fontId="10" fillId="23" borderId="0" xfId="0" applyFont="1" applyFill="1" applyBorder="1" applyAlignment="1" applyProtection="1">
      <alignment vertical="center"/>
      <protection hidden="1"/>
    </xf>
    <xf numFmtId="0" fontId="10" fillId="0" borderId="0" xfId="0" applyFont="1" applyFill="1" applyBorder="1" applyAlignment="1" applyProtection="1">
      <alignment vertical="center"/>
      <protection hidden="1"/>
    </xf>
    <xf numFmtId="165" fontId="15" fillId="0" borderId="0" xfId="0" applyNumberFormat="1" applyFont="1" applyFill="1" applyBorder="1" applyAlignment="1" applyProtection="1">
      <alignment horizontal="right" vertical="center"/>
      <protection hidden="1"/>
    </xf>
    <xf numFmtId="0" fontId="10" fillId="0" borderId="0" xfId="0" applyFont="1" applyFill="1" applyBorder="1" applyAlignment="1" applyProtection="1">
      <alignment horizontal="center" vertical="center"/>
      <protection hidden="1"/>
    </xf>
    <xf numFmtId="0" fontId="10" fillId="0" borderId="0" xfId="0" applyFont="1" applyFill="1" applyBorder="1" applyAlignment="1" applyProtection="1">
      <alignment horizontal="center"/>
      <protection hidden="1"/>
    </xf>
    <xf numFmtId="0" fontId="10" fillId="0" borderId="0" xfId="0" applyFont="1" applyFill="1" applyBorder="1" applyProtection="1">
      <protection hidden="1"/>
    </xf>
    <xf numFmtId="165" fontId="5" fillId="0" borderId="14" xfId="0" applyNumberFormat="1" applyFont="1" applyFill="1" applyBorder="1" applyAlignment="1" applyProtection="1">
      <alignment horizontal="left" vertical="center"/>
      <protection hidden="1"/>
    </xf>
    <xf numFmtId="1" fontId="6" fillId="0" borderId="14" xfId="0" applyNumberFormat="1" applyFont="1" applyFill="1" applyBorder="1" applyAlignment="1" applyProtection="1">
      <alignment horizontal="left" vertical="center"/>
      <protection hidden="1"/>
    </xf>
    <xf numFmtId="0" fontId="19" fillId="21" borderId="12" xfId="0" applyFont="1" applyFill="1" applyBorder="1" applyAlignment="1" applyProtection="1">
      <alignment horizontal="center" vertical="center"/>
      <protection hidden="1"/>
    </xf>
    <xf numFmtId="165" fontId="5" fillId="0" borderId="0" xfId="0" applyNumberFormat="1" applyFont="1" applyFill="1" applyBorder="1" applyAlignment="1" applyProtection="1">
      <alignment horizontal="left" vertical="center"/>
      <protection hidden="1"/>
    </xf>
    <xf numFmtId="1" fontId="6" fillId="0" borderId="0" xfId="0" applyNumberFormat="1" applyFont="1" applyFill="1" applyBorder="1" applyAlignment="1" applyProtection="1">
      <alignment horizontal="left" vertical="center"/>
      <protection hidden="1"/>
    </xf>
    <xf numFmtId="0" fontId="6" fillId="18" borderId="12" xfId="0" applyFont="1" applyFill="1" applyBorder="1" applyAlignment="1" applyProtection="1">
      <alignment horizontal="center" vertical="center"/>
      <protection hidden="1"/>
    </xf>
    <xf numFmtId="167" fontId="6" fillId="0" borderId="0" xfId="0" applyNumberFormat="1" applyFont="1" applyFill="1" applyBorder="1" applyAlignment="1" applyProtection="1">
      <alignment vertical="center"/>
      <protection hidden="1"/>
    </xf>
    <xf numFmtId="165" fontId="6" fillId="0" borderId="0" xfId="0" applyNumberFormat="1" applyFont="1" applyFill="1" applyBorder="1" applyAlignment="1" applyProtection="1">
      <alignment vertical="center"/>
      <protection hidden="1"/>
    </xf>
    <xf numFmtId="164" fontId="5" fillId="0" borderId="0" xfId="0" applyNumberFormat="1" applyFont="1" applyFill="1" applyBorder="1" applyAlignment="1" applyProtection="1">
      <alignment horizontal="center" vertical="center"/>
      <protection hidden="1"/>
    </xf>
    <xf numFmtId="0" fontId="9" fillId="24" borderId="0" xfId="0" applyFont="1" applyFill="1" applyBorder="1" applyAlignment="1" applyProtection="1">
      <alignment vertical="center"/>
      <protection hidden="1"/>
    </xf>
    <xf numFmtId="0" fontId="10" fillId="24" borderId="0" xfId="0" applyFont="1" applyFill="1" applyBorder="1" applyAlignment="1" applyProtection="1">
      <alignment vertical="center"/>
      <protection hidden="1"/>
    </xf>
    <xf numFmtId="0" fontId="4" fillId="25" borderId="0" xfId="0" applyFont="1" applyFill="1" applyBorder="1" applyProtection="1">
      <protection hidden="1"/>
    </xf>
    <xf numFmtId="0" fontId="4" fillId="19" borderId="0" xfId="0" applyFont="1" applyFill="1" applyBorder="1" applyProtection="1">
      <protection hidden="1"/>
    </xf>
    <xf numFmtId="0" fontId="14" fillId="21" borderId="18" xfId="0" applyFont="1" applyFill="1" applyBorder="1" applyAlignment="1" applyProtection="1">
      <alignment horizontal="left" vertical="center"/>
      <protection hidden="1"/>
    </xf>
    <xf numFmtId="0" fontId="14" fillId="21" borderId="19" xfId="0" applyFont="1" applyFill="1" applyBorder="1" applyAlignment="1" applyProtection="1">
      <alignment horizontal="left" vertical="center"/>
      <protection hidden="1"/>
    </xf>
    <xf numFmtId="0" fontId="14" fillId="21" borderId="20" xfId="0" applyFont="1" applyFill="1" applyBorder="1" applyAlignment="1" applyProtection="1">
      <alignment horizontal="left" vertical="center"/>
      <protection hidden="1"/>
    </xf>
    <xf numFmtId="0" fontId="9" fillId="25" borderId="0" xfId="0" applyFont="1" applyFill="1" applyBorder="1" applyAlignment="1" applyProtection="1">
      <protection hidden="1"/>
    </xf>
    <xf numFmtId="0" fontId="15" fillId="25" borderId="0" xfId="0" applyFont="1" applyFill="1" applyBorder="1" applyAlignment="1" applyProtection="1">
      <alignment horizontal="left" vertical="center"/>
      <protection hidden="1"/>
    </xf>
    <xf numFmtId="0" fontId="15" fillId="25" borderId="10" xfId="0" applyFont="1" applyFill="1" applyBorder="1" applyAlignment="1" applyProtection="1">
      <alignment horizontal="left" vertical="center"/>
      <protection hidden="1"/>
    </xf>
    <xf numFmtId="165" fontId="8" fillId="0" borderId="16" xfId="0" applyNumberFormat="1" applyFont="1" applyFill="1" applyBorder="1" applyAlignment="1" applyProtection="1">
      <alignment horizontal="center" vertical="center"/>
      <protection hidden="1"/>
    </xf>
    <xf numFmtId="0" fontId="25" fillId="0" borderId="16" xfId="0" applyFont="1" applyFill="1" applyBorder="1" applyAlignment="1" applyProtection="1">
      <alignment horizontal="center"/>
      <protection hidden="1"/>
    </xf>
    <xf numFmtId="0" fontId="21" fillId="0" borderId="16" xfId="0" applyFont="1" applyFill="1" applyBorder="1" applyAlignment="1" applyProtection="1">
      <alignment horizontal="left" vertical="center"/>
      <protection hidden="1"/>
    </xf>
    <xf numFmtId="0" fontId="5" fillId="0" borderId="16" xfId="0" applyFont="1" applyFill="1" applyBorder="1" applyAlignment="1" applyProtection="1">
      <alignment horizontal="center" vertical="center"/>
      <protection hidden="1"/>
    </xf>
    <xf numFmtId="0" fontId="27" fillId="20" borderId="10" xfId="0" applyFont="1" applyFill="1" applyBorder="1" applyAlignment="1" applyProtection="1">
      <alignment horizontal="center" vertical="center"/>
      <protection hidden="1"/>
    </xf>
    <xf numFmtId="165" fontId="8" fillId="0" borderId="0" xfId="0" applyNumberFormat="1" applyFont="1" applyFill="1" applyBorder="1" applyAlignment="1" applyProtection="1">
      <alignment horizontal="right" vertical="center"/>
      <protection hidden="1"/>
    </xf>
    <xf numFmtId="0" fontId="5" fillId="0" borderId="0" xfId="0" applyFont="1" applyFill="1" applyBorder="1" applyAlignment="1" applyProtection="1">
      <alignment horizontal="right" vertical="center"/>
      <protection hidden="1"/>
    </xf>
    <xf numFmtId="0" fontId="5" fillId="0" borderId="0" xfId="0" applyFont="1" applyFill="1" applyBorder="1" applyAlignment="1" applyProtection="1">
      <alignment horizontal="right" vertical="center"/>
      <protection locked="0"/>
    </xf>
    <xf numFmtId="0" fontId="5" fillId="0" borderId="0" xfId="0" applyFont="1" applyFill="1" applyBorder="1" applyAlignment="1" applyProtection="1">
      <alignment horizontal="left" vertical="center"/>
      <protection locked="0"/>
    </xf>
    <xf numFmtId="0" fontId="5"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right" vertical="center"/>
      <protection locked="0"/>
    </xf>
    <xf numFmtId="0" fontId="22" fillId="0" borderId="0" xfId="0" applyFont="1" applyFill="1" applyBorder="1" applyAlignment="1" applyProtection="1">
      <alignment horizontal="center" vertical="center"/>
      <protection hidden="1"/>
    </xf>
    <xf numFmtId="0" fontId="22" fillId="0" borderId="0" xfId="0" applyFont="1" applyFill="1" applyBorder="1" applyAlignment="1" applyProtection="1">
      <alignment horizontal="left" vertical="center"/>
      <protection locked="0"/>
    </xf>
    <xf numFmtId="0" fontId="9" fillId="0" borderId="0" xfId="0" applyFont="1" applyFill="1" applyBorder="1" applyAlignment="1" applyProtection="1">
      <alignment horizontal="left" vertical="center"/>
      <protection hidden="1"/>
    </xf>
    <xf numFmtId="0" fontId="20" fillId="24" borderId="10" xfId="0" applyFont="1" applyFill="1" applyBorder="1" applyAlignment="1" applyProtection="1">
      <alignment vertical="center"/>
      <protection hidden="1"/>
    </xf>
    <xf numFmtId="0" fontId="10" fillId="24" borderId="10" xfId="0" applyFont="1" applyFill="1" applyBorder="1" applyAlignment="1" applyProtection="1">
      <alignment vertical="center"/>
      <protection hidden="1"/>
    </xf>
    <xf numFmtId="0" fontId="10" fillId="24" borderId="10" xfId="0" applyFont="1" applyFill="1" applyBorder="1" applyAlignment="1" applyProtection="1">
      <alignment horizontal="right" vertical="center"/>
      <protection hidden="1"/>
    </xf>
    <xf numFmtId="173" fontId="10" fillId="25" borderId="10" xfId="0" applyNumberFormat="1" applyFont="1" applyFill="1" applyBorder="1" applyAlignment="1" applyProtection="1">
      <alignment horizontal="center" vertical="center"/>
      <protection hidden="1"/>
    </xf>
    <xf numFmtId="0" fontId="11" fillId="25" borderId="0" xfId="0" applyFont="1" applyFill="1" applyBorder="1" applyAlignment="1" applyProtection="1">
      <alignment horizontal="left" vertical="center"/>
      <protection hidden="1"/>
    </xf>
    <xf numFmtId="0" fontId="8" fillId="18" borderId="10" xfId="0" applyFont="1" applyFill="1" applyBorder="1" applyAlignment="1" applyProtection="1">
      <alignment horizontal="center" vertical="center"/>
      <protection hidden="1"/>
    </xf>
    <xf numFmtId="0" fontId="11" fillId="0" borderId="0" xfId="0" applyFont="1" applyFill="1" applyBorder="1" applyAlignment="1" applyProtection="1">
      <alignment horizontal="left" vertical="center"/>
      <protection hidden="1"/>
    </xf>
    <xf numFmtId="0" fontId="4" fillId="0" borderId="0" xfId="0" applyFont="1" applyFill="1" applyBorder="1" applyAlignment="1" applyProtection="1">
      <alignment vertical="center"/>
      <protection hidden="1"/>
    </xf>
    <xf numFmtId="0" fontId="9" fillId="0" borderId="0" xfId="0" applyFont="1" applyFill="1" applyBorder="1" applyAlignment="1" applyProtection="1">
      <alignment horizontal="center" vertical="center"/>
      <protection hidden="1"/>
    </xf>
    <xf numFmtId="0" fontId="4" fillId="0" borderId="0" xfId="0" applyFont="1" applyFill="1" applyBorder="1" applyAlignment="1" applyProtection="1">
      <alignment horizontal="center" vertical="center"/>
      <protection hidden="1"/>
    </xf>
    <xf numFmtId="0" fontId="9" fillId="0" borderId="0" xfId="0" applyFont="1" applyFill="1" applyBorder="1" applyAlignment="1" applyProtection="1">
      <alignment horizontal="right" vertical="center"/>
      <protection hidden="1"/>
    </xf>
    <xf numFmtId="0" fontId="12" fillId="19" borderId="10" xfId="0" quotePrefix="1" applyFont="1" applyFill="1" applyBorder="1" applyAlignment="1" applyProtection="1">
      <alignment horizontal="center" vertical="center"/>
      <protection hidden="1"/>
    </xf>
    <xf numFmtId="0" fontId="25" fillId="0" borderId="0" xfId="0" applyFont="1" applyFill="1" applyBorder="1" applyAlignment="1" applyProtection="1">
      <alignment horizontal="left"/>
      <protection hidden="1"/>
    </xf>
    <xf numFmtId="0" fontId="8" fillId="18" borderId="9" xfId="0" applyFont="1" applyFill="1" applyBorder="1" applyAlignment="1" applyProtection="1">
      <alignment horizontal="center" vertical="center"/>
      <protection hidden="1"/>
    </xf>
    <xf numFmtId="0" fontId="9" fillId="18" borderId="9" xfId="0" applyFont="1" applyFill="1" applyBorder="1" applyAlignment="1" applyProtection="1">
      <alignment horizontal="right" vertical="center"/>
      <protection hidden="1"/>
    </xf>
    <xf numFmtId="0" fontId="9" fillId="18" borderId="9" xfId="0" applyFont="1" applyFill="1" applyBorder="1" applyAlignment="1" applyProtection="1">
      <alignment horizontal="center" vertical="center"/>
      <protection hidden="1"/>
    </xf>
    <xf numFmtId="0" fontId="9" fillId="24" borderId="9" xfId="0" applyFont="1" applyFill="1" applyBorder="1" applyAlignment="1" applyProtection="1">
      <alignment vertical="center"/>
      <protection hidden="1"/>
    </xf>
    <xf numFmtId="0" fontId="10" fillId="24" borderId="9" xfId="0" applyFont="1" applyFill="1" applyBorder="1" applyAlignment="1" applyProtection="1">
      <alignment vertical="center"/>
      <protection hidden="1"/>
    </xf>
    <xf numFmtId="165" fontId="6" fillId="0" borderId="0" xfId="0" applyNumberFormat="1" applyFont="1" applyFill="1" applyBorder="1" applyAlignment="1" applyProtection="1">
      <alignment horizontal="right" vertical="center"/>
      <protection hidden="1"/>
    </xf>
    <xf numFmtId="0" fontId="12" fillId="26" borderId="10" xfId="0" applyFont="1" applyFill="1" applyBorder="1" applyAlignment="1" applyProtection="1">
      <alignment horizontal="center" vertical="center"/>
      <protection hidden="1"/>
    </xf>
    <xf numFmtId="0" fontId="25" fillId="0" borderId="0" xfId="0" applyFont="1" applyFill="1" applyBorder="1" applyAlignment="1" applyProtection="1">
      <alignment horizontal="center"/>
      <protection hidden="1"/>
    </xf>
    <xf numFmtId="0" fontId="4" fillId="0" borderId="0" xfId="0" applyFont="1" applyFill="1" applyBorder="1" applyAlignment="1" applyProtection="1">
      <alignment horizontal="center"/>
      <protection hidden="1"/>
    </xf>
    <xf numFmtId="173" fontId="28" fillId="0" borderId="0" xfId="0" applyNumberFormat="1" applyFont="1" applyFill="1" applyBorder="1" applyAlignment="1" applyProtection="1">
      <alignment horizontal="right" vertical="center" indent="1"/>
      <protection locked="0"/>
    </xf>
    <xf numFmtId="0" fontId="8" fillId="0" borderId="9" xfId="0" applyFont="1" applyFill="1" applyBorder="1" applyAlignment="1" applyProtection="1">
      <alignment horizontal="center" vertical="center"/>
      <protection hidden="1"/>
    </xf>
    <xf numFmtId="0" fontId="29" fillId="0" borderId="0" xfId="0" applyFont="1" applyFill="1" applyBorder="1" applyAlignment="1" applyProtection="1">
      <alignment horizontal="left"/>
      <protection locked="0"/>
    </xf>
    <xf numFmtId="0" fontId="29" fillId="0" borderId="21" xfId="0" applyFont="1" applyFill="1" applyBorder="1" applyAlignment="1" applyProtection="1">
      <alignment horizontal="left"/>
      <protection locked="0"/>
    </xf>
    <xf numFmtId="0" fontId="29" fillId="0" borderId="21" xfId="0" applyFont="1" applyFill="1" applyBorder="1" applyAlignment="1" applyProtection="1">
      <alignment horizontal="center"/>
      <protection locked="0"/>
    </xf>
    <xf numFmtId="0" fontId="8" fillId="18" borderId="0" xfId="0" applyFont="1" applyFill="1" applyBorder="1" applyAlignment="1" applyProtection="1">
      <alignment vertical="center"/>
      <protection hidden="1"/>
    </xf>
    <xf numFmtId="0" fontId="14" fillId="26" borderId="11" xfId="0" applyFont="1" applyFill="1" applyBorder="1" applyAlignment="1" applyProtection="1">
      <alignment horizontal="center"/>
      <protection hidden="1"/>
    </xf>
    <xf numFmtId="0" fontId="15" fillId="25" borderId="11" xfId="0" applyFont="1" applyFill="1" applyBorder="1" applyAlignment="1" applyProtection="1">
      <alignment horizontal="left" vertical="center"/>
      <protection hidden="1"/>
    </xf>
    <xf numFmtId="165" fontId="8" fillId="0" borderId="0" xfId="0" applyNumberFormat="1" applyFont="1" applyFill="1" applyBorder="1" applyAlignment="1" applyProtection="1">
      <alignment horizontal="center" vertical="center"/>
      <protection hidden="1"/>
    </xf>
    <xf numFmtId="0" fontId="26" fillId="0" borderId="0" xfId="0" applyFont="1" applyFill="1" applyBorder="1" applyAlignment="1" applyProtection="1">
      <alignment horizontal="right" vertical="center"/>
      <protection hidden="1"/>
    </xf>
    <xf numFmtId="0" fontId="17" fillId="0" borderId="0" xfId="0" applyFont="1" applyFill="1" applyBorder="1" applyAlignment="1" applyProtection="1">
      <alignment horizontal="right" vertical="center"/>
      <protection hidden="1"/>
    </xf>
    <xf numFmtId="0" fontId="19" fillId="0" borderId="0" xfId="0" applyFont="1" applyFill="1" applyBorder="1" applyAlignment="1" applyProtection="1">
      <alignment horizontal="right" vertical="center"/>
      <protection hidden="1"/>
    </xf>
    <xf numFmtId="165" fontId="24" fillId="0" borderId="9" xfId="0" applyNumberFormat="1" applyFont="1" applyFill="1" applyBorder="1" applyAlignment="1" applyProtection="1">
      <alignment vertical="center"/>
      <protection hidden="1"/>
    </xf>
    <xf numFmtId="165" fontId="16" fillId="0" borderId="9" xfId="0" applyNumberFormat="1" applyFont="1" applyFill="1" applyBorder="1" applyAlignment="1" applyProtection="1">
      <alignment horizontal="left" vertical="center"/>
      <protection hidden="1"/>
    </xf>
    <xf numFmtId="0" fontId="17" fillId="0" borderId="9" xfId="0" applyFont="1" applyFill="1" applyBorder="1" applyAlignment="1" applyProtection="1">
      <alignment horizontal="right" vertical="center"/>
      <protection hidden="1"/>
    </xf>
    <xf numFmtId="0" fontId="19" fillId="0" borderId="9" xfId="0" applyFont="1" applyFill="1" applyBorder="1" applyAlignment="1" applyProtection="1">
      <alignment horizontal="right" vertical="center"/>
      <protection hidden="1"/>
    </xf>
    <xf numFmtId="0" fontId="21" fillId="0" borderId="0" xfId="0" applyFont="1" applyFill="1" applyBorder="1" applyAlignment="1" applyProtection="1">
      <alignment horizontal="center" vertical="center"/>
      <protection hidden="1"/>
    </xf>
    <xf numFmtId="0" fontId="13" fillId="17" borderId="0" xfId="0" applyFont="1" applyFill="1" applyBorder="1" applyAlignment="1" applyProtection="1">
      <alignment vertical="center"/>
      <protection hidden="1"/>
    </xf>
    <xf numFmtId="165" fontId="21" fillId="0" borderId="9" xfId="0" applyNumberFormat="1" applyFont="1" applyFill="1" applyBorder="1" applyAlignment="1" applyProtection="1">
      <alignment horizontal="left" vertical="center"/>
      <protection hidden="1"/>
    </xf>
    <xf numFmtId="0" fontId="8" fillId="0" borderId="0" xfId="0" applyFont="1" applyFill="1" applyBorder="1" applyAlignment="1" applyProtection="1">
      <alignment horizontal="right" vertical="center" indent="7"/>
      <protection hidden="1"/>
    </xf>
    <xf numFmtId="0" fontId="5" fillId="0" borderId="0" xfId="0" applyFont="1" applyFill="1" applyAlignment="1" applyProtection="1">
      <alignment horizontal="center" vertical="center"/>
      <protection hidden="1"/>
    </xf>
    <xf numFmtId="0" fontId="30" fillId="0" borderId="22" xfId="0" applyFont="1" applyFill="1" applyBorder="1" applyAlignment="1" applyProtection="1">
      <alignment horizontal="center" vertical="center"/>
      <protection hidden="1"/>
    </xf>
    <xf numFmtId="0" fontId="15" fillId="0" borderId="0" xfId="0" applyFont="1" applyFill="1" applyBorder="1" applyAlignment="1" applyProtection="1">
      <alignment horizontal="center"/>
      <protection hidden="1"/>
    </xf>
    <xf numFmtId="0" fontId="31" fillId="0" borderId="0" xfId="0" applyFont="1" applyFill="1" applyBorder="1" applyAlignment="1" applyProtection="1">
      <alignment horizontal="center" vertical="center"/>
      <protection hidden="1"/>
    </xf>
    <xf numFmtId="0" fontId="24" fillId="0" borderId="9" xfId="0" applyFont="1" applyFill="1" applyBorder="1" applyAlignment="1" applyProtection="1">
      <alignment horizontal="right" vertical="center"/>
      <protection hidden="1"/>
    </xf>
    <xf numFmtId="165" fontId="18" fillId="23" borderId="0" xfId="0" applyNumberFormat="1" applyFont="1" applyFill="1" applyBorder="1" applyAlignment="1" applyProtection="1">
      <alignment horizontal="right" vertical="center"/>
      <protection hidden="1"/>
    </xf>
    <xf numFmtId="0" fontId="18" fillId="23" borderId="0" xfId="0" applyFont="1" applyFill="1" applyBorder="1" applyAlignment="1" applyProtection="1">
      <alignment horizontal="left" vertical="center"/>
      <protection hidden="1"/>
    </xf>
    <xf numFmtId="0" fontId="32" fillId="27" borderId="0" xfId="0" applyFont="1" applyFill="1" applyBorder="1" applyProtection="1">
      <protection hidden="1"/>
    </xf>
    <xf numFmtId="0" fontId="36" fillId="27" borderId="0" xfId="0" applyFont="1" applyFill="1" applyBorder="1" applyAlignment="1" applyProtection="1">
      <alignment vertical="center"/>
      <protection hidden="1"/>
    </xf>
    <xf numFmtId="167" fontId="34" fillId="27" borderId="0" xfId="0" applyNumberFormat="1" applyFont="1" applyFill="1" applyBorder="1" applyAlignment="1" applyProtection="1">
      <alignment vertical="center"/>
      <protection hidden="1"/>
    </xf>
    <xf numFmtId="167" fontId="33" fillId="27" borderId="0" xfId="0" applyNumberFormat="1" applyFont="1" applyFill="1" applyBorder="1" applyAlignment="1" applyProtection="1">
      <alignment vertical="center"/>
      <protection hidden="1"/>
    </xf>
    <xf numFmtId="164" fontId="33" fillId="27" borderId="0" xfId="0" applyNumberFormat="1" applyFont="1" applyFill="1" applyBorder="1" applyAlignment="1" applyProtection="1">
      <alignment horizontal="left" vertical="center"/>
      <protection hidden="1"/>
    </xf>
    <xf numFmtId="0" fontId="32" fillId="0" borderId="0" xfId="0" applyFont="1" applyFill="1" applyBorder="1" applyProtection="1">
      <protection hidden="1"/>
    </xf>
    <xf numFmtId="167" fontId="34" fillId="0" borderId="0" xfId="0" applyNumberFormat="1" applyFont="1" applyFill="1" applyBorder="1" applyAlignment="1" applyProtection="1">
      <alignment vertical="center"/>
      <protection hidden="1"/>
    </xf>
    <xf numFmtId="164" fontId="33" fillId="0" borderId="0" xfId="0" applyNumberFormat="1" applyFont="1" applyFill="1" applyBorder="1" applyAlignment="1" applyProtection="1">
      <alignment horizontal="left" vertical="center"/>
      <protection hidden="1"/>
    </xf>
    <xf numFmtId="167" fontId="34" fillId="0" borderId="0" xfId="0" applyNumberFormat="1" applyFont="1" applyFill="1" applyBorder="1" applyAlignment="1" applyProtection="1">
      <protection hidden="1"/>
    </xf>
    <xf numFmtId="0" fontId="33" fillId="0" borderId="0" xfId="0" applyFont="1" applyFill="1" applyBorder="1" applyAlignment="1" applyProtection="1">
      <alignment horizontal="center"/>
      <protection hidden="1"/>
    </xf>
    <xf numFmtId="0" fontId="37" fillId="0" borderId="0" xfId="0" applyFont="1" applyFill="1" applyBorder="1" applyAlignment="1" applyProtection="1">
      <alignment horizontal="center"/>
      <protection hidden="1"/>
    </xf>
    <xf numFmtId="0" fontId="32" fillId="19" borderId="0" xfId="0" applyFont="1" applyFill="1" applyProtection="1">
      <protection hidden="1"/>
    </xf>
    <xf numFmtId="0" fontId="37" fillId="18" borderId="23" xfId="0" applyFont="1" applyFill="1" applyBorder="1" applyAlignment="1" applyProtection="1">
      <alignment horizontal="center"/>
      <protection hidden="1"/>
    </xf>
    <xf numFmtId="0" fontId="37" fillId="18" borderId="0" xfId="0" applyFont="1" applyFill="1" applyBorder="1" applyAlignment="1" applyProtection="1">
      <alignment horizontal="center"/>
      <protection hidden="1"/>
    </xf>
    <xf numFmtId="0" fontId="37" fillId="18" borderId="0" xfId="0" applyFont="1" applyFill="1" applyBorder="1" applyAlignment="1" applyProtection="1">
      <alignment horizontal="right"/>
      <protection hidden="1"/>
    </xf>
    <xf numFmtId="0" fontId="37" fillId="18" borderId="0" xfId="0" applyFont="1" applyFill="1" applyBorder="1" applyProtection="1">
      <protection hidden="1"/>
    </xf>
    <xf numFmtId="0" fontId="38" fillId="19" borderId="23" xfId="0" applyFont="1" applyFill="1" applyBorder="1" applyAlignment="1" applyProtection="1">
      <alignment horizontal="center"/>
      <protection hidden="1"/>
    </xf>
    <xf numFmtId="0" fontId="37" fillId="24" borderId="0" xfId="0" applyFont="1" applyFill="1" applyBorder="1" applyProtection="1">
      <protection hidden="1"/>
    </xf>
    <xf numFmtId="0" fontId="37" fillId="24" borderId="0" xfId="0" applyFont="1" applyFill="1" applyBorder="1" applyAlignment="1" applyProtection="1">
      <alignment horizontal="right"/>
      <protection hidden="1"/>
    </xf>
    <xf numFmtId="0" fontId="32" fillId="18" borderId="0" xfId="0" applyFont="1" applyFill="1" applyProtection="1">
      <protection hidden="1"/>
    </xf>
    <xf numFmtId="0" fontId="32" fillId="18" borderId="0" xfId="0" applyFont="1" applyFill="1" applyAlignment="1" applyProtection="1">
      <alignment horizontal="right"/>
      <protection hidden="1"/>
    </xf>
    <xf numFmtId="0" fontId="32" fillId="25" borderId="0" xfId="0" applyFont="1" applyFill="1" applyBorder="1" applyProtection="1">
      <protection hidden="1"/>
    </xf>
    <xf numFmtId="0" fontId="32" fillId="19" borderId="0" xfId="0" applyFont="1" applyFill="1" applyBorder="1" applyProtection="1">
      <protection hidden="1"/>
    </xf>
    <xf numFmtId="0" fontId="39" fillId="0" borderId="0" xfId="0" applyFont="1" applyFill="1" applyBorder="1" applyAlignment="1" applyProtection="1">
      <alignment horizontal="left" vertical="center"/>
      <protection hidden="1"/>
    </xf>
    <xf numFmtId="173" fontId="40" fillId="0" borderId="9" xfId="0" applyNumberFormat="1" applyFont="1" applyFill="1" applyBorder="1" applyAlignment="1" applyProtection="1">
      <alignment horizontal="right" vertical="center"/>
      <protection hidden="1"/>
    </xf>
    <xf numFmtId="173" fontId="41" fillId="0" borderId="9" xfId="0" applyNumberFormat="1" applyFont="1" applyFill="1" applyBorder="1" applyAlignment="1" applyProtection="1">
      <alignment horizontal="right" vertical="center"/>
      <protection hidden="1"/>
    </xf>
    <xf numFmtId="0" fontId="39" fillId="0" borderId="9" xfId="0" applyFont="1" applyFill="1" applyBorder="1" applyAlignment="1" applyProtection="1">
      <alignment horizontal="left" vertical="center"/>
      <protection hidden="1"/>
    </xf>
    <xf numFmtId="0" fontId="39" fillId="0" borderId="9" xfId="0" applyFont="1" applyFill="1" applyBorder="1" applyAlignment="1" applyProtection="1">
      <alignment horizontal="center" vertical="center"/>
      <protection hidden="1"/>
    </xf>
    <xf numFmtId="0" fontId="33" fillId="0" borderId="9" xfId="0" applyFont="1" applyFill="1" applyBorder="1" applyAlignment="1" applyProtection="1">
      <alignment horizontal="center"/>
      <protection hidden="1"/>
    </xf>
    <xf numFmtId="0" fontId="42" fillId="28" borderId="23" xfId="0" applyFont="1" applyFill="1" applyBorder="1" applyAlignment="1" applyProtection="1">
      <alignment horizontal="center"/>
      <protection hidden="1"/>
    </xf>
    <xf numFmtId="0" fontId="42" fillId="28" borderId="0" xfId="0" applyFont="1" applyFill="1" applyBorder="1" applyAlignment="1" applyProtection="1">
      <alignment horizontal="center"/>
      <protection hidden="1"/>
    </xf>
    <xf numFmtId="0" fontId="42" fillId="28" borderId="0" xfId="0" applyFont="1" applyFill="1" applyBorder="1" applyAlignment="1" applyProtection="1">
      <alignment horizontal="right"/>
      <protection hidden="1"/>
    </xf>
    <xf numFmtId="0" fontId="42" fillId="28" borderId="0" xfId="0" applyFont="1" applyFill="1" applyBorder="1" applyProtection="1">
      <protection hidden="1"/>
    </xf>
    <xf numFmtId="0" fontId="43" fillId="24" borderId="0" xfId="0" applyFont="1" applyFill="1" applyBorder="1" applyAlignment="1" applyProtection="1">
      <alignment horizontal="center"/>
      <protection hidden="1"/>
    </xf>
    <xf numFmtId="0" fontId="34" fillId="0" borderId="0" xfId="0" applyFont="1" applyFill="1" applyBorder="1" applyAlignment="1" applyProtection="1">
      <alignment horizontal="right" vertical="center"/>
      <protection hidden="1"/>
    </xf>
    <xf numFmtId="0" fontId="33" fillId="0" borderId="0" xfId="0" applyFont="1" applyFill="1" applyBorder="1" applyAlignment="1" applyProtection="1">
      <alignment horizontal="right" vertical="center"/>
      <protection hidden="1"/>
    </xf>
    <xf numFmtId="0" fontId="33" fillId="0" borderId="0" xfId="0" applyFont="1" applyFill="1" applyBorder="1" applyAlignment="1" applyProtection="1">
      <alignment horizontal="center" vertical="center"/>
      <protection hidden="1"/>
    </xf>
    <xf numFmtId="0" fontId="33" fillId="0" borderId="0" xfId="0" applyFont="1" applyFill="1" applyBorder="1" applyAlignment="1" applyProtection="1">
      <alignment horizontal="left" vertical="center"/>
      <protection hidden="1"/>
    </xf>
    <xf numFmtId="0" fontId="34" fillId="0" borderId="0" xfId="0" applyFont="1" applyFill="1" applyBorder="1" applyAlignment="1" applyProtection="1">
      <alignment vertical="center"/>
      <protection hidden="1"/>
    </xf>
    <xf numFmtId="0" fontId="33" fillId="0" borderId="0" xfId="0" applyFont="1" applyFill="1" applyBorder="1" applyProtection="1">
      <protection hidden="1"/>
    </xf>
    <xf numFmtId="173" fontId="44" fillId="0" borderId="0" xfId="0" applyNumberFormat="1" applyFont="1" applyFill="1" applyBorder="1" applyAlignment="1" applyProtection="1">
      <alignment horizontal="right" vertical="center" indent="1"/>
      <protection locked="0"/>
    </xf>
    <xf numFmtId="0" fontId="33" fillId="0" borderId="0" xfId="0" applyFont="1" applyFill="1" applyBorder="1" applyAlignment="1" applyProtection="1">
      <alignment horizontal="right" vertical="center"/>
      <protection locked="0"/>
    </xf>
    <xf numFmtId="0" fontId="33" fillId="0" borderId="0" xfId="0" applyFont="1" applyFill="1" applyBorder="1" applyAlignment="1" applyProtection="1">
      <alignment horizontal="left" vertical="center"/>
      <protection locked="0"/>
    </xf>
    <xf numFmtId="0" fontId="34" fillId="0" borderId="0" xfId="0" applyFont="1" applyFill="1" applyBorder="1" applyAlignment="1" applyProtection="1">
      <alignment horizontal="left" vertical="center"/>
      <protection hidden="1"/>
    </xf>
    <xf numFmtId="49" fontId="45" fillId="0" borderId="0" xfId="0" applyNumberFormat="1" applyFont="1" applyFill="1" applyBorder="1" applyAlignment="1" applyProtection="1">
      <alignment horizontal="left" vertical="center"/>
      <protection locked="0"/>
    </xf>
    <xf numFmtId="0" fontId="37" fillId="0" borderId="0" xfId="0" applyFont="1" applyFill="1" applyBorder="1" applyAlignment="1" applyProtection="1">
      <alignment horizontal="left" vertical="center"/>
      <protection hidden="1"/>
    </xf>
    <xf numFmtId="0" fontId="37" fillId="18" borderId="10" xfId="0" applyFont="1" applyFill="1" applyBorder="1" applyAlignment="1" applyProtection="1">
      <alignment horizontal="left" vertical="center"/>
      <protection hidden="1"/>
    </xf>
    <xf numFmtId="0" fontId="46" fillId="18" borderId="20" xfId="0" applyFont="1" applyFill="1" applyBorder="1" applyAlignment="1" applyProtection="1">
      <alignment horizontal="center" vertical="center"/>
      <protection hidden="1"/>
    </xf>
    <xf numFmtId="0" fontId="37" fillId="18" borderId="10" xfId="0" applyFont="1" applyFill="1" applyBorder="1" applyAlignment="1" applyProtection="1">
      <alignment horizontal="right" vertical="center"/>
      <protection hidden="1"/>
    </xf>
    <xf numFmtId="0" fontId="42" fillId="19" borderId="23" xfId="0" applyFont="1" applyFill="1" applyBorder="1" applyAlignment="1" applyProtection="1">
      <alignment horizontal="center" vertical="center"/>
      <protection hidden="1"/>
    </xf>
    <xf numFmtId="0" fontId="37" fillId="24" borderId="10" xfId="0" applyFont="1" applyFill="1" applyBorder="1" applyAlignment="1" applyProtection="1">
      <alignment horizontal="left" vertical="center"/>
      <protection hidden="1"/>
    </xf>
    <xf numFmtId="0" fontId="37" fillId="24" borderId="10" xfId="0" applyFont="1" applyFill="1" applyBorder="1" applyAlignment="1" applyProtection="1">
      <alignment horizontal="right" vertical="center"/>
      <protection hidden="1"/>
    </xf>
    <xf numFmtId="1" fontId="37" fillId="24" borderId="10" xfId="0" applyNumberFormat="1" applyFont="1" applyFill="1" applyBorder="1" applyAlignment="1" applyProtection="1">
      <alignment horizontal="right" vertical="center"/>
      <protection hidden="1"/>
    </xf>
    <xf numFmtId="0" fontId="32" fillId="18" borderId="10" xfId="0" applyFont="1" applyFill="1" applyBorder="1" applyProtection="1">
      <protection hidden="1"/>
    </xf>
    <xf numFmtId="0" fontId="32" fillId="18" borderId="10" xfId="0" applyFont="1" applyFill="1" applyBorder="1" applyAlignment="1" applyProtection="1">
      <alignment horizontal="right"/>
      <protection hidden="1"/>
    </xf>
    <xf numFmtId="0" fontId="47" fillId="28" borderId="10" xfId="0" applyFont="1" applyFill="1" applyBorder="1" applyProtection="1">
      <protection hidden="1"/>
    </xf>
    <xf numFmtId="49" fontId="45" fillId="0" borderId="21" xfId="0" applyNumberFormat="1" applyFont="1" applyFill="1" applyBorder="1" applyAlignment="1" applyProtection="1">
      <alignment horizontal="left" vertical="center"/>
      <protection locked="0"/>
    </xf>
    <xf numFmtId="0" fontId="35" fillId="26" borderId="10" xfId="0" applyFont="1" applyFill="1" applyBorder="1" applyAlignment="1" applyProtection="1">
      <alignment horizontal="center" vertical="center"/>
      <protection hidden="1"/>
    </xf>
    <xf numFmtId="0" fontId="48" fillId="25" borderId="10" xfId="0" applyFont="1" applyFill="1" applyBorder="1" applyAlignment="1" applyProtection="1">
      <alignment horizontal="center" vertical="center"/>
      <protection hidden="1"/>
    </xf>
    <xf numFmtId="0" fontId="49" fillId="0" borderId="0" xfId="0" applyFont="1" applyFill="1" applyBorder="1" applyAlignment="1" applyProtection="1">
      <alignment horizontal="left" vertical="center"/>
      <protection hidden="1"/>
    </xf>
    <xf numFmtId="0" fontId="43" fillId="0" borderId="0" xfId="0" applyFont="1" applyFill="1" applyBorder="1" applyAlignment="1" applyProtection="1">
      <alignment horizontal="right" vertical="center"/>
      <protection hidden="1"/>
    </xf>
    <xf numFmtId="0" fontId="37" fillId="0" borderId="0" xfId="0" applyFont="1" applyFill="1" applyBorder="1" applyAlignment="1" applyProtection="1">
      <alignment horizontal="right" vertical="center"/>
      <protection hidden="1"/>
    </xf>
    <xf numFmtId="0" fontId="37" fillId="0" borderId="0" xfId="0" applyFont="1" applyFill="1" applyBorder="1" applyAlignment="1" applyProtection="1">
      <alignment horizontal="center" vertical="center"/>
      <protection hidden="1"/>
    </xf>
    <xf numFmtId="0" fontId="43" fillId="0" borderId="0" xfId="0" applyFont="1" applyFill="1" applyBorder="1" applyAlignment="1" applyProtection="1">
      <alignment vertical="center"/>
      <protection hidden="1"/>
    </xf>
    <xf numFmtId="0" fontId="32" fillId="0" borderId="0" xfId="0" applyFont="1" applyFill="1" applyBorder="1" applyAlignment="1" applyProtection="1">
      <alignment horizontal="center"/>
      <protection hidden="1"/>
    </xf>
    <xf numFmtId="0" fontId="37" fillId="18" borderId="23" xfId="0" applyFont="1" applyFill="1" applyBorder="1" applyAlignment="1" applyProtection="1">
      <alignment horizontal="left" vertical="center"/>
      <protection hidden="1"/>
    </xf>
    <xf numFmtId="0" fontId="46" fillId="18" borderId="0" xfId="0" applyFont="1" applyFill="1" applyBorder="1" applyAlignment="1" applyProtection="1">
      <alignment horizontal="center" vertical="center"/>
      <protection hidden="1"/>
    </xf>
    <xf numFmtId="0" fontId="37" fillId="18" borderId="0" xfId="0" applyFont="1" applyFill="1" applyBorder="1" applyAlignment="1" applyProtection="1">
      <alignment horizontal="left" vertical="center"/>
      <protection hidden="1"/>
    </xf>
    <xf numFmtId="0" fontId="37" fillId="18" borderId="0" xfId="0" applyFont="1" applyFill="1" applyBorder="1" applyAlignment="1" applyProtection="1">
      <alignment horizontal="right" vertical="center"/>
      <protection hidden="1"/>
    </xf>
    <xf numFmtId="0" fontId="37" fillId="24" borderId="0" xfId="0" applyFont="1" applyFill="1" applyBorder="1" applyAlignment="1" applyProtection="1">
      <alignment horizontal="left" vertical="center"/>
      <protection hidden="1"/>
    </xf>
    <xf numFmtId="0" fontId="37" fillId="24" borderId="0" xfId="0" applyFont="1" applyFill="1" applyBorder="1" applyAlignment="1" applyProtection="1">
      <alignment horizontal="right" vertical="center"/>
      <protection hidden="1"/>
    </xf>
    <xf numFmtId="0" fontId="32" fillId="26" borderId="18" xfId="0" applyFont="1" applyFill="1" applyBorder="1" applyProtection="1">
      <protection hidden="1"/>
    </xf>
    <xf numFmtId="0" fontId="42" fillId="26" borderId="19" xfId="0" applyFont="1" applyFill="1" applyBorder="1" applyAlignment="1" applyProtection="1">
      <alignment horizontal="center"/>
      <protection hidden="1"/>
    </xf>
    <xf numFmtId="0" fontId="37" fillId="26" borderId="20" xfId="0" applyFont="1" applyFill="1" applyBorder="1" applyAlignment="1" applyProtection="1">
      <protection hidden="1"/>
    </xf>
    <xf numFmtId="0" fontId="50" fillId="26" borderId="10" xfId="0" applyFont="1" applyFill="1" applyBorder="1" applyAlignment="1" applyProtection="1">
      <alignment horizontal="center" vertical="center"/>
      <protection hidden="1"/>
    </xf>
    <xf numFmtId="0" fontId="48" fillId="25" borderId="0" xfId="0" applyFont="1" applyFill="1" applyBorder="1" applyAlignment="1" applyProtection="1">
      <alignment horizontal="left" vertical="center"/>
      <protection hidden="1"/>
    </xf>
    <xf numFmtId="0" fontId="37" fillId="25" borderId="10" xfId="0" applyFont="1" applyFill="1" applyBorder="1" applyProtection="1">
      <protection hidden="1"/>
    </xf>
    <xf numFmtId="170" fontId="51" fillId="26" borderId="10" xfId="0" applyNumberFormat="1" applyFont="1" applyFill="1" applyBorder="1" applyAlignment="1" applyProtection="1">
      <alignment horizontal="right"/>
      <protection hidden="1"/>
    </xf>
    <xf numFmtId="0" fontId="37" fillId="25" borderId="10" xfId="27" applyNumberFormat="1" applyFont="1" applyFill="1" applyBorder="1" applyAlignment="1" applyProtection="1">
      <alignment horizontal="right"/>
      <protection hidden="1"/>
    </xf>
    <xf numFmtId="0" fontId="48" fillId="25" borderId="0" xfId="0" applyFont="1" applyFill="1" applyBorder="1" applyAlignment="1" applyProtection="1">
      <alignment horizontal="right" vertical="center"/>
      <protection hidden="1"/>
    </xf>
    <xf numFmtId="0" fontId="48" fillId="25" borderId="10" xfId="0" applyFont="1" applyFill="1" applyBorder="1" applyAlignment="1" applyProtection="1">
      <alignment horizontal="left" vertical="center"/>
      <protection hidden="1"/>
    </xf>
    <xf numFmtId="0" fontId="49" fillId="25" borderId="0" xfId="0" applyFont="1" applyFill="1" applyBorder="1" applyAlignment="1" applyProtection="1">
      <alignment horizontal="left" vertical="center"/>
      <protection hidden="1"/>
    </xf>
    <xf numFmtId="0" fontId="52" fillId="28" borderId="10" xfId="0" applyFont="1" applyFill="1" applyBorder="1" applyProtection="1">
      <protection hidden="1"/>
    </xf>
    <xf numFmtId="167" fontId="43" fillId="0" borderId="0" xfId="0" applyNumberFormat="1" applyFont="1" applyFill="1" applyBorder="1" applyAlignment="1" applyProtection="1">
      <alignment vertical="center"/>
      <protection hidden="1"/>
    </xf>
    <xf numFmtId="164" fontId="37" fillId="0" borderId="0" xfId="0" applyNumberFormat="1" applyFont="1" applyFill="1" applyBorder="1" applyAlignment="1" applyProtection="1">
      <alignment horizontal="left" vertical="center"/>
      <protection hidden="1"/>
    </xf>
    <xf numFmtId="0" fontId="42" fillId="26" borderId="18" xfId="0" applyFont="1" applyFill="1" applyBorder="1" applyAlignment="1" applyProtection="1">
      <alignment horizontal="left"/>
      <protection hidden="1"/>
    </xf>
    <xf numFmtId="0" fontId="42" fillId="26" borderId="20" xfId="0" applyFont="1" applyFill="1" applyBorder="1" applyAlignment="1" applyProtection="1">
      <alignment horizontal="center"/>
      <protection hidden="1"/>
    </xf>
    <xf numFmtId="0" fontId="42" fillId="26" borderId="10" xfId="0" applyFont="1" applyFill="1" applyBorder="1" applyAlignment="1" applyProtection="1">
      <alignment horizontal="center"/>
      <protection hidden="1"/>
    </xf>
    <xf numFmtId="0" fontId="42" fillId="26" borderId="10" xfId="0" applyFont="1" applyFill="1" applyBorder="1" applyAlignment="1" applyProtection="1">
      <alignment horizontal="right"/>
      <protection hidden="1"/>
    </xf>
    <xf numFmtId="0" fontId="37" fillId="25" borderId="0" xfId="0" applyFont="1" applyFill="1" applyBorder="1" applyAlignment="1" applyProtection="1">
      <alignment horizontal="right"/>
      <protection hidden="1"/>
    </xf>
    <xf numFmtId="0" fontId="42" fillId="19" borderId="10" xfId="0" applyFont="1" applyFill="1" applyBorder="1" applyProtection="1">
      <protection hidden="1"/>
    </xf>
    <xf numFmtId="173" fontId="37" fillId="0" borderId="0" xfId="0" applyNumberFormat="1" applyFont="1" applyFill="1" applyBorder="1" applyAlignment="1" applyProtection="1">
      <alignment horizontal="right" vertical="center" indent="1"/>
      <protection locked="0"/>
    </xf>
    <xf numFmtId="0" fontId="53" fillId="27" borderId="0" xfId="0" applyFont="1" applyFill="1" applyBorder="1" applyAlignment="1" applyProtection="1">
      <alignment vertical="center"/>
      <protection hidden="1"/>
    </xf>
    <xf numFmtId="0" fontId="32" fillId="26" borderId="0" xfId="0" applyFont="1" applyFill="1" applyBorder="1" applyProtection="1">
      <protection hidden="1"/>
    </xf>
    <xf numFmtId="167" fontId="33" fillId="26" borderId="0" xfId="0" applyNumberFormat="1" applyFont="1" applyFill="1" applyBorder="1" applyAlignment="1" applyProtection="1">
      <alignment horizontal="center"/>
      <protection hidden="1"/>
    </xf>
    <xf numFmtId="0" fontId="34" fillId="26" borderId="0" xfId="0" applyFont="1" applyFill="1" applyBorder="1" applyAlignment="1" applyProtection="1">
      <alignment horizontal="right" vertical="center"/>
      <protection hidden="1"/>
    </xf>
    <xf numFmtId="0" fontId="33" fillId="26" borderId="0" xfId="0" applyFont="1" applyFill="1" applyBorder="1" applyAlignment="1" applyProtection="1">
      <alignment horizontal="right" vertical="center"/>
      <protection hidden="1"/>
    </xf>
    <xf numFmtId="167" fontId="34" fillId="26" borderId="0" xfId="0" applyNumberFormat="1" applyFont="1" applyFill="1" applyBorder="1" applyAlignment="1" applyProtection="1">
      <alignment vertical="center"/>
      <protection hidden="1"/>
    </xf>
    <xf numFmtId="167" fontId="33" fillId="26" borderId="0" xfId="0" applyNumberFormat="1" applyFont="1" applyFill="1" applyBorder="1" applyAlignment="1" applyProtection="1">
      <alignment vertical="center"/>
      <protection hidden="1"/>
    </xf>
    <xf numFmtId="164" fontId="33" fillId="26" borderId="0" xfId="0" applyNumberFormat="1" applyFont="1" applyFill="1" applyBorder="1" applyAlignment="1" applyProtection="1">
      <alignment horizontal="left" vertical="center"/>
      <protection hidden="1"/>
    </xf>
    <xf numFmtId="0" fontId="32" fillId="26" borderId="0" xfId="0" applyFont="1" applyFill="1" applyBorder="1" applyAlignment="1" applyProtection="1">
      <alignment horizontal="center"/>
      <protection hidden="1"/>
    </xf>
    <xf numFmtId="0" fontId="56" fillId="0" borderId="0" xfId="0" applyFont="1" applyFill="1" applyBorder="1" applyAlignment="1" applyProtection="1">
      <alignment horizontal="right" vertical="center"/>
      <protection hidden="1"/>
    </xf>
    <xf numFmtId="0" fontId="56" fillId="0" borderId="0" xfId="0" applyFont="1" applyFill="1" applyBorder="1" applyAlignment="1" applyProtection="1">
      <alignment horizontal="left" vertical="center"/>
      <protection hidden="1"/>
    </xf>
    <xf numFmtId="49" fontId="57" fillId="0" borderId="0" xfId="0" applyNumberFormat="1" applyFont="1" applyFill="1" applyBorder="1" applyAlignment="1" applyProtection="1">
      <alignment horizontal="left" vertical="center"/>
      <protection locked="0"/>
    </xf>
    <xf numFmtId="49" fontId="57" fillId="0" borderId="21" xfId="0" applyNumberFormat="1" applyFont="1" applyFill="1" applyBorder="1" applyAlignment="1" applyProtection="1">
      <alignment horizontal="left" vertical="center"/>
      <protection locked="0"/>
    </xf>
    <xf numFmtId="173" fontId="58" fillId="0" borderId="9" xfId="0" applyNumberFormat="1" applyFont="1" applyFill="1" applyBorder="1" applyAlignment="1" applyProtection="1">
      <alignment horizontal="right" vertical="center"/>
      <protection hidden="1"/>
    </xf>
    <xf numFmtId="173" fontId="59" fillId="0" borderId="9" xfId="0" applyNumberFormat="1" applyFont="1" applyFill="1" applyBorder="1" applyAlignment="1" applyProtection="1">
      <alignment horizontal="right" vertical="center"/>
      <protection hidden="1"/>
    </xf>
    <xf numFmtId="0" fontId="58" fillId="0" borderId="9" xfId="0" applyFont="1" applyFill="1" applyBorder="1" applyAlignment="1" applyProtection="1">
      <alignment horizontal="center" vertical="center"/>
      <protection hidden="1"/>
    </xf>
    <xf numFmtId="0" fontId="56" fillId="0" borderId="0" xfId="0" applyFont="1" applyFill="1" applyBorder="1" applyAlignment="1" applyProtection="1">
      <alignment horizontal="right" vertical="center"/>
      <protection locked="0"/>
    </xf>
    <xf numFmtId="0" fontId="56" fillId="0" borderId="0" xfId="0" applyFont="1" applyFill="1" applyBorder="1" applyAlignment="1" applyProtection="1">
      <alignment horizontal="left" vertical="center"/>
      <protection locked="0"/>
    </xf>
    <xf numFmtId="172" fontId="58" fillId="0" borderId="9" xfId="0" applyNumberFormat="1" applyFont="1" applyFill="1" applyBorder="1" applyAlignment="1" applyProtection="1">
      <alignment vertical="center"/>
      <protection hidden="1"/>
    </xf>
    <xf numFmtId="0" fontId="60" fillId="0" borderId="0" xfId="0" applyFont="1" applyFill="1" applyBorder="1" applyAlignment="1" applyProtection="1">
      <alignment horizontal="right" vertical="center"/>
      <protection hidden="1"/>
    </xf>
    <xf numFmtId="0" fontId="61" fillId="0" borderId="0" xfId="0" applyFont="1" applyFill="1" applyBorder="1" applyAlignment="1" applyProtection="1">
      <alignment horizontal="center" vertical="center"/>
      <protection hidden="1"/>
    </xf>
    <xf numFmtId="0" fontId="60" fillId="0" borderId="0" xfId="0" applyFont="1" applyFill="1" applyBorder="1" applyAlignment="1" applyProtection="1">
      <alignment horizontal="left" vertical="center"/>
      <protection hidden="1"/>
    </xf>
    <xf numFmtId="173" fontId="37" fillId="0" borderId="0" xfId="0" applyNumberFormat="1" applyFont="1" applyFill="1" applyBorder="1" applyAlignment="1" applyProtection="1">
      <alignment horizontal="right" vertical="center" indent="1"/>
      <protection hidden="1"/>
    </xf>
    <xf numFmtId="173" fontId="44" fillId="0" borderId="0" xfId="0" applyNumberFormat="1" applyFont="1" applyFill="1" applyBorder="1" applyAlignment="1" applyProtection="1">
      <alignment horizontal="right" vertical="center" indent="1"/>
      <protection hidden="1"/>
    </xf>
    <xf numFmtId="49" fontId="45" fillId="0" borderId="0" xfId="0" applyNumberFormat="1" applyFont="1" applyFill="1" applyBorder="1" applyAlignment="1" applyProtection="1">
      <alignment horizontal="left" vertical="center"/>
      <protection hidden="1"/>
    </xf>
    <xf numFmtId="49" fontId="45" fillId="0" borderId="21" xfId="0" applyNumberFormat="1" applyFont="1" applyFill="1" applyBorder="1" applyAlignment="1" applyProtection="1">
      <alignment horizontal="left" vertical="center"/>
      <protection hidden="1"/>
    </xf>
    <xf numFmtId="0" fontId="45" fillId="0" borderId="21" xfId="0" applyNumberFormat="1" applyFont="1" applyFill="1" applyBorder="1" applyAlignment="1" applyProtection="1">
      <alignment horizontal="left" vertical="center"/>
      <protection hidden="1"/>
    </xf>
    <xf numFmtId="0" fontId="48" fillId="25" borderId="0" xfId="0" applyFont="1" applyFill="1" applyBorder="1" applyAlignment="1" applyProtection="1">
      <alignment horizontal="center" vertical="center"/>
      <protection hidden="1"/>
    </xf>
    <xf numFmtId="0" fontId="62" fillId="25" borderId="10" xfId="0" applyFont="1" applyFill="1" applyBorder="1" applyAlignment="1" applyProtection="1">
      <alignment horizontal="center" vertical="center"/>
      <protection hidden="1"/>
    </xf>
    <xf numFmtId="0" fontId="62" fillId="25" borderId="10" xfId="0" applyFont="1" applyFill="1" applyBorder="1" applyAlignment="1" applyProtection="1">
      <alignment horizontal="left" vertical="center"/>
      <protection hidden="1"/>
    </xf>
    <xf numFmtId="0" fontId="56" fillId="0" borderId="0" xfId="0" applyFont="1" applyFill="1" applyProtection="1">
      <protection hidden="1"/>
    </xf>
    <xf numFmtId="0" fontId="43" fillId="0" borderId="0" xfId="0" applyFont="1" applyFill="1" applyProtection="1">
      <protection hidden="1"/>
    </xf>
    <xf numFmtId="0" fontId="37" fillId="0" borderId="0" xfId="0" applyFont="1" applyFill="1" applyAlignment="1" applyProtection="1">
      <alignment horizontal="center"/>
      <protection hidden="1"/>
    </xf>
    <xf numFmtId="0" fontId="37" fillId="0" borderId="0" xfId="0" applyFont="1" applyFill="1" applyAlignment="1" applyProtection="1">
      <alignment horizontal="right"/>
      <protection hidden="1"/>
    </xf>
    <xf numFmtId="0" fontId="56" fillId="0" borderId="0" xfId="0" applyFont="1" applyFill="1" applyBorder="1" applyProtection="1">
      <protection hidden="1"/>
    </xf>
    <xf numFmtId="0" fontId="37" fillId="0" borderId="0" xfId="0" applyFont="1" applyProtection="1">
      <protection hidden="1"/>
    </xf>
    <xf numFmtId="0" fontId="32" fillId="0" borderId="0" xfId="0" applyFont="1" applyProtection="1">
      <protection hidden="1"/>
    </xf>
    <xf numFmtId="166" fontId="37" fillId="19" borderId="0" xfId="0" applyNumberFormat="1" applyFont="1" applyFill="1" applyBorder="1" applyAlignment="1" applyProtection="1">
      <alignment horizontal="right"/>
      <protection hidden="1"/>
    </xf>
    <xf numFmtId="166" fontId="37" fillId="18" borderId="0" xfId="0" applyNumberFormat="1" applyFont="1" applyFill="1" applyBorder="1" applyAlignment="1" applyProtection="1">
      <alignment horizontal="right"/>
      <protection hidden="1"/>
    </xf>
    <xf numFmtId="166" fontId="37" fillId="18" borderId="0" xfId="0" applyNumberFormat="1" applyFont="1" applyFill="1" applyBorder="1" applyAlignment="1" applyProtection="1">
      <alignment horizontal="right" vertical="center"/>
      <protection hidden="1"/>
    </xf>
    <xf numFmtId="166" fontId="62" fillId="18" borderId="0" xfId="0" applyNumberFormat="1" applyFont="1" applyFill="1" applyBorder="1" applyAlignment="1" applyProtection="1">
      <alignment horizontal="right"/>
      <protection hidden="1"/>
    </xf>
    <xf numFmtId="165" fontId="62" fillId="18" borderId="0" xfId="0" applyNumberFormat="1" applyFont="1" applyFill="1" applyBorder="1" applyAlignment="1" applyProtection="1">
      <alignment horizontal="right"/>
      <protection hidden="1"/>
    </xf>
    <xf numFmtId="166" fontId="62" fillId="19" borderId="0" xfId="0" applyNumberFormat="1" applyFont="1" applyFill="1" applyBorder="1" applyAlignment="1" applyProtection="1">
      <alignment horizontal="right"/>
      <protection hidden="1"/>
    </xf>
    <xf numFmtId="0" fontId="62" fillId="18" borderId="0" xfId="0" applyFont="1" applyFill="1" applyProtection="1">
      <protection hidden="1"/>
    </xf>
    <xf numFmtId="0" fontId="41" fillId="18" borderId="0" xfId="0" applyFont="1" applyFill="1" applyProtection="1">
      <protection hidden="1"/>
    </xf>
    <xf numFmtId="0" fontId="41" fillId="18" borderId="0" xfId="0" applyFont="1" applyFill="1" applyBorder="1" applyAlignment="1" applyProtection="1">
      <alignment horizontal="right"/>
      <protection hidden="1"/>
    </xf>
    <xf numFmtId="0" fontId="41" fillId="18" borderId="0" xfId="0" applyFont="1" applyFill="1" applyBorder="1" applyAlignment="1" applyProtection="1">
      <alignment horizontal="center"/>
      <protection hidden="1"/>
    </xf>
    <xf numFmtId="0" fontId="41" fillId="18" borderId="9" xfId="0" applyFont="1" applyFill="1" applyBorder="1" applyAlignment="1" applyProtection="1">
      <alignment horizontal="center"/>
      <protection hidden="1"/>
    </xf>
    <xf numFmtId="0" fontId="62" fillId="24" borderId="0" xfId="0" applyFont="1" applyFill="1" applyAlignment="1" applyProtection="1">
      <alignment vertical="center"/>
      <protection hidden="1"/>
    </xf>
    <xf numFmtId="0" fontId="62" fillId="24" borderId="0" xfId="0" applyFont="1" applyFill="1" applyAlignment="1" applyProtection="1">
      <alignment horizontal="right" vertical="center"/>
      <protection hidden="1"/>
    </xf>
    <xf numFmtId="0" fontId="62" fillId="24" borderId="0" xfId="0" applyFont="1" applyFill="1" applyProtection="1">
      <protection hidden="1"/>
    </xf>
    <xf numFmtId="0" fontId="62" fillId="19" borderId="0" xfId="0" applyFont="1" applyFill="1" applyProtection="1">
      <protection hidden="1"/>
    </xf>
    <xf numFmtId="166" fontId="37" fillId="18" borderId="0" xfId="0" applyNumberFormat="1" applyFont="1" applyFill="1" applyBorder="1" applyAlignment="1" applyProtection="1">
      <alignment horizontal="center"/>
      <protection hidden="1"/>
    </xf>
    <xf numFmtId="0" fontId="34" fillId="0" borderId="9" xfId="0" applyFont="1" applyFill="1" applyBorder="1" applyAlignment="1" applyProtection="1">
      <alignment horizontal="left" vertical="center"/>
      <protection hidden="1"/>
    </xf>
    <xf numFmtId="0" fontId="43" fillId="18" borderId="9" xfId="0" applyFont="1" applyFill="1" applyBorder="1" applyAlignment="1" applyProtection="1">
      <alignment vertical="center"/>
      <protection hidden="1"/>
    </xf>
    <xf numFmtId="0" fontId="37" fillId="18" borderId="9" xfId="0" applyFont="1" applyFill="1" applyBorder="1" applyAlignment="1" applyProtection="1">
      <alignment vertical="center"/>
      <protection hidden="1"/>
    </xf>
    <xf numFmtId="0" fontId="37" fillId="18" borderId="0" xfId="0" applyFont="1" applyFill="1" applyBorder="1" applyAlignment="1" applyProtection="1">
      <alignment vertical="center"/>
      <protection hidden="1"/>
    </xf>
    <xf numFmtId="0" fontId="63" fillId="19" borderId="18" xfId="0" applyFont="1" applyFill="1" applyBorder="1" applyProtection="1">
      <protection hidden="1"/>
    </xf>
    <xf numFmtId="165" fontId="64" fillId="19" borderId="19" xfId="0" applyNumberFormat="1" applyFont="1" applyFill="1" applyBorder="1" applyProtection="1">
      <protection hidden="1"/>
    </xf>
    <xf numFmtId="0" fontId="64" fillId="19" borderId="19" xfId="0" applyFont="1" applyFill="1" applyBorder="1" applyProtection="1">
      <protection hidden="1"/>
    </xf>
    <xf numFmtId="0" fontId="63" fillId="19" borderId="20" xfId="0" applyFont="1" applyFill="1" applyBorder="1" applyAlignment="1" applyProtection="1">
      <alignment horizontal="center"/>
      <protection hidden="1"/>
    </xf>
    <xf numFmtId="0" fontId="35" fillId="19" borderId="20" xfId="0" applyFont="1" applyFill="1" applyBorder="1" applyAlignment="1" applyProtection="1">
      <alignment horizontal="center"/>
      <protection hidden="1"/>
    </xf>
    <xf numFmtId="0" fontId="35" fillId="19" borderId="10" xfId="0" applyFont="1" applyFill="1" applyBorder="1" applyAlignment="1" applyProtection="1">
      <alignment horizontal="center"/>
      <protection hidden="1"/>
    </xf>
    <xf numFmtId="0" fontId="62" fillId="18" borderId="0" xfId="0" applyFont="1" applyFill="1" applyAlignment="1" applyProtection="1">
      <alignment horizontal="center"/>
      <protection hidden="1"/>
    </xf>
    <xf numFmtId="0" fontId="35" fillId="19" borderId="18" xfId="0" applyFont="1" applyFill="1" applyBorder="1" applyAlignment="1" applyProtection="1">
      <alignment horizontal="center"/>
      <protection hidden="1"/>
    </xf>
    <xf numFmtId="0" fontId="41" fillId="19" borderId="19" xfId="0" applyFont="1" applyFill="1" applyBorder="1" applyAlignment="1" applyProtection="1">
      <alignment horizontal="center"/>
      <protection hidden="1"/>
    </xf>
    <xf numFmtId="0" fontId="65" fillId="19" borderId="20" xfId="0" applyFont="1" applyFill="1" applyBorder="1" applyAlignment="1" applyProtection="1">
      <alignment horizontal="right"/>
      <protection hidden="1"/>
    </xf>
    <xf numFmtId="0" fontId="42" fillId="27" borderId="10" xfId="0" applyFont="1" applyFill="1" applyBorder="1" applyAlignment="1" applyProtection="1">
      <alignment horizontal="center" vertical="center"/>
      <protection hidden="1"/>
    </xf>
    <xf numFmtId="0" fontId="35" fillId="19" borderId="10" xfId="0" applyFont="1" applyFill="1" applyBorder="1" applyAlignment="1" applyProtection="1">
      <alignment horizontal="center" vertical="center"/>
      <protection hidden="1"/>
    </xf>
    <xf numFmtId="0" fontId="35" fillId="19" borderId="10" xfId="0" applyFont="1" applyFill="1" applyBorder="1" applyAlignment="1" applyProtection="1">
      <alignment vertical="center"/>
      <protection hidden="1"/>
    </xf>
    <xf numFmtId="0" fontId="35" fillId="19" borderId="10" xfId="0" applyFont="1" applyFill="1" applyBorder="1" applyAlignment="1" applyProtection="1">
      <alignment horizontal="right" vertical="center"/>
      <protection hidden="1"/>
    </xf>
    <xf numFmtId="0" fontId="48" fillId="18" borderId="24" xfId="0" applyFont="1" applyFill="1" applyBorder="1" applyAlignment="1" applyProtection="1">
      <alignment horizontal="right" vertical="center"/>
      <protection hidden="1"/>
    </xf>
    <xf numFmtId="0" fontId="35" fillId="24" borderId="0" xfId="0" applyFont="1" applyFill="1" applyBorder="1" applyAlignment="1" applyProtection="1">
      <alignment horizontal="center" vertical="center"/>
      <protection hidden="1"/>
    </xf>
    <xf numFmtId="0" fontId="35" fillId="20" borderId="10" xfId="0" applyFont="1" applyFill="1" applyBorder="1" applyAlignment="1" applyProtection="1">
      <alignment horizontal="center" vertical="center"/>
      <protection hidden="1"/>
    </xf>
    <xf numFmtId="0" fontId="35" fillId="29" borderId="10" xfId="0" applyFont="1" applyFill="1" applyBorder="1" applyAlignment="1" applyProtection="1">
      <alignment horizontal="center" vertical="center"/>
      <protection hidden="1"/>
    </xf>
    <xf numFmtId="0" fontId="35" fillId="20" borderId="11" xfId="0" applyFont="1" applyFill="1" applyBorder="1" applyAlignment="1" applyProtection="1">
      <alignment horizontal="center" vertical="center"/>
      <protection hidden="1"/>
    </xf>
    <xf numFmtId="0" fontId="35" fillId="24" borderId="0" xfId="0" applyFont="1" applyFill="1" applyBorder="1" applyAlignment="1" applyProtection="1">
      <alignment horizontal="center"/>
      <protection hidden="1"/>
    </xf>
    <xf numFmtId="0" fontId="41" fillId="19" borderId="0" xfId="0" applyFont="1" applyFill="1" applyProtection="1">
      <protection hidden="1"/>
    </xf>
    <xf numFmtId="0" fontId="37" fillId="18" borderId="9" xfId="0" applyFont="1" applyFill="1" applyBorder="1" applyAlignment="1" applyProtection="1">
      <alignment horizontal="center"/>
      <protection hidden="1"/>
    </xf>
    <xf numFmtId="0" fontId="37" fillId="18" borderId="9" xfId="0" applyFont="1" applyFill="1" applyBorder="1" applyProtection="1">
      <protection hidden="1"/>
    </xf>
    <xf numFmtId="0" fontId="37" fillId="18" borderId="10" xfId="0" applyFont="1" applyFill="1" applyBorder="1" applyProtection="1">
      <protection hidden="1"/>
    </xf>
    <xf numFmtId="166" fontId="37" fillId="18" borderId="10" xfId="0" applyNumberFormat="1" applyFont="1" applyFill="1" applyBorder="1" applyAlignment="1" applyProtection="1">
      <alignment vertical="center"/>
      <protection hidden="1"/>
    </xf>
    <xf numFmtId="0" fontId="37" fillId="18" borderId="10" xfId="0" applyFont="1" applyFill="1" applyBorder="1" applyAlignment="1" applyProtection="1">
      <alignment vertical="center"/>
      <protection hidden="1"/>
    </xf>
    <xf numFmtId="0" fontId="42" fillId="19" borderId="17" xfId="0" applyFont="1" applyFill="1" applyBorder="1" applyAlignment="1" applyProtection="1">
      <alignment horizontal="center" vertical="center"/>
      <protection hidden="1"/>
    </xf>
    <xf numFmtId="165" fontId="37" fillId="18" borderId="10" xfId="0" applyNumberFormat="1" applyFont="1" applyFill="1" applyBorder="1" applyAlignment="1" applyProtection="1">
      <alignment horizontal="left" vertical="center"/>
      <protection hidden="1"/>
    </xf>
    <xf numFmtId="166" fontId="66" fillId="19" borderId="17" xfId="0" applyNumberFormat="1" applyFont="1" applyFill="1" applyBorder="1" applyAlignment="1" applyProtection="1">
      <alignment horizontal="right" vertical="center"/>
      <protection hidden="1"/>
    </xf>
    <xf numFmtId="165" fontId="62" fillId="18" borderId="17" xfId="0" applyNumberFormat="1" applyFont="1" applyFill="1" applyBorder="1" applyAlignment="1" applyProtection="1">
      <alignment horizontal="right" vertical="center"/>
      <protection hidden="1"/>
    </xf>
    <xf numFmtId="166" fontId="62" fillId="18" borderId="17" xfId="0" applyNumberFormat="1" applyFont="1" applyFill="1" applyBorder="1" applyProtection="1">
      <protection hidden="1"/>
    </xf>
    <xf numFmtId="0" fontId="62" fillId="18" borderId="17" xfId="0" applyFont="1" applyFill="1" applyBorder="1" applyProtection="1">
      <protection hidden="1"/>
    </xf>
    <xf numFmtId="0" fontId="66" fillId="19" borderId="17" xfId="0" applyFont="1" applyFill="1" applyBorder="1" applyProtection="1">
      <protection hidden="1"/>
    </xf>
    <xf numFmtId="0" fontId="62" fillId="18" borderId="10" xfId="0" applyFont="1" applyFill="1" applyBorder="1" applyAlignment="1" applyProtection="1">
      <alignment horizontal="center"/>
      <protection hidden="1"/>
    </xf>
    <xf numFmtId="166" fontId="62" fillId="18" borderId="10" xfId="0" applyNumberFormat="1" applyFont="1" applyFill="1" applyBorder="1" applyAlignment="1" applyProtection="1">
      <alignment horizontal="center"/>
      <protection hidden="1"/>
    </xf>
    <xf numFmtId="166" fontId="62" fillId="18" borderId="10" xfId="0" applyNumberFormat="1" applyFont="1" applyFill="1" applyBorder="1" applyProtection="1">
      <protection hidden="1"/>
    </xf>
    <xf numFmtId="0" fontId="62" fillId="18" borderId="10" xfId="0" applyFont="1" applyFill="1" applyBorder="1" applyProtection="1">
      <protection hidden="1"/>
    </xf>
    <xf numFmtId="166" fontId="41" fillId="18" borderId="0" xfId="0" applyNumberFormat="1" applyFont="1" applyFill="1" applyBorder="1" applyProtection="1">
      <protection hidden="1"/>
    </xf>
    <xf numFmtId="166" fontId="66" fillId="19" borderId="17" xfId="0" applyNumberFormat="1" applyFont="1" applyFill="1" applyBorder="1" applyAlignment="1" applyProtection="1">
      <alignment horizontal="center" vertical="center"/>
      <protection hidden="1"/>
    </xf>
    <xf numFmtId="1" fontId="41" fillId="18" borderId="17" xfId="0" applyNumberFormat="1" applyFont="1" applyFill="1" applyBorder="1" applyAlignment="1" applyProtection="1">
      <alignment horizontal="center" vertical="center"/>
      <protection hidden="1"/>
    </xf>
    <xf numFmtId="166" fontId="41" fillId="18" borderId="17" xfId="0" applyNumberFormat="1" applyFont="1" applyFill="1" applyBorder="1" applyAlignment="1" applyProtection="1">
      <alignment horizontal="center" vertical="center"/>
      <protection hidden="1"/>
    </xf>
    <xf numFmtId="0" fontId="41" fillId="18" borderId="10" xfId="0" applyFont="1" applyFill="1" applyBorder="1" applyAlignment="1" applyProtection="1">
      <alignment horizontal="center" vertical="center"/>
      <protection hidden="1"/>
    </xf>
    <xf numFmtId="166" fontId="66" fillId="19" borderId="18" xfId="0" applyNumberFormat="1" applyFont="1" applyFill="1" applyBorder="1" applyAlignment="1" applyProtection="1">
      <alignment horizontal="left"/>
      <protection hidden="1"/>
    </xf>
    <xf numFmtId="0" fontId="41" fillId="18" borderId="17" xfId="0" applyFont="1" applyFill="1" applyBorder="1" applyAlignment="1" applyProtection="1">
      <alignment horizontal="left"/>
      <protection hidden="1"/>
    </xf>
    <xf numFmtId="0" fontId="41" fillId="18" borderId="17" xfId="0" applyFont="1" applyFill="1" applyBorder="1" applyAlignment="1" applyProtection="1">
      <alignment horizontal="center"/>
      <protection hidden="1"/>
    </xf>
    <xf numFmtId="0" fontId="66" fillId="19" borderId="17" xfId="0" applyFont="1" applyFill="1" applyBorder="1" applyAlignment="1" applyProtection="1">
      <alignment horizontal="center"/>
      <protection hidden="1"/>
    </xf>
    <xf numFmtId="0" fontId="66" fillId="19" borderId="18" xfId="0" applyFont="1" applyFill="1" applyBorder="1" applyAlignment="1" applyProtection="1">
      <alignment horizontal="right" vertical="center"/>
      <protection hidden="1"/>
    </xf>
    <xf numFmtId="0" fontId="41" fillId="18" borderId="10" xfId="0" applyFont="1" applyFill="1" applyBorder="1" applyAlignment="1" applyProtection="1">
      <alignment horizontal="left" vertical="center"/>
      <protection hidden="1"/>
    </xf>
    <xf numFmtId="0" fontId="41" fillId="18" borderId="10" xfId="0" applyFont="1" applyFill="1" applyBorder="1" applyAlignment="1" applyProtection="1">
      <alignment horizontal="right" vertical="center"/>
      <protection hidden="1"/>
    </xf>
    <xf numFmtId="0" fontId="41" fillId="18" borderId="18" xfId="0" applyFont="1" applyFill="1" applyBorder="1" applyAlignment="1" applyProtection="1">
      <alignment horizontal="left" vertical="center"/>
      <protection hidden="1"/>
    </xf>
    <xf numFmtId="0" fontId="35" fillId="19" borderId="10" xfId="0" applyFont="1" applyFill="1" applyBorder="1" applyAlignment="1" applyProtection="1">
      <alignment horizontal="left" vertical="center"/>
      <protection hidden="1"/>
    </xf>
    <xf numFmtId="0" fontId="41" fillId="18" borderId="25" xfId="0" applyFont="1" applyFill="1" applyBorder="1" applyAlignment="1" applyProtection="1">
      <alignment horizontal="center"/>
      <protection hidden="1"/>
    </xf>
    <xf numFmtId="0" fontId="41" fillId="24" borderId="0" xfId="0" applyFont="1" applyFill="1" applyBorder="1" applyAlignment="1" applyProtection="1">
      <alignment vertical="center"/>
      <protection hidden="1"/>
    </xf>
    <xf numFmtId="0" fontId="41" fillId="24" borderId="10" xfId="0" applyFont="1" applyFill="1" applyBorder="1" applyAlignment="1" applyProtection="1">
      <alignment vertical="center"/>
      <protection hidden="1"/>
    </xf>
    <xf numFmtId="166" fontId="41" fillId="24" borderId="10" xfId="0" applyNumberFormat="1" applyFont="1" applyFill="1" applyBorder="1" applyAlignment="1" applyProtection="1">
      <alignment horizontal="right" vertical="center"/>
      <protection hidden="1"/>
    </xf>
    <xf numFmtId="166" fontId="66" fillId="28" borderId="10" xfId="0" applyNumberFormat="1" applyFont="1" applyFill="1" applyBorder="1" applyAlignment="1" applyProtection="1">
      <alignment horizontal="right" vertical="center"/>
      <protection hidden="1"/>
    </xf>
    <xf numFmtId="0" fontId="41" fillId="24" borderId="10" xfId="0" applyFont="1" applyFill="1" applyBorder="1" applyAlignment="1" applyProtection="1">
      <alignment horizontal="center" vertical="center"/>
      <protection hidden="1"/>
    </xf>
    <xf numFmtId="166" fontId="35" fillId="20" borderId="18" xfId="0" applyNumberFormat="1" applyFont="1" applyFill="1" applyBorder="1" applyAlignment="1" applyProtection="1">
      <alignment horizontal="center" vertical="center"/>
      <protection hidden="1"/>
    </xf>
    <xf numFmtId="0" fontId="41" fillId="24" borderId="10" xfId="0" applyFont="1" applyFill="1" applyBorder="1" applyAlignment="1" applyProtection="1">
      <alignment horizontal="left" vertical="center"/>
      <protection hidden="1"/>
    </xf>
    <xf numFmtId="0" fontId="66" fillId="20" borderId="11" xfId="0" applyFont="1" applyFill="1" applyBorder="1" applyAlignment="1" applyProtection="1">
      <alignment horizontal="center" vertical="center"/>
      <protection hidden="1"/>
    </xf>
    <xf numFmtId="0" fontId="41" fillId="24" borderId="0" xfId="0" applyFont="1" applyFill="1" applyBorder="1" applyProtection="1">
      <protection hidden="1"/>
    </xf>
    <xf numFmtId="0" fontId="42" fillId="21" borderId="17" xfId="0" applyFont="1" applyFill="1" applyBorder="1" applyAlignment="1" applyProtection="1">
      <alignment horizontal="center" vertical="center"/>
      <protection hidden="1"/>
    </xf>
    <xf numFmtId="0" fontId="33" fillId="0" borderId="0" xfId="0" applyFont="1" applyAlignment="1" applyProtection="1">
      <alignment horizontal="center" vertical="center"/>
      <protection hidden="1"/>
    </xf>
    <xf numFmtId="0" fontId="42" fillId="21" borderId="10" xfId="0" applyFont="1" applyFill="1" applyBorder="1" applyAlignment="1" applyProtection="1">
      <alignment horizontal="center" vertical="center"/>
      <protection hidden="1"/>
    </xf>
    <xf numFmtId="165" fontId="62" fillId="18" borderId="10" xfId="0" applyNumberFormat="1" applyFont="1" applyFill="1" applyBorder="1" applyAlignment="1" applyProtection="1">
      <alignment horizontal="right" vertical="center"/>
      <protection hidden="1"/>
    </xf>
    <xf numFmtId="0" fontId="66" fillId="19" borderId="10" xfId="0" applyFont="1" applyFill="1" applyBorder="1" applyProtection="1">
      <protection hidden="1"/>
    </xf>
    <xf numFmtId="0" fontId="62" fillId="18" borderId="10" xfId="0" applyFont="1" applyFill="1" applyBorder="1" applyAlignment="1" applyProtection="1">
      <alignment horizontal="left" vertical="center"/>
      <protection hidden="1"/>
    </xf>
    <xf numFmtId="0" fontId="41" fillId="18" borderId="11" xfId="0" applyFont="1" applyFill="1" applyBorder="1" applyAlignment="1" applyProtection="1">
      <alignment horizontal="center"/>
      <protection hidden="1"/>
    </xf>
    <xf numFmtId="0" fontId="41" fillId="24" borderId="11" xfId="0" applyFont="1" applyFill="1" applyBorder="1" applyAlignment="1" applyProtection="1">
      <alignment vertical="center"/>
      <protection hidden="1"/>
    </xf>
    <xf numFmtId="0" fontId="62" fillId="18" borderId="10" xfId="0" applyFont="1" applyFill="1" applyBorder="1" applyAlignment="1" applyProtection="1">
      <alignment horizontal="center" vertical="center"/>
      <protection hidden="1"/>
    </xf>
    <xf numFmtId="0" fontId="67" fillId="19" borderId="10" xfId="0" applyFont="1" applyFill="1" applyBorder="1" applyAlignment="1" applyProtection="1">
      <alignment horizontal="center" vertical="center"/>
      <protection hidden="1"/>
    </xf>
    <xf numFmtId="0" fontId="62" fillId="18" borderId="10" xfId="0" applyFont="1" applyFill="1" applyBorder="1" applyAlignment="1" applyProtection="1">
      <alignment horizontal="right" vertical="center"/>
      <protection hidden="1"/>
    </xf>
    <xf numFmtId="0" fontId="41" fillId="18" borderId="26" xfId="0" applyFont="1" applyFill="1" applyBorder="1" applyAlignment="1" applyProtection="1">
      <alignment horizontal="center"/>
      <protection hidden="1"/>
    </xf>
    <xf numFmtId="0" fontId="41" fillId="24" borderId="26" xfId="0" applyFont="1" applyFill="1" applyBorder="1" applyAlignment="1" applyProtection="1">
      <alignment vertical="center"/>
      <protection hidden="1"/>
    </xf>
    <xf numFmtId="0" fontId="62" fillId="18" borderId="17" xfId="0" applyFont="1" applyFill="1" applyBorder="1" applyAlignment="1" applyProtection="1">
      <alignment horizontal="right" vertical="center"/>
      <protection hidden="1"/>
    </xf>
    <xf numFmtId="0" fontId="66" fillId="20" borderId="10" xfId="0" applyFont="1" applyFill="1" applyBorder="1" applyAlignment="1" applyProtection="1">
      <alignment horizontal="center" vertical="center"/>
      <protection hidden="1"/>
    </xf>
    <xf numFmtId="0" fontId="42" fillId="19" borderId="10" xfId="0" applyFont="1" applyFill="1" applyBorder="1" applyAlignment="1" applyProtection="1">
      <alignment horizontal="center" vertical="center"/>
      <protection hidden="1"/>
    </xf>
    <xf numFmtId="0" fontId="32" fillId="0" borderId="0" xfId="0" applyFont="1" applyFill="1" applyAlignment="1" applyProtection="1">
      <alignment wrapText="1"/>
      <protection hidden="1"/>
    </xf>
    <xf numFmtId="0" fontId="41" fillId="24" borderId="17" xfId="0" applyFont="1" applyFill="1" applyBorder="1" applyAlignment="1" applyProtection="1">
      <alignment vertical="center"/>
      <protection hidden="1"/>
    </xf>
    <xf numFmtId="0" fontId="66" fillId="28" borderId="0" xfId="0" applyFont="1" applyFill="1" applyBorder="1" applyAlignment="1" applyProtection="1">
      <alignment vertical="center"/>
      <protection hidden="1"/>
    </xf>
    <xf numFmtId="0" fontId="43" fillId="0" borderId="0" xfId="0" applyFont="1" applyFill="1" applyBorder="1" applyProtection="1">
      <protection hidden="1"/>
    </xf>
    <xf numFmtId="0" fontId="37" fillId="0" borderId="0" xfId="0" applyFont="1" applyFill="1" applyBorder="1" applyAlignment="1" applyProtection="1">
      <alignment horizontal="right"/>
      <protection hidden="1"/>
    </xf>
    <xf numFmtId="0" fontId="68" fillId="18" borderId="10" xfId="0" applyFont="1" applyFill="1" applyBorder="1" applyAlignment="1" applyProtection="1">
      <alignment horizontal="right" vertical="center"/>
      <protection hidden="1"/>
    </xf>
    <xf numFmtId="0" fontId="66" fillId="28" borderId="10" xfId="0" applyFont="1" applyFill="1" applyBorder="1" applyAlignment="1" applyProtection="1">
      <alignment vertical="center"/>
      <protection hidden="1"/>
    </xf>
    <xf numFmtId="0" fontId="66" fillId="28" borderId="10" xfId="0" quotePrefix="1" applyFont="1" applyFill="1" applyBorder="1" applyAlignment="1" applyProtection="1">
      <alignment vertical="center"/>
      <protection hidden="1"/>
    </xf>
    <xf numFmtId="0" fontId="41" fillId="24" borderId="0" xfId="0" applyFont="1" applyFill="1" applyBorder="1" applyAlignment="1" applyProtection="1">
      <alignment horizontal="center" vertical="center"/>
      <protection hidden="1"/>
    </xf>
    <xf numFmtId="0" fontId="35" fillId="20" borderId="27" xfId="0" applyFont="1" applyFill="1" applyBorder="1" applyAlignment="1" applyProtection="1">
      <alignment vertical="center"/>
      <protection hidden="1"/>
    </xf>
    <xf numFmtId="0" fontId="35" fillId="20" borderId="24" xfId="0" applyFont="1" applyFill="1" applyBorder="1" applyAlignment="1" applyProtection="1">
      <alignment vertical="center"/>
      <protection hidden="1"/>
    </xf>
    <xf numFmtId="0" fontId="35" fillId="20" borderId="10" xfId="0" applyFont="1" applyFill="1" applyBorder="1" applyAlignment="1" applyProtection="1">
      <alignment horizontal="right" vertical="center"/>
      <protection hidden="1"/>
    </xf>
    <xf numFmtId="0" fontId="35" fillId="20" borderId="10" xfId="0" applyFont="1" applyFill="1" applyBorder="1" applyAlignment="1" applyProtection="1">
      <alignment vertical="center"/>
      <protection hidden="1"/>
    </xf>
    <xf numFmtId="0" fontId="41" fillId="30" borderId="10" xfId="0" applyFont="1" applyFill="1" applyBorder="1" applyAlignment="1" applyProtection="1">
      <alignment horizontal="center" vertical="center"/>
      <protection hidden="1"/>
    </xf>
    <xf numFmtId="0" fontId="41" fillId="24" borderId="25" xfId="0" applyFont="1" applyFill="1" applyBorder="1" applyAlignment="1" applyProtection="1">
      <alignment horizontal="right" vertical="center"/>
      <protection hidden="1"/>
    </xf>
    <xf numFmtId="0" fontId="41" fillId="20" borderId="18" xfId="0" applyFont="1" applyFill="1" applyBorder="1" applyAlignment="1" applyProtection="1">
      <alignment horizontal="left" vertical="center"/>
      <protection hidden="1"/>
    </xf>
    <xf numFmtId="0" fontId="41" fillId="24" borderId="27" xfId="0" applyFont="1" applyFill="1" applyBorder="1" applyAlignment="1" applyProtection="1">
      <alignment horizontal="center" vertical="center"/>
      <protection hidden="1"/>
    </xf>
    <xf numFmtId="0" fontId="41" fillId="24" borderId="24" xfId="0" applyFont="1" applyFill="1" applyBorder="1" applyAlignment="1" applyProtection="1">
      <alignment horizontal="center" vertical="center"/>
      <protection hidden="1"/>
    </xf>
    <xf numFmtId="0" fontId="41" fillId="24" borderId="20" xfId="0" applyFont="1" applyFill="1" applyBorder="1" applyAlignment="1" applyProtection="1">
      <alignment horizontal="right" vertical="center"/>
      <protection hidden="1"/>
    </xf>
    <xf numFmtId="0" fontId="41" fillId="24" borderId="18" xfId="0" applyFont="1" applyFill="1" applyBorder="1" applyAlignment="1" applyProtection="1">
      <alignment horizontal="left" vertical="center"/>
      <protection hidden="1"/>
    </xf>
    <xf numFmtId="0" fontId="35" fillId="20" borderId="18" xfId="0" applyFont="1" applyFill="1" applyBorder="1" applyAlignment="1" applyProtection="1">
      <alignment horizontal="left" vertical="center"/>
      <protection hidden="1"/>
    </xf>
    <xf numFmtId="0" fontId="41" fillId="20" borderId="19" xfId="0" applyFont="1" applyFill="1" applyBorder="1" applyAlignment="1" applyProtection="1">
      <alignment vertical="center"/>
      <protection hidden="1"/>
    </xf>
    <xf numFmtId="0" fontId="41" fillId="20" borderId="20" xfId="0" applyFont="1" applyFill="1" applyBorder="1" applyAlignment="1" applyProtection="1">
      <alignment vertical="center"/>
      <protection hidden="1"/>
    </xf>
    <xf numFmtId="0" fontId="41" fillId="24" borderId="23" xfId="0" applyFont="1" applyFill="1" applyBorder="1" applyAlignment="1" applyProtection="1">
      <alignment horizontal="center" vertical="center"/>
      <protection hidden="1"/>
    </xf>
    <xf numFmtId="0" fontId="41" fillId="24" borderId="25" xfId="0" applyFont="1" applyFill="1" applyBorder="1" applyAlignment="1" applyProtection="1">
      <alignment horizontal="center" vertical="center"/>
      <protection hidden="1"/>
    </xf>
    <xf numFmtId="0" fontId="62" fillId="24" borderId="18" xfId="0" applyFont="1" applyFill="1" applyBorder="1" applyAlignment="1" applyProtection="1">
      <alignment horizontal="left" vertical="center"/>
      <protection hidden="1"/>
    </xf>
    <xf numFmtId="0" fontId="41" fillId="24" borderId="19" xfId="0" applyFont="1" applyFill="1" applyBorder="1" applyAlignment="1" applyProtection="1">
      <alignment vertical="center"/>
      <protection hidden="1"/>
    </xf>
    <xf numFmtId="0" fontId="41" fillId="24" borderId="20" xfId="0" applyFont="1" applyFill="1" applyBorder="1" applyAlignment="1" applyProtection="1">
      <alignment vertical="center"/>
      <protection hidden="1"/>
    </xf>
    <xf numFmtId="0" fontId="42" fillId="19" borderId="17" xfId="0" applyFont="1" applyFill="1" applyBorder="1" applyAlignment="1" applyProtection="1">
      <alignment horizontal="center" vertical="center"/>
      <protection locked="0" hidden="1"/>
    </xf>
    <xf numFmtId="0" fontId="42" fillId="19" borderId="10" xfId="0" applyFont="1" applyFill="1" applyBorder="1" applyAlignment="1" applyProtection="1">
      <alignment horizontal="center" vertical="center"/>
      <protection locked="0"/>
    </xf>
    <xf numFmtId="0" fontId="41" fillId="24" borderId="28" xfId="0" applyFont="1" applyFill="1" applyBorder="1" applyAlignment="1" applyProtection="1">
      <alignment horizontal="center" vertical="center"/>
      <protection hidden="1"/>
    </xf>
    <xf numFmtId="0" fontId="41" fillId="24" borderId="29" xfId="0" applyFont="1" applyFill="1" applyBorder="1" applyAlignment="1" applyProtection="1">
      <alignment horizontal="center" vertical="center"/>
      <protection hidden="1"/>
    </xf>
    <xf numFmtId="0" fontId="41" fillId="20" borderId="10" xfId="0" applyFont="1" applyFill="1" applyBorder="1" applyAlignment="1" applyProtection="1">
      <alignment horizontal="left" vertical="center"/>
      <protection hidden="1"/>
    </xf>
    <xf numFmtId="0" fontId="41" fillId="24" borderId="10" xfId="0" applyFont="1" applyFill="1" applyBorder="1" applyAlignment="1" applyProtection="1">
      <alignment horizontal="right" vertical="center"/>
      <protection hidden="1"/>
    </xf>
    <xf numFmtId="0" fontId="41" fillId="24" borderId="0" xfId="0" applyFont="1" applyFill="1" applyAlignment="1" applyProtection="1">
      <alignment vertical="center"/>
      <protection hidden="1"/>
    </xf>
    <xf numFmtId="0" fontId="41" fillId="24" borderId="0" xfId="0" applyFont="1" applyFill="1" applyProtection="1">
      <protection hidden="1"/>
    </xf>
    <xf numFmtId="0" fontId="37" fillId="18" borderId="29" xfId="0" applyFont="1" applyFill="1" applyBorder="1" applyAlignment="1" applyProtection="1">
      <alignment vertical="center"/>
      <protection hidden="1"/>
    </xf>
    <xf numFmtId="0" fontId="62" fillId="18" borderId="0" xfId="0" applyFont="1" applyFill="1" applyBorder="1" applyProtection="1">
      <protection hidden="1"/>
    </xf>
    <xf numFmtId="165" fontId="62" fillId="18" borderId="0" xfId="0" applyNumberFormat="1" applyFont="1" applyFill="1" applyBorder="1" applyProtection="1">
      <protection hidden="1"/>
    </xf>
    <xf numFmtId="0" fontId="37" fillId="18" borderId="9" xfId="0" applyFont="1" applyFill="1" applyBorder="1" applyAlignment="1" applyProtection="1">
      <alignment horizontal="right" vertical="center"/>
      <protection hidden="1"/>
    </xf>
    <xf numFmtId="0" fontId="37" fillId="18" borderId="10" xfId="0" applyFont="1" applyFill="1" applyBorder="1" applyAlignment="1" applyProtection="1">
      <alignment horizontal="right"/>
      <protection hidden="1"/>
    </xf>
    <xf numFmtId="166" fontId="62" fillId="18" borderId="10" xfId="0" applyNumberFormat="1" applyFont="1" applyFill="1" applyBorder="1" applyAlignment="1" applyProtection="1">
      <alignment horizontal="right" vertical="center"/>
      <protection hidden="1"/>
    </xf>
    <xf numFmtId="0" fontId="38" fillId="21" borderId="10" xfId="0" applyFont="1" applyFill="1" applyBorder="1" applyProtection="1">
      <protection hidden="1"/>
    </xf>
    <xf numFmtId="0" fontId="37" fillId="18" borderId="17" xfId="0" applyFont="1" applyFill="1" applyBorder="1" applyProtection="1">
      <protection hidden="1"/>
    </xf>
    <xf numFmtId="0" fontId="43" fillId="18" borderId="0" xfId="0" applyFont="1" applyFill="1" applyBorder="1" applyAlignment="1" applyProtection="1">
      <alignment horizontal="center" vertical="center"/>
      <protection hidden="1"/>
    </xf>
    <xf numFmtId="166" fontId="37" fillId="18" borderId="0" xfId="0" applyNumberFormat="1" applyFont="1" applyFill="1" applyBorder="1" applyAlignment="1" applyProtection="1">
      <alignment vertical="center"/>
      <protection hidden="1"/>
    </xf>
    <xf numFmtId="0" fontId="41" fillId="24" borderId="0" xfId="0" applyFont="1" applyFill="1" applyBorder="1" applyAlignment="1" applyProtection="1">
      <alignment horizontal="center"/>
      <protection hidden="1"/>
    </xf>
    <xf numFmtId="0" fontId="41" fillId="19" borderId="0" xfId="0" applyFont="1" applyFill="1" applyBorder="1" applyAlignment="1" applyProtection="1">
      <alignment horizontal="center"/>
      <protection hidden="1"/>
    </xf>
    <xf numFmtId="0" fontId="43" fillId="18" borderId="0" xfId="0" applyFont="1" applyFill="1" applyBorder="1" applyProtection="1">
      <protection hidden="1"/>
    </xf>
    <xf numFmtId="166" fontId="37" fillId="18" borderId="10" xfId="0" applyNumberFormat="1" applyFont="1" applyFill="1" applyBorder="1" applyProtection="1">
      <protection hidden="1"/>
    </xf>
    <xf numFmtId="0" fontId="38" fillId="19" borderId="10" xfId="0" applyFont="1" applyFill="1" applyBorder="1" applyProtection="1">
      <protection hidden="1"/>
    </xf>
    <xf numFmtId="0" fontId="62" fillId="18" borderId="10" xfId="0" applyFont="1" applyFill="1" applyBorder="1" applyAlignment="1" applyProtection="1">
      <alignment horizontal="right"/>
      <protection hidden="1"/>
    </xf>
    <xf numFmtId="0" fontId="62" fillId="18" borderId="0" xfId="0" applyFont="1" applyFill="1" applyAlignment="1" applyProtection="1">
      <alignment horizontal="right"/>
      <protection hidden="1"/>
    </xf>
    <xf numFmtId="0" fontId="37" fillId="18" borderId="10" xfId="0" applyFont="1" applyFill="1" applyBorder="1" applyAlignment="1" applyProtection="1">
      <alignment horizontal="center" vertical="center"/>
      <protection hidden="1"/>
    </xf>
    <xf numFmtId="0" fontId="37" fillId="18" borderId="10" xfId="0" applyFont="1" applyFill="1" applyBorder="1" applyAlignment="1" applyProtection="1">
      <alignment horizontal="center"/>
      <protection hidden="1"/>
    </xf>
    <xf numFmtId="0" fontId="41" fillId="18" borderId="0" xfId="0" applyFont="1" applyFill="1" applyBorder="1" applyProtection="1">
      <protection hidden="1"/>
    </xf>
    <xf numFmtId="0" fontId="68" fillId="18" borderId="29" xfId="0" applyFont="1" applyFill="1" applyBorder="1" applyAlignment="1" applyProtection="1">
      <alignment horizontal="right" vertical="center"/>
      <protection hidden="1"/>
    </xf>
    <xf numFmtId="0" fontId="41" fillId="18" borderId="0" xfId="0" applyFont="1" applyFill="1" applyBorder="1" applyAlignment="1" applyProtection="1">
      <alignment horizontal="left"/>
      <protection hidden="1"/>
    </xf>
    <xf numFmtId="0" fontId="68" fillId="18" borderId="25" xfId="0" applyFont="1" applyFill="1" applyBorder="1" applyAlignment="1" applyProtection="1">
      <alignment horizontal="right" vertical="center"/>
      <protection hidden="1"/>
    </xf>
    <xf numFmtId="0" fontId="41" fillId="18" borderId="0" xfId="0" applyFont="1" applyFill="1" applyAlignment="1" applyProtection="1">
      <alignment horizontal="left"/>
      <protection hidden="1"/>
    </xf>
    <xf numFmtId="0" fontId="68" fillId="18" borderId="24" xfId="0" applyFont="1" applyFill="1" applyBorder="1" applyAlignment="1" applyProtection="1">
      <alignment horizontal="right" vertical="center"/>
      <protection hidden="1"/>
    </xf>
    <xf numFmtId="0" fontId="41" fillId="24" borderId="9" xfId="0" applyFont="1" applyFill="1" applyBorder="1" applyAlignment="1" applyProtection="1">
      <alignment vertical="center"/>
      <protection hidden="1"/>
    </xf>
    <xf numFmtId="0" fontId="41" fillId="18" borderId="10" xfId="0" applyFont="1" applyFill="1" applyBorder="1" applyAlignment="1" applyProtection="1">
      <alignment vertical="center"/>
      <protection hidden="1"/>
    </xf>
    <xf numFmtId="0" fontId="62" fillId="18" borderId="0" xfId="0" applyFont="1" applyFill="1" applyBorder="1" applyAlignment="1" applyProtection="1">
      <alignment horizontal="right"/>
      <protection hidden="1"/>
    </xf>
    <xf numFmtId="0" fontId="35" fillId="28" borderId="10" xfId="0" applyFont="1" applyFill="1" applyBorder="1" applyAlignment="1" applyProtection="1">
      <alignment horizontal="center"/>
      <protection hidden="1"/>
    </xf>
    <xf numFmtId="0" fontId="35" fillId="28" borderId="18" xfId="0" applyFont="1" applyFill="1" applyBorder="1" applyAlignment="1" applyProtection="1">
      <alignment horizontal="center"/>
      <protection hidden="1"/>
    </xf>
    <xf numFmtId="0" fontId="41" fillId="28" borderId="19" xfId="0" applyFont="1" applyFill="1" applyBorder="1" applyAlignment="1" applyProtection="1">
      <alignment horizontal="center"/>
      <protection hidden="1"/>
    </xf>
    <xf numFmtId="0" fontId="65" fillId="28" borderId="20" xfId="0" applyFont="1" applyFill="1" applyBorder="1" applyAlignment="1" applyProtection="1">
      <alignment horizontal="right"/>
      <protection hidden="1"/>
    </xf>
    <xf numFmtId="0" fontId="35" fillId="28" borderId="10" xfId="0" applyFont="1" applyFill="1" applyBorder="1" applyAlignment="1" applyProtection="1">
      <alignment horizontal="center" vertical="center"/>
      <protection hidden="1"/>
    </xf>
    <xf numFmtId="0" fontId="35" fillId="28" borderId="10" xfId="0" applyFont="1" applyFill="1" applyBorder="1" applyAlignment="1" applyProtection="1">
      <alignment vertical="center"/>
      <protection hidden="1"/>
    </xf>
    <xf numFmtId="0" fontId="35" fillId="28" borderId="10" xfId="0" applyFont="1" applyFill="1" applyBorder="1" applyAlignment="1" applyProtection="1">
      <alignment horizontal="right" vertical="center"/>
      <protection hidden="1"/>
    </xf>
    <xf numFmtId="166" fontId="66" fillId="28" borderId="17" xfId="0" applyNumberFormat="1" applyFont="1" applyFill="1" applyBorder="1" applyAlignment="1" applyProtection="1">
      <alignment horizontal="center" vertical="center"/>
      <protection hidden="1"/>
    </xf>
    <xf numFmtId="166" fontId="66" fillId="28" borderId="18" xfId="0" applyNumberFormat="1" applyFont="1" applyFill="1" applyBorder="1" applyAlignment="1" applyProtection="1">
      <alignment horizontal="left"/>
      <protection hidden="1"/>
    </xf>
    <xf numFmtId="0" fontId="66" fillId="28" borderId="17" xfId="0" applyFont="1" applyFill="1" applyBorder="1" applyAlignment="1" applyProtection="1">
      <alignment horizontal="center"/>
      <protection hidden="1"/>
    </xf>
    <xf numFmtId="0" fontId="66" fillId="28" borderId="18" xfId="0" applyFont="1" applyFill="1" applyBorder="1" applyAlignment="1" applyProtection="1">
      <alignment horizontal="right" vertical="center"/>
      <protection hidden="1"/>
    </xf>
    <xf numFmtId="0" fontId="66" fillId="28" borderId="10" xfId="0" applyFont="1" applyFill="1" applyBorder="1" applyAlignment="1" applyProtection="1">
      <alignment horizontal="left" vertical="center"/>
      <protection hidden="1"/>
    </xf>
    <xf numFmtId="0" fontId="35" fillId="28" borderId="10" xfId="0" applyFont="1" applyFill="1" applyBorder="1" applyAlignment="1" applyProtection="1">
      <alignment horizontal="left" vertical="center"/>
      <protection hidden="1"/>
    </xf>
    <xf numFmtId="0" fontId="35" fillId="31" borderId="10" xfId="0" applyFont="1" applyFill="1" applyBorder="1" applyAlignment="1" applyProtection="1">
      <alignment horizontal="center"/>
      <protection hidden="1"/>
    </xf>
    <xf numFmtId="0" fontId="35" fillId="31" borderId="18" xfId="0" applyFont="1" applyFill="1" applyBorder="1" applyAlignment="1" applyProtection="1">
      <alignment horizontal="center"/>
      <protection hidden="1"/>
    </xf>
    <xf numFmtId="0" fontId="41" fillId="31" borderId="19" xfId="0" applyFont="1" applyFill="1" applyBorder="1" applyAlignment="1" applyProtection="1">
      <alignment horizontal="center"/>
      <protection hidden="1"/>
    </xf>
    <xf numFmtId="0" fontId="48" fillId="31" borderId="20" xfId="0" applyFont="1" applyFill="1" applyBorder="1" applyAlignment="1" applyProtection="1">
      <alignment horizontal="right"/>
      <protection hidden="1"/>
    </xf>
    <xf numFmtId="0" fontId="35" fillId="31" borderId="10" xfId="0" applyFont="1" applyFill="1" applyBorder="1" applyAlignment="1" applyProtection="1">
      <alignment horizontal="center" vertical="center"/>
      <protection hidden="1"/>
    </xf>
    <xf numFmtId="0" fontId="35" fillId="31" borderId="10" xfId="0" applyFont="1" applyFill="1" applyBorder="1" applyAlignment="1" applyProtection="1">
      <alignment vertical="center"/>
      <protection hidden="1"/>
    </xf>
    <xf numFmtId="0" fontId="35" fillId="31" borderId="10" xfId="0" applyFont="1" applyFill="1" applyBorder="1" applyAlignment="1" applyProtection="1">
      <alignment horizontal="right" vertical="center"/>
      <protection hidden="1"/>
    </xf>
    <xf numFmtId="166" fontId="66" fillId="31" borderId="17" xfId="0" applyNumberFormat="1" applyFont="1" applyFill="1" applyBorder="1" applyAlignment="1" applyProtection="1">
      <alignment horizontal="center" vertical="center"/>
      <protection hidden="1"/>
    </xf>
    <xf numFmtId="166" fontId="66" fillId="31" borderId="18" xfId="0" applyNumberFormat="1" applyFont="1" applyFill="1" applyBorder="1" applyAlignment="1" applyProtection="1">
      <alignment horizontal="left"/>
      <protection hidden="1"/>
    </xf>
    <xf numFmtId="0" fontId="66" fillId="31" borderId="17" xfId="0" applyFont="1" applyFill="1" applyBorder="1" applyAlignment="1" applyProtection="1">
      <alignment horizontal="center"/>
      <protection hidden="1"/>
    </xf>
    <xf numFmtId="0" fontId="66" fillId="31" borderId="18" xfId="0" applyFont="1" applyFill="1" applyBorder="1" applyAlignment="1" applyProtection="1">
      <alignment horizontal="right" vertical="center"/>
      <protection hidden="1"/>
    </xf>
    <xf numFmtId="0" fontId="66" fillId="31" borderId="10" xfId="0" applyFont="1" applyFill="1" applyBorder="1" applyAlignment="1" applyProtection="1">
      <alignment horizontal="left" vertical="center"/>
      <protection hidden="1"/>
    </xf>
    <xf numFmtId="0" fontId="35" fillId="31" borderId="10" xfId="0" applyFont="1" applyFill="1" applyBorder="1" applyAlignment="1" applyProtection="1">
      <alignment horizontal="left" vertical="center"/>
      <protection hidden="1"/>
    </xf>
    <xf numFmtId="0" fontId="69" fillId="0" borderId="9" xfId="0" applyFont="1" applyFill="1" applyBorder="1" applyAlignment="1" applyProtection="1">
      <alignment horizontal="left" vertical="center"/>
      <protection hidden="1"/>
    </xf>
    <xf numFmtId="0" fontId="69" fillId="0" borderId="9" xfId="0" applyFont="1" applyFill="1" applyBorder="1" applyAlignment="1" applyProtection="1">
      <alignment horizontal="center" vertical="center"/>
      <protection hidden="1"/>
    </xf>
    <xf numFmtId="0" fontId="69" fillId="0" borderId="9" xfId="0" applyFont="1" applyFill="1" applyBorder="1" applyAlignment="1" applyProtection="1">
      <alignment horizontal="right" vertical="center"/>
      <protection hidden="1"/>
    </xf>
    <xf numFmtId="0" fontId="58" fillId="0" borderId="30" xfId="0" applyFont="1" applyFill="1" applyBorder="1" applyAlignment="1" applyProtection="1">
      <alignment horizontal="left" vertical="center" indent="1"/>
      <protection hidden="1"/>
    </xf>
    <xf numFmtId="0" fontId="70" fillId="0" borderId="30" xfId="0" applyFont="1" applyFill="1" applyBorder="1" applyAlignment="1" applyProtection="1">
      <alignment horizontal="left" vertical="center"/>
      <protection hidden="1"/>
    </xf>
    <xf numFmtId="0" fontId="70" fillId="0" borderId="30" xfId="0" applyFont="1" applyFill="1" applyBorder="1" applyAlignment="1" applyProtection="1">
      <alignment horizontal="center" vertical="center"/>
      <protection hidden="1"/>
    </xf>
    <xf numFmtId="171" fontId="70" fillId="0" borderId="30" xfId="0" applyNumberFormat="1" applyFont="1" applyFill="1" applyBorder="1" applyAlignment="1" applyProtection="1">
      <alignment horizontal="right" vertical="center"/>
      <protection hidden="1"/>
    </xf>
    <xf numFmtId="0" fontId="58" fillId="0" borderId="15" xfId="0" applyFont="1" applyFill="1" applyBorder="1" applyAlignment="1" applyProtection="1">
      <alignment horizontal="left" vertical="center" indent="1"/>
      <protection hidden="1"/>
    </xf>
    <xf numFmtId="0" fontId="70" fillId="0" borderId="15" xfId="0" applyFont="1" applyFill="1" applyBorder="1" applyAlignment="1" applyProtection="1">
      <alignment horizontal="left" vertical="center"/>
      <protection hidden="1"/>
    </xf>
    <xf numFmtId="0" fontId="70" fillId="0" borderId="15" xfId="0" applyFont="1" applyFill="1" applyBorder="1" applyAlignment="1" applyProtection="1">
      <alignment horizontal="center" vertical="center"/>
      <protection hidden="1"/>
    </xf>
    <xf numFmtId="171" fontId="70" fillId="0" borderId="15" xfId="0" applyNumberFormat="1" applyFont="1" applyFill="1" applyBorder="1" applyAlignment="1" applyProtection="1">
      <alignment horizontal="right" vertical="center"/>
      <protection hidden="1"/>
    </xf>
    <xf numFmtId="0" fontId="58" fillId="0" borderId="31" xfId="0" applyFont="1" applyFill="1" applyBorder="1" applyAlignment="1" applyProtection="1">
      <alignment horizontal="left" vertical="center" indent="1"/>
      <protection hidden="1"/>
    </xf>
    <xf numFmtId="0" fontId="70" fillId="0" borderId="31" xfId="0" applyFont="1" applyFill="1" applyBorder="1" applyAlignment="1" applyProtection="1">
      <alignment horizontal="left" vertical="center"/>
      <protection hidden="1"/>
    </xf>
    <xf numFmtId="0" fontId="70" fillId="0" borderId="31" xfId="0" applyFont="1" applyFill="1" applyBorder="1" applyAlignment="1" applyProtection="1">
      <alignment horizontal="center" vertical="center"/>
      <protection hidden="1"/>
    </xf>
    <xf numFmtId="171" fontId="70" fillId="0" borderId="31" xfId="0" applyNumberFormat="1" applyFont="1" applyFill="1" applyBorder="1" applyAlignment="1" applyProtection="1">
      <alignment horizontal="right" vertical="center"/>
      <protection hidden="1"/>
    </xf>
    <xf numFmtId="0" fontId="58" fillId="0" borderId="14" xfId="0" applyFont="1" applyFill="1" applyBorder="1" applyAlignment="1" applyProtection="1">
      <alignment horizontal="left" vertical="center" indent="1"/>
      <protection hidden="1"/>
    </xf>
    <xf numFmtId="0" fontId="70" fillId="0" borderId="14" xfId="0" applyFont="1" applyFill="1" applyBorder="1" applyAlignment="1" applyProtection="1">
      <alignment horizontal="left" vertical="center"/>
      <protection hidden="1"/>
    </xf>
    <xf numFmtId="0" fontId="70" fillId="0" borderId="14" xfId="0" applyFont="1" applyFill="1" applyBorder="1" applyAlignment="1" applyProtection="1">
      <alignment horizontal="center" vertical="center"/>
      <protection hidden="1"/>
    </xf>
    <xf numFmtId="171" fontId="70" fillId="0" borderId="14" xfId="0" applyNumberFormat="1" applyFont="1" applyFill="1" applyBorder="1" applyAlignment="1" applyProtection="1">
      <alignment horizontal="right" vertical="center"/>
      <protection hidden="1"/>
    </xf>
    <xf numFmtId="0" fontId="58" fillId="0" borderId="16" xfId="0" applyFont="1" applyFill="1" applyBorder="1" applyAlignment="1" applyProtection="1">
      <alignment horizontal="left" vertical="center" indent="1"/>
      <protection hidden="1"/>
    </xf>
    <xf numFmtId="0" fontId="70" fillId="0" borderId="16" xfId="0" applyFont="1" applyFill="1" applyBorder="1" applyAlignment="1" applyProtection="1">
      <alignment horizontal="left" vertical="center"/>
      <protection hidden="1"/>
    </xf>
    <xf numFmtId="0" fontId="70" fillId="0" borderId="16" xfId="0" applyFont="1" applyFill="1" applyBorder="1" applyAlignment="1" applyProtection="1">
      <alignment horizontal="center" vertical="center"/>
      <protection hidden="1"/>
    </xf>
    <xf numFmtId="171" fontId="70" fillId="0" borderId="16" xfId="0" applyNumberFormat="1" applyFont="1" applyFill="1" applyBorder="1" applyAlignment="1" applyProtection="1">
      <alignment horizontal="right" vertical="center"/>
      <protection hidden="1"/>
    </xf>
    <xf numFmtId="0" fontId="56" fillId="0" borderId="0" xfId="0" applyFont="1" applyAlignment="1" applyProtection="1">
      <alignment horizontal="right" vertical="top"/>
      <protection hidden="1"/>
    </xf>
    <xf numFmtId="165" fontId="58" fillId="32" borderId="10" xfId="0" applyNumberFormat="1" applyFont="1" applyFill="1" applyBorder="1" applyAlignment="1" applyProtection="1">
      <alignment horizontal="left" vertical="center"/>
      <protection locked="0"/>
    </xf>
    <xf numFmtId="165" fontId="58" fillId="32" borderId="10" xfId="0" applyNumberFormat="1" applyFont="1" applyFill="1" applyBorder="1" applyAlignment="1" applyProtection="1">
      <alignment horizontal="right" vertical="center"/>
      <protection locked="0"/>
    </xf>
    <xf numFmtId="0" fontId="58" fillId="0" borderId="9" xfId="0" applyFont="1" applyFill="1" applyBorder="1" applyAlignment="1" applyProtection="1">
      <alignment vertical="center"/>
      <protection hidden="1"/>
    </xf>
    <xf numFmtId="0" fontId="56" fillId="0" borderId="0" xfId="0" applyFont="1" applyBorder="1" applyAlignment="1" applyProtection="1">
      <alignment vertical="center"/>
      <protection locked="0"/>
    </xf>
    <xf numFmtId="0" fontId="56" fillId="0" borderId="21" xfId="0" applyFont="1" applyBorder="1" applyAlignment="1" applyProtection="1">
      <alignment vertical="center"/>
      <protection locked="0"/>
    </xf>
    <xf numFmtId="0" fontId="56" fillId="26" borderId="0" xfId="0" applyFont="1" applyFill="1" applyBorder="1" applyProtection="1">
      <protection hidden="1"/>
    </xf>
    <xf numFmtId="0" fontId="71" fillId="0" borderId="0" xfId="0" applyFont="1" applyFill="1" applyAlignment="1" applyProtection="1">
      <alignment horizontal="left" vertical="center"/>
      <protection hidden="1"/>
    </xf>
    <xf numFmtId="0" fontId="72" fillId="0" borderId="0" xfId="0" applyFont="1" applyFill="1" applyAlignment="1" applyProtection="1">
      <alignment horizontal="right" vertical="center"/>
      <protection hidden="1"/>
    </xf>
    <xf numFmtId="0" fontId="62" fillId="25" borderId="10" xfId="0" applyFont="1" applyFill="1" applyBorder="1" applyAlignment="1" applyProtection="1">
      <alignment horizontal="right" vertical="center"/>
      <protection hidden="1"/>
    </xf>
    <xf numFmtId="0" fontId="33" fillId="0" borderId="0" xfId="0" applyFont="1" applyFill="1" applyAlignment="1" applyProtection="1">
      <alignment horizontal="left" vertical="center"/>
      <protection hidden="1"/>
    </xf>
    <xf numFmtId="0" fontId="33" fillId="0" borderId="0" xfId="0" applyFont="1" applyFill="1" applyAlignment="1" applyProtection="1">
      <alignment horizontal="right" vertical="center" indent="1"/>
      <protection hidden="1"/>
    </xf>
    <xf numFmtId="165" fontId="69" fillId="32" borderId="10" xfId="0" applyNumberFormat="1" applyFont="1" applyFill="1" applyBorder="1" applyAlignment="1" applyProtection="1">
      <alignment horizontal="center" vertical="center"/>
      <protection locked="0" hidden="1"/>
    </xf>
    <xf numFmtId="0" fontId="66" fillId="27" borderId="10" xfId="0" applyFont="1" applyFill="1" applyBorder="1" applyAlignment="1" applyProtection="1">
      <alignment horizontal="right" vertical="center"/>
      <protection hidden="1"/>
    </xf>
    <xf numFmtId="0" fontId="38" fillId="27" borderId="10" xfId="0" applyFont="1" applyFill="1" applyBorder="1" applyAlignment="1" applyProtection="1">
      <alignment horizontal="center"/>
      <protection hidden="1"/>
    </xf>
    <xf numFmtId="0" fontId="38" fillId="27" borderId="17" xfId="0" applyFont="1" applyFill="1" applyBorder="1" applyAlignment="1" applyProtection="1">
      <alignment horizontal="center"/>
      <protection hidden="1"/>
    </xf>
    <xf numFmtId="0" fontId="66" fillId="27" borderId="17" xfId="0" applyFont="1" applyFill="1" applyBorder="1" applyAlignment="1" applyProtection="1">
      <alignment horizontal="right" vertical="center"/>
      <protection hidden="1"/>
    </xf>
    <xf numFmtId="166" fontId="49" fillId="18" borderId="0" xfId="0" applyNumberFormat="1" applyFont="1" applyFill="1" applyBorder="1" applyAlignment="1" applyProtection="1">
      <alignment horizontal="right"/>
      <protection hidden="1"/>
    </xf>
    <xf numFmtId="0" fontId="42" fillId="21" borderId="10" xfId="0" applyFont="1" applyFill="1" applyBorder="1" applyAlignment="1" applyProtection="1">
      <alignment horizontal="center" vertical="center"/>
      <protection locked="0"/>
    </xf>
    <xf numFmtId="0" fontId="66" fillId="20" borderId="18" xfId="0" applyFont="1" applyFill="1" applyBorder="1" applyAlignment="1" applyProtection="1">
      <alignment horizontal="right" vertical="center"/>
      <protection hidden="1"/>
    </xf>
    <xf numFmtId="0" fontId="62" fillId="24" borderId="10" xfId="0" applyFont="1" applyFill="1" applyBorder="1" applyAlignment="1" applyProtection="1">
      <alignment horizontal="left" vertical="center"/>
      <protection hidden="1"/>
    </xf>
    <xf numFmtId="0" fontId="41" fillId="19" borderId="18" xfId="0" applyFont="1" applyFill="1" applyBorder="1" applyAlignment="1" applyProtection="1">
      <alignment horizontal="left" vertical="center"/>
      <protection hidden="1"/>
    </xf>
    <xf numFmtId="0" fontId="41" fillId="18" borderId="20" xfId="0" applyFont="1" applyFill="1" applyBorder="1" applyAlignment="1" applyProtection="1">
      <alignment horizontal="right" vertical="center"/>
      <protection hidden="1"/>
    </xf>
    <xf numFmtId="0" fontId="62" fillId="18" borderId="18" xfId="0" applyFont="1" applyFill="1" applyBorder="1" applyAlignment="1" applyProtection="1">
      <alignment horizontal="left" vertical="center"/>
      <protection hidden="1"/>
    </xf>
    <xf numFmtId="0" fontId="41" fillId="18" borderId="19" xfId="0" applyFont="1" applyFill="1" applyBorder="1" applyAlignment="1" applyProtection="1">
      <alignment vertical="center"/>
      <protection hidden="1"/>
    </xf>
    <xf numFmtId="0" fontId="41" fillId="18" borderId="20" xfId="0" applyFont="1" applyFill="1" applyBorder="1" applyAlignment="1" applyProtection="1">
      <alignment vertical="center"/>
      <protection hidden="1"/>
    </xf>
    <xf numFmtId="166" fontId="62" fillId="18" borderId="17" xfId="0" applyNumberFormat="1" applyFont="1" applyFill="1" applyBorder="1" applyAlignment="1" applyProtection="1">
      <alignment horizontal="right" vertical="center"/>
      <protection hidden="1"/>
    </xf>
    <xf numFmtId="1" fontId="37" fillId="18" borderId="0" xfId="0" applyNumberFormat="1" applyFont="1" applyFill="1" applyBorder="1" applyAlignment="1" applyProtection="1">
      <alignment horizontal="right"/>
      <protection hidden="1"/>
    </xf>
    <xf numFmtId="0" fontId="42" fillId="19" borderId="10" xfId="0" applyFont="1" applyFill="1" applyBorder="1" applyAlignment="1" applyProtection="1">
      <alignment horizontal="center" vertical="center"/>
      <protection locked="0" hidden="1"/>
    </xf>
    <xf numFmtId="0" fontId="73" fillId="18" borderId="0" xfId="0" applyFont="1" applyFill="1" applyBorder="1" applyProtection="1">
      <protection hidden="1"/>
    </xf>
    <xf numFmtId="0" fontId="66" fillId="33" borderId="18" xfId="0" applyFont="1" applyFill="1" applyBorder="1" applyAlignment="1" applyProtection="1">
      <alignment horizontal="right" vertical="center"/>
      <protection hidden="1"/>
    </xf>
    <xf numFmtId="0" fontId="66" fillId="28" borderId="10" xfId="0" applyFont="1" applyFill="1" applyBorder="1" applyAlignment="1" applyProtection="1">
      <alignment horizontal="center"/>
      <protection hidden="1"/>
    </xf>
    <xf numFmtId="0" fontId="69" fillId="0" borderId="0" xfId="0" applyFont="1" applyFill="1" applyBorder="1" applyAlignment="1" applyProtection="1">
      <alignment horizontal="left" vertical="center"/>
      <protection hidden="1"/>
    </xf>
    <xf numFmtId="0" fontId="69" fillId="0" borderId="0" xfId="0" applyFont="1" applyFill="1" applyBorder="1" applyAlignment="1" applyProtection="1">
      <alignment horizontal="center" vertical="center"/>
      <protection hidden="1"/>
    </xf>
    <xf numFmtId="0" fontId="69" fillId="0" borderId="0" xfId="0" applyFont="1" applyFill="1" applyBorder="1" applyAlignment="1" applyProtection="1">
      <alignment horizontal="right" vertical="center"/>
      <protection hidden="1"/>
    </xf>
    <xf numFmtId="0" fontId="37" fillId="0" borderId="0" xfId="0" applyFont="1" applyFill="1" applyProtection="1">
      <protection hidden="1"/>
    </xf>
    <xf numFmtId="0" fontId="34" fillId="0" borderId="0" xfId="0" applyFont="1" applyFill="1" applyProtection="1">
      <protection hidden="1"/>
    </xf>
    <xf numFmtId="0" fontId="69" fillId="0" borderId="0" xfId="0" applyFont="1" applyFill="1" applyBorder="1" applyProtection="1">
      <protection hidden="1"/>
    </xf>
    <xf numFmtId="0" fontId="62" fillId="25" borderId="0" xfId="0" applyFont="1" applyFill="1" applyBorder="1" applyAlignment="1" applyProtection="1">
      <alignment horizontal="center" vertical="center"/>
      <protection hidden="1"/>
    </xf>
    <xf numFmtId="0" fontId="62" fillId="25" borderId="0" xfId="0" applyFont="1" applyFill="1" applyBorder="1" applyAlignment="1" applyProtection="1">
      <alignment vertical="center"/>
      <protection hidden="1"/>
    </xf>
    <xf numFmtId="167" fontId="48" fillId="0" borderId="9" xfId="0" applyNumberFormat="1" applyFont="1" applyFill="1" applyBorder="1" applyAlignment="1" applyProtection="1">
      <alignment horizontal="left" vertical="center"/>
      <protection hidden="1"/>
    </xf>
    <xf numFmtId="0" fontId="32" fillId="0" borderId="9" xfId="0" applyFont="1" applyFill="1" applyBorder="1" applyProtection="1">
      <protection hidden="1"/>
    </xf>
    <xf numFmtId="165" fontId="68" fillId="0" borderId="0" xfId="0" applyNumberFormat="1" applyFont="1" applyFill="1" applyBorder="1" applyAlignment="1" applyProtection="1">
      <alignment vertical="center"/>
      <protection hidden="1"/>
    </xf>
    <xf numFmtId="167" fontId="74" fillId="0" borderId="0" xfId="0" applyNumberFormat="1" applyFont="1" applyFill="1" applyBorder="1" applyAlignment="1" applyProtection="1">
      <alignment horizontal="left" vertical="center"/>
      <protection hidden="1"/>
    </xf>
    <xf numFmtId="0" fontId="54" fillId="0" borderId="0" xfId="0" applyFont="1" applyFill="1" applyBorder="1" applyAlignment="1" applyProtection="1">
      <alignment horizontal="left" vertical="center"/>
      <protection hidden="1"/>
    </xf>
    <xf numFmtId="0" fontId="54" fillId="0" borderId="0" xfId="0" applyFont="1" applyFill="1" applyBorder="1" applyAlignment="1" applyProtection="1">
      <alignment vertical="center"/>
      <protection hidden="1"/>
    </xf>
    <xf numFmtId="165" fontId="75" fillId="0" borderId="0" xfId="0" applyNumberFormat="1" applyFont="1" applyFill="1" applyBorder="1" applyAlignment="1" applyProtection="1">
      <alignment vertical="center"/>
      <protection hidden="1"/>
    </xf>
    <xf numFmtId="167" fontId="75" fillId="0" borderId="0" xfId="0" applyNumberFormat="1" applyFont="1" applyFill="1" applyBorder="1" applyAlignment="1" applyProtection="1">
      <alignment vertical="center"/>
      <protection hidden="1"/>
    </xf>
    <xf numFmtId="0" fontId="32" fillId="34" borderId="32" xfId="0" applyFont="1" applyFill="1" applyBorder="1" applyProtection="1">
      <protection hidden="1"/>
    </xf>
    <xf numFmtId="167" fontId="34" fillId="34" borderId="32" xfId="0" applyNumberFormat="1" applyFont="1" applyFill="1" applyBorder="1" applyAlignment="1" applyProtection="1">
      <alignment vertical="center"/>
      <protection hidden="1"/>
    </xf>
    <xf numFmtId="164" fontId="33" fillId="34" borderId="32" xfId="0" applyNumberFormat="1" applyFont="1" applyFill="1" applyBorder="1" applyAlignment="1" applyProtection="1">
      <alignment horizontal="left" vertical="center"/>
      <protection hidden="1"/>
    </xf>
    <xf numFmtId="165" fontId="75" fillId="34" borderId="32" xfId="0" applyNumberFormat="1" applyFont="1" applyFill="1" applyBorder="1" applyAlignment="1" applyProtection="1">
      <alignment vertical="center"/>
      <protection hidden="1"/>
    </xf>
    <xf numFmtId="167" fontId="75" fillId="34" borderId="32" xfId="0" applyNumberFormat="1" applyFont="1" applyFill="1" applyBorder="1" applyAlignment="1" applyProtection="1">
      <alignment vertical="center"/>
      <protection hidden="1"/>
    </xf>
    <xf numFmtId="167" fontId="34" fillId="34" borderId="32" xfId="0" applyNumberFormat="1" applyFont="1" applyFill="1" applyBorder="1" applyAlignment="1" applyProtection="1">
      <protection hidden="1"/>
    </xf>
    <xf numFmtId="0" fontId="33" fillId="34" borderId="32" xfId="0" applyFont="1" applyFill="1" applyBorder="1" applyAlignment="1" applyProtection="1">
      <alignment horizontal="center"/>
      <protection hidden="1"/>
    </xf>
    <xf numFmtId="0" fontId="37" fillId="34" borderId="32" xfId="0" applyFont="1" applyFill="1" applyBorder="1" applyAlignment="1" applyProtection="1">
      <alignment horizontal="center"/>
      <protection hidden="1"/>
    </xf>
    <xf numFmtId="0" fontId="37" fillId="34" borderId="32" xfId="0" applyFont="1" applyFill="1" applyBorder="1" applyAlignment="1" applyProtection="1">
      <alignment horizontal="right"/>
      <protection hidden="1"/>
    </xf>
    <xf numFmtId="0" fontId="37" fillId="34" borderId="32" xfId="0" applyFont="1" applyFill="1" applyBorder="1" applyProtection="1">
      <protection hidden="1"/>
    </xf>
    <xf numFmtId="0" fontId="38" fillId="34" borderId="32" xfId="0" applyFont="1" applyFill="1" applyBorder="1" applyAlignment="1" applyProtection="1">
      <alignment horizontal="center"/>
      <protection hidden="1"/>
    </xf>
    <xf numFmtId="0" fontId="62" fillId="34" borderId="32" xfId="0" applyFont="1" applyFill="1" applyBorder="1" applyAlignment="1" applyProtection="1">
      <alignment horizontal="center" vertical="center"/>
      <protection hidden="1"/>
    </xf>
    <xf numFmtId="0" fontId="62" fillId="34" borderId="32" xfId="0" applyFont="1" applyFill="1" applyBorder="1" applyAlignment="1" applyProtection="1">
      <alignment vertical="center"/>
      <protection hidden="1"/>
    </xf>
    <xf numFmtId="0" fontId="41" fillId="0" borderId="9" xfId="0" applyFont="1" applyFill="1" applyBorder="1" applyAlignment="1" applyProtection="1">
      <alignment horizontal="right" vertical="center"/>
      <protection hidden="1"/>
    </xf>
    <xf numFmtId="0" fontId="33" fillId="0" borderId="9" xfId="0" applyFont="1" applyFill="1" applyBorder="1" applyProtection="1">
      <protection hidden="1"/>
    </xf>
    <xf numFmtId="0" fontId="43" fillId="0" borderId="9" xfId="0" applyFont="1" applyFill="1" applyBorder="1" applyAlignment="1" applyProtection="1">
      <alignment horizontal="center" vertical="center"/>
      <protection hidden="1"/>
    </xf>
    <xf numFmtId="0" fontId="76" fillId="0" borderId="0" xfId="0" applyFont="1" applyFill="1" applyBorder="1" applyAlignment="1" applyProtection="1">
      <alignment horizontal="left"/>
      <protection hidden="1"/>
    </xf>
    <xf numFmtId="0" fontId="77" fillId="0" borderId="0" xfId="0" applyFont="1" applyFill="1" applyBorder="1" applyAlignment="1" applyProtection="1">
      <alignment horizontal="center"/>
      <protection hidden="1"/>
    </xf>
    <xf numFmtId="1" fontId="74" fillId="24" borderId="12" xfId="0" applyNumberFormat="1" applyFont="1" applyFill="1" applyBorder="1" applyAlignment="1" applyProtection="1">
      <alignment horizontal="center" vertical="center"/>
      <protection locked="0"/>
    </xf>
    <xf numFmtId="0" fontId="78" fillId="0" borderId="0" xfId="0" applyFont="1" applyFill="1" applyBorder="1" applyAlignment="1" applyProtection="1">
      <alignment horizontal="center" vertical="center"/>
      <protection hidden="1"/>
    </xf>
    <xf numFmtId="0" fontId="74" fillId="24" borderId="12" xfId="0" applyFont="1" applyFill="1" applyBorder="1" applyAlignment="1" applyProtection="1">
      <alignment horizontal="center" vertical="center"/>
      <protection locked="0"/>
    </xf>
    <xf numFmtId="0" fontId="35" fillId="21" borderId="10" xfId="0" applyFont="1" applyFill="1" applyBorder="1" applyAlignment="1" applyProtection="1">
      <alignment horizontal="center" vertical="center"/>
      <protection hidden="1"/>
    </xf>
    <xf numFmtId="0" fontId="62" fillId="25" borderId="10" xfId="0" applyFont="1" applyFill="1" applyBorder="1" applyAlignment="1" applyProtection="1">
      <alignment vertical="center"/>
      <protection hidden="1"/>
    </xf>
    <xf numFmtId="1" fontId="62" fillId="25" borderId="10" xfId="0" applyNumberFormat="1" applyFont="1" applyFill="1" applyBorder="1" applyAlignment="1" applyProtection="1">
      <alignment horizontal="center" vertical="center"/>
      <protection hidden="1"/>
    </xf>
    <xf numFmtId="0" fontId="62" fillId="0" borderId="10" xfId="0" applyFont="1" applyFill="1" applyBorder="1" applyAlignment="1" applyProtection="1">
      <alignment horizontal="center" vertical="center"/>
      <protection hidden="1"/>
    </xf>
    <xf numFmtId="0" fontId="44" fillId="0" borderId="0" xfId="0" applyFont="1" applyFill="1" applyBorder="1" applyAlignment="1" applyProtection="1">
      <alignment horizontal="right" indent="1"/>
      <protection hidden="1"/>
    </xf>
    <xf numFmtId="0" fontId="79" fillId="0" borderId="0" xfId="0" applyFont="1" applyFill="1" applyBorder="1" applyProtection="1">
      <protection hidden="1"/>
    </xf>
    <xf numFmtId="0" fontId="38" fillId="26" borderId="10" xfId="0" applyFont="1" applyFill="1" applyBorder="1" applyAlignment="1" applyProtection="1">
      <alignment horizontal="center"/>
      <protection hidden="1"/>
    </xf>
    <xf numFmtId="0" fontId="32" fillId="25" borderId="10" xfId="0" applyFont="1" applyFill="1" applyBorder="1" applyProtection="1">
      <protection hidden="1"/>
    </xf>
    <xf numFmtId="0" fontId="42" fillId="26" borderId="10" xfId="0" applyFont="1" applyFill="1" applyBorder="1" applyProtection="1">
      <protection hidden="1"/>
    </xf>
    <xf numFmtId="170" fontId="36" fillId="26" borderId="10" xfId="0" applyNumberFormat="1" applyFont="1" applyFill="1" applyBorder="1" applyAlignment="1" applyProtection="1">
      <alignment horizontal="right"/>
      <protection hidden="1"/>
    </xf>
    <xf numFmtId="0" fontId="42" fillId="26" borderId="10" xfId="27" applyNumberFormat="1" applyFont="1" applyFill="1" applyBorder="1" applyAlignment="1" applyProtection="1">
      <alignment horizontal="right"/>
      <protection hidden="1"/>
    </xf>
    <xf numFmtId="0" fontId="80" fillId="26" borderId="10" xfId="0" applyFont="1" applyFill="1" applyBorder="1" applyAlignment="1" applyProtection="1">
      <alignment horizontal="right"/>
      <protection hidden="1"/>
    </xf>
    <xf numFmtId="0" fontId="80" fillId="19" borderId="10" xfId="0" applyFont="1" applyFill="1" applyBorder="1" applyProtection="1">
      <protection hidden="1"/>
    </xf>
    <xf numFmtId="167" fontId="34" fillId="0" borderId="9" xfId="0" applyNumberFormat="1" applyFont="1" applyFill="1" applyBorder="1" applyAlignment="1" applyProtection="1">
      <alignment horizontal="left" vertical="center"/>
      <protection hidden="1"/>
    </xf>
    <xf numFmtId="167" fontId="34" fillId="0" borderId="9" xfId="0" applyNumberFormat="1" applyFont="1" applyFill="1" applyBorder="1" applyAlignment="1" applyProtection="1">
      <alignment vertical="center"/>
      <protection hidden="1"/>
    </xf>
    <xf numFmtId="167" fontId="34" fillId="0" borderId="9" xfId="0" applyNumberFormat="1" applyFont="1" applyFill="1" applyBorder="1" applyAlignment="1" applyProtection="1">
      <alignment horizontal="left" vertical="center" indent="1"/>
      <protection hidden="1"/>
    </xf>
    <xf numFmtId="165" fontId="40" fillId="0" borderId="0" xfId="0" applyNumberFormat="1" applyFont="1" applyFill="1" applyBorder="1" applyAlignment="1" applyProtection="1">
      <alignment vertical="center"/>
      <protection hidden="1"/>
    </xf>
    <xf numFmtId="167" fontId="54" fillId="0" borderId="0" xfId="0" applyNumberFormat="1" applyFont="1" applyFill="1" applyBorder="1" applyAlignment="1" applyProtection="1">
      <alignment horizontal="left" vertical="center"/>
      <protection hidden="1"/>
    </xf>
    <xf numFmtId="0" fontId="62" fillId="26" borderId="0" xfId="0" applyFont="1" applyFill="1" applyBorder="1" applyProtection="1">
      <protection hidden="1"/>
    </xf>
    <xf numFmtId="0" fontId="62" fillId="0" borderId="0" xfId="0" applyFont="1" applyFill="1" applyBorder="1" applyProtection="1">
      <protection hidden="1"/>
    </xf>
    <xf numFmtId="0" fontId="62" fillId="0" borderId="0" xfId="0" applyFont="1" applyFill="1" applyBorder="1" applyAlignment="1" applyProtection="1">
      <protection hidden="1"/>
    </xf>
    <xf numFmtId="0" fontId="48" fillId="0" borderId="0" xfId="0" applyFont="1" applyFill="1" applyBorder="1" applyAlignment="1" applyProtection="1">
      <alignment horizontal="right"/>
      <protection hidden="1"/>
    </xf>
    <xf numFmtId="0" fontId="66" fillId="32" borderId="6" xfId="0" applyFont="1" applyFill="1" applyBorder="1" applyProtection="1">
      <protection hidden="1"/>
    </xf>
    <xf numFmtId="0" fontId="62" fillId="18" borderId="0" xfId="0" applyFont="1" applyFill="1" applyBorder="1" applyAlignment="1" applyProtection="1">
      <alignment horizontal="left"/>
      <protection hidden="1"/>
    </xf>
    <xf numFmtId="0" fontId="35" fillId="28" borderId="0" xfId="0" applyFont="1" applyFill="1" applyBorder="1" applyAlignment="1" applyProtection="1">
      <alignment horizontal="center" textRotation="90"/>
      <protection hidden="1"/>
    </xf>
    <xf numFmtId="0" fontId="35" fillId="28" borderId="0" xfId="0" applyFont="1" applyFill="1" applyBorder="1" applyAlignment="1" applyProtection="1">
      <alignment horizontal="center"/>
      <protection locked="0" hidden="1"/>
    </xf>
    <xf numFmtId="0" fontId="62" fillId="18" borderId="0" xfId="0" applyFont="1" applyFill="1" applyBorder="1" applyAlignment="1" applyProtection="1">
      <alignment horizontal="center"/>
      <protection hidden="1"/>
    </xf>
    <xf numFmtId="0" fontId="37" fillId="0" borderId="33" xfId="0" applyFont="1" applyFill="1" applyBorder="1" applyAlignment="1" applyProtection="1">
      <alignment horizontal="center" textRotation="90" wrapText="1"/>
      <protection hidden="1"/>
    </xf>
    <xf numFmtId="0" fontId="37" fillId="0" borderId="13" xfId="0" applyFont="1" applyFill="1" applyBorder="1" applyAlignment="1" applyProtection="1">
      <alignment horizontal="center" textRotation="90" wrapText="1"/>
      <protection hidden="1"/>
    </xf>
    <xf numFmtId="0" fontId="37" fillId="0" borderId="34" xfId="0" applyFont="1" applyFill="1" applyBorder="1" applyAlignment="1" applyProtection="1">
      <alignment horizontal="left" vertical="center" indent="1"/>
      <protection hidden="1"/>
    </xf>
    <xf numFmtId="0" fontId="62" fillId="18" borderId="0" xfId="0" applyFont="1" applyFill="1" applyBorder="1" applyAlignment="1" applyProtection="1">
      <protection hidden="1"/>
    </xf>
    <xf numFmtId="165" fontId="62" fillId="18" borderId="0" xfId="0" applyNumberFormat="1" applyFont="1" applyFill="1" applyBorder="1" applyAlignment="1" applyProtection="1">
      <alignment horizontal="center"/>
      <protection hidden="1"/>
    </xf>
    <xf numFmtId="0" fontId="37" fillId="17" borderId="12" xfId="0" applyFont="1" applyFill="1" applyBorder="1" applyAlignment="1" applyProtection="1">
      <alignment horizontal="center" vertical="center"/>
      <protection hidden="1"/>
    </xf>
    <xf numFmtId="0" fontId="37" fillId="18" borderId="0" xfId="0" applyFont="1" applyFill="1" applyBorder="1" applyAlignment="1" applyProtection="1">
      <protection hidden="1"/>
    </xf>
    <xf numFmtId="165" fontId="37" fillId="18" borderId="0" xfId="0" applyNumberFormat="1" applyFont="1" applyFill="1" applyBorder="1" applyAlignment="1" applyProtection="1">
      <alignment horizontal="center"/>
      <protection hidden="1"/>
    </xf>
    <xf numFmtId="0" fontId="37" fillId="18" borderId="0" xfId="0" applyFont="1" applyFill="1" applyBorder="1" applyAlignment="1" applyProtection="1">
      <alignment horizontal="left"/>
      <protection hidden="1"/>
    </xf>
    <xf numFmtId="174" fontId="37" fillId="0" borderId="12" xfId="0" applyNumberFormat="1" applyFont="1" applyFill="1" applyBorder="1" applyAlignment="1" applyProtection="1">
      <alignment horizontal="center" vertical="center"/>
      <protection hidden="1"/>
    </xf>
    <xf numFmtId="0" fontId="37" fillId="0" borderId="15" xfId="0" applyFont="1" applyFill="1" applyBorder="1" applyAlignment="1" applyProtection="1">
      <alignment horizontal="left" vertical="center" indent="1"/>
      <protection hidden="1"/>
    </xf>
    <xf numFmtId="165" fontId="37" fillId="17" borderId="0" xfId="0" applyNumberFormat="1" applyFont="1" applyFill="1" applyBorder="1" applyAlignment="1" applyProtection="1">
      <alignment horizontal="center" vertical="center"/>
      <protection hidden="1"/>
    </xf>
    <xf numFmtId="0" fontId="37" fillId="0" borderId="16" xfId="0" applyFont="1" applyFill="1" applyBorder="1" applyAlignment="1" applyProtection="1">
      <alignment horizontal="left" vertical="center" indent="1"/>
      <protection hidden="1"/>
    </xf>
    <xf numFmtId="0" fontId="43" fillId="17" borderId="0" xfId="0" applyFont="1" applyFill="1" applyBorder="1" applyAlignment="1" applyProtection="1">
      <alignment horizontal="center" vertical="center"/>
      <protection hidden="1"/>
    </xf>
    <xf numFmtId="0" fontId="32" fillId="27" borderId="35" xfId="0" applyFont="1" applyFill="1" applyBorder="1" applyProtection="1">
      <protection hidden="1"/>
    </xf>
    <xf numFmtId="0" fontId="32" fillId="26" borderId="0" xfId="0" applyFont="1" applyFill="1" applyBorder="1" applyAlignment="1" applyProtection="1">
      <protection hidden="1"/>
    </xf>
    <xf numFmtId="1" fontId="81" fillId="24" borderId="12" xfId="0" applyNumberFormat="1" applyFont="1" applyFill="1" applyBorder="1" applyAlignment="1" applyProtection="1">
      <alignment horizontal="center" vertical="center"/>
      <protection locked="0"/>
    </xf>
    <xf numFmtId="0" fontId="82" fillId="0" borderId="0" xfId="0" applyFont="1" applyFill="1" applyBorder="1" applyAlignment="1" applyProtection="1">
      <alignment horizontal="center" vertical="center"/>
      <protection hidden="1"/>
    </xf>
    <xf numFmtId="0" fontId="81" fillId="24" borderId="12" xfId="0" applyFont="1" applyFill="1" applyBorder="1" applyAlignment="1" applyProtection="1">
      <alignment horizontal="center" vertical="center"/>
      <protection locked="0"/>
    </xf>
    <xf numFmtId="0" fontId="37" fillId="0" borderId="0" xfId="0" applyFont="1" applyFill="1" applyBorder="1" applyProtection="1">
      <protection hidden="1"/>
    </xf>
    <xf numFmtId="0" fontId="56" fillId="0" borderId="34" xfId="0" applyFont="1" applyFill="1" applyBorder="1" applyAlignment="1" applyProtection="1">
      <alignment horizontal="left" vertical="center" indent="1"/>
      <protection hidden="1"/>
    </xf>
    <xf numFmtId="0" fontId="56" fillId="0" borderId="15" xfId="0" applyFont="1" applyFill="1" applyBorder="1" applyAlignment="1" applyProtection="1">
      <alignment horizontal="left" vertical="center" indent="1"/>
      <protection hidden="1"/>
    </xf>
    <xf numFmtId="0" fontId="56" fillId="0" borderId="16" xfId="0" applyFont="1" applyFill="1" applyBorder="1" applyAlignment="1" applyProtection="1">
      <alignment horizontal="left" vertical="center" indent="1"/>
      <protection hidden="1"/>
    </xf>
    <xf numFmtId="174" fontId="33" fillId="0" borderId="12" xfId="0" applyNumberFormat="1" applyFont="1" applyFill="1" applyBorder="1" applyAlignment="1" applyProtection="1">
      <alignment horizontal="center" vertical="center"/>
      <protection hidden="1"/>
    </xf>
    <xf numFmtId="165" fontId="33" fillId="17" borderId="0" xfId="0" applyNumberFormat="1" applyFont="1" applyFill="1" applyBorder="1" applyAlignment="1" applyProtection="1">
      <alignment horizontal="center" vertical="center"/>
      <protection hidden="1"/>
    </xf>
    <xf numFmtId="0" fontId="59" fillId="0" borderId="9" xfId="0" applyFont="1" applyFill="1" applyBorder="1" applyAlignment="1" applyProtection="1">
      <alignment horizontal="right" vertical="center"/>
      <protection hidden="1"/>
    </xf>
    <xf numFmtId="173" fontId="62" fillId="25" borderId="10" xfId="0" applyNumberFormat="1" applyFont="1" applyFill="1" applyBorder="1" applyAlignment="1" applyProtection="1">
      <alignment horizontal="left" vertical="center"/>
      <protection hidden="1"/>
    </xf>
    <xf numFmtId="0" fontId="69" fillId="0" borderId="9" xfId="0" applyFont="1" applyFill="1" applyBorder="1" applyAlignment="1" applyProtection="1">
      <alignment horizontal="right" vertical="center" indent="1"/>
      <protection hidden="1"/>
    </xf>
    <xf numFmtId="0" fontId="83" fillId="0" borderId="0" xfId="0" applyFont="1" applyFill="1" applyBorder="1" applyAlignment="1" applyProtection="1">
      <alignment horizontal="center"/>
      <protection hidden="1"/>
    </xf>
    <xf numFmtId="0" fontId="60" fillId="0" borderId="0" xfId="0" applyFont="1" applyFill="1" applyBorder="1" applyProtection="1">
      <protection hidden="1"/>
    </xf>
    <xf numFmtId="166" fontId="37" fillId="19" borderId="0" xfId="0" applyNumberFormat="1" applyFont="1" applyFill="1" applyBorder="1" applyAlignment="1" applyProtection="1">
      <alignment horizontal="left"/>
      <protection hidden="1"/>
    </xf>
    <xf numFmtId="0" fontId="84" fillId="32" borderId="6" xfId="0" applyFont="1" applyFill="1" applyBorder="1" applyAlignment="1" applyProtection="1">
      <alignment horizontal="center" vertical="center" wrapText="1"/>
      <protection hidden="1"/>
    </xf>
    <xf numFmtId="177" fontId="35" fillId="28" borderId="0" xfId="0" applyNumberFormat="1" applyFont="1" applyFill="1" applyBorder="1" applyAlignment="1" applyProtection="1">
      <alignment horizontal="center" textRotation="90"/>
      <protection hidden="1"/>
    </xf>
    <xf numFmtId="0" fontId="35" fillId="18" borderId="0" xfId="0" applyFont="1" applyFill="1" applyBorder="1" applyAlignment="1" applyProtection="1">
      <alignment horizontal="center" textRotation="90"/>
      <protection hidden="1"/>
    </xf>
    <xf numFmtId="0" fontId="35" fillId="18" borderId="0" xfId="0" applyFont="1" applyFill="1" applyBorder="1" applyAlignment="1" applyProtection="1">
      <alignment horizontal="center"/>
      <protection locked="0" hidden="1"/>
    </xf>
    <xf numFmtId="0" fontId="43" fillId="17" borderId="12" xfId="0" applyFont="1" applyFill="1" applyBorder="1" applyAlignment="1" applyProtection="1">
      <alignment horizontal="center" vertical="center"/>
      <protection hidden="1"/>
    </xf>
    <xf numFmtId="0" fontId="37" fillId="26" borderId="0" xfId="0" applyFont="1" applyFill="1" applyBorder="1" applyProtection="1">
      <protection hidden="1"/>
    </xf>
    <xf numFmtId="0" fontId="37" fillId="0" borderId="0" xfId="0" applyFont="1" applyAlignment="1" applyProtection="1">
      <alignment horizontal="justify" vertical="top" wrapText="1"/>
      <protection hidden="1"/>
    </xf>
    <xf numFmtId="0" fontId="85" fillId="0" borderId="0" xfId="0" applyFont="1" applyAlignment="1" applyProtection="1">
      <alignment horizontal="center" vertical="top" wrapText="1"/>
      <protection hidden="1"/>
    </xf>
    <xf numFmtId="0" fontId="73" fillId="0" borderId="0" xfId="0" applyFont="1" applyAlignment="1" applyProtection="1">
      <alignment horizontal="justify" vertical="top" wrapText="1"/>
      <protection locked="0"/>
    </xf>
    <xf numFmtId="0" fontId="33" fillId="17" borderId="12" xfId="0" applyFont="1" applyFill="1" applyBorder="1" applyAlignment="1" applyProtection="1">
      <alignment horizontal="center" vertical="center"/>
      <protection hidden="1"/>
    </xf>
    <xf numFmtId="0" fontId="34" fillId="17" borderId="12" xfId="0" applyFont="1" applyFill="1" applyBorder="1" applyAlignment="1" applyProtection="1">
      <alignment horizontal="center" vertical="center"/>
      <protection hidden="1"/>
    </xf>
    <xf numFmtId="0" fontId="62" fillId="19" borderId="0" xfId="0" applyFont="1" applyFill="1" applyBorder="1" applyAlignment="1" applyProtection="1">
      <alignment horizontal="left" vertical="center"/>
      <protection hidden="1"/>
    </xf>
    <xf numFmtId="0" fontId="62" fillId="18" borderId="0" xfId="0" applyFont="1" applyFill="1" applyBorder="1" applyAlignment="1" applyProtection="1">
      <alignment horizontal="left" vertical="center"/>
      <protection hidden="1"/>
    </xf>
    <xf numFmtId="0" fontId="62" fillId="18" borderId="0" xfId="0" applyFont="1" applyFill="1" applyBorder="1" applyAlignment="1" applyProtection="1">
      <alignment horizontal="center" vertical="center"/>
      <protection hidden="1"/>
    </xf>
    <xf numFmtId="0" fontId="33" fillId="0" borderId="0" xfId="0" applyFont="1" applyFill="1" applyBorder="1" applyAlignment="1" applyProtection="1">
      <alignment horizontal="left"/>
      <protection hidden="1"/>
    </xf>
    <xf numFmtId="166" fontId="62" fillId="18" borderId="0" xfId="0" applyNumberFormat="1" applyFont="1" applyFill="1" applyBorder="1" applyAlignment="1" applyProtection="1">
      <alignment horizontal="left" vertical="center"/>
      <protection hidden="1"/>
    </xf>
    <xf numFmtId="0" fontId="33" fillId="0" borderId="0" xfId="0" applyFont="1" applyBorder="1" applyAlignment="1" applyProtection="1">
      <alignment horizontal="left" vertical="center"/>
      <protection hidden="1"/>
    </xf>
    <xf numFmtId="0" fontId="102" fillId="0" borderId="0" xfId="0" applyFont="1" applyFill="1" applyBorder="1" applyAlignment="1" applyProtection="1">
      <protection hidden="1"/>
    </xf>
    <xf numFmtId="0" fontId="102" fillId="0" borderId="0" xfId="0" applyFont="1" applyFill="1" applyBorder="1" applyAlignment="1" applyProtection="1">
      <alignment vertical="center"/>
      <protection hidden="1"/>
    </xf>
    <xf numFmtId="0" fontId="102" fillId="0" borderId="0" xfId="0" applyFont="1" applyFill="1" applyBorder="1" applyProtection="1">
      <protection hidden="1"/>
    </xf>
    <xf numFmtId="166" fontId="102" fillId="0" borderId="0" xfId="0" applyNumberFormat="1" applyFont="1" applyFill="1" applyBorder="1" applyProtection="1">
      <protection hidden="1"/>
    </xf>
    <xf numFmtId="0" fontId="102" fillId="0" borderId="0" xfId="0" applyFont="1" applyFill="1" applyBorder="1" applyAlignment="1" applyProtection="1">
      <alignment horizontal="right"/>
      <protection hidden="1"/>
    </xf>
    <xf numFmtId="0" fontId="104" fillId="0" borderId="0" xfId="0" applyFont="1" applyFill="1" applyBorder="1" applyAlignment="1" applyProtection="1">
      <protection hidden="1"/>
    </xf>
    <xf numFmtId="0" fontId="104" fillId="0" borderId="0" xfId="0" applyFont="1" applyFill="1" applyProtection="1">
      <protection hidden="1"/>
    </xf>
    <xf numFmtId="0" fontId="104" fillId="0" borderId="0" xfId="0" applyFont="1" applyFill="1" applyAlignment="1" applyProtection="1">
      <alignment vertical="center"/>
      <protection hidden="1"/>
    </xf>
    <xf numFmtId="0" fontId="106" fillId="0" borderId="0" xfId="0" applyFont="1" applyFill="1" applyBorder="1" applyProtection="1">
      <protection hidden="1"/>
    </xf>
    <xf numFmtId="166" fontId="106" fillId="0" borderId="0" xfId="0" applyNumberFormat="1" applyFont="1" applyFill="1" applyBorder="1" applyProtection="1">
      <protection hidden="1"/>
    </xf>
    <xf numFmtId="0" fontId="106" fillId="0" borderId="0" xfId="0" applyFont="1" applyFill="1" applyBorder="1" applyAlignment="1" applyProtection="1">
      <alignment horizontal="right"/>
      <protection hidden="1"/>
    </xf>
    <xf numFmtId="166" fontId="104" fillId="0" borderId="0" xfId="0" applyNumberFormat="1" applyFont="1" applyFill="1" applyBorder="1" applyAlignment="1" applyProtection="1">
      <protection hidden="1"/>
    </xf>
    <xf numFmtId="0" fontId="104" fillId="0" borderId="0" xfId="0" applyFont="1" applyFill="1" applyBorder="1" applyAlignment="1" applyProtection="1">
      <alignment horizontal="right"/>
      <protection hidden="1"/>
    </xf>
    <xf numFmtId="166" fontId="102" fillId="0" borderId="0" xfId="0" applyNumberFormat="1" applyFont="1" applyFill="1" applyBorder="1" applyAlignment="1" applyProtection="1">
      <protection hidden="1"/>
    </xf>
    <xf numFmtId="0" fontId="87" fillId="0" borderId="0" xfId="0" applyFont="1" applyFill="1" applyProtection="1">
      <protection hidden="1"/>
    </xf>
    <xf numFmtId="0" fontId="41" fillId="0" borderId="0" xfId="0" applyFont="1" applyFill="1" applyBorder="1" applyProtection="1">
      <protection hidden="1"/>
    </xf>
    <xf numFmtId="166" fontId="41" fillId="0" borderId="0" xfId="0" applyNumberFormat="1" applyFont="1" applyFill="1" applyBorder="1" applyAlignment="1" applyProtection="1">
      <alignment horizontal="right" vertical="center"/>
      <protection hidden="1"/>
    </xf>
    <xf numFmtId="166" fontId="41" fillId="0" borderId="0" xfId="0" applyNumberFormat="1" applyFont="1" applyFill="1" applyBorder="1" applyAlignment="1" applyProtection="1">
      <alignment horizontal="right"/>
      <protection hidden="1"/>
    </xf>
    <xf numFmtId="0" fontId="32" fillId="34" borderId="32" xfId="0" applyFont="1" applyFill="1" applyBorder="1" applyAlignment="1" applyProtection="1">
      <alignment vertical="center"/>
      <protection hidden="1"/>
    </xf>
    <xf numFmtId="166" fontId="62" fillId="34" borderId="32" xfId="0" applyNumberFormat="1" applyFont="1" applyFill="1" applyBorder="1" applyAlignment="1" applyProtection="1">
      <alignment horizontal="center" vertical="center"/>
      <protection hidden="1"/>
    </xf>
    <xf numFmtId="0" fontId="62" fillId="34" borderId="32" xfId="0" applyFont="1" applyFill="1" applyBorder="1" applyAlignment="1" applyProtection="1">
      <alignment horizontal="right" vertical="center"/>
      <protection hidden="1"/>
    </xf>
    <xf numFmtId="0" fontId="32" fillId="0" borderId="0" xfId="0" applyFont="1" applyFill="1" applyBorder="1" applyAlignment="1" applyProtection="1">
      <alignment vertical="center"/>
      <protection hidden="1"/>
    </xf>
    <xf numFmtId="0" fontId="62" fillId="19" borderId="0" xfId="0" applyFont="1" applyFill="1" applyBorder="1" applyAlignment="1" applyProtection="1">
      <alignment horizontal="center" vertical="center"/>
      <protection hidden="1"/>
    </xf>
    <xf numFmtId="166" fontId="62" fillId="18" borderId="0" xfId="0" applyNumberFormat="1" applyFont="1" applyFill="1" applyBorder="1" applyAlignment="1" applyProtection="1">
      <alignment horizontal="center" vertical="center"/>
      <protection hidden="1"/>
    </xf>
    <xf numFmtId="0" fontId="62" fillId="18" borderId="0" xfId="0" applyFont="1" applyFill="1" applyBorder="1" applyAlignment="1" applyProtection="1">
      <alignment horizontal="right" vertical="center"/>
      <protection hidden="1"/>
    </xf>
    <xf numFmtId="0" fontId="32" fillId="19" borderId="0" xfId="0" applyFont="1" applyFill="1" applyBorder="1" applyAlignment="1" applyProtection="1">
      <alignment vertical="center"/>
      <protection hidden="1"/>
    </xf>
    <xf numFmtId="0" fontId="32" fillId="18" borderId="0" xfId="0" applyFont="1" applyFill="1" applyBorder="1" applyProtection="1">
      <protection hidden="1"/>
    </xf>
    <xf numFmtId="0" fontId="107" fillId="18" borderId="0" xfId="0" applyFont="1" applyFill="1" applyBorder="1" applyAlignment="1" applyProtection="1">
      <alignment horizontal="center" vertical="center"/>
      <protection hidden="1"/>
    </xf>
    <xf numFmtId="0" fontId="32" fillId="18" borderId="0" xfId="0" applyFont="1" applyFill="1" applyBorder="1" applyAlignment="1" applyProtection="1">
      <alignment vertical="center"/>
      <protection hidden="1"/>
    </xf>
    <xf numFmtId="0" fontId="108" fillId="18" borderId="10" xfId="0" applyFont="1" applyFill="1" applyBorder="1" applyAlignment="1" applyProtection="1">
      <alignment horizontal="center" vertical="center"/>
      <protection hidden="1"/>
    </xf>
    <xf numFmtId="0" fontId="107" fillId="18" borderId="10" xfId="0" applyFont="1" applyFill="1" applyBorder="1" applyAlignment="1" applyProtection="1">
      <alignment horizontal="center" vertical="center"/>
      <protection hidden="1"/>
    </xf>
    <xf numFmtId="0" fontId="107" fillId="19" borderId="0" xfId="0" applyFont="1" applyFill="1" applyBorder="1" applyProtection="1">
      <protection hidden="1"/>
    </xf>
    <xf numFmtId="0" fontId="76" fillId="0" borderId="0" xfId="0" applyFont="1" applyFill="1" applyBorder="1" applyAlignment="1" applyProtection="1">
      <alignment horizontal="left" vertical="center" wrapText="1"/>
      <protection hidden="1"/>
    </xf>
    <xf numFmtId="178" fontId="62" fillId="0" borderId="0" xfId="0" applyNumberFormat="1" applyFont="1" applyFill="1" applyBorder="1" applyAlignment="1" applyProtection="1">
      <alignment horizontal="center" textRotation="90"/>
      <protection hidden="1"/>
    </xf>
    <xf numFmtId="0" fontId="48" fillId="0" borderId="0" xfId="0" applyFont="1" applyFill="1" applyBorder="1" applyAlignment="1" applyProtection="1">
      <alignment horizontal="right" vertical="center"/>
      <protection hidden="1"/>
    </xf>
    <xf numFmtId="0" fontId="48" fillId="0" borderId="0" xfId="0" applyFont="1" applyFill="1" applyBorder="1" applyAlignment="1" applyProtection="1">
      <alignment horizontal="center" vertical="center"/>
      <protection hidden="1"/>
    </xf>
    <xf numFmtId="0" fontId="43" fillId="35" borderId="36" xfId="0" applyFont="1" applyFill="1" applyBorder="1" applyAlignment="1" applyProtection="1">
      <alignment horizontal="center" vertical="center"/>
      <protection hidden="1"/>
    </xf>
    <xf numFmtId="0" fontId="105" fillId="0" borderId="0" xfId="0" applyFont="1" applyFill="1" applyBorder="1" applyAlignment="1" applyProtection="1">
      <alignment horizontal="right" vertical="center"/>
      <protection hidden="1"/>
    </xf>
    <xf numFmtId="0" fontId="74" fillId="0" borderId="37" xfId="0" applyFont="1" applyFill="1" applyBorder="1" applyAlignment="1" applyProtection="1">
      <alignment horizontal="center" vertical="center"/>
      <protection locked="0"/>
    </xf>
    <xf numFmtId="0" fontId="74" fillId="0" borderId="38" xfId="0" applyFont="1" applyFill="1" applyBorder="1" applyAlignment="1" applyProtection="1">
      <alignment horizontal="center" vertical="center"/>
      <protection locked="0"/>
    </xf>
    <xf numFmtId="0" fontId="74" fillId="0" borderId="39" xfId="0" applyFont="1" applyFill="1" applyBorder="1" applyAlignment="1" applyProtection="1">
      <alignment horizontal="center" vertical="center"/>
      <protection locked="0"/>
    </xf>
    <xf numFmtId="0" fontId="110" fillId="34" borderId="36" xfId="0" applyFont="1" applyFill="1" applyBorder="1" applyAlignment="1" applyProtection="1">
      <alignment horizontal="center" vertical="center"/>
      <protection locked="0"/>
    </xf>
    <xf numFmtId="0" fontId="108" fillId="0" borderId="0" xfId="0" applyFont="1" applyFill="1" applyBorder="1" applyAlignment="1" applyProtection="1">
      <alignment horizontal="right" vertical="center"/>
      <protection hidden="1"/>
    </xf>
    <xf numFmtId="0" fontId="66" fillId="0" borderId="0" xfId="0" applyFont="1" applyFill="1" applyBorder="1" applyAlignment="1" applyProtection="1">
      <alignment horizontal="center" vertical="center"/>
      <protection hidden="1"/>
    </xf>
    <xf numFmtId="0" fontId="111" fillId="0" borderId="0" xfId="0" quotePrefix="1" applyFont="1" applyFill="1" applyBorder="1" applyAlignment="1" applyProtection="1">
      <alignment horizontal="center" vertical="center"/>
      <protection hidden="1"/>
    </xf>
    <xf numFmtId="0" fontId="43" fillId="0" borderId="0" xfId="0" applyFont="1" applyFill="1" applyBorder="1" applyAlignment="1" applyProtection="1">
      <alignment horizontal="center" vertical="center"/>
      <protection hidden="1"/>
    </xf>
    <xf numFmtId="0" fontId="62" fillId="0" borderId="40" xfId="0" applyFont="1" applyFill="1" applyBorder="1" applyAlignment="1" applyProtection="1">
      <alignment vertical="center"/>
      <protection locked="0"/>
    </xf>
    <xf numFmtId="0" fontId="48" fillId="0" borderId="41" xfId="0" applyFont="1" applyFill="1" applyBorder="1" applyAlignment="1" applyProtection="1">
      <alignment horizontal="center" vertical="center"/>
      <protection locked="0"/>
    </xf>
    <xf numFmtId="0" fontId="48" fillId="0" borderId="42" xfId="0" applyFont="1" applyFill="1" applyBorder="1" applyAlignment="1" applyProtection="1">
      <alignment horizontal="center" vertical="center"/>
      <protection locked="0"/>
    </xf>
    <xf numFmtId="0" fontId="48" fillId="0" borderId="43" xfId="0" applyFont="1" applyFill="1" applyBorder="1" applyAlignment="1" applyProtection="1">
      <alignment horizontal="center" vertical="center"/>
      <protection locked="0"/>
    </xf>
    <xf numFmtId="0" fontId="68" fillId="0" borderId="44" xfId="0" applyFont="1" applyFill="1" applyBorder="1" applyAlignment="1" applyProtection="1">
      <alignment horizontal="center" vertical="center"/>
      <protection locked="0"/>
    </xf>
    <xf numFmtId="0" fontId="48" fillId="0" borderId="45" xfId="0" applyFont="1" applyFill="1" applyBorder="1" applyAlignment="1" applyProtection="1">
      <alignment horizontal="center" vertical="center"/>
      <protection hidden="1"/>
    </xf>
    <xf numFmtId="169" fontId="62" fillId="18" borderId="0" xfId="0" applyNumberFormat="1" applyFont="1" applyFill="1" applyBorder="1" applyAlignment="1" applyProtection="1">
      <alignment horizontal="center" vertical="center"/>
      <protection hidden="1"/>
    </xf>
    <xf numFmtId="169" fontId="62" fillId="18" borderId="10" xfId="0" applyNumberFormat="1" applyFont="1" applyFill="1" applyBorder="1" applyAlignment="1" applyProtection="1">
      <alignment horizontal="center" vertical="center"/>
      <protection hidden="1"/>
    </xf>
    <xf numFmtId="0" fontId="62" fillId="0" borderId="46" xfId="0" applyFont="1" applyFill="1" applyBorder="1" applyAlignment="1" applyProtection="1">
      <alignment vertical="center"/>
      <protection locked="0"/>
    </xf>
    <xf numFmtId="0" fontId="48" fillId="0" borderId="47" xfId="0" applyFont="1" applyFill="1" applyBorder="1" applyAlignment="1" applyProtection="1">
      <alignment horizontal="center" vertical="center"/>
      <protection locked="0"/>
    </xf>
    <xf numFmtId="0" fontId="48" fillId="0" borderId="12" xfId="0" applyFont="1" applyFill="1" applyBorder="1" applyAlignment="1" applyProtection="1">
      <alignment horizontal="center" vertical="center"/>
      <protection locked="0"/>
    </xf>
    <xf numFmtId="0" fontId="48" fillId="0" borderId="48" xfId="0" applyFont="1" applyFill="1" applyBorder="1" applyAlignment="1" applyProtection="1">
      <alignment horizontal="center" vertical="center"/>
      <protection locked="0"/>
    </xf>
    <xf numFmtId="0" fontId="68" fillId="0" borderId="49" xfId="0" applyFont="1" applyFill="1" applyBorder="1" applyAlignment="1" applyProtection="1">
      <alignment horizontal="center" vertical="center"/>
      <protection locked="0"/>
    </xf>
    <xf numFmtId="0" fontId="62" fillId="0" borderId="50" xfId="0" applyFont="1" applyFill="1" applyBorder="1" applyAlignment="1" applyProtection="1">
      <alignment vertical="center"/>
      <protection locked="0"/>
    </xf>
    <xf numFmtId="0" fontId="48" fillId="0" borderId="51" xfId="0" applyFont="1" applyFill="1" applyBorder="1" applyAlignment="1" applyProtection="1">
      <alignment horizontal="center" vertical="center"/>
      <protection locked="0"/>
    </xf>
    <xf numFmtId="0" fontId="48" fillId="0" borderId="52" xfId="0" applyFont="1" applyFill="1" applyBorder="1" applyAlignment="1" applyProtection="1">
      <alignment horizontal="center" vertical="center"/>
      <protection locked="0"/>
    </xf>
    <xf numFmtId="0" fontId="48" fillId="0" borderId="53" xfId="0" applyFont="1" applyFill="1" applyBorder="1" applyAlignment="1" applyProtection="1">
      <alignment horizontal="center" vertical="center"/>
      <protection locked="0"/>
    </xf>
    <xf numFmtId="0" fontId="68" fillId="0" borderId="54" xfId="0" applyFont="1" applyFill="1" applyBorder="1" applyAlignment="1" applyProtection="1">
      <alignment horizontal="center" vertical="center"/>
      <protection locked="0"/>
    </xf>
    <xf numFmtId="0" fontId="38" fillId="26" borderId="0" xfId="0" applyFont="1" applyFill="1" applyBorder="1" applyAlignment="1" applyProtection="1">
      <alignment horizontal="center" vertical="center"/>
      <protection hidden="1"/>
    </xf>
    <xf numFmtId="0" fontId="103" fillId="26" borderId="0" xfId="0" applyFont="1" applyFill="1" applyBorder="1" applyAlignment="1" applyProtection="1">
      <alignment horizontal="center" vertical="center"/>
      <protection hidden="1"/>
    </xf>
    <xf numFmtId="0" fontId="37" fillId="26" borderId="0" xfId="0" applyFont="1" applyFill="1" applyBorder="1" applyAlignment="1" applyProtection="1">
      <alignment horizontal="center" vertical="center"/>
      <protection hidden="1"/>
    </xf>
    <xf numFmtId="173" fontId="32" fillId="26" borderId="0" xfId="0" applyNumberFormat="1" applyFont="1" applyFill="1" applyBorder="1" applyProtection="1">
      <protection hidden="1"/>
    </xf>
    <xf numFmtId="167" fontId="43" fillId="26" borderId="0" xfId="0" applyNumberFormat="1" applyFont="1" applyFill="1" applyBorder="1" applyAlignment="1" applyProtection="1">
      <alignment vertical="center"/>
      <protection hidden="1"/>
    </xf>
    <xf numFmtId="167" fontId="37" fillId="26" borderId="0" xfId="0" applyNumberFormat="1" applyFont="1" applyFill="1" applyBorder="1" applyAlignment="1" applyProtection="1">
      <alignment horizontal="left" vertical="center"/>
      <protection hidden="1"/>
    </xf>
    <xf numFmtId="164" fontId="37" fillId="26" borderId="0" xfId="0" applyNumberFormat="1" applyFont="1" applyFill="1" applyBorder="1" applyAlignment="1" applyProtection="1">
      <alignment horizontal="center" vertical="center"/>
      <protection hidden="1"/>
    </xf>
    <xf numFmtId="167" fontId="37" fillId="26" borderId="0" xfId="0" applyNumberFormat="1" applyFont="1" applyFill="1" applyBorder="1" applyAlignment="1" applyProtection="1">
      <alignment horizontal="center" vertical="center"/>
      <protection hidden="1"/>
    </xf>
    <xf numFmtId="167" fontId="43" fillId="26" borderId="0" xfId="0" applyNumberFormat="1" applyFont="1" applyFill="1" applyBorder="1" applyAlignment="1" applyProtection="1">
      <alignment horizontal="center" vertical="center"/>
      <protection hidden="1"/>
    </xf>
    <xf numFmtId="167" fontId="34" fillId="26" borderId="0" xfId="0" applyNumberFormat="1" applyFont="1" applyFill="1" applyBorder="1" applyAlignment="1" applyProtection="1">
      <protection hidden="1"/>
    </xf>
    <xf numFmtId="0" fontId="37" fillId="26" borderId="0" xfId="0" applyFont="1" applyFill="1" applyBorder="1" applyAlignment="1" applyProtection="1">
      <alignment horizontal="center"/>
      <protection hidden="1"/>
    </xf>
    <xf numFmtId="0" fontId="37" fillId="26" borderId="0" xfId="0" applyFont="1" applyFill="1" applyBorder="1" applyAlignment="1" applyProtection="1">
      <alignment horizontal="right"/>
      <protection hidden="1"/>
    </xf>
    <xf numFmtId="0" fontId="42" fillId="27" borderId="0" xfId="0" applyFont="1" applyFill="1" applyBorder="1" applyAlignment="1" applyProtection="1">
      <alignment horizontal="left" vertical="top" indent="1"/>
      <protection hidden="1"/>
    </xf>
    <xf numFmtId="173" fontId="35" fillId="27" borderId="0" xfId="0" applyNumberFormat="1" applyFont="1" applyFill="1" applyBorder="1" applyAlignment="1" applyProtection="1">
      <alignment vertical="top"/>
      <protection hidden="1"/>
    </xf>
    <xf numFmtId="0" fontId="38" fillId="27" borderId="0" xfId="0" applyFont="1" applyFill="1" applyBorder="1" applyAlignment="1" applyProtection="1">
      <alignment horizontal="center" vertical="center"/>
      <protection hidden="1"/>
    </xf>
    <xf numFmtId="0" fontId="102" fillId="27" borderId="0" xfId="0" applyFont="1" applyFill="1" applyBorder="1" applyAlignment="1" applyProtection="1">
      <alignment vertical="center"/>
      <protection hidden="1"/>
    </xf>
    <xf numFmtId="0" fontId="33" fillId="26" borderId="0" xfId="0" applyFont="1" applyFill="1" applyBorder="1" applyAlignment="1" applyProtection="1">
      <alignment horizontal="center"/>
      <protection hidden="1"/>
    </xf>
    <xf numFmtId="167" fontId="42" fillId="27" borderId="0" xfId="0" applyNumberFormat="1" applyFont="1" applyFill="1" applyBorder="1" applyAlignment="1" applyProtection="1">
      <alignment vertical="center"/>
      <protection hidden="1"/>
    </xf>
    <xf numFmtId="167" fontId="38" fillId="27" borderId="0" xfId="0" applyNumberFormat="1" applyFont="1" applyFill="1" applyBorder="1" applyAlignment="1" applyProtection="1">
      <alignment horizontal="left" vertical="center"/>
      <protection hidden="1"/>
    </xf>
    <xf numFmtId="164" fontId="38" fillId="27" borderId="0" xfId="0" applyNumberFormat="1" applyFont="1" applyFill="1" applyBorder="1" applyAlignment="1" applyProtection="1">
      <alignment horizontal="center" vertical="center"/>
      <protection hidden="1"/>
    </xf>
    <xf numFmtId="167" fontId="38" fillId="27" borderId="0" xfId="0" applyNumberFormat="1" applyFont="1" applyFill="1" applyBorder="1" applyAlignment="1" applyProtection="1">
      <alignment horizontal="center" vertical="center"/>
      <protection hidden="1"/>
    </xf>
    <xf numFmtId="167" fontId="42" fillId="27" borderId="0" xfId="0" applyNumberFormat="1" applyFont="1" applyFill="1" applyBorder="1" applyAlignment="1" applyProtection="1">
      <alignment horizontal="center" vertical="center"/>
      <protection hidden="1"/>
    </xf>
    <xf numFmtId="0" fontId="55" fillId="27" borderId="0" xfId="0" applyFont="1" applyFill="1" applyBorder="1" applyAlignment="1" applyProtection="1">
      <alignment horizontal="center" vertical="center"/>
      <protection hidden="1"/>
    </xf>
    <xf numFmtId="0" fontId="102" fillId="27" borderId="0" xfId="0" applyFont="1" applyFill="1" applyBorder="1" applyAlignment="1" applyProtection="1">
      <alignment horizontal="center" vertical="center"/>
      <protection hidden="1"/>
    </xf>
    <xf numFmtId="0" fontId="112" fillId="0" borderId="0" xfId="0" applyFont="1" applyProtection="1">
      <protection hidden="1"/>
    </xf>
    <xf numFmtId="0" fontId="0" fillId="0" borderId="0" xfId="0" applyAlignment="1"/>
    <xf numFmtId="0" fontId="74" fillId="0" borderId="0" xfId="0" applyFont="1" applyFill="1" applyBorder="1" applyAlignment="1" applyProtection="1">
      <alignment horizontal="right" vertical="center"/>
      <protection hidden="1"/>
    </xf>
    <xf numFmtId="0" fontId="62" fillId="0" borderId="0" xfId="0" applyFont="1" applyFill="1" applyBorder="1" applyAlignment="1" applyProtection="1">
      <alignment horizontal="right" vertical="center"/>
      <protection hidden="1"/>
    </xf>
    <xf numFmtId="0" fontId="81" fillId="0" borderId="37" xfId="0" applyFont="1" applyFill="1" applyBorder="1" applyAlignment="1" applyProtection="1">
      <alignment horizontal="center" vertical="center"/>
      <protection locked="0"/>
    </xf>
    <xf numFmtId="0" fontId="81" fillId="0" borderId="38" xfId="0" applyFont="1" applyFill="1" applyBorder="1" applyAlignment="1" applyProtection="1">
      <alignment horizontal="center" vertical="center"/>
      <protection locked="0"/>
    </xf>
    <xf numFmtId="0" fontId="81" fillId="0" borderId="39" xfId="0" applyFont="1" applyFill="1" applyBorder="1" applyAlignment="1" applyProtection="1">
      <alignment horizontal="center" vertical="center"/>
      <protection locked="0"/>
    </xf>
    <xf numFmtId="0" fontId="38" fillId="0" borderId="0" xfId="0" applyFont="1" applyFill="1" applyBorder="1" applyAlignment="1" applyProtection="1">
      <alignment horizontal="center" vertical="center"/>
      <protection hidden="1"/>
    </xf>
    <xf numFmtId="178" fontId="37" fillId="0" borderId="0" xfId="0" applyNumberFormat="1" applyFont="1" applyFill="1" applyBorder="1" applyAlignment="1" applyProtection="1">
      <alignment horizontal="center" textRotation="90"/>
      <protection hidden="1"/>
    </xf>
    <xf numFmtId="0" fontId="39" fillId="0" borderId="0" xfId="0" applyFont="1" applyFill="1" applyBorder="1" applyAlignment="1" applyProtection="1">
      <alignment horizontal="right" vertical="center"/>
      <protection hidden="1"/>
    </xf>
    <xf numFmtId="0" fontId="113" fillId="35" borderId="55" xfId="0" applyFont="1" applyFill="1" applyBorder="1" applyAlignment="1" applyProtection="1">
      <alignment horizontal="center" vertical="center"/>
      <protection hidden="1"/>
    </xf>
    <xf numFmtId="0" fontId="48" fillId="0" borderId="56" xfId="0" applyFont="1" applyFill="1" applyBorder="1" applyAlignment="1" applyProtection="1">
      <alignment horizontal="center" vertical="center"/>
      <protection locked="0"/>
    </xf>
    <xf numFmtId="0" fontId="48" fillId="0" borderId="57" xfId="0" applyFont="1" applyFill="1" applyBorder="1" applyAlignment="1" applyProtection="1">
      <alignment horizontal="center" vertical="center"/>
      <protection locked="0"/>
    </xf>
    <xf numFmtId="0" fontId="48" fillId="0" borderId="58" xfId="0" applyFont="1" applyFill="1" applyBorder="1" applyAlignment="1" applyProtection="1">
      <alignment horizontal="center" vertical="center"/>
      <protection locked="0"/>
    </xf>
    <xf numFmtId="0" fontId="114" fillId="18" borderId="10" xfId="0" applyFont="1" applyFill="1" applyBorder="1" applyAlignment="1" applyProtection="1">
      <alignment horizontal="center" vertical="center"/>
      <protection hidden="1"/>
    </xf>
    <xf numFmtId="1" fontId="37" fillId="34" borderId="10" xfId="0" applyNumberFormat="1" applyFont="1" applyFill="1" applyBorder="1" applyAlignment="1" applyProtection="1">
      <alignment horizontal="right" vertical="center"/>
      <protection hidden="1"/>
    </xf>
    <xf numFmtId="0" fontId="67" fillId="19" borderId="18" xfId="0" applyFont="1" applyFill="1" applyBorder="1" applyAlignment="1" applyProtection="1">
      <alignment horizontal="center" vertical="center"/>
      <protection hidden="1"/>
    </xf>
    <xf numFmtId="0" fontId="108" fillId="18" borderId="18" xfId="0" applyFont="1" applyFill="1" applyBorder="1" applyAlignment="1" applyProtection="1">
      <alignment horizontal="center" vertical="center"/>
      <protection hidden="1"/>
    </xf>
    <xf numFmtId="0" fontId="114" fillId="18" borderId="18" xfId="0" applyFont="1" applyFill="1" applyBorder="1" applyAlignment="1" applyProtection="1">
      <alignment horizontal="center" vertical="center"/>
      <protection hidden="1"/>
    </xf>
    <xf numFmtId="0" fontId="107" fillId="18" borderId="23" xfId="0" applyFont="1" applyFill="1" applyBorder="1" applyAlignment="1" applyProtection="1">
      <alignment horizontal="center" vertical="center"/>
      <protection hidden="1"/>
    </xf>
    <xf numFmtId="0" fontId="37" fillId="0" borderId="59" xfId="0" applyFont="1" applyFill="1" applyBorder="1" applyAlignment="1" applyProtection="1">
      <alignment vertical="center"/>
      <protection locked="0"/>
    </xf>
    <xf numFmtId="0" fontId="43" fillId="0" borderId="60" xfId="0" applyFont="1" applyFill="1" applyBorder="1" applyAlignment="1" applyProtection="1">
      <alignment horizontal="center" vertical="center"/>
      <protection locked="0"/>
    </xf>
    <xf numFmtId="0" fontId="43" fillId="0" borderId="61" xfId="0" applyFont="1" applyFill="1" applyBorder="1" applyAlignment="1" applyProtection="1">
      <alignment horizontal="center" vertical="center"/>
      <protection locked="0"/>
    </xf>
    <xf numFmtId="0" fontId="37" fillId="0" borderId="62" xfId="0" applyFont="1" applyFill="1" applyBorder="1" applyAlignment="1" applyProtection="1">
      <alignment vertical="center"/>
      <protection locked="0"/>
    </xf>
    <xf numFmtId="0" fontId="37" fillId="0" borderId="63" xfId="0" applyFont="1" applyFill="1" applyBorder="1" applyAlignment="1" applyProtection="1">
      <alignment vertical="center"/>
      <protection locked="0"/>
    </xf>
    <xf numFmtId="0" fontId="43" fillId="0" borderId="64" xfId="0" applyFont="1" applyFill="1" applyBorder="1" applyAlignment="1" applyProtection="1">
      <alignment horizontal="center" vertical="center"/>
      <protection locked="0"/>
    </xf>
    <xf numFmtId="0" fontId="76" fillId="0" borderId="0" xfId="0" applyFont="1" applyFill="1" applyBorder="1" applyAlignment="1" applyProtection="1">
      <alignment horizontal="center" vertical="center"/>
      <protection hidden="1"/>
    </xf>
    <xf numFmtId="0" fontId="115" fillId="34" borderId="36" xfId="0" applyFont="1" applyFill="1" applyBorder="1" applyAlignment="1" applyProtection="1">
      <alignment horizontal="center" vertical="center"/>
      <protection locked="0"/>
    </xf>
    <xf numFmtId="0" fontId="43" fillId="0" borderId="45" xfId="0" applyFont="1" applyFill="1" applyBorder="1" applyAlignment="1" applyProtection="1">
      <alignment horizontal="center" vertical="center"/>
      <protection hidden="1"/>
    </xf>
    <xf numFmtId="167" fontId="76" fillId="26" borderId="0" xfId="0" applyNumberFormat="1" applyFont="1" applyFill="1" applyBorder="1" applyAlignment="1" applyProtection="1">
      <protection hidden="1"/>
    </xf>
    <xf numFmtId="167" fontId="47" fillId="27" borderId="0" xfId="0" applyNumberFormat="1" applyFont="1" applyFill="1" applyBorder="1" applyAlignment="1" applyProtection="1">
      <alignment vertical="center"/>
      <protection hidden="1"/>
    </xf>
    <xf numFmtId="0" fontId="117" fillId="0" borderId="0" xfId="0" applyFont="1" applyFill="1" applyBorder="1" applyAlignment="1" applyProtection="1">
      <alignment horizontal="right" vertical="center"/>
      <protection hidden="1"/>
    </xf>
    <xf numFmtId="0" fontId="118" fillId="0" borderId="0" xfId="0" applyFont="1" applyAlignment="1" applyProtection="1">
      <alignment horizontal="right"/>
      <protection hidden="1"/>
    </xf>
    <xf numFmtId="173" fontId="119" fillId="0" borderId="0" xfId="0" applyNumberFormat="1" applyFont="1" applyProtection="1">
      <protection hidden="1"/>
    </xf>
    <xf numFmtId="0" fontId="118" fillId="0" borderId="0" xfId="0" applyFont="1" applyProtection="1">
      <protection hidden="1"/>
    </xf>
    <xf numFmtId="0" fontId="93" fillId="28" borderId="30" xfId="0" applyFont="1" applyFill="1" applyBorder="1" applyAlignment="1" applyProtection="1">
      <alignment horizontal="left" vertical="center" indent="1"/>
      <protection hidden="1"/>
    </xf>
    <xf numFmtId="0" fontId="87" fillId="28" borderId="30" xfId="0" applyFont="1" applyFill="1" applyBorder="1" applyAlignment="1" applyProtection="1">
      <alignment horizontal="left" vertical="center"/>
      <protection hidden="1"/>
    </xf>
    <xf numFmtId="0" fontId="87" fillId="28" borderId="30" xfId="0" applyFont="1" applyFill="1" applyBorder="1" applyAlignment="1" applyProtection="1">
      <alignment horizontal="center" vertical="center"/>
      <protection hidden="1"/>
    </xf>
    <xf numFmtId="171" fontId="87" fillId="28" borderId="30" xfId="0" applyNumberFormat="1" applyFont="1" applyFill="1" applyBorder="1" applyAlignment="1" applyProtection="1">
      <alignment horizontal="right" vertical="center"/>
      <protection hidden="1"/>
    </xf>
    <xf numFmtId="0" fontId="93" fillId="36" borderId="15" xfId="0" applyFont="1" applyFill="1" applyBorder="1" applyAlignment="1" applyProtection="1">
      <alignment horizontal="left" vertical="center" indent="1"/>
      <protection hidden="1"/>
    </xf>
    <xf numFmtId="0" fontId="87" fillId="36" borderId="15" xfId="0" applyFont="1" applyFill="1" applyBorder="1" applyAlignment="1" applyProtection="1">
      <alignment horizontal="left" vertical="center"/>
      <protection hidden="1"/>
    </xf>
    <xf numFmtId="0" fontId="87" fillId="36" borderId="15" xfId="0" applyFont="1" applyFill="1" applyBorder="1" applyAlignment="1" applyProtection="1">
      <alignment horizontal="center" vertical="center"/>
      <protection hidden="1"/>
    </xf>
    <xf numFmtId="171" fontId="87" fillId="36" borderId="15" xfId="0" applyNumberFormat="1" applyFont="1" applyFill="1" applyBorder="1" applyAlignment="1" applyProtection="1">
      <alignment horizontal="right" vertical="center"/>
      <protection hidden="1"/>
    </xf>
    <xf numFmtId="0" fontId="93" fillId="23" borderId="15" xfId="0" applyFont="1" applyFill="1" applyBorder="1" applyAlignment="1" applyProtection="1">
      <alignment horizontal="left" vertical="center" indent="1"/>
      <protection hidden="1"/>
    </xf>
    <xf numFmtId="0" fontId="87" fillId="23" borderId="15" xfId="0" applyFont="1" applyFill="1" applyBorder="1" applyAlignment="1" applyProtection="1">
      <alignment horizontal="left" vertical="center"/>
      <protection hidden="1"/>
    </xf>
    <xf numFmtId="0" fontId="87" fillId="23" borderId="15" xfId="0" applyFont="1" applyFill="1" applyBorder="1" applyAlignment="1" applyProtection="1">
      <alignment horizontal="center" vertical="center"/>
      <protection hidden="1"/>
    </xf>
    <xf numFmtId="171" fontId="87" fillId="23" borderId="15" xfId="0" applyNumberFormat="1" applyFont="1" applyFill="1" applyBorder="1" applyAlignment="1" applyProtection="1">
      <alignment horizontal="right" vertical="center"/>
      <protection hidden="1"/>
    </xf>
    <xf numFmtId="0" fontId="116" fillId="26" borderId="0" xfId="0" applyFont="1" applyFill="1" applyBorder="1" applyProtection="1">
      <protection hidden="1"/>
    </xf>
    <xf numFmtId="0" fontId="120" fillId="27" borderId="0" xfId="0" applyFont="1" applyFill="1" applyBorder="1" applyAlignment="1" applyProtection="1">
      <alignment vertical="center"/>
      <protection hidden="1"/>
    </xf>
    <xf numFmtId="0" fontId="116" fillId="0" borderId="0" xfId="0" applyFont="1" applyAlignment="1" applyProtection="1">
      <alignment horizontal="right" vertical="top" wrapText="1"/>
      <protection hidden="1"/>
    </xf>
    <xf numFmtId="0" fontId="121" fillId="0" borderId="0" xfId="0" applyFont="1" applyAlignment="1" applyProtection="1">
      <alignment horizontal="right" vertical="top" wrapText="1"/>
      <protection hidden="1"/>
    </xf>
    <xf numFmtId="0" fontId="122" fillId="0" borderId="0" xfId="0" applyFont="1" applyAlignment="1" applyProtection="1">
      <alignment horizontal="right" vertical="top" wrapText="1"/>
      <protection hidden="1"/>
    </xf>
    <xf numFmtId="0" fontId="57" fillId="0" borderId="0" xfId="0" applyFont="1" applyProtection="1">
      <protection locked="0"/>
    </xf>
    <xf numFmtId="0" fontId="124" fillId="26" borderId="0" xfId="0" applyFont="1" applyFill="1" applyBorder="1" applyAlignment="1" applyProtection="1">
      <alignment horizontal="left"/>
      <protection hidden="1"/>
    </xf>
    <xf numFmtId="0" fontId="125" fillId="27" borderId="0" xfId="0" applyFont="1" applyFill="1" applyBorder="1" applyAlignment="1" applyProtection="1">
      <alignment horizontal="left" vertical="center"/>
      <protection hidden="1"/>
    </xf>
    <xf numFmtId="0" fontId="124" fillId="0" borderId="0" xfId="0" applyFont="1" applyAlignment="1" applyProtection="1">
      <alignment horizontal="left" vertical="top"/>
      <protection hidden="1"/>
    </xf>
    <xf numFmtId="0" fontId="124" fillId="0" borderId="0" xfId="0" applyFont="1" applyAlignment="1" applyProtection="1">
      <alignment horizontal="left" vertical="top"/>
      <protection locked="0"/>
    </xf>
    <xf numFmtId="0" fontId="123" fillId="0" borderId="0" xfId="0" applyFont="1" applyAlignment="1" applyProtection="1">
      <alignment horizontal="center" vertical="top" wrapText="1"/>
      <protection locked="0"/>
    </xf>
    <xf numFmtId="0" fontId="122" fillId="0" borderId="0" xfId="0" applyFont="1" applyAlignment="1" applyProtection="1">
      <alignment horizontal="left" vertical="top"/>
      <protection locked="0"/>
    </xf>
    <xf numFmtId="0" fontId="37" fillId="0" borderId="0" xfId="0" applyFont="1" applyAlignment="1" applyProtection="1">
      <alignment horizontal="justify" vertical="top" wrapText="1"/>
      <protection locked="0"/>
    </xf>
    <xf numFmtId="0" fontId="37" fillId="0" borderId="0" xfId="0" applyNumberFormat="1" applyFont="1" applyAlignment="1" applyProtection="1">
      <alignment horizontal="justify" vertical="top" wrapText="1"/>
      <protection locked="0"/>
    </xf>
    <xf numFmtId="0" fontId="43" fillId="0" borderId="0" xfId="0" applyFont="1" applyAlignment="1" applyProtection="1">
      <alignment horizontal="justify" vertical="top" wrapText="1"/>
      <protection locked="0"/>
    </xf>
    <xf numFmtId="0" fontId="116" fillId="26" borderId="0" xfId="0" applyFont="1" applyFill="1" applyBorder="1" applyAlignment="1" applyProtection="1">
      <alignment wrapText="1"/>
      <protection hidden="1"/>
    </xf>
    <xf numFmtId="0" fontId="120" fillId="27" borderId="0" xfId="0" applyFont="1" applyFill="1" applyBorder="1" applyAlignment="1" applyProtection="1">
      <alignment vertical="center" wrapText="1"/>
      <protection hidden="1"/>
    </xf>
    <xf numFmtId="0" fontId="37" fillId="0" borderId="0" xfId="0" applyFont="1" applyAlignment="1" applyProtection="1">
      <alignment wrapText="1"/>
      <protection hidden="1"/>
    </xf>
    <xf numFmtId="167" fontId="33" fillId="26" borderId="0" xfId="0" applyNumberFormat="1" applyFont="1" applyFill="1" applyBorder="1" applyAlignment="1" applyProtection="1">
      <alignment horizontal="center" wrapText="1"/>
      <protection hidden="1"/>
    </xf>
    <xf numFmtId="0" fontId="33" fillId="26" borderId="0" xfId="0" applyFont="1" applyFill="1" applyBorder="1" applyAlignment="1" applyProtection="1">
      <alignment horizontal="right" vertical="center" wrapText="1"/>
      <protection hidden="1"/>
    </xf>
    <xf numFmtId="164" fontId="33" fillId="26" borderId="0" xfId="0" applyNumberFormat="1" applyFont="1" applyFill="1" applyBorder="1" applyAlignment="1" applyProtection="1">
      <alignment horizontal="left" vertical="center" wrapText="1"/>
      <protection hidden="1"/>
    </xf>
    <xf numFmtId="164" fontId="33" fillId="27" borderId="0" xfId="0" applyNumberFormat="1" applyFont="1" applyFill="1" applyBorder="1" applyAlignment="1" applyProtection="1">
      <alignment horizontal="left" vertical="center" wrapText="1"/>
      <protection hidden="1"/>
    </xf>
    <xf numFmtId="0" fontId="37" fillId="0" borderId="0" xfId="0" applyFont="1" applyProtection="1">
      <protection locked="0"/>
    </xf>
    <xf numFmtId="0" fontId="116" fillId="0" borderId="0" xfId="0" applyFont="1" applyAlignment="1" applyProtection="1">
      <alignment horizontal="right" vertical="top" wrapText="1"/>
      <protection locked="0"/>
    </xf>
    <xf numFmtId="0" fontId="116" fillId="0" borderId="0" xfId="0" applyFont="1" applyAlignment="1" applyProtection="1">
      <alignment horizontal="right" vertical="top"/>
      <protection locked="0"/>
    </xf>
    <xf numFmtId="0" fontId="126" fillId="0" borderId="29" xfId="0" applyFont="1" applyBorder="1" applyAlignment="1" applyProtection="1">
      <alignment horizontal="right" vertical="center" wrapText="1"/>
      <protection locked="0"/>
    </xf>
    <xf numFmtId="0" fontId="49" fillId="0" borderId="9" xfId="0" applyFont="1" applyBorder="1" applyAlignment="1" applyProtection="1">
      <alignment horizontal="left" vertical="center" wrapText="1"/>
      <protection locked="0"/>
    </xf>
    <xf numFmtId="0" fontId="49" fillId="0" borderId="9" xfId="0" applyFont="1" applyBorder="1" applyAlignment="1" applyProtection="1">
      <alignment vertical="center"/>
      <protection locked="0"/>
    </xf>
    <xf numFmtId="0" fontId="49" fillId="0" borderId="9" xfId="0" applyFont="1" applyBorder="1" applyAlignment="1" applyProtection="1">
      <alignment vertical="center" wrapText="1"/>
      <protection locked="0"/>
    </xf>
    <xf numFmtId="0" fontId="128" fillId="0" borderId="25" xfId="0" applyFont="1" applyBorder="1" applyAlignment="1" applyProtection="1">
      <alignment horizontal="right" vertical="top" wrapText="1"/>
      <protection locked="0"/>
    </xf>
    <xf numFmtId="0" fontId="37" fillId="0" borderId="67" xfId="0" applyFont="1" applyBorder="1" applyAlignment="1" applyProtection="1">
      <alignment vertical="top"/>
      <protection locked="0"/>
    </xf>
    <xf numFmtId="0" fontId="33" fillId="0" borderId="68" xfId="0" applyFont="1" applyBorder="1" applyAlignment="1" applyProtection="1">
      <alignment horizontal="justify" vertical="top" wrapText="1"/>
      <protection locked="0"/>
    </xf>
    <xf numFmtId="0" fontId="37" fillId="0" borderId="12" xfId="0" applyFont="1" applyBorder="1" applyAlignment="1" applyProtection="1">
      <alignment vertical="top"/>
      <protection locked="0"/>
    </xf>
    <xf numFmtId="0" fontId="37" fillId="0" borderId="12" xfId="0" applyFont="1" applyBorder="1" applyAlignment="1" applyProtection="1">
      <alignment vertical="top" wrapText="1"/>
      <protection locked="0"/>
    </xf>
    <xf numFmtId="0" fontId="37" fillId="0" borderId="48" xfId="0" applyFont="1" applyBorder="1" applyAlignment="1" applyProtection="1">
      <alignment vertical="top"/>
      <protection locked="0"/>
    </xf>
    <xf numFmtId="0" fontId="33" fillId="0" borderId="69" xfId="0" applyFont="1" applyBorder="1" applyAlignment="1" applyProtection="1">
      <alignment horizontal="justify" vertical="top" wrapText="1"/>
      <protection locked="0"/>
    </xf>
    <xf numFmtId="0" fontId="37" fillId="0" borderId="70" xfId="0" applyFont="1" applyBorder="1" applyAlignment="1" applyProtection="1">
      <alignment vertical="top"/>
      <protection locked="0"/>
    </xf>
    <xf numFmtId="0" fontId="37" fillId="0" borderId="70" xfId="0" applyFont="1" applyBorder="1" applyAlignment="1" applyProtection="1">
      <alignment vertical="top" wrapText="1"/>
      <protection locked="0"/>
    </xf>
    <xf numFmtId="0" fontId="37" fillId="0" borderId="71" xfId="0" applyFont="1" applyBorder="1" applyAlignment="1" applyProtection="1">
      <alignment vertical="top"/>
      <protection locked="0"/>
    </xf>
    <xf numFmtId="0" fontId="121" fillId="0" borderId="0" xfId="0" applyFont="1" applyAlignment="1" applyProtection="1">
      <alignment horizontal="right" vertical="top" wrapText="1"/>
      <protection locked="0"/>
    </xf>
    <xf numFmtId="0" fontId="33" fillId="0" borderId="0" xfId="0" applyFont="1" applyAlignment="1" applyProtection="1">
      <alignment horizontal="justify" vertical="top" wrapText="1"/>
      <protection locked="0"/>
    </xf>
    <xf numFmtId="0" fontId="37" fillId="0" borderId="0" xfId="0" applyFont="1" applyAlignment="1" applyProtection="1">
      <alignment wrapText="1"/>
      <protection locked="0"/>
    </xf>
    <xf numFmtId="0" fontId="121" fillId="0" borderId="0" xfId="0" applyFont="1" applyAlignment="1" applyProtection="1">
      <alignment horizontal="left" vertical="top" indent="7"/>
      <protection locked="0"/>
    </xf>
    <xf numFmtId="0" fontId="121" fillId="0" borderId="0" xfId="0" applyFont="1" applyAlignment="1" applyProtection="1">
      <alignment horizontal="right" vertical="top"/>
      <protection locked="0"/>
    </xf>
    <xf numFmtId="0" fontId="127" fillId="0" borderId="0" xfId="0" applyFont="1" applyAlignment="1" applyProtection="1">
      <alignment horizontal="justify" vertical="top" wrapText="1"/>
      <protection locked="0"/>
    </xf>
    <xf numFmtId="0" fontId="34" fillId="0" borderId="14" xfId="0" applyFont="1" applyBorder="1" applyAlignment="1" applyProtection="1">
      <alignment horizontal="justify" vertical="top" wrapText="1"/>
      <protection locked="0"/>
    </xf>
    <xf numFmtId="0" fontId="37" fillId="0" borderId="14" xfId="0" applyFont="1" applyBorder="1" applyProtection="1">
      <protection locked="0"/>
    </xf>
    <xf numFmtId="0" fontId="37" fillId="0" borderId="14" xfId="0" applyFont="1" applyBorder="1" applyAlignment="1" applyProtection="1">
      <alignment wrapText="1"/>
      <protection locked="0"/>
    </xf>
    <xf numFmtId="0" fontId="34" fillId="0" borderId="15" xfId="0" applyFont="1" applyBorder="1" applyAlignment="1" applyProtection="1">
      <alignment horizontal="justify" vertical="top" wrapText="1"/>
      <protection locked="0"/>
    </xf>
    <xf numFmtId="0" fontId="37" fillId="0" borderId="15" xfId="0" applyFont="1" applyBorder="1" applyProtection="1">
      <protection locked="0"/>
    </xf>
    <xf numFmtId="0" fontId="37" fillId="0" borderId="15" xfId="0" applyFont="1" applyBorder="1" applyAlignment="1" applyProtection="1">
      <alignment wrapText="1"/>
      <protection locked="0"/>
    </xf>
    <xf numFmtId="0" fontId="34" fillId="0" borderId="16" xfId="0" applyFont="1" applyBorder="1" applyAlignment="1" applyProtection="1">
      <alignment horizontal="justify" vertical="top" wrapText="1"/>
      <protection locked="0"/>
    </xf>
    <xf numFmtId="0" fontId="37" fillId="0" borderId="16" xfId="0" applyFont="1" applyBorder="1" applyProtection="1">
      <protection locked="0"/>
    </xf>
    <xf numFmtId="0" fontId="37" fillId="0" borderId="16" xfId="0" applyFont="1" applyBorder="1" applyAlignment="1" applyProtection="1">
      <alignment wrapText="1"/>
      <protection locked="0"/>
    </xf>
    <xf numFmtId="0" fontId="37" fillId="0" borderId="12" xfId="0" quotePrefix="1" applyFont="1" applyBorder="1" applyAlignment="1" applyProtection="1">
      <alignment horizontal="left" vertical="top"/>
      <protection locked="0"/>
    </xf>
    <xf numFmtId="0" fontId="37" fillId="0" borderId="12" xfId="0" quotePrefix="1" applyFont="1" applyBorder="1" applyAlignment="1" applyProtection="1">
      <alignment vertical="top"/>
      <protection locked="0"/>
    </xf>
    <xf numFmtId="0" fontId="37" fillId="0" borderId="12" xfId="0" applyFont="1" applyBorder="1" applyAlignment="1" applyProtection="1">
      <alignment vertical="center" wrapText="1"/>
    </xf>
    <xf numFmtId="0" fontId="33" fillId="0" borderId="65" xfId="0" applyFont="1" applyBorder="1" applyAlignment="1" applyProtection="1">
      <alignment horizontal="justify" vertical="center" wrapText="1"/>
      <protection locked="0"/>
    </xf>
    <xf numFmtId="0" fontId="37" fillId="0" borderId="66" xfId="0" applyFont="1" applyBorder="1" applyAlignment="1" applyProtection="1">
      <alignment vertical="center"/>
      <protection locked="0"/>
    </xf>
    <xf numFmtId="0" fontId="37" fillId="0" borderId="66" xfId="0" applyFont="1" applyBorder="1" applyAlignment="1" applyProtection="1">
      <alignment vertical="center" wrapText="1"/>
      <protection locked="0"/>
    </xf>
    <xf numFmtId="0" fontId="32" fillId="26" borderId="0" xfId="0" applyFont="1" applyFill="1" applyBorder="1" applyAlignment="1" applyProtection="1">
      <alignment horizontal="center"/>
      <protection hidden="1"/>
    </xf>
    <xf numFmtId="172" fontId="58" fillId="0" borderId="9" xfId="0" applyNumberFormat="1" applyFont="1" applyFill="1" applyBorder="1" applyAlignment="1" applyProtection="1">
      <alignment horizontal="left" vertical="center"/>
      <protection hidden="1"/>
    </xf>
    <xf numFmtId="172" fontId="40" fillId="0" borderId="9" xfId="0" applyNumberFormat="1" applyFont="1" applyFill="1" applyBorder="1" applyAlignment="1" applyProtection="1">
      <alignment horizontal="left" vertical="center"/>
      <protection hidden="1"/>
    </xf>
    <xf numFmtId="0" fontId="56" fillId="0" borderId="75" xfId="0" applyFont="1" applyBorder="1" applyAlignment="1" applyProtection="1">
      <alignment horizontal="center" vertical="center"/>
      <protection locked="0"/>
    </xf>
    <xf numFmtId="0" fontId="56" fillId="0" borderId="76" xfId="0" applyFont="1" applyBorder="1" applyAlignment="1" applyProtection="1">
      <alignment horizontal="center" vertical="center"/>
      <protection locked="0"/>
    </xf>
    <xf numFmtId="0" fontId="56" fillId="0" borderId="77" xfId="0" applyFont="1" applyBorder="1" applyAlignment="1" applyProtection="1">
      <alignment horizontal="center" vertical="center"/>
      <protection locked="0"/>
    </xf>
    <xf numFmtId="0" fontId="56" fillId="0" borderId="72" xfId="0" applyFont="1" applyBorder="1" applyAlignment="1" applyProtection="1">
      <alignment horizontal="center" vertical="center"/>
      <protection locked="0"/>
    </xf>
    <xf numFmtId="0" fontId="56" fillId="0" borderId="73" xfId="0" applyFont="1" applyBorder="1" applyAlignment="1" applyProtection="1">
      <alignment horizontal="center" vertical="center"/>
      <protection locked="0"/>
    </xf>
    <xf numFmtId="0" fontId="56" fillId="0" borderId="74" xfId="0" applyFont="1" applyBorder="1" applyAlignment="1" applyProtection="1">
      <alignment horizontal="center" vertical="center"/>
      <protection locked="0"/>
    </xf>
    <xf numFmtId="0" fontId="58" fillId="0" borderId="28" xfId="0" applyFont="1" applyFill="1" applyBorder="1" applyAlignment="1" applyProtection="1">
      <alignment horizontal="center" vertical="center"/>
      <protection hidden="1"/>
    </xf>
    <xf numFmtId="0" fontId="58" fillId="0" borderId="9" xfId="0" applyFont="1" applyFill="1" applyBorder="1" applyAlignment="1" applyProtection="1">
      <alignment horizontal="center" vertical="center"/>
      <protection hidden="1"/>
    </xf>
    <xf numFmtId="172" fontId="58" fillId="0" borderId="28" xfId="0" applyNumberFormat="1" applyFont="1" applyFill="1" applyBorder="1" applyAlignment="1" applyProtection="1">
      <alignment horizontal="left" vertical="center" indent="1"/>
      <protection hidden="1"/>
    </xf>
    <xf numFmtId="172" fontId="58" fillId="0" borderId="9" xfId="0" applyNumberFormat="1" applyFont="1" applyFill="1" applyBorder="1" applyAlignment="1" applyProtection="1">
      <alignment horizontal="left" vertical="center" indent="1"/>
      <protection hidden="1"/>
    </xf>
    <xf numFmtId="0" fontId="58" fillId="0" borderId="9" xfId="0" applyFont="1" applyFill="1" applyBorder="1" applyAlignment="1" applyProtection="1">
      <alignment horizontal="center"/>
      <protection hidden="1"/>
    </xf>
    <xf numFmtId="0" fontId="56" fillId="0" borderId="22" xfId="0" applyFont="1" applyFill="1" applyBorder="1" applyAlignment="1" applyProtection="1">
      <alignment horizontal="left" vertical="center" wrapText="1"/>
      <protection hidden="1"/>
    </xf>
    <xf numFmtId="0" fontId="56" fillId="0" borderId="0" xfId="0" applyFont="1" applyFill="1" applyAlignment="1" applyProtection="1">
      <alignment horizontal="left" vertical="center" wrapText="1"/>
      <protection hidden="1"/>
    </xf>
    <xf numFmtId="2" fontId="56" fillId="0" borderId="0" xfId="0" applyNumberFormat="1" applyFont="1" applyFill="1" applyAlignment="1" applyProtection="1">
      <alignment horizontal="left" vertical="top"/>
      <protection hidden="1"/>
    </xf>
    <xf numFmtId="0" fontId="32" fillId="0" borderId="0" xfId="0" applyFont="1" applyFill="1" applyAlignment="1" applyProtection="1">
      <alignment horizontal="left" wrapText="1"/>
      <protection hidden="1"/>
    </xf>
    <xf numFmtId="0" fontId="35" fillId="26" borderId="18" xfId="0" applyFont="1" applyFill="1" applyBorder="1" applyAlignment="1" applyProtection="1">
      <alignment horizontal="center" vertical="center"/>
      <protection hidden="1"/>
    </xf>
    <xf numFmtId="0" fontId="35" fillId="26" borderId="20" xfId="0" applyFont="1" applyFill="1" applyBorder="1" applyAlignment="1" applyProtection="1">
      <alignment horizontal="center" vertical="center"/>
      <protection hidden="1"/>
    </xf>
    <xf numFmtId="0" fontId="33" fillId="0" borderId="0" xfId="0" applyFont="1" applyFill="1" applyBorder="1" applyAlignment="1" applyProtection="1">
      <alignment horizontal="left" vertical="center"/>
      <protection hidden="1"/>
    </xf>
    <xf numFmtId="0" fontId="33" fillId="0" borderId="22" xfId="0" applyFont="1" applyFill="1" applyBorder="1" applyAlignment="1" applyProtection="1">
      <alignment horizontal="left" vertical="center"/>
      <protection hidden="1"/>
    </xf>
    <xf numFmtId="0" fontId="4" fillId="23" borderId="0" xfId="0" applyFont="1" applyFill="1" applyBorder="1" applyAlignment="1" applyProtection="1">
      <alignment horizontal="center" vertical="center"/>
      <protection hidden="1"/>
    </xf>
    <xf numFmtId="0" fontId="29" fillId="0" borderId="0" xfId="0" applyFont="1" applyFill="1" applyBorder="1" applyAlignment="1" applyProtection="1">
      <alignment horizontal="left"/>
      <protection locked="0"/>
    </xf>
    <xf numFmtId="0" fontId="29" fillId="0" borderId="21" xfId="0" applyFont="1" applyFill="1" applyBorder="1" applyAlignment="1" applyProtection="1">
      <alignment horizontal="left"/>
      <protection locked="0"/>
    </xf>
    <xf numFmtId="0" fontId="37" fillId="26" borderId="0" xfId="0" applyFont="1" applyFill="1" applyBorder="1" applyAlignment="1" applyProtection="1">
      <alignment horizontal="center" vertical="center"/>
      <protection hidden="1"/>
    </xf>
    <xf numFmtId="178" fontId="109" fillId="0" borderId="0" xfId="0" applyNumberFormat="1" applyFont="1" applyFill="1" applyBorder="1" applyAlignment="1" applyProtection="1">
      <alignment horizontal="center" textRotation="90"/>
      <protection hidden="1"/>
    </xf>
    <xf numFmtId="178" fontId="39" fillId="0" borderId="0" xfId="0" applyNumberFormat="1" applyFont="1" applyFill="1" applyBorder="1" applyAlignment="1" applyProtection="1">
      <alignment horizontal="center" textRotation="90"/>
      <protection hidden="1"/>
    </xf>
    <xf numFmtId="0" fontId="74" fillId="0" borderId="23" xfId="0" applyFont="1" applyFill="1" applyBorder="1" applyAlignment="1" applyProtection="1">
      <alignment horizontal="left" vertical="center"/>
      <protection hidden="1"/>
    </xf>
    <xf numFmtId="0" fontId="74" fillId="0" borderId="0" xfId="0" applyFont="1" applyFill="1" applyBorder="1" applyAlignment="1" applyProtection="1">
      <alignment horizontal="left" vertical="center"/>
      <protection hidden="1"/>
    </xf>
    <xf numFmtId="167" fontId="67" fillId="27" borderId="0" xfId="0" applyNumberFormat="1" applyFont="1" applyFill="1" applyBorder="1" applyAlignment="1" applyProtection="1">
      <alignment horizontal="center" vertical="center"/>
      <protection hidden="1"/>
    </xf>
    <xf numFmtId="0" fontId="40" fillId="0" borderId="25" xfId="0" applyFont="1" applyFill="1" applyBorder="1" applyAlignment="1" applyProtection="1">
      <alignment horizontal="right" vertical="top" wrapText="1" indent="1"/>
      <protection hidden="1"/>
    </xf>
    <xf numFmtId="0" fontId="32" fillId="0" borderId="0" xfId="0" applyFont="1"/>
  </cellXfs>
  <cellStyles count="43">
    <cellStyle name="1. jelölőszín" xfId="30" builtinId="29" customBuiltin="1"/>
    <cellStyle name="2. jelölőszín" xfId="31" builtinId="33" customBuiltin="1"/>
    <cellStyle name="20% - 1. jelölőszín" xfId="1" builtinId="30" customBuiltin="1"/>
    <cellStyle name="20% - 2. jelölőszín" xfId="2" builtinId="34" customBuiltin="1"/>
    <cellStyle name="20% - 3. jelölőszín" xfId="3" builtinId="38" customBuiltin="1"/>
    <cellStyle name="20% - 4. jelölőszín" xfId="4" builtinId="42" customBuiltin="1"/>
    <cellStyle name="20% - 5. jelölőszín" xfId="5" builtinId="46" customBuiltin="1"/>
    <cellStyle name="20% - 6. jelölőszín" xfId="6" builtinId="50" customBuiltin="1"/>
    <cellStyle name="3. jelölőszín" xfId="32" builtinId="37" customBuiltin="1"/>
    <cellStyle name="4. jelölőszín" xfId="33" builtinId="41" customBuiltin="1"/>
    <cellStyle name="40% - 1. jelölőszín" xfId="7" builtinId="31" customBuiltin="1"/>
    <cellStyle name="40% - 2. jelölőszín" xfId="8" builtinId="35" customBuiltin="1"/>
    <cellStyle name="40% - 3. jelölőszín" xfId="9" builtinId="39" customBuiltin="1"/>
    <cellStyle name="40% - 4. jelölőszín" xfId="10" builtinId="43" customBuiltin="1"/>
    <cellStyle name="40% - 5. jelölőszín" xfId="11" builtinId="47" customBuiltin="1"/>
    <cellStyle name="40% - 6. jelölőszín" xfId="12" builtinId="51" customBuiltin="1"/>
    <cellStyle name="5. jelölőszín" xfId="34" builtinId="45" customBuiltin="1"/>
    <cellStyle name="6. jelölőszín" xfId="35" builtinId="49" customBuiltin="1"/>
    <cellStyle name="60% - 1. jelölőszín" xfId="13" builtinId="32" customBuiltin="1"/>
    <cellStyle name="60% - 2. jelölőszín" xfId="14" builtinId="36" customBuiltin="1"/>
    <cellStyle name="60% - 3. jelölőszín" xfId="15" builtinId="40" customBuiltin="1"/>
    <cellStyle name="60% - 4. jelölőszín" xfId="16" builtinId="44" customBuiltin="1"/>
    <cellStyle name="60% - 5. jelölőszín" xfId="17" builtinId="48" customBuiltin="1"/>
    <cellStyle name="60% - 6. jelölőszín" xfId="18" builtinId="52" customBuiltin="1"/>
    <cellStyle name="Bevitel" xfId="19" builtinId="20" customBuiltin="1"/>
    <cellStyle name="Cím" xfId="20" builtinId="15" customBuiltin="1"/>
    <cellStyle name="Címsor 1" xfId="21" builtinId="16" customBuiltin="1"/>
    <cellStyle name="Címsor 2" xfId="22" builtinId="17" customBuiltin="1"/>
    <cellStyle name="Címsor 3" xfId="23" builtinId="18" customBuiltin="1"/>
    <cellStyle name="Címsor 4" xfId="24" builtinId="19" customBuiltin="1"/>
    <cellStyle name="Ellenőrzőcella" xfId="25" builtinId="23" customBuiltin="1"/>
    <cellStyle name="Figyelmeztetés" xfId="26" builtinId="11" customBuiltin="1"/>
    <cellStyle name="Hivatkozás" xfId="27" builtinId="8"/>
    <cellStyle name="Hivatkozott cella" xfId="28" builtinId="24" customBuiltin="1"/>
    <cellStyle name="Jegyzet" xfId="29" builtinId="10" customBuiltin="1"/>
    <cellStyle name="Jó" xfId="36" builtinId="26" customBuiltin="1"/>
    <cellStyle name="Kimenet" xfId="37" builtinId="21" customBuiltin="1"/>
    <cellStyle name="Magyarázó szöveg" xfId="38" builtinId="53" customBuiltin="1"/>
    <cellStyle name="Normál" xfId="0" builtinId="0"/>
    <cellStyle name="Összesen" xfId="39" builtinId="25" customBuiltin="1"/>
    <cellStyle name="Rossz" xfId="40" builtinId="27" customBuiltin="1"/>
    <cellStyle name="Semleges" xfId="41" builtinId="28" customBuiltin="1"/>
    <cellStyle name="Számítás" xfId="42" builtinId="22" customBuiltin="1"/>
  </cellStyles>
  <dxfs count="95">
    <dxf>
      <border>
        <left/>
        <right/>
        <top/>
        <bottom/>
      </border>
    </dxf>
    <dxf>
      <border>
        <bottom style="thin">
          <color indexed="63"/>
        </bottom>
      </border>
    </dxf>
    <dxf>
      <border>
        <left/>
        <right/>
        <top/>
        <bottom/>
      </border>
    </dxf>
    <dxf>
      <border>
        <bottom style="thin">
          <color indexed="63"/>
        </bottom>
      </border>
    </dxf>
    <dxf>
      <border>
        <bottom style="thin">
          <color indexed="63"/>
        </bottom>
      </border>
    </dxf>
    <dxf>
      <border>
        <left/>
        <right/>
        <top/>
        <bottom/>
      </border>
    </dxf>
    <dxf>
      <border>
        <bottom style="thin">
          <color indexed="63"/>
        </bottom>
      </border>
    </dxf>
    <dxf>
      <border>
        <left/>
        <right/>
        <top/>
        <bottom/>
      </border>
    </dxf>
    <dxf>
      <font>
        <condense val="0"/>
        <extend val="0"/>
        <color indexed="9"/>
      </font>
      <fill>
        <patternFill>
          <bgColor indexed="41"/>
        </patternFill>
      </fill>
    </dxf>
    <dxf>
      <font>
        <condense val="0"/>
        <extend val="0"/>
        <color indexed="9"/>
      </font>
      <fill>
        <patternFill>
          <bgColor indexed="41"/>
        </patternFill>
      </fill>
    </dxf>
    <dxf>
      <font>
        <condense val="0"/>
        <extend val="0"/>
      </font>
      <fill>
        <patternFill>
          <bgColor indexed="43"/>
        </patternFill>
      </fill>
      <border>
        <left style="thin">
          <color indexed="22"/>
        </left>
        <right style="thin">
          <color indexed="63"/>
        </right>
        <top style="thin">
          <color indexed="63"/>
        </top>
        <bottom style="thin">
          <color indexed="63"/>
        </bottom>
      </border>
    </dxf>
    <dxf>
      <fill>
        <patternFill>
          <bgColor indexed="22"/>
        </patternFill>
      </fill>
      <border>
        <left style="thin">
          <color indexed="9"/>
        </left>
        <right style="thin">
          <color indexed="9"/>
        </right>
        <top style="thin">
          <color indexed="9"/>
        </top>
      </border>
    </dxf>
    <dxf>
      <font>
        <condense val="0"/>
        <extend val="0"/>
        <color indexed="9"/>
      </font>
    </dxf>
    <dxf>
      <fill>
        <patternFill>
          <bgColor indexed="45"/>
        </patternFill>
      </fill>
      <border>
        <left style="thin">
          <color indexed="63"/>
        </left>
        <right style="thin">
          <color indexed="63"/>
        </right>
        <top style="thin">
          <color indexed="43"/>
        </top>
        <bottom style="thin">
          <color indexed="63"/>
        </bottom>
      </border>
    </dxf>
    <dxf>
      <fill>
        <patternFill>
          <bgColor indexed="45"/>
        </patternFill>
      </fill>
    </dxf>
    <dxf>
      <font>
        <condense val="0"/>
        <extend val="0"/>
        <color indexed="51"/>
      </font>
    </dxf>
    <dxf>
      <font>
        <condense val="0"/>
        <extend val="0"/>
        <color indexed="10"/>
      </font>
    </dxf>
    <dxf>
      <font>
        <condense val="0"/>
        <extend val="0"/>
        <color indexed="48"/>
      </font>
    </dxf>
    <dxf>
      <font>
        <condense val="0"/>
        <extend val="0"/>
        <color indexed="14"/>
      </font>
    </dxf>
    <dxf>
      <font>
        <condense val="0"/>
        <extend val="0"/>
      </font>
      <fill>
        <patternFill>
          <bgColor indexed="22"/>
        </patternFill>
      </fill>
    </dxf>
    <dxf>
      <fill>
        <patternFill>
          <bgColor indexed="43"/>
        </patternFill>
      </fill>
      <border>
        <top style="thin">
          <color indexed="22"/>
        </top>
        <bottom style="thin">
          <color indexed="22"/>
        </bottom>
      </border>
    </dxf>
    <dxf>
      <font>
        <condense val="0"/>
        <extend val="0"/>
      </font>
      <fill>
        <patternFill>
          <bgColor indexed="22"/>
        </patternFill>
      </fill>
      <border>
        <left style="thin">
          <color indexed="22"/>
        </left>
        <right style="thin">
          <color indexed="22"/>
        </right>
        <top style="thin">
          <color indexed="22"/>
        </top>
        <bottom style="thin">
          <color indexed="22"/>
        </bottom>
      </border>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23"/>
      </font>
    </dxf>
    <dxf>
      <font>
        <b val="0"/>
        <i val="0"/>
        <condense val="0"/>
        <extend val="0"/>
        <color indexed="47"/>
      </font>
    </dxf>
    <dxf>
      <fill>
        <patternFill>
          <bgColor indexed="43"/>
        </patternFill>
      </fill>
      <border>
        <top style="thin">
          <color indexed="22"/>
        </top>
        <bottom style="thin">
          <color indexed="22"/>
        </bottom>
      </border>
    </dxf>
    <dxf>
      <fill>
        <patternFill>
          <bgColor indexed="43"/>
        </patternFill>
      </fill>
      <border>
        <top style="thin">
          <color indexed="22"/>
        </top>
        <bottom style="thin">
          <color indexed="22"/>
        </bottom>
      </border>
    </dxf>
    <dxf>
      <font>
        <condense val="0"/>
        <extend val="0"/>
      </font>
      <fill>
        <patternFill>
          <bgColor indexed="22"/>
        </patternFill>
      </fill>
      <border>
        <left style="thin">
          <color indexed="22"/>
        </left>
        <right style="thin">
          <color indexed="22"/>
        </right>
        <top style="thin">
          <color indexed="22"/>
        </top>
        <bottom style="thin">
          <color indexed="22"/>
        </bottom>
      </border>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63"/>
      </font>
      <fill>
        <patternFill>
          <bgColor indexed="13"/>
        </patternFill>
      </fill>
    </dxf>
    <dxf>
      <font>
        <condense val="0"/>
        <extend val="0"/>
        <color indexed="63"/>
      </font>
      <fill>
        <patternFill>
          <bgColor indexed="13"/>
        </patternFill>
      </fill>
    </dxf>
    <dxf>
      <font>
        <condense val="0"/>
        <extend val="0"/>
        <color indexed="63"/>
      </font>
      <fill>
        <patternFill>
          <bgColor indexed="13"/>
        </patternFill>
      </fill>
    </dxf>
    <dxf>
      <font>
        <condense val="0"/>
        <extend val="0"/>
        <color indexed="63"/>
      </font>
      <fill>
        <patternFill>
          <bgColor indexed="13"/>
        </patternFill>
      </fill>
    </dxf>
    <dxf>
      <font>
        <b/>
        <i val="0"/>
        <condense val="0"/>
        <extend val="0"/>
        <color indexed="47"/>
      </font>
    </dxf>
    <dxf>
      <font>
        <b/>
        <i val="0"/>
        <condense val="0"/>
        <extend val="0"/>
        <color indexed="47"/>
      </font>
    </dxf>
    <dxf>
      <font>
        <condense val="0"/>
        <extend val="0"/>
      </font>
      <border>
        <left style="thin">
          <color indexed="64"/>
        </left>
        <right style="thin">
          <color indexed="64"/>
        </right>
        <top style="thin">
          <color indexed="64"/>
        </top>
        <bottom style="thin">
          <color indexed="64"/>
        </bottom>
      </border>
    </dxf>
    <dxf>
      <font>
        <condense val="0"/>
        <extend val="0"/>
        <color indexed="9"/>
      </font>
    </dxf>
    <dxf>
      <font>
        <b/>
        <i val="0"/>
        <condense val="0"/>
        <extend val="0"/>
        <color indexed="47"/>
      </font>
    </dxf>
    <dxf>
      <font>
        <condense val="0"/>
        <extend val="0"/>
      </font>
      <fill>
        <patternFill>
          <bgColor indexed="43"/>
        </patternFill>
      </fill>
      <border>
        <top style="thin">
          <color indexed="22"/>
        </top>
        <bottom style="thin">
          <color indexed="22"/>
        </bottom>
      </border>
    </dxf>
    <dxf>
      <font>
        <b val="0"/>
        <i val="0"/>
        <condense val="0"/>
        <extend val="0"/>
        <color indexed="23"/>
      </font>
    </dxf>
    <dxf>
      <font>
        <condense val="0"/>
        <extend val="0"/>
        <color indexed="63"/>
      </font>
      <fill>
        <patternFill>
          <bgColor indexed="13"/>
        </patternFill>
      </fill>
    </dxf>
    <dxf>
      <font>
        <condense val="0"/>
        <extend val="0"/>
        <color indexed="63"/>
      </font>
      <fill>
        <patternFill>
          <bgColor indexed="13"/>
        </patternFill>
      </fill>
    </dxf>
    <dxf>
      <font>
        <condense val="0"/>
        <extend val="0"/>
        <color indexed="47"/>
      </font>
      <border>
        <left style="thin">
          <color indexed="64"/>
        </left>
        <right style="thin">
          <color indexed="64"/>
        </right>
        <top style="thin">
          <color indexed="64"/>
        </top>
        <bottom style="thin">
          <color indexed="64"/>
        </bottom>
      </border>
    </dxf>
    <dxf>
      <font>
        <condense val="0"/>
        <extend val="0"/>
      </font>
      <fill>
        <patternFill>
          <bgColor indexed="22"/>
        </patternFill>
      </fill>
    </dxf>
    <dxf>
      <font>
        <b val="0"/>
        <i val="0"/>
        <condense val="0"/>
        <extend val="0"/>
        <color indexed="63"/>
      </font>
      <fill>
        <patternFill>
          <bgColor indexed="45"/>
        </patternFill>
      </fill>
    </dxf>
    <dxf>
      <font>
        <condense val="0"/>
        <extend val="0"/>
        <color indexed="17"/>
      </font>
      <fill>
        <patternFill>
          <bgColor indexed="9"/>
        </patternFill>
      </fill>
    </dxf>
    <dxf>
      <font>
        <condense val="0"/>
        <extend val="0"/>
        <color indexed="10"/>
      </font>
    </dxf>
    <dxf>
      <font>
        <condense val="0"/>
        <extend val="0"/>
        <color indexed="20"/>
      </font>
    </dxf>
    <dxf>
      <font>
        <condense val="0"/>
        <extend val="0"/>
        <color indexed="10"/>
      </font>
    </dxf>
    <dxf>
      <font>
        <condense val="0"/>
        <extend val="0"/>
        <color indexed="20"/>
      </font>
    </dxf>
    <dxf>
      <font>
        <condense val="0"/>
        <extend val="0"/>
        <color indexed="17"/>
      </font>
      <fill>
        <patternFill>
          <bgColor indexed="9"/>
        </patternFill>
      </fill>
    </dxf>
    <dxf>
      <font>
        <condense val="0"/>
        <extend val="0"/>
      </font>
      <fill>
        <patternFill>
          <bgColor indexed="43"/>
        </patternFill>
      </fill>
      <border>
        <bottom style="thin">
          <color indexed="22"/>
        </bottom>
      </border>
    </dxf>
    <dxf>
      <font>
        <condense val="0"/>
        <extend val="0"/>
        <color indexed="9"/>
      </font>
      <fill>
        <patternFill>
          <bgColor indexed="47"/>
        </patternFill>
      </fill>
    </dxf>
    <dxf>
      <font>
        <condense val="0"/>
        <extend val="0"/>
      </font>
      <border>
        <left style="thin">
          <color indexed="63"/>
        </left>
        <right style="thin">
          <color indexed="63"/>
        </right>
        <top style="thin">
          <color indexed="63"/>
        </top>
        <bottom style="thin">
          <color indexed="63"/>
        </bottom>
      </border>
    </dxf>
    <dxf>
      <font>
        <b/>
        <i val="0"/>
        <condense val="0"/>
        <extend val="0"/>
        <color indexed="47"/>
      </font>
    </dxf>
    <dxf>
      <font>
        <condense val="0"/>
        <extend val="0"/>
      </font>
      <fill>
        <patternFill>
          <bgColor indexed="43"/>
        </patternFill>
      </fill>
      <border>
        <top style="thin">
          <color indexed="22"/>
        </top>
        <bottom style="thin">
          <color indexed="22"/>
        </bottom>
      </border>
    </dxf>
    <dxf>
      <font>
        <condense val="0"/>
        <extend val="0"/>
      </font>
      <fill>
        <patternFill>
          <bgColor indexed="43"/>
        </patternFill>
      </fill>
      <border>
        <bottom style="thin">
          <color indexed="22"/>
        </bottom>
      </border>
    </dxf>
    <dxf>
      <font>
        <condense val="0"/>
        <extend val="0"/>
        <color indexed="9"/>
      </font>
    </dxf>
    <dxf>
      <font>
        <b/>
        <i val="0"/>
        <condense val="0"/>
        <extend val="0"/>
        <color indexed="47"/>
      </font>
    </dxf>
    <dxf>
      <fill>
        <patternFill>
          <bgColor indexed="43"/>
        </patternFill>
      </fill>
      <border>
        <top style="thin">
          <color indexed="22"/>
        </top>
        <bottom style="thin">
          <color indexed="22"/>
        </bottom>
      </border>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47"/>
      </font>
      <border>
        <left style="thin">
          <color indexed="64"/>
        </left>
        <right style="thin">
          <color indexed="64"/>
        </right>
        <top style="thin">
          <color indexed="64"/>
        </top>
        <bottom style="thin">
          <color indexed="64"/>
        </bottom>
      </border>
    </dxf>
    <dxf>
      <font>
        <condense val="0"/>
        <extend val="0"/>
      </font>
      <fill>
        <patternFill>
          <bgColor indexed="22"/>
        </patternFill>
      </fill>
    </dxf>
    <dxf>
      <font>
        <b val="0"/>
        <i val="0"/>
        <condense val="0"/>
        <extend val="0"/>
        <color indexed="63"/>
      </font>
      <fill>
        <patternFill>
          <bgColor indexed="45"/>
        </patternFill>
      </fill>
    </dxf>
    <dxf>
      <font>
        <b/>
        <i/>
        <condense val="0"/>
        <extend val="0"/>
        <color indexed="63"/>
      </font>
      <fill>
        <patternFill>
          <bgColor indexed="11"/>
        </patternFill>
      </fill>
    </dxf>
    <dxf>
      <font>
        <b val="0"/>
        <i val="0"/>
        <condense val="0"/>
        <extend val="0"/>
        <color indexed="63"/>
      </font>
      <fill>
        <patternFill>
          <bgColor indexed="9"/>
        </patternFill>
      </fill>
    </dxf>
    <dxf>
      <font>
        <condense val="0"/>
        <extend val="0"/>
        <color indexed="10"/>
      </font>
    </dxf>
    <dxf>
      <font>
        <condense val="0"/>
        <extend val="0"/>
        <color indexed="20"/>
      </font>
    </dxf>
    <dxf>
      <font>
        <condense val="0"/>
        <extend val="0"/>
        <color indexed="17"/>
      </font>
      <fill>
        <patternFill>
          <bgColor indexed="9"/>
        </patternFill>
      </fill>
    </dxf>
    <dxf>
      <font>
        <condense val="0"/>
        <extend val="0"/>
        <color indexed="10"/>
      </font>
    </dxf>
    <dxf>
      <font>
        <condense val="0"/>
        <extend val="0"/>
        <color indexed="20"/>
      </font>
    </dxf>
    <dxf>
      <font>
        <condense val="0"/>
        <extend val="0"/>
        <color indexed="17"/>
      </font>
      <fill>
        <patternFill>
          <bgColor indexed="9"/>
        </patternFill>
      </fill>
    </dxf>
    <dxf>
      <font>
        <condense val="0"/>
        <extend val="0"/>
        <color indexed="9"/>
      </font>
      <fill>
        <patternFill>
          <bgColor indexed="47"/>
        </patternFill>
      </fill>
    </dxf>
    <dxf>
      <font>
        <condense val="0"/>
        <extend val="0"/>
      </font>
      <fill>
        <patternFill>
          <bgColor indexed="43"/>
        </patternFill>
      </fill>
      <border>
        <bottom style="thin">
          <color indexed="22"/>
        </bottom>
      </border>
    </dxf>
    <dxf>
      <font>
        <condense val="0"/>
        <extend val="0"/>
      </font>
      <border>
        <left style="thin">
          <color indexed="64"/>
        </left>
        <right style="thin">
          <color indexed="64"/>
        </right>
        <top style="thin">
          <color indexed="64"/>
        </top>
        <bottom style="thin">
          <color indexed="64"/>
        </bottom>
      </border>
    </dxf>
    <dxf>
      <font>
        <b/>
        <i val="0"/>
        <condense val="0"/>
        <extend val="0"/>
        <color indexed="47"/>
      </font>
    </dxf>
    <dxf>
      <font>
        <condense val="0"/>
        <extend val="0"/>
      </font>
      <fill>
        <patternFill>
          <bgColor indexed="43"/>
        </patternFill>
      </fill>
      <border>
        <top style="thin">
          <color indexed="22"/>
        </top>
        <bottom style="thin">
          <color indexed="22"/>
        </bottom>
      </border>
    </dxf>
    <dxf>
      <font>
        <b/>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9"/>
      </font>
    </dxf>
    <dxf>
      <font>
        <condense val="0"/>
        <extend val="0"/>
      </font>
      <fill>
        <patternFill>
          <bgColor indexed="43"/>
        </patternFill>
      </fill>
      <border>
        <bottom style="thin">
          <color indexed="22"/>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E5322C"/>
      <rgbColor rgb="00929292"/>
      <rgbColor rgb="00378941"/>
      <rgbColor rgb="00FFCC66"/>
      <rgbColor rgb="00A70F18"/>
      <rgbColor rgb="00B08A00"/>
      <rgbColor rgb="00800000"/>
      <rgbColor rgb="001E670E"/>
      <rgbColor rgb="00000080"/>
      <rgbColor rgb="00808000"/>
      <rgbColor rgb="0033CC33"/>
      <rgbColor rgb="00008080"/>
      <rgbColor rgb="00D1D1D1"/>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C0C0C0"/>
      <rgbColor rgb="00C72323"/>
      <rgbColor rgb="00910D13"/>
      <rgbColor rgb="00E6E6E6"/>
      <rgbColor rgb="00DDDDDD"/>
      <rgbColor rgb="00EEEEEE"/>
      <rgbColor rgb="007BABE3"/>
      <rgbColor rgb="00E5322C"/>
      <rgbColor rgb="003366FF"/>
      <rgbColor rgb="0033CCCC"/>
      <rgbColor rgb="0099CC00"/>
      <rgbColor rgb="00008E00"/>
      <rgbColor rgb="00FF9900"/>
      <rgbColor rgb="00FF6600"/>
      <rgbColor rgb="00666699"/>
      <rgbColor rgb="00A5A5A5"/>
      <rgbColor rgb="00003366"/>
      <rgbColor rgb="005E881A"/>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GBox"/>
</file>

<file path=xl/ctrlProps/ctrlProp2.xml><?xml version="1.0" encoding="utf-8"?>
<formControlPr xmlns="http://schemas.microsoft.com/office/spreadsheetml/2009/9/main" objectType="Radio" checked="Checked" firstButton="1" fmlaLink="$AJ$58"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GBox"/>
</file>

<file path=xl/ctrlProps/ctrlProp6.xml><?xml version="1.0" encoding="utf-8"?>
<formControlPr xmlns="http://schemas.microsoft.com/office/spreadsheetml/2009/9/main" objectType="Radio" checked="Checked" firstButton="1" fmlaLink="$AJ$57" lockText="1"/>
</file>

<file path=xl/ctrlProps/ctrlProp7.xml><?xml version="1.0" encoding="utf-8"?>
<formControlPr xmlns="http://schemas.microsoft.com/office/spreadsheetml/2009/9/main" objectType="Radio" lockText="1"/>
</file>

<file path=xl/ctrlProps/ctrlProp8.xml><?xml version="1.0" encoding="utf-8"?>
<formControlPr xmlns="http://schemas.microsoft.com/office/spreadsheetml/2009/9/main" objectType="Radio" lockText="1"/>
</file>

<file path=xl/ctrlProps/ctrlProp9.xml><?xml version="1.0" encoding="utf-8"?>
<formControlPr xmlns="http://schemas.microsoft.com/office/spreadsheetml/2009/9/main" objectType="Radio" checked="Checked" firstButton="1" fmlaLink="$F$41" lockText="1"/>
</file>

<file path=xl/ctrlProps/ctrlProp10.xml><?xml version="1.0" encoding="utf-8"?>
<formControlPr xmlns="http://schemas.microsoft.com/office/spreadsheetml/2009/9/main" objectType="Radio" lockText="1"/>
</file>

<file path=xl/ctrlProps/ctrlProp11.xml><?xml version="1.0" encoding="utf-8"?>
<formControlPr xmlns="http://schemas.microsoft.com/office/spreadsheetml/2009/9/main" objectType="Radio" lockText="1"/>
</file>

<file path=xl/ctrlProps/ctrlProp12.xml><?xml version="1.0" encoding="utf-8"?>
<formControlPr xmlns="http://schemas.microsoft.com/office/spreadsheetml/2009/9/main" objectType="CheckBox" checked="Checked" fmlaLink="$AD$91" lockText="1"/>
</file>

<file path=xl/ctrlProps/ctrlProp13.xml><?xml version="1.0" encoding="utf-8"?>
<formControlPr xmlns="http://schemas.microsoft.com/office/spreadsheetml/2009/9/main" objectType="GBox"/>
</file>

<file path=xl/ctrlProps/ctrlProp14.xml><?xml version="1.0" encoding="utf-8"?>
<formControlPr xmlns="http://schemas.microsoft.com/office/spreadsheetml/2009/9/main" objectType="Radio" checked="Checked" firstButton="1" fmlaLink="$AD$58" lockText="1"/>
</file>

<file path=xl/ctrlProps/ctrlProp15.xml><?xml version="1.0" encoding="utf-8"?>
<formControlPr xmlns="http://schemas.microsoft.com/office/spreadsheetml/2009/9/main" objectType="Radio" lockText="1"/>
</file>

<file path=xl/ctrlProps/ctrlProp16.xml><?xml version="1.0" encoding="utf-8"?>
<formControlPr xmlns="http://schemas.microsoft.com/office/spreadsheetml/2009/9/main" objectType="Radio" lockText="1"/>
</file>

<file path=xl/ctrlProps/ctrlProp17.xml><?xml version="1.0" encoding="utf-8"?>
<formControlPr xmlns="http://schemas.microsoft.com/office/spreadsheetml/2009/9/main" objectType="GBox"/>
</file>

<file path=xl/ctrlProps/ctrlProp18.xml><?xml version="1.0" encoding="utf-8"?>
<formControlPr xmlns="http://schemas.microsoft.com/office/spreadsheetml/2009/9/main" objectType="Radio" checked="Checked" firstButton="1" fmlaLink="$AD$57" lockText="1"/>
</file>

<file path=xl/ctrlProps/ctrlProp19.xml><?xml version="1.0" encoding="utf-8"?>
<formControlPr xmlns="http://schemas.microsoft.com/office/spreadsheetml/2009/9/main" objectType="Radio" lockText="1"/>
</file>

<file path=xl/ctrlProps/ctrlProp20.xml><?xml version="1.0" encoding="utf-8"?>
<formControlPr xmlns="http://schemas.microsoft.com/office/spreadsheetml/2009/9/main" objectType="Radio" lockText="1"/>
</file>

<file path=xl/ctrlProps/ctrlProp21.xml><?xml version="1.0" encoding="utf-8"?>
<formControlPr xmlns="http://schemas.microsoft.com/office/spreadsheetml/2009/9/main" objectType="Radio" checked="Checked" firstButton="1" fmlaLink="$F$41" lockText="1"/>
</file>

<file path=xl/ctrlProps/ctrlProp22.xml><?xml version="1.0" encoding="utf-8"?>
<formControlPr xmlns="http://schemas.microsoft.com/office/spreadsheetml/2009/9/main" objectType="Radio" lockText="1"/>
</file>

<file path=xl/ctrlProps/ctrlProp23.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8" Type="http://schemas.openxmlformats.org/officeDocument/2006/relationships/hyperlink" Target="#ASZ!A168"/><Relationship Id="rId13" Type="http://schemas.openxmlformats.org/officeDocument/2006/relationships/hyperlink" Target="#ASZ!A248"/><Relationship Id="rId18" Type="http://schemas.openxmlformats.org/officeDocument/2006/relationships/hyperlink" Target="#ASZ!A328"/><Relationship Id="rId26" Type="http://schemas.openxmlformats.org/officeDocument/2006/relationships/image" Target="../media/image3.png"/><Relationship Id="rId39" Type="http://schemas.openxmlformats.org/officeDocument/2006/relationships/hyperlink" Target="#Ki&#237;r&#225;s!A1"/><Relationship Id="rId3" Type="http://schemas.openxmlformats.org/officeDocument/2006/relationships/hyperlink" Target="#ASZ!A88"/><Relationship Id="rId21" Type="http://schemas.openxmlformats.org/officeDocument/2006/relationships/hyperlink" Target="#ASZ!A376"/><Relationship Id="rId34" Type="http://schemas.openxmlformats.org/officeDocument/2006/relationships/hyperlink" Target="#RTAB!A1"/><Relationship Id="rId7" Type="http://schemas.openxmlformats.org/officeDocument/2006/relationships/hyperlink" Target="#ASZ!A152"/><Relationship Id="rId12" Type="http://schemas.openxmlformats.org/officeDocument/2006/relationships/hyperlink" Target="#ASZ!A232"/><Relationship Id="rId17" Type="http://schemas.openxmlformats.org/officeDocument/2006/relationships/hyperlink" Target="#ASZ!A312"/><Relationship Id="rId25" Type="http://schemas.openxmlformats.org/officeDocument/2006/relationships/hyperlink" Target="http://www.hasefoci.eoldal.hu/" TargetMode="External"/><Relationship Id="rId33" Type="http://schemas.openxmlformats.org/officeDocument/2006/relationships/hyperlink" Target="#ASZTAB!A1"/><Relationship Id="rId38" Type="http://schemas.openxmlformats.org/officeDocument/2006/relationships/hyperlink" Target="#Kapcsolat!A1"/><Relationship Id="rId2" Type="http://schemas.openxmlformats.org/officeDocument/2006/relationships/hyperlink" Target="#ASZ!A72"/><Relationship Id="rId16" Type="http://schemas.openxmlformats.org/officeDocument/2006/relationships/hyperlink" Target="#ASZ!A296"/><Relationship Id="rId20" Type="http://schemas.openxmlformats.org/officeDocument/2006/relationships/hyperlink" Target="#ASZ!A360"/><Relationship Id="rId29" Type="http://schemas.openxmlformats.org/officeDocument/2006/relationships/hyperlink" Target="#S&#250;g&#243;!A1"/><Relationship Id="rId1" Type="http://schemas.openxmlformats.org/officeDocument/2006/relationships/hyperlink" Target="#ASZ!A56"/><Relationship Id="rId6" Type="http://schemas.openxmlformats.org/officeDocument/2006/relationships/hyperlink" Target="#ASZ!A136"/><Relationship Id="rId11" Type="http://schemas.openxmlformats.org/officeDocument/2006/relationships/hyperlink" Target="#ASZ!A216"/><Relationship Id="rId24" Type="http://schemas.openxmlformats.org/officeDocument/2006/relationships/hyperlink" Target="mailto:gymm@mailbox.hu?subject=Eredm&#233;nyk&#246;vet&#337;%20t&#225;bl&#225;zat" TargetMode="External"/><Relationship Id="rId32" Type="http://schemas.openxmlformats.org/officeDocument/2006/relationships/hyperlink" Target="#Glis!A1"/><Relationship Id="rId37" Type="http://schemas.openxmlformats.org/officeDocument/2006/relationships/hyperlink" Target="#Gszer!A1"/><Relationship Id="rId5" Type="http://schemas.openxmlformats.org/officeDocument/2006/relationships/hyperlink" Target="#ASZ!A120"/><Relationship Id="rId15" Type="http://schemas.openxmlformats.org/officeDocument/2006/relationships/hyperlink" Target="#ASZ!A280"/><Relationship Id="rId23" Type="http://schemas.openxmlformats.org/officeDocument/2006/relationships/image" Target="../media/image2.png"/><Relationship Id="rId28" Type="http://schemas.openxmlformats.org/officeDocument/2006/relationships/image" Target="../media/image5.png"/><Relationship Id="rId36" Type="http://schemas.openxmlformats.org/officeDocument/2006/relationships/hyperlink" Target="#RKER!A1"/><Relationship Id="rId10" Type="http://schemas.openxmlformats.org/officeDocument/2006/relationships/hyperlink" Target="#ASZ!A200"/><Relationship Id="rId19" Type="http://schemas.openxmlformats.org/officeDocument/2006/relationships/hyperlink" Target="#ASZ!A344"/><Relationship Id="rId31" Type="http://schemas.openxmlformats.org/officeDocument/2006/relationships/hyperlink" Target="#ASZ!A1"/><Relationship Id="rId4" Type="http://schemas.openxmlformats.org/officeDocument/2006/relationships/hyperlink" Target="#ASZ!A104"/><Relationship Id="rId9" Type="http://schemas.openxmlformats.org/officeDocument/2006/relationships/hyperlink" Target="#ASZ!A184"/><Relationship Id="rId14" Type="http://schemas.openxmlformats.org/officeDocument/2006/relationships/hyperlink" Target="#ASZ!A264"/><Relationship Id="rId22" Type="http://schemas.openxmlformats.org/officeDocument/2006/relationships/hyperlink" Target="#ASZ!A40"/><Relationship Id="rId27" Type="http://schemas.openxmlformats.org/officeDocument/2006/relationships/image" Target="../media/image4.png"/><Relationship Id="rId30" Type="http://schemas.openxmlformats.org/officeDocument/2006/relationships/hyperlink" Target="#RCSOP!A1"/><Relationship Id="rId35" Type="http://schemas.openxmlformats.org/officeDocument/2006/relationships/hyperlink" Target="#ASZKER!A1"/></Relationships>
</file>

<file path=xl/drawings/_rels/drawing2.xml.rels><?xml version="1.0" encoding="UTF-8" standalone="yes"?>
<Relationships xmlns="http://schemas.openxmlformats.org/package/2006/relationships"><Relationship Id="rId8" Type="http://schemas.openxmlformats.org/officeDocument/2006/relationships/hyperlink" Target="#RCSOP!A1"/><Relationship Id="rId13" Type="http://schemas.openxmlformats.org/officeDocument/2006/relationships/hyperlink" Target="#ASZKER!A1"/><Relationship Id="rId3" Type="http://schemas.openxmlformats.org/officeDocument/2006/relationships/hyperlink" Target="http://www.hasefoci.eoldal.hu/" TargetMode="External"/><Relationship Id="rId7" Type="http://schemas.openxmlformats.org/officeDocument/2006/relationships/hyperlink" Target="#S&#250;g&#243;!A1"/><Relationship Id="rId12" Type="http://schemas.openxmlformats.org/officeDocument/2006/relationships/hyperlink" Target="#RTAB!A1"/><Relationship Id="rId17" Type="http://schemas.openxmlformats.org/officeDocument/2006/relationships/hyperlink" Target="#Ki&#237;r&#225;s!A1"/><Relationship Id="rId2" Type="http://schemas.openxmlformats.org/officeDocument/2006/relationships/hyperlink" Target="mailto:gymm@mailbox.hu?subject=Eredm&#233;nyk&#246;vet&#337;%20t&#225;bl&#225;zat" TargetMode="External"/><Relationship Id="rId16" Type="http://schemas.openxmlformats.org/officeDocument/2006/relationships/hyperlink" Target="#Kapcsolat!A1"/><Relationship Id="rId1" Type="http://schemas.openxmlformats.org/officeDocument/2006/relationships/image" Target="../media/image2.png"/><Relationship Id="rId6" Type="http://schemas.openxmlformats.org/officeDocument/2006/relationships/image" Target="../media/image5.png"/><Relationship Id="rId11" Type="http://schemas.openxmlformats.org/officeDocument/2006/relationships/hyperlink" Target="#ASZTAB!A1"/><Relationship Id="rId5" Type="http://schemas.openxmlformats.org/officeDocument/2006/relationships/image" Target="../media/image4.png"/><Relationship Id="rId15" Type="http://schemas.openxmlformats.org/officeDocument/2006/relationships/hyperlink" Target="#Gszer!A1"/><Relationship Id="rId10" Type="http://schemas.openxmlformats.org/officeDocument/2006/relationships/hyperlink" Target="#Glis!A1"/><Relationship Id="rId4" Type="http://schemas.openxmlformats.org/officeDocument/2006/relationships/image" Target="../media/image3.png"/><Relationship Id="rId9" Type="http://schemas.openxmlformats.org/officeDocument/2006/relationships/hyperlink" Target="#ASZ!A1"/><Relationship Id="rId14" Type="http://schemas.openxmlformats.org/officeDocument/2006/relationships/hyperlink" Target="#RKER!A1"/></Relationships>
</file>

<file path=xl/drawings/_rels/drawing3.xml.rels><?xml version="1.0" encoding="UTF-8" standalone="yes"?>
<Relationships xmlns="http://schemas.openxmlformats.org/package/2006/relationships"><Relationship Id="rId8" Type="http://schemas.openxmlformats.org/officeDocument/2006/relationships/hyperlink" Target="#RCSOP!A1"/><Relationship Id="rId13" Type="http://schemas.openxmlformats.org/officeDocument/2006/relationships/hyperlink" Target="#ASZKER!A1"/><Relationship Id="rId3" Type="http://schemas.openxmlformats.org/officeDocument/2006/relationships/hyperlink" Target="http://www.hasefoci.eoldal.hu/" TargetMode="External"/><Relationship Id="rId7" Type="http://schemas.openxmlformats.org/officeDocument/2006/relationships/hyperlink" Target="#S&#250;g&#243;!A1"/><Relationship Id="rId12" Type="http://schemas.openxmlformats.org/officeDocument/2006/relationships/hyperlink" Target="#RTAB!A1"/><Relationship Id="rId17" Type="http://schemas.openxmlformats.org/officeDocument/2006/relationships/hyperlink" Target="#Ki&#237;r&#225;s!A1"/><Relationship Id="rId2" Type="http://schemas.openxmlformats.org/officeDocument/2006/relationships/hyperlink" Target="mailto:gymm@mailbox.hu?subject=Eredm&#233;nyk&#246;vet&#337;%20t&#225;bl&#225;zat" TargetMode="External"/><Relationship Id="rId16" Type="http://schemas.openxmlformats.org/officeDocument/2006/relationships/hyperlink" Target="#Kapcsolat!A1"/><Relationship Id="rId1" Type="http://schemas.openxmlformats.org/officeDocument/2006/relationships/image" Target="../media/image2.png"/><Relationship Id="rId6" Type="http://schemas.openxmlformats.org/officeDocument/2006/relationships/image" Target="../media/image5.png"/><Relationship Id="rId11" Type="http://schemas.openxmlformats.org/officeDocument/2006/relationships/hyperlink" Target="#ASZTAB!A1"/><Relationship Id="rId5" Type="http://schemas.openxmlformats.org/officeDocument/2006/relationships/image" Target="../media/image4.png"/><Relationship Id="rId15" Type="http://schemas.openxmlformats.org/officeDocument/2006/relationships/hyperlink" Target="#Gszer!A1"/><Relationship Id="rId10" Type="http://schemas.openxmlformats.org/officeDocument/2006/relationships/hyperlink" Target="#Glis!A1"/><Relationship Id="rId4" Type="http://schemas.openxmlformats.org/officeDocument/2006/relationships/image" Target="../media/image3.png"/><Relationship Id="rId9" Type="http://schemas.openxmlformats.org/officeDocument/2006/relationships/hyperlink" Target="#ASZ!A1"/><Relationship Id="rId14" Type="http://schemas.openxmlformats.org/officeDocument/2006/relationships/hyperlink" Target="#RKER!A1"/></Relationships>
</file>

<file path=xl/drawings/_rels/drawing4.xml.rels><?xml version="1.0" encoding="UTF-8" standalone="yes"?>
<Relationships xmlns="http://schemas.openxmlformats.org/package/2006/relationships"><Relationship Id="rId8" Type="http://schemas.openxmlformats.org/officeDocument/2006/relationships/hyperlink" Target="http://www.hasefoci.eoldal.hu/" TargetMode="External"/><Relationship Id="rId13" Type="http://schemas.openxmlformats.org/officeDocument/2006/relationships/hyperlink" Target="#RCSOP!A1"/><Relationship Id="rId18" Type="http://schemas.openxmlformats.org/officeDocument/2006/relationships/hyperlink" Target="#ASZKER!A1"/><Relationship Id="rId3" Type="http://schemas.openxmlformats.org/officeDocument/2006/relationships/hyperlink" Target="#RCSOP!A108"/><Relationship Id="rId21" Type="http://schemas.openxmlformats.org/officeDocument/2006/relationships/hyperlink" Target="#Kapcsolat!A1"/><Relationship Id="rId7" Type="http://schemas.openxmlformats.org/officeDocument/2006/relationships/hyperlink" Target="mailto:gymm@mailbox.hu?subject=Eredm&#233;nyk&#246;vet&#337;%20t&#225;bl&#225;zat" TargetMode="External"/><Relationship Id="rId12" Type="http://schemas.openxmlformats.org/officeDocument/2006/relationships/hyperlink" Target="#S&#250;g&#243;!A1"/><Relationship Id="rId17" Type="http://schemas.openxmlformats.org/officeDocument/2006/relationships/hyperlink" Target="#RTAB!A1"/><Relationship Id="rId2" Type="http://schemas.openxmlformats.org/officeDocument/2006/relationships/hyperlink" Target="#RCSOP!A90"/><Relationship Id="rId16" Type="http://schemas.openxmlformats.org/officeDocument/2006/relationships/hyperlink" Target="#ASZTAB!A1"/><Relationship Id="rId20" Type="http://schemas.openxmlformats.org/officeDocument/2006/relationships/hyperlink" Target="#Gszer!A1"/><Relationship Id="rId1" Type="http://schemas.openxmlformats.org/officeDocument/2006/relationships/hyperlink" Target="#RCSOP!A72"/><Relationship Id="rId6" Type="http://schemas.openxmlformats.org/officeDocument/2006/relationships/image" Target="../media/image2.png"/><Relationship Id="rId11" Type="http://schemas.openxmlformats.org/officeDocument/2006/relationships/image" Target="../media/image5.png"/><Relationship Id="rId5" Type="http://schemas.openxmlformats.org/officeDocument/2006/relationships/hyperlink" Target="#RCSOP!A54"/><Relationship Id="rId15" Type="http://schemas.openxmlformats.org/officeDocument/2006/relationships/hyperlink" Target="#Glis!A1"/><Relationship Id="rId10" Type="http://schemas.openxmlformats.org/officeDocument/2006/relationships/image" Target="../media/image4.png"/><Relationship Id="rId19" Type="http://schemas.openxmlformats.org/officeDocument/2006/relationships/hyperlink" Target="#RKER!A1"/><Relationship Id="rId4" Type="http://schemas.openxmlformats.org/officeDocument/2006/relationships/hyperlink" Target="#RCSOP!A126"/><Relationship Id="rId9" Type="http://schemas.openxmlformats.org/officeDocument/2006/relationships/image" Target="../media/image3.png"/><Relationship Id="rId14" Type="http://schemas.openxmlformats.org/officeDocument/2006/relationships/hyperlink" Target="#ASZ!A1"/><Relationship Id="rId22" Type="http://schemas.openxmlformats.org/officeDocument/2006/relationships/hyperlink" Target="#Ki&#237;r&#225;s!A1"/></Relationships>
</file>

<file path=xl/drawings/_rels/drawing5.xml.rels><?xml version="1.0" encoding="UTF-8" standalone="yes"?>
<Relationships xmlns="http://schemas.openxmlformats.org/package/2006/relationships"><Relationship Id="rId8" Type="http://schemas.openxmlformats.org/officeDocument/2006/relationships/hyperlink" Target="#RCSOP!A1"/><Relationship Id="rId13" Type="http://schemas.openxmlformats.org/officeDocument/2006/relationships/hyperlink" Target="#ASZKER!A1"/><Relationship Id="rId3" Type="http://schemas.openxmlformats.org/officeDocument/2006/relationships/hyperlink" Target="http://www.hasefoci.eoldal.hu/" TargetMode="External"/><Relationship Id="rId7" Type="http://schemas.openxmlformats.org/officeDocument/2006/relationships/hyperlink" Target="#S&#250;g&#243;!A1"/><Relationship Id="rId12" Type="http://schemas.openxmlformats.org/officeDocument/2006/relationships/hyperlink" Target="#RTAB!A1"/><Relationship Id="rId17" Type="http://schemas.openxmlformats.org/officeDocument/2006/relationships/hyperlink" Target="#Ki&#237;r&#225;s!A1"/><Relationship Id="rId2" Type="http://schemas.openxmlformats.org/officeDocument/2006/relationships/hyperlink" Target="mailto:gymm@mailbox.hu?subject=Eredm&#233;nyk&#246;vet&#337;%20t&#225;bl&#225;zat" TargetMode="External"/><Relationship Id="rId16" Type="http://schemas.openxmlformats.org/officeDocument/2006/relationships/hyperlink" Target="#Kapcsolat!A1"/><Relationship Id="rId1" Type="http://schemas.openxmlformats.org/officeDocument/2006/relationships/image" Target="../media/image2.png"/><Relationship Id="rId6" Type="http://schemas.openxmlformats.org/officeDocument/2006/relationships/image" Target="../media/image5.png"/><Relationship Id="rId11" Type="http://schemas.openxmlformats.org/officeDocument/2006/relationships/hyperlink" Target="#ASZTAB!A1"/><Relationship Id="rId5" Type="http://schemas.openxmlformats.org/officeDocument/2006/relationships/image" Target="../media/image4.png"/><Relationship Id="rId15" Type="http://schemas.openxmlformats.org/officeDocument/2006/relationships/hyperlink" Target="#Gszer!A1"/><Relationship Id="rId10" Type="http://schemas.openxmlformats.org/officeDocument/2006/relationships/hyperlink" Target="#Glis!A1"/><Relationship Id="rId4" Type="http://schemas.openxmlformats.org/officeDocument/2006/relationships/image" Target="../media/image3.png"/><Relationship Id="rId9" Type="http://schemas.openxmlformats.org/officeDocument/2006/relationships/hyperlink" Target="#ASZ!A1"/><Relationship Id="rId14" Type="http://schemas.openxmlformats.org/officeDocument/2006/relationships/hyperlink" Target="#RKER!A1"/></Relationships>
</file>

<file path=xl/drawings/_rels/drawing6.xml.rels><?xml version="1.0" encoding="UTF-8" standalone="yes"?>
<Relationships xmlns="http://schemas.openxmlformats.org/package/2006/relationships"><Relationship Id="rId8" Type="http://schemas.openxmlformats.org/officeDocument/2006/relationships/hyperlink" Target="#RCSOP!A1"/><Relationship Id="rId13" Type="http://schemas.openxmlformats.org/officeDocument/2006/relationships/hyperlink" Target="#ASZKER!A1"/><Relationship Id="rId3" Type="http://schemas.openxmlformats.org/officeDocument/2006/relationships/hyperlink" Target="http://www.hasefoci.eoldal.hu/" TargetMode="External"/><Relationship Id="rId7" Type="http://schemas.openxmlformats.org/officeDocument/2006/relationships/hyperlink" Target="#S&#250;g&#243;!A1"/><Relationship Id="rId12" Type="http://schemas.openxmlformats.org/officeDocument/2006/relationships/hyperlink" Target="#RTAB!A1"/><Relationship Id="rId17" Type="http://schemas.openxmlformats.org/officeDocument/2006/relationships/hyperlink" Target="#Ki&#237;r&#225;s!A1"/><Relationship Id="rId2" Type="http://schemas.openxmlformats.org/officeDocument/2006/relationships/hyperlink" Target="mailto:gymm@mailbox.hu?subject=Eredm&#233;nyk&#246;vet&#337;%20t&#225;bl&#225;zat" TargetMode="External"/><Relationship Id="rId16" Type="http://schemas.openxmlformats.org/officeDocument/2006/relationships/hyperlink" Target="#Kapcsolat!A1"/><Relationship Id="rId1" Type="http://schemas.openxmlformats.org/officeDocument/2006/relationships/image" Target="../media/image2.png"/><Relationship Id="rId6" Type="http://schemas.openxmlformats.org/officeDocument/2006/relationships/image" Target="../media/image5.png"/><Relationship Id="rId11" Type="http://schemas.openxmlformats.org/officeDocument/2006/relationships/hyperlink" Target="#ASZTAB!A1"/><Relationship Id="rId5" Type="http://schemas.openxmlformats.org/officeDocument/2006/relationships/image" Target="../media/image4.png"/><Relationship Id="rId15" Type="http://schemas.openxmlformats.org/officeDocument/2006/relationships/hyperlink" Target="#Gszer!A1"/><Relationship Id="rId10" Type="http://schemas.openxmlformats.org/officeDocument/2006/relationships/hyperlink" Target="#Glis!A1"/><Relationship Id="rId4" Type="http://schemas.openxmlformats.org/officeDocument/2006/relationships/image" Target="../media/image3.png"/><Relationship Id="rId9" Type="http://schemas.openxmlformats.org/officeDocument/2006/relationships/hyperlink" Target="#ASZ!A1"/><Relationship Id="rId14" Type="http://schemas.openxmlformats.org/officeDocument/2006/relationships/hyperlink" Target="#RKER!A1"/></Relationships>
</file>

<file path=xl/drawings/_rels/drawing7.xml.rels><?xml version="1.0" encoding="UTF-8" standalone="yes"?>
<Relationships xmlns="http://schemas.openxmlformats.org/package/2006/relationships"><Relationship Id="rId8" Type="http://schemas.openxmlformats.org/officeDocument/2006/relationships/hyperlink" Target="#RCSOP!A1"/><Relationship Id="rId13" Type="http://schemas.openxmlformats.org/officeDocument/2006/relationships/hyperlink" Target="#ASZKER!A1"/><Relationship Id="rId3" Type="http://schemas.openxmlformats.org/officeDocument/2006/relationships/hyperlink" Target="http://www.hasefoci.eoldal.hu/" TargetMode="External"/><Relationship Id="rId7" Type="http://schemas.openxmlformats.org/officeDocument/2006/relationships/hyperlink" Target="#S&#250;g&#243;!A1"/><Relationship Id="rId12" Type="http://schemas.openxmlformats.org/officeDocument/2006/relationships/hyperlink" Target="#RTAB!A1"/><Relationship Id="rId17" Type="http://schemas.openxmlformats.org/officeDocument/2006/relationships/hyperlink" Target="#Ki&#237;r&#225;s!A1"/><Relationship Id="rId2" Type="http://schemas.openxmlformats.org/officeDocument/2006/relationships/hyperlink" Target="mailto:gymm@mailbox.hu?subject=Eredm&#233;nyk&#246;vet&#337;%20t&#225;bl&#225;zat" TargetMode="External"/><Relationship Id="rId16" Type="http://schemas.openxmlformats.org/officeDocument/2006/relationships/hyperlink" Target="#Kapcsolat!A1"/><Relationship Id="rId1" Type="http://schemas.openxmlformats.org/officeDocument/2006/relationships/image" Target="../media/image2.png"/><Relationship Id="rId6" Type="http://schemas.openxmlformats.org/officeDocument/2006/relationships/image" Target="../media/image5.png"/><Relationship Id="rId11" Type="http://schemas.openxmlformats.org/officeDocument/2006/relationships/hyperlink" Target="#ASZTAB!A1"/><Relationship Id="rId5" Type="http://schemas.openxmlformats.org/officeDocument/2006/relationships/image" Target="../media/image4.png"/><Relationship Id="rId15" Type="http://schemas.openxmlformats.org/officeDocument/2006/relationships/hyperlink" Target="#Gszer!A1"/><Relationship Id="rId10" Type="http://schemas.openxmlformats.org/officeDocument/2006/relationships/hyperlink" Target="#Glis!A1"/><Relationship Id="rId4" Type="http://schemas.openxmlformats.org/officeDocument/2006/relationships/image" Target="../media/image3.png"/><Relationship Id="rId9" Type="http://schemas.openxmlformats.org/officeDocument/2006/relationships/hyperlink" Target="#ASZ!A1"/><Relationship Id="rId14" Type="http://schemas.openxmlformats.org/officeDocument/2006/relationships/hyperlink" Target="#RKER!A1"/></Relationships>
</file>

<file path=xl/drawings/_rels/drawing8.xml.rels><?xml version="1.0" encoding="UTF-8" standalone="yes"?>
<Relationships xmlns="http://schemas.openxmlformats.org/package/2006/relationships"><Relationship Id="rId8" Type="http://schemas.openxmlformats.org/officeDocument/2006/relationships/hyperlink" Target="#RCSOP!A1"/><Relationship Id="rId13" Type="http://schemas.openxmlformats.org/officeDocument/2006/relationships/hyperlink" Target="#ASZKER!A1"/><Relationship Id="rId3" Type="http://schemas.openxmlformats.org/officeDocument/2006/relationships/hyperlink" Target="http://www.hasefoci.eoldal.hu/" TargetMode="External"/><Relationship Id="rId7" Type="http://schemas.openxmlformats.org/officeDocument/2006/relationships/hyperlink" Target="#S&#250;g&#243;!A1"/><Relationship Id="rId12" Type="http://schemas.openxmlformats.org/officeDocument/2006/relationships/hyperlink" Target="#RTAB!A1"/><Relationship Id="rId17" Type="http://schemas.openxmlformats.org/officeDocument/2006/relationships/hyperlink" Target="#Ki&#237;r&#225;s!A1"/><Relationship Id="rId2" Type="http://schemas.openxmlformats.org/officeDocument/2006/relationships/hyperlink" Target="mailto:gymm@mailbox.hu?subject=Eredm&#233;nyk&#246;vet&#337;%20t&#225;bl&#225;zat" TargetMode="External"/><Relationship Id="rId16" Type="http://schemas.openxmlformats.org/officeDocument/2006/relationships/hyperlink" Target="#Kapcsolat!A1"/><Relationship Id="rId1" Type="http://schemas.openxmlformats.org/officeDocument/2006/relationships/image" Target="../media/image2.png"/><Relationship Id="rId6" Type="http://schemas.openxmlformats.org/officeDocument/2006/relationships/image" Target="../media/image5.png"/><Relationship Id="rId11" Type="http://schemas.openxmlformats.org/officeDocument/2006/relationships/hyperlink" Target="#ASZTAB!A1"/><Relationship Id="rId5" Type="http://schemas.openxmlformats.org/officeDocument/2006/relationships/image" Target="../media/image4.png"/><Relationship Id="rId15" Type="http://schemas.openxmlformats.org/officeDocument/2006/relationships/hyperlink" Target="#Gszer!A1"/><Relationship Id="rId10" Type="http://schemas.openxmlformats.org/officeDocument/2006/relationships/hyperlink" Target="#Glis!A1"/><Relationship Id="rId4" Type="http://schemas.openxmlformats.org/officeDocument/2006/relationships/image" Target="../media/image3.png"/><Relationship Id="rId9" Type="http://schemas.openxmlformats.org/officeDocument/2006/relationships/hyperlink" Target="#ASZ!A1"/><Relationship Id="rId14" Type="http://schemas.openxmlformats.org/officeDocument/2006/relationships/hyperlink" Target="#RKER!A1"/></Relationships>
</file>

<file path=xl/drawings/_rels/drawing9.xml.rels><?xml version="1.0" encoding="UTF-8" standalone="yes"?>
<Relationships xmlns="http://schemas.openxmlformats.org/package/2006/relationships"><Relationship Id="rId8" Type="http://schemas.openxmlformats.org/officeDocument/2006/relationships/hyperlink" Target="#RCSOP!A1"/><Relationship Id="rId13" Type="http://schemas.openxmlformats.org/officeDocument/2006/relationships/hyperlink" Target="#ASZKER!A1"/><Relationship Id="rId3" Type="http://schemas.openxmlformats.org/officeDocument/2006/relationships/hyperlink" Target="http://www.hasefoci.eoldal.hu/" TargetMode="External"/><Relationship Id="rId7" Type="http://schemas.openxmlformats.org/officeDocument/2006/relationships/hyperlink" Target="#S&#250;g&#243;!A1"/><Relationship Id="rId12" Type="http://schemas.openxmlformats.org/officeDocument/2006/relationships/hyperlink" Target="#RTAB!A1"/><Relationship Id="rId17" Type="http://schemas.openxmlformats.org/officeDocument/2006/relationships/hyperlink" Target="#Ki&#237;r&#225;s!A1"/><Relationship Id="rId2" Type="http://schemas.openxmlformats.org/officeDocument/2006/relationships/hyperlink" Target="mailto:gymm@mailbox.hu?subject=Eredm&#233;nyk&#246;vet&#337;%20t&#225;bl&#225;zat" TargetMode="External"/><Relationship Id="rId16" Type="http://schemas.openxmlformats.org/officeDocument/2006/relationships/hyperlink" Target="#Kapcsolat!A1"/><Relationship Id="rId1" Type="http://schemas.openxmlformats.org/officeDocument/2006/relationships/image" Target="../media/image2.png"/><Relationship Id="rId6" Type="http://schemas.openxmlformats.org/officeDocument/2006/relationships/image" Target="../media/image5.png"/><Relationship Id="rId11" Type="http://schemas.openxmlformats.org/officeDocument/2006/relationships/hyperlink" Target="#ASZTAB!A1"/><Relationship Id="rId5" Type="http://schemas.openxmlformats.org/officeDocument/2006/relationships/image" Target="../media/image4.png"/><Relationship Id="rId15" Type="http://schemas.openxmlformats.org/officeDocument/2006/relationships/hyperlink" Target="#Gszer!A1"/><Relationship Id="rId10" Type="http://schemas.openxmlformats.org/officeDocument/2006/relationships/hyperlink" Target="#Glis!A1"/><Relationship Id="rId4" Type="http://schemas.openxmlformats.org/officeDocument/2006/relationships/image" Target="../media/image3.png"/><Relationship Id="rId9" Type="http://schemas.openxmlformats.org/officeDocument/2006/relationships/hyperlink" Target="#ASZ!A1"/><Relationship Id="rId14" Type="http://schemas.openxmlformats.org/officeDocument/2006/relationships/hyperlink" Target="#RKER!A1"/></Relationships>
</file>

<file path=xl/drawings/_rels/drawing10.xml.rels><?xml version="1.0" encoding="UTF-8" standalone="yes"?>
<Relationships xmlns="http://schemas.openxmlformats.org/package/2006/relationships"><Relationship Id="rId8" Type="http://schemas.openxmlformats.org/officeDocument/2006/relationships/hyperlink" Target="#RCSOP!A1"/><Relationship Id="rId13" Type="http://schemas.openxmlformats.org/officeDocument/2006/relationships/hyperlink" Target="#ASZKER!A1"/><Relationship Id="rId3" Type="http://schemas.openxmlformats.org/officeDocument/2006/relationships/hyperlink" Target="http://www.hasefoci.eoldal.hu/" TargetMode="External"/><Relationship Id="rId7" Type="http://schemas.openxmlformats.org/officeDocument/2006/relationships/hyperlink" Target="#S&#250;g&#243;!A1"/><Relationship Id="rId12" Type="http://schemas.openxmlformats.org/officeDocument/2006/relationships/hyperlink" Target="#RTAB!A1"/><Relationship Id="rId17" Type="http://schemas.openxmlformats.org/officeDocument/2006/relationships/hyperlink" Target="#Ki&#237;r&#225;s!A1"/><Relationship Id="rId2" Type="http://schemas.openxmlformats.org/officeDocument/2006/relationships/hyperlink" Target="mailto:gymm@mailbox.hu?subject=Eredm&#233;nyk&#246;vet&#337;%20t&#225;bl&#225;zat" TargetMode="External"/><Relationship Id="rId16" Type="http://schemas.openxmlformats.org/officeDocument/2006/relationships/hyperlink" Target="#Kapcsolat!A1"/><Relationship Id="rId1" Type="http://schemas.openxmlformats.org/officeDocument/2006/relationships/image" Target="../media/image2.png"/><Relationship Id="rId6" Type="http://schemas.openxmlformats.org/officeDocument/2006/relationships/image" Target="../media/image5.png"/><Relationship Id="rId11" Type="http://schemas.openxmlformats.org/officeDocument/2006/relationships/hyperlink" Target="#ASZTAB!A1"/><Relationship Id="rId5" Type="http://schemas.openxmlformats.org/officeDocument/2006/relationships/image" Target="../media/image4.png"/><Relationship Id="rId15" Type="http://schemas.openxmlformats.org/officeDocument/2006/relationships/hyperlink" Target="#Gszer!A1"/><Relationship Id="rId10" Type="http://schemas.openxmlformats.org/officeDocument/2006/relationships/hyperlink" Target="#Glis!A1"/><Relationship Id="rId4" Type="http://schemas.openxmlformats.org/officeDocument/2006/relationships/image" Target="../media/image3.png"/><Relationship Id="rId9" Type="http://schemas.openxmlformats.org/officeDocument/2006/relationships/hyperlink" Target="#ASZ!A1"/><Relationship Id="rId14" Type="http://schemas.openxmlformats.org/officeDocument/2006/relationships/hyperlink" Target="#RKER!A1"/></Relationships>
</file>

<file path=xl/drawings/_rels/drawing11.xml.rels><?xml version="1.0" encoding="UTF-8" standalone="yes"?>
<Relationships xmlns="http://schemas.openxmlformats.org/package/2006/relationships"><Relationship Id="rId8" Type="http://schemas.openxmlformats.org/officeDocument/2006/relationships/hyperlink" Target="#RCSOP!A1"/><Relationship Id="rId13" Type="http://schemas.openxmlformats.org/officeDocument/2006/relationships/hyperlink" Target="#ASZKER!A1"/><Relationship Id="rId3" Type="http://schemas.openxmlformats.org/officeDocument/2006/relationships/hyperlink" Target="http://www.hasefoci.eoldal.hu/" TargetMode="External"/><Relationship Id="rId7" Type="http://schemas.openxmlformats.org/officeDocument/2006/relationships/hyperlink" Target="#S&#250;g&#243;!A1"/><Relationship Id="rId12" Type="http://schemas.openxmlformats.org/officeDocument/2006/relationships/hyperlink" Target="#RTAB!A1"/><Relationship Id="rId17" Type="http://schemas.openxmlformats.org/officeDocument/2006/relationships/hyperlink" Target="#Ki&#237;r&#225;s!A1"/><Relationship Id="rId2" Type="http://schemas.openxmlformats.org/officeDocument/2006/relationships/hyperlink" Target="mailto:gymm@mailbox.hu?subject=Eredm&#233;nyk&#246;vet&#337;%20t&#225;bl&#225;zat" TargetMode="External"/><Relationship Id="rId16" Type="http://schemas.openxmlformats.org/officeDocument/2006/relationships/hyperlink" Target="#Kapcsolat!A1"/><Relationship Id="rId1" Type="http://schemas.openxmlformats.org/officeDocument/2006/relationships/image" Target="../media/image2.png"/><Relationship Id="rId6" Type="http://schemas.openxmlformats.org/officeDocument/2006/relationships/image" Target="../media/image5.png"/><Relationship Id="rId11" Type="http://schemas.openxmlformats.org/officeDocument/2006/relationships/hyperlink" Target="#ASZTAB!A1"/><Relationship Id="rId5" Type="http://schemas.openxmlformats.org/officeDocument/2006/relationships/image" Target="../media/image4.png"/><Relationship Id="rId15" Type="http://schemas.openxmlformats.org/officeDocument/2006/relationships/hyperlink" Target="#Gszer!A1"/><Relationship Id="rId10" Type="http://schemas.openxmlformats.org/officeDocument/2006/relationships/hyperlink" Target="#Glis!A1"/><Relationship Id="rId4" Type="http://schemas.openxmlformats.org/officeDocument/2006/relationships/image" Target="../media/image3.png"/><Relationship Id="rId9" Type="http://schemas.openxmlformats.org/officeDocument/2006/relationships/hyperlink" Target="#ASZ!A1"/><Relationship Id="rId14" Type="http://schemas.openxmlformats.org/officeDocument/2006/relationships/hyperlink" Target="#RKER!A1"/></Relationships>
</file>

<file path=xl/drawings/drawing1.xml><?xml version="1.0" encoding="utf-8"?>
<xdr:wsDr xmlns:xdr="http://schemas.openxmlformats.org/drawingml/2006/spreadsheetDrawing" xmlns:a="http://schemas.openxmlformats.org/drawingml/2006/main">
  <xdr:twoCellAnchor editAs="oneCell">
    <xdr:from>
      <xdr:col>8</xdr:col>
      <xdr:colOff>1209675</xdr:colOff>
      <xdr:row>38</xdr:row>
      <xdr:rowOff>9525</xdr:rowOff>
    </xdr:from>
    <xdr:to>
      <xdr:col>12</xdr:col>
      <xdr:colOff>47625</xdr:colOff>
      <xdr:row>38</xdr:row>
      <xdr:rowOff>142875</xdr:rowOff>
    </xdr:to>
    <xdr:grpSp>
      <xdr:nvGrpSpPr>
        <xdr:cNvPr id="20481" name="Group 1906"/>
        <xdr:cNvGrpSpPr>
          <a:grpSpLocks/>
        </xdr:cNvGrpSpPr>
      </xdr:nvGrpSpPr>
      <xdr:grpSpPr bwMode="auto">
        <a:xfrm>
          <a:off x="5762625" y="495300"/>
          <a:ext cx="3752850" cy="133350"/>
          <a:chOff x="371" y="52"/>
          <a:chExt cx="394" cy="14"/>
        </a:xfrm>
      </xdr:grpSpPr>
      <xdr:sp macro="" textlink="">
        <xdr:nvSpPr>
          <xdr:cNvPr id="15072" name="AutoShape 1760">
            <a:hlinkClick xmlns:r="http://schemas.openxmlformats.org/officeDocument/2006/relationships" r:id="rId1" tooltip="2. forduló eredményei"/>
          </xdr:cNvPr>
          <xdr:cNvSpPr>
            <a:spLocks noChangeArrowheads="1"/>
          </xdr:cNvSpPr>
        </xdr:nvSpPr>
        <xdr:spPr bwMode="auto">
          <a:xfrm>
            <a:off x="388"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2</a:t>
            </a:r>
          </a:p>
        </xdr:txBody>
      </xdr:sp>
      <xdr:sp macro="" textlink="">
        <xdr:nvSpPr>
          <xdr:cNvPr id="15073" name="AutoShape 1761">
            <a:hlinkClick xmlns:r="http://schemas.openxmlformats.org/officeDocument/2006/relationships" r:id="rId2" tooltip="3. forduló eredményei"/>
          </xdr:cNvPr>
          <xdr:cNvSpPr>
            <a:spLocks noChangeArrowheads="1"/>
          </xdr:cNvSpPr>
        </xdr:nvSpPr>
        <xdr:spPr bwMode="auto">
          <a:xfrm>
            <a:off x="405"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3</a:t>
            </a:r>
          </a:p>
        </xdr:txBody>
      </xdr:sp>
      <xdr:sp macro="" textlink="">
        <xdr:nvSpPr>
          <xdr:cNvPr id="15074" name="AutoShape 1762">
            <a:hlinkClick xmlns:r="http://schemas.openxmlformats.org/officeDocument/2006/relationships" r:id="rId3" tooltip="4. forduló eredményei"/>
          </xdr:cNvPr>
          <xdr:cNvSpPr>
            <a:spLocks noChangeArrowheads="1"/>
          </xdr:cNvSpPr>
        </xdr:nvSpPr>
        <xdr:spPr bwMode="auto">
          <a:xfrm>
            <a:off x="422"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4</a:t>
            </a:r>
          </a:p>
        </xdr:txBody>
      </xdr:sp>
      <xdr:sp macro="" textlink="">
        <xdr:nvSpPr>
          <xdr:cNvPr id="15075" name="AutoShape 1763">
            <a:hlinkClick xmlns:r="http://schemas.openxmlformats.org/officeDocument/2006/relationships" r:id="rId4" tooltip="5. forduló eredményei"/>
          </xdr:cNvPr>
          <xdr:cNvSpPr>
            <a:spLocks noChangeArrowheads="1"/>
          </xdr:cNvSpPr>
        </xdr:nvSpPr>
        <xdr:spPr bwMode="auto">
          <a:xfrm>
            <a:off x="439"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5</a:t>
            </a:r>
          </a:p>
        </xdr:txBody>
      </xdr:sp>
      <xdr:sp macro="" textlink="">
        <xdr:nvSpPr>
          <xdr:cNvPr id="15076" name="AutoShape 1764">
            <a:hlinkClick xmlns:r="http://schemas.openxmlformats.org/officeDocument/2006/relationships" r:id="rId5" tooltip="6. forduló eredményei"/>
          </xdr:cNvPr>
          <xdr:cNvSpPr>
            <a:spLocks noChangeArrowheads="1"/>
          </xdr:cNvSpPr>
        </xdr:nvSpPr>
        <xdr:spPr bwMode="auto">
          <a:xfrm>
            <a:off x="456"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6</a:t>
            </a:r>
          </a:p>
        </xdr:txBody>
      </xdr:sp>
      <xdr:sp macro="" textlink="">
        <xdr:nvSpPr>
          <xdr:cNvPr id="15077" name="AutoShape 1765">
            <a:hlinkClick xmlns:r="http://schemas.openxmlformats.org/officeDocument/2006/relationships" r:id="rId6" tooltip="7. forduló eredményei"/>
          </xdr:cNvPr>
          <xdr:cNvSpPr>
            <a:spLocks noChangeArrowheads="1"/>
          </xdr:cNvSpPr>
        </xdr:nvSpPr>
        <xdr:spPr bwMode="auto">
          <a:xfrm>
            <a:off x="473"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7</a:t>
            </a:r>
          </a:p>
        </xdr:txBody>
      </xdr:sp>
      <xdr:sp macro="" textlink="">
        <xdr:nvSpPr>
          <xdr:cNvPr id="15078" name="AutoShape 1766">
            <a:hlinkClick xmlns:r="http://schemas.openxmlformats.org/officeDocument/2006/relationships" r:id="rId7" tooltip="8. forduló eredményei"/>
          </xdr:cNvPr>
          <xdr:cNvSpPr>
            <a:spLocks noChangeArrowheads="1"/>
          </xdr:cNvSpPr>
        </xdr:nvSpPr>
        <xdr:spPr bwMode="auto">
          <a:xfrm>
            <a:off x="490"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8</a:t>
            </a:r>
          </a:p>
        </xdr:txBody>
      </xdr:sp>
      <xdr:sp macro="" textlink="">
        <xdr:nvSpPr>
          <xdr:cNvPr id="15079" name="AutoShape 1767">
            <a:hlinkClick xmlns:r="http://schemas.openxmlformats.org/officeDocument/2006/relationships" r:id="rId8" tooltip="9. forduló eredményei"/>
          </xdr:cNvPr>
          <xdr:cNvSpPr>
            <a:spLocks noChangeArrowheads="1"/>
          </xdr:cNvSpPr>
        </xdr:nvSpPr>
        <xdr:spPr bwMode="auto">
          <a:xfrm>
            <a:off x="507"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9</a:t>
            </a:r>
          </a:p>
        </xdr:txBody>
      </xdr:sp>
      <xdr:sp macro="" textlink="">
        <xdr:nvSpPr>
          <xdr:cNvPr id="15080" name="AutoShape 1768">
            <a:hlinkClick xmlns:r="http://schemas.openxmlformats.org/officeDocument/2006/relationships" r:id="rId9" tooltip="10. forduló eredményei"/>
          </xdr:cNvPr>
          <xdr:cNvSpPr>
            <a:spLocks noChangeArrowheads="1"/>
          </xdr:cNvSpPr>
        </xdr:nvSpPr>
        <xdr:spPr bwMode="auto">
          <a:xfrm>
            <a:off x="524"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10</a:t>
            </a:r>
          </a:p>
        </xdr:txBody>
      </xdr:sp>
      <xdr:sp macro="" textlink="">
        <xdr:nvSpPr>
          <xdr:cNvPr id="15081" name="AutoShape 1769">
            <a:hlinkClick xmlns:r="http://schemas.openxmlformats.org/officeDocument/2006/relationships" r:id="rId10" tooltip="11. forduló eredményei"/>
          </xdr:cNvPr>
          <xdr:cNvSpPr>
            <a:spLocks noChangeArrowheads="1"/>
          </xdr:cNvSpPr>
        </xdr:nvSpPr>
        <xdr:spPr bwMode="auto">
          <a:xfrm>
            <a:off x="543"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11</a:t>
            </a:r>
          </a:p>
        </xdr:txBody>
      </xdr:sp>
      <xdr:sp macro="" textlink="">
        <xdr:nvSpPr>
          <xdr:cNvPr id="15082" name="AutoShape 1770">
            <a:hlinkClick xmlns:r="http://schemas.openxmlformats.org/officeDocument/2006/relationships" r:id="rId11" tooltip="12. forduló eredményei"/>
          </xdr:cNvPr>
          <xdr:cNvSpPr>
            <a:spLocks noChangeArrowheads="1"/>
          </xdr:cNvSpPr>
        </xdr:nvSpPr>
        <xdr:spPr bwMode="auto">
          <a:xfrm>
            <a:off x="562"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12</a:t>
            </a:r>
          </a:p>
        </xdr:txBody>
      </xdr:sp>
      <xdr:sp macro="" textlink="">
        <xdr:nvSpPr>
          <xdr:cNvPr id="15083" name="AutoShape 1771">
            <a:hlinkClick xmlns:r="http://schemas.openxmlformats.org/officeDocument/2006/relationships" r:id="rId12" tooltip="13. forduló eredményei"/>
          </xdr:cNvPr>
          <xdr:cNvSpPr>
            <a:spLocks noChangeArrowheads="1"/>
          </xdr:cNvSpPr>
        </xdr:nvSpPr>
        <xdr:spPr bwMode="auto">
          <a:xfrm>
            <a:off x="581"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13</a:t>
            </a:r>
          </a:p>
        </xdr:txBody>
      </xdr:sp>
      <xdr:sp macro="" textlink="">
        <xdr:nvSpPr>
          <xdr:cNvPr id="15084" name="AutoShape 1772">
            <a:hlinkClick xmlns:r="http://schemas.openxmlformats.org/officeDocument/2006/relationships" r:id="rId13" tooltip="14. forduló eredményei"/>
          </xdr:cNvPr>
          <xdr:cNvSpPr>
            <a:spLocks noChangeArrowheads="1"/>
          </xdr:cNvSpPr>
        </xdr:nvSpPr>
        <xdr:spPr bwMode="auto">
          <a:xfrm>
            <a:off x="600"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14</a:t>
            </a:r>
          </a:p>
        </xdr:txBody>
      </xdr:sp>
      <xdr:sp macro="" textlink="">
        <xdr:nvSpPr>
          <xdr:cNvPr id="15085" name="AutoShape 1773">
            <a:hlinkClick xmlns:r="http://schemas.openxmlformats.org/officeDocument/2006/relationships" r:id="rId14" tooltip="15. forduló eredményei"/>
          </xdr:cNvPr>
          <xdr:cNvSpPr>
            <a:spLocks noChangeArrowheads="1"/>
          </xdr:cNvSpPr>
        </xdr:nvSpPr>
        <xdr:spPr bwMode="auto">
          <a:xfrm>
            <a:off x="619"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15</a:t>
            </a:r>
          </a:p>
        </xdr:txBody>
      </xdr:sp>
      <xdr:sp macro="" textlink="">
        <xdr:nvSpPr>
          <xdr:cNvPr id="15086" name="AutoShape 1774">
            <a:hlinkClick xmlns:r="http://schemas.openxmlformats.org/officeDocument/2006/relationships" r:id="rId15" tooltip="16. forduló eredményei"/>
          </xdr:cNvPr>
          <xdr:cNvSpPr>
            <a:spLocks noChangeArrowheads="1"/>
          </xdr:cNvSpPr>
        </xdr:nvSpPr>
        <xdr:spPr bwMode="auto">
          <a:xfrm>
            <a:off x="638"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16</a:t>
            </a:r>
          </a:p>
        </xdr:txBody>
      </xdr:sp>
      <xdr:sp macro="" textlink="">
        <xdr:nvSpPr>
          <xdr:cNvPr id="15087" name="AutoShape 1775">
            <a:hlinkClick xmlns:r="http://schemas.openxmlformats.org/officeDocument/2006/relationships" r:id="rId16" tooltip="17. forduló eredményei"/>
          </xdr:cNvPr>
          <xdr:cNvSpPr>
            <a:spLocks noChangeArrowheads="1"/>
          </xdr:cNvSpPr>
        </xdr:nvSpPr>
        <xdr:spPr bwMode="auto">
          <a:xfrm>
            <a:off x="657"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17</a:t>
            </a:r>
          </a:p>
        </xdr:txBody>
      </xdr:sp>
      <xdr:sp macro="" textlink="">
        <xdr:nvSpPr>
          <xdr:cNvPr id="15088" name="AutoShape 1776">
            <a:hlinkClick xmlns:r="http://schemas.openxmlformats.org/officeDocument/2006/relationships" r:id="rId17" tooltip="18. forduló eredményei"/>
          </xdr:cNvPr>
          <xdr:cNvSpPr>
            <a:spLocks noChangeArrowheads="1"/>
          </xdr:cNvSpPr>
        </xdr:nvSpPr>
        <xdr:spPr bwMode="auto">
          <a:xfrm>
            <a:off x="675"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18</a:t>
            </a:r>
          </a:p>
        </xdr:txBody>
      </xdr:sp>
      <xdr:sp macro="" textlink="">
        <xdr:nvSpPr>
          <xdr:cNvPr id="15089" name="AutoShape 1777">
            <a:hlinkClick xmlns:r="http://schemas.openxmlformats.org/officeDocument/2006/relationships" r:id="rId18" tooltip="19. forduló eredményei"/>
          </xdr:cNvPr>
          <xdr:cNvSpPr>
            <a:spLocks noChangeArrowheads="1"/>
          </xdr:cNvSpPr>
        </xdr:nvSpPr>
        <xdr:spPr bwMode="auto">
          <a:xfrm>
            <a:off x="693"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19</a:t>
            </a:r>
          </a:p>
        </xdr:txBody>
      </xdr:sp>
      <xdr:sp macro="" textlink="">
        <xdr:nvSpPr>
          <xdr:cNvPr id="15090" name="AutoShape 1778">
            <a:hlinkClick xmlns:r="http://schemas.openxmlformats.org/officeDocument/2006/relationships" r:id="rId19" tooltip="20. forduló eredményei"/>
          </xdr:cNvPr>
          <xdr:cNvSpPr>
            <a:spLocks noChangeArrowheads="1"/>
          </xdr:cNvSpPr>
        </xdr:nvSpPr>
        <xdr:spPr bwMode="auto">
          <a:xfrm>
            <a:off x="712"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20</a:t>
            </a:r>
          </a:p>
        </xdr:txBody>
      </xdr:sp>
      <xdr:sp macro="" textlink="">
        <xdr:nvSpPr>
          <xdr:cNvPr id="15091" name="AutoShape 1779">
            <a:hlinkClick xmlns:r="http://schemas.openxmlformats.org/officeDocument/2006/relationships" r:id="rId20" tooltip="21. forduló eredményei"/>
          </xdr:cNvPr>
          <xdr:cNvSpPr>
            <a:spLocks noChangeArrowheads="1"/>
          </xdr:cNvSpPr>
        </xdr:nvSpPr>
        <xdr:spPr bwMode="auto">
          <a:xfrm>
            <a:off x="731"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21</a:t>
            </a:r>
          </a:p>
        </xdr:txBody>
      </xdr:sp>
      <xdr:sp macro="" textlink="">
        <xdr:nvSpPr>
          <xdr:cNvPr id="15092" name="AutoShape 1780">
            <a:hlinkClick xmlns:r="http://schemas.openxmlformats.org/officeDocument/2006/relationships" r:id="rId21" tooltip="22. forduló eredményei"/>
          </xdr:cNvPr>
          <xdr:cNvSpPr>
            <a:spLocks noChangeArrowheads="1"/>
          </xdr:cNvSpPr>
        </xdr:nvSpPr>
        <xdr:spPr bwMode="auto">
          <a:xfrm>
            <a:off x="750"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22</a:t>
            </a:r>
          </a:p>
        </xdr:txBody>
      </xdr:sp>
      <xdr:sp macro="" textlink="">
        <xdr:nvSpPr>
          <xdr:cNvPr id="15109" name="AutoShape 1797">
            <a:hlinkClick xmlns:r="http://schemas.openxmlformats.org/officeDocument/2006/relationships" r:id="rId22" tooltip="1. forduló eredményei"/>
          </xdr:cNvPr>
          <xdr:cNvSpPr>
            <a:spLocks noChangeArrowheads="1"/>
          </xdr:cNvSpPr>
        </xdr:nvSpPr>
        <xdr:spPr bwMode="auto">
          <a:xfrm>
            <a:off x="371" y="52"/>
            <a:ext cx="15" cy="14"/>
          </a:xfrm>
          <a:prstGeom prst="bevel">
            <a:avLst>
              <a:gd name="adj" fmla="val 0"/>
            </a:avLst>
          </a:prstGeom>
          <a:noFill/>
          <a:ln w="0"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1</a:t>
            </a:r>
          </a:p>
        </xdr:txBody>
      </xdr:sp>
    </xdr:grpSp>
    <xdr:clientData/>
  </xdr:twoCellAnchor>
  <xdr:twoCellAnchor editAs="oneCell">
    <xdr:from>
      <xdr:col>0</xdr:col>
      <xdr:colOff>0</xdr:colOff>
      <xdr:row>0</xdr:row>
      <xdr:rowOff>0</xdr:rowOff>
    </xdr:from>
    <xdr:to>
      <xdr:col>12</xdr:col>
      <xdr:colOff>114300</xdr:colOff>
      <xdr:row>38</xdr:row>
      <xdr:rowOff>0</xdr:rowOff>
    </xdr:to>
    <xdr:grpSp>
      <xdr:nvGrpSpPr>
        <xdr:cNvPr id="20482" name="Group 1940"/>
        <xdr:cNvGrpSpPr>
          <a:grpSpLocks/>
        </xdr:cNvGrpSpPr>
      </xdr:nvGrpSpPr>
      <xdr:grpSpPr bwMode="auto">
        <a:xfrm>
          <a:off x="0" y="0"/>
          <a:ext cx="9582150" cy="485775"/>
          <a:chOff x="0" y="0"/>
          <a:chExt cx="1006" cy="51"/>
        </a:xfrm>
      </xdr:grpSpPr>
      <xdr:pic>
        <xdr:nvPicPr>
          <xdr:cNvPr id="20483" name="Picture 1941"/>
          <xdr:cNvPicPr>
            <a:picLocks noChangeAspect="1" noChangeArrowheads="1"/>
          </xdr:cNvPicPr>
        </xdr:nvPicPr>
        <xdr:blipFill>
          <a:blip xmlns:r="http://schemas.openxmlformats.org/officeDocument/2006/relationships" r:embed="rId23" cstate="print"/>
          <a:srcRect/>
          <a:stretch>
            <a:fillRect/>
          </a:stretch>
        </xdr:blipFill>
        <xdr:spPr bwMode="auto">
          <a:xfrm>
            <a:off x="0" y="0"/>
            <a:ext cx="1006" cy="51"/>
          </a:xfrm>
          <a:prstGeom prst="rect">
            <a:avLst/>
          </a:prstGeom>
          <a:noFill/>
          <a:ln w="9525">
            <a:noFill/>
            <a:miter lim="800000"/>
            <a:headEnd/>
            <a:tailEnd/>
          </a:ln>
        </xdr:spPr>
      </xdr:pic>
      <xdr:grpSp>
        <xdr:nvGrpSpPr>
          <xdr:cNvPr id="20484" name="Group 1942">
            <a:hlinkClick xmlns:r="http://schemas.openxmlformats.org/officeDocument/2006/relationships" r:id="rId24" tooltip="Mail to Gyworks"/>
          </xdr:cNvPr>
          <xdr:cNvGrpSpPr>
            <a:grpSpLocks/>
          </xdr:cNvGrpSpPr>
        </xdr:nvGrpSpPr>
        <xdr:grpSpPr bwMode="auto">
          <a:xfrm>
            <a:off x="449" y="11"/>
            <a:ext cx="49" cy="34"/>
            <a:chOff x="356" y="11"/>
            <a:chExt cx="49" cy="34"/>
          </a:xfrm>
        </xdr:grpSpPr>
        <xdr:grpSp>
          <xdr:nvGrpSpPr>
            <xdr:cNvPr id="20502" name="Group 1943"/>
            <xdr:cNvGrpSpPr>
              <a:grpSpLocks/>
            </xdr:cNvGrpSpPr>
          </xdr:nvGrpSpPr>
          <xdr:grpSpPr bwMode="auto">
            <a:xfrm>
              <a:off x="361" y="11"/>
              <a:ext cx="44" cy="18"/>
              <a:chOff x="148" y="352"/>
              <a:chExt cx="44" cy="18"/>
            </a:xfrm>
          </xdr:grpSpPr>
          <xdr:grpSp>
            <xdr:nvGrpSpPr>
              <xdr:cNvPr id="20504" name="Group 1944"/>
              <xdr:cNvGrpSpPr>
                <a:grpSpLocks noChangeAspect="1"/>
              </xdr:cNvGrpSpPr>
            </xdr:nvGrpSpPr>
            <xdr:grpSpPr bwMode="auto">
              <a:xfrm>
                <a:off x="148" y="352"/>
                <a:ext cx="14" cy="16"/>
                <a:chOff x="846" y="38"/>
                <a:chExt cx="28" cy="32"/>
              </a:xfrm>
            </xdr:grpSpPr>
            <xdr:sp macro="" textlink="">
              <xdr:nvSpPr>
                <xdr:cNvPr id="20507" name="Line 1945"/>
                <xdr:cNvSpPr>
                  <a:spLocks noChangeAspect="1" noChangeShapeType="1"/>
                </xdr:cNvSpPr>
              </xdr:nvSpPr>
              <xdr:spPr bwMode="auto">
                <a:xfrm flipH="1">
                  <a:off x="850" y="49"/>
                  <a:ext cx="17" cy="21"/>
                </a:xfrm>
                <a:prstGeom prst="line">
                  <a:avLst/>
                </a:prstGeom>
                <a:noFill/>
                <a:ln w="19050">
                  <a:solidFill>
                    <a:srgbClr val="EEEEEE"/>
                  </a:solidFill>
                  <a:round/>
                  <a:headEnd/>
                  <a:tailEnd/>
                </a:ln>
              </xdr:spPr>
            </xdr:sp>
            <xdr:sp macro="" textlink="">
              <xdr:nvSpPr>
                <xdr:cNvPr id="20508" name="Arc 1946"/>
                <xdr:cNvSpPr>
                  <a:spLocks noChangeAspect="1"/>
                </xdr:cNvSpPr>
              </xdr:nvSpPr>
              <xdr:spPr bwMode="auto">
                <a:xfrm rot="16200000" flipH="1">
                  <a:off x="848" y="36"/>
                  <a:ext cx="23" cy="27"/>
                </a:xfrm>
                <a:custGeom>
                  <a:avLst/>
                  <a:gdLst>
                    <a:gd name="T0" fmla="*/ 6 w 43200"/>
                    <a:gd name="T1" fmla="*/ 27 h 40066"/>
                    <a:gd name="T2" fmla="*/ 22 w 43200"/>
                    <a:gd name="T3" fmla="*/ 22 h 40066"/>
                    <a:gd name="T4" fmla="*/ 12 w 43200"/>
                    <a:gd name="T5" fmla="*/ 15 h 40066"/>
                    <a:gd name="T6" fmla="*/ 0 60000 65536"/>
                    <a:gd name="T7" fmla="*/ 0 60000 65536"/>
                    <a:gd name="T8" fmla="*/ 0 60000 65536"/>
                    <a:gd name="T9" fmla="*/ 0 w 43200"/>
                    <a:gd name="T10" fmla="*/ 0 h 40066"/>
                    <a:gd name="T11" fmla="*/ 43200 w 43200"/>
                    <a:gd name="T12" fmla="*/ 40066 h 40066"/>
                  </a:gdLst>
                  <a:ahLst/>
                  <a:cxnLst>
                    <a:cxn ang="T6">
                      <a:pos x="T0" y="T1"/>
                    </a:cxn>
                    <a:cxn ang="T7">
                      <a:pos x="T2" y="T3"/>
                    </a:cxn>
                    <a:cxn ang="T8">
                      <a:pos x="T4" y="T5"/>
                    </a:cxn>
                  </a:cxnLst>
                  <a:rect l="T9" t="T10" r="T11" b="T12"/>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close/>
                    </a:path>
                  </a:pathLst>
                </a:custGeom>
                <a:noFill/>
                <a:ln w="19050">
                  <a:solidFill>
                    <a:srgbClr val="EEEEEE"/>
                  </a:solidFill>
                  <a:round/>
                  <a:headEnd/>
                  <a:tailEnd/>
                </a:ln>
              </xdr:spPr>
            </xdr:sp>
            <xdr:sp macro="" textlink="">
              <xdr:nvSpPr>
                <xdr:cNvPr id="20509" name="Line 1947"/>
                <xdr:cNvSpPr>
                  <a:spLocks noChangeAspect="1" noChangeShapeType="1"/>
                </xdr:cNvSpPr>
              </xdr:nvSpPr>
              <xdr:spPr bwMode="auto">
                <a:xfrm flipH="1">
                  <a:off x="858" y="49"/>
                  <a:ext cx="16" cy="21"/>
                </a:xfrm>
                <a:prstGeom prst="line">
                  <a:avLst/>
                </a:prstGeom>
                <a:noFill/>
                <a:ln w="19050">
                  <a:solidFill>
                    <a:srgbClr val="EEEEEE"/>
                  </a:solidFill>
                  <a:round/>
                  <a:headEnd/>
                  <a:tailEnd/>
                </a:ln>
              </xdr:spPr>
            </xdr:sp>
          </xdr:grpSp>
          <xdr:sp macro="" textlink="">
            <xdr:nvSpPr>
              <xdr:cNvPr id="15260" name="Text Box 1948"/>
              <xdr:cNvSpPr txBox="1">
                <a:spLocks noChangeAspect="1" noChangeArrowheads="1"/>
              </xdr:cNvSpPr>
            </xdr:nvSpPr>
            <xdr:spPr bwMode="auto">
              <a:xfrm>
                <a:off x="158" y="359"/>
                <a:ext cx="27" cy="11"/>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61" name="Text Box 1949"/>
              <xdr:cNvSpPr txBox="1">
                <a:spLocks noChangeAspect="1" noChangeArrowheads="1"/>
              </xdr:cNvSpPr>
            </xdr:nvSpPr>
            <xdr:spPr bwMode="auto">
              <a:xfrm>
                <a:off x="178" y="355"/>
                <a:ext cx="14" cy="9"/>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62" name="Text Box 1950"/>
            <xdr:cNvSpPr txBox="1">
              <a:spLocks noChangeArrowheads="1"/>
            </xdr:cNvSpPr>
          </xdr:nvSpPr>
          <xdr:spPr bwMode="auto">
            <a:xfrm>
              <a:off x="356" y="28"/>
              <a:ext cx="44" cy="17"/>
            </a:xfrm>
            <a:prstGeom prst="rect">
              <a:avLst/>
            </a:prstGeom>
            <a:noFill/>
            <a:ln w="9525">
              <a:noFill/>
              <a:miter lim="800000"/>
              <a:headEnd/>
              <a:tailEnd/>
            </a:ln>
            <a:effectLst/>
          </xdr:spPr>
          <xdr:txBody>
            <a:bodyPr vertOverflow="clip" wrap="square" lIns="27432" tIns="27432" rIns="27432" bIns="27432" anchor="ctr" upright="1"/>
            <a:lstStyle/>
            <a:p>
              <a:pPr algn="ctr" rtl="0">
                <a:defRPr sz="1000"/>
              </a:pPr>
              <a:r>
                <a:rPr lang="hu-HU" sz="800" b="0" i="0" u="none" strike="noStrike" baseline="0">
                  <a:solidFill>
                    <a:srgbClr val="EEEEEE"/>
                  </a:solidFill>
                  <a:latin typeface="Arial Narrow"/>
                </a:rPr>
                <a:t>©  2015</a:t>
              </a:r>
            </a:p>
          </xdr:txBody>
        </xdr:sp>
      </xdr:grpSp>
      <xdr:grpSp>
        <xdr:nvGrpSpPr>
          <xdr:cNvPr id="20485" name="Group 1951">
            <a:hlinkClick xmlns:r="http://schemas.openxmlformats.org/officeDocument/2006/relationships" r:id="rId25" tooltip="HASEFOCI"/>
          </xdr:cNvPr>
          <xdr:cNvGrpSpPr>
            <a:grpSpLocks/>
          </xdr:cNvGrpSpPr>
        </xdr:nvGrpSpPr>
        <xdr:grpSpPr bwMode="auto">
          <a:xfrm>
            <a:off x="3" y="0"/>
            <a:ext cx="224" cy="50"/>
            <a:chOff x="3" y="0"/>
            <a:chExt cx="224" cy="50"/>
          </a:xfrm>
        </xdr:grpSpPr>
        <xdr:pic>
          <xdr:nvPicPr>
            <xdr:cNvPr id="20500" name="Picture 1952"/>
            <xdr:cNvPicPr>
              <a:picLocks noChangeAspect="1" noChangeArrowheads="1"/>
            </xdr:cNvPicPr>
          </xdr:nvPicPr>
          <xdr:blipFill>
            <a:blip xmlns:r="http://schemas.openxmlformats.org/officeDocument/2006/relationships" r:embed="rId26" cstate="print"/>
            <a:srcRect/>
            <a:stretch>
              <a:fillRect/>
            </a:stretch>
          </xdr:blipFill>
          <xdr:spPr bwMode="auto">
            <a:xfrm>
              <a:off x="3" y="0"/>
              <a:ext cx="48" cy="50"/>
            </a:xfrm>
            <a:prstGeom prst="rect">
              <a:avLst/>
            </a:prstGeom>
            <a:noFill/>
            <a:ln w="9525">
              <a:noFill/>
              <a:miter lim="800000"/>
              <a:headEnd/>
              <a:tailEnd/>
            </a:ln>
          </xdr:spPr>
        </xdr:pic>
        <xdr:pic>
          <xdr:nvPicPr>
            <xdr:cNvPr id="20501" name="Picture 1953"/>
            <xdr:cNvPicPr>
              <a:picLocks noChangeAspect="1" noChangeArrowheads="1"/>
            </xdr:cNvPicPr>
          </xdr:nvPicPr>
          <xdr:blipFill>
            <a:blip xmlns:r="http://schemas.openxmlformats.org/officeDocument/2006/relationships" r:embed="rId27" cstate="print"/>
            <a:srcRect/>
            <a:stretch>
              <a:fillRect/>
            </a:stretch>
          </xdr:blipFill>
          <xdr:spPr bwMode="auto">
            <a:xfrm>
              <a:off x="55" y="3"/>
              <a:ext cx="172" cy="45"/>
            </a:xfrm>
            <a:prstGeom prst="rect">
              <a:avLst/>
            </a:prstGeom>
            <a:noFill/>
            <a:ln w="9525">
              <a:noFill/>
              <a:miter lim="800000"/>
              <a:headEnd/>
              <a:tailEnd/>
            </a:ln>
          </xdr:spPr>
        </xdr:pic>
      </xdr:grpSp>
      <xdr:grpSp>
        <xdr:nvGrpSpPr>
          <xdr:cNvPr id="20486" name="Group 1954"/>
          <xdr:cNvGrpSpPr>
            <a:grpSpLocks/>
          </xdr:cNvGrpSpPr>
        </xdr:nvGrpSpPr>
        <xdr:grpSpPr bwMode="auto">
          <a:xfrm>
            <a:off x="221" y="1"/>
            <a:ext cx="227" cy="50"/>
            <a:chOff x="221" y="1"/>
            <a:chExt cx="227" cy="50"/>
          </a:xfrm>
        </xdr:grpSpPr>
        <xdr:pic>
          <xdr:nvPicPr>
            <xdr:cNvPr id="20498" name="Picture 1955"/>
            <xdr:cNvPicPr>
              <a:picLocks noChangeAspect="1" noChangeArrowheads="1"/>
            </xdr:cNvPicPr>
          </xdr:nvPicPr>
          <xdr:blipFill>
            <a:blip xmlns:r="http://schemas.openxmlformats.org/officeDocument/2006/relationships" r:embed="rId28" cstate="print">
              <a:lum bright="-6000"/>
            </a:blip>
            <a:srcRect/>
            <a:stretch>
              <a:fillRect/>
            </a:stretch>
          </xdr:blipFill>
          <xdr:spPr bwMode="auto">
            <a:xfrm>
              <a:off x="221" y="1"/>
              <a:ext cx="227" cy="50"/>
            </a:xfrm>
            <a:prstGeom prst="rect">
              <a:avLst/>
            </a:prstGeom>
            <a:noFill/>
            <a:ln w="9525">
              <a:noFill/>
              <a:miter lim="800000"/>
              <a:headEnd/>
              <a:tailEnd/>
            </a:ln>
          </xdr:spPr>
        </xdr:pic>
        <xdr:sp macro="" textlink="">
          <xdr:nvSpPr>
            <xdr:cNvPr id="15268" name="WordArt 1956"/>
            <xdr:cNvSpPr>
              <a:spLocks noChangeArrowheads="1" noChangeShapeType="1" noTextEdit="1"/>
            </xdr:cNvSpPr>
          </xdr:nvSpPr>
          <xdr:spPr bwMode="auto">
            <a:xfrm rot="-603553">
              <a:off x="265" y="17"/>
              <a:ext cx="64" cy="24"/>
            </a:xfrm>
            <a:prstGeom prst="rect">
              <a:avLst/>
            </a:prstGeom>
          </xdr:spPr>
          <xdr:txBody>
            <a:bodyPr wrap="none" fromWordArt="1">
              <a:prstTxWarp prst="textArchUp">
                <a:avLst>
                  <a:gd name="adj" fmla="val 12201797"/>
                </a:avLst>
              </a:prstTxWarp>
            </a:bodyPr>
            <a:lstStyle/>
            <a:p>
              <a:pPr algn="ctr" rtl="0"/>
              <a:r>
                <a:rPr lang="hu-HU" sz="3600" b="1" kern="10" spc="0">
                  <a:ln w="0">
                    <a:solidFill>
                      <a:srgbClr val="FFFFFF"/>
                    </a:solidFill>
                    <a:round/>
                    <a:headEnd/>
                    <a:tailEnd/>
                  </a:ln>
                  <a:solidFill>
                    <a:srgbClr val="E5322C"/>
                  </a:solidFill>
                  <a:effectLst>
                    <a:outerShdw dist="28398" dir="1593903" algn="ctr" rotWithShape="0">
                      <a:srgbClr val="FFFFFF"/>
                    </a:outerShdw>
                  </a:effectLst>
                  <a:latin typeface="Brush Script MT"/>
                </a:rPr>
                <a:t>2015</a:t>
              </a:r>
            </a:p>
          </xdr:txBody>
        </xdr:sp>
      </xdr:grpSp>
      <xdr:sp macro="" textlink="">
        <xdr:nvSpPr>
          <xdr:cNvPr id="15269" name="AutoShape 1957">
            <a:hlinkClick xmlns:r="http://schemas.openxmlformats.org/officeDocument/2006/relationships" r:id="rId29" tooltip="Használati ismertető"/>
          </xdr:cNvPr>
          <xdr:cNvSpPr>
            <a:spLocks noChangeArrowheads="1"/>
          </xdr:cNvSpPr>
        </xdr:nvSpPr>
        <xdr:spPr bwMode="auto">
          <a:xfrm>
            <a:off x="984" y="5"/>
            <a:ext cx="20" cy="41"/>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rPr>
              <a:t>SÚGÓ</a:t>
            </a:r>
          </a:p>
        </xdr:txBody>
      </xdr:sp>
      <xdr:sp macro="" textlink="">
        <xdr:nvSpPr>
          <xdr:cNvPr id="15270" name="AutoShape 1958">
            <a:hlinkClick xmlns:r="http://schemas.openxmlformats.org/officeDocument/2006/relationships" r:id="rId30" tooltip="Rájásztás eredményei"/>
          </xdr:cNvPr>
          <xdr:cNvSpPr>
            <a:spLocks noChangeArrowheads="1"/>
          </xdr:cNvSpPr>
        </xdr:nvSpPr>
        <xdr:spPr bwMode="auto">
          <a:xfrm>
            <a:off x="498"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RÁJÁTSZÁS</a:t>
            </a:r>
          </a:p>
        </xdr:txBody>
      </xdr:sp>
      <xdr:sp macro="" textlink="">
        <xdr:nvSpPr>
          <xdr:cNvPr id="15271" name="AutoShape 1959">
            <a:hlinkClick xmlns:r="http://schemas.openxmlformats.org/officeDocument/2006/relationships" r:id="rId31" tooltip="Alapszakasz eredményei"/>
          </xdr:cNvPr>
          <xdr:cNvSpPr>
            <a:spLocks noChangeArrowheads="1"/>
          </xdr:cNvSpPr>
        </xdr:nvSpPr>
        <xdr:spPr bwMode="auto">
          <a:xfrm>
            <a:off x="498" y="5"/>
            <a:ext cx="91" cy="19"/>
          </a:xfrm>
          <a:prstGeom prst="bevel">
            <a:avLst>
              <a:gd name="adj" fmla="val 10528"/>
            </a:avLst>
          </a:prstGeom>
          <a:gradFill rotWithShape="1">
            <a:gsLst>
              <a:gs pos="0">
                <a:srgbClr val="FF6600"/>
              </a:gs>
              <a:gs pos="100000">
                <a:srgbClr val="C72323"/>
              </a:gs>
            </a:gsLst>
            <a:lin ang="5400000" scaled="1"/>
          </a:gradFill>
          <a:ln w="9525">
            <a:noFill/>
            <a:miter lim="800000"/>
            <a:headEnd/>
            <a:tailEnd/>
          </a:ln>
          <a:effectLst/>
        </xdr:spPr>
        <xdr:txBody>
          <a:bodyPr vertOverflow="clip" wrap="square" lIns="0" tIns="0" rIns="0" bIns="0" anchor="ctr" upright="1"/>
          <a:lstStyle/>
          <a:p>
            <a:pPr algn="ctr" rtl="0">
              <a:defRPr sz="1000"/>
            </a:pPr>
            <a:r>
              <a:rPr lang="hu-HU" sz="900" b="1" i="0" u="none" strike="noStrike" baseline="0">
                <a:solidFill>
                  <a:srgbClr val="FFFFFF"/>
                </a:solidFill>
                <a:latin typeface="Calibri"/>
              </a:rPr>
              <a:t>ALAPSZAKASZ</a:t>
            </a:r>
          </a:p>
        </xdr:txBody>
      </xdr:sp>
      <xdr:sp macro="" textlink="">
        <xdr:nvSpPr>
          <xdr:cNvPr id="15272" name="AutoShape 1960">
            <a:hlinkClick xmlns:r="http://schemas.openxmlformats.org/officeDocument/2006/relationships" r:id="rId32" tooltip="Góllövőlista megtekintése"/>
          </xdr:cNvPr>
          <xdr:cNvSpPr>
            <a:spLocks noChangeArrowheads="1"/>
          </xdr:cNvSpPr>
        </xdr:nvSpPr>
        <xdr:spPr bwMode="auto">
          <a:xfrm>
            <a:off x="790"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273" name="AutoShape 1961">
            <a:hlinkClick xmlns:r="http://schemas.openxmlformats.org/officeDocument/2006/relationships" r:id="rId33" tooltip="Alapszakasz tabella megtekintése"/>
          </xdr:cNvPr>
          <xdr:cNvSpPr>
            <a:spLocks noChangeArrowheads="1"/>
          </xdr:cNvSpPr>
        </xdr:nvSpPr>
        <xdr:spPr bwMode="auto">
          <a:xfrm>
            <a:off x="592"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a.</a:t>
            </a:r>
          </a:p>
        </xdr:txBody>
      </xdr:sp>
      <xdr:sp macro="" textlink="">
        <xdr:nvSpPr>
          <xdr:cNvPr id="15274" name="AutoShape 1962">
            <a:hlinkClick xmlns:r="http://schemas.openxmlformats.org/officeDocument/2006/relationships" r:id="rId34" tooltip="Rájásztás tabella megtekintése"/>
          </xdr:cNvPr>
          <xdr:cNvSpPr>
            <a:spLocks noChangeArrowheads="1"/>
          </xdr:cNvSpPr>
        </xdr:nvSpPr>
        <xdr:spPr bwMode="auto">
          <a:xfrm>
            <a:off x="592"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r.</a:t>
            </a:r>
          </a:p>
        </xdr:txBody>
      </xdr:sp>
      <xdr:sp macro="" textlink="">
        <xdr:nvSpPr>
          <xdr:cNvPr id="15275" name="AutoShape 1963">
            <a:hlinkClick xmlns:r="http://schemas.openxmlformats.org/officeDocument/2006/relationships" r:id="rId35" tooltip="Alapszakasz kereszttáblázat megtekintése"/>
          </xdr:cNvPr>
          <xdr:cNvSpPr>
            <a:spLocks noChangeArrowheads="1"/>
          </xdr:cNvSpPr>
        </xdr:nvSpPr>
        <xdr:spPr bwMode="auto">
          <a:xfrm>
            <a:off x="686" y="5"/>
            <a:ext cx="10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 a.</a:t>
            </a:r>
          </a:p>
        </xdr:txBody>
      </xdr:sp>
      <xdr:sp macro="" textlink="">
        <xdr:nvSpPr>
          <xdr:cNvPr id="15276" name="AutoShape 1964">
            <a:hlinkClick xmlns:r="http://schemas.openxmlformats.org/officeDocument/2006/relationships" r:id="rId36" tooltip="Rájátszás kereszttáblázat megtekintése"/>
          </xdr:cNvPr>
          <xdr:cNvSpPr>
            <a:spLocks noChangeArrowheads="1"/>
          </xdr:cNvSpPr>
        </xdr:nvSpPr>
        <xdr:spPr bwMode="auto">
          <a:xfrm>
            <a:off x="686" y="27"/>
            <a:ext cx="10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KERESZTTÁBLA r.</a:t>
            </a:r>
          </a:p>
        </xdr:txBody>
      </xdr:sp>
      <xdr:sp macro="" textlink="">
        <xdr:nvSpPr>
          <xdr:cNvPr id="15277" name="AutoShape 1965">
            <a:hlinkClick xmlns:r="http://schemas.openxmlformats.org/officeDocument/2006/relationships" r:id="rId37" tooltip="Gólszerzők rögzítése"/>
          </xdr:cNvPr>
          <xdr:cNvSpPr>
            <a:spLocks noChangeArrowheads="1"/>
          </xdr:cNvSpPr>
        </xdr:nvSpPr>
        <xdr:spPr bwMode="auto">
          <a:xfrm>
            <a:off x="790"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278" name="AutoShape 1966">
            <a:hlinkClick xmlns:r="http://schemas.openxmlformats.org/officeDocument/2006/relationships" r:id="rId38" tooltip="A szakosztály és a csapatok elérhetőségei"/>
          </xdr:cNvPr>
          <xdr:cNvSpPr>
            <a:spLocks noChangeArrowheads="1"/>
          </xdr:cNvSpPr>
        </xdr:nvSpPr>
        <xdr:spPr bwMode="auto">
          <a:xfrm>
            <a:off x="887"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279" name="AutoShape 1967">
            <a:hlinkClick xmlns:r="http://schemas.openxmlformats.org/officeDocument/2006/relationships" r:id="rId39" tooltip="Versenykiírás megtekintése"/>
          </xdr:cNvPr>
          <xdr:cNvSpPr>
            <a:spLocks noChangeArrowheads="1"/>
          </xdr:cNvSpPr>
        </xdr:nvSpPr>
        <xdr:spPr bwMode="auto">
          <a:xfrm>
            <a:off x="887"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57150</xdr:colOff>
      <xdr:row>48</xdr:row>
      <xdr:rowOff>19050</xdr:rowOff>
    </xdr:from>
    <xdr:to>
      <xdr:col>17</xdr:col>
      <xdr:colOff>190500</xdr:colOff>
      <xdr:row>51</xdr:row>
      <xdr:rowOff>76200</xdr:rowOff>
    </xdr:to>
    <xdr:grpSp>
      <xdr:nvGrpSpPr>
        <xdr:cNvPr id="2510" name="Group 640"/>
        <xdr:cNvGrpSpPr>
          <a:grpSpLocks/>
        </xdr:cNvGrpSpPr>
      </xdr:nvGrpSpPr>
      <xdr:grpSpPr bwMode="auto">
        <a:xfrm>
          <a:off x="6200775" y="2447925"/>
          <a:ext cx="2990850" cy="685800"/>
          <a:chOff x="651" y="257"/>
          <a:chExt cx="314" cy="72"/>
        </a:xfrm>
      </xdr:grpSpPr>
      <xdr:sp macro="" textlink="">
        <xdr:nvSpPr>
          <xdr:cNvPr id="2493" name="Text Box 445"/>
          <xdr:cNvSpPr txBox="1">
            <a:spLocks noChangeArrowheads="1"/>
          </xdr:cNvSpPr>
        </xdr:nvSpPr>
        <xdr:spPr bwMode="auto">
          <a:xfrm>
            <a:off x="688" y="304"/>
            <a:ext cx="242" cy="22"/>
          </a:xfrm>
          <a:prstGeom prst="rect">
            <a:avLst/>
          </a:prstGeom>
          <a:noFill/>
          <a:ln w="9525" algn="ctr">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Összes mérkőzés</a:t>
            </a:r>
          </a:p>
        </xdr:txBody>
      </xdr:sp>
      <xdr:sp macro="" textlink="">
        <xdr:nvSpPr>
          <xdr:cNvPr id="2494" name="Text Box 446"/>
          <xdr:cNvSpPr txBox="1">
            <a:spLocks noChangeArrowheads="1"/>
          </xdr:cNvSpPr>
        </xdr:nvSpPr>
        <xdr:spPr bwMode="auto">
          <a:xfrm>
            <a:off x="688" y="282"/>
            <a:ext cx="249" cy="22"/>
          </a:xfrm>
          <a:prstGeom prst="rect">
            <a:avLst/>
          </a:prstGeom>
          <a:noFill/>
          <a:ln w="9525" algn="ctr">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Csak idegenbeli mérkőzések</a:t>
            </a:r>
          </a:p>
        </xdr:txBody>
      </xdr:sp>
      <xdr:sp macro="" textlink="">
        <xdr:nvSpPr>
          <xdr:cNvPr id="2495" name="Text Box 447"/>
          <xdr:cNvSpPr txBox="1">
            <a:spLocks noChangeArrowheads="1"/>
          </xdr:cNvSpPr>
        </xdr:nvSpPr>
        <xdr:spPr bwMode="auto">
          <a:xfrm>
            <a:off x="688" y="261"/>
            <a:ext cx="240" cy="22"/>
          </a:xfrm>
          <a:prstGeom prst="rect">
            <a:avLst/>
          </a:prstGeom>
          <a:noFill/>
          <a:ln w="9525">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Csak hazai mérkőzések</a:t>
            </a:r>
          </a:p>
        </xdr:txBody>
      </xdr:sp>
    </xdr:grpSp>
    <xdr:clientData/>
  </xdr:twoCellAnchor>
  <xdr:twoCellAnchor editAs="oneCell">
    <xdr:from>
      <xdr:col>14</xdr:col>
      <xdr:colOff>57150</xdr:colOff>
      <xdr:row>54</xdr:row>
      <xdr:rowOff>28575</xdr:rowOff>
    </xdr:from>
    <xdr:to>
      <xdr:col>17</xdr:col>
      <xdr:colOff>190500</xdr:colOff>
      <xdr:row>57</xdr:row>
      <xdr:rowOff>85725</xdr:rowOff>
    </xdr:to>
    <xdr:grpSp>
      <xdr:nvGrpSpPr>
        <xdr:cNvPr id="2511" name="Group 581"/>
        <xdr:cNvGrpSpPr>
          <a:grpSpLocks/>
        </xdr:cNvGrpSpPr>
      </xdr:nvGrpSpPr>
      <xdr:grpSpPr bwMode="auto">
        <a:xfrm>
          <a:off x="6200775" y="3714750"/>
          <a:ext cx="2990850" cy="685800"/>
          <a:chOff x="710" y="390"/>
          <a:chExt cx="314" cy="72"/>
        </a:xfrm>
      </xdr:grpSpPr>
      <xdr:sp macro="" textlink="">
        <xdr:nvSpPr>
          <xdr:cNvPr id="2" name="Text Box 462"/>
          <xdr:cNvSpPr txBox="1">
            <a:spLocks noChangeArrowheads="1"/>
          </xdr:cNvSpPr>
        </xdr:nvSpPr>
        <xdr:spPr bwMode="auto">
          <a:xfrm>
            <a:off x="747" y="435"/>
            <a:ext cx="242" cy="25"/>
          </a:xfrm>
          <a:prstGeom prst="rect">
            <a:avLst/>
          </a:prstGeom>
          <a:noFill/>
          <a:ln w="9525" algn="ctr">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Hagyományos eredmények</a:t>
            </a:r>
          </a:p>
        </xdr:txBody>
      </xdr:sp>
      <xdr:sp macro="" textlink="">
        <xdr:nvSpPr>
          <xdr:cNvPr id="3" name="Text Box 463"/>
          <xdr:cNvSpPr txBox="1">
            <a:spLocks noChangeArrowheads="1"/>
          </xdr:cNvSpPr>
        </xdr:nvSpPr>
        <xdr:spPr bwMode="auto">
          <a:xfrm>
            <a:off x="747" y="415"/>
            <a:ext cx="249" cy="24"/>
          </a:xfrm>
          <a:prstGeom prst="rect">
            <a:avLst/>
          </a:prstGeom>
          <a:noFill/>
          <a:ln w="9525" algn="ctr">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Védekezés</a:t>
            </a:r>
          </a:p>
        </xdr:txBody>
      </xdr:sp>
      <xdr:sp macro="" textlink="">
        <xdr:nvSpPr>
          <xdr:cNvPr id="4" name="Text Box 464"/>
          <xdr:cNvSpPr txBox="1">
            <a:spLocks noChangeArrowheads="1"/>
          </xdr:cNvSpPr>
        </xdr:nvSpPr>
        <xdr:spPr bwMode="auto">
          <a:xfrm>
            <a:off x="747" y="394"/>
            <a:ext cx="240" cy="22"/>
          </a:xfrm>
          <a:prstGeom prst="rect">
            <a:avLst/>
          </a:prstGeom>
          <a:noFill/>
          <a:ln w="9525">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Támadás</a:t>
            </a:r>
          </a:p>
        </xdr:txBody>
      </xdr:sp>
    </xdr:grpSp>
    <xdr:clientData/>
  </xdr:twoCellAnchor>
  <xdr:twoCellAnchor editAs="oneCell">
    <xdr:from>
      <xdr:col>0</xdr:col>
      <xdr:colOff>0</xdr:colOff>
      <xdr:row>0</xdr:row>
      <xdr:rowOff>0</xdr:rowOff>
    </xdr:from>
    <xdr:to>
      <xdr:col>19</xdr:col>
      <xdr:colOff>19050</xdr:colOff>
      <xdr:row>38</xdr:row>
      <xdr:rowOff>0</xdr:rowOff>
    </xdr:to>
    <xdr:grpSp>
      <xdr:nvGrpSpPr>
        <xdr:cNvPr id="2512" name="Group 676"/>
        <xdr:cNvGrpSpPr>
          <a:grpSpLocks/>
        </xdr:cNvGrpSpPr>
      </xdr:nvGrpSpPr>
      <xdr:grpSpPr bwMode="auto">
        <a:xfrm>
          <a:off x="0" y="0"/>
          <a:ext cx="9582150" cy="485775"/>
          <a:chOff x="0" y="0"/>
          <a:chExt cx="1006" cy="51"/>
        </a:xfrm>
      </xdr:grpSpPr>
      <xdr:pic>
        <xdr:nvPicPr>
          <xdr:cNvPr id="2513" name="Picture 677"/>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006" cy="51"/>
          </a:xfrm>
          <a:prstGeom prst="rect">
            <a:avLst/>
          </a:prstGeom>
          <a:noFill/>
          <a:ln w="9525">
            <a:noFill/>
            <a:miter lim="800000"/>
            <a:headEnd/>
            <a:tailEnd/>
          </a:ln>
        </xdr:spPr>
      </xdr:pic>
      <xdr:grpSp>
        <xdr:nvGrpSpPr>
          <xdr:cNvPr id="2514" name="Group 678">
            <a:hlinkClick xmlns:r="http://schemas.openxmlformats.org/officeDocument/2006/relationships" r:id="rId2" tooltip="Mail to Gyworks"/>
          </xdr:cNvPr>
          <xdr:cNvGrpSpPr>
            <a:grpSpLocks/>
          </xdr:cNvGrpSpPr>
        </xdr:nvGrpSpPr>
        <xdr:grpSpPr bwMode="auto">
          <a:xfrm>
            <a:off x="449" y="11"/>
            <a:ext cx="49" cy="34"/>
            <a:chOff x="356" y="11"/>
            <a:chExt cx="49" cy="34"/>
          </a:xfrm>
        </xdr:grpSpPr>
        <xdr:grpSp>
          <xdr:nvGrpSpPr>
            <xdr:cNvPr id="2532" name="Group 679"/>
            <xdr:cNvGrpSpPr>
              <a:grpSpLocks/>
            </xdr:cNvGrpSpPr>
          </xdr:nvGrpSpPr>
          <xdr:grpSpPr bwMode="auto">
            <a:xfrm>
              <a:off x="361" y="11"/>
              <a:ext cx="44" cy="18"/>
              <a:chOff x="148" y="352"/>
              <a:chExt cx="44" cy="18"/>
            </a:xfrm>
          </xdr:grpSpPr>
          <xdr:grpSp>
            <xdr:nvGrpSpPr>
              <xdr:cNvPr id="2534" name="Group 680"/>
              <xdr:cNvGrpSpPr>
                <a:grpSpLocks noChangeAspect="1"/>
              </xdr:cNvGrpSpPr>
            </xdr:nvGrpSpPr>
            <xdr:grpSpPr bwMode="auto">
              <a:xfrm>
                <a:off x="148" y="352"/>
                <a:ext cx="14" cy="16"/>
                <a:chOff x="846" y="38"/>
                <a:chExt cx="28" cy="32"/>
              </a:xfrm>
            </xdr:grpSpPr>
            <xdr:sp macro="" textlink="">
              <xdr:nvSpPr>
                <xdr:cNvPr id="2537" name="Line 681"/>
                <xdr:cNvSpPr>
                  <a:spLocks noChangeAspect="1" noChangeShapeType="1"/>
                </xdr:cNvSpPr>
              </xdr:nvSpPr>
              <xdr:spPr bwMode="auto">
                <a:xfrm flipH="1">
                  <a:off x="850" y="49"/>
                  <a:ext cx="17" cy="21"/>
                </a:xfrm>
                <a:prstGeom prst="line">
                  <a:avLst/>
                </a:prstGeom>
                <a:noFill/>
                <a:ln w="19050">
                  <a:solidFill>
                    <a:srgbClr val="EEEEEE"/>
                  </a:solidFill>
                  <a:round/>
                  <a:headEnd/>
                  <a:tailEnd/>
                </a:ln>
              </xdr:spPr>
            </xdr:sp>
            <xdr:sp macro="" textlink="">
              <xdr:nvSpPr>
                <xdr:cNvPr id="2538" name="Arc 682"/>
                <xdr:cNvSpPr>
                  <a:spLocks noChangeAspect="1"/>
                </xdr:cNvSpPr>
              </xdr:nvSpPr>
              <xdr:spPr bwMode="auto">
                <a:xfrm rot="16200000" flipH="1">
                  <a:off x="848" y="36"/>
                  <a:ext cx="23" cy="27"/>
                </a:xfrm>
                <a:custGeom>
                  <a:avLst/>
                  <a:gdLst>
                    <a:gd name="T0" fmla="*/ 6 w 43200"/>
                    <a:gd name="T1" fmla="*/ 27 h 40066"/>
                    <a:gd name="T2" fmla="*/ 22 w 43200"/>
                    <a:gd name="T3" fmla="*/ 22 h 40066"/>
                    <a:gd name="T4" fmla="*/ 12 w 43200"/>
                    <a:gd name="T5" fmla="*/ 15 h 40066"/>
                    <a:gd name="T6" fmla="*/ 0 60000 65536"/>
                    <a:gd name="T7" fmla="*/ 0 60000 65536"/>
                    <a:gd name="T8" fmla="*/ 0 60000 65536"/>
                    <a:gd name="T9" fmla="*/ 0 w 43200"/>
                    <a:gd name="T10" fmla="*/ 0 h 40066"/>
                    <a:gd name="T11" fmla="*/ 43200 w 43200"/>
                    <a:gd name="T12" fmla="*/ 40066 h 40066"/>
                  </a:gdLst>
                  <a:ahLst/>
                  <a:cxnLst>
                    <a:cxn ang="T6">
                      <a:pos x="T0" y="T1"/>
                    </a:cxn>
                    <a:cxn ang="T7">
                      <a:pos x="T2" y="T3"/>
                    </a:cxn>
                    <a:cxn ang="T8">
                      <a:pos x="T4" y="T5"/>
                    </a:cxn>
                  </a:cxnLst>
                  <a:rect l="T9" t="T10" r="T11" b="T12"/>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close/>
                    </a:path>
                  </a:pathLst>
                </a:custGeom>
                <a:noFill/>
                <a:ln w="19050">
                  <a:solidFill>
                    <a:srgbClr val="EEEEEE"/>
                  </a:solidFill>
                  <a:round/>
                  <a:headEnd/>
                  <a:tailEnd/>
                </a:ln>
              </xdr:spPr>
            </xdr:sp>
            <xdr:sp macro="" textlink="">
              <xdr:nvSpPr>
                <xdr:cNvPr id="2539" name="Line 683"/>
                <xdr:cNvSpPr>
                  <a:spLocks noChangeAspect="1" noChangeShapeType="1"/>
                </xdr:cNvSpPr>
              </xdr:nvSpPr>
              <xdr:spPr bwMode="auto">
                <a:xfrm flipH="1">
                  <a:off x="858" y="49"/>
                  <a:ext cx="16" cy="21"/>
                </a:xfrm>
                <a:prstGeom prst="line">
                  <a:avLst/>
                </a:prstGeom>
                <a:noFill/>
                <a:ln w="19050">
                  <a:solidFill>
                    <a:srgbClr val="EEEEEE"/>
                  </a:solidFill>
                  <a:round/>
                  <a:headEnd/>
                  <a:tailEnd/>
                </a:ln>
              </xdr:spPr>
            </xdr:sp>
          </xdr:grpSp>
          <xdr:sp macro="" textlink="">
            <xdr:nvSpPr>
              <xdr:cNvPr id="2732" name="Text Box 684"/>
              <xdr:cNvSpPr txBox="1">
                <a:spLocks noChangeAspect="1" noChangeArrowheads="1"/>
              </xdr:cNvSpPr>
            </xdr:nvSpPr>
            <xdr:spPr bwMode="auto">
              <a:xfrm>
                <a:off x="158" y="359"/>
                <a:ext cx="27" cy="11"/>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2733" name="Text Box 685"/>
              <xdr:cNvSpPr txBox="1">
                <a:spLocks noChangeAspect="1" noChangeArrowheads="1"/>
              </xdr:cNvSpPr>
            </xdr:nvSpPr>
            <xdr:spPr bwMode="auto">
              <a:xfrm>
                <a:off x="178" y="355"/>
                <a:ext cx="14" cy="9"/>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2734" name="Text Box 686"/>
            <xdr:cNvSpPr txBox="1">
              <a:spLocks noChangeArrowheads="1"/>
            </xdr:cNvSpPr>
          </xdr:nvSpPr>
          <xdr:spPr bwMode="auto">
            <a:xfrm>
              <a:off x="356" y="28"/>
              <a:ext cx="44" cy="17"/>
            </a:xfrm>
            <a:prstGeom prst="rect">
              <a:avLst/>
            </a:prstGeom>
            <a:noFill/>
            <a:ln w="9525">
              <a:noFill/>
              <a:miter lim="800000"/>
              <a:headEnd/>
              <a:tailEnd/>
            </a:ln>
            <a:effectLst/>
          </xdr:spPr>
          <xdr:txBody>
            <a:bodyPr vertOverflow="clip" wrap="square" lIns="27432" tIns="27432" rIns="27432" bIns="27432" anchor="ctr" upright="1"/>
            <a:lstStyle/>
            <a:p>
              <a:pPr algn="ctr" rtl="0">
                <a:defRPr sz="1000"/>
              </a:pPr>
              <a:r>
                <a:rPr lang="hu-HU" sz="800" b="0" i="0" u="none" strike="noStrike" baseline="0">
                  <a:solidFill>
                    <a:srgbClr val="EEEEEE"/>
                  </a:solidFill>
                  <a:latin typeface="Arial Narrow"/>
                </a:rPr>
                <a:t>©  2015</a:t>
              </a:r>
            </a:p>
          </xdr:txBody>
        </xdr:sp>
      </xdr:grpSp>
      <xdr:grpSp>
        <xdr:nvGrpSpPr>
          <xdr:cNvPr id="2515" name="Group 687">
            <a:hlinkClick xmlns:r="http://schemas.openxmlformats.org/officeDocument/2006/relationships" r:id="rId3" tooltip="HASEFOCI"/>
          </xdr:cNvPr>
          <xdr:cNvGrpSpPr>
            <a:grpSpLocks/>
          </xdr:cNvGrpSpPr>
        </xdr:nvGrpSpPr>
        <xdr:grpSpPr bwMode="auto">
          <a:xfrm>
            <a:off x="3" y="0"/>
            <a:ext cx="224" cy="50"/>
            <a:chOff x="3" y="0"/>
            <a:chExt cx="224" cy="50"/>
          </a:xfrm>
        </xdr:grpSpPr>
        <xdr:pic>
          <xdr:nvPicPr>
            <xdr:cNvPr id="2530" name="Picture 688"/>
            <xdr:cNvPicPr>
              <a:picLocks noChangeAspect="1" noChangeArrowheads="1"/>
            </xdr:cNvPicPr>
          </xdr:nvPicPr>
          <xdr:blipFill>
            <a:blip xmlns:r="http://schemas.openxmlformats.org/officeDocument/2006/relationships" r:embed="rId4" cstate="print"/>
            <a:srcRect/>
            <a:stretch>
              <a:fillRect/>
            </a:stretch>
          </xdr:blipFill>
          <xdr:spPr bwMode="auto">
            <a:xfrm>
              <a:off x="3" y="0"/>
              <a:ext cx="48" cy="50"/>
            </a:xfrm>
            <a:prstGeom prst="rect">
              <a:avLst/>
            </a:prstGeom>
            <a:noFill/>
            <a:ln w="9525">
              <a:noFill/>
              <a:miter lim="800000"/>
              <a:headEnd/>
              <a:tailEnd/>
            </a:ln>
          </xdr:spPr>
        </xdr:pic>
        <xdr:pic>
          <xdr:nvPicPr>
            <xdr:cNvPr id="2531" name="Picture 689"/>
            <xdr:cNvPicPr>
              <a:picLocks noChangeAspect="1" noChangeArrowheads="1"/>
            </xdr:cNvPicPr>
          </xdr:nvPicPr>
          <xdr:blipFill>
            <a:blip xmlns:r="http://schemas.openxmlformats.org/officeDocument/2006/relationships" r:embed="rId5" cstate="print"/>
            <a:srcRect/>
            <a:stretch>
              <a:fillRect/>
            </a:stretch>
          </xdr:blipFill>
          <xdr:spPr bwMode="auto">
            <a:xfrm>
              <a:off x="55" y="3"/>
              <a:ext cx="172" cy="45"/>
            </a:xfrm>
            <a:prstGeom prst="rect">
              <a:avLst/>
            </a:prstGeom>
            <a:noFill/>
            <a:ln w="9525">
              <a:noFill/>
              <a:miter lim="800000"/>
              <a:headEnd/>
              <a:tailEnd/>
            </a:ln>
          </xdr:spPr>
        </xdr:pic>
      </xdr:grpSp>
      <xdr:grpSp>
        <xdr:nvGrpSpPr>
          <xdr:cNvPr id="2516" name="Group 690"/>
          <xdr:cNvGrpSpPr>
            <a:grpSpLocks/>
          </xdr:cNvGrpSpPr>
        </xdr:nvGrpSpPr>
        <xdr:grpSpPr bwMode="auto">
          <a:xfrm>
            <a:off x="221" y="1"/>
            <a:ext cx="227" cy="50"/>
            <a:chOff x="221" y="1"/>
            <a:chExt cx="227" cy="50"/>
          </a:xfrm>
        </xdr:grpSpPr>
        <xdr:pic>
          <xdr:nvPicPr>
            <xdr:cNvPr id="2528" name="Picture 691"/>
            <xdr:cNvPicPr>
              <a:picLocks noChangeAspect="1" noChangeArrowheads="1"/>
            </xdr:cNvPicPr>
          </xdr:nvPicPr>
          <xdr:blipFill>
            <a:blip xmlns:r="http://schemas.openxmlformats.org/officeDocument/2006/relationships" r:embed="rId6" cstate="print">
              <a:lum bright="-6000"/>
            </a:blip>
            <a:srcRect/>
            <a:stretch>
              <a:fillRect/>
            </a:stretch>
          </xdr:blipFill>
          <xdr:spPr bwMode="auto">
            <a:xfrm>
              <a:off x="221" y="1"/>
              <a:ext cx="227" cy="50"/>
            </a:xfrm>
            <a:prstGeom prst="rect">
              <a:avLst/>
            </a:prstGeom>
            <a:noFill/>
            <a:ln w="9525">
              <a:noFill/>
              <a:miter lim="800000"/>
              <a:headEnd/>
              <a:tailEnd/>
            </a:ln>
          </xdr:spPr>
        </xdr:pic>
        <xdr:sp macro="" textlink="">
          <xdr:nvSpPr>
            <xdr:cNvPr id="2740" name="WordArt 692"/>
            <xdr:cNvSpPr>
              <a:spLocks noChangeArrowheads="1" noChangeShapeType="1" noTextEdit="1"/>
            </xdr:cNvSpPr>
          </xdr:nvSpPr>
          <xdr:spPr bwMode="auto">
            <a:xfrm rot="-603553">
              <a:off x="265" y="17"/>
              <a:ext cx="64" cy="24"/>
            </a:xfrm>
            <a:prstGeom prst="rect">
              <a:avLst/>
            </a:prstGeom>
          </xdr:spPr>
          <xdr:txBody>
            <a:bodyPr wrap="none" fromWordArt="1">
              <a:prstTxWarp prst="textArchUp">
                <a:avLst>
                  <a:gd name="adj" fmla="val 12201797"/>
                </a:avLst>
              </a:prstTxWarp>
            </a:bodyPr>
            <a:lstStyle/>
            <a:p>
              <a:pPr algn="ctr" rtl="0"/>
              <a:r>
                <a:rPr lang="hu-HU" sz="3600" b="1" kern="10" spc="0">
                  <a:ln w="0">
                    <a:solidFill>
                      <a:srgbClr val="FFFFFF"/>
                    </a:solidFill>
                    <a:round/>
                    <a:headEnd/>
                    <a:tailEnd/>
                  </a:ln>
                  <a:solidFill>
                    <a:srgbClr val="E5322C"/>
                  </a:solidFill>
                  <a:effectLst>
                    <a:outerShdw dist="28398" dir="1593903" algn="ctr" rotWithShape="0">
                      <a:srgbClr val="FFFFFF"/>
                    </a:outerShdw>
                  </a:effectLst>
                  <a:latin typeface="Brush Script MT"/>
                </a:rPr>
                <a:t>2015</a:t>
              </a:r>
            </a:p>
          </xdr:txBody>
        </xdr:sp>
      </xdr:grpSp>
      <xdr:sp macro="" textlink="">
        <xdr:nvSpPr>
          <xdr:cNvPr id="2741" name="AutoShape 693">
            <a:hlinkClick xmlns:r="http://schemas.openxmlformats.org/officeDocument/2006/relationships" r:id="rId7" tooltip="Használati ismertető"/>
          </xdr:cNvPr>
          <xdr:cNvSpPr>
            <a:spLocks noChangeArrowheads="1"/>
          </xdr:cNvSpPr>
        </xdr:nvSpPr>
        <xdr:spPr bwMode="auto">
          <a:xfrm>
            <a:off x="984" y="5"/>
            <a:ext cx="20" cy="41"/>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rPr>
              <a:t>SÚGÓ</a:t>
            </a:r>
          </a:p>
        </xdr:txBody>
      </xdr:sp>
      <xdr:sp macro="" textlink="">
        <xdr:nvSpPr>
          <xdr:cNvPr id="2742" name="AutoShape 694">
            <a:hlinkClick xmlns:r="http://schemas.openxmlformats.org/officeDocument/2006/relationships" r:id="rId8" tooltip="Rájásztás eredményei"/>
          </xdr:cNvPr>
          <xdr:cNvSpPr>
            <a:spLocks noChangeArrowheads="1"/>
          </xdr:cNvSpPr>
        </xdr:nvSpPr>
        <xdr:spPr bwMode="auto">
          <a:xfrm>
            <a:off x="498"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RÁJÁTSZÁS</a:t>
            </a:r>
          </a:p>
        </xdr:txBody>
      </xdr:sp>
      <xdr:sp macro="" textlink="">
        <xdr:nvSpPr>
          <xdr:cNvPr id="2743" name="AutoShape 695">
            <a:hlinkClick xmlns:r="http://schemas.openxmlformats.org/officeDocument/2006/relationships" r:id="rId9" tooltip="Alapszakasz eredményei"/>
          </xdr:cNvPr>
          <xdr:cNvSpPr>
            <a:spLocks noChangeArrowheads="1"/>
          </xdr:cNvSpPr>
        </xdr:nvSpPr>
        <xdr:spPr bwMode="auto">
          <a:xfrm>
            <a:off x="498"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ALAPSZAKASZ</a:t>
            </a:r>
          </a:p>
        </xdr:txBody>
      </xdr:sp>
      <xdr:sp macro="" textlink="">
        <xdr:nvSpPr>
          <xdr:cNvPr id="2744" name="AutoShape 696">
            <a:hlinkClick xmlns:r="http://schemas.openxmlformats.org/officeDocument/2006/relationships" r:id="rId10" tooltip="Góllövőlista megtekintése"/>
          </xdr:cNvPr>
          <xdr:cNvSpPr>
            <a:spLocks noChangeArrowheads="1"/>
          </xdr:cNvSpPr>
        </xdr:nvSpPr>
        <xdr:spPr bwMode="auto">
          <a:xfrm>
            <a:off x="790"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2745" name="AutoShape 697">
            <a:hlinkClick xmlns:r="http://schemas.openxmlformats.org/officeDocument/2006/relationships" r:id="rId11" tooltip="Alapszakasz tabella megtekintése"/>
          </xdr:cNvPr>
          <xdr:cNvSpPr>
            <a:spLocks noChangeArrowheads="1"/>
          </xdr:cNvSpPr>
        </xdr:nvSpPr>
        <xdr:spPr bwMode="auto">
          <a:xfrm>
            <a:off x="592" y="5"/>
            <a:ext cx="91" cy="19"/>
          </a:xfrm>
          <a:prstGeom prst="bevel">
            <a:avLst>
              <a:gd name="adj" fmla="val 10528"/>
            </a:avLst>
          </a:prstGeom>
          <a:gradFill rotWithShape="1">
            <a:gsLst>
              <a:gs pos="0">
                <a:srgbClr val="FF6600"/>
              </a:gs>
              <a:gs pos="100000">
                <a:srgbClr val="C72323"/>
              </a:gs>
            </a:gsLst>
            <a:lin ang="5400000" scaled="1"/>
          </a:gradFill>
          <a:ln w="9525">
            <a:noFill/>
            <a:miter lim="800000"/>
            <a:headEnd/>
            <a:tailEnd/>
          </a:ln>
          <a:effectLst/>
        </xdr:spPr>
        <xdr:txBody>
          <a:bodyPr vertOverflow="clip" wrap="square" lIns="0" tIns="0" rIns="0" bIns="0" anchor="ctr" upright="1"/>
          <a:lstStyle/>
          <a:p>
            <a:pPr algn="ctr" rtl="0">
              <a:defRPr sz="1000"/>
            </a:pPr>
            <a:r>
              <a:rPr lang="hu-HU" sz="900" b="1" i="0" u="none" strike="noStrike" baseline="0">
                <a:solidFill>
                  <a:srgbClr val="FFFFFF"/>
                </a:solidFill>
                <a:latin typeface="Calibri"/>
              </a:rPr>
              <a:t>TABELLA a.</a:t>
            </a:r>
          </a:p>
        </xdr:txBody>
      </xdr:sp>
      <xdr:sp macro="" textlink="">
        <xdr:nvSpPr>
          <xdr:cNvPr id="2746" name="AutoShape 698">
            <a:hlinkClick xmlns:r="http://schemas.openxmlformats.org/officeDocument/2006/relationships" r:id="rId12" tooltip="Rájásztás tabella megtekintése"/>
          </xdr:cNvPr>
          <xdr:cNvSpPr>
            <a:spLocks noChangeArrowheads="1"/>
          </xdr:cNvSpPr>
        </xdr:nvSpPr>
        <xdr:spPr bwMode="auto">
          <a:xfrm>
            <a:off x="592"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r.</a:t>
            </a:r>
          </a:p>
        </xdr:txBody>
      </xdr:sp>
      <xdr:sp macro="" textlink="">
        <xdr:nvSpPr>
          <xdr:cNvPr id="2747" name="AutoShape 699">
            <a:hlinkClick xmlns:r="http://schemas.openxmlformats.org/officeDocument/2006/relationships" r:id="rId13" tooltip="Alapszakasz kereszttáblázat megtekintése"/>
          </xdr:cNvPr>
          <xdr:cNvSpPr>
            <a:spLocks noChangeArrowheads="1"/>
          </xdr:cNvSpPr>
        </xdr:nvSpPr>
        <xdr:spPr bwMode="auto">
          <a:xfrm>
            <a:off x="686" y="5"/>
            <a:ext cx="10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 a.</a:t>
            </a:r>
          </a:p>
        </xdr:txBody>
      </xdr:sp>
      <xdr:sp macro="" textlink="">
        <xdr:nvSpPr>
          <xdr:cNvPr id="2748" name="AutoShape 700">
            <a:hlinkClick xmlns:r="http://schemas.openxmlformats.org/officeDocument/2006/relationships" r:id="rId14" tooltip="Rájátszás kereszttáblázat megtekintése"/>
          </xdr:cNvPr>
          <xdr:cNvSpPr>
            <a:spLocks noChangeArrowheads="1"/>
          </xdr:cNvSpPr>
        </xdr:nvSpPr>
        <xdr:spPr bwMode="auto">
          <a:xfrm>
            <a:off x="686" y="27"/>
            <a:ext cx="10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KERESZTTÁBLA r.</a:t>
            </a:r>
          </a:p>
        </xdr:txBody>
      </xdr:sp>
      <xdr:sp macro="" textlink="">
        <xdr:nvSpPr>
          <xdr:cNvPr id="2749" name="AutoShape 701">
            <a:hlinkClick xmlns:r="http://schemas.openxmlformats.org/officeDocument/2006/relationships" r:id="rId15" tooltip="Gólszerzők rögzítése"/>
          </xdr:cNvPr>
          <xdr:cNvSpPr>
            <a:spLocks noChangeArrowheads="1"/>
          </xdr:cNvSpPr>
        </xdr:nvSpPr>
        <xdr:spPr bwMode="auto">
          <a:xfrm>
            <a:off x="790"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2750" name="AutoShape 702">
            <a:hlinkClick xmlns:r="http://schemas.openxmlformats.org/officeDocument/2006/relationships" r:id="rId16" tooltip="A szakosztály és a csapatok elérhetőségei"/>
          </xdr:cNvPr>
          <xdr:cNvSpPr>
            <a:spLocks noChangeArrowheads="1"/>
          </xdr:cNvSpPr>
        </xdr:nvSpPr>
        <xdr:spPr bwMode="auto">
          <a:xfrm>
            <a:off x="887"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2751" name="AutoShape 703">
            <a:hlinkClick xmlns:r="http://schemas.openxmlformats.org/officeDocument/2006/relationships" r:id="rId17" tooltip="Versenykiírás megtekintése"/>
          </xdr:cNvPr>
          <xdr:cNvSpPr>
            <a:spLocks noChangeArrowheads="1"/>
          </xdr:cNvSpPr>
        </xdr:nvSpPr>
        <xdr:spPr bwMode="auto">
          <a:xfrm>
            <a:off x="887"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grpSp>
    <xdr:clientData/>
  </xdr:twoCellAnchor>
  <mc:AlternateContent xmlns:mc="http://schemas.openxmlformats.org/markup-compatibility/2006">
    <mc:Choice xmlns:a14="http://schemas.microsoft.com/office/drawing/2010/main" Requires="a14">
      <xdr:twoCellAnchor>
        <xdr:from>
          <xdr:col>14</xdr:col>
          <xdr:colOff>57150</xdr:colOff>
          <xdr:row>54</xdr:row>
          <xdr:rowOff>28575</xdr:rowOff>
        </xdr:from>
        <xdr:to>
          <xdr:col>17</xdr:col>
          <xdr:colOff>190500</xdr:colOff>
          <xdr:row>57</xdr:row>
          <xdr:rowOff>85725</xdr:rowOff>
        </xdr:to>
        <xdr:sp macro="" textlink="">
          <xdr:nvSpPr>
            <xdr:cNvPr id="2506" name="Group Box 458" hidden="1">
              <a:extLst>
                <a:ext uri="{63B3BB69-23CF-44E3-9099-C40C66FF867C}">
                  <a14:compatExt spid="_x0000_s250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56</xdr:row>
          <xdr:rowOff>38100</xdr:rowOff>
        </xdr:from>
        <xdr:to>
          <xdr:col>14</xdr:col>
          <xdr:colOff>447675</xdr:colOff>
          <xdr:row>57</xdr:row>
          <xdr:rowOff>47625</xdr:rowOff>
        </xdr:to>
        <xdr:sp macro="" textlink="">
          <xdr:nvSpPr>
            <xdr:cNvPr id="2507" name="Option Button 459" hidden="1">
              <a:extLst>
                <a:ext uri="{63B3BB69-23CF-44E3-9099-C40C66FF867C}">
                  <a14:compatExt spid="_x0000_s25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54</xdr:row>
          <xdr:rowOff>57150</xdr:rowOff>
        </xdr:from>
        <xdr:to>
          <xdr:col>14</xdr:col>
          <xdr:colOff>447675</xdr:colOff>
          <xdr:row>55</xdr:row>
          <xdr:rowOff>66675</xdr:rowOff>
        </xdr:to>
        <xdr:sp macro="" textlink="">
          <xdr:nvSpPr>
            <xdr:cNvPr id="2508" name="Option Button 460" hidden="1">
              <a:extLst>
                <a:ext uri="{63B3BB69-23CF-44E3-9099-C40C66FF867C}">
                  <a14:compatExt spid="_x0000_s25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55</xdr:row>
          <xdr:rowOff>47625</xdr:rowOff>
        </xdr:from>
        <xdr:to>
          <xdr:col>14</xdr:col>
          <xdr:colOff>447675</xdr:colOff>
          <xdr:row>56</xdr:row>
          <xdr:rowOff>57150</xdr:rowOff>
        </xdr:to>
        <xdr:sp macro="" textlink="">
          <xdr:nvSpPr>
            <xdr:cNvPr id="2509" name="Option Button 461" hidden="1">
              <a:extLst>
                <a:ext uri="{63B3BB69-23CF-44E3-9099-C40C66FF867C}">
                  <a14:compatExt spid="_x0000_s25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48</xdr:row>
          <xdr:rowOff>19050</xdr:rowOff>
        </xdr:from>
        <xdr:to>
          <xdr:col>17</xdr:col>
          <xdr:colOff>190500</xdr:colOff>
          <xdr:row>51</xdr:row>
          <xdr:rowOff>76200</xdr:rowOff>
        </xdr:to>
        <xdr:sp macro="" textlink="">
          <xdr:nvSpPr>
            <xdr:cNvPr id="2489" name="Group Box 441" hidden="1">
              <a:extLst>
                <a:ext uri="{63B3BB69-23CF-44E3-9099-C40C66FF867C}">
                  <a14:compatExt spid="_x0000_s248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50</xdr:row>
          <xdr:rowOff>28575</xdr:rowOff>
        </xdr:from>
        <xdr:to>
          <xdr:col>14</xdr:col>
          <xdr:colOff>447675</xdr:colOff>
          <xdr:row>51</xdr:row>
          <xdr:rowOff>38100</xdr:rowOff>
        </xdr:to>
        <xdr:sp macro="" textlink="">
          <xdr:nvSpPr>
            <xdr:cNvPr id="2490" name="Option Button 442" hidden="1">
              <a:extLst>
                <a:ext uri="{63B3BB69-23CF-44E3-9099-C40C66FF867C}">
                  <a14:compatExt spid="_x0000_s24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48</xdr:row>
          <xdr:rowOff>47625</xdr:rowOff>
        </xdr:from>
        <xdr:to>
          <xdr:col>14</xdr:col>
          <xdr:colOff>447675</xdr:colOff>
          <xdr:row>49</xdr:row>
          <xdr:rowOff>57150</xdr:rowOff>
        </xdr:to>
        <xdr:sp macro="" textlink="">
          <xdr:nvSpPr>
            <xdr:cNvPr id="2491" name="Option Button 443" hidden="1">
              <a:extLst>
                <a:ext uri="{63B3BB69-23CF-44E3-9099-C40C66FF867C}">
                  <a14:compatExt spid="_x0000_s24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49</xdr:row>
          <xdr:rowOff>38100</xdr:rowOff>
        </xdr:from>
        <xdr:to>
          <xdr:col>14</xdr:col>
          <xdr:colOff>447675</xdr:colOff>
          <xdr:row>50</xdr:row>
          <xdr:rowOff>47625</xdr:rowOff>
        </xdr:to>
        <xdr:sp macro="" textlink="">
          <xdr:nvSpPr>
            <xdr:cNvPr id="2492" name="Option Button 444" hidden="1">
              <a:extLst>
                <a:ext uri="{63B3BB69-23CF-44E3-9099-C40C66FF867C}">
                  <a14:compatExt spid="_x0000_s24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76200</xdr:colOff>
      <xdr:row>40</xdr:row>
      <xdr:rowOff>66675</xdr:rowOff>
    </xdr:from>
    <xdr:to>
      <xdr:col>2</xdr:col>
      <xdr:colOff>1714500</xdr:colOff>
      <xdr:row>40</xdr:row>
      <xdr:rowOff>847725</xdr:rowOff>
    </xdr:to>
    <xdr:grpSp>
      <xdr:nvGrpSpPr>
        <xdr:cNvPr id="1578" name="Group 699"/>
        <xdr:cNvGrpSpPr>
          <a:grpSpLocks/>
        </xdr:cNvGrpSpPr>
      </xdr:nvGrpSpPr>
      <xdr:grpSpPr bwMode="auto">
        <a:xfrm>
          <a:off x="590550" y="1066800"/>
          <a:ext cx="1638300" cy="781050"/>
          <a:chOff x="46" y="92"/>
          <a:chExt cx="172" cy="82"/>
        </a:xfrm>
      </xdr:grpSpPr>
      <xdr:sp macro="" textlink="">
        <xdr:nvSpPr>
          <xdr:cNvPr id="1575" name="Text Box 551"/>
          <xdr:cNvSpPr txBox="1">
            <a:spLocks noChangeArrowheads="1"/>
          </xdr:cNvSpPr>
        </xdr:nvSpPr>
        <xdr:spPr bwMode="auto">
          <a:xfrm>
            <a:off x="46" y="92"/>
            <a:ext cx="172" cy="17"/>
          </a:xfrm>
          <a:prstGeom prst="rect">
            <a:avLst/>
          </a:prstGeom>
          <a:noFill/>
          <a:ln w="9525">
            <a:noFill/>
            <a:miter lim="800000"/>
            <a:headEnd/>
            <a:tailEnd/>
          </a:ln>
          <a:effectLst/>
        </xdr:spPr>
        <xdr:txBody>
          <a:bodyPr vertOverflow="clip" wrap="square" lIns="0" tIns="0" rIns="0" bIns="0" anchor="ctr" upright="1"/>
          <a:lstStyle/>
          <a:p>
            <a:pPr algn="l" rtl="0">
              <a:defRPr sz="1000"/>
            </a:pPr>
            <a:r>
              <a:rPr lang="hu-HU" sz="1000" b="1" i="0" u="none" strike="noStrike" baseline="0">
                <a:solidFill>
                  <a:srgbClr val="000000"/>
                </a:solidFill>
                <a:latin typeface="Calibri"/>
              </a:rPr>
              <a:t>ADATOK MEGJELENÍTÉSE:</a:t>
            </a:r>
          </a:p>
        </xdr:txBody>
      </xdr:sp>
      <xdr:sp macro="" textlink="">
        <xdr:nvSpPr>
          <xdr:cNvPr id="1573" name="Text Box 549"/>
          <xdr:cNvSpPr txBox="1">
            <a:spLocks noChangeArrowheads="1"/>
          </xdr:cNvSpPr>
        </xdr:nvSpPr>
        <xdr:spPr bwMode="auto">
          <a:xfrm>
            <a:off x="70" y="112"/>
            <a:ext cx="125" cy="19"/>
          </a:xfrm>
          <a:prstGeom prst="rect">
            <a:avLst/>
          </a:prstGeom>
          <a:noFill/>
          <a:ln w="9525">
            <a:noFill/>
            <a:miter lim="800000"/>
            <a:headEnd/>
            <a:tailEnd/>
          </a:ln>
          <a:effectLst/>
        </xdr:spPr>
        <xdr:txBody>
          <a:bodyPr vertOverflow="clip" wrap="square" lIns="27432" tIns="22860" rIns="0" bIns="22860" anchor="ctr" upright="1"/>
          <a:lstStyle/>
          <a:p>
            <a:pPr algn="l" rtl="0">
              <a:defRPr sz="1000"/>
            </a:pPr>
            <a:r>
              <a:rPr lang="hu-HU" sz="900" b="0" i="0" u="none" strike="noStrike" baseline="0">
                <a:solidFill>
                  <a:srgbClr val="000000"/>
                </a:solidFill>
                <a:latin typeface="Calibri"/>
              </a:rPr>
              <a:t>EREDMÉNYEK</a:t>
            </a:r>
          </a:p>
        </xdr:txBody>
      </xdr:sp>
      <xdr:sp macro="" textlink="">
        <xdr:nvSpPr>
          <xdr:cNvPr id="1574" name="Text Box 550"/>
          <xdr:cNvSpPr txBox="1">
            <a:spLocks noChangeArrowheads="1"/>
          </xdr:cNvSpPr>
        </xdr:nvSpPr>
        <xdr:spPr bwMode="auto">
          <a:xfrm>
            <a:off x="70" y="132"/>
            <a:ext cx="135" cy="20"/>
          </a:xfrm>
          <a:prstGeom prst="rect">
            <a:avLst/>
          </a:prstGeom>
          <a:noFill/>
          <a:ln w="9525" algn="ctr">
            <a:noFill/>
            <a:miter lim="800000"/>
            <a:headEnd/>
            <a:tailEnd/>
          </a:ln>
          <a:effectLst/>
        </xdr:spPr>
        <xdr:txBody>
          <a:bodyPr vertOverflow="clip" wrap="square" lIns="27432" tIns="22860" rIns="0" bIns="22860" anchor="ctr" upright="1"/>
          <a:lstStyle/>
          <a:p>
            <a:pPr algn="l" rtl="0">
              <a:defRPr sz="1000"/>
            </a:pPr>
            <a:r>
              <a:rPr lang="hu-HU" sz="900" b="0" i="0" u="none" strike="noStrike" baseline="0">
                <a:solidFill>
                  <a:srgbClr val="000000"/>
                </a:solidFill>
                <a:latin typeface="Calibri"/>
              </a:rPr>
              <a:t>FORDULÓK SORSZÁMA</a:t>
            </a:r>
          </a:p>
        </xdr:txBody>
      </xdr:sp>
      <xdr:sp macro="" textlink="">
        <xdr:nvSpPr>
          <xdr:cNvPr id="1576" name="Text Box 552"/>
          <xdr:cNvSpPr txBox="1">
            <a:spLocks noChangeArrowheads="1"/>
          </xdr:cNvSpPr>
        </xdr:nvSpPr>
        <xdr:spPr bwMode="auto">
          <a:xfrm>
            <a:off x="70" y="155"/>
            <a:ext cx="135" cy="15"/>
          </a:xfrm>
          <a:prstGeom prst="rect">
            <a:avLst/>
          </a:prstGeom>
          <a:noFill/>
          <a:ln w="9525" algn="ctr">
            <a:noFill/>
            <a:miter lim="800000"/>
            <a:headEnd/>
            <a:tailEnd/>
          </a:ln>
          <a:effectLst/>
        </xdr:spPr>
        <xdr:txBody>
          <a:bodyPr vertOverflow="clip" wrap="square" lIns="27432" tIns="22860" rIns="0" bIns="22860" anchor="ctr" upright="1"/>
          <a:lstStyle/>
          <a:p>
            <a:pPr algn="l" rtl="0">
              <a:defRPr sz="1000"/>
            </a:pPr>
            <a:r>
              <a:rPr lang="hu-HU" sz="900" b="0" i="0" u="none" strike="noStrike" baseline="0">
                <a:solidFill>
                  <a:srgbClr val="000000"/>
                </a:solidFill>
                <a:latin typeface="Calibri"/>
              </a:rPr>
              <a:t>DÁTUMOK</a:t>
            </a:r>
          </a:p>
        </xdr:txBody>
      </xdr:sp>
    </xdr:grpSp>
    <xdr:clientData/>
  </xdr:twoCellAnchor>
  <xdr:twoCellAnchor editAs="oneCell">
    <xdr:from>
      <xdr:col>0</xdr:col>
      <xdr:colOff>0</xdr:colOff>
      <xdr:row>0</xdr:row>
      <xdr:rowOff>0</xdr:rowOff>
    </xdr:from>
    <xdr:to>
      <xdr:col>72</xdr:col>
      <xdr:colOff>9525</xdr:colOff>
      <xdr:row>38</xdr:row>
      <xdr:rowOff>0</xdr:rowOff>
    </xdr:to>
    <xdr:grpSp>
      <xdr:nvGrpSpPr>
        <xdr:cNvPr id="1579" name="Group 801"/>
        <xdr:cNvGrpSpPr>
          <a:grpSpLocks/>
        </xdr:cNvGrpSpPr>
      </xdr:nvGrpSpPr>
      <xdr:grpSpPr bwMode="auto">
        <a:xfrm>
          <a:off x="0" y="0"/>
          <a:ext cx="9582150" cy="485775"/>
          <a:chOff x="0" y="0"/>
          <a:chExt cx="1006" cy="51"/>
        </a:xfrm>
      </xdr:grpSpPr>
      <xdr:pic>
        <xdr:nvPicPr>
          <xdr:cNvPr id="1580" name="Picture 802"/>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006" cy="51"/>
          </a:xfrm>
          <a:prstGeom prst="rect">
            <a:avLst/>
          </a:prstGeom>
          <a:noFill/>
          <a:ln w="9525">
            <a:noFill/>
            <a:miter lim="800000"/>
            <a:headEnd/>
            <a:tailEnd/>
          </a:ln>
        </xdr:spPr>
      </xdr:pic>
      <xdr:grpSp>
        <xdr:nvGrpSpPr>
          <xdr:cNvPr id="1581" name="Group 803">
            <a:hlinkClick xmlns:r="http://schemas.openxmlformats.org/officeDocument/2006/relationships" r:id="rId2" tooltip="Mail to Gyworks"/>
          </xdr:cNvPr>
          <xdr:cNvGrpSpPr>
            <a:grpSpLocks/>
          </xdr:cNvGrpSpPr>
        </xdr:nvGrpSpPr>
        <xdr:grpSpPr bwMode="auto">
          <a:xfrm>
            <a:off x="449" y="11"/>
            <a:ext cx="49" cy="34"/>
            <a:chOff x="356" y="11"/>
            <a:chExt cx="49" cy="34"/>
          </a:xfrm>
        </xdr:grpSpPr>
        <xdr:grpSp>
          <xdr:nvGrpSpPr>
            <xdr:cNvPr id="1599" name="Group 804"/>
            <xdr:cNvGrpSpPr>
              <a:grpSpLocks/>
            </xdr:cNvGrpSpPr>
          </xdr:nvGrpSpPr>
          <xdr:grpSpPr bwMode="auto">
            <a:xfrm>
              <a:off x="361" y="11"/>
              <a:ext cx="44" cy="18"/>
              <a:chOff x="148" y="352"/>
              <a:chExt cx="44" cy="18"/>
            </a:xfrm>
          </xdr:grpSpPr>
          <xdr:grpSp>
            <xdr:nvGrpSpPr>
              <xdr:cNvPr id="1601" name="Group 805"/>
              <xdr:cNvGrpSpPr>
                <a:grpSpLocks noChangeAspect="1"/>
              </xdr:cNvGrpSpPr>
            </xdr:nvGrpSpPr>
            <xdr:grpSpPr bwMode="auto">
              <a:xfrm>
                <a:off x="148" y="352"/>
                <a:ext cx="14" cy="16"/>
                <a:chOff x="846" y="38"/>
                <a:chExt cx="28" cy="32"/>
              </a:xfrm>
            </xdr:grpSpPr>
            <xdr:sp macro="" textlink="">
              <xdr:nvSpPr>
                <xdr:cNvPr id="1604" name="Line 806"/>
                <xdr:cNvSpPr>
                  <a:spLocks noChangeAspect="1" noChangeShapeType="1"/>
                </xdr:cNvSpPr>
              </xdr:nvSpPr>
              <xdr:spPr bwMode="auto">
                <a:xfrm flipH="1">
                  <a:off x="850" y="49"/>
                  <a:ext cx="17" cy="21"/>
                </a:xfrm>
                <a:prstGeom prst="line">
                  <a:avLst/>
                </a:prstGeom>
                <a:noFill/>
                <a:ln w="19050">
                  <a:solidFill>
                    <a:srgbClr val="EEEEEE"/>
                  </a:solidFill>
                  <a:round/>
                  <a:headEnd/>
                  <a:tailEnd/>
                </a:ln>
              </xdr:spPr>
            </xdr:sp>
            <xdr:sp macro="" textlink="">
              <xdr:nvSpPr>
                <xdr:cNvPr id="1605" name="Arc 807"/>
                <xdr:cNvSpPr>
                  <a:spLocks noChangeAspect="1"/>
                </xdr:cNvSpPr>
              </xdr:nvSpPr>
              <xdr:spPr bwMode="auto">
                <a:xfrm rot="16200000" flipH="1">
                  <a:off x="848" y="36"/>
                  <a:ext cx="23" cy="27"/>
                </a:xfrm>
                <a:custGeom>
                  <a:avLst/>
                  <a:gdLst>
                    <a:gd name="T0" fmla="*/ 6 w 43200"/>
                    <a:gd name="T1" fmla="*/ 27 h 40066"/>
                    <a:gd name="T2" fmla="*/ 22 w 43200"/>
                    <a:gd name="T3" fmla="*/ 22 h 40066"/>
                    <a:gd name="T4" fmla="*/ 12 w 43200"/>
                    <a:gd name="T5" fmla="*/ 15 h 40066"/>
                    <a:gd name="T6" fmla="*/ 0 60000 65536"/>
                    <a:gd name="T7" fmla="*/ 0 60000 65536"/>
                    <a:gd name="T8" fmla="*/ 0 60000 65536"/>
                    <a:gd name="T9" fmla="*/ 0 w 43200"/>
                    <a:gd name="T10" fmla="*/ 0 h 40066"/>
                    <a:gd name="T11" fmla="*/ 43200 w 43200"/>
                    <a:gd name="T12" fmla="*/ 40066 h 40066"/>
                  </a:gdLst>
                  <a:ahLst/>
                  <a:cxnLst>
                    <a:cxn ang="T6">
                      <a:pos x="T0" y="T1"/>
                    </a:cxn>
                    <a:cxn ang="T7">
                      <a:pos x="T2" y="T3"/>
                    </a:cxn>
                    <a:cxn ang="T8">
                      <a:pos x="T4" y="T5"/>
                    </a:cxn>
                  </a:cxnLst>
                  <a:rect l="T9" t="T10" r="T11" b="T12"/>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close/>
                    </a:path>
                  </a:pathLst>
                </a:custGeom>
                <a:noFill/>
                <a:ln w="19050">
                  <a:solidFill>
                    <a:srgbClr val="EEEEEE"/>
                  </a:solidFill>
                  <a:round/>
                  <a:headEnd/>
                  <a:tailEnd/>
                </a:ln>
              </xdr:spPr>
            </xdr:sp>
            <xdr:sp macro="" textlink="">
              <xdr:nvSpPr>
                <xdr:cNvPr id="1606" name="Line 808"/>
                <xdr:cNvSpPr>
                  <a:spLocks noChangeAspect="1" noChangeShapeType="1"/>
                </xdr:cNvSpPr>
              </xdr:nvSpPr>
              <xdr:spPr bwMode="auto">
                <a:xfrm flipH="1">
                  <a:off x="858" y="49"/>
                  <a:ext cx="16" cy="21"/>
                </a:xfrm>
                <a:prstGeom prst="line">
                  <a:avLst/>
                </a:prstGeom>
                <a:noFill/>
                <a:ln w="19050">
                  <a:solidFill>
                    <a:srgbClr val="EEEEEE"/>
                  </a:solidFill>
                  <a:round/>
                  <a:headEnd/>
                  <a:tailEnd/>
                </a:ln>
              </xdr:spPr>
            </xdr:sp>
          </xdr:grpSp>
          <xdr:sp macro="" textlink="">
            <xdr:nvSpPr>
              <xdr:cNvPr id="1833" name="Text Box 809"/>
              <xdr:cNvSpPr txBox="1">
                <a:spLocks noChangeAspect="1" noChangeArrowheads="1"/>
              </xdr:cNvSpPr>
            </xdr:nvSpPr>
            <xdr:spPr bwMode="auto">
              <a:xfrm>
                <a:off x="158" y="359"/>
                <a:ext cx="27" cy="11"/>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834" name="Text Box 810"/>
              <xdr:cNvSpPr txBox="1">
                <a:spLocks noChangeAspect="1" noChangeArrowheads="1"/>
              </xdr:cNvSpPr>
            </xdr:nvSpPr>
            <xdr:spPr bwMode="auto">
              <a:xfrm>
                <a:off x="178" y="355"/>
                <a:ext cx="14" cy="9"/>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835" name="Text Box 811"/>
            <xdr:cNvSpPr txBox="1">
              <a:spLocks noChangeArrowheads="1"/>
            </xdr:cNvSpPr>
          </xdr:nvSpPr>
          <xdr:spPr bwMode="auto">
            <a:xfrm>
              <a:off x="356" y="28"/>
              <a:ext cx="44" cy="17"/>
            </a:xfrm>
            <a:prstGeom prst="rect">
              <a:avLst/>
            </a:prstGeom>
            <a:noFill/>
            <a:ln w="9525">
              <a:noFill/>
              <a:miter lim="800000"/>
              <a:headEnd/>
              <a:tailEnd/>
            </a:ln>
            <a:effectLst/>
          </xdr:spPr>
          <xdr:txBody>
            <a:bodyPr vertOverflow="clip" wrap="square" lIns="27432" tIns="27432" rIns="27432" bIns="27432" anchor="ctr" upright="1"/>
            <a:lstStyle/>
            <a:p>
              <a:pPr algn="ctr" rtl="0">
                <a:defRPr sz="1000"/>
              </a:pPr>
              <a:r>
                <a:rPr lang="hu-HU" sz="800" b="0" i="0" u="none" strike="noStrike" baseline="0">
                  <a:solidFill>
                    <a:srgbClr val="EEEEEE"/>
                  </a:solidFill>
                  <a:latin typeface="Arial Narrow"/>
                </a:rPr>
                <a:t>©  2015</a:t>
              </a:r>
            </a:p>
          </xdr:txBody>
        </xdr:sp>
      </xdr:grpSp>
      <xdr:grpSp>
        <xdr:nvGrpSpPr>
          <xdr:cNvPr id="1582" name="Group 812">
            <a:hlinkClick xmlns:r="http://schemas.openxmlformats.org/officeDocument/2006/relationships" r:id="rId3" tooltip="HASEFOCI"/>
          </xdr:cNvPr>
          <xdr:cNvGrpSpPr>
            <a:grpSpLocks/>
          </xdr:cNvGrpSpPr>
        </xdr:nvGrpSpPr>
        <xdr:grpSpPr bwMode="auto">
          <a:xfrm>
            <a:off x="3" y="0"/>
            <a:ext cx="224" cy="50"/>
            <a:chOff x="3" y="0"/>
            <a:chExt cx="224" cy="50"/>
          </a:xfrm>
        </xdr:grpSpPr>
        <xdr:pic>
          <xdr:nvPicPr>
            <xdr:cNvPr id="1597" name="Picture 813"/>
            <xdr:cNvPicPr>
              <a:picLocks noChangeAspect="1" noChangeArrowheads="1"/>
            </xdr:cNvPicPr>
          </xdr:nvPicPr>
          <xdr:blipFill>
            <a:blip xmlns:r="http://schemas.openxmlformats.org/officeDocument/2006/relationships" r:embed="rId4" cstate="print"/>
            <a:srcRect/>
            <a:stretch>
              <a:fillRect/>
            </a:stretch>
          </xdr:blipFill>
          <xdr:spPr bwMode="auto">
            <a:xfrm>
              <a:off x="3" y="0"/>
              <a:ext cx="48" cy="50"/>
            </a:xfrm>
            <a:prstGeom prst="rect">
              <a:avLst/>
            </a:prstGeom>
            <a:noFill/>
            <a:ln w="9525">
              <a:noFill/>
              <a:miter lim="800000"/>
              <a:headEnd/>
              <a:tailEnd/>
            </a:ln>
          </xdr:spPr>
        </xdr:pic>
        <xdr:pic>
          <xdr:nvPicPr>
            <xdr:cNvPr id="1598" name="Picture 814"/>
            <xdr:cNvPicPr>
              <a:picLocks noChangeAspect="1" noChangeArrowheads="1"/>
            </xdr:cNvPicPr>
          </xdr:nvPicPr>
          <xdr:blipFill>
            <a:blip xmlns:r="http://schemas.openxmlformats.org/officeDocument/2006/relationships" r:embed="rId5" cstate="print"/>
            <a:srcRect/>
            <a:stretch>
              <a:fillRect/>
            </a:stretch>
          </xdr:blipFill>
          <xdr:spPr bwMode="auto">
            <a:xfrm>
              <a:off x="55" y="3"/>
              <a:ext cx="172" cy="45"/>
            </a:xfrm>
            <a:prstGeom prst="rect">
              <a:avLst/>
            </a:prstGeom>
            <a:noFill/>
            <a:ln w="9525">
              <a:noFill/>
              <a:miter lim="800000"/>
              <a:headEnd/>
              <a:tailEnd/>
            </a:ln>
          </xdr:spPr>
        </xdr:pic>
      </xdr:grpSp>
      <xdr:grpSp>
        <xdr:nvGrpSpPr>
          <xdr:cNvPr id="1583" name="Group 815"/>
          <xdr:cNvGrpSpPr>
            <a:grpSpLocks/>
          </xdr:cNvGrpSpPr>
        </xdr:nvGrpSpPr>
        <xdr:grpSpPr bwMode="auto">
          <a:xfrm>
            <a:off x="221" y="1"/>
            <a:ext cx="227" cy="50"/>
            <a:chOff x="221" y="1"/>
            <a:chExt cx="227" cy="50"/>
          </a:xfrm>
        </xdr:grpSpPr>
        <xdr:pic>
          <xdr:nvPicPr>
            <xdr:cNvPr id="1595" name="Picture 816"/>
            <xdr:cNvPicPr>
              <a:picLocks noChangeAspect="1" noChangeArrowheads="1"/>
            </xdr:cNvPicPr>
          </xdr:nvPicPr>
          <xdr:blipFill>
            <a:blip xmlns:r="http://schemas.openxmlformats.org/officeDocument/2006/relationships" r:embed="rId6" cstate="print">
              <a:lum bright="-6000"/>
            </a:blip>
            <a:srcRect/>
            <a:stretch>
              <a:fillRect/>
            </a:stretch>
          </xdr:blipFill>
          <xdr:spPr bwMode="auto">
            <a:xfrm>
              <a:off x="221" y="1"/>
              <a:ext cx="227" cy="50"/>
            </a:xfrm>
            <a:prstGeom prst="rect">
              <a:avLst/>
            </a:prstGeom>
            <a:noFill/>
            <a:ln w="9525">
              <a:noFill/>
              <a:miter lim="800000"/>
              <a:headEnd/>
              <a:tailEnd/>
            </a:ln>
          </xdr:spPr>
        </xdr:pic>
        <xdr:sp macro="" textlink="">
          <xdr:nvSpPr>
            <xdr:cNvPr id="1841" name="WordArt 817"/>
            <xdr:cNvSpPr>
              <a:spLocks noChangeArrowheads="1" noChangeShapeType="1" noTextEdit="1"/>
            </xdr:cNvSpPr>
          </xdr:nvSpPr>
          <xdr:spPr bwMode="auto">
            <a:xfrm rot="-603553">
              <a:off x="265" y="17"/>
              <a:ext cx="64" cy="24"/>
            </a:xfrm>
            <a:prstGeom prst="rect">
              <a:avLst/>
            </a:prstGeom>
          </xdr:spPr>
          <xdr:txBody>
            <a:bodyPr wrap="none" fromWordArt="1">
              <a:prstTxWarp prst="textArchUp">
                <a:avLst>
                  <a:gd name="adj" fmla="val 12201797"/>
                </a:avLst>
              </a:prstTxWarp>
            </a:bodyPr>
            <a:lstStyle/>
            <a:p>
              <a:pPr algn="ctr" rtl="0"/>
              <a:r>
                <a:rPr lang="hu-HU" sz="3600" b="1" kern="10" spc="0">
                  <a:ln w="0">
                    <a:solidFill>
                      <a:srgbClr val="FFFFFF"/>
                    </a:solidFill>
                    <a:round/>
                    <a:headEnd/>
                    <a:tailEnd/>
                  </a:ln>
                  <a:solidFill>
                    <a:srgbClr val="E5322C"/>
                  </a:solidFill>
                  <a:effectLst>
                    <a:outerShdw dist="28398" dir="1593903" algn="ctr" rotWithShape="0">
                      <a:srgbClr val="FFFFFF"/>
                    </a:outerShdw>
                  </a:effectLst>
                  <a:latin typeface="Brush Script MT"/>
                </a:rPr>
                <a:t>2015</a:t>
              </a:r>
            </a:p>
          </xdr:txBody>
        </xdr:sp>
      </xdr:grpSp>
      <xdr:sp macro="" textlink="">
        <xdr:nvSpPr>
          <xdr:cNvPr id="1842" name="AutoShape 818">
            <a:hlinkClick xmlns:r="http://schemas.openxmlformats.org/officeDocument/2006/relationships" r:id="rId7" tooltip="Használati ismertető"/>
          </xdr:cNvPr>
          <xdr:cNvSpPr>
            <a:spLocks noChangeArrowheads="1"/>
          </xdr:cNvSpPr>
        </xdr:nvSpPr>
        <xdr:spPr bwMode="auto">
          <a:xfrm>
            <a:off x="984" y="5"/>
            <a:ext cx="20" cy="41"/>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rPr>
              <a:t>SÚGÓ</a:t>
            </a:r>
          </a:p>
        </xdr:txBody>
      </xdr:sp>
      <xdr:sp macro="" textlink="">
        <xdr:nvSpPr>
          <xdr:cNvPr id="1843" name="AutoShape 819">
            <a:hlinkClick xmlns:r="http://schemas.openxmlformats.org/officeDocument/2006/relationships" r:id="rId8" tooltip="Rájásztás eredményei"/>
          </xdr:cNvPr>
          <xdr:cNvSpPr>
            <a:spLocks noChangeArrowheads="1"/>
          </xdr:cNvSpPr>
        </xdr:nvSpPr>
        <xdr:spPr bwMode="auto">
          <a:xfrm>
            <a:off x="498"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RÁJÁTSZÁS</a:t>
            </a:r>
          </a:p>
        </xdr:txBody>
      </xdr:sp>
      <xdr:sp macro="" textlink="">
        <xdr:nvSpPr>
          <xdr:cNvPr id="1844" name="AutoShape 820">
            <a:hlinkClick xmlns:r="http://schemas.openxmlformats.org/officeDocument/2006/relationships" r:id="rId9" tooltip="Alapszakasz eredményei"/>
          </xdr:cNvPr>
          <xdr:cNvSpPr>
            <a:spLocks noChangeArrowheads="1"/>
          </xdr:cNvSpPr>
        </xdr:nvSpPr>
        <xdr:spPr bwMode="auto">
          <a:xfrm>
            <a:off x="498"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ALAPSZAKASZ</a:t>
            </a:r>
          </a:p>
        </xdr:txBody>
      </xdr:sp>
      <xdr:sp macro="" textlink="">
        <xdr:nvSpPr>
          <xdr:cNvPr id="1845" name="AutoShape 821">
            <a:hlinkClick xmlns:r="http://schemas.openxmlformats.org/officeDocument/2006/relationships" r:id="rId10" tooltip="Góllövőlista megtekintése"/>
          </xdr:cNvPr>
          <xdr:cNvSpPr>
            <a:spLocks noChangeArrowheads="1"/>
          </xdr:cNvSpPr>
        </xdr:nvSpPr>
        <xdr:spPr bwMode="auto">
          <a:xfrm>
            <a:off x="790"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846" name="AutoShape 822">
            <a:hlinkClick xmlns:r="http://schemas.openxmlformats.org/officeDocument/2006/relationships" r:id="rId11" tooltip="Alapszakasz tabella megtekintése"/>
          </xdr:cNvPr>
          <xdr:cNvSpPr>
            <a:spLocks noChangeArrowheads="1"/>
          </xdr:cNvSpPr>
        </xdr:nvSpPr>
        <xdr:spPr bwMode="auto">
          <a:xfrm>
            <a:off x="592"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a.</a:t>
            </a:r>
          </a:p>
        </xdr:txBody>
      </xdr:sp>
      <xdr:sp macro="" textlink="">
        <xdr:nvSpPr>
          <xdr:cNvPr id="1847" name="AutoShape 823">
            <a:hlinkClick xmlns:r="http://schemas.openxmlformats.org/officeDocument/2006/relationships" r:id="rId12" tooltip="Rájásztás tabella megtekintése"/>
          </xdr:cNvPr>
          <xdr:cNvSpPr>
            <a:spLocks noChangeArrowheads="1"/>
          </xdr:cNvSpPr>
        </xdr:nvSpPr>
        <xdr:spPr bwMode="auto">
          <a:xfrm>
            <a:off x="592"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r.</a:t>
            </a:r>
          </a:p>
        </xdr:txBody>
      </xdr:sp>
      <xdr:sp macro="" textlink="">
        <xdr:nvSpPr>
          <xdr:cNvPr id="1848" name="AutoShape 824">
            <a:hlinkClick xmlns:r="http://schemas.openxmlformats.org/officeDocument/2006/relationships" r:id="rId13" tooltip="Alapszakasz kereszttáblázat megtekintése"/>
          </xdr:cNvPr>
          <xdr:cNvSpPr>
            <a:spLocks noChangeArrowheads="1"/>
          </xdr:cNvSpPr>
        </xdr:nvSpPr>
        <xdr:spPr bwMode="auto">
          <a:xfrm>
            <a:off x="686" y="5"/>
            <a:ext cx="101" cy="19"/>
          </a:xfrm>
          <a:prstGeom prst="bevel">
            <a:avLst>
              <a:gd name="adj" fmla="val 10528"/>
            </a:avLst>
          </a:prstGeom>
          <a:gradFill rotWithShape="1">
            <a:gsLst>
              <a:gs pos="0">
                <a:srgbClr val="FF6600"/>
              </a:gs>
              <a:gs pos="100000">
                <a:srgbClr val="C72323"/>
              </a:gs>
            </a:gsLst>
            <a:lin ang="5400000" scaled="1"/>
          </a:gradFill>
          <a:ln w="9525">
            <a:noFill/>
            <a:miter lim="800000"/>
            <a:headEnd/>
            <a:tailEnd/>
          </a:ln>
          <a:effectLst/>
        </xdr:spPr>
        <xdr:txBody>
          <a:bodyPr vertOverflow="clip" wrap="square" lIns="0" tIns="0" rIns="0" bIns="0" anchor="ctr" upright="1"/>
          <a:lstStyle/>
          <a:p>
            <a:pPr algn="ctr" rtl="0">
              <a:defRPr sz="1000"/>
            </a:pPr>
            <a:r>
              <a:rPr lang="hu-HU" sz="900" b="1" i="0" u="none" strike="noStrike" baseline="0">
                <a:solidFill>
                  <a:srgbClr val="FFFFFF"/>
                </a:solidFill>
                <a:latin typeface="Calibri"/>
              </a:rPr>
              <a:t> KERESZTTÁBLA a.</a:t>
            </a:r>
          </a:p>
        </xdr:txBody>
      </xdr:sp>
      <xdr:sp macro="" textlink="">
        <xdr:nvSpPr>
          <xdr:cNvPr id="1849" name="AutoShape 825">
            <a:hlinkClick xmlns:r="http://schemas.openxmlformats.org/officeDocument/2006/relationships" r:id="rId14" tooltip="Rájátszás kereszttáblázat megtekintése"/>
          </xdr:cNvPr>
          <xdr:cNvSpPr>
            <a:spLocks noChangeArrowheads="1"/>
          </xdr:cNvSpPr>
        </xdr:nvSpPr>
        <xdr:spPr bwMode="auto">
          <a:xfrm>
            <a:off x="686" y="27"/>
            <a:ext cx="10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KERESZTTÁBLA r.</a:t>
            </a:r>
          </a:p>
        </xdr:txBody>
      </xdr:sp>
      <xdr:sp macro="" textlink="">
        <xdr:nvSpPr>
          <xdr:cNvPr id="1850" name="AutoShape 826">
            <a:hlinkClick xmlns:r="http://schemas.openxmlformats.org/officeDocument/2006/relationships" r:id="rId15" tooltip="Gólszerzők rögzítése"/>
          </xdr:cNvPr>
          <xdr:cNvSpPr>
            <a:spLocks noChangeArrowheads="1"/>
          </xdr:cNvSpPr>
        </xdr:nvSpPr>
        <xdr:spPr bwMode="auto">
          <a:xfrm>
            <a:off x="790"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851" name="AutoShape 827">
            <a:hlinkClick xmlns:r="http://schemas.openxmlformats.org/officeDocument/2006/relationships" r:id="rId16" tooltip="A szakosztály és a csapatok elérhetőségei"/>
          </xdr:cNvPr>
          <xdr:cNvSpPr>
            <a:spLocks noChangeArrowheads="1"/>
          </xdr:cNvSpPr>
        </xdr:nvSpPr>
        <xdr:spPr bwMode="auto">
          <a:xfrm>
            <a:off x="887"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852" name="AutoShape 828">
            <a:hlinkClick xmlns:r="http://schemas.openxmlformats.org/officeDocument/2006/relationships" r:id="rId17" tooltip="Versenykiírás megtekintése"/>
          </xdr:cNvPr>
          <xdr:cNvSpPr>
            <a:spLocks noChangeArrowheads="1"/>
          </xdr:cNvSpPr>
        </xdr:nvSpPr>
        <xdr:spPr bwMode="auto">
          <a:xfrm>
            <a:off x="887"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grpSp>
    <xdr:clientData/>
  </xdr:twoCellAnchor>
  <mc:AlternateContent xmlns:mc="http://schemas.openxmlformats.org/markup-compatibility/2006">
    <mc:Choice xmlns:a14="http://schemas.microsoft.com/office/drawing/2010/main" Requires="a14">
      <xdr:twoCellAnchor>
        <xdr:from>
          <xdr:col>2</xdr:col>
          <xdr:colOff>85725</xdr:colOff>
          <xdr:row>40</xdr:row>
          <xdr:rowOff>209550</xdr:rowOff>
        </xdr:from>
        <xdr:to>
          <xdr:col>2</xdr:col>
          <xdr:colOff>323850</xdr:colOff>
          <xdr:row>40</xdr:row>
          <xdr:rowOff>466725</xdr:rowOff>
        </xdr:to>
        <xdr:sp macro="" textlink="">
          <xdr:nvSpPr>
            <xdr:cNvPr id="1027" name="Option Button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85725</xdr:colOff>
          <xdr:row>40</xdr:row>
          <xdr:rowOff>419100</xdr:rowOff>
        </xdr:from>
        <xdr:to>
          <xdr:col>2</xdr:col>
          <xdr:colOff>323850</xdr:colOff>
          <xdr:row>40</xdr:row>
          <xdr:rowOff>647700</xdr:rowOff>
        </xdr:to>
        <xdr:sp macro="" textlink="">
          <xdr:nvSpPr>
            <xdr:cNvPr id="1028" name="Option Button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85725</xdr:colOff>
          <xdr:row>40</xdr:row>
          <xdr:rowOff>619125</xdr:rowOff>
        </xdr:from>
        <xdr:to>
          <xdr:col>2</xdr:col>
          <xdr:colOff>323850</xdr:colOff>
          <xdr:row>40</xdr:row>
          <xdr:rowOff>847725</xdr:rowOff>
        </xdr:to>
        <xdr:sp macro="" textlink="">
          <xdr:nvSpPr>
            <xdr:cNvPr id="1577" name="Option Button 553" hidden="1">
              <a:extLst>
                <a:ext uri="{63B3BB69-23CF-44E3-9099-C40C66FF867C}">
                  <a14:compatExt spid="_x0000_s15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14</xdr:col>
      <xdr:colOff>1371600</xdr:colOff>
      <xdr:row>38</xdr:row>
      <xdr:rowOff>9525</xdr:rowOff>
    </xdr:from>
    <xdr:to>
      <xdr:col>15</xdr:col>
      <xdr:colOff>66675</xdr:colOff>
      <xdr:row>38</xdr:row>
      <xdr:rowOff>142875</xdr:rowOff>
    </xdr:to>
    <xdr:grpSp>
      <xdr:nvGrpSpPr>
        <xdr:cNvPr id="21505" name="Group 996"/>
        <xdr:cNvGrpSpPr>
          <a:grpSpLocks/>
        </xdr:cNvGrpSpPr>
      </xdr:nvGrpSpPr>
      <xdr:grpSpPr bwMode="auto">
        <a:xfrm>
          <a:off x="8610600" y="495300"/>
          <a:ext cx="904875" cy="133350"/>
          <a:chOff x="1011" y="52"/>
          <a:chExt cx="95" cy="14"/>
        </a:xfrm>
      </xdr:grpSpPr>
      <xdr:sp macro="" textlink="">
        <xdr:nvSpPr>
          <xdr:cNvPr id="17164" name="AutoShape 780">
            <a:hlinkClick xmlns:r="http://schemas.openxmlformats.org/officeDocument/2006/relationships" r:id="rId1" tooltip="24. forduló eredményei"/>
          </xdr:cNvPr>
          <xdr:cNvSpPr>
            <a:spLocks noChangeArrowheads="1"/>
          </xdr:cNvSpPr>
        </xdr:nvSpPr>
        <xdr:spPr bwMode="auto">
          <a:xfrm>
            <a:off x="1030" y="52"/>
            <a:ext cx="19" cy="14"/>
          </a:xfrm>
          <a:prstGeom prst="bevel">
            <a:avLst>
              <a:gd name="adj" fmla="val 0"/>
            </a:avLst>
          </a:prstGeom>
          <a:noFill/>
          <a:ln w="3175"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24</a:t>
            </a:r>
          </a:p>
        </xdr:txBody>
      </xdr:sp>
      <xdr:sp macro="" textlink="">
        <xdr:nvSpPr>
          <xdr:cNvPr id="17165" name="AutoShape 781">
            <a:hlinkClick xmlns:r="http://schemas.openxmlformats.org/officeDocument/2006/relationships" r:id="rId2" tooltip="25. forduló eredményei"/>
          </xdr:cNvPr>
          <xdr:cNvSpPr>
            <a:spLocks noChangeArrowheads="1"/>
          </xdr:cNvSpPr>
        </xdr:nvSpPr>
        <xdr:spPr bwMode="auto">
          <a:xfrm>
            <a:off x="1049" y="52"/>
            <a:ext cx="19" cy="14"/>
          </a:xfrm>
          <a:prstGeom prst="bevel">
            <a:avLst>
              <a:gd name="adj" fmla="val 0"/>
            </a:avLst>
          </a:prstGeom>
          <a:noFill/>
          <a:ln w="3175"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25</a:t>
            </a:r>
          </a:p>
        </xdr:txBody>
      </xdr:sp>
      <xdr:sp macro="" textlink="">
        <xdr:nvSpPr>
          <xdr:cNvPr id="17166" name="AutoShape 782">
            <a:hlinkClick xmlns:r="http://schemas.openxmlformats.org/officeDocument/2006/relationships" r:id="rId3" tooltip="26. forduló eredményei"/>
          </xdr:cNvPr>
          <xdr:cNvSpPr>
            <a:spLocks noChangeArrowheads="1"/>
          </xdr:cNvSpPr>
        </xdr:nvSpPr>
        <xdr:spPr bwMode="auto">
          <a:xfrm>
            <a:off x="1068" y="52"/>
            <a:ext cx="19" cy="14"/>
          </a:xfrm>
          <a:prstGeom prst="bevel">
            <a:avLst>
              <a:gd name="adj" fmla="val 0"/>
            </a:avLst>
          </a:prstGeom>
          <a:noFill/>
          <a:ln w="3175"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26</a:t>
            </a:r>
          </a:p>
        </xdr:txBody>
      </xdr:sp>
      <xdr:sp macro="" textlink="">
        <xdr:nvSpPr>
          <xdr:cNvPr id="17167" name="AutoShape 783">
            <a:hlinkClick xmlns:r="http://schemas.openxmlformats.org/officeDocument/2006/relationships" r:id="rId4" tooltip="27. forduló eredményei"/>
          </xdr:cNvPr>
          <xdr:cNvSpPr>
            <a:spLocks noChangeArrowheads="1"/>
          </xdr:cNvSpPr>
        </xdr:nvSpPr>
        <xdr:spPr bwMode="auto">
          <a:xfrm>
            <a:off x="1087" y="52"/>
            <a:ext cx="19" cy="14"/>
          </a:xfrm>
          <a:prstGeom prst="bevel">
            <a:avLst>
              <a:gd name="adj" fmla="val 0"/>
            </a:avLst>
          </a:prstGeom>
          <a:noFill/>
          <a:ln w="3175"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27</a:t>
            </a:r>
          </a:p>
        </xdr:txBody>
      </xdr:sp>
      <xdr:sp macro="" textlink="">
        <xdr:nvSpPr>
          <xdr:cNvPr id="17201" name="AutoShape 817">
            <a:hlinkClick xmlns:r="http://schemas.openxmlformats.org/officeDocument/2006/relationships" r:id="rId5" tooltip="23. forduló eredményei"/>
          </xdr:cNvPr>
          <xdr:cNvSpPr>
            <a:spLocks noChangeArrowheads="1"/>
          </xdr:cNvSpPr>
        </xdr:nvSpPr>
        <xdr:spPr bwMode="auto">
          <a:xfrm>
            <a:off x="1011" y="52"/>
            <a:ext cx="19" cy="14"/>
          </a:xfrm>
          <a:prstGeom prst="bevel">
            <a:avLst>
              <a:gd name="adj" fmla="val 0"/>
            </a:avLst>
          </a:prstGeom>
          <a:noFill/>
          <a:ln w="3175" cap="rnd">
            <a:noFill/>
            <a:prstDash val="sysDot"/>
            <a:miter lim="800000"/>
            <a:headEnd/>
            <a:tailEnd/>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rPr>
              <a:t>23</a:t>
            </a:r>
          </a:p>
        </xdr:txBody>
      </xdr:sp>
    </xdr:grpSp>
    <xdr:clientData/>
  </xdr:twoCellAnchor>
  <xdr:twoCellAnchor editAs="oneCell">
    <xdr:from>
      <xdr:col>0</xdr:col>
      <xdr:colOff>0</xdr:colOff>
      <xdr:row>0</xdr:row>
      <xdr:rowOff>0</xdr:rowOff>
    </xdr:from>
    <xdr:to>
      <xdr:col>15</xdr:col>
      <xdr:colOff>133350</xdr:colOff>
      <xdr:row>38</xdr:row>
      <xdr:rowOff>0</xdr:rowOff>
    </xdr:to>
    <xdr:grpSp>
      <xdr:nvGrpSpPr>
        <xdr:cNvPr id="21506" name="Group 1025"/>
        <xdr:cNvGrpSpPr>
          <a:grpSpLocks/>
        </xdr:cNvGrpSpPr>
      </xdr:nvGrpSpPr>
      <xdr:grpSpPr bwMode="auto">
        <a:xfrm>
          <a:off x="0" y="0"/>
          <a:ext cx="9582150" cy="485775"/>
          <a:chOff x="0" y="0"/>
          <a:chExt cx="1006" cy="51"/>
        </a:xfrm>
      </xdr:grpSpPr>
      <xdr:pic>
        <xdr:nvPicPr>
          <xdr:cNvPr id="21507" name="Picture 1026"/>
          <xdr:cNvPicPr>
            <a:picLocks noChangeAspect="1" noChangeArrowheads="1"/>
          </xdr:cNvPicPr>
        </xdr:nvPicPr>
        <xdr:blipFill>
          <a:blip xmlns:r="http://schemas.openxmlformats.org/officeDocument/2006/relationships" r:embed="rId6" cstate="print"/>
          <a:srcRect/>
          <a:stretch>
            <a:fillRect/>
          </a:stretch>
        </xdr:blipFill>
        <xdr:spPr bwMode="auto">
          <a:xfrm>
            <a:off x="0" y="0"/>
            <a:ext cx="1006" cy="51"/>
          </a:xfrm>
          <a:prstGeom prst="rect">
            <a:avLst/>
          </a:prstGeom>
          <a:noFill/>
          <a:ln w="9525">
            <a:noFill/>
            <a:miter lim="800000"/>
            <a:headEnd/>
            <a:tailEnd/>
          </a:ln>
        </xdr:spPr>
      </xdr:pic>
      <xdr:grpSp>
        <xdr:nvGrpSpPr>
          <xdr:cNvPr id="21508" name="Group 1027">
            <a:hlinkClick xmlns:r="http://schemas.openxmlformats.org/officeDocument/2006/relationships" r:id="rId7" tooltip="Mail to Gyworks"/>
          </xdr:cNvPr>
          <xdr:cNvGrpSpPr>
            <a:grpSpLocks/>
          </xdr:cNvGrpSpPr>
        </xdr:nvGrpSpPr>
        <xdr:grpSpPr bwMode="auto">
          <a:xfrm>
            <a:off x="449" y="11"/>
            <a:ext cx="49" cy="34"/>
            <a:chOff x="356" y="11"/>
            <a:chExt cx="49" cy="34"/>
          </a:xfrm>
        </xdr:grpSpPr>
        <xdr:grpSp>
          <xdr:nvGrpSpPr>
            <xdr:cNvPr id="21526" name="Group 1028"/>
            <xdr:cNvGrpSpPr>
              <a:grpSpLocks/>
            </xdr:cNvGrpSpPr>
          </xdr:nvGrpSpPr>
          <xdr:grpSpPr bwMode="auto">
            <a:xfrm>
              <a:off x="361" y="11"/>
              <a:ext cx="44" cy="18"/>
              <a:chOff x="148" y="352"/>
              <a:chExt cx="44" cy="18"/>
            </a:xfrm>
          </xdr:grpSpPr>
          <xdr:grpSp>
            <xdr:nvGrpSpPr>
              <xdr:cNvPr id="21528" name="Group 1029"/>
              <xdr:cNvGrpSpPr>
                <a:grpSpLocks noChangeAspect="1"/>
              </xdr:cNvGrpSpPr>
            </xdr:nvGrpSpPr>
            <xdr:grpSpPr bwMode="auto">
              <a:xfrm>
                <a:off x="148" y="352"/>
                <a:ext cx="14" cy="16"/>
                <a:chOff x="846" y="38"/>
                <a:chExt cx="28" cy="32"/>
              </a:xfrm>
            </xdr:grpSpPr>
            <xdr:sp macro="" textlink="">
              <xdr:nvSpPr>
                <xdr:cNvPr id="21531" name="Line 1030"/>
                <xdr:cNvSpPr>
                  <a:spLocks noChangeAspect="1" noChangeShapeType="1"/>
                </xdr:cNvSpPr>
              </xdr:nvSpPr>
              <xdr:spPr bwMode="auto">
                <a:xfrm flipH="1">
                  <a:off x="850" y="49"/>
                  <a:ext cx="17" cy="21"/>
                </a:xfrm>
                <a:prstGeom prst="line">
                  <a:avLst/>
                </a:prstGeom>
                <a:noFill/>
                <a:ln w="19050">
                  <a:solidFill>
                    <a:srgbClr val="EEEEEE"/>
                  </a:solidFill>
                  <a:round/>
                  <a:headEnd/>
                  <a:tailEnd/>
                </a:ln>
              </xdr:spPr>
            </xdr:sp>
            <xdr:sp macro="" textlink="">
              <xdr:nvSpPr>
                <xdr:cNvPr id="21532" name="Arc 1031"/>
                <xdr:cNvSpPr>
                  <a:spLocks noChangeAspect="1"/>
                </xdr:cNvSpPr>
              </xdr:nvSpPr>
              <xdr:spPr bwMode="auto">
                <a:xfrm rot="16200000" flipH="1">
                  <a:off x="848" y="36"/>
                  <a:ext cx="23" cy="27"/>
                </a:xfrm>
                <a:custGeom>
                  <a:avLst/>
                  <a:gdLst>
                    <a:gd name="T0" fmla="*/ 6 w 43200"/>
                    <a:gd name="T1" fmla="*/ 27 h 40066"/>
                    <a:gd name="T2" fmla="*/ 22 w 43200"/>
                    <a:gd name="T3" fmla="*/ 22 h 40066"/>
                    <a:gd name="T4" fmla="*/ 12 w 43200"/>
                    <a:gd name="T5" fmla="*/ 15 h 40066"/>
                    <a:gd name="T6" fmla="*/ 0 60000 65536"/>
                    <a:gd name="T7" fmla="*/ 0 60000 65536"/>
                    <a:gd name="T8" fmla="*/ 0 60000 65536"/>
                    <a:gd name="T9" fmla="*/ 0 w 43200"/>
                    <a:gd name="T10" fmla="*/ 0 h 40066"/>
                    <a:gd name="T11" fmla="*/ 43200 w 43200"/>
                    <a:gd name="T12" fmla="*/ 40066 h 40066"/>
                  </a:gdLst>
                  <a:ahLst/>
                  <a:cxnLst>
                    <a:cxn ang="T6">
                      <a:pos x="T0" y="T1"/>
                    </a:cxn>
                    <a:cxn ang="T7">
                      <a:pos x="T2" y="T3"/>
                    </a:cxn>
                    <a:cxn ang="T8">
                      <a:pos x="T4" y="T5"/>
                    </a:cxn>
                  </a:cxnLst>
                  <a:rect l="T9" t="T10" r="T11" b="T12"/>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close/>
                    </a:path>
                  </a:pathLst>
                </a:custGeom>
                <a:noFill/>
                <a:ln w="19050">
                  <a:solidFill>
                    <a:srgbClr val="EEEEEE"/>
                  </a:solidFill>
                  <a:round/>
                  <a:headEnd/>
                  <a:tailEnd/>
                </a:ln>
              </xdr:spPr>
            </xdr:sp>
            <xdr:sp macro="" textlink="">
              <xdr:nvSpPr>
                <xdr:cNvPr id="21533" name="Line 1032"/>
                <xdr:cNvSpPr>
                  <a:spLocks noChangeAspect="1" noChangeShapeType="1"/>
                </xdr:cNvSpPr>
              </xdr:nvSpPr>
              <xdr:spPr bwMode="auto">
                <a:xfrm flipH="1">
                  <a:off x="858" y="49"/>
                  <a:ext cx="16" cy="21"/>
                </a:xfrm>
                <a:prstGeom prst="line">
                  <a:avLst/>
                </a:prstGeom>
                <a:noFill/>
                <a:ln w="19050">
                  <a:solidFill>
                    <a:srgbClr val="EEEEEE"/>
                  </a:solidFill>
                  <a:round/>
                  <a:headEnd/>
                  <a:tailEnd/>
                </a:ln>
              </xdr:spPr>
            </xdr:sp>
          </xdr:grpSp>
          <xdr:sp macro="" textlink="">
            <xdr:nvSpPr>
              <xdr:cNvPr id="27657" name="Text Box 1033"/>
              <xdr:cNvSpPr txBox="1">
                <a:spLocks noChangeAspect="1" noChangeArrowheads="1"/>
              </xdr:cNvSpPr>
            </xdr:nvSpPr>
            <xdr:spPr bwMode="auto">
              <a:xfrm>
                <a:off x="158" y="359"/>
                <a:ext cx="27" cy="11"/>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27658" name="Text Box 1034"/>
              <xdr:cNvSpPr txBox="1">
                <a:spLocks noChangeAspect="1" noChangeArrowheads="1"/>
              </xdr:cNvSpPr>
            </xdr:nvSpPr>
            <xdr:spPr bwMode="auto">
              <a:xfrm>
                <a:off x="178" y="355"/>
                <a:ext cx="14" cy="9"/>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27659" name="Text Box 1035"/>
            <xdr:cNvSpPr txBox="1">
              <a:spLocks noChangeArrowheads="1"/>
            </xdr:cNvSpPr>
          </xdr:nvSpPr>
          <xdr:spPr bwMode="auto">
            <a:xfrm>
              <a:off x="356" y="28"/>
              <a:ext cx="44" cy="17"/>
            </a:xfrm>
            <a:prstGeom prst="rect">
              <a:avLst/>
            </a:prstGeom>
            <a:noFill/>
            <a:ln w="9525">
              <a:noFill/>
              <a:miter lim="800000"/>
              <a:headEnd/>
              <a:tailEnd/>
            </a:ln>
            <a:effectLst/>
          </xdr:spPr>
          <xdr:txBody>
            <a:bodyPr vertOverflow="clip" wrap="square" lIns="27432" tIns="27432" rIns="27432" bIns="27432" anchor="ctr" upright="1"/>
            <a:lstStyle/>
            <a:p>
              <a:pPr algn="ctr" rtl="0">
                <a:defRPr sz="1000"/>
              </a:pPr>
              <a:r>
                <a:rPr lang="hu-HU" sz="800" b="0" i="0" u="none" strike="noStrike" baseline="0">
                  <a:solidFill>
                    <a:srgbClr val="EEEEEE"/>
                  </a:solidFill>
                  <a:latin typeface="Arial Narrow"/>
                </a:rPr>
                <a:t>©  2015</a:t>
              </a:r>
            </a:p>
          </xdr:txBody>
        </xdr:sp>
      </xdr:grpSp>
      <xdr:grpSp>
        <xdr:nvGrpSpPr>
          <xdr:cNvPr id="21509" name="Group 1036">
            <a:hlinkClick xmlns:r="http://schemas.openxmlformats.org/officeDocument/2006/relationships" r:id="rId8" tooltip="HASEFOCI"/>
          </xdr:cNvPr>
          <xdr:cNvGrpSpPr>
            <a:grpSpLocks/>
          </xdr:cNvGrpSpPr>
        </xdr:nvGrpSpPr>
        <xdr:grpSpPr bwMode="auto">
          <a:xfrm>
            <a:off x="3" y="0"/>
            <a:ext cx="224" cy="50"/>
            <a:chOff x="3" y="0"/>
            <a:chExt cx="224" cy="50"/>
          </a:xfrm>
        </xdr:grpSpPr>
        <xdr:pic>
          <xdr:nvPicPr>
            <xdr:cNvPr id="21524" name="Picture 1037"/>
            <xdr:cNvPicPr>
              <a:picLocks noChangeAspect="1" noChangeArrowheads="1"/>
            </xdr:cNvPicPr>
          </xdr:nvPicPr>
          <xdr:blipFill>
            <a:blip xmlns:r="http://schemas.openxmlformats.org/officeDocument/2006/relationships" r:embed="rId9" cstate="print"/>
            <a:srcRect/>
            <a:stretch>
              <a:fillRect/>
            </a:stretch>
          </xdr:blipFill>
          <xdr:spPr bwMode="auto">
            <a:xfrm>
              <a:off x="3" y="0"/>
              <a:ext cx="48" cy="50"/>
            </a:xfrm>
            <a:prstGeom prst="rect">
              <a:avLst/>
            </a:prstGeom>
            <a:noFill/>
            <a:ln w="9525">
              <a:noFill/>
              <a:miter lim="800000"/>
              <a:headEnd/>
              <a:tailEnd/>
            </a:ln>
          </xdr:spPr>
        </xdr:pic>
        <xdr:pic>
          <xdr:nvPicPr>
            <xdr:cNvPr id="21525" name="Picture 1038"/>
            <xdr:cNvPicPr>
              <a:picLocks noChangeAspect="1" noChangeArrowheads="1"/>
            </xdr:cNvPicPr>
          </xdr:nvPicPr>
          <xdr:blipFill>
            <a:blip xmlns:r="http://schemas.openxmlformats.org/officeDocument/2006/relationships" r:embed="rId10" cstate="print"/>
            <a:srcRect/>
            <a:stretch>
              <a:fillRect/>
            </a:stretch>
          </xdr:blipFill>
          <xdr:spPr bwMode="auto">
            <a:xfrm>
              <a:off x="55" y="3"/>
              <a:ext cx="172" cy="45"/>
            </a:xfrm>
            <a:prstGeom prst="rect">
              <a:avLst/>
            </a:prstGeom>
            <a:noFill/>
            <a:ln w="9525">
              <a:noFill/>
              <a:miter lim="800000"/>
              <a:headEnd/>
              <a:tailEnd/>
            </a:ln>
          </xdr:spPr>
        </xdr:pic>
      </xdr:grpSp>
      <xdr:grpSp>
        <xdr:nvGrpSpPr>
          <xdr:cNvPr id="21510" name="Group 1039"/>
          <xdr:cNvGrpSpPr>
            <a:grpSpLocks/>
          </xdr:cNvGrpSpPr>
        </xdr:nvGrpSpPr>
        <xdr:grpSpPr bwMode="auto">
          <a:xfrm>
            <a:off x="221" y="1"/>
            <a:ext cx="227" cy="50"/>
            <a:chOff x="221" y="1"/>
            <a:chExt cx="227" cy="50"/>
          </a:xfrm>
        </xdr:grpSpPr>
        <xdr:pic>
          <xdr:nvPicPr>
            <xdr:cNvPr id="21522" name="Picture 1040"/>
            <xdr:cNvPicPr>
              <a:picLocks noChangeAspect="1" noChangeArrowheads="1"/>
            </xdr:cNvPicPr>
          </xdr:nvPicPr>
          <xdr:blipFill>
            <a:blip xmlns:r="http://schemas.openxmlformats.org/officeDocument/2006/relationships" r:embed="rId11" cstate="print">
              <a:lum bright="-6000"/>
            </a:blip>
            <a:srcRect/>
            <a:stretch>
              <a:fillRect/>
            </a:stretch>
          </xdr:blipFill>
          <xdr:spPr bwMode="auto">
            <a:xfrm>
              <a:off x="221" y="1"/>
              <a:ext cx="227" cy="50"/>
            </a:xfrm>
            <a:prstGeom prst="rect">
              <a:avLst/>
            </a:prstGeom>
            <a:noFill/>
            <a:ln w="9525">
              <a:noFill/>
              <a:miter lim="800000"/>
              <a:headEnd/>
              <a:tailEnd/>
            </a:ln>
          </xdr:spPr>
        </xdr:pic>
        <xdr:sp macro="" textlink="">
          <xdr:nvSpPr>
            <xdr:cNvPr id="27665" name="WordArt 1041"/>
            <xdr:cNvSpPr>
              <a:spLocks noChangeArrowheads="1" noChangeShapeType="1" noTextEdit="1"/>
            </xdr:cNvSpPr>
          </xdr:nvSpPr>
          <xdr:spPr bwMode="auto">
            <a:xfrm rot="-603553">
              <a:off x="265" y="17"/>
              <a:ext cx="64" cy="24"/>
            </a:xfrm>
            <a:prstGeom prst="rect">
              <a:avLst/>
            </a:prstGeom>
          </xdr:spPr>
          <xdr:txBody>
            <a:bodyPr wrap="none" fromWordArt="1">
              <a:prstTxWarp prst="textArchUp">
                <a:avLst>
                  <a:gd name="adj" fmla="val 12201797"/>
                </a:avLst>
              </a:prstTxWarp>
            </a:bodyPr>
            <a:lstStyle/>
            <a:p>
              <a:pPr algn="ctr" rtl="0"/>
              <a:r>
                <a:rPr lang="hu-HU" sz="3600" b="1" kern="10" spc="0">
                  <a:ln w="0">
                    <a:solidFill>
                      <a:srgbClr val="FFFFFF"/>
                    </a:solidFill>
                    <a:round/>
                    <a:headEnd/>
                    <a:tailEnd/>
                  </a:ln>
                  <a:solidFill>
                    <a:srgbClr val="E5322C"/>
                  </a:solidFill>
                  <a:effectLst>
                    <a:outerShdw dist="28398" dir="1593903" algn="ctr" rotWithShape="0">
                      <a:srgbClr val="FFFFFF"/>
                    </a:outerShdw>
                  </a:effectLst>
                  <a:latin typeface="Brush Script MT"/>
                </a:rPr>
                <a:t>2015</a:t>
              </a:r>
            </a:p>
          </xdr:txBody>
        </xdr:sp>
      </xdr:grpSp>
      <xdr:sp macro="" textlink="">
        <xdr:nvSpPr>
          <xdr:cNvPr id="27666" name="AutoShape 1042">
            <a:hlinkClick xmlns:r="http://schemas.openxmlformats.org/officeDocument/2006/relationships" r:id="rId12" tooltip="Használati ismertető"/>
          </xdr:cNvPr>
          <xdr:cNvSpPr>
            <a:spLocks noChangeArrowheads="1"/>
          </xdr:cNvSpPr>
        </xdr:nvSpPr>
        <xdr:spPr bwMode="auto">
          <a:xfrm>
            <a:off x="984" y="5"/>
            <a:ext cx="20" cy="41"/>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rPr>
              <a:t>SÚGÓ</a:t>
            </a:r>
          </a:p>
        </xdr:txBody>
      </xdr:sp>
      <xdr:sp macro="" textlink="">
        <xdr:nvSpPr>
          <xdr:cNvPr id="27667" name="AutoShape 1043">
            <a:hlinkClick xmlns:r="http://schemas.openxmlformats.org/officeDocument/2006/relationships" r:id="rId13" tooltip="Rájásztás eredményei"/>
          </xdr:cNvPr>
          <xdr:cNvSpPr>
            <a:spLocks noChangeArrowheads="1"/>
          </xdr:cNvSpPr>
        </xdr:nvSpPr>
        <xdr:spPr bwMode="auto">
          <a:xfrm>
            <a:off x="498" y="27"/>
            <a:ext cx="91" cy="19"/>
          </a:xfrm>
          <a:prstGeom prst="bevel">
            <a:avLst>
              <a:gd name="adj" fmla="val 9093"/>
            </a:avLst>
          </a:prstGeom>
          <a:gradFill rotWithShape="1">
            <a:gsLst>
              <a:gs pos="0">
                <a:srgbClr val="FF6600"/>
              </a:gs>
              <a:gs pos="100000">
                <a:srgbClr val="C72323"/>
              </a:gs>
            </a:gsLst>
            <a:lin ang="5400000" scaled="1"/>
          </a:gradFill>
          <a:ln w="9525">
            <a:noFill/>
            <a:miter lim="800000"/>
            <a:headEnd/>
            <a:tailEnd/>
          </a:ln>
          <a:effectLst/>
        </xdr:spPr>
        <xdr:txBody>
          <a:bodyPr vertOverflow="clip" wrap="square" lIns="0" tIns="0" rIns="0" bIns="0" anchor="ctr" upright="1"/>
          <a:lstStyle/>
          <a:p>
            <a:pPr algn="ctr" rtl="0">
              <a:defRPr sz="1000"/>
            </a:pPr>
            <a:r>
              <a:rPr lang="hu-HU" sz="900" b="1" i="0" u="none" strike="noStrike" baseline="0">
                <a:solidFill>
                  <a:srgbClr val="FFFFFF"/>
                </a:solidFill>
                <a:latin typeface="Calibri"/>
              </a:rPr>
              <a:t>RÁJÁTSZÁS</a:t>
            </a:r>
          </a:p>
        </xdr:txBody>
      </xdr:sp>
      <xdr:sp macro="" textlink="">
        <xdr:nvSpPr>
          <xdr:cNvPr id="27668" name="AutoShape 1044">
            <a:hlinkClick xmlns:r="http://schemas.openxmlformats.org/officeDocument/2006/relationships" r:id="rId14" tooltip="Alapszakasz eredményei"/>
          </xdr:cNvPr>
          <xdr:cNvSpPr>
            <a:spLocks noChangeArrowheads="1"/>
          </xdr:cNvSpPr>
        </xdr:nvSpPr>
        <xdr:spPr bwMode="auto">
          <a:xfrm>
            <a:off x="498"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ALAPSZAKASZ</a:t>
            </a:r>
          </a:p>
        </xdr:txBody>
      </xdr:sp>
      <xdr:sp macro="" textlink="">
        <xdr:nvSpPr>
          <xdr:cNvPr id="27669" name="AutoShape 1045">
            <a:hlinkClick xmlns:r="http://schemas.openxmlformats.org/officeDocument/2006/relationships" r:id="rId15" tooltip="Góllövőlista megtekintése"/>
          </xdr:cNvPr>
          <xdr:cNvSpPr>
            <a:spLocks noChangeArrowheads="1"/>
          </xdr:cNvSpPr>
        </xdr:nvSpPr>
        <xdr:spPr bwMode="auto">
          <a:xfrm>
            <a:off x="790"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27670" name="AutoShape 1046">
            <a:hlinkClick xmlns:r="http://schemas.openxmlformats.org/officeDocument/2006/relationships" r:id="rId16" tooltip="Alapszakasz tabella megtekintése"/>
          </xdr:cNvPr>
          <xdr:cNvSpPr>
            <a:spLocks noChangeArrowheads="1"/>
          </xdr:cNvSpPr>
        </xdr:nvSpPr>
        <xdr:spPr bwMode="auto">
          <a:xfrm>
            <a:off x="592"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a.</a:t>
            </a:r>
          </a:p>
        </xdr:txBody>
      </xdr:sp>
      <xdr:sp macro="" textlink="">
        <xdr:nvSpPr>
          <xdr:cNvPr id="27671" name="AutoShape 1047">
            <a:hlinkClick xmlns:r="http://schemas.openxmlformats.org/officeDocument/2006/relationships" r:id="rId17" tooltip="Rájásztás tabella megtekintése"/>
          </xdr:cNvPr>
          <xdr:cNvSpPr>
            <a:spLocks noChangeArrowheads="1"/>
          </xdr:cNvSpPr>
        </xdr:nvSpPr>
        <xdr:spPr bwMode="auto">
          <a:xfrm>
            <a:off x="592"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r.</a:t>
            </a:r>
          </a:p>
        </xdr:txBody>
      </xdr:sp>
      <xdr:sp macro="" textlink="">
        <xdr:nvSpPr>
          <xdr:cNvPr id="27672" name="AutoShape 1048">
            <a:hlinkClick xmlns:r="http://schemas.openxmlformats.org/officeDocument/2006/relationships" r:id="rId18" tooltip="Alapszakasz kereszttáblázat megtekintése"/>
          </xdr:cNvPr>
          <xdr:cNvSpPr>
            <a:spLocks noChangeArrowheads="1"/>
          </xdr:cNvSpPr>
        </xdr:nvSpPr>
        <xdr:spPr bwMode="auto">
          <a:xfrm>
            <a:off x="686" y="5"/>
            <a:ext cx="10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 a.</a:t>
            </a:r>
          </a:p>
        </xdr:txBody>
      </xdr:sp>
      <xdr:sp macro="" textlink="">
        <xdr:nvSpPr>
          <xdr:cNvPr id="27673" name="AutoShape 1049">
            <a:hlinkClick xmlns:r="http://schemas.openxmlformats.org/officeDocument/2006/relationships" r:id="rId19" tooltip="Rájátszás kereszttáblázat megtekintése"/>
          </xdr:cNvPr>
          <xdr:cNvSpPr>
            <a:spLocks noChangeArrowheads="1"/>
          </xdr:cNvSpPr>
        </xdr:nvSpPr>
        <xdr:spPr bwMode="auto">
          <a:xfrm>
            <a:off x="686" y="27"/>
            <a:ext cx="10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KERESZTTÁBLA r.</a:t>
            </a:r>
          </a:p>
        </xdr:txBody>
      </xdr:sp>
      <xdr:sp macro="" textlink="">
        <xdr:nvSpPr>
          <xdr:cNvPr id="27674" name="AutoShape 1050">
            <a:hlinkClick xmlns:r="http://schemas.openxmlformats.org/officeDocument/2006/relationships" r:id="rId20" tooltip="Gólszerzők rögzítése"/>
          </xdr:cNvPr>
          <xdr:cNvSpPr>
            <a:spLocks noChangeArrowheads="1"/>
          </xdr:cNvSpPr>
        </xdr:nvSpPr>
        <xdr:spPr bwMode="auto">
          <a:xfrm>
            <a:off x="790"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27675" name="AutoShape 1051">
            <a:hlinkClick xmlns:r="http://schemas.openxmlformats.org/officeDocument/2006/relationships" r:id="rId21" tooltip="A szakosztály és a csapatok elérhetőségei"/>
          </xdr:cNvPr>
          <xdr:cNvSpPr>
            <a:spLocks noChangeArrowheads="1"/>
          </xdr:cNvSpPr>
        </xdr:nvSpPr>
        <xdr:spPr bwMode="auto">
          <a:xfrm>
            <a:off x="887"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27676" name="AutoShape 1052">
            <a:hlinkClick xmlns:r="http://schemas.openxmlformats.org/officeDocument/2006/relationships" r:id="rId22" tooltip="Versenykiírás megtekintése"/>
          </xdr:cNvPr>
          <xdr:cNvSpPr>
            <a:spLocks noChangeArrowheads="1"/>
          </xdr:cNvSpPr>
        </xdr:nvSpPr>
        <xdr:spPr bwMode="auto">
          <a:xfrm>
            <a:off x="887"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14</xdr:col>
      <xdr:colOff>400050</xdr:colOff>
      <xdr:row>57</xdr:row>
      <xdr:rowOff>161925</xdr:rowOff>
    </xdr:from>
    <xdr:to>
      <xdr:col>17</xdr:col>
      <xdr:colOff>133350</xdr:colOff>
      <xdr:row>58</xdr:row>
      <xdr:rowOff>161925</xdr:rowOff>
    </xdr:to>
    <xdr:sp macro="" textlink="">
      <xdr:nvSpPr>
        <xdr:cNvPr id="18485" name="Text Box 53"/>
        <xdr:cNvSpPr txBox="1">
          <a:spLocks noChangeArrowheads="1"/>
        </xdr:cNvSpPr>
      </xdr:nvSpPr>
      <xdr:spPr bwMode="auto">
        <a:xfrm>
          <a:off x="6543675" y="4476750"/>
          <a:ext cx="2590800" cy="209550"/>
        </a:xfrm>
        <a:prstGeom prst="rect">
          <a:avLst/>
        </a:prstGeom>
        <a:noFill/>
        <a:ln w="9525">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Alapszakasz eredményeinek hozzáadása</a:t>
          </a:r>
        </a:p>
      </xdr:txBody>
    </xdr:sp>
    <xdr:clientData/>
  </xdr:twoCellAnchor>
  <xdr:twoCellAnchor editAs="oneCell">
    <xdr:from>
      <xdr:col>14</xdr:col>
      <xdr:colOff>57150</xdr:colOff>
      <xdr:row>48</xdr:row>
      <xdr:rowOff>19050</xdr:rowOff>
    </xdr:from>
    <xdr:to>
      <xdr:col>17</xdr:col>
      <xdr:colOff>190500</xdr:colOff>
      <xdr:row>51</xdr:row>
      <xdr:rowOff>76200</xdr:rowOff>
    </xdr:to>
    <xdr:grpSp>
      <xdr:nvGrpSpPr>
        <xdr:cNvPr id="18649" name="Group 369"/>
        <xdr:cNvGrpSpPr>
          <a:grpSpLocks/>
        </xdr:cNvGrpSpPr>
      </xdr:nvGrpSpPr>
      <xdr:grpSpPr bwMode="auto">
        <a:xfrm>
          <a:off x="6200775" y="2447925"/>
          <a:ext cx="2990850" cy="685800"/>
          <a:chOff x="710" y="257"/>
          <a:chExt cx="314" cy="72"/>
        </a:xfrm>
      </xdr:grpSpPr>
      <xdr:sp macro="" textlink="">
        <xdr:nvSpPr>
          <xdr:cNvPr id="18639" name="Text Box 207"/>
          <xdr:cNvSpPr txBox="1">
            <a:spLocks noChangeArrowheads="1"/>
          </xdr:cNvSpPr>
        </xdr:nvSpPr>
        <xdr:spPr bwMode="auto">
          <a:xfrm>
            <a:off x="747" y="303"/>
            <a:ext cx="242" cy="24"/>
          </a:xfrm>
          <a:prstGeom prst="rect">
            <a:avLst/>
          </a:prstGeom>
          <a:noFill/>
          <a:ln w="9525" algn="ctr">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Összes mérkőzés</a:t>
            </a:r>
          </a:p>
        </xdr:txBody>
      </xdr:sp>
      <xdr:sp macro="" textlink="">
        <xdr:nvSpPr>
          <xdr:cNvPr id="18640" name="Text Box 208"/>
          <xdr:cNvSpPr txBox="1">
            <a:spLocks noChangeArrowheads="1"/>
          </xdr:cNvSpPr>
        </xdr:nvSpPr>
        <xdr:spPr bwMode="auto">
          <a:xfrm>
            <a:off x="747" y="282"/>
            <a:ext cx="249" cy="24"/>
          </a:xfrm>
          <a:prstGeom prst="rect">
            <a:avLst/>
          </a:prstGeom>
          <a:noFill/>
          <a:ln w="9525" algn="ctr">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Csak idegenbeli mérkőzések</a:t>
            </a:r>
          </a:p>
        </xdr:txBody>
      </xdr:sp>
      <xdr:sp macro="" textlink="">
        <xdr:nvSpPr>
          <xdr:cNvPr id="18641" name="Text Box 209"/>
          <xdr:cNvSpPr txBox="1">
            <a:spLocks noChangeArrowheads="1"/>
          </xdr:cNvSpPr>
        </xdr:nvSpPr>
        <xdr:spPr bwMode="auto">
          <a:xfrm>
            <a:off x="747" y="261"/>
            <a:ext cx="240" cy="22"/>
          </a:xfrm>
          <a:prstGeom prst="rect">
            <a:avLst/>
          </a:prstGeom>
          <a:noFill/>
          <a:ln w="9525">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Csak hazai mérkőzések</a:t>
            </a:r>
          </a:p>
        </xdr:txBody>
      </xdr:sp>
    </xdr:grpSp>
    <xdr:clientData/>
  </xdr:twoCellAnchor>
  <xdr:twoCellAnchor editAs="oneCell">
    <xdr:from>
      <xdr:col>14</xdr:col>
      <xdr:colOff>57150</xdr:colOff>
      <xdr:row>54</xdr:row>
      <xdr:rowOff>28575</xdr:rowOff>
    </xdr:from>
    <xdr:to>
      <xdr:col>17</xdr:col>
      <xdr:colOff>190500</xdr:colOff>
      <xdr:row>57</xdr:row>
      <xdr:rowOff>85725</xdr:rowOff>
    </xdr:to>
    <xdr:grpSp>
      <xdr:nvGrpSpPr>
        <xdr:cNvPr id="18650" name="Group 370"/>
        <xdr:cNvGrpSpPr>
          <a:grpSpLocks/>
        </xdr:cNvGrpSpPr>
      </xdr:nvGrpSpPr>
      <xdr:grpSpPr bwMode="auto">
        <a:xfrm>
          <a:off x="6200775" y="3714750"/>
          <a:ext cx="2990850" cy="685800"/>
          <a:chOff x="710" y="390"/>
          <a:chExt cx="314" cy="72"/>
        </a:xfrm>
      </xdr:grpSpPr>
      <xdr:sp macro="" textlink="">
        <xdr:nvSpPr>
          <xdr:cNvPr id="18648" name="Text Box 216"/>
          <xdr:cNvSpPr txBox="1">
            <a:spLocks noChangeArrowheads="1"/>
          </xdr:cNvSpPr>
        </xdr:nvSpPr>
        <xdr:spPr bwMode="auto">
          <a:xfrm>
            <a:off x="747" y="437"/>
            <a:ext cx="242" cy="22"/>
          </a:xfrm>
          <a:prstGeom prst="rect">
            <a:avLst/>
          </a:prstGeom>
          <a:noFill/>
          <a:ln w="9525" algn="ctr">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Hagyományos eredmények</a:t>
            </a:r>
          </a:p>
        </xdr:txBody>
      </xdr:sp>
      <xdr:sp macro="" textlink="">
        <xdr:nvSpPr>
          <xdr:cNvPr id="2" name="Text Box 217"/>
          <xdr:cNvSpPr txBox="1">
            <a:spLocks noChangeArrowheads="1"/>
          </xdr:cNvSpPr>
        </xdr:nvSpPr>
        <xdr:spPr bwMode="auto">
          <a:xfrm>
            <a:off x="747" y="416"/>
            <a:ext cx="249" cy="22"/>
          </a:xfrm>
          <a:prstGeom prst="rect">
            <a:avLst/>
          </a:prstGeom>
          <a:noFill/>
          <a:ln w="9525" algn="ctr">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Védekezés</a:t>
            </a:r>
          </a:p>
        </xdr:txBody>
      </xdr:sp>
      <xdr:sp macro="" textlink="">
        <xdr:nvSpPr>
          <xdr:cNvPr id="3" name="Text Box 218"/>
          <xdr:cNvSpPr txBox="1">
            <a:spLocks noChangeArrowheads="1"/>
          </xdr:cNvSpPr>
        </xdr:nvSpPr>
        <xdr:spPr bwMode="auto">
          <a:xfrm>
            <a:off x="747" y="395"/>
            <a:ext cx="240" cy="22"/>
          </a:xfrm>
          <a:prstGeom prst="rect">
            <a:avLst/>
          </a:prstGeom>
          <a:noFill/>
          <a:ln w="9525">
            <a:noFill/>
            <a:miter lim="800000"/>
            <a:headEnd/>
            <a:tailEnd/>
          </a:ln>
          <a:effectLst/>
        </xdr:spPr>
        <xdr:txBody>
          <a:bodyPr vertOverflow="clip" wrap="square" lIns="27432" tIns="27432" rIns="0" bIns="27432" anchor="ctr" upright="1"/>
          <a:lstStyle/>
          <a:p>
            <a:pPr algn="l" rtl="0">
              <a:defRPr sz="1000"/>
            </a:pPr>
            <a:r>
              <a:rPr lang="hu-HU" sz="1100" b="0" i="0" u="none" strike="noStrike" baseline="0">
                <a:solidFill>
                  <a:srgbClr val="000000"/>
                </a:solidFill>
                <a:latin typeface="Calibri"/>
              </a:rPr>
              <a:t>Támadás</a:t>
            </a:r>
          </a:p>
        </xdr:txBody>
      </xdr:sp>
    </xdr:grpSp>
    <xdr:clientData/>
  </xdr:twoCellAnchor>
  <xdr:twoCellAnchor editAs="oneCell">
    <xdr:from>
      <xdr:col>0</xdr:col>
      <xdr:colOff>0</xdr:colOff>
      <xdr:row>0</xdr:row>
      <xdr:rowOff>0</xdr:rowOff>
    </xdr:from>
    <xdr:to>
      <xdr:col>18</xdr:col>
      <xdr:colOff>295275</xdr:colOff>
      <xdr:row>38</xdr:row>
      <xdr:rowOff>0</xdr:rowOff>
    </xdr:to>
    <xdr:grpSp>
      <xdr:nvGrpSpPr>
        <xdr:cNvPr id="18651" name="Group 481"/>
        <xdr:cNvGrpSpPr>
          <a:grpSpLocks/>
        </xdr:cNvGrpSpPr>
      </xdr:nvGrpSpPr>
      <xdr:grpSpPr bwMode="auto">
        <a:xfrm>
          <a:off x="0" y="0"/>
          <a:ext cx="9582150" cy="485775"/>
          <a:chOff x="0" y="0"/>
          <a:chExt cx="1006" cy="51"/>
        </a:xfrm>
      </xdr:grpSpPr>
      <xdr:pic>
        <xdr:nvPicPr>
          <xdr:cNvPr id="18652" name="Picture 482"/>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006" cy="51"/>
          </a:xfrm>
          <a:prstGeom prst="rect">
            <a:avLst/>
          </a:prstGeom>
          <a:noFill/>
          <a:ln w="9525">
            <a:noFill/>
            <a:miter lim="800000"/>
            <a:headEnd/>
            <a:tailEnd/>
          </a:ln>
        </xdr:spPr>
      </xdr:pic>
      <xdr:grpSp>
        <xdr:nvGrpSpPr>
          <xdr:cNvPr id="18653" name="Group 483">
            <a:hlinkClick xmlns:r="http://schemas.openxmlformats.org/officeDocument/2006/relationships" r:id="rId2" tooltip="Mail to Gyworks"/>
          </xdr:cNvPr>
          <xdr:cNvGrpSpPr>
            <a:grpSpLocks/>
          </xdr:cNvGrpSpPr>
        </xdr:nvGrpSpPr>
        <xdr:grpSpPr bwMode="auto">
          <a:xfrm>
            <a:off x="449" y="11"/>
            <a:ext cx="49" cy="34"/>
            <a:chOff x="356" y="11"/>
            <a:chExt cx="49" cy="34"/>
          </a:xfrm>
        </xdr:grpSpPr>
        <xdr:grpSp>
          <xdr:nvGrpSpPr>
            <xdr:cNvPr id="18671" name="Group 484"/>
            <xdr:cNvGrpSpPr>
              <a:grpSpLocks/>
            </xdr:cNvGrpSpPr>
          </xdr:nvGrpSpPr>
          <xdr:grpSpPr bwMode="auto">
            <a:xfrm>
              <a:off x="361" y="11"/>
              <a:ext cx="44" cy="18"/>
              <a:chOff x="148" y="352"/>
              <a:chExt cx="44" cy="18"/>
            </a:xfrm>
          </xdr:grpSpPr>
          <xdr:grpSp>
            <xdr:nvGrpSpPr>
              <xdr:cNvPr id="18673" name="Group 485"/>
              <xdr:cNvGrpSpPr>
                <a:grpSpLocks noChangeAspect="1"/>
              </xdr:cNvGrpSpPr>
            </xdr:nvGrpSpPr>
            <xdr:grpSpPr bwMode="auto">
              <a:xfrm>
                <a:off x="148" y="352"/>
                <a:ext cx="14" cy="16"/>
                <a:chOff x="846" y="38"/>
                <a:chExt cx="28" cy="32"/>
              </a:xfrm>
            </xdr:grpSpPr>
            <xdr:sp macro="" textlink="">
              <xdr:nvSpPr>
                <xdr:cNvPr id="18676" name="Line 486"/>
                <xdr:cNvSpPr>
                  <a:spLocks noChangeAspect="1" noChangeShapeType="1"/>
                </xdr:cNvSpPr>
              </xdr:nvSpPr>
              <xdr:spPr bwMode="auto">
                <a:xfrm flipH="1">
                  <a:off x="850" y="49"/>
                  <a:ext cx="17" cy="21"/>
                </a:xfrm>
                <a:prstGeom prst="line">
                  <a:avLst/>
                </a:prstGeom>
                <a:noFill/>
                <a:ln w="19050">
                  <a:solidFill>
                    <a:srgbClr val="EEEEEE"/>
                  </a:solidFill>
                  <a:round/>
                  <a:headEnd/>
                  <a:tailEnd/>
                </a:ln>
              </xdr:spPr>
            </xdr:sp>
            <xdr:sp macro="" textlink="">
              <xdr:nvSpPr>
                <xdr:cNvPr id="18677" name="Arc 487"/>
                <xdr:cNvSpPr>
                  <a:spLocks noChangeAspect="1"/>
                </xdr:cNvSpPr>
              </xdr:nvSpPr>
              <xdr:spPr bwMode="auto">
                <a:xfrm rot="16200000" flipH="1">
                  <a:off x="848" y="36"/>
                  <a:ext cx="23" cy="27"/>
                </a:xfrm>
                <a:custGeom>
                  <a:avLst/>
                  <a:gdLst>
                    <a:gd name="T0" fmla="*/ 6 w 43200"/>
                    <a:gd name="T1" fmla="*/ 27 h 40066"/>
                    <a:gd name="T2" fmla="*/ 22 w 43200"/>
                    <a:gd name="T3" fmla="*/ 22 h 40066"/>
                    <a:gd name="T4" fmla="*/ 12 w 43200"/>
                    <a:gd name="T5" fmla="*/ 15 h 40066"/>
                    <a:gd name="T6" fmla="*/ 0 60000 65536"/>
                    <a:gd name="T7" fmla="*/ 0 60000 65536"/>
                    <a:gd name="T8" fmla="*/ 0 60000 65536"/>
                    <a:gd name="T9" fmla="*/ 0 w 43200"/>
                    <a:gd name="T10" fmla="*/ 0 h 40066"/>
                    <a:gd name="T11" fmla="*/ 43200 w 43200"/>
                    <a:gd name="T12" fmla="*/ 40066 h 40066"/>
                  </a:gdLst>
                  <a:ahLst/>
                  <a:cxnLst>
                    <a:cxn ang="T6">
                      <a:pos x="T0" y="T1"/>
                    </a:cxn>
                    <a:cxn ang="T7">
                      <a:pos x="T2" y="T3"/>
                    </a:cxn>
                    <a:cxn ang="T8">
                      <a:pos x="T4" y="T5"/>
                    </a:cxn>
                  </a:cxnLst>
                  <a:rect l="T9" t="T10" r="T11" b="T12"/>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close/>
                    </a:path>
                  </a:pathLst>
                </a:custGeom>
                <a:noFill/>
                <a:ln w="19050">
                  <a:solidFill>
                    <a:srgbClr val="EEEEEE"/>
                  </a:solidFill>
                  <a:round/>
                  <a:headEnd/>
                  <a:tailEnd/>
                </a:ln>
              </xdr:spPr>
            </xdr:sp>
            <xdr:sp macro="" textlink="">
              <xdr:nvSpPr>
                <xdr:cNvPr id="18678" name="Line 488"/>
                <xdr:cNvSpPr>
                  <a:spLocks noChangeAspect="1" noChangeShapeType="1"/>
                </xdr:cNvSpPr>
              </xdr:nvSpPr>
              <xdr:spPr bwMode="auto">
                <a:xfrm flipH="1">
                  <a:off x="858" y="49"/>
                  <a:ext cx="16" cy="21"/>
                </a:xfrm>
                <a:prstGeom prst="line">
                  <a:avLst/>
                </a:prstGeom>
                <a:noFill/>
                <a:ln w="19050">
                  <a:solidFill>
                    <a:srgbClr val="EEEEEE"/>
                  </a:solidFill>
                  <a:round/>
                  <a:headEnd/>
                  <a:tailEnd/>
                </a:ln>
              </xdr:spPr>
            </xdr:sp>
          </xdr:grpSp>
          <xdr:sp macro="" textlink="">
            <xdr:nvSpPr>
              <xdr:cNvPr id="18921" name="Text Box 489"/>
              <xdr:cNvSpPr txBox="1">
                <a:spLocks noChangeAspect="1" noChangeArrowheads="1"/>
              </xdr:cNvSpPr>
            </xdr:nvSpPr>
            <xdr:spPr bwMode="auto">
              <a:xfrm>
                <a:off x="158" y="359"/>
                <a:ext cx="27" cy="11"/>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8922" name="Text Box 490"/>
              <xdr:cNvSpPr txBox="1">
                <a:spLocks noChangeAspect="1" noChangeArrowheads="1"/>
              </xdr:cNvSpPr>
            </xdr:nvSpPr>
            <xdr:spPr bwMode="auto">
              <a:xfrm>
                <a:off x="178" y="355"/>
                <a:ext cx="14" cy="9"/>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8923" name="Text Box 491"/>
            <xdr:cNvSpPr txBox="1">
              <a:spLocks noChangeArrowheads="1"/>
            </xdr:cNvSpPr>
          </xdr:nvSpPr>
          <xdr:spPr bwMode="auto">
            <a:xfrm>
              <a:off x="356" y="28"/>
              <a:ext cx="44" cy="17"/>
            </a:xfrm>
            <a:prstGeom prst="rect">
              <a:avLst/>
            </a:prstGeom>
            <a:noFill/>
            <a:ln w="9525">
              <a:noFill/>
              <a:miter lim="800000"/>
              <a:headEnd/>
              <a:tailEnd/>
            </a:ln>
            <a:effectLst/>
          </xdr:spPr>
          <xdr:txBody>
            <a:bodyPr vertOverflow="clip" wrap="square" lIns="27432" tIns="27432" rIns="27432" bIns="27432" anchor="ctr" upright="1"/>
            <a:lstStyle/>
            <a:p>
              <a:pPr algn="ctr" rtl="0">
                <a:defRPr sz="1000"/>
              </a:pPr>
              <a:r>
                <a:rPr lang="hu-HU" sz="800" b="0" i="0" u="none" strike="noStrike" baseline="0">
                  <a:solidFill>
                    <a:srgbClr val="EEEEEE"/>
                  </a:solidFill>
                  <a:latin typeface="Arial Narrow"/>
                </a:rPr>
                <a:t>©  2015</a:t>
              </a:r>
            </a:p>
          </xdr:txBody>
        </xdr:sp>
      </xdr:grpSp>
      <xdr:grpSp>
        <xdr:nvGrpSpPr>
          <xdr:cNvPr id="18654" name="Group 492">
            <a:hlinkClick xmlns:r="http://schemas.openxmlformats.org/officeDocument/2006/relationships" r:id="rId3" tooltip="HASEFOCI"/>
          </xdr:cNvPr>
          <xdr:cNvGrpSpPr>
            <a:grpSpLocks/>
          </xdr:cNvGrpSpPr>
        </xdr:nvGrpSpPr>
        <xdr:grpSpPr bwMode="auto">
          <a:xfrm>
            <a:off x="3" y="0"/>
            <a:ext cx="224" cy="50"/>
            <a:chOff x="3" y="0"/>
            <a:chExt cx="224" cy="50"/>
          </a:xfrm>
        </xdr:grpSpPr>
        <xdr:pic>
          <xdr:nvPicPr>
            <xdr:cNvPr id="18669" name="Picture 493"/>
            <xdr:cNvPicPr>
              <a:picLocks noChangeAspect="1" noChangeArrowheads="1"/>
            </xdr:cNvPicPr>
          </xdr:nvPicPr>
          <xdr:blipFill>
            <a:blip xmlns:r="http://schemas.openxmlformats.org/officeDocument/2006/relationships" r:embed="rId4" cstate="print"/>
            <a:srcRect/>
            <a:stretch>
              <a:fillRect/>
            </a:stretch>
          </xdr:blipFill>
          <xdr:spPr bwMode="auto">
            <a:xfrm>
              <a:off x="3" y="0"/>
              <a:ext cx="48" cy="50"/>
            </a:xfrm>
            <a:prstGeom prst="rect">
              <a:avLst/>
            </a:prstGeom>
            <a:noFill/>
            <a:ln w="9525">
              <a:noFill/>
              <a:miter lim="800000"/>
              <a:headEnd/>
              <a:tailEnd/>
            </a:ln>
          </xdr:spPr>
        </xdr:pic>
        <xdr:pic>
          <xdr:nvPicPr>
            <xdr:cNvPr id="18670" name="Picture 494"/>
            <xdr:cNvPicPr>
              <a:picLocks noChangeAspect="1" noChangeArrowheads="1"/>
            </xdr:cNvPicPr>
          </xdr:nvPicPr>
          <xdr:blipFill>
            <a:blip xmlns:r="http://schemas.openxmlformats.org/officeDocument/2006/relationships" r:embed="rId5" cstate="print"/>
            <a:srcRect/>
            <a:stretch>
              <a:fillRect/>
            </a:stretch>
          </xdr:blipFill>
          <xdr:spPr bwMode="auto">
            <a:xfrm>
              <a:off x="55" y="3"/>
              <a:ext cx="172" cy="45"/>
            </a:xfrm>
            <a:prstGeom prst="rect">
              <a:avLst/>
            </a:prstGeom>
            <a:noFill/>
            <a:ln w="9525">
              <a:noFill/>
              <a:miter lim="800000"/>
              <a:headEnd/>
              <a:tailEnd/>
            </a:ln>
          </xdr:spPr>
        </xdr:pic>
      </xdr:grpSp>
      <xdr:grpSp>
        <xdr:nvGrpSpPr>
          <xdr:cNvPr id="18655" name="Group 495"/>
          <xdr:cNvGrpSpPr>
            <a:grpSpLocks/>
          </xdr:cNvGrpSpPr>
        </xdr:nvGrpSpPr>
        <xdr:grpSpPr bwMode="auto">
          <a:xfrm>
            <a:off x="221" y="1"/>
            <a:ext cx="227" cy="50"/>
            <a:chOff x="221" y="1"/>
            <a:chExt cx="227" cy="50"/>
          </a:xfrm>
        </xdr:grpSpPr>
        <xdr:pic>
          <xdr:nvPicPr>
            <xdr:cNvPr id="18667" name="Picture 496"/>
            <xdr:cNvPicPr>
              <a:picLocks noChangeAspect="1" noChangeArrowheads="1"/>
            </xdr:cNvPicPr>
          </xdr:nvPicPr>
          <xdr:blipFill>
            <a:blip xmlns:r="http://schemas.openxmlformats.org/officeDocument/2006/relationships" r:embed="rId6" cstate="print">
              <a:lum bright="-6000"/>
            </a:blip>
            <a:srcRect/>
            <a:stretch>
              <a:fillRect/>
            </a:stretch>
          </xdr:blipFill>
          <xdr:spPr bwMode="auto">
            <a:xfrm>
              <a:off x="221" y="1"/>
              <a:ext cx="227" cy="50"/>
            </a:xfrm>
            <a:prstGeom prst="rect">
              <a:avLst/>
            </a:prstGeom>
            <a:noFill/>
            <a:ln w="9525">
              <a:noFill/>
              <a:miter lim="800000"/>
              <a:headEnd/>
              <a:tailEnd/>
            </a:ln>
          </xdr:spPr>
        </xdr:pic>
        <xdr:sp macro="" textlink="">
          <xdr:nvSpPr>
            <xdr:cNvPr id="18929" name="WordArt 497"/>
            <xdr:cNvSpPr>
              <a:spLocks noChangeArrowheads="1" noChangeShapeType="1" noTextEdit="1"/>
            </xdr:cNvSpPr>
          </xdr:nvSpPr>
          <xdr:spPr bwMode="auto">
            <a:xfrm rot="-603553">
              <a:off x="265" y="17"/>
              <a:ext cx="64" cy="24"/>
            </a:xfrm>
            <a:prstGeom prst="rect">
              <a:avLst/>
            </a:prstGeom>
          </xdr:spPr>
          <xdr:txBody>
            <a:bodyPr wrap="none" fromWordArt="1">
              <a:prstTxWarp prst="textArchUp">
                <a:avLst>
                  <a:gd name="adj" fmla="val 12201797"/>
                </a:avLst>
              </a:prstTxWarp>
            </a:bodyPr>
            <a:lstStyle/>
            <a:p>
              <a:pPr algn="ctr" rtl="0"/>
              <a:r>
                <a:rPr lang="hu-HU" sz="3600" b="1" kern="10" spc="0">
                  <a:ln w="0">
                    <a:solidFill>
                      <a:srgbClr val="FFFFFF"/>
                    </a:solidFill>
                    <a:round/>
                    <a:headEnd/>
                    <a:tailEnd/>
                  </a:ln>
                  <a:solidFill>
                    <a:srgbClr val="E5322C"/>
                  </a:solidFill>
                  <a:effectLst>
                    <a:outerShdw dist="28398" dir="1593903" algn="ctr" rotWithShape="0">
                      <a:srgbClr val="FFFFFF"/>
                    </a:outerShdw>
                  </a:effectLst>
                  <a:latin typeface="Brush Script MT"/>
                </a:rPr>
                <a:t>2015</a:t>
              </a:r>
            </a:p>
          </xdr:txBody>
        </xdr:sp>
      </xdr:grpSp>
      <xdr:sp macro="" textlink="">
        <xdr:nvSpPr>
          <xdr:cNvPr id="18930" name="AutoShape 498">
            <a:hlinkClick xmlns:r="http://schemas.openxmlformats.org/officeDocument/2006/relationships" r:id="rId7" tooltip="Használati ismertető"/>
          </xdr:cNvPr>
          <xdr:cNvSpPr>
            <a:spLocks noChangeArrowheads="1"/>
          </xdr:cNvSpPr>
        </xdr:nvSpPr>
        <xdr:spPr bwMode="auto">
          <a:xfrm>
            <a:off x="984" y="5"/>
            <a:ext cx="20" cy="41"/>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rPr>
              <a:t>SÚGÓ</a:t>
            </a:r>
          </a:p>
        </xdr:txBody>
      </xdr:sp>
      <xdr:sp macro="" textlink="">
        <xdr:nvSpPr>
          <xdr:cNvPr id="18931" name="AutoShape 499">
            <a:hlinkClick xmlns:r="http://schemas.openxmlformats.org/officeDocument/2006/relationships" r:id="rId8" tooltip="Rájásztás eredményei"/>
          </xdr:cNvPr>
          <xdr:cNvSpPr>
            <a:spLocks noChangeArrowheads="1"/>
          </xdr:cNvSpPr>
        </xdr:nvSpPr>
        <xdr:spPr bwMode="auto">
          <a:xfrm>
            <a:off x="498"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RÁJÁTSZÁS</a:t>
            </a:r>
          </a:p>
        </xdr:txBody>
      </xdr:sp>
      <xdr:sp macro="" textlink="">
        <xdr:nvSpPr>
          <xdr:cNvPr id="18932" name="AutoShape 500">
            <a:hlinkClick xmlns:r="http://schemas.openxmlformats.org/officeDocument/2006/relationships" r:id="rId9" tooltip="Alapszakasz eredményei"/>
          </xdr:cNvPr>
          <xdr:cNvSpPr>
            <a:spLocks noChangeArrowheads="1"/>
          </xdr:cNvSpPr>
        </xdr:nvSpPr>
        <xdr:spPr bwMode="auto">
          <a:xfrm>
            <a:off x="498"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ALAPSZAKASZ</a:t>
            </a:r>
          </a:p>
        </xdr:txBody>
      </xdr:sp>
      <xdr:sp macro="" textlink="">
        <xdr:nvSpPr>
          <xdr:cNvPr id="18933" name="AutoShape 501">
            <a:hlinkClick xmlns:r="http://schemas.openxmlformats.org/officeDocument/2006/relationships" r:id="rId10" tooltip="Góllövőlista megtekintése"/>
          </xdr:cNvPr>
          <xdr:cNvSpPr>
            <a:spLocks noChangeArrowheads="1"/>
          </xdr:cNvSpPr>
        </xdr:nvSpPr>
        <xdr:spPr bwMode="auto">
          <a:xfrm>
            <a:off x="790"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8934" name="AutoShape 502">
            <a:hlinkClick xmlns:r="http://schemas.openxmlformats.org/officeDocument/2006/relationships" r:id="rId11" tooltip="Alapszakasz tabella megtekintése"/>
          </xdr:cNvPr>
          <xdr:cNvSpPr>
            <a:spLocks noChangeArrowheads="1"/>
          </xdr:cNvSpPr>
        </xdr:nvSpPr>
        <xdr:spPr bwMode="auto">
          <a:xfrm>
            <a:off x="592"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a.</a:t>
            </a:r>
          </a:p>
        </xdr:txBody>
      </xdr:sp>
      <xdr:sp macro="" textlink="">
        <xdr:nvSpPr>
          <xdr:cNvPr id="18935" name="AutoShape 503">
            <a:hlinkClick xmlns:r="http://schemas.openxmlformats.org/officeDocument/2006/relationships" r:id="rId12" tooltip="Rájásztás tabella megtekintése"/>
          </xdr:cNvPr>
          <xdr:cNvSpPr>
            <a:spLocks noChangeArrowheads="1"/>
          </xdr:cNvSpPr>
        </xdr:nvSpPr>
        <xdr:spPr bwMode="auto">
          <a:xfrm>
            <a:off x="592" y="27"/>
            <a:ext cx="91" cy="19"/>
          </a:xfrm>
          <a:prstGeom prst="bevel">
            <a:avLst>
              <a:gd name="adj" fmla="val 9093"/>
            </a:avLst>
          </a:prstGeom>
          <a:gradFill rotWithShape="1">
            <a:gsLst>
              <a:gs pos="0">
                <a:srgbClr val="FF6600"/>
              </a:gs>
              <a:gs pos="100000">
                <a:srgbClr val="C72323"/>
              </a:gs>
            </a:gsLst>
            <a:lin ang="5400000" scaled="1"/>
          </a:gradFill>
          <a:ln w="9525">
            <a:noFill/>
            <a:miter lim="800000"/>
            <a:headEnd/>
            <a:tailEnd/>
          </a:ln>
          <a:effectLst/>
        </xdr:spPr>
        <xdr:txBody>
          <a:bodyPr vertOverflow="clip" wrap="square" lIns="0" tIns="0" rIns="0" bIns="0" anchor="ctr" upright="1"/>
          <a:lstStyle/>
          <a:p>
            <a:pPr algn="ctr" rtl="0">
              <a:defRPr sz="1000"/>
            </a:pPr>
            <a:r>
              <a:rPr lang="hu-HU" sz="900" b="1" i="0" u="none" strike="noStrike" baseline="0">
                <a:solidFill>
                  <a:srgbClr val="FFFFFF"/>
                </a:solidFill>
                <a:latin typeface="Calibri"/>
              </a:rPr>
              <a:t>TABELLA r.</a:t>
            </a:r>
          </a:p>
        </xdr:txBody>
      </xdr:sp>
      <xdr:sp macro="" textlink="">
        <xdr:nvSpPr>
          <xdr:cNvPr id="18936" name="AutoShape 504">
            <a:hlinkClick xmlns:r="http://schemas.openxmlformats.org/officeDocument/2006/relationships" r:id="rId13" tooltip="Alapszakasz kereszttáblázat megtekintése"/>
          </xdr:cNvPr>
          <xdr:cNvSpPr>
            <a:spLocks noChangeArrowheads="1"/>
          </xdr:cNvSpPr>
        </xdr:nvSpPr>
        <xdr:spPr bwMode="auto">
          <a:xfrm>
            <a:off x="686" y="5"/>
            <a:ext cx="10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 a.</a:t>
            </a:r>
          </a:p>
        </xdr:txBody>
      </xdr:sp>
      <xdr:sp macro="" textlink="">
        <xdr:nvSpPr>
          <xdr:cNvPr id="18937" name="AutoShape 505">
            <a:hlinkClick xmlns:r="http://schemas.openxmlformats.org/officeDocument/2006/relationships" r:id="rId14" tooltip="Rájátszás kereszttáblázat megtekintése"/>
          </xdr:cNvPr>
          <xdr:cNvSpPr>
            <a:spLocks noChangeArrowheads="1"/>
          </xdr:cNvSpPr>
        </xdr:nvSpPr>
        <xdr:spPr bwMode="auto">
          <a:xfrm>
            <a:off x="686" y="27"/>
            <a:ext cx="10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KERESZTTÁBLA r.</a:t>
            </a:r>
          </a:p>
        </xdr:txBody>
      </xdr:sp>
      <xdr:sp macro="" textlink="">
        <xdr:nvSpPr>
          <xdr:cNvPr id="18938" name="AutoShape 506">
            <a:hlinkClick xmlns:r="http://schemas.openxmlformats.org/officeDocument/2006/relationships" r:id="rId15" tooltip="Gólszerzők rögzítése"/>
          </xdr:cNvPr>
          <xdr:cNvSpPr>
            <a:spLocks noChangeArrowheads="1"/>
          </xdr:cNvSpPr>
        </xdr:nvSpPr>
        <xdr:spPr bwMode="auto">
          <a:xfrm>
            <a:off x="790"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8939" name="AutoShape 507">
            <a:hlinkClick xmlns:r="http://schemas.openxmlformats.org/officeDocument/2006/relationships" r:id="rId16" tooltip="A szakosztály és a csapatok elérhetőségei"/>
          </xdr:cNvPr>
          <xdr:cNvSpPr>
            <a:spLocks noChangeArrowheads="1"/>
          </xdr:cNvSpPr>
        </xdr:nvSpPr>
        <xdr:spPr bwMode="auto">
          <a:xfrm>
            <a:off x="887"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8940" name="AutoShape 508">
            <a:hlinkClick xmlns:r="http://schemas.openxmlformats.org/officeDocument/2006/relationships" r:id="rId17" tooltip="Versenykiírás megtekintése"/>
          </xdr:cNvPr>
          <xdr:cNvSpPr>
            <a:spLocks noChangeArrowheads="1"/>
          </xdr:cNvSpPr>
        </xdr:nvSpPr>
        <xdr:spPr bwMode="auto">
          <a:xfrm>
            <a:off x="887"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grpSp>
    <xdr:clientData/>
  </xdr:twoCellAnchor>
  <mc:AlternateContent xmlns:mc="http://schemas.openxmlformats.org/markup-compatibility/2006">
    <mc:Choice xmlns:a14="http://schemas.microsoft.com/office/drawing/2010/main" Requires="a14">
      <xdr:twoCellAnchor editAs="oneCell">
        <xdr:from>
          <xdr:col>14</xdr:col>
          <xdr:colOff>152400</xdr:colOff>
          <xdr:row>57</xdr:row>
          <xdr:rowOff>152400</xdr:rowOff>
        </xdr:from>
        <xdr:to>
          <xdr:col>14</xdr:col>
          <xdr:colOff>457200</xdr:colOff>
          <xdr:row>58</xdr:row>
          <xdr:rowOff>161925</xdr:rowOff>
        </xdr:to>
        <xdr:sp macro="" textlink="">
          <xdr:nvSpPr>
            <xdr:cNvPr id="18486" name="Check Box 54" hidden="1">
              <a:extLst>
                <a:ext uri="{63B3BB69-23CF-44E3-9099-C40C66FF867C}">
                  <a14:compatExt spid="_x0000_s18486"/>
                </a:ext>
              </a:extLst>
            </xdr:cNvPr>
            <xdr:cNvSpPr/>
          </xdr:nvSpPr>
          <xdr:spPr bwMode="auto">
            <a:xfrm>
              <a:off x="0" y="0"/>
              <a:ext cx="0" cy="0"/>
            </a:xfrm>
            <a:prstGeom prst="rect">
              <a:avLst/>
            </a:prstGeom>
            <a:noFill/>
            <a:ln>
              <a:noFill/>
            </a:ln>
            <a:extLst>
              <a:ext uri="{909E8E84-426E-40DD-AFC4-6F175D3DCCD1}">
                <a14:hiddenFill>
                  <a:solidFill>
                    <a:srgbClr val="A5A5A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54</xdr:row>
          <xdr:rowOff>28575</xdr:rowOff>
        </xdr:from>
        <xdr:to>
          <xdr:col>17</xdr:col>
          <xdr:colOff>190500</xdr:colOff>
          <xdr:row>57</xdr:row>
          <xdr:rowOff>85725</xdr:rowOff>
        </xdr:to>
        <xdr:sp macro="" textlink="">
          <xdr:nvSpPr>
            <xdr:cNvPr id="18644" name="Group Box 212" hidden="1">
              <a:extLst>
                <a:ext uri="{63B3BB69-23CF-44E3-9099-C40C66FF867C}">
                  <a14:compatExt spid="_x0000_s1864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56</xdr:row>
          <xdr:rowOff>38100</xdr:rowOff>
        </xdr:from>
        <xdr:to>
          <xdr:col>14</xdr:col>
          <xdr:colOff>447675</xdr:colOff>
          <xdr:row>57</xdr:row>
          <xdr:rowOff>47625</xdr:rowOff>
        </xdr:to>
        <xdr:sp macro="" textlink="">
          <xdr:nvSpPr>
            <xdr:cNvPr id="18645" name="Option Button 213" hidden="1">
              <a:extLst>
                <a:ext uri="{63B3BB69-23CF-44E3-9099-C40C66FF867C}">
                  <a14:compatExt spid="_x0000_s186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54</xdr:row>
          <xdr:rowOff>57150</xdr:rowOff>
        </xdr:from>
        <xdr:to>
          <xdr:col>14</xdr:col>
          <xdr:colOff>447675</xdr:colOff>
          <xdr:row>55</xdr:row>
          <xdr:rowOff>66675</xdr:rowOff>
        </xdr:to>
        <xdr:sp macro="" textlink="">
          <xdr:nvSpPr>
            <xdr:cNvPr id="18646" name="Option Button 214" hidden="1">
              <a:extLst>
                <a:ext uri="{63B3BB69-23CF-44E3-9099-C40C66FF867C}">
                  <a14:compatExt spid="_x0000_s186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55</xdr:row>
          <xdr:rowOff>47625</xdr:rowOff>
        </xdr:from>
        <xdr:to>
          <xdr:col>14</xdr:col>
          <xdr:colOff>447675</xdr:colOff>
          <xdr:row>56</xdr:row>
          <xdr:rowOff>57150</xdr:rowOff>
        </xdr:to>
        <xdr:sp macro="" textlink="">
          <xdr:nvSpPr>
            <xdr:cNvPr id="18647" name="Option Button 215" hidden="1">
              <a:extLst>
                <a:ext uri="{63B3BB69-23CF-44E3-9099-C40C66FF867C}">
                  <a14:compatExt spid="_x0000_s186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48</xdr:row>
          <xdr:rowOff>19050</xdr:rowOff>
        </xdr:from>
        <xdr:to>
          <xdr:col>17</xdr:col>
          <xdr:colOff>190500</xdr:colOff>
          <xdr:row>51</xdr:row>
          <xdr:rowOff>76200</xdr:rowOff>
        </xdr:to>
        <xdr:sp macro="" textlink="">
          <xdr:nvSpPr>
            <xdr:cNvPr id="18635" name="Group Box 203" hidden="1">
              <a:extLst>
                <a:ext uri="{63B3BB69-23CF-44E3-9099-C40C66FF867C}">
                  <a14:compatExt spid="_x0000_s1863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50</xdr:row>
          <xdr:rowOff>28575</xdr:rowOff>
        </xdr:from>
        <xdr:to>
          <xdr:col>14</xdr:col>
          <xdr:colOff>447675</xdr:colOff>
          <xdr:row>51</xdr:row>
          <xdr:rowOff>38100</xdr:rowOff>
        </xdr:to>
        <xdr:sp macro="" textlink="">
          <xdr:nvSpPr>
            <xdr:cNvPr id="18636" name="Option Button 204" hidden="1">
              <a:extLst>
                <a:ext uri="{63B3BB69-23CF-44E3-9099-C40C66FF867C}">
                  <a14:compatExt spid="_x0000_s186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48</xdr:row>
          <xdr:rowOff>47625</xdr:rowOff>
        </xdr:from>
        <xdr:to>
          <xdr:col>14</xdr:col>
          <xdr:colOff>447675</xdr:colOff>
          <xdr:row>49</xdr:row>
          <xdr:rowOff>57150</xdr:rowOff>
        </xdr:to>
        <xdr:sp macro="" textlink="">
          <xdr:nvSpPr>
            <xdr:cNvPr id="18637" name="Option Button 205" hidden="1">
              <a:extLst>
                <a:ext uri="{63B3BB69-23CF-44E3-9099-C40C66FF867C}">
                  <a14:compatExt spid="_x0000_s186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152400</xdr:colOff>
          <xdr:row>49</xdr:row>
          <xdr:rowOff>38100</xdr:rowOff>
        </xdr:from>
        <xdr:to>
          <xdr:col>14</xdr:col>
          <xdr:colOff>447675</xdr:colOff>
          <xdr:row>50</xdr:row>
          <xdr:rowOff>47625</xdr:rowOff>
        </xdr:to>
        <xdr:sp macro="" textlink="">
          <xdr:nvSpPr>
            <xdr:cNvPr id="18638" name="Option Button 206" hidden="1">
              <a:extLst>
                <a:ext uri="{63B3BB69-23CF-44E3-9099-C40C66FF867C}">
                  <a14:compatExt spid="_x0000_s186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40</xdr:col>
      <xdr:colOff>142875</xdr:colOff>
      <xdr:row>40</xdr:row>
      <xdr:rowOff>57150</xdr:rowOff>
    </xdr:from>
    <xdr:to>
      <xdr:col>43</xdr:col>
      <xdr:colOff>247650</xdr:colOff>
      <xdr:row>40</xdr:row>
      <xdr:rowOff>847725</xdr:rowOff>
    </xdr:to>
    <xdr:grpSp>
      <xdr:nvGrpSpPr>
        <xdr:cNvPr id="19570" name="Group 447"/>
        <xdr:cNvGrpSpPr>
          <a:grpSpLocks/>
        </xdr:cNvGrpSpPr>
      </xdr:nvGrpSpPr>
      <xdr:grpSpPr bwMode="auto">
        <a:xfrm>
          <a:off x="6219825" y="885825"/>
          <a:ext cx="1638300" cy="790575"/>
          <a:chOff x="46" y="93"/>
          <a:chExt cx="172" cy="83"/>
        </a:xfrm>
      </xdr:grpSpPr>
      <xdr:sp macro="" textlink="">
        <xdr:nvSpPr>
          <xdr:cNvPr id="19565" name="Text Box 109"/>
          <xdr:cNvSpPr txBox="1">
            <a:spLocks noChangeArrowheads="1"/>
          </xdr:cNvSpPr>
        </xdr:nvSpPr>
        <xdr:spPr bwMode="auto">
          <a:xfrm>
            <a:off x="70" y="115"/>
            <a:ext cx="125" cy="19"/>
          </a:xfrm>
          <a:prstGeom prst="rect">
            <a:avLst/>
          </a:prstGeom>
          <a:noFill/>
          <a:ln w="9525">
            <a:noFill/>
            <a:miter lim="800000"/>
            <a:headEnd/>
            <a:tailEnd/>
          </a:ln>
          <a:effectLst/>
        </xdr:spPr>
        <xdr:txBody>
          <a:bodyPr vertOverflow="clip" wrap="square" lIns="27432" tIns="22860" rIns="0" bIns="0" anchor="t" upright="1"/>
          <a:lstStyle/>
          <a:p>
            <a:pPr algn="l" rtl="0">
              <a:defRPr sz="1000"/>
            </a:pPr>
            <a:r>
              <a:rPr lang="hu-HU" sz="900" b="0" i="0" u="none" strike="noStrike" baseline="0">
                <a:solidFill>
                  <a:srgbClr val="000000"/>
                </a:solidFill>
                <a:latin typeface="Calibri"/>
              </a:rPr>
              <a:t>EREDMÉNYEK</a:t>
            </a:r>
          </a:p>
        </xdr:txBody>
      </xdr:sp>
      <xdr:sp macro="" textlink="">
        <xdr:nvSpPr>
          <xdr:cNvPr id="19566" name="Text Box 110"/>
          <xdr:cNvSpPr txBox="1">
            <a:spLocks noChangeArrowheads="1"/>
          </xdr:cNvSpPr>
        </xdr:nvSpPr>
        <xdr:spPr bwMode="auto">
          <a:xfrm>
            <a:off x="70" y="136"/>
            <a:ext cx="135" cy="20"/>
          </a:xfrm>
          <a:prstGeom prst="rect">
            <a:avLst/>
          </a:prstGeom>
          <a:noFill/>
          <a:ln w="9525" algn="ctr">
            <a:noFill/>
            <a:miter lim="800000"/>
            <a:headEnd/>
            <a:tailEnd/>
          </a:ln>
          <a:effectLst/>
        </xdr:spPr>
        <xdr:txBody>
          <a:bodyPr vertOverflow="clip" wrap="square" lIns="27432" tIns="22860" rIns="0" bIns="0" anchor="t" upright="1"/>
          <a:lstStyle/>
          <a:p>
            <a:pPr algn="l" rtl="0">
              <a:defRPr sz="1000"/>
            </a:pPr>
            <a:r>
              <a:rPr lang="hu-HU" sz="900" b="0" i="0" u="none" strike="noStrike" baseline="0">
                <a:solidFill>
                  <a:srgbClr val="000000"/>
                </a:solidFill>
                <a:latin typeface="Calibri"/>
              </a:rPr>
              <a:t>FORDULÓK SORSZÁMA</a:t>
            </a:r>
          </a:p>
        </xdr:txBody>
      </xdr:sp>
      <xdr:sp macro="" textlink="">
        <xdr:nvSpPr>
          <xdr:cNvPr id="19567" name="Text Box 111"/>
          <xdr:cNvSpPr txBox="1">
            <a:spLocks noChangeArrowheads="1"/>
          </xdr:cNvSpPr>
        </xdr:nvSpPr>
        <xdr:spPr bwMode="auto">
          <a:xfrm>
            <a:off x="46" y="93"/>
            <a:ext cx="172" cy="17"/>
          </a:xfrm>
          <a:prstGeom prst="rect">
            <a:avLst/>
          </a:prstGeom>
          <a:noFill/>
          <a:ln w="9525">
            <a:noFill/>
            <a:miter lim="800000"/>
            <a:headEnd/>
            <a:tailEnd/>
          </a:ln>
          <a:effectLst/>
        </xdr:spPr>
        <xdr:txBody>
          <a:bodyPr vertOverflow="clip" wrap="square" lIns="0" tIns="0" rIns="0" bIns="0" anchor="b" upright="1"/>
          <a:lstStyle/>
          <a:p>
            <a:pPr algn="l" rtl="0">
              <a:defRPr sz="1000"/>
            </a:pPr>
            <a:r>
              <a:rPr lang="hu-HU" sz="1000" b="1" i="0" u="none" strike="noStrike" baseline="0">
                <a:solidFill>
                  <a:srgbClr val="000000"/>
                </a:solidFill>
                <a:latin typeface="Calibri"/>
              </a:rPr>
              <a:t>ADATOK MEGJELENÍTÉSE:</a:t>
            </a:r>
          </a:p>
        </xdr:txBody>
      </xdr:sp>
      <xdr:sp macro="" textlink="">
        <xdr:nvSpPr>
          <xdr:cNvPr id="19568" name="Text Box 112"/>
          <xdr:cNvSpPr txBox="1">
            <a:spLocks noChangeArrowheads="1"/>
          </xdr:cNvSpPr>
        </xdr:nvSpPr>
        <xdr:spPr bwMode="auto">
          <a:xfrm>
            <a:off x="70" y="157"/>
            <a:ext cx="135" cy="15"/>
          </a:xfrm>
          <a:prstGeom prst="rect">
            <a:avLst/>
          </a:prstGeom>
          <a:noFill/>
          <a:ln w="9525" algn="ctr">
            <a:noFill/>
            <a:miter lim="800000"/>
            <a:headEnd/>
            <a:tailEnd/>
          </a:ln>
          <a:effectLst/>
        </xdr:spPr>
        <xdr:txBody>
          <a:bodyPr vertOverflow="clip" wrap="square" lIns="27432" tIns="22860" rIns="0" bIns="0" anchor="t" upright="1"/>
          <a:lstStyle/>
          <a:p>
            <a:pPr algn="l" rtl="0">
              <a:defRPr sz="1000"/>
            </a:pPr>
            <a:r>
              <a:rPr lang="hu-HU" sz="900" b="0" i="0" u="none" strike="noStrike" baseline="0">
                <a:solidFill>
                  <a:srgbClr val="000000"/>
                </a:solidFill>
                <a:latin typeface="Calibri"/>
              </a:rPr>
              <a:t>DÁTUMOK</a:t>
            </a:r>
          </a:p>
        </xdr:txBody>
      </xdr:sp>
    </xdr:grpSp>
    <xdr:clientData/>
  </xdr:twoCellAnchor>
  <xdr:twoCellAnchor editAs="oneCell">
    <xdr:from>
      <xdr:col>0</xdr:col>
      <xdr:colOff>0</xdr:colOff>
      <xdr:row>0</xdr:row>
      <xdr:rowOff>0</xdr:rowOff>
    </xdr:from>
    <xdr:to>
      <xdr:col>47</xdr:col>
      <xdr:colOff>9525</xdr:colOff>
      <xdr:row>38</xdr:row>
      <xdr:rowOff>0</xdr:rowOff>
    </xdr:to>
    <xdr:grpSp>
      <xdr:nvGrpSpPr>
        <xdr:cNvPr id="19571" name="Group 473"/>
        <xdr:cNvGrpSpPr>
          <a:grpSpLocks/>
        </xdr:cNvGrpSpPr>
      </xdr:nvGrpSpPr>
      <xdr:grpSpPr bwMode="auto">
        <a:xfrm>
          <a:off x="0" y="0"/>
          <a:ext cx="9582150" cy="485775"/>
          <a:chOff x="0" y="0"/>
          <a:chExt cx="1006" cy="51"/>
        </a:xfrm>
      </xdr:grpSpPr>
      <xdr:pic>
        <xdr:nvPicPr>
          <xdr:cNvPr id="19572" name="Picture 474"/>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006" cy="51"/>
          </a:xfrm>
          <a:prstGeom prst="rect">
            <a:avLst/>
          </a:prstGeom>
          <a:noFill/>
          <a:ln w="9525">
            <a:noFill/>
            <a:miter lim="800000"/>
            <a:headEnd/>
            <a:tailEnd/>
          </a:ln>
        </xdr:spPr>
      </xdr:pic>
      <xdr:grpSp>
        <xdr:nvGrpSpPr>
          <xdr:cNvPr id="19573" name="Group 475">
            <a:hlinkClick xmlns:r="http://schemas.openxmlformats.org/officeDocument/2006/relationships" r:id="rId2" tooltip="Mail to Gyworks"/>
          </xdr:cNvPr>
          <xdr:cNvGrpSpPr>
            <a:grpSpLocks/>
          </xdr:cNvGrpSpPr>
        </xdr:nvGrpSpPr>
        <xdr:grpSpPr bwMode="auto">
          <a:xfrm>
            <a:off x="449" y="11"/>
            <a:ext cx="49" cy="34"/>
            <a:chOff x="356" y="11"/>
            <a:chExt cx="49" cy="34"/>
          </a:xfrm>
        </xdr:grpSpPr>
        <xdr:grpSp>
          <xdr:nvGrpSpPr>
            <xdr:cNvPr id="19591" name="Group 476"/>
            <xdr:cNvGrpSpPr>
              <a:grpSpLocks/>
            </xdr:cNvGrpSpPr>
          </xdr:nvGrpSpPr>
          <xdr:grpSpPr bwMode="auto">
            <a:xfrm>
              <a:off x="361" y="11"/>
              <a:ext cx="44" cy="18"/>
              <a:chOff x="148" y="352"/>
              <a:chExt cx="44" cy="18"/>
            </a:xfrm>
          </xdr:grpSpPr>
          <xdr:grpSp>
            <xdr:nvGrpSpPr>
              <xdr:cNvPr id="19593" name="Group 477"/>
              <xdr:cNvGrpSpPr>
                <a:grpSpLocks noChangeAspect="1"/>
              </xdr:cNvGrpSpPr>
            </xdr:nvGrpSpPr>
            <xdr:grpSpPr bwMode="auto">
              <a:xfrm>
                <a:off x="148" y="352"/>
                <a:ext cx="14" cy="16"/>
                <a:chOff x="846" y="38"/>
                <a:chExt cx="28" cy="32"/>
              </a:xfrm>
            </xdr:grpSpPr>
            <xdr:sp macro="" textlink="">
              <xdr:nvSpPr>
                <xdr:cNvPr id="19596" name="Line 478"/>
                <xdr:cNvSpPr>
                  <a:spLocks noChangeAspect="1" noChangeShapeType="1"/>
                </xdr:cNvSpPr>
              </xdr:nvSpPr>
              <xdr:spPr bwMode="auto">
                <a:xfrm flipH="1">
                  <a:off x="850" y="49"/>
                  <a:ext cx="17" cy="21"/>
                </a:xfrm>
                <a:prstGeom prst="line">
                  <a:avLst/>
                </a:prstGeom>
                <a:noFill/>
                <a:ln w="19050">
                  <a:solidFill>
                    <a:srgbClr val="EEEEEE"/>
                  </a:solidFill>
                  <a:round/>
                  <a:headEnd/>
                  <a:tailEnd/>
                </a:ln>
              </xdr:spPr>
            </xdr:sp>
            <xdr:sp macro="" textlink="">
              <xdr:nvSpPr>
                <xdr:cNvPr id="19597" name="Arc 479"/>
                <xdr:cNvSpPr>
                  <a:spLocks noChangeAspect="1"/>
                </xdr:cNvSpPr>
              </xdr:nvSpPr>
              <xdr:spPr bwMode="auto">
                <a:xfrm rot="16200000" flipH="1">
                  <a:off x="848" y="36"/>
                  <a:ext cx="23" cy="27"/>
                </a:xfrm>
                <a:custGeom>
                  <a:avLst/>
                  <a:gdLst>
                    <a:gd name="T0" fmla="*/ 6 w 43200"/>
                    <a:gd name="T1" fmla="*/ 27 h 40066"/>
                    <a:gd name="T2" fmla="*/ 22 w 43200"/>
                    <a:gd name="T3" fmla="*/ 22 h 40066"/>
                    <a:gd name="T4" fmla="*/ 12 w 43200"/>
                    <a:gd name="T5" fmla="*/ 15 h 40066"/>
                    <a:gd name="T6" fmla="*/ 0 60000 65536"/>
                    <a:gd name="T7" fmla="*/ 0 60000 65536"/>
                    <a:gd name="T8" fmla="*/ 0 60000 65536"/>
                    <a:gd name="T9" fmla="*/ 0 w 43200"/>
                    <a:gd name="T10" fmla="*/ 0 h 40066"/>
                    <a:gd name="T11" fmla="*/ 43200 w 43200"/>
                    <a:gd name="T12" fmla="*/ 40066 h 40066"/>
                  </a:gdLst>
                  <a:ahLst/>
                  <a:cxnLst>
                    <a:cxn ang="T6">
                      <a:pos x="T0" y="T1"/>
                    </a:cxn>
                    <a:cxn ang="T7">
                      <a:pos x="T2" y="T3"/>
                    </a:cxn>
                    <a:cxn ang="T8">
                      <a:pos x="T4" y="T5"/>
                    </a:cxn>
                  </a:cxnLst>
                  <a:rect l="T9" t="T10" r="T11" b="T12"/>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close/>
                    </a:path>
                  </a:pathLst>
                </a:custGeom>
                <a:noFill/>
                <a:ln w="19050">
                  <a:solidFill>
                    <a:srgbClr val="EEEEEE"/>
                  </a:solidFill>
                  <a:round/>
                  <a:headEnd/>
                  <a:tailEnd/>
                </a:ln>
              </xdr:spPr>
            </xdr:sp>
            <xdr:sp macro="" textlink="">
              <xdr:nvSpPr>
                <xdr:cNvPr id="19598" name="Line 480"/>
                <xdr:cNvSpPr>
                  <a:spLocks noChangeAspect="1" noChangeShapeType="1"/>
                </xdr:cNvSpPr>
              </xdr:nvSpPr>
              <xdr:spPr bwMode="auto">
                <a:xfrm flipH="1">
                  <a:off x="858" y="49"/>
                  <a:ext cx="16" cy="21"/>
                </a:xfrm>
                <a:prstGeom prst="line">
                  <a:avLst/>
                </a:prstGeom>
                <a:noFill/>
                <a:ln w="19050">
                  <a:solidFill>
                    <a:srgbClr val="EEEEEE"/>
                  </a:solidFill>
                  <a:round/>
                  <a:headEnd/>
                  <a:tailEnd/>
                </a:ln>
              </xdr:spPr>
            </xdr:sp>
          </xdr:grpSp>
          <xdr:sp macro="" textlink="">
            <xdr:nvSpPr>
              <xdr:cNvPr id="19937" name="Text Box 481"/>
              <xdr:cNvSpPr txBox="1">
                <a:spLocks noChangeAspect="1" noChangeArrowheads="1"/>
              </xdr:cNvSpPr>
            </xdr:nvSpPr>
            <xdr:spPr bwMode="auto">
              <a:xfrm>
                <a:off x="158" y="359"/>
                <a:ext cx="27" cy="11"/>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9938" name="Text Box 482"/>
              <xdr:cNvSpPr txBox="1">
                <a:spLocks noChangeAspect="1" noChangeArrowheads="1"/>
              </xdr:cNvSpPr>
            </xdr:nvSpPr>
            <xdr:spPr bwMode="auto">
              <a:xfrm>
                <a:off x="178" y="355"/>
                <a:ext cx="14" cy="9"/>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9939" name="Text Box 483"/>
            <xdr:cNvSpPr txBox="1">
              <a:spLocks noChangeArrowheads="1"/>
            </xdr:cNvSpPr>
          </xdr:nvSpPr>
          <xdr:spPr bwMode="auto">
            <a:xfrm>
              <a:off x="356" y="28"/>
              <a:ext cx="44" cy="17"/>
            </a:xfrm>
            <a:prstGeom prst="rect">
              <a:avLst/>
            </a:prstGeom>
            <a:noFill/>
            <a:ln w="9525">
              <a:noFill/>
              <a:miter lim="800000"/>
              <a:headEnd/>
              <a:tailEnd/>
            </a:ln>
            <a:effectLst/>
          </xdr:spPr>
          <xdr:txBody>
            <a:bodyPr vertOverflow="clip" wrap="square" lIns="27432" tIns="27432" rIns="27432" bIns="27432" anchor="ctr" upright="1"/>
            <a:lstStyle/>
            <a:p>
              <a:pPr algn="ctr" rtl="0">
                <a:defRPr sz="1000"/>
              </a:pPr>
              <a:r>
                <a:rPr lang="hu-HU" sz="800" b="0" i="0" u="none" strike="noStrike" baseline="0">
                  <a:solidFill>
                    <a:srgbClr val="EEEEEE"/>
                  </a:solidFill>
                  <a:latin typeface="Arial Narrow"/>
                </a:rPr>
                <a:t>©  2015</a:t>
              </a:r>
            </a:p>
          </xdr:txBody>
        </xdr:sp>
      </xdr:grpSp>
      <xdr:grpSp>
        <xdr:nvGrpSpPr>
          <xdr:cNvPr id="19574" name="Group 484">
            <a:hlinkClick xmlns:r="http://schemas.openxmlformats.org/officeDocument/2006/relationships" r:id="rId3" tooltip="HASEFOCI"/>
          </xdr:cNvPr>
          <xdr:cNvGrpSpPr>
            <a:grpSpLocks/>
          </xdr:cNvGrpSpPr>
        </xdr:nvGrpSpPr>
        <xdr:grpSpPr bwMode="auto">
          <a:xfrm>
            <a:off x="3" y="0"/>
            <a:ext cx="224" cy="50"/>
            <a:chOff x="3" y="0"/>
            <a:chExt cx="224" cy="50"/>
          </a:xfrm>
        </xdr:grpSpPr>
        <xdr:pic>
          <xdr:nvPicPr>
            <xdr:cNvPr id="19589" name="Picture 485"/>
            <xdr:cNvPicPr>
              <a:picLocks noChangeAspect="1" noChangeArrowheads="1"/>
            </xdr:cNvPicPr>
          </xdr:nvPicPr>
          <xdr:blipFill>
            <a:blip xmlns:r="http://schemas.openxmlformats.org/officeDocument/2006/relationships" r:embed="rId4" cstate="print"/>
            <a:srcRect/>
            <a:stretch>
              <a:fillRect/>
            </a:stretch>
          </xdr:blipFill>
          <xdr:spPr bwMode="auto">
            <a:xfrm>
              <a:off x="3" y="0"/>
              <a:ext cx="48" cy="50"/>
            </a:xfrm>
            <a:prstGeom prst="rect">
              <a:avLst/>
            </a:prstGeom>
            <a:noFill/>
            <a:ln w="9525">
              <a:noFill/>
              <a:miter lim="800000"/>
              <a:headEnd/>
              <a:tailEnd/>
            </a:ln>
          </xdr:spPr>
        </xdr:pic>
        <xdr:pic>
          <xdr:nvPicPr>
            <xdr:cNvPr id="19590" name="Picture 486"/>
            <xdr:cNvPicPr>
              <a:picLocks noChangeAspect="1" noChangeArrowheads="1"/>
            </xdr:cNvPicPr>
          </xdr:nvPicPr>
          <xdr:blipFill>
            <a:blip xmlns:r="http://schemas.openxmlformats.org/officeDocument/2006/relationships" r:embed="rId5" cstate="print"/>
            <a:srcRect/>
            <a:stretch>
              <a:fillRect/>
            </a:stretch>
          </xdr:blipFill>
          <xdr:spPr bwMode="auto">
            <a:xfrm>
              <a:off x="55" y="3"/>
              <a:ext cx="172" cy="45"/>
            </a:xfrm>
            <a:prstGeom prst="rect">
              <a:avLst/>
            </a:prstGeom>
            <a:noFill/>
            <a:ln w="9525">
              <a:noFill/>
              <a:miter lim="800000"/>
              <a:headEnd/>
              <a:tailEnd/>
            </a:ln>
          </xdr:spPr>
        </xdr:pic>
      </xdr:grpSp>
      <xdr:grpSp>
        <xdr:nvGrpSpPr>
          <xdr:cNvPr id="19575" name="Group 487"/>
          <xdr:cNvGrpSpPr>
            <a:grpSpLocks/>
          </xdr:cNvGrpSpPr>
        </xdr:nvGrpSpPr>
        <xdr:grpSpPr bwMode="auto">
          <a:xfrm>
            <a:off x="221" y="1"/>
            <a:ext cx="227" cy="50"/>
            <a:chOff x="221" y="1"/>
            <a:chExt cx="227" cy="50"/>
          </a:xfrm>
        </xdr:grpSpPr>
        <xdr:pic>
          <xdr:nvPicPr>
            <xdr:cNvPr id="19587" name="Picture 488"/>
            <xdr:cNvPicPr>
              <a:picLocks noChangeAspect="1" noChangeArrowheads="1"/>
            </xdr:cNvPicPr>
          </xdr:nvPicPr>
          <xdr:blipFill>
            <a:blip xmlns:r="http://schemas.openxmlformats.org/officeDocument/2006/relationships" r:embed="rId6" cstate="print">
              <a:lum bright="-6000"/>
            </a:blip>
            <a:srcRect/>
            <a:stretch>
              <a:fillRect/>
            </a:stretch>
          </xdr:blipFill>
          <xdr:spPr bwMode="auto">
            <a:xfrm>
              <a:off x="221" y="1"/>
              <a:ext cx="227" cy="50"/>
            </a:xfrm>
            <a:prstGeom prst="rect">
              <a:avLst/>
            </a:prstGeom>
            <a:noFill/>
            <a:ln w="9525">
              <a:noFill/>
              <a:miter lim="800000"/>
              <a:headEnd/>
              <a:tailEnd/>
            </a:ln>
          </xdr:spPr>
        </xdr:pic>
        <xdr:sp macro="" textlink="">
          <xdr:nvSpPr>
            <xdr:cNvPr id="19945" name="WordArt 489"/>
            <xdr:cNvSpPr>
              <a:spLocks noChangeArrowheads="1" noChangeShapeType="1" noTextEdit="1"/>
            </xdr:cNvSpPr>
          </xdr:nvSpPr>
          <xdr:spPr bwMode="auto">
            <a:xfrm rot="-603553">
              <a:off x="265" y="17"/>
              <a:ext cx="64" cy="24"/>
            </a:xfrm>
            <a:prstGeom prst="rect">
              <a:avLst/>
            </a:prstGeom>
          </xdr:spPr>
          <xdr:txBody>
            <a:bodyPr wrap="none" fromWordArt="1">
              <a:prstTxWarp prst="textArchUp">
                <a:avLst>
                  <a:gd name="adj" fmla="val 12201797"/>
                </a:avLst>
              </a:prstTxWarp>
            </a:bodyPr>
            <a:lstStyle/>
            <a:p>
              <a:pPr algn="ctr" rtl="0"/>
              <a:r>
                <a:rPr lang="hu-HU" sz="3600" b="1" kern="10" spc="0">
                  <a:ln w="0">
                    <a:solidFill>
                      <a:srgbClr val="FFFFFF"/>
                    </a:solidFill>
                    <a:round/>
                    <a:headEnd/>
                    <a:tailEnd/>
                  </a:ln>
                  <a:solidFill>
                    <a:srgbClr val="E5322C"/>
                  </a:solidFill>
                  <a:effectLst>
                    <a:outerShdw dist="28398" dir="1593903" algn="ctr" rotWithShape="0">
                      <a:srgbClr val="FFFFFF"/>
                    </a:outerShdw>
                  </a:effectLst>
                  <a:latin typeface="Brush Script MT"/>
                </a:rPr>
                <a:t>2015</a:t>
              </a:r>
            </a:p>
          </xdr:txBody>
        </xdr:sp>
      </xdr:grpSp>
      <xdr:sp macro="" textlink="">
        <xdr:nvSpPr>
          <xdr:cNvPr id="19946" name="AutoShape 490">
            <a:hlinkClick xmlns:r="http://schemas.openxmlformats.org/officeDocument/2006/relationships" r:id="rId7" tooltip="Használati ismertető"/>
          </xdr:cNvPr>
          <xdr:cNvSpPr>
            <a:spLocks noChangeArrowheads="1"/>
          </xdr:cNvSpPr>
        </xdr:nvSpPr>
        <xdr:spPr bwMode="auto">
          <a:xfrm>
            <a:off x="984" y="5"/>
            <a:ext cx="20" cy="41"/>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rPr>
              <a:t>SÚGÓ</a:t>
            </a:r>
          </a:p>
        </xdr:txBody>
      </xdr:sp>
      <xdr:sp macro="" textlink="">
        <xdr:nvSpPr>
          <xdr:cNvPr id="19947" name="AutoShape 491">
            <a:hlinkClick xmlns:r="http://schemas.openxmlformats.org/officeDocument/2006/relationships" r:id="rId8" tooltip="Rájásztás eredményei"/>
          </xdr:cNvPr>
          <xdr:cNvSpPr>
            <a:spLocks noChangeArrowheads="1"/>
          </xdr:cNvSpPr>
        </xdr:nvSpPr>
        <xdr:spPr bwMode="auto">
          <a:xfrm>
            <a:off x="498"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RÁJÁTSZÁS</a:t>
            </a:r>
          </a:p>
        </xdr:txBody>
      </xdr:sp>
      <xdr:sp macro="" textlink="">
        <xdr:nvSpPr>
          <xdr:cNvPr id="19948" name="AutoShape 492">
            <a:hlinkClick xmlns:r="http://schemas.openxmlformats.org/officeDocument/2006/relationships" r:id="rId9" tooltip="Alapszakasz eredményei"/>
          </xdr:cNvPr>
          <xdr:cNvSpPr>
            <a:spLocks noChangeArrowheads="1"/>
          </xdr:cNvSpPr>
        </xdr:nvSpPr>
        <xdr:spPr bwMode="auto">
          <a:xfrm>
            <a:off x="498"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ALAPSZAKASZ</a:t>
            </a:r>
          </a:p>
        </xdr:txBody>
      </xdr:sp>
      <xdr:sp macro="" textlink="">
        <xdr:nvSpPr>
          <xdr:cNvPr id="19949" name="AutoShape 493">
            <a:hlinkClick xmlns:r="http://schemas.openxmlformats.org/officeDocument/2006/relationships" r:id="rId10" tooltip="Góllövőlista megtekintése"/>
          </xdr:cNvPr>
          <xdr:cNvSpPr>
            <a:spLocks noChangeArrowheads="1"/>
          </xdr:cNvSpPr>
        </xdr:nvSpPr>
        <xdr:spPr bwMode="auto">
          <a:xfrm>
            <a:off x="790"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9950" name="AutoShape 494">
            <a:hlinkClick xmlns:r="http://schemas.openxmlformats.org/officeDocument/2006/relationships" r:id="rId11" tooltip="Alapszakasz tabella megtekintése"/>
          </xdr:cNvPr>
          <xdr:cNvSpPr>
            <a:spLocks noChangeArrowheads="1"/>
          </xdr:cNvSpPr>
        </xdr:nvSpPr>
        <xdr:spPr bwMode="auto">
          <a:xfrm>
            <a:off x="592"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a.</a:t>
            </a:r>
          </a:p>
        </xdr:txBody>
      </xdr:sp>
      <xdr:sp macro="" textlink="">
        <xdr:nvSpPr>
          <xdr:cNvPr id="19951" name="AutoShape 495">
            <a:hlinkClick xmlns:r="http://schemas.openxmlformats.org/officeDocument/2006/relationships" r:id="rId12" tooltip="Rájásztás tabella megtekintése"/>
          </xdr:cNvPr>
          <xdr:cNvSpPr>
            <a:spLocks noChangeArrowheads="1"/>
          </xdr:cNvSpPr>
        </xdr:nvSpPr>
        <xdr:spPr bwMode="auto">
          <a:xfrm>
            <a:off x="592"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r.</a:t>
            </a:r>
          </a:p>
        </xdr:txBody>
      </xdr:sp>
      <xdr:sp macro="" textlink="">
        <xdr:nvSpPr>
          <xdr:cNvPr id="19952" name="AutoShape 496">
            <a:hlinkClick xmlns:r="http://schemas.openxmlformats.org/officeDocument/2006/relationships" r:id="rId13" tooltip="Alapszakasz kereszttáblázat megtekintése"/>
          </xdr:cNvPr>
          <xdr:cNvSpPr>
            <a:spLocks noChangeArrowheads="1"/>
          </xdr:cNvSpPr>
        </xdr:nvSpPr>
        <xdr:spPr bwMode="auto">
          <a:xfrm>
            <a:off x="686" y="5"/>
            <a:ext cx="10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 a.</a:t>
            </a:r>
          </a:p>
        </xdr:txBody>
      </xdr:sp>
      <xdr:sp macro="" textlink="">
        <xdr:nvSpPr>
          <xdr:cNvPr id="19953" name="AutoShape 497">
            <a:hlinkClick xmlns:r="http://schemas.openxmlformats.org/officeDocument/2006/relationships" r:id="rId14" tooltip="Rájátszás kereszttáblázat megtekintése"/>
          </xdr:cNvPr>
          <xdr:cNvSpPr>
            <a:spLocks noChangeArrowheads="1"/>
          </xdr:cNvSpPr>
        </xdr:nvSpPr>
        <xdr:spPr bwMode="auto">
          <a:xfrm>
            <a:off x="686" y="27"/>
            <a:ext cx="101" cy="19"/>
          </a:xfrm>
          <a:prstGeom prst="bevel">
            <a:avLst>
              <a:gd name="adj" fmla="val 9093"/>
            </a:avLst>
          </a:prstGeom>
          <a:gradFill rotWithShape="1">
            <a:gsLst>
              <a:gs pos="0">
                <a:srgbClr val="FF6600"/>
              </a:gs>
              <a:gs pos="100000">
                <a:srgbClr val="C72323"/>
              </a:gs>
            </a:gsLst>
            <a:lin ang="5400000" scaled="1"/>
          </a:gradFill>
          <a:ln w="9525">
            <a:noFill/>
            <a:miter lim="800000"/>
            <a:headEnd/>
            <a:tailEnd/>
          </a:ln>
          <a:effectLst/>
        </xdr:spPr>
        <xdr:txBody>
          <a:bodyPr vertOverflow="clip" wrap="square" lIns="0" tIns="0" rIns="0" bIns="0" anchor="ctr" upright="1"/>
          <a:lstStyle/>
          <a:p>
            <a:pPr algn="ctr" rtl="0">
              <a:defRPr sz="1000"/>
            </a:pPr>
            <a:r>
              <a:rPr lang="hu-HU" sz="900" b="1" i="0" u="none" strike="noStrike" baseline="0">
                <a:solidFill>
                  <a:srgbClr val="FFFFFF"/>
                </a:solidFill>
                <a:latin typeface="Calibri"/>
              </a:rPr>
              <a:t>KERESZTTÁBLA r.</a:t>
            </a:r>
          </a:p>
        </xdr:txBody>
      </xdr:sp>
      <xdr:sp macro="" textlink="">
        <xdr:nvSpPr>
          <xdr:cNvPr id="19954" name="AutoShape 498">
            <a:hlinkClick xmlns:r="http://schemas.openxmlformats.org/officeDocument/2006/relationships" r:id="rId15" tooltip="Gólszerzők rögzítése"/>
          </xdr:cNvPr>
          <xdr:cNvSpPr>
            <a:spLocks noChangeArrowheads="1"/>
          </xdr:cNvSpPr>
        </xdr:nvSpPr>
        <xdr:spPr bwMode="auto">
          <a:xfrm>
            <a:off x="790"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9955" name="AutoShape 499">
            <a:hlinkClick xmlns:r="http://schemas.openxmlformats.org/officeDocument/2006/relationships" r:id="rId16" tooltip="A szakosztály és a csapatok elérhetőségei"/>
          </xdr:cNvPr>
          <xdr:cNvSpPr>
            <a:spLocks noChangeArrowheads="1"/>
          </xdr:cNvSpPr>
        </xdr:nvSpPr>
        <xdr:spPr bwMode="auto">
          <a:xfrm>
            <a:off x="887"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9956" name="AutoShape 500">
            <a:hlinkClick xmlns:r="http://schemas.openxmlformats.org/officeDocument/2006/relationships" r:id="rId17" tooltip="Versenykiírás megtekintése"/>
          </xdr:cNvPr>
          <xdr:cNvSpPr>
            <a:spLocks noChangeArrowheads="1"/>
          </xdr:cNvSpPr>
        </xdr:nvSpPr>
        <xdr:spPr bwMode="auto">
          <a:xfrm>
            <a:off x="887"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grpSp>
    <xdr:clientData/>
  </xdr:twoCellAnchor>
  <mc:AlternateContent xmlns:mc="http://schemas.openxmlformats.org/markup-compatibility/2006">
    <mc:Choice xmlns:a14="http://schemas.microsoft.com/office/drawing/2010/main" Requires="a14">
      <xdr:twoCellAnchor>
        <xdr:from>
          <xdr:col>40</xdr:col>
          <xdr:colOff>152400</xdr:colOff>
          <xdr:row>40</xdr:row>
          <xdr:rowOff>209550</xdr:rowOff>
        </xdr:from>
        <xdr:to>
          <xdr:col>40</xdr:col>
          <xdr:colOff>390525</xdr:colOff>
          <xdr:row>40</xdr:row>
          <xdr:rowOff>466725</xdr:rowOff>
        </xdr:to>
        <xdr:sp macro="" textlink="">
          <xdr:nvSpPr>
            <xdr:cNvPr id="19562" name="Option Button 106" hidden="1">
              <a:extLst>
                <a:ext uri="{63B3BB69-23CF-44E3-9099-C40C66FF867C}">
                  <a14:compatExt spid="_x0000_s195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152400</xdr:colOff>
          <xdr:row>40</xdr:row>
          <xdr:rowOff>419100</xdr:rowOff>
        </xdr:from>
        <xdr:to>
          <xdr:col>40</xdr:col>
          <xdr:colOff>390525</xdr:colOff>
          <xdr:row>40</xdr:row>
          <xdr:rowOff>647700</xdr:rowOff>
        </xdr:to>
        <xdr:sp macro="" textlink="">
          <xdr:nvSpPr>
            <xdr:cNvPr id="19563" name="Option Button 107" hidden="1">
              <a:extLst>
                <a:ext uri="{63B3BB69-23CF-44E3-9099-C40C66FF867C}">
                  <a14:compatExt spid="_x0000_s195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152400</xdr:colOff>
          <xdr:row>40</xdr:row>
          <xdr:rowOff>619125</xdr:rowOff>
        </xdr:from>
        <xdr:to>
          <xdr:col>40</xdr:col>
          <xdr:colOff>390525</xdr:colOff>
          <xdr:row>40</xdr:row>
          <xdr:rowOff>847725</xdr:rowOff>
        </xdr:to>
        <xdr:sp macro="" textlink="">
          <xdr:nvSpPr>
            <xdr:cNvPr id="19569" name="Option Button 113" hidden="1">
              <a:extLst>
                <a:ext uri="{63B3BB69-23CF-44E3-9099-C40C66FF867C}">
                  <a14:compatExt spid="_x0000_s195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editAs="oneCell">
    <xdr:from>
      <xdr:col>2</xdr:col>
      <xdr:colOff>9525</xdr:colOff>
      <xdr:row>64</xdr:row>
      <xdr:rowOff>66675</xdr:rowOff>
    </xdr:from>
    <xdr:to>
      <xdr:col>2</xdr:col>
      <xdr:colOff>581025</xdr:colOff>
      <xdr:row>65</xdr:row>
      <xdr:rowOff>28575</xdr:rowOff>
    </xdr:to>
    <xdr:sp macro="" textlink="">
      <xdr:nvSpPr>
        <xdr:cNvPr id="26625" name="Text Box 120"/>
        <xdr:cNvSpPr txBox="1">
          <a:spLocks noChangeArrowheads="1"/>
        </xdr:cNvSpPr>
      </xdr:nvSpPr>
      <xdr:spPr bwMode="auto">
        <a:xfrm>
          <a:off x="247650" y="2143125"/>
          <a:ext cx="571500" cy="123825"/>
        </a:xfrm>
        <a:prstGeom prst="rect">
          <a:avLst/>
        </a:prstGeom>
        <a:noFill/>
        <a:ln w="9525" algn="ctr">
          <a:noFill/>
          <a:miter lim="800000"/>
          <a:headEnd/>
          <a:tailEnd/>
        </a:ln>
        <a:effectLst/>
      </xdr:spPr>
      <xdr:txBody>
        <a:bodyPr vertOverflow="clip" wrap="square" lIns="0" tIns="0" rIns="0" bIns="0" anchor="t" upright="1"/>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9525</xdr:colOff>
      <xdr:row>114</xdr:row>
      <xdr:rowOff>66675</xdr:rowOff>
    </xdr:from>
    <xdr:to>
      <xdr:col>2</xdr:col>
      <xdr:colOff>581025</xdr:colOff>
      <xdr:row>115</xdr:row>
      <xdr:rowOff>28575</xdr:rowOff>
    </xdr:to>
    <xdr:sp macro="" textlink="">
      <xdr:nvSpPr>
        <xdr:cNvPr id="26626" name="Text Box 120"/>
        <xdr:cNvSpPr txBox="1">
          <a:spLocks noChangeArrowheads="1"/>
        </xdr:cNvSpPr>
      </xdr:nvSpPr>
      <xdr:spPr bwMode="auto">
        <a:xfrm>
          <a:off x="247650" y="6496050"/>
          <a:ext cx="571500" cy="123825"/>
        </a:xfrm>
        <a:prstGeom prst="rect">
          <a:avLst/>
        </a:prstGeom>
        <a:noFill/>
        <a:ln w="9525" algn="ctr">
          <a:noFill/>
          <a:miter lim="800000"/>
          <a:headEnd/>
          <a:tailEnd/>
        </a:ln>
        <a:effectLst/>
      </xdr:spPr>
      <xdr:txBody>
        <a:bodyPr vertOverflow="clip" wrap="square" lIns="0" tIns="0" rIns="0" bIns="0" anchor="t" upright="1"/>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9525</xdr:colOff>
      <xdr:row>164</xdr:row>
      <xdr:rowOff>66675</xdr:rowOff>
    </xdr:from>
    <xdr:to>
      <xdr:col>2</xdr:col>
      <xdr:colOff>581025</xdr:colOff>
      <xdr:row>165</xdr:row>
      <xdr:rowOff>28575</xdr:rowOff>
    </xdr:to>
    <xdr:sp macro="" textlink="">
      <xdr:nvSpPr>
        <xdr:cNvPr id="26696" name="Text Box 120"/>
        <xdr:cNvSpPr txBox="1">
          <a:spLocks noChangeArrowheads="1"/>
        </xdr:cNvSpPr>
      </xdr:nvSpPr>
      <xdr:spPr bwMode="auto">
        <a:xfrm>
          <a:off x="247650" y="10848975"/>
          <a:ext cx="571500" cy="123825"/>
        </a:xfrm>
        <a:prstGeom prst="rect">
          <a:avLst/>
        </a:prstGeom>
        <a:noFill/>
        <a:ln w="9525" algn="ctr">
          <a:noFill/>
          <a:miter lim="800000"/>
          <a:headEnd/>
          <a:tailEnd/>
        </a:ln>
        <a:effectLst/>
      </xdr:spPr>
      <xdr:txBody>
        <a:bodyPr vertOverflow="clip" wrap="square" lIns="0" tIns="0" rIns="0" bIns="0" anchor="t" upright="1"/>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9525</xdr:colOff>
      <xdr:row>214</xdr:row>
      <xdr:rowOff>66675</xdr:rowOff>
    </xdr:from>
    <xdr:to>
      <xdr:col>2</xdr:col>
      <xdr:colOff>581025</xdr:colOff>
      <xdr:row>215</xdr:row>
      <xdr:rowOff>28575</xdr:rowOff>
    </xdr:to>
    <xdr:sp macro="" textlink="">
      <xdr:nvSpPr>
        <xdr:cNvPr id="26697" name="Text Box 120"/>
        <xdr:cNvSpPr txBox="1">
          <a:spLocks noChangeArrowheads="1"/>
        </xdr:cNvSpPr>
      </xdr:nvSpPr>
      <xdr:spPr bwMode="auto">
        <a:xfrm>
          <a:off x="247650" y="15201900"/>
          <a:ext cx="571500" cy="123825"/>
        </a:xfrm>
        <a:prstGeom prst="rect">
          <a:avLst/>
        </a:prstGeom>
        <a:noFill/>
        <a:ln w="9525" algn="ctr">
          <a:noFill/>
          <a:miter lim="800000"/>
          <a:headEnd/>
          <a:tailEnd/>
        </a:ln>
        <a:effectLst/>
      </xdr:spPr>
      <xdr:txBody>
        <a:bodyPr vertOverflow="clip" wrap="square" lIns="0" tIns="0" rIns="0" bIns="0" anchor="t" upright="1"/>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9525</xdr:colOff>
      <xdr:row>264</xdr:row>
      <xdr:rowOff>66675</xdr:rowOff>
    </xdr:from>
    <xdr:to>
      <xdr:col>2</xdr:col>
      <xdr:colOff>581025</xdr:colOff>
      <xdr:row>265</xdr:row>
      <xdr:rowOff>28575</xdr:rowOff>
    </xdr:to>
    <xdr:sp macro="" textlink="">
      <xdr:nvSpPr>
        <xdr:cNvPr id="26698" name="Text Box 120"/>
        <xdr:cNvSpPr txBox="1">
          <a:spLocks noChangeArrowheads="1"/>
        </xdr:cNvSpPr>
      </xdr:nvSpPr>
      <xdr:spPr bwMode="auto">
        <a:xfrm>
          <a:off x="247650" y="19554825"/>
          <a:ext cx="571500" cy="123825"/>
        </a:xfrm>
        <a:prstGeom prst="rect">
          <a:avLst/>
        </a:prstGeom>
        <a:noFill/>
        <a:ln w="9525" algn="ctr">
          <a:noFill/>
          <a:miter lim="800000"/>
          <a:headEnd/>
          <a:tailEnd/>
        </a:ln>
        <a:effectLst/>
      </xdr:spPr>
      <xdr:txBody>
        <a:bodyPr vertOverflow="clip" wrap="square" lIns="0" tIns="0" rIns="0" bIns="0" anchor="t" upright="1"/>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9525</xdr:colOff>
      <xdr:row>314</xdr:row>
      <xdr:rowOff>66675</xdr:rowOff>
    </xdr:from>
    <xdr:to>
      <xdr:col>2</xdr:col>
      <xdr:colOff>581025</xdr:colOff>
      <xdr:row>315</xdr:row>
      <xdr:rowOff>28575</xdr:rowOff>
    </xdr:to>
    <xdr:sp macro="" textlink="">
      <xdr:nvSpPr>
        <xdr:cNvPr id="26699" name="Text Box 120"/>
        <xdr:cNvSpPr txBox="1">
          <a:spLocks noChangeArrowheads="1"/>
        </xdr:cNvSpPr>
      </xdr:nvSpPr>
      <xdr:spPr bwMode="auto">
        <a:xfrm>
          <a:off x="247650" y="23907750"/>
          <a:ext cx="571500" cy="123825"/>
        </a:xfrm>
        <a:prstGeom prst="rect">
          <a:avLst/>
        </a:prstGeom>
        <a:noFill/>
        <a:ln w="9525" algn="ctr">
          <a:noFill/>
          <a:miter lim="800000"/>
          <a:headEnd/>
          <a:tailEnd/>
        </a:ln>
        <a:effectLst/>
      </xdr:spPr>
      <xdr:txBody>
        <a:bodyPr vertOverflow="clip" wrap="square" lIns="0" tIns="0" rIns="0" bIns="0" anchor="t" upright="1"/>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9525</xdr:colOff>
      <xdr:row>364</xdr:row>
      <xdr:rowOff>66675</xdr:rowOff>
    </xdr:from>
    <xdr:to>
      <xdr:col>2</xdr:col>
      <xdr:colOff>581025</xdr:colOff>
      <xdr:row>365</xdr:row>
      <xdr:rowOff>28575</xdr:rowOff>
    </xdr:to>
    <xdr:sp macro="" textlink="">
      <xdr:nvSpPr>
        <xdr:cNvPr id="26700" name="Text Box 120"/>
        <xdr:cNvSpPr txBox="1">
          <a:spLocks noChangeArrowheads="1"/>
        </xdr:cNvSpPr>
      </xdr:nvSpPr>
      <xdr:spPr bwMode="auto">
        <a:xfrm>
          <a:off x="247650" y="28260675"/>
          <a:ext cx="571500" cy="123825"/>
        </a:xfrm>
        <a:prstGeom prst="rect">
          <a:avLst/>
        </a:prstGeom>
        <a:noFill/>
        <a:ln w="9525" algn="ctr">
          <a:noFill/>
          <a:miter lim="800000"/>
          <a:headEnd/>
          <a:tailEnd/>
        </a:ln>
        <a:effectLst/>
      </xdr:spPr>
      <xdr:txBody>
        <a:bodyPr vertOverflow="clip" wrap="square" lIns="0" tIns="0" rIns="0" bIns="0" anchor="t" upright="1"/>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9525</xdr:colOff>
      <xdr:row>414</xdr:row>
      <xdr:rowOff>66675</xdr:rowOff>
    </xdr:from>
    <xdr:to>
      <xdr:col>2</xdr:col>
      <xdr:colOff>581025</xdr:colOff>
      <xdr:row>415</xdr:row>
      <xdr:rowOff>28575</xdr:rowOff>
    </xdr:to>
    <xdr:sp macro="" textlink="">
      <xdr:nvSpPr>
        <xdr:cNvPr id="26701" name="Text Box 120"/>
        <xdr:cNvSpPr txBox="1">
          <a:spLocks noChangeArrowheads="1"/>
        </xdr:cNvSpPr>
      </xdr:nvSpPr>
      <xdr:spPr bwMode="auto">
        <a:xfrm>
          <a:off x="247650" y="32613600"/>
          <a:ext cx="571500" cy="123825"/>
        </a:xfrm>
        <a:prstGeom prst="rect">
          <a:avLst/>
        </a:prstGeom>
        <a:noFill/>
        <a:ln w="9525" algn="ctr">
          <a:noFill/>
          <a:miter lim="800000"/>
          <a:headEnd/>
          <a:tailEnd/>
        </a:ln>
        <a:effectLst/>
      </xdr:spPr>
      <xdr:txBody>
        <a:bodyPr vertOverflow="clip" wrap="square" lIns="0" tIns="0" rIns="0" bIns="0" anchor="t" upright="1"/>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9525</xdr:colOff>
      <xdr:row>464</xdr:row>
      <xdr:rowOff>66675</xdr:rowOff>
    </xdr:from>
    <xdr:to>
      <xdr:col>2</xdr:col>
      <xdr:colOff>581025</xdr:colOff>
      <xdr:row>465</xdr:row>
      <xdr:rowOff>28575</xdr:rowOff>
    </xdr:to>
    <xdr:sp macro="" textlink="">
      <xdr:nvSpPr>
        <xdr:cNvPr id="26702" name="Text Box 120"/>
        <xdr:cNvSpPr txBox="1">
          <a:spLocks noChangeArrowheads="1"/>
        </xdr:cNvSpPr>
      </xdr:nvSpPr>
      <xdr:spPr bwMode="auto">
        <a:xfrm>
          <a:off x="247650" y="36966525"/>
          <a:ext cx="571500" cy="123825"/>
        </a:xfrm>
        <a:prstGeom prst="rect">
          <a:avLst/>
        </a:prstGeom>
        <a:noFill/>
        <a:ln w="9525" algn="ctr">
          <a:noFill/>
          <a:miter lim="800000"/>
          <a:headEnd/>
          <a:tailEnd/>
        </a:ln>
        <a:effectLst/>
      </xdr:spPr>
      <xdr:txBody>
        <a:bodyPr vertOverflow="clip" wrap="square" lIns="0" tIns="0" rIns="0" bIns="0" anchor="t" upright="1"/>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9525</xdr:colOff>
      <xdr:row>514</xdr:row>
      <xdr:rowOff>66675</xdr:rowOff>
    </xdr:from>
    <xdr:to>
      <xdr:col>2</xdr:col>
      <xdr:colOff>581025</xdr:colOff>
      <xdr:row>515</xdr:row>
      <xdr:rowOff>28575</xdr:rowOff>
    </xdr:to>
    <xdr:sp macro="" textlink="">
      <xdr:nvSpPr>
        <xdr:cNvPr id="26703" name="Text Box 120"/>
        <xdr:cNvSpPr txBox="1">
          <a:spLocks noChangeArrowheads="1"/>
        </xdr:cNvSpPr>
      </xdr:nvSpPr>
      <xdr:spPr bwMode="auto">
        <a:xfrm>
          <a:off x="247650" y="41319450"/>
          <a:ext cx="571500" cy="123825"/>
        </a:xfrm>
        <a:prstGeom prst="rect">
          <a:avLst/>
        </a:prstGeom>
        <a:noFill/>
        <a:ln w="9525" algn="ctr">
          <a:noFill/>
          <a:miter lim="800000"/>
          <a:headEnd/>
          <a:tailEnd/>
        </a:ln>
        <a:effectLst/>
      </xdr:spPr>
      <xdr:txBody>
        <a:bodyPr vertOverflow="clip" wrap="square" lIns="0" tIns="0" rIns="0" bIns="0" anchor="t" upright="1"/>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9525</xdr:colOff>
      <xdr:row>564</xdr:row>
      <xdr:rowOff>66675</xdr:rowOff>
    </xdr:from>
    <xdr:to>
      <xdr:col>2</xdr:col>
      <xdr:colOff>581025</xdr:colOff>
      <xdr:row>565</xdr:row>
      <xdr:rowOff>28575</xdr:rowOff>
    </xdr:to>
    <xdr:sp macro="" textlink="">
      <xdr:nvSpPr>
        <xdr:cNvPr id="26704" name="Text Box 120"/>
        <xdr:cNvSpPr txBox="1">
          <a:spLocks noChangeArrowheads="1"/>
        </xdr:cNvSpPr>
      </xdr:nvSpPr>
      <xdr:spPr bwMode="auto">
        <a:xfrm>
          <a:off x="247650" y="45672375"/>
          <a:ext cx="571500" cy="123825"/>
        </a:xfrm>
        <a:prstGeom prst="rect">
          <a:avLst/>
        </a:prstGeom>
        <a:noFill/>
        <a:ln w="9525" algn="ctr">
          <a:noFill/>
          <a:miter lim="800000"/>
          <a:headEnd/>
          <a:tailEnd/>
        </a:ln>
        <a:effectLst/>
      </xdr:spPr>
      <xdr:txBody>
        <a:bodyPr vertOverflow="clip" wrap="square" lIns="0" tIns="0" rIns="0" bIns="0" anchor="t" upright="1"/>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0</xdr:col>
      <xdr:colOff>0</xdr:colOff>
      <xdr:row>0</xdr:row>
      <xdr:rowOff>0</xdr:rowOff>
    </xdr:from>
    <xdr:to>
      <xdr:col>54</xdr:col>
      <xdr:colOff>9525</xdr:colOff>
      <xdr:row>38</xdr:row>
      <xdr:rowOff>0</xdr:rowOff>
    </xdr:to>
    <xdr:grpSp>
      <xdr:nvGrpSpPr>
        <xdr:cNvPr id="22540" name="Group 112"/>
        <xdr:cNvGrpSpPr>
          <a:grpSpLocks/>
        </xdr:cNvGrpSpPr>
      </xdr:nvGrpSpPr>
      <xdr:grpSpPr bwMode="auto">
        <a:xfrm>
          <a:off x="0" y="0"/>
          <a:ext cx="9582150" cy="485775"/>
          <a:chOff x="0" y="0"/>
          <a:chExt cx="1006" cy="51"/>
        </a:xfrm>
      </xdr:grpSpPr>
      <xdr:pic>
        <xdr:nvPicPr>
          <xdr:cNvPr id="22541" name="Picture 82"/>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006" cy="51"/>
          </a:xfrm>
          <a:prstGeom prst="rect">
            <a:avLst/>
          </a:prstGeom>
          <a:noFill/>
          <a:ln w="9525">
            <a:noFill/>
            <a:miter lim="800000"/>
            <a:headEnd/>
            <a:tailEnd/>
          </a:ln>
        </xdr:spPr>
      </xdr:pic>
      <xdr:grpSp>
        <xdr:nvGrpSpPr>
          <xdr:cNvPr id="22542" name="Group 92">
            <a:hlinkClick xmlns:r="http://schemas.openxmlformats.org/officeDocument/2006/relationships" r:id="rId2" tooltip="Mail to Gyworks"/>
          </xdr:cNvPr>
          <xdr:cNvGrpSpPr>
            <a:grpSpLocks/>
          </xdr:cNvGrpSpPr>
        </xdr:nvGrpSpPr>
        <xdr:grpSpPr bwMode="auto">
          <a:xfrm>
            <a:off x="449" y="11"/>
            <a:ext cx="49" cy="34"/>
            <a:chOff x="356" y="11"/>
            <a:chExt cx="49" cy="34"/>
          </a:xfrm>
        </xdr:grpSpPr>
        <xdr:grpSp>
          <xdr:nvGrpSpPr>
            <xdr:cNvPr id="22560" name="Group 93"/>
            <xdr:cNvGrpSpPr>
              <a:grpSpLocks/>
            </xdr:cNvGrpSpPr>
          </xdr:nvGrpSpPr>
          <xdr:grpSpPr bwMode="auto">
            <a:xfrm>
              <a:off x="361" y="11"/>
              <a:ext cx="44" cy="18"/>
              <a:chOff x="148" y="352"/>
              <a:chExt cx="44" cy="18"/>
            </a:xfrm>
          </xdr:grpSpPr>
          <xdr:grpSp>
            <xdr:nvGrpSpPr>
              <xdr:cNvPr id="22562" name="Group 94"/>
              <xdr:cNvGrpSpPr>
                <a:grpSpLocks noChangeAspect="1"/>
              </xdr:cNvGrpSpPr>
            </xdr:nvGrpSpPr>
            <xdr:grpSpPr bwMode="auto">
              <a:xfrm>
                <a:off x="148" y="352"/>
                <a:ext cx="14" cy="16"/>
                <a:chOff x="846" y="38"/>
                <a:chExt cx="28" cy="32"/>
              </a:xfrm>
            </xdr:grpSpPr>
            <xdr:sp macro="" textlink="">
              <xdr:nvSpPr>
                <xdr:cNvPr id="22565" name="Line 95"/>
                <xdr:cNvSpPr>
                  <a:spLocks noChangeAspect="1" noChangeShapeType="1"/>
                </xdr:cNvSpPr>
              </xdr:nvSpPr>
              <xdr:spPr bwMode="auto">
                <a:xfrm flipH="1">
                  <a:off x="850" y="49"/>
                  <a:ext cx="17" cy="21"/>
                </a:xfrm>
                <a:prstGeom prst="line">
                  <a:avLst/>
                </a:prstGeom>
                <a:noFill/>
                <a:ln w="19050">
                  <a:solidFill>
                    <a:srgbClr val="EEEEEE"/>
                  </a:solidFill>
                  <a:round/>
                  <a:headEnd/>
                  <a:tailEnd/>
                </a:ln>
              </xdr:spPr>
            </xdr:sp>
            <xdr:sp macro="" textlink="">
              <xdr:nvSpPr>
                <xdr:cNvPr id="22566" name="Arc 96"/>
                <xdr:cNvSpPr>
                  <a:spLocks noChangeAspect="1"/>
                </xdr:cNvSpPr>
              </xdr:nvSpPr>
              <xdr:spPr bwMode="auto">
                <a:xfrm rot="16200000" flipH="1">
                  <a:off x="848" y="36"/>
                  <a:ext cx="23" cy="27"/>
                </a:xfrm>
                <a:custGeom>
                  <a:avLst/>
                  <a:gdLst>
                    <a:gd name="T0" fmla="*/ 6 w 43200"/>
                    <a:gd name="T1" fmla="*/ 27 h 40066"/>
                    <a:gd name="T2" fmla="*/ 22 w 43200"/>
                    <a:gd name="T3" fmla="*/ 22 h 40066"/>
                    <a:gd name="T4" fmla="*/ 12 w 43200"/>
                    <a:gd name="T5" fmla="*/ 15 h 40066"/>
                    <a:gd name="T6" fmla="*/ 0 60000 65536"/>
                    <a:gd name="T7" fmla="*/ 0 60000 65536"/>
                    <a:gd name="T8" fmla="*/ 0 60000 65536"/>
                    <a:gd name="T9" fmla="*/ 0 w 43200"/>
                    <a:gd name="T10" fmla="*/ 0 h 40066"/>
                    <a:gd name="T11" fmla="*/ 43200 w 43200"/>
                    <a:gd name="T12" fmla="*/ 40066 h 40066"/>
                  </a:gdLst>
                  <a:ahLst/>
                  <a:cxnLst>
                    <a:cxn ang="T6">
                      <a:pos x="T0" y="T1"/>
                    </a:cxn>
                    <a:cxn ang="T7">
                      <a:pos x="T2" y="T3"/>
                    </a:cxn>
                    <a:cxn ang="T8">
                      <a:pos x="T4" y="T5"/>
                    </a:cxn>
                  </a:cxnLst>
                  <a:rect l="T9" t="T10" r="T11" b="T12"/>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close/>
                    </a:path>
                  </a:pathLst>
                </a:custGeom>
                <a:noFill/>
                <a:ln w="19050">
                  <a:solidFill>
                    <a:srgbClr val="EEEEEE"/>
                  </a:solidFill>
                  <a:round/>
                  <a:headEnd/>
                  <a:tailEnd/>
                </a:ln>
              </xdr:spPr>
            </xdr:sp>
            <xdr:sp macro="" textlink="">
              <xdr:nvSpPr>
                <xdr:cNvPr id="22567" name="Line 97"/>
                <xdr:cNvSpPr>
                  <a:spLocks noChangeAspect="1" noChangeShapeType="1"/>
                </xdr:cNvSpPr>
              </xdr:nvSpPr>
              <xdr:spPr bwMode="auto">
                <a:xfrm flipH="1">
                  <a:off x="858" y="49"/>
                  <a:ext cx="16" cy="21"/>
                </a:xfrm>
                <a:prstGeom prst="line">
                  <a:avLst/>
                </a:prstGeom>
                <a:noFill/>
                <a:ln w="19050">
                  <a:solidFill>
                    <a:srgbClr val="EEEEEE"/>
                  </a:solidFill>
                  <a:round/>
                  <a:headEnd/>
                  <a:tailEnd/>
                </a:ln>
              </xdr:spPr>
            </xdr:sp>
          </xdr:grpSp>
          <xdr:sp macro="" textlink="">
            <xdr:nvSpPr>
              <xdr:cNvPr id="26722" name="Text Box 98"/>
              <xdr:cNvSpPr txBox="1">
                <a:spLocks noChangeAspect="1" noChangeArrowheads="1"/>
              </xdr:cNvSpPr>
            </xdr:nvSpPr>
            <xdr:spPr bwMode="auto">
              <a:xfrm>
                <a:off x="158" y="359"/>
                <a:ext cx="27" cy="11"/>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26723" name="Text Box 99"/>
              <xdr:cNvSpPr txBox="1">
                <a:spLocks noChangeAspect="1" noChangeArrowheads="1"/>
              </xdr:cNvSpPr>
            </xdr:nvSpPr>
            <xdr:spPr bwMode="auto">
              <a:xfrm>
                <a:off x="178" y="355"/>
                <a:ext cx="14" cy="9"/>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26724" name="Text Box 100"/>
            <xdr:cNvSpPr txBox="1">
              <a:spLocks noChangeArrowheads="1"/>
            </xdr:cNvSpPr>
          </xdr:nvSpPr>
          <xdr:spPr bwMode="auto">
            <a:xfrm>
              <a:off x="356" y="28"/>
              <a:ext cx="44" cy="17"/>
            </a:xfrm>
            <a:prstGeom prst="rect">
              <a:avLst/>
            </a:prstGeom>
            <a:noFill/>
            <a:ln w="9525">
              <a:noFill/>
              <a:miter lim="800000"/>
              <a:headEnd/>
              <a:tailEnd/>
            </a:ln>
            <a:effectLst/>
          </xdr:spPr>
          <xdr:txBody>
            <a:bodyPr vertOverflow="clip" wrap="square" lIns="27432" tIns="27432" rIns="27432" bIns="27432" anchor="ctr" upright="1"/>
            <a:lstStyle/>
            <a:p>
              <a:pPr algn="ctr" rtl="0">
                <a:defRPr sz="1000"/>
              </a:pPr>
              <a:r>
                <a:rPr lang="hu-HU" sz="800" b="0" i="0" u="none" strike="noStrike" baseline="0">
                  <a:solidFill>
                    <a:srgbClr val="EEEEEE"/>
                  </a:solidFill>
                  <a:latin typeface="Arial Narrow"/>
                </a:rPr>
                <a:t>©  2015</a:t>
              </a:r>
            </a:p>
          </xdr:txBody>
        </xdr:sp>
      </xdr:grpSp>
      <xdr:grpSp>
        <xdr:nvGrpSpPr>
          <xdr:cNvPr id="22543" name="Group 110">
            <a:hlinkClick xmlns:r="http://schemas.openxmlformats.org/officeDocument/2006/relationships" r:id="rId3" tooltip="HASEFOCI"/>
          </xdr:cNvPr>
          <xdr:cNvGrpSpPr>
            <a:grpSpLocks/>
          </xdr:cNvGrpSpPr>
        </xdr:nvGrpSpPr>
        <xdr:grpSpPr bwMode="auto">
          <a:xfrm>
            <a:off x="3" y="0"/>
            <a:ext cx="224" cy="50"/>
            <a:chOff x="3" y="0"/>
            <a:chExt cx="224" cy="50"/>
          </a:xfrm>
        </xdr:grpSpPr>
        <xdr:pic>
          <xdr:nvPicPr>
            <xdr:cNvPr id="22558" name="Picture 103"/>
            <xdr:cNvPicPr>
              <a:picLocks noChangeAspect="1" noChangeArrowheads="1"/>
            </xdr:cNvPicPr>
          </xdr:nvPicPr>
          <xdr:blipFill>
            <a:blip xmlns:r="http://schemas.openxmlformats.org/officeDocument/2006/relationships" r:embed="rId4" cstate="print"/>
            <a:srcRect/>
            <a:stretch>
              <a:fillRect/>
            </a:stretch>
          </xdr:blipFill>
          <xdr:spPr bwMode="auto">
            <a:xfrm>
              <a:off x="3" y="0"/>
              <a:ext cx="48" cy="50"/>
            </a:xfrm>
            <a:prstGeom prst="rect">
              <a:avLst/>
            </a:prstGeom>
            <a:noFill/>
            <a:ln w="9525">
              <a:noFill/>
              <a:miter lim="800000"/>
              <a:headEnd/>
              <a:tailEnd/>
            </a:ln>
          </xdr:spPr>
        </xdr:pic>
        <xdr:pic>
          <xdr:nvPicPr>
            <xdr:cNvPr id="22559" name="Picture 104"/>
            <xdr:cNvPicPr>
              <a:picLocks noChangeAspect="1" noChangeArrowheads="1"/>
            </xdr:cNvPicPr>
          </xdr:nvPicPr>
          <xdr:blipFill>
            <a:blip xmlns:r="http://schemas.openxmlformats.org/officeDocument/2006/relationships" r:embed="rId5" cstate="print"/>
            <a:srcRect/>
            <a:stretch>
              <a:fillRect/>
            </a:stretch>
          </xdr:blipFill>
          <xdr:spPr bwMode="auto">
            <a:xfrm>
              <a:off x="55" y="3"/>
              <a:ext cx="172" cy="45"/>
            </a:xfrm>
            <a:prstGeom prst="rect">
              <a:avLst/>
            </a:prstGeom>
            <a:noFill/>
            <a:ln w="9525">
              <a:noFill/>
              <a:miter lim="800000"/>
              <a:headEnd/>
              <a:tailEnd/>
            </a:ln>
          </xdr:spPr>
        </xdr:pic>
      </xdr:grpSp>
      <xdr:grpSp>
        <xdr:nvGrpSpPr>
          <xdr:cNvPr id="22544" name="Group 111"/>
          <xdr:cNvGrpSpPr>
            <a:grpSpLocks/>
          </xdr:cNvGrpSpPr>
        </xdr:nvGrpSpPr>
        <xdr:grpSpPr bwMode="auto">
          <a:xfrm>
            <a:off x="221" y="1"/>
            <a:ext cx="227" cy="50"/>
            <a:chOff x="221" y="1"/>
            <a:chExt cx="227" cy="50"/>
          </a:xfrm>
        </xdr:grpSpPr>
        <xdr:pic>
          <xdr:nvPicPr>
            <xdr:cNvPr id="22556" name="Picture 83"/>
            <xdr:cNvPicPr>
              <a:picLocks noChangeAspect="1" noChangeArrowheads="1"/>
            </xdr:cNvPicPr>
          </xdr:nvPicPr>
          <xdr:blipFill>
            <a:blip xmlns:r="http://schemas.openxmlformats.org/officeDocument/2006/relationships" r:embed="rId6" cstate="print">
              <a:lum bright="-6000"/>
            </a:blip>
            <a:srcRect/>
            <a:stretch>
              <a:fillRect/>
            </a:stretch>
          </xdr:blipFill>
          <xdr:spPr bwMode="auto">
            <a:xfrm>
              <a:off x="221" y="1"/>
              <a:ext cx="227" cy="50"/>
            </a:xfrm>
            <a:prstGeom prst="rect">
              <a:avLst/>
            </a:prstGeom>
            <a:noFill/>
            <a:ln w="9525">
              <a:noFill/>
              <a:miter lim="800000"/>
              <a:headEnd/>
              <a:tailEnd/>
            </a:ln>
          </xdr:spPr>
        </xdr:pic>
        <xdr:sp macro="" textlink="">
          <xdr:nvSpPr>
            <xdr:cNvPr id="26729" name="WordArt 105"/>
            <xdr:cNvSpPr>
              <a:spLocks noChangeArrowheads="1" noChangeShapeType="1" noTextEdit="1"/>
            </xdr:cNvSpPr>
          </xdr:nvSpPr>
          <xdr:spPr bwMode="auto">
            <a:xfrm rot="-603553">
              <a:off x="265" y="17"/>
              <a:ext cx="64" cy="24"/>
            </a:xfrm>
            <a:prstGeom prst="rect">
              <a:avLst/>
            </a:prstGeom>
          </xdr:spPr>
          <xdr:txBody>
            <a:bodyPr wrap="none" fromWordArt="1">
              <a:prstTxWarp prst="textArchUp">
                <a:avLst>
                  <a:gd name="adj" fmla="val 12201797"/>
                </a:avLst>
              </a:prstTxWarp>
            </a:bodyPr>
            <a:lstStyle/>
            <a:p>
              <a:pPr algn="ctr" rtl="0"/>
              <a:r>
                <a:rPr lang="hu-HU" sz="3600" b="1" kern="10" spc="0">
                  <a:ln w="0">
                    <a:solidFill>
                      <a:srgbClr val="FFFFFF"/>
                    </a:solidFill>
                    <a:round/>
                    <a:headEnd/>
                    <a:tailEnd/>
                  </a:ln>
                  <a:solidFill>
                    <a:srgbClr val="E5322C"/>
                  </a:solidFill>
                  <a:effectLst>
                    <a:outerShdw dist="28398" dir="1593903" algn="ctr" rotWithShape="0">
                      <a:srgbClr val="FFFFFF"/>
                    </a:outerShdw>
                  </a:effectLst>
                  <a:latin typeface="Brush Script MT"/>
                </a:rPr>
                <a:t>2015</a:t>
              </a:r>
            </a:p>
          </xdr:txBody>
        </xdr:sp>
      </xdr:grpSp>
      <xdr:sp macro="" textlink="">
        <xdr:nvSpPr>
          <xdr:cNvPr id="26708" name="AutoShape 84">
            <a:hlinkClick xmlns:r="http://schemas.openxmlformats.org/officeDocument/2006/relationships" r:id="rId7" tooltip="Használati ismertető"/>
          </xdr:cNvPr>
          <xdr:cNvSpPr>
            <a:spLocks noChangeArrowheads="1"/>
          </xdr:cNvSpPr>
        </xdr:nvSpPr>
        <xdr:spPr bwMode="auto">
          <a:xfrm>
            <a:off x="984" y="5"/>
            <a:ext cx="20" cy="41"/>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rPr>
              <a:t>SÚGÓ</a:t>
            </a:r>
          </a:p>
        </xdr:txBody>
      </xdr:sp>
      <xdr:sp macro="" textlink="">
        <xdr:nvSpPr>
          <xdr:cNvPr id="26709" name="AutoShape 85">
            <a:hlinkClick xmlns:r="http://schemas.openxmlformats.org/officeDocument/2006/relationships" r:id="rId8" tooltip="Rájásztás eredményei"/>
          </xdr:cNvPr>
          <xdr:cNvSpPr>
            <a:spLocks noChangeArrowheads="1"/>
          </xdr:cNvSpPr>
        </xdr:nvSpPr>
        <xdr:spPr bwMode="auto">
          <a:xfrm>
            <a:off x="498"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RÁJÁTSZÁS</a:t>
            </a:r>
          </a:p>
        </xdr:txBody>
      </xdr:sp>
      <xdr:sp macro="" textlink="">
        <xdr:nvSpPr>
          <xdr:cNvPr id="26710" name="AutoShape 86">
            <a:hlinkClick xmlns:r="http://schemas.openxmlformats.org/officeDocument/2006/relationships" r:id="rId9" tooltip="Alapszakasz eredményei"/>
          </xdr:cNvPr>
          <xdr:cNvSpPr>
            <a:spLocks noChangeArrowheads="1"/>
          </xdr:cNvSpPr>
        </xdr:nvSpPr>
        <xdr:spPr bwMode="auto">
          <a:xfrm>
            <a:off x="498"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ALAPSZAKASZ</a:t>
            </a:r>
          </a:p>
        </xdr:txBody>
      </xdr:sp>
      <xdr:sp macro="" textlink="">
        <xdr:nvSpPr>
          <xdr:cNvPr id="26711" name="AutoShape 87">
            <a:hlinkClick xmlns:r="http://schemas.openxmlformats.org/officeDocument/2006/relationships" r:id="rId10" tooltip="Góllövőlista megtekintése"/>
          </xdr:cNvPr>
          <xdr:cNvSpPr>
            <a:spLocks noChangeArrowheads="1"/>
          </xdr:cNvSpPr>
        </xdr:nvSpPr>
        <xdr:spPr bwMode="auto">
          <a:xfrm>
            <a:off x="790"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26712" name="AutoShape 88">
            <a:hlinkClick xmlns:r="http://schemas.openxmlformats.org/officeDocument/2006/relationships" r:id="rId11" tooltip="Alapszakasz tabella megtekintése"/>
          </xdr:cNvPr>
          <xdr:cNvSpPr>
            <a:spLocks noChangeArrowheads="1"/>
          </xdr:cNvSpPr>
        </xdr:nvSpPr>
        <xdr:spPr bwMode="auto">
          <a:xfrm>
            <a:off x="592"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a.</a:t>
            </a:r>
          </a:p>
        </xdr:txBody>
      </xdr:sp>
      <xdr:sp macro="" textlink="">
        <xdr:nvSpPr>
          <xdr:cNvPr id="26713" name="AutoShape 89">
            <a:hlinkClick xmlns:r="http://schemas.openxmlformats.org/officeDocument/2006/relationships" r:id="rId12" tooltip="Rájásztás tabella megtekintése"/>
          </xdr:cNvPr>
          <xdr:cNvSpPr>
            <a:spLocks noChangeArrowheads="1"/>
          </xdr:cNvSpPr>
        </xdr:nvSpPr>
        <xdr:spPr bwMode="auto">
          <a:xfrm>
            <a:off x="592"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r.</a:t>
            </a:r>
          </a:p>
        </xdr:txBody>
      </xdr:sp>
      <xdr:sp macro="" textlink="">
        <xdr:nvSpPr>
          <xdr:cNvPr id="26714" name="AutoShape 90">
            <a:hlinkClick xmlns:r="http://schemas.openxmlformats.org/officeDocument/2006/relationships" r:id="rId13" tooltip="Alapszakasz kereszttáblázat megtekintése"/>
          </xdr:cNvPr>
          <xdr:cNvSpPr>
            <a:spLocks noChangeArrowheads="1"/>
          </xdr:cNvSpPr>
        </xdr:nvSpPr>
        <xdr:spPr bwMode="auto">
          <a:xfrm>
            <a:off x="686" y="5"/>
            <a:ext cx="10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 a.</a:t>
            </a:r>
          </a:p>
        </xdr:txBody>
      </xdr:sp>
      <xdr:sp macro="" textlink="">
        <xdr:nvSpPr>
          <xdr:cNvPr id="26715" name="AutoShape 91">
            <a:hlinkClick xmlns:r="http://schemas.openxmlformats.org/officeDocument/2006/relationships" r:id="rId14" tooltip="Rájátszás kereszttáblázat megtekintése"/>
          </xdr:cNvPr>
          <xdr:cNvSpPr>
            <a:spLocks noChangeArrowheads="1"/>
          </xdr:cNvSpPr>
        </xdr:nvSpPr>
        <xdr:spPr bwMode="auto">
          <a:xfrm>
            <a:off x="686" y="27"/>
            <a:ext cx="10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KERESZTTÁBLA r.</a:t>
            </a:r>
          </a:p>
        </xdr:txBody>
      </xdr:sp>
      <xdr:sp macro="" textlink="">
        <xdr:nvSpPr>
          <xdr:cNvPr id="26725" name="AutoShape 101">
            <a:hlinkClick xmlns:r="http://schemas.openxmlformats.org/officeDocument/2006/relationships" r:id="rId15" tooltip="Gólszerzők rögzítése"/>
          </xdr:cNvPr>
          <xdr:cNvSpPr>
            <a:spLocks noChangeArrowheads="1"/>
          </xdr:cNvSpPr>
        </xdr:nvSpPr>
        <xdr:spPr bwMode="auto">
          <a:xfrm>
            <a:off x="790" y="5"/>
            <a:ext cx="94" cy="19"/>
          </a:xfrm>
          <a:prstGeom prst="bevel">
            <a:avLst>
              <a:gd name="adj" fmla="val 9093"/>
            </a:avLst>
          </a:prstGeom>
          <a:gradFill rotWithShape="1">
            <a:gsLst>
              <a:gs pos="0">
                <a:srgbClr val="FF6600"/>
              </a:gs>
              <a:gs pos="100000">
                <a:srgbClr val="C72323"/>
              </a:gs>
            </a:gsLst>
            <a:lin ang="5400000" scaled="1"/>
          </a:gradFill>
          <a:ln w="9525">
            <a:noFill/>
            <a:miter lim="800000"/>
            <a:headEnd/>
            <a:tailEnd/>
          </a:ln>
          <a:effectLst/>
        </xdr:spPr>
        <xdr:txBody>
          <a:bodyPr vertOverflow="clip" wrap="square" lIns="0" tIns="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26731" name="AutoShape 107">
            <a:hlinkClick xmlns:r="http://schemas.openxmlformats.org/officeDocument/2006/relationships" r:id="rId16" tooltip="A szakosztály és a csapatok elérhetőségei"/>
          </xdr:cNvPr>
          <xdr:cNvSpPr>
            <a:spLocks noChangeArrowheads="1"/>
          </xdr:cNvSpPr>
        </xdr:nvSpPr>
        <xdr:spPr bwMode="auto">
          <a:xfrm>
            <a:off x="887"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26732" name="AutoShape 108">
            <a:hlinkClick xmlns:r="http://schemas.openxmlformats.org/officeDocument/2006/relationships" r:id="rId17" tooltip="Versenykiírás megtekintése"/>
          </xdr:cNvPr>
          <xdr:cNvSpPr>
            <a:spLocks noChangeArrowheads="1"/>
          </xdr:cNvSpPr>
        </xdr:nvSpPr>
        <xdr:spPr bwMode="auto">
          <a:xfrm>
            <a:off x="887"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0</xdr:colOff>
      <xdr:row>38</xdr:row>
      <xdr:rowOff>0</xdr:rowOff>
    </xdr:to>
    <xdr:grpSp>
      <xdr:nvGrpSpPr>
        <xdr:cNvPr id="23553" name="Group 75"/>
        <xdr:cNvGrpSpPr>
          <a:grpSpLocks/>
        </xdr:cNvGrpSpPr>
      </xdr:nvGrpSpPr>
      <xdr:grpSpPr bwMode="auto">
        <a:xfrm>
          <a:off x="0" y="0"/>
          <a:ext cx="9582150" cy="485775"/>
          <a:chOff x="0" y="0"/>
          <a:chExt cx="1006" cy="51"/>
        </a:xfrm>
      </xdr:grpSpPr>
      <xdr:pic>
        <xdr:nvPicPr>
          <xdr:cNvPr id="23554" name="Picture 76"/>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006" cy="51"/>
          </a:xfrm>
          <a:prstGeom prst="rect">
            <a:avLst/>
          </a:prstGeom>
          <a:noFill/>
          <a:ln w="9525">
            <a:noFill/>
            <a:miter lim="800000"/>
            <a:headEnd/>
            <a:tailEnd/>
          </a:ln>
        </xdr:spPr>
      </xdr:pic>
      <xdr:grpSp>
        <xdr:nvGrpSpPr>
          <xdr:cNvPr id="23555" name="Group 77">
            <a:hlinkClick xmlns:r="http://schemas.openxmlformats.org/officeDocument/2006/relationships" r:id="rId2" tooltip="Mail to Gyworks"/>
          </xdr:cNvPr>
          <xdr:cNvGrpSpPr>
            <a:grpSpLocks/>
          </xdr:cNvGrpSpPr>
        </xdr:nvGrpSpPr>
        <xdr:grpSpPr bwMode="auto">
          <a:xfrm>
            <a:off x="449" y="11"/>
            <a:ext cx="49" cy="34"/>
            <a:chOff x="356" y="11"/>
            <a:chExt cx="49" cy="34"/>
          </a:xfrm>
        </xdr:grpSpPr>
        <xdr:grpSp>
          <xdr:nvGrpSpPr>
            <xdr:cNvPr id="23573" name="Group 78"/>
            <xdr:cNvGrpSpPr>
              <a:grpSpLocks/>
            </xdr:cNvGrpSpPr>
          </xdr:nvGrpSpPr>
          <xdr:grpSpPr bwMode="auto">
            <a:xfrm>
              <a:off x="361" y="11"/>
              <a:ext cx="44" cy="18"/>
              <a:chOff x="148" y="352"/>
              <a:chExt cx="44" cy="18"/>
            </a:xfrm>
          </xdr:grpSpPr>
          <xdr:grpSp>
            <xdr:nvGrpSpPr>
              <xdr:cNvPr id="23575" name="Group 79"/>
              <xdr:cNvGrpSpPr>
                <a:grpSpLocks noChangeAspect="1"/>
              </xdr:cNvGrpSpPr>
            </xdr:nvGrpSpPr>
            <xdr:grpSpPr bwMode="auto">
              <a:xfrm>
                <a:off x="148" y="352"/>
                <a:ext cx="14" cy="16"/>
                <a:chOff x="846" y="38"/>
                <a:chExt cx="28" cy="32"/>
              </a:xfrm>
            </xdr:grpSpPr>
            <xdr:sp macro="" textlink="">
              <xdr:nvSpPr>
                <xdr:cNvPr id="23578" name="Line 80"/>
                <xdr:cNvSpPr>
                  <a:spLocks noChangeAspect="1" noChangeShapeType="1"/>
                </xdr:cNvSpPr>
              </xdr:nvSpPr>
              <xdr:spPr bwMode="auto">
                <a:xfrm flipH="1">
                  <a:off x="850" y="49"/>
                  <a:ext cx="17" cy="21"/>
                </a:xfrm>
                <a:prstGeom prst="line">
                  <a:avLst/>
                </a:prstGeom>
                <a:noFill/>
                <a:ln w="19050">
                  <a:solidFill>
                    <a:srgbClr val="EEEEEE"/>
                  </a:solidFill>
                  <a:round/>
                  <a:headEnd/>
                  <a:tailEnd/>
                </a:ln>
              </xdr:spPr>
            </xdr:sp>
            <xdr:sp macro="" textlink="">
              <xdr:nvSpPr>
                <xdr:cNvPr id="23579" name="Arc 81"/>
                <xdr:cNvSpPr>
                  <a:spLocks noChangeAspect="1"/>
                </xdr:cNvSpPr>
              </xdr:nvSpPr>
              <xdr:spPr bwMode="auto">
                <a:xfrm rot="16200000" flipH="1">
                  <a:off x="848" y="36"/>
                  <a:ext cx="23" cy="27"/>
                </a:xfrm>
                <a:custGeom>
                  <a:avLst/>
                  <a:gdLst>
                    <a:gd name="T0" fmla="*/ 6 w 43200"/>
                    <a:gd name="T1" fmla="*/ 27 h 40066"/>
                    <a:gd name="T2" fmla="*/ 22 w 43200"/>
                    <a:gd name="T3" fmla="*/ 22 h 40066"/>
                    <a:gd name="T4" fmla="*/ 12 w 43200"/>
                    <a:gd name="T5" fmla="*/ 15 h 40066"/>
                    <a:gd name="T6" fmla="*/ 0 60000 65536"/>
                    <a:gd name="T7" fmla="*/ 0 60000 65536"/>
                    <a:gd name="T8" fmla="*/ 0 60000 65536"/>
                    <a:gd name="T9" fmla="*/ 0 w 43200"/>
                    <a:gd name="T10" fmla="*/ 0 h 40066"/>
                    <a:gd name="T11" fmla="*/ 43200 w 43200"/>
                    <a:gd name="T12" fmla="*/ 40066 h 40066"/>
                  </a:gdLst>
                  <a:ahLst/>
                  <a:cxnLst>
                    <a:cxn ang="T6">
                      <a:pos x="T0" y="T1"/>
                    </a:cxn>
                    <a:cxn ang="T7">
                      <a:pos x="T2" y="T3"/>
                    </a:cxn>
                    <a:cxn ang="T8">
                      <a:pos x="T4" y="T5"/>
                    </a:cxn>
                  </a:cxnLst>
                  <a:rect l="T9" t="T10" r="T11" b="T12"/>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close/>
                    </a:path>
                  </a:pathLst>
                </a:custGeom>
                <a:noFill/>
                <a:ln w="19050">
                  <a:solidFill>
                    <a:srgbClr val="EEEEEE"/>
                  </a:solidFill>
                  <a:round/>
                  <a:headEnd/>
                  <a:tailEnd/>
                </a:ln>
              </xdr:spPr>
            </xdr:sp>
            <xdr:sp macro="" textlink="">
              <xdr:nvSpPr>
                <xdr:cNvPr id="23580" name="Line 82"/>
                <xdr:cNvSpPr>
                  <a:spLocks noChangeAspect="1" noChangeShapeType="1"/>
                </xdr:cNvSpPr>
              </xdr:nvSpPr>
              <xdr:spPr bwMode="auto">
                <a:xfrm flipH="1">
                  <a:off x="858" y="49"/>
                  <a:ext cx="16" cy="21"/>
                </a:xfrm>
                <a:prstGeom prst="line">
                  <a:avLst/>
                </a:prstGeom>
                <a:noFill/>
                <a:ln w="19050">
                  <a:solidFill>
                    <a:srgbClr val="EEEEEE"/>
                  </a:solidFill>
                  <a:round/>
                  <a:headEnd/>
                  <a:tailEnd/>
                </a:ln>
              </xdr:spPr>
            </xdr:sp>
          </xdr:grpSp>
          <xdr:sp macro="" textlink="">
            <xdr:nvSpPr>
              <xdr:cNvPr id="25683" name="Text Box 83"/>
              <xdr:cNvSpPr txBox="1">
                <a:spLocks noChangeAspect="1" noChangeArrowheads="1"/>
              </xdr:cNvSpPr>
            </xdr:nvSpPr>
            <xdr:spPr bwMode="auto">
              <a:xfrm>
                <a:off x="158" y="359"/>
                <a:ext cx="27" cy="11"/>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25684" name="Text Box 84"/>
              <xdr:cNvSpPr txBox="1">
                <a:spLocks noChangeAspect="1" noChangeArrowheads="1"/>
              </xdr:cNvSpPr>
            </xdr:nvSpPr>
            <xdr:spPr bwMode="auto">
              <a:xfrm>
                <a:off x="178" y="355"/>
                <a:ext cx="14" cy="9"/>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25685" name="Text Box 85"/>
            <xdr:cNvSpPr txBox="1">
              <a:spLocks noChangeArrowheads="1"/>
            </xdr:cNvSpPr>
          </xdr:nvSpPr>
          <xdr:spPr bwMode="auto">
            <a:xfrm>
              <a:off x="356" y="28"/>
              <a:ext cx="44" cy="17"/>
            </a:xfrm>
            <a:prstGeom prst="rect">
              <a:avLst/>
            </a:prstGeom>
            <a:noFill/>
            <a:ln w="9525">
              <a:noFill/>
              <a:miter lim="800000"/>
              <a:headEnd/>
              <a:tailEnd/>
            </a:ln>
            <a:effectLst/>
          </xdr:spPr>
          <xdr:txBody>
            <a:bodyPr vertOverflow="clip" wrap="square" lIns="27432" tIns="27432" rIns="27432" bIns="27432" anchor="ctr" upright="1"/>
            <a:lstStyle/>
            <a:p>
              <a:pPr algn="ctr" rtl="0">
                <a:defRPr sz="1000"/>
              </a:pPr>
              <a:r>
                <a:rPr lang="hu-HU" sz="800" b="0" i="0" u="none" strike="noStrike" baseline="0">
                  <a:solidFill>
                    <a:srgbClr val="EEEEEE"/>
                  </a:solidFill>
                  <a:latin typeface="Arial Narrow"/>
                </a:rPr>
                <a:t>©  2015</a:t>
              </a:r>
            </a:p>
          </xdr:txBody>
        </xdr:sp>
      </xdr:grpSp>
      <xdr:grpSp>
        <xdr:nvGrpSpPr>
          <xdr:cNvPr id="23556" name="Group 86">
            <a:hlinkClick xmlns:r="http://schemas.openxmlformats.org/officeDocument/2006/relationships" r:id="rId3" tooltip="HASEFOCI"/>
          </xdr:cNvPr>
          <xdr:cNvGrpSpPr>
            <a:grpSpLocks/>
          </xdr:cNvGrpSpPr>
        </xdr:nvGrpSpPr>
        <xdr:grpSpPr bwMode="auto">
          <a:xfrm>
            <a:off x="3" y="0"/>
            <a:ext cx="224" cy="50"/>
            <a:chOff x="3" y="0"/>
            <a:chExt cx="224" cy="50"/>
          </a:xfrm>
        </xdr:grpSpPr>
        <xdr:pic>
          <xdr:nvPicPr>
            <xdr:cNvPr id="23571" name="Picture 87"/>
            <xdr:cNvPicPr>
              <a:picLocks noChangeAspect="1" noChangeArrowheads="1"/>
            </xdr:cNvPicPr>
          </xdr:nvPicPr>
          <xdr:blipFill>
            <a:blip xmlns:r="http://schemas.openxmlformats.org/officeDocument/2006/relationships" r:embed="rId4" cstate="print"/>
            <a:srcRect/>
            <a:stretch>
              <a:fillRect/>
            </a:stretch>
          </xdr:blipFill>
          <xdr:spPr bwMode="auto">
            <a:xfrm>
              <a:off x="3" y="0"/>
              <a:ext cx="48" cy="50"/>
            </a:xfrm>
            <a:prstGeom prst="rect">
              <a:avLst/>
            </a:prstGeom>
            <a:noFill/>
            <a:ln w="9525">
              <a:noFill/>
              <a:miter lim="800000"/>
              <a:headEnd/>
              <a:tailEnd/>
            </a:ln>
          </xdr:spPr>
        </xdr:pic>
        <xdr:pic>
          <xdr:nvPicPr>
            <xdr:cNvPr id="23572" name="Picture 88"/>
            <xdr:cNvPicPr>
              <a:picLocks noChangeAspect="1" noChangeArrowheads="1"/>
            </xdr:cNvPicPr>
          </xdr:nvPicPr>
          <xdr:blipFill>
            <a:blip xmlns:r="http://schemas.openxmlformats.org/officeDocument/2006/relationships" r:embed="rId5" cstate="print"/>
            <a:srcRect/>
            <a:stretch>
              <a:fillRect/>
            </a:stretch>
          </xdr:blipFill>
          <xdr:spPr bwMode="auto">
            <a:xfrm>
              <a:off x="55" y="3"/>
              <a:ext cx="172" cy="45"/>
            </a:xfrm>
            <a:prstGeom prst="rect">
              <a:avLst/>
            </a:prstGeom>
            <a:noFill/>
            <a:ln w="9525">
              <a:noFill/>
              <a:miter lim="800000"/>
              <a:headEnd/>
              <a:tailEnd/>
            </a:ln>
          </xdr:spPr>
        </xdr:pic>
      </xdr:grpSp>
      <xdr:grpSp>
        <xdr:nvGrpSpPr>
          <xdr:cNvPr id="23557" name="Group 89"/>
          <xdr:cNvGrpSpPr>
            <a:grpSpLocks/>
          </xdr:cNvGrpSpPr>
        </xdr:nvGrpSpPr>
        <xdr:grpSpPr bwMode="auto">
          <a:xfrm>
            <a:off x="221" y="1"/>
            <a:ext cx="227" cy="50"/>
            <a:chOff x="221" y="1"/>
            <a:chExt cx="227" cy="50"/>
          </a:xfrm>
        </xdr:grpSpPr>
        <xdr:pic>
          <xdr:nvPicPr>
            <xdr:cNvPr id="23569" name="Picture 90"/>
            <xdr:cNvPicPr>
              <a:picLocks noChangeAspect="1" noChangeArrowheads="1"/>
            </xdr:cNvPicPr>
          </xdr:nvPicPr>
          <xdr:blipFill>
            <a:blip xmlns:r="http://schemas.openxmlformats.org/officeDocument/2006/relationships" r:embed="rId6" cstate="print">
              <a:lum bright="-6000"/>
            </a:blip>
            <a:srcRect/>
            <a:stretch>
              <a:fillRect/>
            </a:stretch>
          </xdr:blipFill>
          <xdr:spPr bwMode="auto">
            <a:xfrm>
              <a:off x="221" y="1"/>
              <a:ext cx="227" cy="50"/>
            </a:xfrm>
            <a:prstGeom prst="rect">
              <a:avLst/>
            </a:prstGeom>
            <a:noFill/>
            <a:ln w="9525">
              <a:noFill/>
              <a:miter lim="800000"/>
              <a:headEnd/>
              <a:tailEnd/>
            </a:ln>
          </xdr:spPr>
        </xdr:pic>
        <xdr:sp macro="" textlink="">
          <xdr:nvSpPr>
            <xdr:cNvPr id="25691" name="WordArt 91"/>
            <xdr:cNvSpPr>
              <a:spLocks noChangeArrowheads="1" noChangeShapeType="1" noTextEdit="1"/>
            </xdr:cNvSpPr>
          </xdr:nvSpPr>
          <xdr:spPr bwMode="auto">
            <a:xfrm rot="-603553">
              <a:off x="265" y="17"/>
              <a:ext cx="64" cy="24"/>
            </a:xfrm>
            <a:prstGeom prst="rect">
              <a:avLst/>
            </a:prstGeom>
          </xdr:spPr>
          <xdr:txBody>
            <a:bodyPr wrap="none" fromWordArt="1">
              <a:prstTxWarp prst="textArchUp">
                <a:avLst>
                  <a:gd name="adj" fmla="val 12201797"/>
                </a:avLst>
              </a:prstTxWarp>
            </a:bodyPr>
            <a:lstStyle/>
            <a:p>
              <a:pPr algn="ctr" rtl="0"/>
              <a:r>
                <a:rPr lang="hu-HU" sz="3600" b="1" kern="10" spc="0">
                  <a:ln w="0">
                    <a:solidFill>
                      <a:srgbClr val="FFFFFF"/>
                    </a:solidFill>
                    <a:round/>
                    <a:headEnd/>
                    <a:tailEnd/>
                  </a:ln>
                  <a:solidFill>
                    <a:srgbClr val="E5322C"/>
                  </a:solidFill>
                  <a:effectLst>
                    <a:outerShdw dist="28398" dir="1593903" algn="ctr" rotWithShape="0">
                      <a:srgbClr val="FFFFFF"/>
                    </a:outerShdw>
                  </a:effectLst>
                  <a:latin typeface="Brush Script MT"/>
                </a:rPr>
                <a:t>2015</a:t>
              </a:r>
            </a:p>
          </xdr:txBody>
        </xdr:sp>
      </xdr:grpSp>
      <xdr:sp macro="" textlink="">
        <xdr:nvSpPr>
          <xdr:cNvPr id="25692" name="AutoShape 92">
            <a:hlinkClick xmlns:r="http://schemas.openxmlformats.org/officeDocument/2006/relationships" r:id="rId7" tooltip="Használati ismertető"/>
          </xdr:cNvPr>
          <xdr:cNvSpPr>
            <a:spLocks noChangeArrowheads="1"/>
          </xdr:cNvSpPr>
        </xdr:nvSpPr>
        <xdr:spPr bwMode="auto">
          <a:xfrm>
            <a:off x="984" y="5"/>
            <a:ext cx="20" cy="41"/>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rPr>
              <a:t>SÚGÓ</a:t>
            </a:r>
          </a:p>
        </xdr:txBody>
      </xdr:sp>
      <xdr:sp macro="" textlink="">
        <xdr:nvSpPr>
          <xdr:cNvPr id="25693" name="AutoShape 93">
            <a:hlinkClick xmlns:r="http://schemas.openxmlformats.org/officeDocument/2006/relationships" r:id="rId8" tooltip="Rájásztás eredményei"/>
          </xdr:cNvPr>
          <xdr:cNvSpPr>
            <a:spLocks noChangeArrowheads="1"/>
          </xdr:cNvSpPr>
        </xdr:nvSpPr>
        <xdr:spPr bwMode="auto">
          <a:xfrm>
            <a:off x="498"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RÁJÁTSZÁS</a:t>
            </a:r>
          </a:p>
        </xdr:txBody>
      </xdr:sp>
      <xdr:sp macro="" textlink="">
        <xdr:nvSpPr>
          <xdr:cNvPr id="25694" name="AutoShape 94">
            <a:hlinkClick xmlns:r="http://schemas.openxmlformats.org/officeDocument/2006/relationships" r:id="rId9" tooltip="Alapszakasz eredményei"/>
          </xdr:cNvPr>
          <xdr:cNvSpPr>
            <a:spLocks noChangeArrowheads="1"/>
          </xdr:cNvSpPr>
        </xdr:nvSpPr>
        <xdr:spPr bwMode="auto">
          <a:xfrm>
            <a:off x="498"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ALAPSZAKASZ</a:t>
            </a:r>
          </a:p>
        </xdr:txBody>
      </xdr:sp>
      <xdr:sp macro="" textlink="">
        <xdr:nvSpPr>
          <xdr:cNvPr id="25695" name="AutoShape 95">
            <a:hlinkClick xmlns:r="http://schemas.openxmlformats.org/officeDocument/2006/relationships" r:id="rId10" tooltip="Góllövőlista megtekintése"/>
          </xdr:cNvPr>
          <xdr:cNvSpPr>
            <a:spLocks noChangeArrowheads="1"/>
          </xdr:cNvSpPr>
        </xdr:nvSpPr>
        <xdr:spPr bwMode="auto">
          <a:xfrm>
            <a:off x="790" y="27"/>
            <a:ext cx="94" cy="19"/>
          </a:xfrm>
          <a:prstGeom prst="bevel">
            <a:avLst>
              <a:gd name="adj" fmla="val 9093"/>
            </a:avLst>
          </a:prstGeom>
          <a:gradFill rotWithShape="1">
            <a:gsLst>
              <a:gs pos="0">
                <a:srgbClr val="FF6600"/>
              </a:gs>
              <a:gs pos="100000">
                <a:srgbClr val="C72323"/>
              </a:gs>
            </a:gsLst>
            <a:lin ang="5400000" scaled="1"/>
          </a:gradFill>
          <a:ln w="9525">
            <a:noFill/>
            <a:miter lim="800000"/>
            <a:headEnd/>
            <a:tailEnd/>
          </a:ln>
          <a:effectLst/>
        </xdr:spPr>
        <xdr:txBody>
          <a:bodyPr vertOverflow="clip" wrap="square" lIns="0" tIns="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25696" name="AutoShape 96">
            <a:hlinkClick xmlns:r="http://schemas.openxmlformats.org/officeDocument/2006/relationships" r:id="rId11" tooltip="Alapszakasz tabella megtekintése"/>
          </xdr:cNvPr>
          <xdr:cNvSpPr>
            <a:spLocks noChangeArrowheads="1"/>
          </xdr:cNvSpPr>
        </xdr:nvSpPr>
        <xdr:spPr bwMode="auto">
          <a:xfrm>
            <a:off x="592"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a.</a:t>
            </a:r>
          </a:p>
        </xdr:txBody>
      </xdr:sp>
      <xdr:sp macro="" textlink="">
        <xdr:nvSpPr>
          <xdr:cNvPr id="25697" name="AutoShape 97">
            <a:hlinkClick xmlns:r="http://schemas.openxmlformats.org/officeDocument/2006/relationships" r:id="rId12" tooltip="Rájásztás tabella megtekintése"/>
          </xdr:cNvPr>
          <xdr:cNvSpPr>
            <a:spLocks noChangeArrowheads="1"/>
          </xdr:cNvSpPr>
        </xdr:nvSpPr>
        <xdr:spPr bwMode="auto">
          <a:xfrm>
            <a:off x="592"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r.</a:t>
            </a:r>
          </a:p>
        </xdr:txBody>
      </xdr:sp>
      <xdr:sp macro="" textlink="">
        <xdr:nvSpPr>
          <xdr:cNvPr id="25698" name="AutoShape 98">
            <a:hlinkClick xmlns:r="http://schemas.openxmlformats.org/officeDocument/2006/relationships" r:id="rId13" tooltip="Alapszakasz kereszttáblázat megtekintése"/>
          </xdr:cNvPr>
          <xdr:cNvSpPr>
            <a:spLocks noChangeArrowheads="1"/>
          </xdr:cNvSpPr>
        </xdr:nvSpPr>
        <xdr:spPr bwMode="auto">
          <a:xfrm>
            <a:off x="686" y="5"/>
            <a:ext cx="10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 a.</a:t>
            </a:r>
          </a:p>
        </xdr:txBody>
      </xdr:sp>
      <xdr:sp macro="" textlink="">
        <xdr:nvSpPr>
          <xdr:cNvPr id="25699" name="AutoShape 99">
            <a:hlinkClick xmlns:r="http://schemas.openxmlformats.org/officeDocument/2006/relationships" r:id="rId14" tooltip="Rájátszás kereszttáblázat megtekintése"/>
          </xdr:cNvPr>
          <xdr:cNvSpPr>
            <a:spLocks noChangeArrowheads="1"/>
          </xdr:cNvSpPr>
        </xdr:nvSpPr>
        <xdr:spPr bwMode="auto">
          <a:xfrm>
            <a:off x="686" y="27"/>
            <a:ext cx="10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KERESZTTÁBLA r.</a:t>
            </a:r>
          </a:p>
        </xdr:txBody>
      </xdr:sp>
      <xdr:sp macro="" textlink="">
        <xdr:nvSpPr>
          <xdr:cNvPr id="25700" name="AutoShape 100">
            <a:hlinkClick xmlns:r="http://schemas.openxmlformats.org/officeDocument/2006/relationships" r:id="rId15" tooltip="Gólszerzők rögzítése"/>
          </xdr:cNvPr>
          <xdr:cNvSpPr>
            <a:spLocks noChangeArrowheads="1"/>
          </xdr:cNvSpPr>
        </xdr:nvSpPr>
        <xdr:spPr bwMode="auto">
          <a:xfrm>
            <a:off x="790"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25701" name="AutoShape 101">
            <a:hlinkClick xmlns:r="http://schemas.openxmlformats.org/officeDocument/2006/relationships" r:id="rId16" tooltip="A szakosztály és a csapatok elérhetőségei"/>
          </xdr:cNvPr>
          <xdr:cNvSpPr>
            <a:spLocks noChangeArrowheads="1"/>
          </xdr:cNvSpPr>
        </xdr:nvSpPr>
        <xdr:spPr bwMode="auto">
          <a:xfrm>
            <a:off x="887"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25702" name="AutoShape 102">
            <a:hlinkClick xmlns:r="http://schemas.openxmlformats.org/officeDocument/2006/relationships" r:id="rId17" tooltip="Versenykiírás megtekintése"/>
          </xdr:cNvPr>
          <xdr:cNvSpPr>
            <a:spLocks noChangeArrowheads="1"/>
          </xdr:cNvSpPr>
        </xdr:nvSpPr>
        <xdr:spPr bwMode="auto">
          <a:xfrm>
            <a:off x="887"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9525</xdr:colOff>
      <xdr:row>38</xdr:row>
      <xdr:rowOff>0</xdr:rowOff>
    </xdr:to>
    <xdr:grpSp>
      <xdr:nvGrpSpPr>
        <xdr:cNvPr id="24577" name="Group 26"/>
        <xdr:cNvGrpSpPr>
          <a:grpSpLocks/>
        </xdr:cNvGrpSpPr>
      </xdr:nvGrpSpPr>
      <xdr:grpSpPr bwMode="auto">
        <a:xfrm>
          <a:off x="0" y="0"/>
          <a:ext cx="9582150" cy="485775"/>
          <a:chOff x="0" y="0"/>
          <a:chExt cx="1006" cy="51"/>
        </a:xfrm>
      </xdr:grpSpPr>
      <xdr:pic>
        <xdr:nvPicPr>
          <xdr:cNvPr id="24578" name="Picture 27"/>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006" cy="51"/>
          </a:xfrm>
          <a:prstGeom prst="rect">
            <a:avLst/>
          </a:prstGeom>
          <a:noFill/>
          <a:ln w="9525">
            <a:noFill/>
            <a:miter lim="800000"/>
            <a:headEnd/>
            <a:tailEnd/>
          </a:ln>
        </xdr:spPr>
      </xdr:pic>
      <xdr:grpSp>
        <xdr:nvGrpSpPr>
          <xdr:cNvPr id="24579" name="Group 28">
            <a:hlinkClick xmlns:r="http://schemas.openxmlformats.org/officeDocument/2006/relationships" r:id="rId2" tooltip="Mail to Gyworks"/>
          </xdr:cNvPr>
          <xdr:cNvGrpSpPr>
            <a:grpSpLocks/>
          </xdr:cNvGrpSpPr>
        </xdr:nvGrpSpPr>
        <xdr:grpSpPr bwMode="auto">
          <a:xfrm>
            <a:off x="449" y="11"/>
            <a:ext cx="49" cy="34"/>
            <a:chOff x="356" y="11"/>
            <a:chExt cx="49" cy="34"/>
          </a:xfrm>
        </xdr:grpSpPr>
        <xdr:grpSp>
          <xdr:nvGrpSpPr>
            <xdr:cNvPr id="24597" name="Group 29"/>
            <xdr:cNvGrpSpPr>
              <a:grpSpLocks/>
            </xdr:cNvGrpSpPr>
          </xdr:nvGrpSpPr>
          <xdr:grpSpPr bwMode="auto">
            <a:xfrm>
              <a:off x="361" y="11"/>
              <a:ext cx="44" cy="18"/>
              <a:chOff x="148" y="352"/>
              <a:chExt cx="44" cy="18"/>
            </a:xfrm>
          </xdr:grpSpPr>
          <xdr:grpSp>
            <xdr:nvGrpSpPr>
              <xdr:cNvPr id="24599" name="Group 30"/>
              <xdr:cNvGrpSpPr>
                <a:grpSpLocks noChangeAspect="1"/>
              </xdr:cNvGrpSpPr>
            </xdr:nvGrpSpPr>
            <xdr:grpSpPr bwMode="auto">
              <a:xfrm>
                <a:off x="148" y="352"/>
                <a:ext cx="14" cy="16"/>
                <a:chOff x="846" y="38"/>
                <a:chExt cx="28" cy="32"/>
              </a:xfrm>
            </xdr:grpSpPr>
            <xdr:sp macro="" textlink="">
              <xdr:nvSpPr>
                <xdr:cNvPr id="24602" name="Line 31"/>
                <xdr:cNvSpPr>
                  <a:spLocks noChangeAspect="1" noChangeShapeType="1"/>
                </xdr:cNvSpPr>
              </xdr:nvSpPr>
              <xdr:spPr bwMode="auto">
                <a:xfrm flipH="1">
                  <a:off x="850" y="49"/>
                  <a:ext cx="17" cy="21"/>
                </a:xfrm>
                <a:prstGeom prst="line">
                  <a:avLst/>
                </a:prstGeom>
                <a:noFill/>
                <a:ln w="19050">
                  <a:solidFill>
                    <a:srgbClr val="EEEEEE"/>
                  </a:solidFill>
                  <a:round/>
                  <a:headEnd/>
                  <a:tailEnd/>
                </a:ln>
              </xdr:spPr>
            </xdr:sp>
            <xdr:sp macro="" textlink="">
              <xdr:nvSpPr>
                <xdr:cNvPr id="24603" name="Arc 32"/>
                <xdr:cNvSpPr>
                  <a:spLocks noChangeAspect="1"/>
                </xdr:cNvSpPr>
              </xdr:nvSpPr>
              <xdr:spPr bwMode="auto">
                <a:xfrm rot="16200000" flipH="1">
                  <a:off x="848" y="36"/>
                  <a:ext cx="23" cy="27"/>
                </a:xfrm>
                <a:custGeom>
                  <a:avLst/>
                  <a:gdLst>
                    <a:gd name="T0" fmla="*/ 6 w 43200"/>
                    <a:gd name="T1" fmla="*/ 27 h 40066"/>
                    <a:gd name="T2" fmla="*/ 22 w 43200"/>
                    <a:gd name="T3" fmla="*/ 22 h 40066"/>
                    <a:gd name="T4" fmla="*/ 12 w 43200"/>
                    <a:gd name="T5" fmla="*/ 15 h 40066"/>
                    <a:gd name="T6" fmla="*/ 0 60000 65536"/>
                    <a:gd name="T7" fmla="*/ 0 60000 65536"/>
                    <a:gd name="T8" fmla="*/ 0 60000 65536"/>
                    <a:gd name="T9" fmla="*/ 0 w 43200"/>
                    <a:gd name="T10" fmla="*/ 0 h 40066"/>
                    <a:gd name="T11" fmla="*/ 43200 w 43200"/>
                    <a:gd name="T12" fmla="*/ 40066 h 40066"/>
                  </a:gdLst>
                  <a:ahLst/>
                  <a:cxnLst>
                    <a:cxn ang="T6">
                      <a:pos x="T0" y="T1"/>
                    </a:cxn>
                    <a:cxn ang="T7">
                      <a:pos x="T2" y="T3"/>
                    </a:cxn>
                    <a:cxn ang="T8">
                      <a:pos x="T4" y="T5"/>
                    </a:cxn>
                  </a:cxnLst>
                  <a:rect l="T9" t="T10" r="T11" b="T12"/>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close/>
                    </a:path>
                  </a:pathLst>
                </a:custGeom>
                <a:noFill/>
                <a:ln w="19050">
                  <a:solidFill>
                    <a:srgbClr val="EEEEEE"/>
                  </a:solidFill>
                  <a:round/>
                  <a:headEnd/>
                  <a:tailEnd/>
                </a:ln>
              </xdr:spPr>
            </xdr:sp>
            <xdr:sp macro="" textlink="">
              <xdr:nvSpPr>
                <xdr:cNvPr id="24604" name="Line 33"/>
                <xdr:cNvSpPr>
                  <a:spLocks noChangeAspect="1" noChangeShapeType="1"/>
                </xdr:cNvSpPr>
              </xdr:nvSpPr>
              <xdr:spPr bwMode="auto">
                <a:xfrm flipH="1">
                  <a:off x="858" y="49"/>
                  <a:ext cx="16" cy="21"/>
                </a:xfrm>
                <a:prstGeom prst="line">
                  <a:avLst/>
                </a:prstGeom>
                <a:noFill/>
                <a:ln w="19050">
                  <a:solidFill>
                    <a:srgbClr val="EEEEEE"/>
                  </a:solidFill>
                  <a:round/>
                  <a:headEnd/>
                  <a:tailEnd/>
                </a:ln>
              </xdr:spPr>
            </xdr:sp>
          </xdr:grpSp>
          <xdr:sp macro="" textlink="">
            <xdr:nvSpPr>
              <xdr:cNvPr id="28706" name="Text Box 34"/>
              <xdr:cNvSpPr txBox="1">
                <a:spLocks noChangeAspect="1" noChangeArrowheads="1"/>
              </xdr:cNvSpPr>
            </xdr:nvSpPr>
            <xdr:spPr bwMode="auto">
              <a:xfrm>
                <a:off x="158" y="359"/>
                <a:ext cx="27" cy="11"/>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28707" name="Text Box 35"/>
              <xdr:cNvSpPr txBox="1">
                <a:spLocks noChangeAspect="1" noChangeArrowheads="1"/>
              </xdr:cNvSpPr>
            </xdr:nvSpPr>
            <xdr:spPr bwMode="auto">
              <a:xfrm>
                <a:off x="178" y="355"/>
                <a:ext cx="14" cy="9"/>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28708" name="Text Box 36"/>
            <xdr:cNvSpPr txBox="1">
              <a:spLocks noChangeArrowheads="1"/>
            </xdr:cNvSpPr>
          </xdr:nvSpPr>
          <xdr:spPr bwMode="auto">
            <a:xfrm>
              <a:off x="356" y="28"/>
              <a:ext cx="44" cy="17"/>
            </a:xfrm>
            <a:prstGeom prst="rect">
              <a:avLst/>
            </a:prstGeom>
            <a:noFill/>
            <a:ln w="9525">
              <a:noFill/>
              <a:miter lim="800000"/>
              <a:headEnd/>
              <a:tailEnd/>
            </a:ln>
            <a:effectLst/>
          </xdr:spPr>
          <xdr:txBody>
            <a:bodyPr vertOverflow="clip" wrap="square" lIns="27432" tIns="27432" rIns="27432" bIns="27432" anchor="ctr" upright="1"/>
            <a:lstStyle/>
            <a:p>
              <a:pPr algn="ctr" rtl="0">
                <a:defRPr sz="1000"/>
              </a:pPr>
              <a:r>
                <a:rPr lang="hu-HU" sz="800" b="0" i="0" u="none" strike="noStrike" baseline="0">
                  <a:solidFill>
                    <a:srgbClr val="EEEEEE"/>
                  </a:solidFill>
                  <a:latin typeface="Arial Narrow"/>
                </a:rPr>
                <a:t>©  2015</a:t>
              </a:r>
            </a:p>
          </xdr:txBody>
        </xdr:sp>
      </xdr:grpSp>
      <xdr:grpSp>
        <xdr:nvGrpSpPr>
          <xdr:cNvPr id="24580" name="Group 37">
            <a:hlinkClick xmlns:r="http://schemas.openxmlformats.org/officeDocument/2006/relationships" r:id="rId3" tooltip="HASEFOCI"/>
          </xdr:cNvPr>
          <xdr:cNvGrpSpPr>
            <a:grpSpLocks/>
          </xdr:cNvGrpSpPr>
        </xdr:nvGrpSpPr>
        <xdr:grpSpPr bwMode="auto">
          <a:xfrm>
            <a:off x="3" y="0"/>
            <a:ext cx="224" cy="50"/>
            <a:chOff x="3" y="0"/>
            <a:chExt cx="224" cy="50"/>
          </a:xfrm>
        </xdr:grpSpPr>
        <xdr:pic>
          <xdr:nvPicPr>
            <xdr:cNvPr id="24595" name="Picture 38"/>
            <xdr:cNvPicPr>
              <a:picLocks noChangeAspect="1" noChangeArrowheads="1"/>
            </xdr:cNvPicPr>
          </xdr:nvPicPr>
          <xdr:blipFill>
            <a:blip xmlns:r="http://schemas.openxmlformats.org/officeDocument/2006/relationships" r:embed="rId4" cstate="print"/>
            <a:srcRect/>
            <a:stretch>
              <a:fillRect/>
            </a:stretch>
          </xdr:blipFill>
          <xdr:spPr bwMode="auto">
            <a:xfrm>
              <a:off x="3" y="0"/>
              <a:ext cx="48" cy="50"/>
            </a:xfrm>
            <a:prstGeom prst="rect">
              <a:avLst/>
            </a:prstGeom>
            <a:noFill/>
            <a:ln w="9525">
              <a:noFill/>
              <a:miter lim="800000"/>
              <a:headEnd/>
              <a:tailEnd/>
            </a:ln>
          </xdr:spPr>
        </xdr:pic>
        <xdr:pic>
          <xdr:nvPicPr>
            <xdr:cNvPr id="24596" name="Picture 39"/>
            <xdr:cNvPicPr>
              <a:picLocks noChangeAspect="1" noChangeArrowheads="1"/>
            </xdr:cNvPicPr>
          </xdr:nvPicPr>
          <xdr:blipFill>
            <a:blip xmlns:r="http://schemas.openxmlformats.org/officeDocument/2006/relationships" r:embed="rId5" cstate="print"/>
            <a:srcRect/>
            <a:stretch>
              <a:fillRect/>
            </a:stretch>
          </xdr:blipFill>
          <xdr:spPr bwMode="auto">
            <a:xfrm>
              <a:off x="55" y="3"/>
              <a:ext cx="172" cy="45"/>
            </a:xfrm>
            <a:prstGeom prst="rect">
              <a:avLst/>
            </a:prstGeom>
            <a:noFill/>
            <a:ln w="9525">
              <a:noFill/>
              <a:miter lim="800000"/>
              <a:headEnd/>
              <a:tailEnd/>
            </a:ln>
          </xdr:spPr>
        </xdr:pic>
      </xdr:grpSp>
      <xdr:grpSp>
        <xdr:nvGrpSpPr>
          <xdr:cNvPr id="24581" name="Group 40"/>
          <xdr:cNvGrpSpPr>
            <a:grpSpLocks/>
          </xdr:cNvGrpSpPr>
        </xdr:nvGrpSpPr>
        <xdr:grpSpPr bwMode="auto">
          <a:xfrm>
            <a:off x="221" y="1"/>
            <a:ext cx="227" cy="50"/>
            <a:chOff x="221" y="1"/>
            <a:chExt cx="227" cy="50"/>
          </a:xfrm>
        </xdr:grpSpPr>
        <xdr:pic>
          <xdr:nvPicPr>
            <xdr:cNvPr id="24593" name="Picture 41"/>
            <xdr:cNvPicPr>
              <a:picLocks noChangeAspect="1" noChangeArrowheads="1"/>
            </xdr:cNvPicPr>
          </xdr:nvPicPr>
          <xdr:blipFill>
            <a:blip xmlns:r="http://schemas.openxmlformats.org/officeDocument/2006/relationships" r:embed="rId6" cstate="print">
              <a:lum bright="-6000"/>
            </a:blip>
            <a:srcRect/>
            <a:stretch>
              <a:fillRect/>
            </a:stretch>
          </xdr:blipFill>
          <xdr:spPr bwMode="auto">
            <a:xfrm>
              <a:off x="221" y="1"/>
              <a:ext cx="227" cy="50"/>
            </a:xfrm>
            <a:prstGeom prst="rect">
              <a:avLst/>
            </a:prstGeom>
            <a:noFill/>
            <a:ln w="9525">
              <a:noFill/>
              <a:miter lim="800000"/>
              <a:headEnd/>
              <a:tailEnd/>
            </a:ln>
          </xdr:spPr>
        </xdr:pic>
        <xdr:sp macro="" textlink="">
          <xdr:nvSpPr>
            <xdr:cNvPr id="28714" name="WordArt 42"/>
            <xdr:cNvSpPr>
              <a:spLocks noChangeArrowheads="1" noChangeShapeType="1" noTextEdit="1"/>
            </xdr:cNvSpPr>
          </xdr:nvSpPr>
          <xdr:spPr bwMode="auto">
            <a:xfrm rot="-603553">
              <a:off x="265" y="17"/>
              <a:ext cx="64" cy="24"/>
            </a:xfrm>
            <a:prstGeom prst="rect">
              <a:avLst/>
            </a:prstGeom>
          </xdr:spPr>
          <xdr:txBody>
            <a:bodyPr wrap="none" fromWordArt="1">
              <a:prstTxWarp prst="textArchUp">
                <a:avLst>
                  <a:gd name="adj" fmla="val 12201797"/>
                </a:avLst>
              </a:prstTxWarp>
            </a:bodyPr>
            <a:lstStyle/>
            <a:p>
              <a:pPr algn="ctr" rtl="0"/>
              <a:r>
                <a:rPr lang="hu-HU" sz="3600" b="1" kern="10" spc="0">
                  <a:ln w="0">
                    <a:solidFill>
                      <a:srgbClr val="FFFFFF"/>
                    </a:solidFill>
                    <a:round/>
                    <a:headEnd/>
                    <a:tailEnd/>
                  </a:ln>
                  <a:solidFill>
                    <a:srgbClr val="E5322C"/>
                  </a:solidFill>
                  <a:effectLst>
                    <a:outerShdw dist="28398" dir="1593903" algn="ctr" rotWithShape="0">
                      <a:srgbClr val="FFFFFF"/>
                    </a:outerShdw>
                  </a:effectLst>
                  <a:latin typeface="Brush Script MT"/>
                </a:rPr>
                <a:t>2015</a:t>
              </a:r>
            </a:p>
          </xdr:txBody>
        </xdr:sp>
      </xdr:grpSp>
      <xdr:sp macro="" textlink="">
        <xdr:nvSpPr>
          <xdr:cNvPr id="28715" name="AutoShape 43">
            <a:hlinkClick xmlns:r="http://schemas.openxmlformats.org/officeDocument/2006/relationships" r:id="rId7" tooltip="Használati ismertető"/>
          </xdr:cNvPr>
          <xdr:cNvSpPr>
            <a:spLocks noChangeArrowheads="1"/>
          </xdr:cNvSpPr>
        </xdr:nvSpPr>
        <xdr:spPr bwMode="auto">
          <a:xfrm>
            <a:off x="984" y="5"/>
            <a:ext cx="20" cy="41"/>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rPr>
              <a:t>SÚGÓ</a:t>
            </a:r>
          </a:p>
        </xdr:txBody>
      </xdr:sp>
      <xdr:sp macro="" textlink="">
        <xdr:nvSpPr>
          <xdr:cNvPr id="28716" name="AutoShape 44">
            <a:hlinkClick xmlns:r="http://schemas.openxmlformats.org/officeDocument/2006/relationships" r:id="rId8" tooltip="Rájásztás eredményei"/>
          </xdr:cNvPr>
          <xdr:cNvSpPr>
            <a:spLocks noChangeArrowheads="1"/>
          </xdr:cNvSpPr>
        </xdr:nvSpPr>
        <xdr:spPr bwMode="auto">
          <a:xfrm>
            <a:off x="498"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RÁJÁTSZÁS</a:t>
            </a:r>
          </a:p>
        </xdr:txBody>
      </xdr:sp>
      <xdr:sp macro="" textlink="">
        <xdr:nvSpPr>
          <xdr:cNvPr id="28717" name="AutoShape 45">
            <a:hlinkClick xmlns:r="http://schemas.openxmlformats.org/officeDocument/2006/relationships" r:id="rId9" tooltip="Alapszakasz eredményei"/>
          </xdr:cNvPr>
          <xdr:cNvSpPr>
            <a:spLocks noChangeArrowheads="1"/>
          </xdr:cNvSpPr>
        </xdr:nvSpPr>
        <xdr:spPr bwMode="auto">
          <a:xfrm>
            <a:off x="498"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ALAPSZAKASZ</a:t>
            </a:r>
          </a:p>
        </xdr:txBody>
      </xdr:sp>
      <xdr:sp macro="" textlink="">
        <xdr:nvSpPr>
          <xdr:cNvPr id="28718" name="AutoShape 46">
            <a:hlinkClick xmlns:r="http://schemas.openxmlformats.org/officeDocument/2006/relationships" r:id="rId10" tooltip="Góllövőlista megtekintése"/>
          </xdr:cNvPr>
          <xdr:cNvSpPr>
            <a:spLocks noChangeArrowheads="1"/>
          </xdr:cNvSpPr>
        </xdr:nvSpPr>
        <xdr:spPr bwMode="auto">
          <a:xfrm>
            <a:off x="790"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28719" name="AutoShape 47">
            <a:hlinkClick xmlns:r="http://schemas.openxmlformats.org/officeDocument/2006/relationships" r:id="rId11" tooltip="Alapszakasz tabella megtekintése"/>
          </xdr:cNvPr>
          <xdr:cNvSpPr>
            <a:spLocks noChangeArrowheads="1"/>
          </xdr:cNvSpPr>
        </xdr:nvSpPr>
        <xdr:spPr bwMode="auto">
          <a:xfrm>
            <a:off x="592"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a.</a:t>
            </a:r>
          </a:p>
        </xdr:txBody>
      </xdr:sp>
      <xdr:sp macro="" textlink="">
        <xdr:nvSpPr>
          <xdr:cNvPr id="28720" name="AutoShape 48">
            <a:hlinkClick xmlns:r="http://schemas.openxmlformats.org/officeDocument/2006/relationships" r:id="rId12" tooltip="Rájásztás tabella megtekintése"/>
          </xdr:cNvPr>
          <xdr:cNvSpPr>
            <a:spLocks noChangeArrowheads="1"/>
          </xdr:cNvSpPr>
        </xdr:nvSpPr>
        <xdr:spPr bwMode="auto">
          <a:xfrm>
            <a:off x="592"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r.</a:t>
            </a:r>
          </a:p>
        </xdr:txBody>
      </xdr:sp>
      <xdr:sp macro="" textlink="">
        <xdr:nvSpPr>
          <xdr:cNvPr id="28721" name="AutoShape 49">
            <a:hlinkClick xmlns:r="http://schemas.openxmlformats.org/officeDocument/2006/relationships" r:id="rId13" tooltip="Alapszakasz kereszttáblázat megtekintése"/>
          </xdr:cNvPr>
          <xdr:cNvSpPr>
            <a:spLocks noChangeArrowheads="1"/>
          </xdr:cNvSpPr>
        </xdr:nvSpPr>
        <xdr:spPr bwMode="auto">
          <a:xfrm>
            <a:off x="686" y="5"/>
            <a:ext cx="10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 a.</a:t>
            </a:r>
          </a:p>
        </xdr:txBody>
      </xdr:sp>
      <xdr:sp macro="" textlink="">
        <xdr:nvSpPr>
          <xdr:cNvPr id="28722" name="AutoShape 50">
            <a:hlinkClick xmlns:r="http://schemas.openxmlformats.org/officeDocument/2006/relationships" r:id="rId14" tooltip="Rájátszás kereszttáblázat megtekintése"/>
          </xdr:cNvPr>
          <xdr:cNvSpPr>
            <a:spLocks noChangeArrowheads="1"/>
          </xdr:cNvSpPr>
        </xdr:nvSpPr>
        <xdr:spPr bwMode="auto">
          <a:xfrm>
            <a:off x="686" y="27"/>
            <a:ext cx="10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KERESZTTÁBLA r.</a:t>
            </a:r>
          </a:p>
        </xdr:txBody>
      </xdr:sp>
      <xdr:sp macro="" textlink="">
        <xdr:nvSpPr>
          <xdr:cNvPr id="28723" name="AutoShape 51">
            <a:hlinkClick xmlns:r="http://schemas.openxmlformats.org/officeDocument/2006/relationships" r:id="rId15" tooltip="Gólszerzők rögzítése"/>
          </xdr:cNvPr>
          <xdr:cNvSpPr>
            <a:spLocks noChangeArrowheads="1"/>
          </xdr:cNvSpPr>
        </xdr:nvSpPr>
        <xdr:spPr bwMode="auto">
          <a:xfrm>
            <a:off x="790"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28724" name="AutoShape 52">
            <a:hlinkClick xmlns:r="http://schemas.openxmlformats.org/officeDocument/2006/relationships" r:id="rId16" tooltip="A szakosztály és a csapatok elérhetőségei"/>
          </xdr:cNvPr>
          <xdr:cNvSpPr>
            <a:spLocks noChangeArrowheads="1"/>
          </xdr:cNvSpPr>
        </xdr:nvSpPr>
        <xdr:spPr bwMode="auto">
          <a:xfrm>
            <a:off x="887"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28725" name="AutoShape 53">
            <a:hlinkClick xmlns:r="http://schemas.openxmlformats.org/officeDocument/2006/relationships" r:id="rId17" tooltip="Versenykiírás megtekintése"/>
          </xdr:cNvPr>
          <xdr:cNvSpPr>
            <a:spLocks noChangeArrowheads="1"/>
          </xdr:cNvSpPr>
        </xdr:nvSpPr>
        <xdr:spPr bwMode="auto">
          <a:xfrm>
            <a:off x="887" y="5"/>
            <a:ext cx="94" cy="19"/>
          </a:xfrm>
          <a:prstGeom prst="bevel">
            <a:avLst>
              <a:gd name="adj" fmla="val 9093"/>
            </a:avLst>
          </a:prstGeom>
          <a:gradFill rotWithShape="1">
            <a:gsLst>
              <a:gs pos="0">
                <a:srgbClr val="FF6600"/>
              </a:gs>
              <a:gs pos="100000">
                <a:srgbClr val="C72323"/>
              </a:gs>
            </a:gsLst>
            <a:lin ang="5400000" scaled="1"/>
          </a:gradFill>
          <a:ln w="9525">
            <a:noFill/>
            <a:miter lim="800000"/>
            <a:headEnd/>
            <a:tailEnd/>
          </a:ln>
          <a:effectLst/>
        </xdr:spPr>
        <xdr:txBody>
          <a:bodyPr vertOverflow="clip" wrap="square" lIns="0" tIns="0" rIns="0" bIns="0" anchor="ctr" upright="1"/>
          <a:lstStyle/>
          <a:p>
            <a:pPr algn="ctr" rtl="0">
              <a:defRPr sz="1000"/>
            </a:pPr>
            <a:r>
              <a:rPr lang="hu-HU" sz="900" b="1" i="0" u="none" strike="noStrike" baseline="0">
                <a:solidFill>
                  <a:srgbClr val="FFFFFF"/>
                </a:solidFill>
                <a:latin typeface="Calibri"/>
              </a:rPr>
              <a:t>VERSENYKIÍRÁS</a:t>
            </a:r>
          </a:p>
        </xdr:txBody>
      </xdr:sp>
    </xdr:grp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266700</xdr:colOff>
      <xdr:row>38</xdr:row>
      <xdr:rowOff>0</xdr:rowOff>
    </xdr:to>
    <xdr:grpSp>
      <xdr:nvGrpSpPr>
        <xdr:cNvPr id="25601" name="Group 26"/>
        <xdr:cNvGrpSpPr>
          <a:grpSpLocks/>
        </xdr:cNvGrpSpPr>
      </xdr:nvGrpSpPr>
      <xdr:grpSpPr bwMode="auto">
        <a:xfrm>
          <a:off x="0" y="0"/>
          <a:ext cx="9582150" cy="485775"/>
          <a:chOff x="0" y="0"/>
          <a:chExt cx="1006" cy="51"/>
        </a:xfrm>
      </xdr:grpSpPr>
      <xdr:pic>
        <xdr:nvPicPr>
          <xdr:cNvPr id="25602" name="Picture 27"/>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006" cy="51"/>
          </a:xfrm>
          <a:prstGeom prst="rect">
            <a:avLst/>
          </a:prstGeom>
          <a:noFill/>
          <a:ln w="9525">
            <a:noFill/>
            <a:miter lim="800000"/>
            <a:headEnd/>
            <a:tailEnd/>
          </a:ln>
        </xdr:spPr>
      </xdr:pic>
      <xdr:grpSp>
        <xdr:nvGrpSpPr>
          <xdr:cNvPr id="25603" name="Group 28">
            <a:hlinkClick xmlns:r="http://schemas.openxmlformats.org/officeDocument/2006/relationships" r:id="rId2" tooltip="Mail to Gyworks"/>
          </xdr:cNvPr>
          <xdr:cNvGrpSpPr>
            <a:grpSpLocks/>
          </xdr:cNvGrpSpPr>
        </xdr:nvGrpSpPr>
        <xdr:grpSpPr bwMode="auto">
          <a:xfrm>
            <a:off x="449" y="11"/>
            <a:ext cx="49" cy="34"/>
            <a:chOff x="356" y="11"/>
            <a:chExt cx="49" cy="34"/>
          </a:xfrm>
        </xdr:grpSpPr>
        <xdr:grpSp>
          <xdr:nvGrpSpPr>
            <xdr:cNvPr id="25621" name="Group 29"/>
            <xdr:cNvGrpSpPr>
              <a:grpSpLocks/>
            </xdr:cNvGrpSpPr>
          </xdr:nvGrpSpPr>
          <xdr:grpSpPr bwMode="auto">
            <a:xfrm>
              <a:off x="361" y="11"/>
              <a:ext cx="44" cy="18"/>
              <a:chOff x="148" y="352"/>
              <a:chExt cx="44" cy="18"/>
            </a:xfrm>
          </xdr:grpSpPr>
          <xdr:grpSp>
            <xdr:nvGrpSpPr>
              <xdr:cNvPr id="25623" name="Group 30"/>
              <xdr:cNvGrpSpPr>
                <a:grpSpLocks noChangeAspect="1"/>
              </xdr:cNvGrpSpPr>
            </xdr:nvGrpSpPr>
            <xdr:grpSpPr bwMode="auto">
              <a:xfrm>
                <a:off x="148" y="352"/>
                <a:ext cx="14" cy="16"/>
                <a:chOff x="846" y="38"/>
                <a:chExt cx="28" cy="32"/>
              </a:xfrm>
            </xdr:grpSpPr>
            <xdr:sp macro="" textlink="">
              <xdr:nvSpPr>
                <xdr:cNvPr id="25626" name="Line 31"/>
                <xdr:cNvSpPr>
                  <a:spLocks noChangeAspect="1" noChangeShapeType="1"/>
                </xdr:cNvSpPr>
              </xdr:nvSpPr>
              <xdr:spPr bwMode="auto">
                <a:xfrm flipH="1">
                  <a:off x="850" y="49"/>
                  <a:ext cx="17" cy="21"/>
                </a:xfrm>
                <a:prstGeom prst="line">
                  <a:avLst/>
                </a:prstGeom>
                <a:noFill/>
                <a:ln w="19050">
                  <a:solidFill>
                    <a:srgbClr val="EEEEEE"/>
                  </a:solidFill>
                  <a:round/>
                  <a:headEnd/>
                  <a:tailEnd/>
                </a:ln>
              </xdr:spPr>
            </xdr:sp>
            <xdr:sp macro="" textlink="">
              <xdr:nvSpPr>
                <xdr:cNvPr id="25627" name="Arc 32"/>
                <xdr:cNvSpPr>
                  <a:spLocks noChangeAspect="1"/>
                </xdr:cNvSpPr>
              </xdr:nvSpPr>
              <xdr:spPr bwMode="auto">
                <a:xfrm rot="16200000" flipH="1">
                  <a:off x="848" y="36"/>
                  <a:ext cx="23" cy="27"/>
                </a:xfrm>
                <a:custGeom>
                  <a:avLst/>
                  <a:gdLst>
                    <a:gd name="T0" fmla="*/ 6 w 43200"/>
                    <a:gd name="T1" fmla="*/ 27 h 40066"/>
                    <a:gd name="T2" fmla="*/ 22 w 43200"/>
                    <a:gd name="T3" fmla="*/ 22 h 40066"/>
                    <a:gd name="T4" fmla="*/ 12 w 43200"/>
                    <a:gd name="T5" fmla="*/ 15 h 40066"/>
                    <a:gd name="T6" fmla="*/ 0 60000 65536"/>
                    <a:gd name="T7" fmla="*/ 0 60000 65536"/>
                    <a:gd name="T8" fmla="*/ 0 60000 65536"/>
                    <a:gd name="T9" fmla="*/ 0 w 43200"/>
                    <a:gd name="T10" fmla="*/ 0 h 40066"/>
                    <a:gd name="T11" fmla="*/ 43200 w 43200"/>
                    <a:gd name="T12" fmla="*/ 40066 h 40066"/>
                  </a:gdLst>
                  <a:ahLst/>
                  <a:cxnLst>
                    <a:cxn ang="T6">
                      <a:pos x="T0" y="T1"/>
                    </a:cxn>
                    <a:cxn ang="T7">
                      <a:pos x="T2" y="T3"/>
                    </a:cxn>
                    <a:cxn ang="T8">
                      <a:pos x="T4" y="T5"/>
                    </a:cxn>
                  </a:cxnLst>
                  <a:rect l="T9" t="T10" r="T11" b="T12"/>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close/>
                    </a:path>
                  </a:pathLst>
                </a:custGeom>
                <a:noFill/>
                <a:ln w="19050">
                  <a:solidFill>
                    <a:srgbClr val="EEEEEE"/>
                  </a:solidFill>
                  <a:round/>
                  <a:headEnd/>
                  <a:tailEnd/>
                </a:ln>
              </xdr:spPr>
            </xdr:sp>
            <xdr:sp macro="" textlink="">
              <xdr:nvSpPr>
                <xdr:cNvPr id="25628" name="Line 33"/>
                <xdr:cNvSpPr>
                  <a:spLocks noChangeAspect="1" noChangeShapeType="1"/>
                </xdr:cNvSpPr>
              </xdr:nvSpPr>
              <xdr:spPr bwMode="auto">
                <a:xfrm flipH="1">
                  <a:off x="858" y="49"/>
                  <a:ext cx="16" cy="21"/>
                </a:xfrm>
                <a:prstGeom prst="line">
                  <a:avLst/>
                </a:prstGeom>
                <a:noFill/>
                <a:ln w="19050">
                  <a:solidFill>
                    <a:srgbClr val="EEEEEE"/>
                  </a:solidFill>
                  <a:round/>
                  <a:headEnd/>
                  <a:tailEnd/>
                </a:ln>
              </xdr:spPr>
            </xdr:sp>
          </xdr:grpSp>
          <xdr:sp macro="" textlink="">
            <xdr:nvSpPr>
              <xdr:cNvPr id="29730" name="Text Box 34"/>
              <xdr:cNvSpPr txBox="1">
                <a:spLocks noChangeAspect="1" noChangeArrowheads="1"/>
              </xdr:cNvSpPr>
            </xdr:nvSpPr>
            <xdr:spPr bwMode="auto">
              <a:xfrm>
                <a:off x="158" y="359"/>
                <a:ext cx="27" cy="11"/>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29731" name="Text Box 35"/>
              <xdr:cNvSpPr txBox="1">
                <a:spLocks noChangeAspect="1" noChangeArrowheads="1"/>
              </xdr:cNvSpPr>
            </xdr:nvSpPr>
            <xdr:spPr bwMode="auto">
              <a:xfrm>
                <a:off x="178" y="355"/>
                <a:ext cx="14" cy="9"/>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29732" name="Text Box 36"/>
            <xdr:cNvSpPr txBox="1">
              <a:spLocks noChangeArrowheads="1"/>
            </xdr:cNvSpPr>
          </xdr:nvSpPr>
          <xdr:spPr bwMode="auto">
            <a:xfrm>
              <a:off x="356" y="28"/>
              <a:ext cx="44" cy="17"/>
            </a:xfrm>
            <a:prstGeom prst="rect">
              <a:avLst/>
            </a:prstGeom>
            <a:noFill/>
            <a:ln w="9525">
              <a:noFill/>
              <a:miter lim="800000"/>
              <a:headEnd/>
              <a:tailEnd/>
            </a:ln>
            <a:effectLst/>
          </xdr:spPr>
          <xdr:txBody>
            <a:bodyPr vertOverflow="clip" wrap="square" lIns="27432" tIns="27432" rIns="27432" bIns="27432" anchor="ctr" upright="1"/>
            <a:lstStyle/>
            <a:p>
              <a:pPr algn="ctr" rtl="0">
                <a:defRPr sz="1000"/>
              </a:pPr>
              <a:r>
                <a:rPr lang="hu-HU" sz="800" b="0" i="0" u="none" strike="noStrike" baseline="0">
                  <a:solidFill>
                    <a:srgbClr val="EEEEEE"/>
                  </a:solidFill>
                  <a:latin typeface="Arial Narrow"/>
                </a:rPr>
                <a:t>©  2015</a:t>
              </a:r>
            </a:p>
          </xdr:txBody>
        </xdr:sp>
      </xdr:grpSp>
      <xdr:grpSp>
        <xdr:nvGrpSpPr>
          <xdr:cNvPr id="25604" name="Group 37">
            <a:hlinkClick xmlns:r="http://schemas.openxmlformats.org/officeDocument/2006/relationships" r:id="rId3" tooltip="HASEFOCI"/>
          </xdr:cNvPr>
          <xdr:cNvGrpSpPr>
            <a:grpSpLocks/>
          </xdr:cNvGrpSpPr>
        </xdr:nvGrpSpPr>
        <xdr:grpSpPr bwMode="auto">
          <a:xfrm>
            <a:off x="3" y="0"/>
            <a:ext cx="224" cy="50"/>
            <a:chOff x="3" y="0"/>
            <a:chExt cx="224" cy="50"/>
          </a:xfrm>
        </xdr:grpSpPr>
        <xdr:pic>
          <xdr:nvPicPr>
            <xdr:cNvPr id="25619" name="Picture 38"/>
            <xdr:cNvPicPr>
              <a:picLocks noChangeAspect="1" noChangeArrowheads="1"/>
            </xdr:cNvPicPr>
          </xdr:nvPicPr>
          <xdr:blipFill>
            <a:blip xmlns:r="http://schemas.openxmlformats.org/officeDocument/2006/relationships" r:embed="rId4" cstate="print"/>
            <a:srcRect/>
            <a:stretch>
              <a:fillRect/>
            </a:stretch>
          </xdr:blipFill>
          <xdr:spPr bwMode="auto">
            <a:xfrm>
              <a:off x="3" y="0"/>
              <a:ext cx="48" cy="50"/>
            </a:xfrm>
            <a:prstGeom prst="rect">
              <a:avLst/>
            </a:prstGeom>
            <a:noFill/>
            <a:ln w="9525">
              <a:noFill/>
              <a:miter lim="800000"/>
              <a:headEnd/>
              <a:tailEnd/>
            </a:ln>
          </xdr:spPr>
        </xdr:pic>
        <xdr:pic>
          <xdr:nvPicPr>
            <xdr:cNvPr id="25620" name="Picture 39"/>
            <xdr:cNvPicPr>
              <a:picLocks noChangeAspect="1" noChangeArrowheads="1"/>
            </xdr:cNvPicPr>
          </xdr:nvPicPr>
          <xdr:blipFill>
            <a:blip xmlns:r="http://schemas.openxmlformats.org/officeDocument/2006/relationships" r:embed="rId5" cstate="print"/>
            <a:srcRect/>
            <a:stretch>
              <a:fillRect/>
            </a:stretch>
          </xdr:blipFill>
          <xdr:spPr bwMode="auto">
            <a:xfrm>
              <a:off x="55" y="3"/>
              <a:ext cx="172" cy="45"/>
            </a:xfrm>
            <a:prstGeom prst="rect">
              <a:avLst/>
            </a:prstGeom>
            <a:noFill/>
            <a:ln w="9525">
              <a:noFill/>
              <a:miter lim="800000"/>
              <a:headEnd/>
              <a:tailEnd/>
            </a:ln>
          </xdr:spPr>
        </xdr:pic>
      </xdr:grpSp>
      <xdr:grpSp>
        <xdr:nvGrpSpPr>
          <xdr:cNvPr id="25605" name="Group 40"/>
          <xdr:cNvGrpSpPr>
            <a:grpSpLocks/>
          </xdr:cNvGrpSpPr>
        </xdr:nvGrpSpPr>
        <xdr:grpSpPr bwMode="auto">
          <a:xfrm>
            <a:off x="221" y="1"/>
            <a:ext cx="227" cy="50"/>
            <a:chOff x="221" y="1"/>
            <a:chExt cx="227" cy="50"/>
          </a:xfrm>
        </xdr:grpSpPr>
        <xdr:pic>
          <xdr:nvPicPr>
            <xdr:cNvPr id="25617" name="Picture 41"/>
            <xdr:cNvPicPr>
              <a:picLocks noChangeAspect="1" noChangeArrowheads="1"/>
            </xdr:cNvPicPr>
          </xdr:nvPicPr>
          <xdr:blipFill>
            <a:blip xmlns:r="http://schemas.openxmlformats.org/officeDocument/2006/relationships" r:embed="rId6" cstate="print">
              <a:lum bright="-6000"/>
            </a:blip>
            <a:srcRect/>
            <a:stretch>
              <a:fillRect/>
            </a:stretch>
          </xdr:blipFill>
          <xdr:spPr bwMode="auto">
            <a:xfrm>
              <a:off x="221" y="1"/>
              <a:ext cx="227" cy="50"/>
            </a:xfrm>
            <a:prstGeom prst="rect">
              <a:avLst/>
            </a:prstGeom>
            <a:noFill/>
            <a:ln w="9525">
              <a:noFill/>
              <a:miter lim="800000"/>
              <a:headEnd/>
              <a:tailEnd/>
            </a:ln>
          </xdr:spPr>
        </xdr:pic>
        <xdr:sp macro="" textlink="">
          <xdr:nvSpPr>
            <xdr:cNvPr id="29738" name="WordArt 42"/>
            <xdr:cNvSpPr>
              <a:spLocks noChangeArrowheads="1" noChangeShapeType="1" noTextEdit="1"/>
            </xdr:cNvSpPr>
          </xdr:nvSpPr>
          <xdr:spPr bwMode="auto">
            <a:xfrm rot="-603553">
              <a:off x="265" y="17"/>
              <a:ext cx="64" cy="24"/>
            </a:xfrm>
            <a:prstGeom prst="rect">
              <a:avLst/>
            </a:prstGeom>
          </xdr:spPr>
          <xdr:txBody>
            <a:bodyPr wrap="none" fromWordArt="1">
              <a:prstTxWarp prst="textArchUp">
                <a:avLst>
                  <a:gd name="adj" fmla="val 12201797"/>
                </a:avLst>
              </a:prstTxWarp>
            </a:bodyPr>
            <a:lstStyle/>
            <a:p>
              <a:pPr algn="ctr" rtl="0"/>
              <a:r>
                <a:rPr lang="hu-HU" sz="3600" b="1" kern="10" spc="0">
                  <a:ln w="0">
                    <a:solidFill>
                      <a:srgbClr val="FFFFFF"/>
                    </a:solidFill>
                    <a:round/>
                    <a:headEnd/>
                    <a:tailEnd/>
                  </a:ln>
                  <a:solidFill>
                    <a:srgbClr val="E5322C"/>
                  </a:solidFill>
                  <a:effectLst>
                    <a:outerShdw dist="28398" dir="1593903" algn="ctr" rotWithShape="0">
                      <a:srgbClr val="FFFFFF"/>
                    </a:outerShdw>
                  </a:effectLst>
                  <a:latin typeface="Brush Script MT"/>
                </a:rPr>
                <a:t>2015</a:t>
              </a:r>
            </a:p>
          </xdr:txBody>
        </xdr:sp>
      </xdr:grpSp>
      <xdr:sp macro="" textlink="">
        <xdr:nvSpPr>
          <xdr:cNvPr id="29739" name="AutoShape 43">
            <a:hlinkClick xmlns:r="http://schemas.openxmlformats.org/officeDocument/2006/relationships" r:id="rId7" tooltip="Használati ismertető"/>
          </xdr:cNvPr>
          <xdr:cNvSpPr>
            <a:spLocks noChangeArrowheads="1"/>
          </xdr:cNvSpPr>
        </xdr:nvSpPr>
        <xdr:spPr bwMode="auto">
          <a:xfrm>
            <a:off x="984" y="5"/>
            <a:ext cx="20" cy="41"/>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rPr>
              <a:t>SÚGÓ</a:t>
            </a:r>
          </a:p>
        </xdr:txBody>
      </xdr:sp>
      <xdr:sp macro="" textlink="">
        <xdr:nvSpPr>
          <xdr:cNvPr id="29740" name="AutoShape 44">
            <a:hlinkClick xmlns:r="http://schemas.openxmlformats.org/officeDocument/2006/relationships" r:id="rId8" tooltip="Rájásztás eredményei"/>
          </xdr:cNvPr>
          <xdr:cNvSpPr>
            <a:spLocks noChangeArrowheads="1"/>
          </xdr:cNvSpPr>
        </xdr:nvSpPr>
        <xdr:spPr bwMode="auto">
          <a:xfrm>
            <a:off x="498"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RÁJÁTSZÁS</a:t>
            </a:r>
          </a:p>
        </xdr:txBody>
      </xdr:sp>
      <xdr:sp macro="" textlink="">
        <xdr:nvSpPr>
          <xdr:cNvPr id="29741" name="AutoShape 45">
            <a:hlinkClick xmlns:r="http://schemas.openxmlformats.org/officeDocument/2006/relationships" r:id="rId9" tooltip="Alapszakasz eredményei"/>
          </xdr:cNvPr>
          <xdr:cNvSpPr>
            <a:spLocks noChangeArrowheads="1"/>
          </xdr:cNvSpPr>
        </xdr:nvSpPr>
        <xdr:spPr bwMode="auto">
          <a:xfrm>
            <a:off x="498"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ALAPSZAKASZ</a:t>
            </a:r>
          </a:p>
        </xdr:txBody>
      </xdr:sp>
      <xdr:sp macro="" textlink="">
        <xdr:nvSpPr>
          <xdr:cNvPr id="29742" name="AutoShape 46">
            <a:hlinkClick xmlns:r="http://schemas.openxmlformats.org/officeDocument/2006/relationships" r:id="rId10" tooltip="Góllövőlista megtekintése"/>
          </xdr:cNvPr>
          <xdr:cNvSpPr>
            <a:spLocks noChangeArrowheads="1"/>
          </xdr:cNvSpPr>
        </xdr:nvSpPr>
        <xdr:spPr bwMode="auto">
          <a:xfrm>
            <a:off x="790"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29743" name="AutoShape 47">
            <a:hlinkClick xmlns:r="http://schemas.openxmlformats.org/officeDocument/2006/relationships" r:id="rId11" tooltip="Alapszakasz tabella megtekintése"/>
          </xdr:cNvPr>
          <xdr:cNvSpPr>
            <a:spLocks noChangeArrowheads="1"/>
          </xdr:cNvSpPr>
        </xdr:nvSpPr>
        <xdr:spPr bwMode="auto">
          <a:xfrm>
            <a:off x="592"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a.</a:t>
            </a:r>
          </a:p>
        </xdr:txBody>
      </xdr:sp>
      <xdr:sp macro="" textlink="">
        <xdr:nvSpPr>
          <xdr:cNvPr id="29744" name="AutoShape 48">
            <a:hlinkClick xmlns:r="http://schemas.openxmlformats.org/officeDocument/2006/relationships" r:id="rId12" tooltip="Rájásztás tabella megtekintése"/>
          </xdr:cNvPr>
          <xdr:cNvSpPr>
            <a:spLocks noChangeArrowheads="1"/>
          </xdr:cNvSpPr>
        </xdr:nvSpPr>
        <xdr:spPr bwMode="auto">
          <a:xfrm>
            <a:off x="592"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r.</a:t>
            </a:r>
          </a:p>
        </xdr:txBody>
      </xdr:sp>
      <xdr:sp macro="" textlink="">
        <xdr:nvSpPr>
          <xdr:cNvPr id="29745" name="AutoShape 49">
            <a:hlinkClick xmlns:r="http://schemas.openxmlformats.org/officeDocument/2006/relationships" r:id="rId13" tooltip="Alapszakasz kereszttáblázat megtekintése"/>
          </xdr:cNvPr>
          <xdr:cNvSpPr>
            <a:spLocks noChangeArrowheads="1"/>
          </xdr:cNvSpPr>
        </xdr:nvSpPr>
        <xdr:spPr bwMode="auto">
          <a:xfrm>
            <a:off x="686" y="5"/>
            <a:ext cx="10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 a.</a:t>
            </a:r>
          </a:p>
        </xdr:txBody>
      </xdr:sp>
      <xdr:sp macro="" textlink="">
        <xdr:nvSpPr>
          <xdr:cNvPr id="29746" name="AutoShape 50">
            <a:hlinkClick xmlns:r="http://schemas.openxmlformats.org/officeDocument/2006/relationships" r:id="rId14" tooltip="Rájátszás kereszttáblázat megtekintése"/>
          </xdr:cNvPr>
          <xdr:cNvSpPr>
            <a:spLocks noChangeArrowheads="1"/>
          </xdr:cNvSpPr>
        </xdr:nvSpPr>
        <xdr:spPr bwMode="auto">
          <a:xfrm>
            <a:off x="686" y="27"/>
            <a:ext cx="10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KERESZTTÁBLA r.</a:t>
            </a:r>
          </a:p>
        </xdr:txBody>
      </xdr:sp>
      <xdr:sp macro="" textlink="">
        <xdr:nvSpPr>
          <xdr:cNvPr id="29747" name="AutoShape 51">
            <a:hlinkClick xmlns:r="http://schemas.openxmlformats.org/officeDocument/2006/relationships" r:id="rId15" tooltip="Gólszerzők rögzítése"/>
          </xdr:cNvPr>
          <xdr:cNvSpPr>
            <a:spLocks noChangeArrowheads="1"/>
          </xdr:cNvSpPr>
        </xdr:nvSpPr>
        <xdr:spPr bwMode="auto">
          <a:xfrm>
            <a:off x="790"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29748" name="AutoShape 52">
            <a:hlinkClick xmlns:r="http://schemas.openxmlformats.org/officeDocument/2006/relationships" r:id="rId16" tooltip="A szakosztály és a csapatok elérhetőségei"/>
          </xdr:cNvPr>
          <xdr:cNvSpPr>
            <a:spLocks noChangeArrowheads="1"/>
          </xdr:cNvSpPr>
        </xdr:nvSpPr>
        <xdr:spPr bwMode="auto">
          <a:xfrm>
            <a:off x="887" y="27"/>
            <a:ext cx="94" cy="19"/>
          </a:xfrm>
          <a:prstGeom prst="bevel">
            <a:avLst>
              <a:gd name="adj" fmla="val 9093"/>
            </a:avLst>
          </a:prstGeom>
          <a:gradFill rotWithShape="1">
            <a:gsLst>
              <a:gs pos="0">
                <a:srgbClr val="FF6600"/>
              </a:gs>
              <a:gs pos="100000">
                <a:srgbClr val="C72323"/>
              </a:gs>
            </a:gsLst>
            <a:lin ang="5400000" scaled="1"/>
          </a:gradFill>
          <a:ln w="9525">
            <a:noFill/>
            <a:miter lim="800000"/>
            <a:headEnd/>
            <a:tailEnd/>
          </a:ln>
          <a:effectLst/>
        </xdr:spPr>
        <xdr:txBody>
          <a:bodyPr vertOverflow="clip" wrap="square" lIns="0" tIns="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29749" name="AutoShape 53">
            <a:hlinkClick xmlns:r="http://schemas.openxmlformats.org/officeDocument/2006/relationships" r:id="rId17" tooltip="Versenykiírás megtekintése"/>
          </xdr:cNvPr>
          <xdr:cNvSpPr>
            <a:spLocks noChangeArrowheads="1"/>
          </xdr:cNvSpPr>
        </xdr:nvSpPr>
        <xdr:spPr bwMode="auto">
          <a:xfrm>
            <a:off x="887"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619125</xdr:colOff>
      <xdr:row>38</xdr:row>
      <xdr:rowOff>0</xdr:rowOff>
    </xdr:to>
    <xdr:grpSp>
      <xdr:nvGrpSpPr>
        <xdr:cNvPr id="26625" name="Group 358"/>
        <xdr:cNvGrpSpPr>
          <a:grpSpLocks/>
        </xdr:cNvGrpSpPr>
      </xdr:nvGrpSpPr>
      <xdr:grpSpPr bwMode="auto">
        <a:xfrm>
          <a:off x="0" y="0"/>
          <a:ext cx="9582150" cy="485775"/>
          <a:chOff x="0" y="0"/>
          <a:chExt cx="1006" cy="51"/>
        </a:xfrm>
      </xdr:grpSpPr>
      <xdr:pic>
        <xdr:nvPicPr>
          <xdr:cNvPr id="26626" name="Picture 359"/>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006" cy="51"/>
          </a:xfrm>
          <a:prstGeom prst="rect">
            <a:avLst/>
          </a:prstGeom>
          <a:noFill/>
          <a:ln w="9525">
            <a:noFill/>
            <a:miter lim="800000"/>
            <a:headEnd/>
            <a:tailEnd/>
          </a:ln>
        </xdr:spPr>
      </xdr:pic>
      <xdr:grpSp>
        <xdr:nvGrpSpPr>
          <xdr:cNvPr id="26627" name="Group 360">
            <a:hlinkClick xmlns:r="http://schemas.openxmlformats.org/officeDocument/2006/relationships" r:id="rId2" tooltip="Mail to Gyworks"/>
          </xdr:cNvPr>
          <xdr:cNvGrpSpPr>
            <a:grpSpLocks/>
          </xdr:cNvGrpSpPr>
        </xdr:nvGrpSpPr>
        <xdr:grpSpPr bwMode="auto">
          <a:xfrm>
            <a:off x="449" y="11"/>
            <a:ext cx="49" cy="34"/>
            <a:chOff x="356" y="11"/>
            <a:chExt cx="49" cy="34"/>
          </a:xfrm>
        </xdr:grpSpPr>
        <xdr:grpSp>
          <xdr:nvGrpSpPr>
            <xdr:cNvPr id="26645" name="Group 361"/>
            <xdr:cNvGrpSpPr>
              <a:grpSpLocks/>
            </xdr:cNvGrpSpPr>
          </xdr:nvGrpSpPr>
          <xdr:grpSpPr bwMode="auto">
            <a:xfrm>
              <a:off x="361" y="11"/>
              <a:ext cx="44" cy="18"/>
              <a:chOff x="148" y="352"/>
              <a:chExt cx="44" cy="18"/>
            </a:xfrm>
          </xdr:grpSpPr>
          <xdr:grpSp>
            <xdr:nvGrpSpPr>
              <xdr:cNvPr id="26647" name="Group 362"/>
              <xdr:cNvGrpSpPr>
                <a:grpSpLocks noChangeAspect="1"/>
              </xdr:cNvGrpSpPr>
            </xdr:nvGrpSpPr>
            <xdr:grpSpPr bwMode="auto">
              <a:xfrm>
                <a:off x="148" y="352"/>
                <a:ext cx="14" cy="16"/>
                <a:chOff x="846" y="38"/>
                <a:chExt cx="28" cy="32"/>
              </a:xfrm>
            </xdr:grpSpPr>
            <xdr:sp macro="" textlink="">
              <xdr:nvSpPr>
                <xdr:cNvPr id="26650" name="Line 363"/>
                <xdr:cNvSpPr>
                  <a:spLocks noChangeAspect="1" noChangeShapeType="1"/>
                </xdr:cNvSpPr>
              </xdr:nvSpPr>
              <xdr:spPr bwMode="auto">
                <a:xfrm flipH="1">
                  <a:off x="850" y="49"/>
                  <a:ext cx="17" cy="21"/>
                </a:xfrm>
                <a:prstGeom prst="line">
                  <a:avLst/>
                </a:prstGeom>
                <a:noFill/>
                <a:ln w="19050">
                  <a:solidFill>
                    <a:srgbClr val="EEEEEE"/>
                  </a:solidFill>
                  <a:round/>
                  <a:headEnd/>
                  <a:tailEnd/>
                </a:ln>
              </xdr:spPr>
            </xdr:sp>
            <xdr:sp macro="" textlink="">
              <xdr:nvSpPr>
                <xdr:cNvPr id="26651" name="Arc 364"/>
                <xdr:cNvSpPr>
                  <a:spLocks noChangeAspect="1"/>
                </xdr:cNvSpPr>
              </xdr:nvSpPr>
              <xdr:spPr bwMode="auto">
                <a:xfrm rot="16200000" flipH="1">
                  <a:off x="848" y="36"/>
                  <a:ext cx="23" cy="27"/>
                </a:xfrm>
                <a:custGeom>
                  <a:avLst/>
                  <a:gdLst>
                    <a:gd name="T0" fmla="*/ 6 w 43200"/>
                    <a:gd name="T1" fmla="*/ 27 h 40066"/>
                    <a:gd name="T2" fmla="*/ 22 w 43200"/>
                    <a:gd name="T3" fmla="*/ 22 h 40066"/>
                    <a:gd name="T4" fmla="*/ 12 w 43200"/>
                    <a:gd name="T5" fmla="*/ 15 h 40066"/>
                    <a:gd name="T6" fmla="*/ 0 60000 65536"/>
                    <a:gd name="T7" fmla="*/ 0 60000 65536"/>
                    <a:gd name="T8" fmla="*/ 0 60000 65536"/>
                    <a:gd name="T9" fmla="*/ 0 w 43200"/>
                    <a:gd name="T10" fmla="*/ 0 h 40066"/>
                    <a:gd name="T11" fmla="*/ 43200 w 43200"/>
                    <a:gd name="T12" fmla="*/ 40066 h 40066"/>
                  </a:gdLst>
                  <a:ahLst/>
                  <a:cxnLst>
                    <a:cxn ang="T6">
                      <a:pos x="T0" y="T1"/>
                    </a:cxn>
                    <a:cxn ang="T7">
                      <a:pos x="T2" y="T3"/>
                    </a:cxn>
                    <a:cxn ang="T8">
                      <a:pos x="T4" y="T5"/>
                    </a:cxn>
                  </a:cxnLst>
                  <a:rect l="T9" t="T10" r="T11" b="T12"/>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close/>
                    </a:path>
                  </a:pathLst>
                </a:custGeom>
                <a:noFill/>
                <a:ln w="19050">
                  <a:solidFill>
                    <a:srgbClr val="EEEEEE"/>
                  </a:solidFill>
                  <a:round/>
                  <a:headEnd/>
                  <a:tailEnd/>
                </a:ln>
              </xdr:spPr>
            </xdr:sp>
            <xdr:sp macro="" textlink="">
              <xdr:nvSpPr>
                <xdr:cNvPr id="26652" name="Line 365"/>
                <xdr:cNvSpPr>
                  <a:spLocks noChangeAspect="1" noChangeShapeType="1"/>
                </xdr:cNvSpPr>
              </xdr:nvSpPr>
              <xdr:spPr bwMode="auto">
                <a:xfrm flipH="1">
                  <a:off x="858" y="49"/>
                  <a:ext cx="16" cy="21"/>
                </a:xfrm>
                <a:prstGeom prst="line">
                  <a:avLst/>
                </a:prstGeom>
                <a:noFill/>
                <a:ln w="19050">
                  <a:solidFill>
                    <a:srgbClr val="EEEEEE"/>
                  </a:solidFill>
                  <a:round/>
                  <a:headEnd/>
                  <a:tailEnd/>
                </a:ln>
              </xdr:spPr>
            </xdr:sp>
          </xdr:grpSp>
          <xdr:sp macro="" textlink="">
            <xdr:nvSpPr>
              <xdr:cNvPr id="15726" name="Text Box 366"/>
              <xdr:cNvSpPr txBox="1">
                <a:spLocks noChangeAspect="1" noChangeArrowheads="1"/>
              </xdr:cNvSpPr>
            </xdr:nvSpPr>
            <xdr:spPr bwMode="auto">
              <a:xfrm>
                <a:off x="158" y="359"/>
                <a:ext cx="27" cy="11"/>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727" name="Text Box 367"/>
              <xdr:cNvSpPr txBox="1">
                <a:spLocks noChangeAspect="1" noChangeArrowheads="1"/>
              </xdr:cNvSpPr>
            </xdr:nvSpPr>
            <xdr:spPr bwMode="auto">
              <a:xfrm>
                <a:off x="178" y="355"/>
                <a:ext cx="14" cy="9"/>
              </a:xfrm>
              <a:prstGeom prst="rect">
                <a:avLst/>
              </a:prstGeom>
              <a:noFill/>
              <a:ln w="9525">
                <a:noFill/>
                <a:miter lim="800000"/>
                <a:headEnd/>
                <a:tailEnd/>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728" name="Text Box 368"/>
            <xdr:cNvSpPr txBox="1">
              <a:spLocks noChangeArrowheads="1"/>
            </xdr:cNvSpPr>
          </xdr:nvSpPr>
          <xdr:spPr bwMode="auto">
            <a:xfrm>
              <a:off x="356" y="28"/>
              <a:ext cx="44" cy="17"/>
            </a:xfrm>
            <a:prstGeom prst="rect">
              <a:avLst/>
            </a:prstGeom>
            <a:noFill/>
            <a:ln w="9525">
              <a:noFill/>
              <a:miter lim="800000"/>
              <a:headEnd/>
              <a:tailEnd/>
            </a:ln>
            <a:effectLst/>
          </xdr:spPr>
          <xdr:txBody>
            <a:bodyPr vertOverflow="clip" wrap="square" lIns="27432" tIns="27432" rIns="27432" bIns="27432" anchor="ctr" upright="1"/>
            <a:lstStyle/>
            <a:p>
              <a:pPr algn="ctr" rtl="0">
                <a:defRPr sz="1000"/>
              </a:pPr>
              <a:r>
                <a:rPr lang="hu-HU" sz="800" b="0" i="0" u="none" strike="noStrike" baseline="0">
                  <a:solidFill>
                    <a:srgbClr val="EEEEEE"/>
                  </a:solidFill>
                  <a:latin typeface="Arial Narrow"/>
                </a:rPr>
                <a:t>©  2015</a:t>
              </a:r>
            </a:p>
          </xdr:txBody>
        </xdr:sp>
      </xdr:grpSp>
      <xdr:grpSp>
        <xdr:nvGrpSpPr>
          <xdr:cNvPr id="26628" name="Group 369">
            <a:hlinkClick xmlns:r="http://schemas.openxmlformats.org/officeDocument/2006/relationships" r:id="rId3" tooltip="HASEFOCI"/>
          </xdr:cNvPr>
          <xdr:cNvGrpSpPr>
            <a:grpSpLocks/>
          </xdr:cNvGrpSpPr>
        </xdr:nvGrpSpPr>
        <xdr:grpSpPr bwMode="auto">
          <a:xfrm>
            <a:off x="3" y="0"/>
            <a:ext cx="224" cy="50"/>
            <a:chOff x="3" y="0"/>
            <a:chExt cx="224" cy="50"/>
          </a:xfrm>
        </xdr:grpSpPr>
        <xdr:pic>
          <xdr:nvPicPr>
            <xdr:cNvPr id="26643" name="Picture 370"/>
            <xdr:cNvPicPr>
              <a:picLocks noChangeAspect="1" noChangeArrowheads="1"/>
            </xdr:cNvPicPr>
          </xdr:nvPicPr>
          <xdr:blipFill>
            <a:blip xmlns:r="http://schemas.openxmlformats.org/officeDocument/2006/relationships" r:embed="rId4" cstate="print"/>
            <a:srcRect/>
            <a:stretch>
              <a:fillRect/>
            </a:stretch>
          </xdr:blipFill>
          <xdr:spPr bwMode="auto">
            <a:xfrm>
              <a:off x="3" y="0"/>
              <a:ext cx="48" cy="50"/>
            </a:xfrm>
            <a:prstGeom prst="rect">
              <a:avLst/>
            </a:prstGeom>
            <a:noFill/>
            <a:ln w="9525">
              <a:noFill/>
              <a:miter lim="800000"/>
              <a:headEnd/>
              <a:tailEnd/>
            </a:ln>
          </xdr:spPr>
        </xdr:pic>
        <xdr:pic>
          <xdr:nvPicPr>
            <xdr:cNvPr id="26644" name="Picture 371"/>
            <xdr:cNvPicPr>
              <a:picLocks noChangeAspect="1" noChangeArrowheads="1"/>
            </xdr:cNvPicPr>
          </xdr:nvPicPr>
          <xdr:blipFill>
            <a:blip xmlns:r="http://schemas.openxmlformats.org/officeDocument/2006/relationships" r:embed="rId5" cstate="print"/>
            <a:srcRect/>
            <a:stretch>
              <a:fillRect/>
            </a:stretch>
          </xdr:blipFill>
          <xdr:spPr bwMode="auto">
            <a:xfrm>
              <a:off x="55" y="3"/>
              <a:ext cx="172" cy="45"/>
            </a:xfrm>
            <a:prstGeom prst="rect">
              <a:avLst/>
            </a:prstGeom>
            <a:noFill/>
            <a:ln w="9525">
              <a:noFill/>
              <a:miter lim="800000"/>
              <a:headEnd/>
              <a:tailEnd/>
            </a:ln>
          </xdr:spPr>
        </xdr:pic>
      </xdr:grpSp>
      <xdr:grpSp>
        <xdr:nvGrpSpPr>
          <xdr:cNvPr id="26629" name="Group 372"/>
          <xdr:cNvGrpSpPr>
            <a:grpSpLocks/>
          </xdr:cNvGrpSpPr>
        </xdr:nvGrpSpPr>
        <xdr:grpSpPr bwMode="auto">
          <a:xfrm>
            <a:off x="221" y="1"/>
            <a:ext cx="227" cy="50"/>
            <a:chOff x="221" y="1"/>
            <a:chExt cx="227" cy="50"/>
          </a:xfrm>
        </xdr:grpSpPr>
        <xdr:pic>
          <xdr:nvPicPr>
            <xdr:cNvPr id="26641" name="Picture 373"/>
            <xdr:cNvPicPr>
              <a:picLocks noChangeAspect="1" noChangeArrowheads="1"/>
            </xdr:cNvPicPr>
          </xdr:nvPicPr>
          <xdr:blipFill>
            <a:blip xmlns:r="http://schemas.openxmlformats.org/officeDocument/2006/relationships" r:embed="rId6" cstate="print">
              <a:lum bright="-6000"/>
            </a:blip>
            <a:srcRect/>
            <a:stretch>
              <a:fillRect/>
            </a:stretch>
          </xdr:blipFill>
          <xdr:spPr bwMode="auto">
            <a:xfrm>
              <a:off x="221" y="1"/>
              <a:ext cx="227" cy="50"/>
            </a:xfrm>
            <a:prstGeom prst="rect">
              <a:avLst/>
            </a:prstGeom>
            <a:noFill/>
            <a:ln w="9525">
              <a:noFill/>
              <a:miter lim="800000"/>
              <a:headEnd/>
              <a:tailEnd/>
            </a:ln>
          </xdr:spPr>
        </xdr:pic>
        <xdr:sp macro="" textlink="">
          <xdr:nvSpPr>
            <xdr:cNvPr id="15734" name="WordArt 374"/>
            <xdr:cNvSpPr>
              <a:spLocks noChangeArrowheads="1" noChangeShapeType="1" noTextEdit="1"/>
            </xdr:cNvSpPr>
          </xdr:nvSpPr>
          <xdr:spPr bwMode="auto">
            <a:xfrm rot="-603553">
              <a:off x="265" y="17"/>
              <a:ext cx="64" cy="24"/>
            </a:xfrm>
            <a:prstGeom prst="rect">
              <a:avLst/>
            </a:prstGeom>
          </xdr:spPr>
          <xdr:txBody>
            <a:bodyPr wrap="none" fromWordArt="1">
              <a:prstTxWarp prst="textArchUp">
                <a:avLst>
                  <a:gd name="adj" fmla="val 12201797"/>
                </a:avLst>
              </a:prstTxWarp>
            </a:bodyPr>
            <a:lstStyle/>
            <a:p>
              <a:pPr algn="ctr" rtl="0"/>
              <a:r>
                <a:rPr lang="hu-HU" sz="3600" b="1" kern="10" spc="0">
                  <a:ln w="0">
                    <a:solidFill>
                      <a:srgbClr val="FFFFFF"/>
                    </a:solidFill>
                    <a:round/>
                    <a:headEnd/>
                    <a:tailEnd/>
                  </a:ln>
                  <a:solidFill>
                    <a:srgbClr val="E5322C"/>
                  </a:solidFill>
                  <a:effectLst>
                    <a:outerShdw dist="28398" dir="1593903" algn="ctr" rotWithShape="0">
                      <a:srgbClr val="FFFFFF"/>
                    </a:outerShdw>
                  </a:effectLst>
                  <a:latin typeface="Brush Script MT"/>
                </a:rPr>
                <a:t>2015</a:t>
              </a:r>
            </a:p>
          </xdr:txBody>
        </xdr:sp>
      </xdr:grpSp>
      <xdr:sp macro="" textlink="">
        <xdr:nvSpPr>
          <xdr:cNvPr id="15735" name="AutoShape 375">
            <a:hlinkClick xmlns:r="http://schemas.openxmlformats.org/officeDocument/2006/relationships" r:id="rId7" tooltip="Használati ismertető"/>
          </xdr:cNvPr>
          <xdr:cNvSpPr>
            <a:spLocks noChangeArrowheads="1"/>
          </xdr:cNvSpPr>
        </xdr:nvSpPr>
        <xdr:spPr bwMode="auto">
          <a:xfrm>
            <a:off x="984" y="5"/>
            <a:ext cx="20" cy="41"/>
          </a:xfrm>
          <a:prstGeom prst="bevel">
            <a:avLst>
              <a:gd name="adj" fmla="val 9093"/>
            </a:avLst>
          </a:prstGeom>
          <a:gradFill rotWithShape="1">
            <a:gsLst>
              <a:gs pos="0">
                <a:srgbClr val="FF6600"/>
              </a:gs>
              <a:gs pos="100000">
                <a:srgbClr val="C72323"/>
              </a:gs>
            </a:gsLst>
            <a:lin ang="5400000" scaled="1"/>
          </a:gradFill>
          <a:ln w="9525">
            <a:noFill/>
            <a:miter lim="800000"/>
            <a:headEnd/>
            <a:tailEnd/>
          </a:ln>
          <a:effec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rPr>
              <a:t>SÚGÓ</a:t>
            </a:r>
          </a:p>
        </xdr:txBody>
      </xdr:sp>
      <xdr:sp macro="" textlink="">
        <xdr:nvSpPr>
          <xdr:cNvPr id="15736" name="AutoShape 376">
            <a:hlinkClick xmlns:r="http://schemas.openxmlformats.org/officeDocument/2006/relationships" r:id="rId8" tooltip="Rájásztás eredményei"/>
          </xdr:cNvPr>
          <xdr:cNvSpPr>
            <a:spLocks noChangeArrowheads="1"/>
          </xdr:cNvSpPr>
        </xdr:nvSpPr>
        <xdr:spPr bwMode="auto">
          <a:xfrm>
            <a:off x="498"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RÁJÁTSZÁS</a:t>
            </a:r>
          </a:p>
        </xdr:txBody>
      </xdr:sp>
      <xdr:sp macro="" textlink="">
        <xdr:nvSpPr>
          <xdr:cNvPr id="15737" name="AutoShape 377">
            <a:hlinkClick xmlns:r="http://schemas.openxmlformats.org/officeDocument/2006/relationships" r:id="rId9" tooltip="Alapszakasz eredményei"/>
          </xdr:cNvPr>
          <xdr:cNvSpPr>
            <a:spLocks noChangeArrowheads="1"/>
          </xdr:cNvSpPr>
        </xdr:nvSpPr>
        <xdr:spPr bwMode="auto">
          <a:xfrm>
            <a:off x="498"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ALAPSZAKASZ</a:t>
            </a:r>
          </a:p>
        </xdr:txBody>
      </xdr:sp>
      <xdr:sp macro="" textlink="">
        <xdr:nvSpPr>
          <xdr:cNvPr id="15738" name="AutoShape 378">
            <a:hlinkClick xmlns:r="http://schemas.openxmlformats.org/officeDocument/2006/relationships" r:id="rId10" tooltip="Góllövőlista megtekintése"/>
          </xdr:cNvPr>
          <xdr:cNvSpPr>
            <a:spLocks noChangeArrowheads="1"/>
          </xdr:cNvSpPr>
        </xdr:nvSpPr>
        <xdr:spPr bwMode="auto">
          <a:xfrm>
            <a:off x="790"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739" name="AutoShape 379">
            <a:hlinkClick xmlns:r="http://schemas.openxmlformats.org/officeDocument/2006/relationships" r:id="rId11" tooltip="Alapszakasz tabella megtekintése"/>
          </xdr:cNvPr>
          <xdr:cNvSpPr>
            <a:spLocks noChangeArrowheads="1"/>
          </xdr:cNvSpPr>
        </xdr:nvSpPr>
        <xdr:spPr bwMode="auto">
          <a:xfrm>
            <a:off x="592" y="5"/>
            <a:ext cx="9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a.</a:t>
            </a:r>
          </a:p>
        </xdr:txBody>
      </xdr:sp>
      <xdr:sp macro="" textlink="">
        <xdr:nvSpPr>
          <xdr:cNvPr id="15740" name="AutoShape 380">
            <a:hlinkClick xmlns:r="http://schemas.openxmlformats.org/officeDocument/2006/relationships" r:id="rId12" tooltip="Rájásztás tabella megtekintése"/>
          </xdr:cNvPr>
          <xdr:cNvSpPr>
            <a:spLocks noChangeArrowheads="1"/>
          </xdr:cNvSpPr>
        </xdr:nvSpPr>
        <xdr:spPr bwMode="auto">
          <a:xfrm>
            <a:off x="592" y="27"/>
            <a:ext cx="9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 r.</a:t>
            </a:r>
          </a:p>
        </xdr:txBody>
      </xdr:sp>
      <xdr:sp macro="" textlink="">
        <xdr:nvSpPr>
          <xdr:cNvPr id="15741" name="AutoShape 381">
            <a:hlinkClick xmlns:r="http://schemas.openxmlformats.org/officeDocument/2006/relationships" r:id="rId13" tooltip="Alapszakasz kereszttáblázat megtekintése"/>
          </xdr:cNvPr>
          <xdr:cNvSpPr>
            <a:spLocks noChangeArrowheads="1"/>
          </xdr:cNvSpPr>
        </xdr:nvSpPr>
        <xdr:spPr bwMode="auto">
          <a:xfrm>
            <a:off x="686" y="5"/>
            <a:ext cx="101" cy="19"/>
          </a:xfrm>
          <a:prstGeom prst="bevel">
            <a:avLst>
              <a:gd name="adj" fmla="val 10528"/>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 a.</a:t>
            </a:r>
          </a:p>
        </xdr:txBody>
      </xdr:sp>
      <xdr:sp macro="" textlink="">
        <xdr:nvSpPr>
          <xdr:cNvPr id="15742" name="AutoShape 382">
            <a:hlinkClick xmlns:r="http://schemas.openxmlformats.org/officeDocument/2006/relationships" r:id="rId14" tooltip="Rájátszás kereszttáblázat megtekintése"/>
          </xdr:cNvPr>
          <xdr:cNvSpPr>
            <a:spLocks noChangeArrowheads="1"/>
          </xdr:cNvSpPr>
        </xdr:nvSpPr>
        <xdr:spPr bwMode="auto">
          <a:xfrm>
            <a:off x="686" y="27"/>
            <a:ext cx="101"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KERESZTTÁBLA r.</a:t>
            </a:r>
          </a:p>
        </xdr:txBody>
      </xdr:sp>
      <xdr:sp macro="" textlink="">
        <xdr:nvSpPr>
          <xdr:cNvPr id="15743" name="AutoShape 383">
            <a:hlinkClick xmlns:r="http://schemas.openxmlformats.org/officeDocument/2006/relationships" r:id="rId15" tooltip="Gólszerzők rögzítése"/>
          </xdr:cNvPr>
          <xdr:cNvSpPr>
            <a:spLocks noChangeArrowheads="1"/>
          </xdr:cNvSpPr>
        </xdr:nvSpPr>
        <xdr:spPr bwMode="auto">
          <a:xfrm>
            <a:off x="790"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744" name="AutoShape 384">
            <a:hlinkClick xmlns:r="http://schemas.openxmlformats.org/officeDocument/2006/relationships" r:id="rId16" tooltip="A szakosztály és a csapatok elérhetőségei"/>
          </xdr:cNvPr>
          <xdr:cNvSpPr>
            <a:spLocks noChangeArrowheads="1"/>
          </xdr:cNvSpPr>
        </xdr:nvSpPr>
        <xdr:spPr bwMode="auto">
          <a:xfrm>
            <a:off x="887" y="27"/>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745" name="AutoShape 385">
            <a:hlinkClick xmlns:r="http://schemas.openxmlformats.org/officeDocument/2006/relationships" r:id="rId17" tooltip="Versenykiírás megtekintése"/>
          </xdr:cNvPr>
          <xdr:cNvSpPr>
            <a:spLocks noChangeArrowheads="1"/>
          </xdr:cNvSpPr>
        </xdr:nvSpPr>
        <xdr:spPr bwMode="auto">
          <a:xfrm>
            <a:off x="887" y="5"/>
            <a:ext cx="94" cy="19"/>
          </a:xfrm>
          <a:prstGeom prst="bevel">
            <a:avLst>
              <a:gd name="adj" fmla="val 9093"/>
            </a:avLst>
          </a:prstGeom>
          <a:gradFill rotWithShape="1">
            <a:gsLst>
              <a:gs pos="0">
                <a:srgbClr val="EEEEEE">
                  <a:alpha val="16000"/>
                </a:srgbClr>
              </a:gs>
              <a:gs pos="100000">
                <a:srgbClr val="EEEEEE">
                  <a:alpha val="50000"/>
                </a:srgbClr>
              </a:gs>
            </a:gsLst>
            <a:lin ang="5400000" scaled="1"/>
          </a:gradFill>
          <a:ln w="9525">
            <a:noFill/>
            <a:miter lim="800000"/>
            <a:headEnd/>
            <a:tailEnd/>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Tulajdonos/Dokumentumok/Szil&#225;rd/Munkaf&#252;zetek/Sport/M&#250;lt/Foci%20-%20region&#225;lis/VLKSZ%20terembajnoks&#225;g%202009-2010%20m&#243;dos&#237;tv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rsolás"/>
      <sheetName val="Tabellák"/>
      <sheetName val="Kereszttáblák"/>
      <sheetName val="Kedvenc"/>
      <sheetName val="Gólszerzők"/>
      <sheetName val="Góllövőlista"/>
      <sheetName val="Versenykiírás"/>
      <sheetName val="Súgó"/>
      <sheetName val="Adatok"/>
    </sheetNames>
    <sheetDataSet>
      <sheetData sheetId="0">
        <row r="45">
          <cell r="AU45">
            <v>1</v>
          </cell>
          <cell r="AV45">
            <v>1</v>
          </cell>
        </row>
        <row r="46">
          <cell r="AU46">
            <v>-4</v>
          </cell>
          <cell r="AV46">
            <v>-3</v>
          </cell>
        </row>
        <row r="47">
          <cell r="AU47">
            <v>332</v>
          </cell>
          <cell r="AV47">
            <v>332</v>
          </cell>
        </row>
        <row r="48">
          <cell r="AU48">
            <v>1</v>
          </cell>
          <cell r="AV48">
            <v>1</v>
          </cell>
        </row>
        <row r="52">
          <cell r="AU52">
            <v>1</v>
          </cell>
          <cell r="AV52">
            <v>1</v>
          </cell>
        </row>
        <row r="53">
          <cell r="AU53">
            <v>-4</v>
          </cell>
          <cell r="AV53">
            <v>-3</v>
          </cell>
        </row>
        <row r="54">
          <cell r="AU54">
            <v>428</v>
          </cell>
          <cell r="AV54">
            <v>428</v>
          </cell>
        </row>
        <row r="55">
          <cell r="AU55">
            <v>1</v>
          </cell>
          <cell r="AV55">
            <v>1</v>
          </cell>
        </row>
        <row r="66">
          <cell r="AV66">
            <v>217</v>
          </cell>
        </row>
        <row r="67">
          <cell r="AV67">
            <v>-7</v>
          </cell>
        </row>
        <row r="68">
          <cell r="AV68">
            <v>20</v>
          </cell>
        </row>
        <row r="69">
          <cell r="AV69">
            <v>14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vmlDrawing" Target="../drawings/vmlDrawing1.v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image" Target="../media/image1.png"/><Relationship Id="rId9" Type="http://schemas.openxmlformats.org/officeDocument/2006/relationships/ctrlProp" Target="../ctrlProps/ctrlProp5.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trlProp" Target="../ctrlProps/ctrlProp11.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image" Target="../media/image1.png"/></Relationships>
</file>

<file path=xl/worksheets/_rels/sheet4.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3" Type="http://schemas.openxmlformats.org/officeDocument/2006/relationships/vmlDrawing" Target="../drawings/vmlDrawing3.vml"/><Relationship Id="rId7" Type="http://schemas.openxmlformats.org/officeDocument/2006/relationships/ctrlProp" Target="../ctrlProps/ctrlProp14.xml"/><Relationship Id="rId12" Type="http://schemas.openxmlformats.org/officeDocument/2006/relationships/ctrlProp" Target="../ctrlProps/ctrlProp19.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0" Type="http://schemas.openxmlformats.org/officeDocument/2006/relationships/ctrlProp" Target="../ctrlProps/ctrlProp17.xml"/><Relationship Id="rId4" Type="http://schemas.openxmlformats.org/officeDocument/2006/relationships/image" Target="../media/image1.png"/><Relationship Id="rId9" Type="http://schemas.openxmlformats.org/officeDocument/2006/relationships/ctrlProp" Target="../ctrlProps/ctrlProp16.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trlProp" Target="../ctrlProps/ctrlProp23.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22.xml"/><Relationship Id="rId5" Type="http://schemas.openxmlformats.org/officeDocument/2006/relationships/ctrlProp" Target="../ctrlProps/ctrlProp21.xml"/><Relationship Id="rId4" Type="http://schemas.openxmlformats.org/officeDocument/2006/relationships/image" Target="../media/image1.png"/></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4.bin"/><Relationship Id="rId1" Type="http://schemas.openxmlformats.org/officeDocument/2006/relationships/hyperlink" Target="mailto:81.toth.istvan@gmail.com" TargetMode="External"/><Relationship Id="rId4" Type="http://schemas.openxmlformats.org/officeDocument/2006/relationships/image" Target="../media/image1.png"/></Relationships>
</file>

<file path=xl/worksheets/_rels/sheet15.xml.rels><?xml version="1.0" encoding="UTF-8" standalone="yes"?>
<Relationships xmlns="http://schemas.openxmlformats.org/package/2006/relationships"><Relationship Id="rId3" Type="http://schemas.openxmlformats.org/officeDocument/2006/relationships/hyperlink" Target="http://www.nemzetisport.hu/minden_mas_foci/20030215/szurkoloi_szoftverek/" TargetMode="External"/><Relationship Id="rId2" Type="http://schemas.openxmlformats.org/officeDocument/2006/relationships/hyperlink" Target="mailto:gymm@mailbox.hu?subject=Eredm&#233;nyk&#246;vet&#337;%20t&#225;bl&#225;zat" TargetMode="External"/><Relationship Id="rId1" Type="http://schemas.openxmlformats.org/officeDocument/2006/relationships/hyperlink" Target="http://www.hasefoci.eoldal.hu/" TargetMode="External"/><Relationship Id="rId6" Type="http://schemas.openxmlformats.org/officeDocument/2006/relationships/image" Target="../media/image1.png"/><Relationship Id="rId5" Type="http://schemas.openxmlformats.org/officeDocument/2006/relationships/drawing" Target="../drawings/drawing11.xml"/><Relationship Id="rId4"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
    <pageSetUpPr autoPageBreaks="0"/>
  </sheetPr>
  <dimension ref="A1:BF792"/>
  <sheetViews>
    <sheetView showGridLines="0" showRowColHeaders="0" zoomScaleNormal="100" workbookViewId="0">
      <pane ySplit="39" topLeftCell="A343" activePane="bottomLeft" state="frozen"/>
      <selection pane="bottomLeft"/>
    </sheetView>
  </sheetViews>
  <sheetFormatPr defaultColWidth="9.140625" defaultRowHeight="11.25" customHeight="1" x14ac:dyDescent="0.2"/>
  <cols>
    <col min="1" max="1" width="1.7109375" style="257" customWidth="1"/>
    <col min="2" max="2" width="2.5703125" style="169" customWidth="1"/>
    <col min="3" max="4" width="12.85546875" style="169" customWidth="1"/>
    <col min="5" max="5" width="28.5703125" style="198" customWidth="1"/>
    <col min="6" max="6" width="4.28515625" style="199" customWidth="1"/>
    <col min="7" max="7" width="1.140625" style="200" customWidth="1"/>
    <col min="8" max="8" width="4.28515625" style="201" customWidth="1"/>
    <col min="9" max="9" width="28.5703125" style="202" customWidth="1"/>
    <col min="10" max="10" width="2.85546875" style="203" customWidth="1"/>
    <col min="11" max="11" width="41" style="173" customWidth="1"/>
    <col min="12" max="12" width="1.28515625" style="173" customWidth="1"/>
    <col min="13" max="13" width="2" style="173" customWidth="1"/>
    <col min="14" max="14" width="4.28515625" style="173" customWidth="1"/>
    <col min="15" max="15" width="27.140625" style="173" customWidth="1"/>
    <col min="16" max="18" width="2" style="174" customWidth="1"/>
    <col min="19" max="19" width="9.140625" style="174"/>
    <col min="20" max="20" width="2.85546875" style="175" hidden="1" customWidth="1"/>
    <col min="21" max="21" width="10.85546875" style="176" hidden="1" customWidth="1"/>
    <col min="22" max="22" width="3.7109375" style="177" hidden="1" customWidth="1"/>
    <col min="23" max="23" width="3" style="177" hidden="1" customWidth="1"/>
    <col min="24" max="25" width="9" style="177" hidden="1" customWidth="1"/>
    <col min="26" max="26" width="3" style="178" hidden="1" customWidth="1"/>
    <col min="27" max="27" width="3" style="179" hidden="1" customWidth="1"/>
    <col min="28" max="28" width="3.7109375" style="180" hidden="1" customWidth="1"/>
    <col min="29" max="30" width="8.7109375" style="181" hidden="1" customWidth="1"/>
    <col min="31" max="31" width="8.7109375" style="182" hidden="1" customWidth="1"/>
    <col min="32" max="33" width="8.7109375" style="181" hidden="1" customWidth="1"/>
    <col min="34" max="35" width="8.7109375" style="182" hidden="1" customWidth="1"/>
    <col min="36" max="36" width="3.28515625" style="175" hidden="1" customWidth="1"/>
    <col min="37" max="37" width="3.42578125" style="183" hidden="1" customWidth="1"/>
    <col min="38" max="38" width="7" style="183" hidden="1" customWidth="1"/>
    <col min="39" max="39" width="7" style="184" hidden="1" customWidth="1"/>
    <col min="40" max="40" width="3.42578125" style="183" hidden="1" customWidth="1"/>
    <col min="41" max="41" width="3.42578125" style="175" hidden="1" customWidth="1"/>
    <col min="42" max="51" width="5.85546875" style="185" hidden="1" customWidth="1"/>
    <col min="52" max="52" width="3.140625" style="186" hidden="1" customWidth="1"/>
    <col min="53" max="53" width="3.42578125" style="185" hidden="1" customWidth="1"/>
    <col min="54" max="54" width="5.85546875" style="185" hidden="1" customWidth="1"/>
    <col min="55" max="55" width="2.85546875" style="185" hidden="1" customWidth="1"/>
    <col min="56" max="56" width="5.85546875" style="185" hidden="1" customWidth="1"/>
    <col min="57" max="57" width="4.140625" style="185" hidden="1" customWidth="1"/>
    <col min="58" max="58" width="3.140625" style="186" hidden="1" customWidth="1"/>
    <col min="59" max="16384" width="9.140625" style="169"/>
  </cols>
  <sheetData>
    <row r="1" spans="5:7" s="257" customFormat="1" ht="1.5" customHeight="1" x14ac:dyDescent="0.2">
      <c r="E1" s="258"/>
      <c r="F1" s="258"/>
      <c r="G1" s="258"/>
    </row>
    <row r="2" spans="5:7" s="257" customFormat="1" ht="0.75" customHeight="1" x14ac:dyDescent="0.2">
      <c r="E2" s="259"/>
      <c r="F2" s="260"/>
      <c r="G2" s="260"/>
    </row>
    <row r="3" spans="5:7" s="257" customFormat="1" ht="1.5" hidden="1" customHeight="1" x14ac:dyDescent="0.2">
      <c r="E3" s="261"/>
      <c r="F3" s="262"/>
      <c r="G3" s="263"/>
    </row>
    <row r="4" spans="5:7" s="257" customFormat="1" ht="0.75" hidden="1" customHeight="1" x14ac:dyDescent="0.2">
      <c r="E4" s="261"/>
      <c r="F4" s="262"/>
      <c r="G4" s="263"/>
    </row>
    <row r="5" spans="5:7" s="257" customFormat="1" ht="1.5" hidden="1" customHeight="1" x14ac:dyDescent="0.2">
      <c r="E5" s="261"/>
      <c r="F5" s="262"/>
      <c r="G5" s="263"/>
    </row>
    <row r="6" spans="5:7" s="257" customFormat="1" ht="0.75" hidden="1" customHeight="1" x14ac:dyDescent="0.2">
      <c r="E6" s="261"/>
      <c r="F6" s="262"/>
      <c r="G6" s="263"/>
    </row>
    <row r="7" spans="5:7" s="257" customFormat="1" ht="1.5" customHeight="1" x14ac:dyDescent="0.2">
      <c r="E7" s="261"/>
      <c r="F7" s="262"/>
      <c r="G7" s="263"/>
    </row>
    <row r="8" spans="5:7" s="257" customFormat="1" ht="0.75" customHeight="1" x14ac:dyDescent="0.2">
      <c r="E8" s="261"/>
      <c r="F8" s="262"/>
      <c r="G8" s="263"/>
    </row>
    <row r="9" spans="5:7" s="257" customFormat="1" ht="1.5" customHeight="1" x14ac:dyDescent="0.2">
      <c r="E9" s="261"/>
      <c r="F9" s="262"/>
      <c r="G9" s="263"/>
    </row>
    <row r="10" spans="5:7" s="257" customFormat="1" ht="0.75" customHeight="1" x14ac:dyDescent="0.2">
      <c r="E10" s="261"/>
      <c r="F10" s="262"/>
      <c r="G10" s="263"/>
    </row>
    <row r="11" spans="5:7" s="257" customFormat="1" ht="1.5" customHeight="1" x14ac:dyDescent="0.2">
      <c r="E11" s="261"/>
      <c r="F11" s="262"/>
      <c r="G11" s="263"/>
    </row>
    <row r="12" spans="5:7" s="257" customFormat="1" ht="0.75" customHeight="1" x14ac:dyDescent="0.2">
      <c r="E12" s="261"/>
      <c r="F12" s="262"/>
      <c r="G12" s="263"/>
    </row>
    <row r="13" spans="5:7" s="257" customFormat="1" ht="1.5" customHeight="1" x14ac:dyDescent="0.2">
      <c r="E13" s="261"/>
      <c r="F13" s="262"/>
      <c r="G13" s="263"/>
    </row>
    <row r="14" spans="5:7" s="257" customFormat="1" ht="0.75" customHeight="1" x14ac:dyDescent="0.2">
      <c r="E14" s="261"/>
      <c r="F14" s="262"/>
      <c r="G14" s="263"/>
    </row>
    <row r="15" spans="5:7" s="257" customFormat="1" ht="1.5" customHeight="1" x14ac:dyDescent="0.2">
      <c r="E15" s="261"/>
      <c r="F15" s="262"/>
      <c r="G15" s="263"/>
    </row>
    <row r="16" spans="5:7" s="257" customFormat="1" ht="0.75" customHeight="1" x14ac:dyDescent="0.2">
      <c r="E16" s="261"/>
      <c r="F16" s="262"/>
      <c r="G16" s="263"/>
    </row>
    <row r="17" spans="5:7" s="257" customFormat="1" ht="1.5" customHeight="1" x14ac:dyDescent="0.2">
      <c r="E17" s="261"/>
      <c r="F17" s="262"/>
      <c r="G17" s="263"/>
    </row>
    <row r="18" spans="5:7" s="257" customFormat="1" ht="0.75" customHeight="1" x14ac:dyDescent="0.2">
      <c r="E18" s="261"/>
      <c r="F18" s="262"/>
      <c r="G18" s="263"/>
    </row>
    <row r="19" spans="5:7" s="257" customFormat="1" ht="1.5" customHeight="1" x14ac:dyDescent="0.2">
      <c r="E19" s="261"/>
      <c r="F19" s="262"/>
      <c r="G19" s="263"/>
    </row>
    <row r="20" spans="5:7" s="257" customFormat="1" ht="0.75" customHeight="1" x14ac:dyDescent="0.2">
      <c r="E20" s="261"/>
      <c r="F20" s="262"/>
      <c r="G20" s="263"/>
    </row>
    <row r="21" spans="5:7" s="257" customFormat="1" ht="1.5" customHeight="1" x14ac:dyDescent="0.2">
      <c r="E21" s="261"/>
      <c r="F21" s="262"/>
      <c r="G21" s="263"/>
    </row>
    <row r="22" spans="5:7" s="257" customFormat="1" ht="0.75" customHeight="1" x14ac:dyDescent="0.2">
      <c r="E22" s="261"/>
      <c r="F22" s="262"/>
      <c r="G22" s="263"/>
    </row>
    <row r="23" spans="5:7" s="257" customFormat="1" ht="1.5" customHeight="1" x14ac:dyDescent="0.2">
      <c r="E23" s="261"/>
      <c r="F23" s="262"/>
      <c r="G23" s="263"/>
    </row>
    <row r="24" spans="5:7" s="257" customFormat="1" ht="0.75" customHeight="1" x14ac:dyDescent="0.2">
      <c r="E24" s="261"/>
      <c r="F24" s="262"/>
      <c r="G24" s="263"/>
    </row>
    <row r="25" spans="5:7" s="257" customFormat="1" ht="1.5" customHeight="1" x14ac:dyDescent="0.2">
      <c r="E25" s="261"/>
      <c r="F25" s="262"/>
      <c r="G25" s="263"/>
    </row>
    <row r="26" spans="5:7" s="257" customFormat="1" ht="0.75" customHeight="1" x14ac:dyDescent="0.2">
      <c r="E26" s="261"/>
      <c r="F26" s="262"/>
      <c r="G26" s="263"/>
    </row>
    <row r="27" spans="5:7" s="257" customFormat="1" ht="1.5" customHeight="1" x14ac:dyDescent="0.2">
      <c r="E27" s="261"/>
      <c r="F27" s="262"/>
      <c r="G27" s="263"/>
    </row>
    <row r="28" spans="5:7" s="257" customFormat="1" ht="0.75" customHeight="1" x14ac:dyDescent="0.2">
      <c r="E28" s="261"/>
      <c r="F28" s="262"/>
      <c r="G28" s="263"/>
    </row>
    <row r="29" spans="5:7" s="257" customFormat="1" ht="1.5" customHeight="1" x14ac:dyDescent="0.2">
      <c r="E29" s="261"/>
      <c r="F29" s="262"/>
      <c r="G29" s="263"/>
    </row>
    <row r="30" spans="5:7" s="257" customFormat="1" ht="0.75" customHeight="1" x14ac:dyDescent="0.2">
      <c r="E30" s="261"/>
      <c r="F30" s="262"/>
      <c r="G30" s="263"/>
    </row>
    <row r="31" spans="5:7" s="257" customFormat="1" ht="1.5" customHeight="1" x14ac:dyDescent="0.2">
      <c r="E31" s="261"/>
      <c r="F31" s="262"/>
      <c r="G31" s="263"/>
    </row>
    <row r="32" spans="5:7" s="257" customFormat="1" ht="0.75" customHeight="1" x14ac:dyDescent="0.2">
      <c r="E32" s="261"/>
      <c r="F32" s="262"/>
      <c r="G32" s="263"/>
    </row>
    <row r="33" spans="1:56" s="257" customFormat="1" ht="1.5" customHeight="1" x14ac:dyDescent="0.2">
      <c r="E33" s="261"/>
      <c r="F33" s="262"/>
      <c r="G33" s="263"/>
    </row>
    <row r="34" spans="1:56" s="257" customFormat="1" ht="0.75" customHeight="1" x14ac:dyDescent="0.2">
      <c r="E34" s="261"/>
      <c r="F34" s="262"/>
      <c r="G34" s="263"/>
    </row>
    <row r="35" spans="1:56" s="257" customFormat="1" ht="1.5" customHeight="1" x14ac:dyDescent="0.2">
      <c r="E35" s="261"/>
      <c r="F35" s="262"/>
      <c r="G35" s="263"/>
    </row>
    <row r="36" spans="1:56" s="257" customFormat="1" ht="0.75" customHeight="1" x14ac:dyDescent="0.2">
      <c r="E36" s="261"/>
      <c r="F36" s="262"/>
      <c r="G36" s="263"/>
    </row>
    <row r="37" spans="1:56" s="257" customFormat="1" ht="1.5" customHeight="1" x14ac:dyDescent="0.2">
      <c r="E37" s="261"/>
      <c r="F37" s="262"/>
      <c r="G37" s="263"/>
    </row>
    <row r="38" spans="1:56" s="257" customFormat="1" ht="0.75" customHeight="1" x14ac:dyDescent="0.2">
      <c r="E38" s="261"/>
      <c r="F38" s="262"/>
      <c r="G38" s="263"/>
    </row>
    <row r="39" spans="1:56" s="164" customFormat="1" ht="12" customHeight="1" x14ac:dyDescent="0.2">
      <c r="B39" s="256" t="s">
        <v>496</v>
      </c>
      <c r="C39" s="165"/>
      <c r="D39" s="165"/>
      <c r="E39" s="166"/>
      <c r="F39" s="167"/>
      <c r="G39" s="168"/>
    </row>
    <row r="40" spans="1:56" ht="14.25" customHeight="1" x14ac:dyDescent="0.2">
      <c r="A40" s="842"/>
      <c r="E40" s="170"/>
      <c r="F40" s="171"/>
      <c r="G40" s="171"/>
      <c r="H40" s="171"/>
      <c r="I40" s="170"/>
      <c r="J40" s="172"/>
    </row>
    <row r="41" spans="1:56" ht="14.25" customHeight="1" x14ac:dyDescent="0.2">
      <c r="A41" s="842"/>
      <c r="B41" s="187"/>
      <c r="C41" s="269" t="str">
        <f>CONCATENATE(" ",AB43,"."," forduló  –")</f>
        <v xml:space="preserve"> 1. forduló  –</v>
      </c>
      <c r="D41" s="843">
        <f>VLOOKUP(AB43,ASZ!$AQ$59:$AS$104,2,FALSE)</f>
        <v>42088</v>
      </c>
      <c r="E41" s="843"/>
      <c r="F41" s="274"/>
      <c r="G41" s="274"/>
      <c r="H41" s="274"/>
      <c r="I41" s="270" t="str">
        <f>CONCATENATE(IF($AW$61,"pont: ","gól: "),SUM(F43:H54)," / átlag: ",TEXT(IF(COUNT(F43:H54)=0,"-",SUM(F43:H54)/COUNT(F43:H54)*2),"0,00"))</f>
        <v>gól: 28 / átlag: 5,60</v>
      </c>
      <c r="J41" s="190"/>
      <c r="K41" s="271" t="s">
        <v>285</v>
      </c>
      <c r="L41" s="192"/>
      <c r="U41" s="193" t="s">
        <v>145</v>
      </c>
      <c r="V41" s="194" t="s">
        <v>137</v>
      </c>
      <c r="W41" s="194" t="s">
        <v>144</v>
      </c>
      <c r="X41" s="194" t="s">
        <v>138</v>
      </c>
      <c r="Y41" s="194" t="s">
        <v>139</v>
      </c>
      <c r="Z41" s="195" t="s">
        <v>135</v>
      </c>
      <c r="AA41" s="196" t="s">
        <v>136</v>
      </c>
      <c r="AC41" s="197" t="s">
        <v>128</v>
      </c>
      <c r="AD41" s="197" t="s">
        <v>130</v>
      </c>
      <c r="AE41" s="197" t="s">
        <v>132</v>
      </c>
      <c r="AF41" s="197" t="s">
        <v>129</v>
      </c>
      <c r="AG41" s="197" t="s">
        <v>131</v>
      </c>
      <c r="AH41" s="197" t="s">
        <v>133</v>
      </c>
      <c r="AI41" s="197"/>
    </row>
    <row r="42" spans="1:56" ht="9" customHeight="1" x14ac:dyDescent="0.2">
      <c r="A42" s="842"/>
    </row>
    <row r="43" spans="1:56" ht="14.25" customHeight="1" x14ac:dyDescent="0.2">
      <c r="A43" s="842"/>
      <c r="C43" s="255">
        <v>42088</v>
      </c>
      <c r="D43" s="255" t="s">
        <v>497</v>
      </c>
      <c r="E43" s="265" t="s">
        <v>485</v>
      </c>
      <c r="F43" s="272">
        <v>2</v>
      </c>
      <c r="G43" s="200" t="s">
        <v>247</v>
      </c>
      <c r="H43" s="273">
        <v>4</v>
      </c>
      <c r="I43" s="266" t="s">
        <v>486</v>
      </c>
      <c r="J43" s="207"/>
      <c r="K43" s="267"/>
      <c r="P43" s="209"/>
      <c r="Q43" s="209"/>
      <c r="R43" s="209"/>
      <c r="S43" s="209"/>
      <c r="U43" s="210" t="str">
        <f>X43&amp;Y43</f>
        <v>BBKBHD</v>
      </c>
      <c r="V43" s="211" t="b">
        <f>AND(F43&lt;&gt;"",H43&lt;&gt;"")</f>
        <v>1</v>
      </c>
      <c r="W43" s="210">
        <f>AB43</f>
        <v>1</v>
      </c>
      <c r="X43" s="210" t="str">
        <f>E43</f>
        <v>BBK</v>
      </c>
      <c r="Y43" s="210" t="str">
        <f>I43</f>
        <v>BHD</v>
      </c>
      <c r="Z43" s="212">
        <f>IF(V43,F43,"")</f>
        <v>2</v>
      </c>
      <c r="AA43" s="210">
        <f>IF(V43,H43,"")</f>
        <v>4</v>
      </c>
      <c r="AB43" s="213">
        <v>1</v>
      </c>
      <c r="AC43" s="214" t="str">
        <f>IF(Z43&gt;AA43,X43,"")</f>
        <v/>
      </c>
      <c r="AD43" s="214" t="str">
        <f>IF(AA43="","",IF(Z43=AA43,X43,""))</f>
        <v/>
      </c>
      <c r="AE43" s="215" t="str">
        <f>IF(AND($AW$61,Z43=0,AA43=20),X43&amp;"ooo",IF(Z43&lt;AA43,X43,""))</f>
        <v>BBK</v>
      </c>
      <c r="AF43" s="214" t="str">
        <f>IF(AA43&gt;Z43,Y43,"")</f>
        <v>BHD</v>
      </c>
      <c r="AG43" s="214" t="str">
        <f>IF(AA43="","",IF(Z43=AA43,Y43,""))</f>
        <v/>
      </c>
      <c r="AH43" s="215" t="str">
        <f>IF(AND($AW$61,Z43=20,AA43=0),Y43&amp;"ooo",IF(Z43&gt;AA43,Y43,""))</f>
        <v/>
      </c>
      <c r="AI43" s="216">
        <f>C43</f>
        <v>42088</v>
      </c>
      <c r="AL43" s="217" t="str">
        <f>IF(OR(X43=Kedvenc!$C$43,Y43=Kedvenc!$C$43),W43,"")</f>
        <v/>
      </c>
      <c r="AM43" s="218" t="str">
        <f>IF(AL43="","",U43)</f>
        <v/>
      </c>
      <c r="AP43" s="219" t="s">
        <v>193</v>
      </c>
      <c r="BB43" s="285" t="str">
        <f>C43&amp;D43</f>
        <v>4208819:00 – A pálya</v>
      </c>
      <c r="BC43" s="284">
        <f>COUNTIF($BB$43:$BB$383,BB43)</f>
        <v>1</v>
      </c>
      <c r="BD43" s="512" t="str">
        <f>U43</f>
        <v>BBKBHD</v>
      </c>
    </row>
    <row r="44" spans="1:56" ht="14.25" customHeight="1" x14ac:dyDescent="0.2">
      <c r="A44" s="842"/>
      <c r="C44" s="255">
        <v>42088</v>
      </c>
      <c r="D44" s="255" t="s">
        <v>498</v>
      </c>
      <c r="E44" s="265" t="s">
        <v>494</v>
      </c>
      <c r="F44" s="272">
        <v>4</v>
      </c>
      <c r="G44" s="200" t="s">
        <v>247</v>
      </c>
      <c r="H44" s="273">
        <v>0</v>
      </c>
      <c r="I44" s="266" t="s">
        <v>490</v>
      </c>
      <c r="J44" s="207"/>
      <c r="K44" s="268"/>
      <c r="P44" s="209"/>
      <c r="Q44" s="209"/>
      <c r="R44" s="209"/>
      <c r="S44" s="209"/>
      <c r="U44" s="210" t="str">
        <f t="shared" ref="U44:U54" si="0">X44&amp;Y44</f>
        <v>ZrínyigyöngyeHercules-Ludovika</v>
      </c>
      <c r="V44" s="211" t="b">
        <f t="shared" ref="V44:V54" si="1">AND(F44&lt;&gt;"",H44&lt;&gt;"")</f>
        <v>1</v>
      </c>
      <c r="W44" s="210">
        <f>W43</f>
        <v>1</v>
      </c>
      <c r="X44" s="210" t="str">
        <f t="shared" ref="X44:X54" si="2">E44</f>
        <v>Zrínyigyöngye</v>
      </c>
      <c r="Y44" s="210" t="str">
        <f t="shared" ref="Y44:Y54" si="3">I44</f>
        <v>Hercules-Ludovika</v>
      </c>
      <c r="Z44" s="212">
        <f t="shared" ref="Z44:Z54" si="4">IF(V44,F44,"")</f>
        <v>4</v>
      </c>
      <c r="AA44" s="210">
        <f t="shared" ref="AA44:AA54" si="5">IF(V44,H44,"")</f>
        <v>0</v>
      </c>
      <c r="AB44" s="213"/>
      <c r="AC44" s="214" t="str">
        <f t="shared" ref="AC44:AC54" si="6">IF(Z44&gt;AA44,X44,"")</f>
        <v>Zrínyigyöngye</v>
      </c>
      <c r="AD44" s="214" t="str">
        <f t="shared" ref="AD44:AD54" si="7">IF(AA44="","",IF(Z44=AA44,X44,""))</f>
        <v/>
      </c>
      <c r="AE44" s="215" t="str">
        <f t="shared" ref="AE44:AE54" si="8">IF(AND($AW$61,Z44=0,AA44=20),X44&amp;"ooo",IF(Z44&lt;AA44,X44,""))</f>
        <v/>
      </c>
      <c r="AF44" s="214" t="str">
        <f t="shared" ref="AF44:AF54" si="9">IF(AA44&gt;Z44,Y44,"")</f>
        <v/>
      </c>
      <c r="AG44" s="214" t="str">
        <f t="shared" ref="AG44:AG54" si="10">IF(AA44="","",IF(Z44=AA44,Y44,""))</f>
        <v/>
      </c>
      <c r="AH44" s="215" t="str">
        <f t="shared" ref="AH44:AH54" si="11">IF(AND($AW$61,Z44=20,AA44=0),Y44&amp;"ooo",IF(Z44&gt;AA44,Y44,""))</f>
        <v>Hercules-Ludovika</v>
      </c>
      <c r="AI44" s="216">
        <f t="shared" ref="AI44:AI54" si="12">C44</f>
        <v>42088</v>
      </c>
      <c r="AL44" s="217" t="str">
        <f>IF(OR(X44=Kedvenc!$C$43,Y44=Kedvenc!$C$43),W44,"")</f>
        <v/>
      </c>
      <c r="AM44" s="218" t="str">
        <f t="shared" ref="AM44:AM54" si="13">IF(AL44="","",U44)</f>
        <v/>
      </c>
      <c r="AP44" s="221" t="s">
        <v>128</v>
      </c>
      <c r="AQ44" s="221" t="s">
        <v>130</v>
      </c>
      <c r="AR44" s="221" t="s">
        <v>132</v>
      </c>
      <c r="AS44" s="221" t="s">
        <v>129</v>
      </c>
      <c r="AT44" s="221" t="s">
        <v>131</v>
      </c>
      <c r="AU44" s="221" t="s">
        <v>133</v>
      </c>
      <c r="AV44" s="221" t="s">
        <v>138</v>
      </c>
      <c r="AW44" s="221" t="s">
        <v>139</v>
      </c>
      <c r="AX44" s="221" t="s">
        <v>140</v>
      </c>
      <c r="AY44" s="221" t="s">
        <v>141</v>
      </c>
      <c r="BB44" s="285" t="str">
        <f>C44&amp;D44</f>
        <v>4208819:45 – A pálya</v>
      </c>
      <c r="BC44" s="284">
        <f>COUNTIF($BB$43:$BB$383,BB44)</f>
        <v>1</v>
      </c>
      <c r="BD44" s="512" t="str">
        <f>U44</f>
        <v>ZrínyigyöngyeHercules-Ludovika</v>
      </c>
    </row>
    <row r="45" spans="1:56" ht="14.25" customHeight="1" x14ac:dyDescent="0.2">
      <c r="A45" s="842"/>
      <c r="C45" s="255">
        <v>42088</v>
      </c>
      <c r="D45" s="255" t="s">
        <v>499</v>
      </c>
      <c r="E45" s="265" t="s">
        <v>487</v>
      </c>
      <c r="F45" s="272">
        <v>3</v>
      </c>
      <c r="G45" s="200" t="s">
        <v>247</v>
      </c>
      <c r="H45" s="273">
        <v>5</v>
      </c>
      <c r="I45" s="266" t="s">
        <v>484</v>
      </c>
      <c r="J45" s="207"/>
      <c r="K45" s="268"/>
      <c r="P45" s="209"/>
      <c r="Q45" s="209"/>
      <c r="R45" s="209"/>
      <c r="S45" s="209"/>
      <c r="U45" s="210" t="str">
        <f t="shared" si="0"/>
        <v>BőrdíszműBakafogó-Honvéd-Sashegy SE</v>
      </c>
      <c r="V45" s="211" t="b">
        <f t="shared" si="1"/>
        <v>1</v>
      </c>
      <c r="W45" s="210">
        <f t="shared" ref="W45:W54" si="14">W44</f>
        <v>1</v>
      </c>
      <c r="X45" s="210" t="str">
        <f t="shared" si="2"/>
        <v>Bőrdíszmű</v>
      </c>
      <c r="Y45" s="210" t="str">
        <f t="shared" si="3"/>
        <v>Bakafogó-Honvéd-Sashegy SE</v>
      </c>
      <c r="Z45" s="212">
        <f t="shared" si="4"/>
        <v>3</v>
      </c>
      <c r="AA45" s="210">
        <f t="shared" si="5"/>
        <v>5</v>
      </c>
      <c r="AB45" s="213"/>
      <c r="AC45" s="214" t="str">
        <f t="shared" si="6"/>
        <v/>
      </c>
      <c r="AD45" s="214" t="str">
        <f t="shared" si="7"/>
        <v/>
      </c>
      <c r="AE45" s="215" t="str">
        <f t="shared" si="8"/>
        <v>Bőrdíszmű</v>
      </c>
      <c r="AF45" s="214" t="str">
        <f t="shared" si="9"/>
        <v>Bakafogó-Honvéd-Sashegy SE</v>
      </c>
      <c r="AG45" s="214" t="str">
        <f t="shared" si="10"/>
        <v/>
      </c>
      <c r="AH45" s="215" t="str">
        <f t="shared" si="11"/>
        <v/>
      </c>
      <c r="AI45" s="216">
        <f t="shared" si="12"/>
        <v>42088</v>
      </c>
      <c r="AL45" s="217" t="str">
        <f>IF(OR(X45=Kedvenc!$C$43,Y45=Kedvenc!$C$43),W45,"")</f>
        <v/>
      </c>
      <c r="AM45" s="218" t="str">
        <f t="shared" si="13"/>
        <v/>
      </c>
      <c r="AP45" s="222">
        <f>MATCH(ASZTAB!$P$43,index.a,0)</f>
        <v>1</v>
      </c>
      <c r="AQ45" s="222">
        <f>MATCH(ASZTAB!$P$43,index.a,0)</f>
        <v>1</v>
      </c>
      <c r="AR45" s="222">
        <f>MATCH(ASZTAB!$P$43,index.a,0)</f>
        <v>1</v>
      </c>
      <c r="AS45" s="222">
        <f>MATCH(ASZTAB!$P$43,index.a,0)</f>
        <v>1</v>
      </c>
      <c r="AT45" s="222">
        <f>MATCH(ASZTAB!$P$43,index.a,0)</f>
        <v>1</v>
      </c>
      <c r="AU45" s="222">
        <f>MATCH(ASZTAB!$P$43,index.a,0)</f>
        <v>1</v>
      </c>
      <c r="AV45" s="222">
        <f>MATCH(ASZTAB!$P$43,index.a,0)</f>
        <v>1</v>
      </c>
      <c r="AW45" s="222">
        <f>MATCH(ASZTAB!$P$43,index.a,0)</f>
        <v>1</v>
      </c>
      <c r="AX45" s="222">
        <f>MATCH(ASZTAB!$P$43,index.a,0)</f>
        <v>1</v>
      </c>
      <c r="AY45" s="222">
        <f>MATCH(ASZTAB!$P$43,index.a,0)</f>
        <v>1</v>
      </c>
      <c r="BB45" s="285" t="str">
        <f>C45&amp;D45</f>
        <v>4208820:30 – A pálya</v>
      </c>
      <c r="BC45" s="284">
        <f>COUNTIF($BB$43:$BB$383,BB45)</f>
        <v>1</v>
      </c>
      <c r="BD45" s="512" t="str">
        <f>U45</f>
        <v>BőrdíszműBakafogó-Honvéd-Sashegy SE</v>
      </c>
    </row>
    <row r="46" spans="1:56" ht="14.25" customHeight="1" x14ac:dyDescent="0.2">
      <c r="A46" s="842"/>
      <c r="C46" s="255">
        <v>42088</v>
      </c>
      <c r="D46" s="255" t="s">
        <v>500</v>
      </c>
      <c r="E46" s="265" t="s">
        <v>489</v>
      </c>
      <c r="F46" s="272">
        <v>5</v>
      </c>
      <c r="G46" s="200" t="s">
        <v>247</v>
      </c>
      <c r="H46" s="273">
        <v>1</v>
      </c>
      <c r="I46" s="266" t="s">
        <v>488</v>
      </c>
      <c r="J46" s="207"/>
      <c r="K46" s="268"/>
      <c r="P46" s="209"/>
      <c r="Q46" s="209"/>
      <c r="U46" s="210" t="str">
        <f t="shared" si="0"/>
        <v>ÉlelmesekCarbonász</v>
      </c>
      <c r="V46" s="211" t="b">
        <f t="shared" si="1"/>
        <v>1</v>
      </c>
      <c r="W46" s="210">
        <f t="shared" si="14"/>
        <v>1</v>
      </c>
      <c r="X46" s="210" t="str">
        <f t="shared" si="2"/>
        <v>Élelmesek</v>
      </c>
      <c r="Y46" s="210" t="str">
        <f t="shared" si="3"/>
        <v>Carbonász</v>
      </c>
      <c r="Z46" s="212">
        <f t="shared" si="4"/>
        <v>5</v>
      </c>
      <c r="AA46" s="210">
        <f t="shared" si="5"/>
        <v>1</v>
      </c>
      <c r="AB46" s="213"/>
      <c r="AC46" s="214" t="str">
        <f t="shared" si="6"/>
        <v>Élelmesek</v>
      </c>
      <c r="AD46" s="214" t="str">
        <f t="shared" si="7"/>
        <v/>
      </c>
      <c r="AE46" s="215" t="str">
        <f t="shared" si="8"/>
        <v/>
      </c>
      <c r="AF46" s="214" t="str">
        <f t="shared" si="9"/>
        <v/>
      </c>
      <c r="AG46" s="214" t="str">
        <f t="shared" si="10"/>
        <v/>
      </c>
      <c r="AH46" s="215" t="str">
        <f t="shared" si="11"/>
        <v>Carbonász</v>
      </c>
      <c r="AI46" s="216">
        <f t="shared" si="12"/>
        <v>42088</v>
      </c>
      <c r="AL46" s="217" t="str">
        <f>IF(OR(X46=Kedvenc!$C$43,Y46=Kedvenc!$C$43),W46,"")</f>
        <v/>
      </c>
      <c r="AM46" s="218" t="str">
        <f t="shared" si="13"/>
        <v/>
      </c>
      <c r="AP46" s="222">
        <f t="shared" ref="AP46:AU46" si="15">MATCH(AP44,$AC$41:$AH$41,0)</f>
        <v>1</v>
      </c>
      <c r="AQ46" s="222">
        <f t="shared" si="15"/>
        <v>2</v>
      </c>
      <c r="AR46" s="222">
        <f t="shared" si="15"/>
        <v>3</v>
      </c>
      <c r="AS46" s="222">
        <f t="shared" si="15"/>
        <v>4</v>
      </c>
      <c r="AT46" s="222">
        <f t="shared" si="15"/>
        <v>5</v>
      </c>
      <c r="AU46" s="222">
        <f t="shared" si="15"/>
        <v>6</v>
      </c>
      <c r="AV46" s="222">
        <v>-4</v>
      </c>
      <c r="AW46" s="222">
        <v>-3</v>
      </c>
      <c r="AX46" s="222">
        <v>-2</v>
      </c>
      <c r="AY46" s="222">
        <v>-1</v>
      </c>
      <c r="BB46" s="285" t="str">
        <f>C46&amp;D46</f>
        <v>4208819:00 – B pálya</v>
      </c>
      <c r="BC46" s="284">
        <f>COUNTIF($BB$43:$BB$383,BB46)</f>
        <v>1</v>
      </c>
      <c r="BD46" s="512" t="str">
        <f>U46</f>
        <v>ÉlelmesekCarbonász</v>
      </c>
    </row>
    <row r="47" spans="1:56" ht="14.25" customHeight="1" x14ac:dyDescent="0.2">
      <c r="A47" s="842"/>
      <c r="C47" s="255">
        <v>42088</v>
      </c>
      <c r="D47" s="255" t="s">
        <v>501</v>
      </c>
      <c r="E47" s="265" t="s">
        <v>493</v>
      </c>
      <c r="F47" s="272">
        <v>3</v>
      </c>
      <c r="G47" s="200" t="s">
        <v>247</v>
      </c>
      <c r="H47" s="273">
        <v>1</v>
      </c>
      <c r="I47" s="266" t="s">
        <v>492</v>
      </c>
      <c r="J47" s="223"/>
      <c r="K47" s="787"/>
      <c r="P47" s="209"/>
      <c r="Q47" s="209"/>
      <c r="R47" s="209"/>
      <c r="S47" s="209"/>
      <c r="U47" s="210" t="str">
        <f t="shared" si="0"/>
        <v>VakanaRoyal Guard's</v>
      </c>
      <c r="V47" s="211" t="b">
        <f t="shared" si="1"/>
        <v>1</v>
      </c>
      <c r="W47" s="210">
        <f t="shared" si="14"/>
        <v>1</v>
      </c>
      <c r="X47" s="210" t="str">
        <f t="shared" si="2"/>
        <v>Vakana</v>
      </c>
      <c r="Y47" s="210" t="str">
        <f t="shared" si="3"/>
        <v>Royal Guard's</v>
      </c>
      <c r="Z47" s="212">
        <f t="shared" si="4"/>
        <v>3</v>
      </c>
      <c r="AA47" s="210">
        <f t="shared" si="5"/>
        <v>1</v>
      </c>
      <c r="AB47" s="213"/>
      <c r="AC47" s="214" t="str">
        <f t="shared" si="6"/>
        <v>Vakana</v>
      </c>
      <c r="AD47" s="214" t="str">
        <f t="shared" si="7"/>
        <v/>
      </c>
      <c r="AE47" s="215" t="str">
        <f t="shared" si="8"/>
        <v/>
      </c>
      <c r="AF47" s="214" t="str">
        <f t="shared" si="9"/>
        <v/>
      </c>
      <c r="AG47" s="214" t="str">
        <f t="shared" si="10"/>
        <v/>
      </c>
      <c r="AH47" s="215" t="str">
        <f t="shared" si="11"/>
        <v>Royal Guard's</v>
      </c>
      <c r="AI47" s="216">
        <f t="shared" si="12"/>
        <v>42088</v>
      </c>
      <c r="AL47" s="217" t="str">
        <f>IF(OR(X47=Kedvenc!$C$43,Y47=Kedvenc!$C$43),W47,"")</f>
        <v/>
      </c>
      <c r="AM47" s="218" t="str">
        <f t="shared" si="13"/>
        <v/>
      </c>
      <c r="AP47" s="222">
        <f>MATCH(ASZTAB!$R$43,index.a,0)+ROUNDUP(ASZTAB!$X$68/2,0)-AP45+IF(ASZTAB!$X$71,16,0)</f>
        <v>342</v>
      </c>
      <c r="AQ47" s="222">
        <f>MATCH(ASZTAB!$R$43,index.a,0)+ROUNDUP(ASZTAB!$X$68/2,0)-AQ45+IF(ASZTAB!$X$71,16,0)</f>
        <v>342</v>
      </c>
      <c r="AR47" s="222">
        <f>MATCH(ASZTAB!$R$43,index.a,0)+ROUNDUP(ASZTAB!$X$68/2,0)-AR45+IF(ASZTAB!$X$71,16,0)</f>
        <v>342</v>
      </c>
      <c r="AS47" s="222">
        <f>MATCH(ASZTAB!$R$43,index.a,0)+ROUNDUP(ASZTAB!$X$68/2,0)-AS45+IF(ASZTAB!$X$71,16,0)</f>
        <v>342</v>
      </c>
      <c r="AT47" s="222">
        <f>MATCH(ASZTAB!$R$43,index.a,0)+ROUNDUP(ASZTAB!$X$68/2,0)-AT45+IF(ASZTAB!$X$71,16,0)</f>
        <v>342</v>
      </c>
      <c r="AU47" s="222">
        <f>MATCH(ASZTAB!$R$43,index.a,0)+ROUNDUP(ASZTAB!$X$68/2,0)-AU45+IF(ASZTAB!$X$71,16,0)</f>
        <v>342</v>
      </c>
      <c r="AV47" s="222">
        <f>MATCH(ASZTAB!$R$43,index.a,0)+ROUNDUP(ASZTAB!$X$68/2,0)-AV45+IF(ASZTAB!$X$71,16,0)</f>
        <v>342</v>
      </c>
      <c r="AW47" s="222">
        <f>MATCH(ASZTAB!$R$43,index.a,0)+ROUNDUP(ASZTAB!$X$68/2,0)-AW45+IF(ASZTAB!$X$71,16,0)</f>
        <v>342</v>
      </c>
      <c r="AX47" s="222">
        <f>MATCH(ASZTAB!$R$43,index.a,0)+ROUNDUP(ASZTAB!$X$68/2,0)-AX45+IF(ASZTAB!$X$71,16,0)</f>
        <v>342</v>
      </c>
      <c r="AY47" s="222">
        <f>MATCH(ASZTAB!$R$43,index.a,0)+ROUNDUP(ASZTAB!$X$68/2,0)-AY45+IF(ASZTAB!$X$71,16,0)</f>
        <v>342</v>
      </c>
      <c r="BB47" s="285" t="str">
        <f>C47&amp;D47</f>
        <v>4208819:45 – B pálya</v>
      </c>
      <c r="BC47" s="284">
        <f>COUNTIF($BB$43:$BB$383,BB47)</f>
        <v>1</v>
      </c>
      <c r="BD47" s="512" t="str">
        <f>U47</f>
        <v>VakanaRoyal Guard's</v>
      </c>
    </row>
    <row r="48" spans="1:56" ht="14.25" customHeight="1" x14ac:dyDescent="0.2">
      <c r="A48" s="842"/>
      <c r="C48" s="278"/>
      <c r="D48" s="278"/>
      <c r="E48" s="275" t="s">
        <v>491</v>
      </c>
      <c r="F48" s="275"/>
      <c r="G48" s="276"/>
      <c r="H48" s="277"/>
      <c r="I48" s="277" t="s">
        <v>495</v>
      </c>
      <c r="J48" s="223"/>
      <c r="K48" s="268"/>
      <c r="P48" s="209"/>
      <c r="Q48" s="209"/>
      <c r="R48" s="209"/>
      <c r="S48" s="209"/>
      <c r="U48" s="210" t="str">
        <f t="shared" si="0"/>
        <v>K&amp;Hszabadnapos</v>
      </c>
      <c r="V48" s="211" t="b">
        <f t="shared" si="1"/>
        <v>0</v>
      </c>
      <c r="W48" s="210">
        <f t="shared" si="14"/>
        <v>1</v>
      </c>
      <c r="X48" s="210" t="str">
        <f t="shared" si="2"/>
        <v>K&amp;H</v>
      </c>
      <c r="Y48" s="210" t="str">
        <f t="shared" si="3"/>
        <v>szabadnapos</v>
      </c>
      <c r="Z48" s="212" t="str">
        <f t="shared" si="4"/>
        <v/>
      </c>
      <c r="AA48" s="210" t="str">
        <f t="shared" si="5"/>
        <v/>
      </c>
      <c r="AB48" s="213"/>
      <c r="AC48" s="214" t="str">
        <f t="shared" si="6"/>
        <v/>
      </c>
      <c r="AD48" s="214" t="str">
        <f t="shared" si="7"/>
        <v/>
      </c>
      <c r="AE48" s="215" t="str">
        <f t="shared" si="8"/>
        <v/>
      </c>
      <c r="AF48" s="214" t="str">
        <f t="shared" si="9"/>
        <v/>
      </c>
      <c r="AG48" s="214" t="str">
        <f t="shared" si="10"/>
        <v/>
      </c>
      <c r="AH48" s="215" t="str">
        <f t="shared" si="11"/>
        <v/>
      </c>
      <c r="AI48" s="750">
        <f>AI43</f>
        <v>42088</v>
      </c>
      <c r="AL48" s="217" t="str">
        <f>IF(OR(X48=Kedvenc!$C$43,Y48=Kedvenc!$C$43),W48,"")</f>
        <v/>
      </c>
      <c r="AM48" s="218" t="str">
        <f t="shared" si="13"/>
        <v/>
      </c>
      <c r="AP48" s="222">
        <v>1</v>
      </c>
      <c r="AQ48" s="222">
        <v>1</v>
      </c>
      <c r="AR48" s="222">
        <v>1</v>
      </c>
      <c r="AS48" s="222">
        <v>1</v>
      </c>
      <c r="AT48" s="222">
        <v>1</v>
      </c>
      <c r="AU48" s="222">
        <v>1</v>
      </c>
      <c r="AV48" s="222">
        <v>1</v>
      </c>
      <c r="AW48" s="222">
        <v>1</v>
      </c>
      <c r="AX48" s="222">
        <v>1</v>
      </c>
      <c r="AY48" s="222">
        <v>1</v>
      </c>
    </row>
    <row r="49" spans="1:56" ht="14.25" hidden="1" customHeight="1" x14ac:dyDescent="0.2">
      <c r="A49" s="842"/>
      <c r="C49" s="278"/>
      <c r="D49" s="278"/>
      <c r="E49" s="265"/>
      <c r="F49" s="265"/>
      <c r="H49" s="266"/>
      <c r="I49" s="266"/>
      <c r="J49" s="223"/>
      <c r="K49" s="268"/>
      <c r="P49" s="209"/>
      <c r="Q49" s="209"/>
      <c r="R49" s="209"/>
      <c r="S49" s="209"/>
      <c r="U49" s="210" t="str">
        <f t="shared" si="0"/>
        <v>00</v>
      </c>
      <c r="V49" s="211" t="b">
        <f t="shared" si="1"/>
        <v>0</v>
      </c>
      <c r="W49" s="210">
        <f t="shared" si="14"/>
        <v>1</v>
      </c>
      <c r="X49" s="210">
        <f t="shared" si="2"/>
        <v>0</v>
      </c>
      <c r="Y49" s="210">
        <f t="shared" si="3"/>
        <v>0</v>
      </c>
      <c r="Z49" s="212" t="str">
        <f t="shared" si="4"/>
        <v/>
      </c>
      <c r="AA49" s="210" t="str">
        <f t="shared" si="5"/>
        <v/>
      </c>
      <c r="AB49" s="213"/>
      <c r="AC49" s="214" t="str">
        <f t="shared" si="6"/>
        <v/>
      </c>
      <c r="AD49" s="214" t="str">
        <f t="shared" si="7"/>
        <v/>
      </c>
      <c r="AE49" s="215" t="str">
        <f t="shared" si="8"/>
        <v/>
      </c>
      <c r="AF49" s="214" t="str">
        <f t="shared" si="9"/>
        <v/>
      </c>
      <c r="AG49" s="214" t="str">
        <f t="shared" si="10"/>
        <v/>
      </c>
      <c r="AH49" s="215" t="str">
        <f t="shared" si="11"/>
        <v/>
      </c>
      <c r="AI49" s="216">
        <f t="shared" si="12"/>
        <v>0</v>
      </c>
      <c r="AL49" s="217" t="str">
        <f>IF(OR(X49=Kedvenc!$C$43,Y49=Kedvenc!$C$43),W49,"")</f>
        <v/>
      </c>
      <c r="AM49" s="218" t="str">
        <f t="shared" si="13"/>
        <v/>
      </c>
    </row>
    <row r="50" spans="1:56" ht="14.25" hidden="1" customHeight="1" x14ac:dyDescent="0.2">
      <c r="A50" s="842"/>
      <c r="C50" s="278"/>
      <c r="D50" s="278"/>
      <c r="E50" s="265"/>
      <c r="F50" s="265"/>
      <c r="H50" s="266"/>
      <c r="I50" s="266"/>
      <c r="J50" s="223"/>
      <c r="K50" s="268"/>
      <c r="P50" s="209"/>
      <c r="Q50" s="209"/>
      <c r="R50" s="209"/>
      <c r="S50" s="209"/>
      <c r="U50" s="210" t="str">
        <f t="shared" si="0"/>
        <v>00</v>
      </c>
      <c r="V50" s="211" t="b">
        <f t="shared" si="1"/>
        <v>0</v>
      </c>
      <c r="W50" s="210">
        <f t="shared" si="14"/>
        <v>1</v>
      </c>
      <c r="X50" s="210">
        <f t="shared" si="2"/>
        <v>0</v>
      </c>
      <c r="Y50" s="210">
        <f t="shared" si="3"/>
        <v>0</v>
      </c>
      <c r="Z50" s="212" t="str">
        <f t="shared" si="4"/>
        <v/>
      </c>
      <c r="AA50" s="210" t="str">
        <f t="shared" si="5"/>
        <v/>
      </c>
      <c r="AB50" s="213"/>
      <c r="AC50" s="214" t="str">
        <f t="shared" si="6"/>
        <v/>
      </c>
      <c r="AD50" s="214" t="str">
        <f t="shared" si="7"/>
        <v/>
      </c>
      <c r="AE50" s="215" t="str">
        <f t="shared" si="8"/>
        <v/>
      </c>
      <c r="AF50" s="214" t="str">
        <f t="shared" si="9"/>
        <v/>
      </c>
      <c r="AG50" s="214" t="str">
        <f t="shared" si="10"/>
        <v/>
      </c>
      <c r="AH50" s="215" t="str">
        <f t="shared" si="11"/>
        <v/>
      </c>
      <c r="AI50" s="216">
        <f t="shared" si="12"/>
        <v>0</v>
      </c>
      <c r="AL50" s="217" t="str">
        <f>IF(OR(X50=Kedvenc!$C$43,Y50=Kedvenc!$C$43),W50,"")</f>
        <v/>
      </c>
      <c r="AM50" s="218" t="str">
        <f t="shared" si="13"/>
        <v/>
      </c>
      <c r="AP50" s="219" t="s">
        <v>194</v>
      </c>
    </row>
    <row r="51" spans="1:56" ht="14.25" hidden="1" customHeight="1" x14ac:dyDescent="0.2">
      <c r="A51" s="842"/>
      <c r="C51" s="278"/>
      <c r="D51" s="278"/>
      <c r="E51" s="265"/>
      <c r="F51" s="265"/>
      <c r="H51" s="266"/>
      <c r="I51" s="266"/>
      <c r="J51" s="223"/>
      <c r="K51" s="268"/>
      <c r="P51" s="209"/>
      <c r="Q51" s="209"/>
      <c r="R51" s="209"/>
      <c r="S51" s="209"/>
      <c r="U51" s="210" t="str">
        <f t="shared" si="0"/>
        <v>00</v>
      </c>
      <c r="V51" s="211" t="b">
        <f t="shared" si="1"/>
        <v>0</v>
      </c>
      <c r="W51" s="210">
        <f t="shared" si="14"/>
        <v>1</v>
      </c>
      <c r="X51" s="210">
        <f t="shared" si="2"/>
        <v>0</v>
      </c>
      <c r="Y51" s="210">
        <f t="shared" si="3"/>
        <v>0</v>
      </c>
      <c r="Z51" s="212" t="str">
        <f t="shared" si="4"/>
        <v/>
      </c>
      <c r="AA51" s="210" t="str">
        <f t="shared" si="5"/>
        <v/>
      </c>
      <c r="AB51" s="213"/>
      <c r="AC51" s="214" t="str">
        <f t="shared" si="6"/>
        <v/>
      </c>
      <c r="AD51" s="214" t="str">
        <f t="shared" si="7"/>
        <v/>
      </c>
      <c r="AE51" s="215" t="str">
        <f t="shared" si="8"/>
        <v/>
      </c>
      <c r="AF51" s="214" t="str">
        <f t="shared" si="9"/>
        <v/>
      </c>
      <c r="AG51" s="214" t="str">
        <f t="shared" si="10"/>
        <v/>
      </c>
      <c r="AH51" s="215" t="str">
        <f t="shared" si="11"/>
        <v/>
      </c>
      <c r="AI51" s="216">
        <f t="shared" si="12"/>
        <v>0</v>
      </c>
      <c r="AL51" s="217" t="str">
        <f>IF(OR(X51=Kedvenc!$C$43,Y51=Kedvenc!$C$43),W51,"")</f>
        <v/>
      </c>
      <c r="AM51" s="218" t="str">
        <f t="shared" si="13"/>
        <v/>
      </c>
      <c r="AP51" s="221" t="s">
        <v>128</v>
      </c>
      <c r="AQ51" s="221" t="s">
        <v>130</v>
      </c>
      <c r="AR51" s="221" t="s">
        <v>132</v>
      </c>
      <c r="AS51" s="221" t="s">
        <v>129</v>
      </c>
      <c r="AT51" s="221" t="s">
        <v>131</v>
      </c>
      <c r="AU51" s="221" t="s">
        <v>133</v>
      </c>
      <c r="AV51" s="221" t="s">
        <v>138</v>
      </c>
      <c r="AW51" s="221" t="s">
        <v>139</v>
      </c>
      <c r="AX51" s="221" t="s">
        <v>140</v>
      </c>
      <c r="AY51" s="221" t="s">
        <v>141</v>
      </c>
    </row>
    <row r="52" spans="1:56" ht="14.25" hidden="1" customHeight="1" x14ac:dyDescent="0.2">
      <c r="A52" s="842"/>
      <c r="C52" s="278"/>
      <c r="D52" s="278"/>
      <c r="E52" s="265"/>
      <c r="F52" s="265"/>
      <c r="H52" s="266"/>
      <c r="I52" s="266"/>
      <c r="J52" s="223"/>
      <c r="K52" s="268"/>
      <c r="P52" s="209"/>
      <c r="Q52" s="209"/>
      <c r="R52" s="209"/>
      <c r="S52" s="209"/>
      <c r="U52" s="210" t="str">
        <f t="shared" si="0"/>
        <v>00</v>
      </c>
      <c r="V52" s="211" t="b">
        <f t="shared" si="1"/>
        <v>0</v>
      </c>
      <c r="W52" s="210">
        <f t="shared" si="14"/>
        <v>1</v>
      </c>
      <c r="X52" s="210">
        <f t="shared" si="2"/>
        <v>0</v>
      </c>
      <c r="Y52" s="210">
        <f t="shared" si="3"/>
        <v>0</v>
      </c>
      <c r="Z52" s="212" t="str">
        <f t="shared" si="4"/>
        <v/>
      </c>
      <c r="AA52" s="210" t="str">
        <f t="shared" si="5"/>
        <v/>
      </c>
      <c r="AB52" s="213"/>
      <c r="AC52" s="214" t="str">
        <f t="shared" si="6"/>
        <v/>
      </c>
      <c r="AD52" s="214" t="str">
        <f t="shared" si="7"/>
        <v/>
      </c>
      <c r="AE52" s="215" t="str">
        <f t="shared" si="8"/>
        <v/>
      </c>
      <c r="AF52" s="214" t="str">
        <f t="shared" si="9"/>
        <v/>
      </c>
      <c r="AG52" s="214" t="str">
        <f t="shared" si="10"/>
        <v/>
      </c>
      <c r="AH52" s="215" t="str">
        <f t="shared" si="11"/>
        <v/>
      </c>
      <c r="AI52" s="216">
        <f t="shared" si="12"/>
        <v>0</v>
      </c>
      <c r="AL52" s="217" t="str">
        <f>IF(OR(X52=Kedvenc!$C$43,Y52=Kedvenc!$C$43),W52,"")</f>
        <v/>
      </c>
      <c r="AM52" s="218" t="str">
        <f t="shared" si="13"/>
        <v/>
      </c>
      <c r="AP52" s="222">
        <f>MATCH(ASZTAB!$AJ$62,index.a,0)</f>
        <v>1</v>
      </c>
      <c r="AQ52" s="222">
        <f>MATCH(ASZTAB!$AJ$62,index.a,0)</f>
        <v>1</v>
      </c>
      <c r="AR52" s="222">
        <f>MATCH(ASZTAB!$AJ$62,index.a,0)</f>
        <v>1</v>
      </c>
      <c r="AS52" s="222">
        <f>MATCH(ASZTAB!$AJ$62,index.a,0)</f>
        <v>1</v>
      </c>
      <c r="AT52" s="222">
        <f>MATCH(ASZTAB!$AJ$62,index.a,0)</f>
        <v>1</v>
      </c>
      <c r="AU52" s="222">
        <f>MATCH(ASZTAB!$AJ$62,index.a,0)</f>
        <v>1</v>
      </c>
      <c r="AV52" s="222">
        <f>MATCH(ASZTAB!$AJ$62,index.a,0)</f>
        <v>1</v>
      </c>
      <c r="AW52" s="222">
        <f>MATCH(ASZTAB!$AJ$62,index.a,0)</f>
        <v>1</v>
      </c>
      <c r="AX52" s="222">
        <f>MATCH(ASZTAB!$AJ$62,index.a,0)</f>
        <v>1</v>
      </c>
      <c r="AY52" s="222">
        <f>MATCH(ASZTAB!$AJ$62,index.a,0)</f>
        <v>1</v>
      </c>
    </row>
    <row r="53" spans="1:56" ht="14.25" hidden="1" customHeight="1" x14ac:dyDescent="0.2">
      <c r="A53" s="842"/>
      <c r="C53" s="278"/>
      <c r="D53" s="278"/>
      <c r="E53" s="265"/>
      <c r="F53" s="265"/>
      <c r="H53" s="266"/>
      <c r="I53" s="266"/>
      <c r="J53" s="223"/>
      <c r="K53" s="268"/>
      <c r="P53" s="209"/>
      <c r="Q53" s="209"/>
      <c r="R53" s="209"/>
      <c r="S53" s="209"/>
      <c r="U53" s="210" t="str">
        <f t="shared" si="0"/>
        <v>00</v>
      </c>
      <c r="V53" s="211" t="b">
        <f t="shared" si="1"/>
        <v>0</v>
      </c>
      <c r="W53" s="210">
        <f t="shared" si="14"/>
        <v>1</v>
      </c>
      <c r="X53" s="210">
        <f t="shared" si="2"/>
        <v>0</v>
      </c>
      <c r="Y53" s="210">
        <f t="shared" si="3"/>
        <v>0</v>
      </c>
      <c r="Z53" s="212" t="str">
        <f t="shared" si="4"/>
        <v/>
      </c>
      <c r="AA53" s="210" t="str">
        <f t="shared" si="5"/>
        <v/>
      </c>
      <c r="AB53" s="213"/>
      <c r="AC53" s="214" t="str">
        <f t="shared" si="6"/>
        <v/>
      </c>
      <c r="AD53" s="214" t="str">
        <f t="shared" si="7"/>
        <v/>
      </c>
      <c r="AE53" s="215" t="str">
        <f t="shared" si="8"/>
        <v/>
      </c>
      <c r="AF53" s="214" t="str">
        <f t="shared" si="9"/>
        <v/>
      </c>
      <c r="AG53" s="214" t="str">
        <f t="shared" si="10"/>
        <v/>
      </c>
      <c r="AH53" s="215" t="str">
        <f t="shared" si="11"/>
        <v/>
      </c>
      <c r="AI53" s="216">
        <f t="shared" si="12"/>
        <v>0</v>
      </c>
      <c r="AL53" s="217" t="str">
        <f>IF(OR(X53=Kedvenc!$C$43,Y53=Kedvenc!$C$43),W53,"")</f>
        <v/>
      </c>
      <c r="AM53" s="218" t="str">
        <f t="shared" si="13"/>
        <v/>
      </c>
      <c r="AP53" s="222">
        <f t="shared" ref="AP53:AU53" si="16">MATCH(AP51,$AC$41:$AH$41,0)</f>
        <v>1</v>
      </c>
      <c r="AQ53" s="222">
        <f t="shared" si="16"/>
        <v>2</v>
      </c>
      <c r="AR53" s="222">
        <f t="shared" si="16"/>
        <v>3</v>
      </c>
      <c r="AS53" s="222">
        <f t="shared" si="16"/>
        <v>4</v>
      </c>
      <c r="AT53" s="222">
        <f t="shared" si="16"/>
        <v>5</v>
      </c>
      <c r="AU53" s="222">
        <f t="shared" si="16"/>
        <v>6</v>
      </c>
      <c r="AV53" s="222">
        <v>-4</v>
      </c>
      <c r="AW53" s="222">
        <v>-3</v>
      </c>
      <c r="AX53" s="222">
        <v>-2</v>
      </c>
      <c r="AY53" s="222">
        <v>-1</v>
      </c>
    </row>
    <row r="54" spans="1:56" ht="14.25" hidden="1" customHeight="1" x14ac:dyDescent="0.2">
      <c r="A54" s="842"/>
      <c r="C54" s="278"/>
      <c r="D54" s="278"/>
      <c r="E54" s="265"/>
      <c r="F54" s="265"/>
      <c r="H54" s="266"/>
      <c r="I54" s="266"/>
      <c r="J54" s="169"/>
      <c r="K54" s="268"/>
      <c r="U54" s="210" t="str">
        <f t="shared" si="0"/>
        <v>00</v>
      </c>
      <c r="V54" s="211" t="b">
        <f t="shared" si="1"/>
        <v>0</v>
      </c>
      <c r="W54" s="210">
        <f t="shared" si="14"/>
        <v>1</v>
      </c>
      <c r="X54" s="210">
        <f t="shared" si="2"/>
        <v>0</v>
      </c>
      <c r="Y54" s="210">
        <f t="shared" si="3"/>
        <v>0</v>
      </c>
      <c r="Z54" s="212" t="str">
        <f t="shared" si="4"/>
        <v/>
      </c>
      <c r="AA54" s="210" t="str">
        <f t="shared" si="5"/>
        <v/>
      </c>
      <c r="AB54" s="213"/>
      <c r="AC54" s="214" t="str">
        <f t="shared" si="6"/>
        <v/>
      </c>
      <c r="AD54" s="214" t="str">
        <f t="shared" si="7"/>
        <v/>
      </c>
      <c r="AE54" s="215" t="str">
        <f t="shared" si="8"/>
        <v/>
      </c>
      <c r="AF54" s="214" t="str">
        <f t="shared" si="9"/>
        <v/>
      </c>
      <c r="AG54" s="214" t="str">
        <f t="shared" si="10"/>
        <v/>
      </c>
      <c r="AH54" s="215" t="str">
        <f t="shared" si="11"/>
        <v/>
      </c>
      <c r="AI54" s="216">
        <f t="shared" si="12"/>
        <v>0</v>
      </c>
      <c r="AL54" s="217" t="str">
        <f>IF(OR(X54=Kedvenc!$C$43,Y54=Kedvenc!$C$43),W54,"")</f>
        <v/>
      </c>
      <c r="AM54" s="218" t="str">
        <f t="shared" si="13"/>
        <v/>
      </c>
      <c r="AP54" s="222">
        <f>MATCH(ASZTAB!$AJ$65,index.a,0)+ROUNDUP(ASZTAB!$X$68/2,0)-AP52+IF(ASZTAB!$X$71,16,0)</f>
        <v>342</v>
      </c>
      <c r="AQ54" s="222">
        <f>MATCH(ASZTAB!$AJ$65,index.a,0)+ROUNDUP(ASZTAB!$X$68/2,0)-AQ52+IF(ASZTAB!$X$71,16,0)</f>
        <v>342</v>
      </c>
      <c r="AR54" s="222">
        <f>MATCH(ASZTAB!$AJ$65,index.a,0)+ROUNDUP(ASZTAB!$X$68/2,0)-AR52+IF(ASZTAB!$X$71,16,0)</f>
        <v>342</v>
      </c>
      <c r="AS54" s="222">
        <f>MATCH(ASZTAB!$AJ$65,index.a,0)+ROUNDUP(ASZTAB!$X$68/2,0)-AS52+IF(ASZTAB!$X$71,16,0)</f>
        <v>342</v>
      </c>
      <c r="AT54" s="222">
        <f>MATCH(ASZTAB!$AJ$65,index.a,0)+ROUNDUP(ASZTAB!$X$68/2,0)-AT52+IF(ASZTAB!$X$71,16,0)</f>
        <v>342</v>
      </c>
      <c r="AU54" s="222">
        <f>MATCH(ASZTAB!$AJ$65,index.a,0)+ROUNDUP(ASZTAB!$X$68/2,0)-AU52+IF(ASZTAB!$X$71,16,0)</f>
        <v>342</v>
      </c>
      <c r="AV54" s="222">
        <f>MATCH(ASZTAB!$AJ$65,index.a,0)+ROUNDUP(ASZTAB!$X$68/2,0)-AV52+IF(ASZTAB!$X$71,16,0)</f>
        <v>342</v>
      </c>
      <c r="AW54" s="222">
        <f>MATCH(ASZTAB!$AJ$65,index.a,0)+ROUNDUP(ASZTAB!$X$68/2,0)-AW52+IF(ASZTAB!$X$71,16,0)</f>
        <v>342</v>
      </c>
      <c r="AX54" s="222">
        <f>MATCH(ASZTAB!$AJ$65,index.a,0)+ROUNDUP(ASZTAB!$X$68/2,0)-AX52+IF(ASZTAB!$X$71,16,0)</f>
        <v>342</v>
      </c>
      <c r="AY54" s="222">
        <f>MATCH(ASZTAB!$AJ$65,index.a,0)+ROUNDUP(ASZTAB!$X$68/2,0)-AY52+IF(ASZTAB!$X$71,16,0)</f>
        <v>342</v>
      </c>
    </row>
    <row r="55" spans="1:56" ht="14.25" customHeight="1" x14ac:dyDescent="0.2">
      <c r="A55" s="842"/>
      <c r="E55" s="224"/>
      <c r="F55" s="225"/>
      <c r="G55" s="226"/>
      <c r="H55" s="209"/>
      <c r="I55" s="227"/>
      <c r="J55" s="169"/>
      <c r="K55" s="228"/>
      <c r="L55" s="225"/>
      <c r="M55" s="226"/>
      <c r="N55" s="209"/>
      <c r="O55" s="174"/>
      <c r="U55" s="229"/>
      <c r="V55" s="230"/>
      <c r="W55" s="231"/>
      <c r="X55" s="231"/>
      <c r="Y55" s="231"/>
      <c r="Z55" s="232"/>
      <c r="AA55" s="231"/>
      <c r="AC55" s="233"/>
      <c r="AD55" s="233"/>
      <c r="AE55" s="234"/>
      <c r="AF55" s="233"/>
      <c r="AG55" s="233"/>
      <c r="AH55" s="234"/>
      <c r="AI55" s="234"/>
      <c r="AP55" s="222">
        <v>1</v>
      </c>
      <c r="AQ55" s="222">
        <v>1</v>
      </c>
      <c r="AR55" s="222">
        <v>1</v>
      </c>
      <c r="AS55" s="222">
        <v>1</v>
      </c>
      <c r="AT55" s="222">
        <v>1</v>
      </c>
      <c r="AU55" s="222">
        <v>1</v>
      </c>
      <c r="AV55" s="222">
        <v>1</v>
      </c>
      <c r="AW55" s="222">
        <v>1</v>
      </c>
      <c r="AX55" s="222">
        <v>1</v>
      </c>
      <c r="AY55" s="222">
        <v>1</v>
      </c>
    </row>
    <row r="56" spans="1:56" ht="14.25" customHeight="1" x14ac:dyDescent="0.2">
      <c r="A56" s="842"/>
      <c r="E56" s="224"/>
      <c r="F56" s="225"/>
      <c r="G56" s="226"/>
      <c r="H56" s="209"/>
      <c r="I56" s="227"/>
      <c r="J56" s="169"/>
      <c r="K56" s="228"/>
      <c r="L56" s="225"/>
      <c r="M56" s="226"/>
      <c r="N56" s="209"/>
      <c r="O56" s="174"/>
      <c r="U56" s="229"/>
      <c r="V56" s="230"/>
      <c r="W56" s="231"/>
      <c r="X56" s="231"/>
      <c r="Y56" s="231"/>
      <c r="Z56" s="232"/>
      <c r="AA56" s="231"/>
      <c r="AC56" s="233"/>
      <c r="AD56" s="233"/>
      <c r="AE56" s="234"/>
      <c r="AF56" s="233"/>
      <c r="AG56" s="233"/>
      <c r="AH56" s="234"/>
      <c r="AI56" s="234"/>
    </row>
    <row r="57" spans="1:56" ht="14.25" customHeight="1" x14ac:dyDescent="0.2">
      <c r="A57" s="842"/>
      <c r="B57" s="187"/>
      <c r="C57" s="269" t="str">
        <f>CONCATENATE(" ",AB59,"."," forduló  –")</f>
        <v xml:space="preserve"> 2. forduló  –</v>
      </c>
      <c r="D57" s="843">
        <f>VLOOKUP(AB59,ASZ!$AQ$59:$AS$104,2,FALSE)</f>
        <v>42095</v>
      </c>
      <c r="E57" s="843"/>
      <c r="F57" s="274"/>
      <c r="G57" s="274"/>
      <c r="H57" s="274"/>
      <c r="I57" s="270" t="str">
        <f>CONCATENATE(IF($AW$61,"pont: ","gól: "),SUM(F59:H70)," / átlag: ",TEXT(IF(COUNT(F59:H70)=0,"-",SUM(F59:H70)/COUNT(F59:H70)*2),"0,00"))</f>
        <v>gól: 14 / átlag: 2,80</v>
      </c>
      <c r="J57" s="190"/>
      <c r="K57" s="271" t="s">
        <v>285</v>
      </c>
      <c r="L57" s="192"/>
      <c r="U57" s="229"/>
      <c r="V57" s="230"/>
      <c r="W57" s="231"/>
      <c r="X57" s="231"/>
      <c r="Y57" s="231"/>
      <c r="Z57" s="232"/>
      <c r="AA57" s="231"/>
      <c r="AC57" s="197"/>
      <c r="AD57" s="197"/>
      <c r="AE57" s="197"/>
      <c r="AF57" s="197"/>
      <c r="AG57" s="197"/>
      <c r="AH57" s="197"/>
      <c r="AI57" s="197"/>
      <c r="AQ57" s="235"/>
      <c r="AR57" s="236" t="s">
        <v>142</v>
      </c>
      <c r="AS57" s="237"/>
      <c r="AT57" s="238" t="s">
        <v>388</v>
      </c>
    </row>
    <row r="58" spans="1:56" ht="9" customHeight="1" x14ac:dyDescent="0.2">
      <c r="A58" s="842"/>
      <c r="J58" s="169"/>
      <c r="K58" s="228"/>
      <c r="L58" s="225"/>
      <c r="M58" s="226"/>
      <c r="N58" s="209"/>
      <c r="O58" s="174"/>
      <c r="U58" s="229"/>
      <c r="V58" s="230"/>
      <c r="W58" s="231"/>
      <c r="X58" s="231"/>
      <c r="Y58" s="231"/>
      <c r="Z58" s="232"/>
      <c r="AA58" s="231"/>
      <c r="AP58" s="239"/>
      <c r="AQ58" s="239"/>
      <c r="AR58" s="239"/>
      <c r="AS58" s="239"/>
      <c r="AT58" s="239"/>
      <c r="AX58" s="239"/>
      <c r="AY58" s="239"/>
    </row>
    <row r="59" spans="1:56" ht="14.25" customHeight="1" x14ac:dyDescent="0.2">
      <c r="A59" s="842"/>
      <c r="C59" s="255">
        <v>42095</v>
      </c>
      <c r="D59" s="255" t="s">
        <v>497</v>
      </c>
      <c r="E59" s="265" t="s">
        <v>491</v>
      </c>
      <c r="F59" s="272">
        <v>2</v>
      </c>
      <c r="G59" s="200" t="s">
        <v>247</v>
      </c>
      <c r="H59" s="273">
        <v>1</v>
      </c>
      <c r="I59" s="266" t="s">
        <v>488</v>
      </c>
      <c r="J59" s="207"/>
      <c r="K59" s="267"/>
      <c r="L59" s="225"/>
      <c r="M59" s="226"/>
      <c r="N59" s="209"/>
      <c r="O59" s="174"/>
      <c r="U59" s="210" t="str">
        <f>X59&amp;Y59</f>
        <v>K&amp;HCarbonász</v>
      </c>
      <c r="V59" s="211" t="b">
        <f>AND(F59&lt;&gt;"",H59&lt;&gt;"")</f>
        <v>1</v>
      </c>
      <c r="W59" s="210">
        <f>AB59</f>
        <v>2</v>
      </c>
      <c r="X59" s="210" t="str">
        <f>E59</f>
        <v>K&amp;H</v>
      </c>
      <c r="Y59" s="210" t="str">
        <f>I59</f>
        <v>Carbonász</v>
      </c>
      <c r="Z59" s="212">
        <f>IF(V59,F59,"")</f>
        <v>2</v>
      </c>
      <c r="AA59" s="210">
        <f>IF(V59,H59,"")</f>
        <v>1</v>
      </c>
      <c r="AB59" s="213">
        <f>IF(NOT(ASZTAB!$X$71),AB43+1,AB43+COUNTIF(AB29:AB58,AB43)-1)</f>
        <v>2</v>
      </c>
      <c r="AC59" s="214" t="str">
        <f t="shared" ref="AC59:AC70" si="17">IF(Z59&gt;AA59,X59,"")</f>
        <v>K&amp;H</v>
      </c>
      <c r="AD59" s="214" t="str">
        <f t="shared" ref="AD59:AD70" si="18">IF(AA59="","",IF(Z59=AA59,X59,""))</f>
        <v/>
      </c>
      <c r="AE59" s="215" t="str">
        <f>IF(AND($AW$61,Z59=0,AA59=20),X59&amp;"ooo",IF(Z59&lt;AA59,X59,""))</f>
        <v/>
      </c>
      <c r="AF59" s="214" t="str">
        <f t="shared" ref="AF59:AF70" si="19">IF(AA59&gt;Z59,Y59,"")</f>
        <v/>
      </c>
      <c r="AG59" s="214" t="str">
        <f t="shared" ref="AG59:AG70" si="20">IF(AA59="","",IF(Z59=AA59,Y59,""))</f>
        <v/>
      </c>
      <c r="AH59" s="215" t="str">
        <f>IF(AND($AW$61,Z59=20,AA59=0),Y59&amp;"ooo",IF(Z59&gt;AA59,Y59,""))</f>
        <v>Carbonász</v>
      </c>
      <c r="AI59" s="216">
        <f t="shared" ref="AI59:AI118" si="21">C59</f>
        <v>42095</v>
      </c>
      <c r="AL59" s="217" t="str">
        <f>IF(OR(X59=Kedvenc!$C$43,Y59=Kedvenc!$C$43),W59,"")</f>
        <v/>
      </c>
      <c r="AM59" s="218" t="str">
        <f t="shared" ref="AM59:AM70" si="22">IF(AL59="","",U59)</f>
        <v/>
      </c>
      <c r="AP59" s="239"/>
      <c r="AQ59" s="240">
        <v>1</v>
      </c>
      <c r="AR59" s="241">
        <v>42088</v>
      </c>
      <c r="AS59" s="242">
        <f t="shared" ref="AS59:AS80" ca="1" si="23">IF(AR59&lt;TODAY(),1000,AQ59)</f>
        <v>1000</v>
      </c>
      <c r="AT59" s="240">
        <f ca="1">IF(COUNT(OFFSET($AB$42,MATCH(AQ59,index.a,0),-2,12+IF(ASZTAB!$X$71,16,0),2))&gt;=4,AQ59,-1000)</f>
        <v>1</v>
      </c>
      <c r="AV59" s="243" t="s">
        <v>176</v>
      </c>
      <c r="AW59" s="244" t="b">
        <f>ASZTAB!AJ42</f>
        <v>1</v>
      </c>
      <c r="AX59" s="239"/>
      <c r="AY59" s="239"/>
      <c r="BB59" s="285" t="str">
        <f>C59&amp;D59</f>
        <v>4209519:00 – A pálya</v>
      </c>
      <c r="BC59" s="284">
        <f>COUNTIF($BB$43:$BB$383,BB59)</f>
        <v>1</v>
      </c>
      <c r="BD59" s="512" t="str">
        <f>U59</f>
        <v>K&amp;HCarbonász</v>
      </c>
    </row>
    <row r="60" spans="1:56" ht="14.25" customHeight="1" x14ac:dyDescent="0.2">
      <c r="A60" s="842"/>
      <c r="C60" s="255">
        <v>42095</v>
      </c>
      <c r="D60" s="255" t="s">
        <v>498</v>
      </c>
      <c r="E60" s="265" t="s">
        <v>489</v>
      </c>
      <c r="F60" s="272">
        <v>4</v>
      </c>
      <c r="G60" s="200" t="s">
        <v>247</v>
      </c>
      <c r="H60" s="273">
        <v>1</v>
      </c>
      <c r="I60" s="266" t="s">
        <v>484</v>
      </c>
      <c r="J60" s="207"/>
      <c r="K60" s="268"/>
      <c r="L60" s="225"/>
      <c r="M60" s="226"/>
      <c r="N60" s="209"/>
      <c r="O60" s="174"/>
      <c r="U60" s="210" t="str">
        <f t="shared" ref="U60:U70" si="24">X60&amp;Y60</f>
        <v>ÉlelmesekBakafogó-Honvéd-Sashegy SE</v>
      </c>
      <c r="V60" s="211" t="b">
        <f t="shared" ref="V60:V70" si="25">AND(F60&lt;&gt;"",H60&lt;&gt;"")</f>
        <v>1</v>
      </c>
      <c r="W60" s="210">
        <f>W59</f>
        <v>2</v>
      </c>
      <c r="X60" s="210" t="str">
        <f t="shared" ref="X60:X70" si="26">E60</f>
        <v>Élelmesek</v>
      </c>
      <c r="Y60" s="210" t="str">
        <f t="shared" ref="Y60:Y70" si="27">I60</f>
        <v>Bakafogó-Honvéd-Sashegy SE</v>
      </c>
      <c r="Z60" s="212">
        <f t="shared" ref="Z60:Z70" si="28">IF(V60,F60,"")</f>
        <v>4</v>
      </c>
      <c r="AA60" s="210">
        <f t="shared" ref="AA60:AA70" si="29">IF(V60,H60,"")</f>
        <v>1</v>
      </c>
      <c r="AB60" s="213"/>
      <c r="AC60" s="214" t="str">
        <f t="shared" si="17"/>
        <v>Élelmesek</v>
      </c>
      <c r="AD60" s="214" t="str">
        <f t="shared" si="18"/>
        <v/>
      </c>
      <c r="AE60" s="215" t="str">
        <f t="shared" ref="AE60:AE70" si="30">IF(AND($AW$61,Z60=0,AA60=20),X60&amp;"ooo",IF(Z60&lt;AA60,X60,""))</f>
        <v/>
      </c>
      <c r="AF60" s="214" t="str">
        <f t="shared" si="19"/>
        <v/>
      </c>
      <c r="AG60" s="214" t="str">
        <f t="shared" si="20"/>
        <v/>
      </c>
      <c r="AH60" s="215" t="str">
        <f t="shared" ref="AH60:AH70" si="31">IF(AND($AW$61,Z60=20,AA60=0),Y60&amp;"ooo",IF(Z60&gt;AA60,Y60,""))</f>
        <v>Bakafogó-Honvéd-Sashegy SE</v>
      </c>
      <c r="AI60" s="216">
        <f t="shared" si="21"/>
        <v>42095</v>
      </c>
      <c r="AL60" s="217" t="str">
        <f>IF(OR(X60=Kedvenc!$C$43,Y60=Kedvenc!$C$43),W60,"")</f>
        <v/>
      </c>
      <c r="AM60" s="218" t="str">
        <f t="shared" si="22"/>
        <v/>
      </c>
      <c r="AP60" s="245"/>
      <c r="AQ60" s="240">
        <v>2</v>
      </c>
      <c r="AR60" s="241">
        <v>42095</v>
      </c>
      <c r="AS60" s="242">
        <f t="shared" ca="1" si="23"/>
        <v>1000</v>
      </c>
      <c r="AT60" s="240">
        <f ca="1">IF(COUNT(OFFSET($AB$42,MATCH(AQ60,index.a,0),-2,12+IF(ASZTAB!$X$71,16,0),2))&gt;=4,AQ60,-1000)</f>
        <v>2</v>
      </c>
      <c r="AV60" s="243" t="s">
        <v>177</v>
      </c>
      <c r="AW60" s="244" t="b">
        <f>ASZTAB!AJ43</f>
        <v>0</v>
      </c>
      <c r="AX60" s="245"/>
      <c r="AY60" s="245"/>
      <c r="BB60" s="285" t="str">
        <f>C60&amp;D60</f>
        <v>4209519:45 – A pálya</v>
      </c>
      <c r="BC60" s="284">
        <f>COUNTIF($BB$43:$BB$383,BB60)</f>
        <v>1</v>
      </c>
      <c r="BD60" s="512" t="str">
        <f>U60</f>
        <v>ÉlelmesekBakafogó-Honvéd-Sashegy SE</v>
      </c>
    </row>
    <row r="61" spans="1:56" ht="14.25" customHeight="1" x14ac:dyDescent="0.2">
      <c r="A61" s="842"/>
      <c r="C61" s="255">
        <v>42095</v>
      </c>
      <c r="D61" s="255" t="s">
        <v>499</v>
      </c>
      <c r="E61" s="265" t="s">
        <v>487</v>
      </c>
      <c r="F61" s="272">
        <v>0</v>
      </c>
      <c r="G61" s="200" t="s">
        <v>247</v>
      </c>
      <c r="H61" s="273">
        <v>1</v>
      </c>
      <c r="I61" s="266" t="s">
        <v>490</v>
      </c>
      <c r="J61" s="207"/>
      <c r="K61" s="268"/>
      <c r="L61" s="225"/>
      <c r="M61" s="226"/>
      <c r="N61" s="209"/>
      <c r="O61" s="174"/>
      <c r="U61" s="210" t="str">
        <f t="shared" si="24"/>
        <v>BőrdíszműHercules-Ludovika</v>
      </c>
      <c r="V61" s="211" t="b">
        <f t="shared" si="25"/>
        <v>1</v>
      </c>
      <c r="W61" s="210">
        <f t="shared" ref="W61:W70" si="32">W60</f>
        <v>2</v>
      </c>
      <c r="X61" s="210" t="str">
        <f t="shared" si="26"/>
        <v>Bőrdíszmű</v>
      </c>
      <c r="Y61" s="210" t="str">
        <f t="shared" si="27"/>
        <v>Hercules-Ludovika</v>
      </c>
      <c r="Z61" s="212">
        <f t="shared" si="28"/>
        <v>0</v>
      </c>
      <c r="AA61" s="210">
        <f t="shared" si="29"/>
        <v>1</v>
      </c>
      <c r="AB61" s="213"/>
      <c r="AC61" s="214" t="str">
        <f t="shared" si="17"/>
        <v/>
      </c>
      <c r="AD61" s="214" t="str">
        <f t="shared" si="18"/>
        <v/>
      </c>
      <c r="AE61" s="215" t="str">
        <f t="shared" si="30"/>
        <v>Bőrdíszmű</v>
      </c>
      <c r="AF61" s="214" t="str">
        <f t="shared" si="19"/>
        <v>Hercules-Ludovika</v>
      </c>
      <c r="AG61" s="214" t="str">
        <f t="shared" si="20"/>
        <v/>
      </c>
      <c r="AH61" s="215" t="str">
        <f t="shared" si="31"/>
        <v/>
      </c>
      <c r="AI61" s="216">
        <f t="shared" si="21"/>
        <v>42095</v>
      </c>
      <c r="AL61" s="217" t="str">
        <f>IF(OR(X61=Kedvenc!$C$43,Y61=Kedvenc!$C$43),W61,"")</f>
        <v/>
      </c>
      <c r="AM61" s="218" t="str">
        <f t="shared" si="22"/>
        <v/>
      </c>
      <c r="AQ61" s="240">
        <v>3</v>
      </c>
      <c r="AR61" s="241">
        <v>42102</v>
      </c>
      <c r="AS61" s="242">
        <f t="shared" ca="1" si="23"/>
        <v>1000</v>
      </c>
      <c r="AT61" s="240">
        <f ca="1">IF(COUNT(OFFSET($AB$42,MATCH(AQ61,index.a,0),-2,12+IF(ASZTAB!$X$71,16,0),2))&gt;=4,AQ61,-1000)</f>
        <v>3</v>
      </c>
      <c r="AV61" s="243" t="s">
        <v>178</v>
      </c>
      <c r="AW61" s="244" t="b">
        <f>ASZTAB!AJ44</f>
        <v>0</v>
      </c>
      <c r="BB61" s="285" t="str">
        <f>C61&amp;D61</f>
        <v>4209520:30 – A pálya</v>
      </c>
      <c r="BC61" s="284">
        <f>COUNTIF($BB$43:$BB$383,BB61)</f>
        <v>1</v>
      </c>
      <c r="BD61" s="512" t="str">
        <f>U61</f>
        <v>BőrdíszműHercules-Ludovika</v>
      </c>
    </row>
    <row r="62" spans="1:56" ht="14.25" customHeight="1" x14ac:dyDescent="0.2">
      <c r="A62" s="842"/>
      <c r="C62" s="255">
        <v>42095</v>
      </c>
      <c r="D62" s="255" t="s">
        <v>500</v>
      </c>
      <c r="E62" s="265" t="s">
        <v>485</v>
      </c>
      <c r="F62" s="272">
        <v>3</v>
      </c>
      <c r="G62" s="200" t="s">
        <v>247</v>
      </c>
      <c r="H62" s="273">
        <v>0</v>
      </c>
      <c r="I62" s="266" t="s">
        <v>492</v>
      </c>
      <c r="J62" s="207"/>
      <c r="K62" s="268"/>
      <c r="L62" s="225"/>
      <c r="M62" s="226"/>
      <c r="N62" s="209"/>
      <c r="O62" s="174"/>
      <c r="U62" s="210" t="str">
        <f t="shared" si="24"/>
        <v>BBKRoyal Guard's</v>
      </c>
      <c r="V62" s="211" t="b">
        <f t="shared" si="25"/>
        <v>1</v>
      </c>
      <c r="W62" s="210">
        <f t="shared" si="32"/>
        <v>2</v>
      </c>
      <c r="X62" s="210" t="str">
        <f t="shared" si="26"/>
        <v>BBK</v>
      </c>
      <c r="Y62" s="210" t="str">
        <f t="shared" si="27"/>
        <v>Royal Guard's</v>
      </c>
      <c r="Z62" s="212">
        <f t="shared" si="28"/>
        <v>3</v>
      </c>
      <c r="AA62" s="210">
        <f t="shared" si="29"/>
        <v>0</v>
      </c>
      <c r="AB62" s="213"/>
      <c r="AC62" s="214" t="str">
        <f t="shared" si="17"/>
        <v>BBK</v>
      </c>
      <c r="AD62" s="214" t="str">
        <f t="shared" si="18"/>
        <v/>
      </c>
      <c r="AE62" s="215" t="str">
        <f t="shared" si="30"/>
        <v/>
      </c>
      <c r="AF62" s="214" t="str">
        <f t="shared" si="19"/>
        <v/>
      </c>
      <c r="AG62" s="214" t="str">
        <f t="shared" si="20"/>
        <v/>
      </c>
      <c r="AH62" s="215" t="str">
        <f t="shared" si="31"/>
        <v>Royal Guard's</v>
      </c>
      <c r="AI62" s="216">
        <f t="shared" si="21"/>
        <v>42095</v>
      </c>
      <c r="AL62" s="217" t="str">
        <f>IF(OR(X62=Kedvenc!$C$43,Y62=Kedvenc!$C$43),W62,"")</f>
        <v/>
      </c>
      <c r="AM62" s="218" t="str">
        <f t="shared" si="22"/>
        <v/>
      </c>
      <c r="AQ62" s="240">
        <v>4</v>
      </c>
      <c r="AR62" s="241">
        <v>42109</v>
      </c>
      <c r="AS62" s="242">
        <f t="shared" ca="1" si="23"/>
        <v>1000</v>
      </c>
      <c r="AT62" s="240">
        <f ca="1">IF(COUNT(OFFSET($AB$42,MATCH(AQ62,index.a,0),-2,12+IF(ASZTAB!$X$71,16,0),2))&gt;=4,AQ62,-1000)</f>
        <v>4</v>
      </c>
      <c r="AV62" s="243" t="s">
        <v>179</v>
      </c>
      <c r="AW62" s="244" t="b">
        <f>ASZTAB!AJ45</f>
        <v>0</v>
      </c>
      <c r="BB62" s="285" t="str">
        <f>C62&amp;D62</f>
        <v>4209519:00 – B pálya</v>
      </c>
      <c r="BC62" s="284">
        <f>COUNTIF($BB$43:$BB$383,BB62)</f>
        <v>1</v>
      </c>
      <c r="BD62" s="512" t="str">
        <f>U62</f>
        <v>BBKRoyal Guard's</v>
      </c>
    </row>
    <row r="63" spans="1:56" ht="14.25" customHeight="1" x14ac:dyDescent="0.2">
      <c r="A63" s="842"/>
      <c r="C63" s="255">
        <v>42095</v>
      </c>
      <c r="D63" s="255" t="s">
        <v>501</v>
      </c>
      <c r="E63" s="265" t="s">
        <v>494</v>
      </c>
      <c r="F63" s="272">
        <v>1</v>
      </c>
      <c r="G63" s="200" t="s">
        <v>247</v>
      </c>
      <c r="H63" s="273">
        <v>1</v>
      </c>
      <c r="I63" s="266" t="s">
        <v>486</v>
      </c>
      <c r="J63" s="223"/>
      <c r="K63" s="787"/>
      <c r="L63" s="225"/>
      <c r="M63" s="226"/>
      <c r="N63" s="209"/>
      <c r="O63" s="174"/>
      <c r="U63" s="210" t="str">
        <f t="shared" si="24"/>
        <v>ZrínyigyöngyeBHD</v>
      </c>
      <c r="V63" s="211" t="b">
        <f t="shared" si="25"/>
        <v>1</v>
      </c>
      <c r="W63" s="210">
        <f t="shared" si="32"/>
        <v>2</v>
      </c>
      <c r="X63" s="210" t="str">
        <f t="shared" si="26"/>
        <v>Zrínyigyöngye</v>
      </c>
      <c r="Y63" s="210" t="str">
        <f t="shared" si="27"/>
        <v>BHD</v>
      </c>
      <c r="Z63" s="212">
        <f t="shared" si="28"/>
        <v>1</v>
      </c>
      <c r="AA63" s="210">
        <f t="shared" si="29"/>
        <v>1</v>
      </c>
      <c r="AB63" s="213"/>
      <c r="AC63" s="214" t="str">
        <f t="shared" si="17"/>
        <v/>
      </c>
      <c r="AD63" s="214" t="str">
        <f t="shared" si="18"/>
        <v>Zrínyigyöngye</v>
      </c>
      <c r="AE63" s="215" t="str">
        <f t="shared" si="30"/>
        <v/>
      </c>
      <c r="AF63" s="214" t="str">
        <f t="shared" si="19"/>
        <v/>
      </c>
      <c r="AG63" s="214" t="str">
        <f t="shared" si="20"/>
        <v>BHD</v>
      </c>
      <c r="AH63" s="215" t="str">
        <f t="shared" si="31"/>
        <v/>
      </c>
      <c r="AI63" s="216">
        <f t="shared" si="21"/>
        <v>42095</v>
      </c>
      <c r="AL63" s="217" t="str">
        <f>IF(OR(X63=Kedvenc!$C$43,Y63=Kedvenc!$C$43),W63,"")</f>
        <v/>
      </c>
      <c r="AM63" s="218" t="str">
        <f t="shared" si="22"/>
        <v/>
      </c>
      <c r="AQ63" s="240">
        <v>5</v>
      </c>
      <c r="AR63" s="241">
        <v>42116</v>
      </c>
      <c r="AS63" s="242">
        <f t="shared" ca="1" si="23"/>
        <v>1000</v>
      </c>
      <c r="AT63" s="240">
        <f ca="1">IF(COUNT(OFFSET($AB$42,MATCH(AQ63,index.a,0),-2,12+IF(ASZTAB!$X$71,16,0),2))&gt;=4,AQ63,-1000)</f>
        <v>5</v>
      </c>
      <c r="BB63" s="285" t="str">
        <f>C63&amp;D63</f>
        <v>4209519:45 – B pálya</v>
      </c>
      <c r="BC63" s="284">
        <f>COUNTIF($BB$43:$BB$383,BB63)</f>
        <v>1</v>
      </c>
      <c r="BD63" s="512" t="str">
        <f>U63</f>
        <v>ZrínyigyöngyeBHD</v>
      </c>
    </row>
    <row r="64" spans="1:56" ht="14.25" customHeight="1" x14ac:dyDescent="0.2">
      <c r="A64" s="842"/>
      <c r="C64" s="278"/>
      <c r="D64" s="278"/>
      <c r="E64" s="275" t="s">
        <v>493</v>
      </c>
      <c r="F64" s="275"/>
      <c r="G64" s="276"/>
      <c r="H64" s="277"/>
      <c r="I64" s="277" t="s">
        <v>495</v>
      </c>
      <c r="J64" s="223"/>
      <c r="K64" s="268"/>
      <c r="L64" s="225"/>
      <c r="M64" s="226"/>
      <c r="N64" s="209"/>
      <c r="O64" s="174"/>
      <c r="U64" s="210" t="str">
        <f t="shared" si="24"/>
        <v>Vakanaszabadnapos</v>
      </c>
      <c r="V64" s="211" t="b">
        <f t="shared" si="25"/>
        <v>0</v>
      </c>
      <c r="W64" s="210">
        <f t="shared" si="32"/>
        <v>2</v>
      </c>
      <c r="X64" s="210" t="str">
        <f t="shared" si="26"/>
        <v>Vakana</v>
      </c>
      <c r="Y64" s="210" t="str">
        <f t="shared" si="27"/>
        <v>szabadnapos</v>
      </c>
      <c r="Z64" s="212" t="str">
        <f t="shared" si="28"/>
        <v/>
      </c>
      <c r="AA64" s="210" t="str">
        <f t="shared" si="29"/>
        <v/>
      </c>
      <c r="AB64" s="213"/>
      <c r="AC64" s="214" t="str">
        <f t="shared" si="17"/>
        <v/>
      </c>
      <c r="AD64" s="214" t="str">
        <f t="shared" si="18"/>
        <v/>
      </c>
      <c r="AE64" s="215" t="str">
        <f t="shared" si="30"/>
        <v/>
      </c>
      <c r="AF64" s="214" t="str">
        <f t="shared" si="19"/>
        <v/>
      </c>
      <c r="AG64" s="214" t="str">
        <f t="shared" si="20"/>
        <v/>
      </c>
      <c r="AH64" s="215" t="str">
        <f t="shared" si="31"/>
        <v/>
      </c>
      <c r="AI64" s="750">
        <f>AI59</f>
        <v>42095</v>
      </c>
      <c r="AL64" s="217" t="str">
        <f>IF(OR(X64=Kedvenc!$C$43,Y64=Kedvenc!$C$43),W64,"")</f>
        <v/>
      </c>
      <c r="AM64" s="218" t="str">
        <f t="shared" si="22"/>
        <v/>
      </c>
      <c r="AP64" s="245"/>
      <c r="AQ64" s="240">
        <v>6</v>
      </c>
      <c r="AR64" s="241">
        <v>42123</v>
      </c>
      <c r="AS64" s="242">
        <f t="shared" ca="1" si="23"/>
        <v>1000</v>
      </c>
      <c r="AT64" s="240">
        <f ca="1">IF(COUNT(OFFSET($AB$42,MATCH(AQ64,index.a,0),-2,12+IF(ASZTAB!$X$71,16,0),2))&gt;=4,AQ64,-1000)</f>
        <v>6</v>
      </c>
      <c r="AU64" s="245"/>
      <c r="AV64" s="245"/>
      <c r="AW64" s="246" t="s">
        <v>383</v>
      </c>
      <c r="AX64" s="245"/>
      <c r="AY64" s="245"/>
    </row>
    <row r="65" spans="1:57" ht="14.25" hidden="1" customHeight="1" x14ac:dyDescent="0.2">
      <c r="A65" s="842"/>
      <c r="C65" s="278"/>
      <c r="D65" s="278"/>
      <c r="E65" s="265"/>
      <c r="F65" s="265"/>
      <c r="H65" s="266"/>
      <c r="I65" s="266"/>
      <c r="J65" s="223"/>
      <c r="K65" s="268"/>
      <c r="L65" s="225"/>
      <c r="M65" s="226"/>
      <c r="N65" s="209"/>
      <c r="O65" s="174"/>
      <c r="U65" s="210" t="str">
        <f t="shared" si="24"/>
        <v>00</v>
      </c>
      <c r="V65" s="211" t="b">
        <f t="shared" si="25"/>
        <v>0</v>
      </c>
      <c r="W65" s="210">
        <f t="shared" si="32"/>
        <v>2</v>
      </c>
      <c r="X65" s="210">
        <f t="shared" si="26"/>
        <v>0</v>
      </c>
      <c r="Y65" s="210">
        <f t="shared" si="27"/>
        <v>0</v>
      </c>
      <c r="Z65" s="212" t="str">
        <f t="shared" si="28"/>
        <v/>
      </c>
      <c r="AA65" s="210" t="str">
        <f t="shared" si="29"/>
        <v/>
      </c>
      <c r="AB65" s="213"/>
      <c r="AC65" s="214" t="str">
        <f t="shared" si="17"/>
        <v/>
      </c>
      <c r="AD65" s="214" t="str">
        <f t="shared" si="18"/>
        <v/>
      </c>
      <c r="AE65" s="215" t="str">
        <f t="shared" si="30"/>
        <v/>
      </c>
      <c r="AF65" s="214" t="str">
        <f t="shared" si="19"/>
        <v/>
      </c>
      <c r="AG65" s="214" t="str">
        <f t="shared" si="20"/>
        <v/>
      </c>
      <c r="AH65" s="215" t="str">
        <f t="shared" si="31"/>
        <v/>
      </c>
      <c r="AI65" s="216">
        <f t="shared" si="21"/>
        <v>0</v>
      </c>
      <c r="AL65" s="217" t="str">
        <f>IF(OR(X65=Kedvenc!$C$43,Y65=Kedvenc!$C$43),W65,"")</f>
        <v/>
      </c>
      <c r="AM65" s="218" t="str">
        <f t="shared" si="22"/>
        <v/>
      </c>
      <c r="AP65" s="245"/>
      <c r="AQ65" s="240">
        <v>7</v>
      </c>
      <c r="AR65" s="241">
        <v>42130</v>
      </c>
      <c r="AS65" s="242">
        <f t="shared" ca="1" si="23"/>
        <v>1000</v>
      </c>
      <c r="AT65" s="240">
        <f ca="1">IF(COUNT(OFFSET($AB$42,MATCH(AQ65,index.a,0),-2,12+IF(ASZTAB!$X$71,16,0),2))&gt;=4,AQ65,-1000)</f>
        <v>7</v>
      </c>
      <c r="AU65" s="245"/>
      <c r="AV65" s="245"/>
      <c r="AW65" s="221" t="s">
        <v>382</v>
      </c>
      <c r="AX65" s="221" t="s">
        <v>441</v>
      </c>
      <c r="AY65" s="221" t="s">
        <v>442</v>
      </c>
    </row>
    <row r="66" spans="1:57" ht="14.25" hidden="1" customHeight="1" x14ac:dyDescent="0.2">
      <c r="A66" s="842"/>
      <c r="C66" s="278"/>
      <c r="D66" s="278"/>
      <c r="E66" s="265"/>
      <c r="F66" s="265"/>
      <c r="H66" s="266"/>
      <c r="I66" s="266"/>
      <c r="J66" s="223"/>
      <c r="K66" s="268"/>
      <c r="L66" s="225"/>
      <c r="M66" s="226"/>
      <c r="N66" s="209"/>
      <c r="O66" s="174"/>
      <c r="U66" s="210" t="str">
        <f t="shared" si="24"/>
        <v>00</v>
      </c>
      <c r="V66" s="211" t="b">
        <f t="shared" si="25"/>
        <v>0</v>
      </c>
      <c r="W66" s="210">
        <f t="shared" si="32"/>
        <v>2</v>
      </c>
      <c r="X66" s="210">
        <f t="shared" si="26"/>
        <v>0</v>
      </c>
      <c r="Y66" s="210">
        <f t="shared" si="27"/>
        <v>0</v>
      </c>
      <c r="Z66" s="212" t="str">
        <f t="shared" si="28"/>
        <v/>
      </c>
      <c r="AA66" s="210" t="str">
        <f t="shared" si="29"/>
        <v/>
      </c>
      <c r="AB66" s="213"/>
      <c r="AC66" s="214" t="str">
        <f t="shared" si="17"/>
        <v/>
      </c>
      <c r="AD66" s="214" t="str">
        <f t="shared" si="18"/>
        <v/>
      </c>
      <c r="AE66" s="215" t="str">
        <f t="shared" si="30"/>
        <v/>
      </c>
      <c r="AF66" s="214" t="str">
        <f t="shared" si="19"/>
        <v/>
      </c>
      <c r="AG66" s="214" t="str">
        <f t="shared" si="20"/>
        <v/>
      </c>
      <c r="AH66" s="215" t="str">
        <f t="shared" si="31"/>
        <v/>
      </c>
      <c r="AI66" s="216">
        <f t="shared" si="21"/>
        <v>0</v>
      </c>
      <c r="AL66" s="217" t="str">
        <f>IF(OR(X66=Kedvenc!$C$43,Y66=Kedvenc!$C$43),W66,"")</f>
        <v/>
      </c>
      <c r="AM66" s="218" t="str">
        <f t="shared" si="22"/>
        <v/>
      </c>
      <c r="AP66" s="245"/>
      <c r="AQ66" s="240">
        <v>8</v>
      </c>
      <c r="AR66" s="241">
        <v>42137</v>
      </c>
      <c r="AS66" s="242">
        <f t="shared" ca="1" si="23"/>
        <v>1000</v>
      </c>
      <c r="AT66" s="240">
        <f ca="1">IF(COUNT(OFFSET($AB$42,MATCH(AQ66,index.a,0),-2,12+IF(ASZTAB!$X$71,16,0),2))&gt;=4,AQ66,-1000)</f>
        <v>8</v>
      </c>
      <c r="AU66" s="245"/>
      <c r="AV66" s="245"/>
      <c r="AW66" s="222">
        <f ca="1">MATCH($AT$107,index.a,0)</f>
        <v>337</v>
      </c>
      <c r="AX66" s="222">
        <f>MATCH(ASZTAB!$P$43,index.a,0)</f>
        <v>1</v>
      </c>
      <c r="AY66" s="222">
        <f>MATCH(ASZTAB!$AJ$62,index.a,0)</f>
        <v>1</v>
      </c>
    </row>
    <row r="67" spans="1:57" ht="14.25" hidden="1" customHeight="1" x14ac:dyDescent="0.2">
      <c r="A67" s="842"/>
      <c r="C67" s="278"/>
      <c r="D67" s="278"/>
      <c r="E67" s="265"/>
      <c r="F67" s="265"/>
      <c r="H67" s="266"/>
      <c r="I67" s="266"/>
      <c r="J67" s="223"/>
      <c r="K67" s="268"/>
      <c r="L67" s="225"/>
      <c r="M67" s="226"/>
      <c r="N67" s="209"/>
      <c r="O67" s="174"/>
      <c r="U67" s="210" t="str">
        <f t="shared" si="24"/>
        <v>00</v>
      </c>
      <c r="V67" s="211" t="b">
        <f t="shared" si="25"/>
        <v>0</v>
      </c>
      <c r="W67" s="210">
        <f t="shared" si="32"/>
        <v>2</v>
      </c>
      <c r="X67" s="210">
        <f t="shared" si="26"/>
        <v>0</v>
      </c>
      <c r="Y67" s="210">
        <f t="shared" si="27"/>
        <v>0</v>
      </c>
      <c r="Z67" s="212" t="str">
        <f t="shared" si="28"/>
        <v/>
      </c>
      <c r="AA67" s="210" t="str">
        <f t="shared" si="29"/>
        <v/>
      </c>
      <c r="AB67" s="213"/>
      <c r="AC67" s="214" t="str">
        <f t="shared" si="17"/>
        <v/>
      </c>
      <c r="AD67" s="214" t="str">
        <f t="shared" si="18"/>
        <v/>
      </c>
      <c r="AE67" s="215" t="str">
        <f t="shared" si="30"/>
        <v/>
      </c>
      <c r="AF67" s="214" t="str">
        <f t="shared" si="19"/>
        <v/>
      </c>
      <c r="AG67" s="214" t="str">
        <f t="shared" si="20"/>
        <v/>
      </c>
      <c r="AH67" s="215" t="str">
        <f t="shared" si="31"/>
        <v/>
      </c>
      <c r="AI67" s="216">
        <f t="shared" si="21"/>
        <v>0</v>
      </c>
      <c r="AL67" s="217" t="str">
        <f>IF(OR(X67=Kedvenc!$C$43,Y67=Kedvenc!$C$43),W67,"")</f>
        <v/>
      </c>
      <c r="AM67" s="218" t="str">
        <f t="shared" si="22"/>
        <v/>
      </c>
      <c r="AP67" s="245"/>
      <c r="AQ67" s="240">
        <v>9</v>
      </c>
      <c r="AR67" s="241">
        <v>42144</v>
      </c>
      <c r="AS67" s="242">
        <f t="shared" ca="1" si="23"/>
        <v>1000</v>
      </c>
      <c r="AT67" s="240">
        <f ca="1">IF(COUNT(OFFSET($AB$42,MATCH(AQ67,index.a,0),-2,12+IF(ASZTAB!$X$71,16,0),2))&gt;=4,AQ67,-1000)</f>
        <v>9</v>
      </c>
      <c r="AU67" s="245"/>
      <c r="AV67" s="245"/>
      <c r="AW67" s="222">
        <v>-7</v>
      </c>
      <c r="AX67" s="222">
        <v>-7</v>
      </c>
      <c r="AY67" s="222">
        <v>-7</v>
      </c>
    </row>
    <row r="68" spans="1:57" ht="14.25" hidden="1" customHeight="1" x14ac:dyDescent="0.2">
      <c r="A68" s="842"/>
      <c r="C68" s="278"/>
      <c r="D68" s="278"/>
      <c r="E68" s="265"/>
      <c r="F68" s="265"/>
      <c r="H68" s="266"/>
      <c r="I68" s="266"/>
      <c r="J68" s="223"/>
      <c r="K68" s="268"/>
      <c r="L68" s="225"/>
      <c r="M68" s="226"/>
      <c r="N68" s="209"/>
      <c r="O68" s="174"/>
      <c r="U68" s="210" t="str">
        <f t="shared" si="24"/>
        <v>00</v>
      </c>
      <c r="V68" s="211" t="b">
        <f t="shared" si="25"/>
        <v>0</v>
      </c>
      <c r="W68" s="210">
        <f t="shared" si="32"/>
        <v>2</v>
      </c>
      <c r="X68" s="210">
        <f t="shared" si="26"/>
        <v>0</v>
      </c>
      <c r="Y68" s="210">
        <f t="shared" si="27"/>
        <v>0</v>
      </c>
      <c r="Z68" s="212" t="str">
        <f t="shared" si="28"/>
        <v/>
      </c>
      <c r="AA68" s="210" t="str">
        <f t="shared" si="29"/>
        <v/>
      </c>
      <c r="AB68" s="213"/>
      <c r="AC68" s="214" t="str">
        <f t="shared" si="17"/>
        <v/>
      </c>
      <c r="AD68" s="214" t="str">
        <f t="shared" si="18"/>
        <v/>
      </c>
      <c r="AE68" s="215" t="str">
        <f t="shared" si="30"/>
        <v/>
      </c>
      <c r="AF68" s="214" t="str">
        <f t="shared" si="19"/>
        <v/>
      </c>
      <c r="AG68" s="214" t="str">
        <f t="shared" si="20"/>
        <v/>
      </c>
      <c r="AH68" s="215" t="str">
        <f t="shared" si="31"/>
        <v/>
      </c>
      <c r="AI68" s="216">
        <f t="shared" si="21"/>
        <v>0</v>
      </c>
      <c r="AL68" s="217" t="str">
        <f>IF(OR(X68=Kedvenc!$C$43,Y68=Kedvenc!$C$43),W68,"")</f>
        <v/>
      </c>
      <c r="AM68" s="218" t="str">
        <f t="shared" si="22"/>
        <v/>
      </c>
      <c r="AP68" s="245"/>
      <c r="AQ68" s="240">
        <v>10</v>
      </c>
      <c r="AR68" s="241">
        <v>42151</v>
      </c>
      <c r="AS68" s="242">
        <f t="shared" ca="1" si="23"/>
        <v>1000</v>
      </c>
      <c r="AT68" s="240">
        <f ca="1">IF(COUNT(OFFSET($AB$42,MATCH(AQ68,index.a,0),-2,12+IF(ASZTAB!$X$71,16,0),2))&gt;=4,AQ68,-1000)</f>
        <v>10</v>
      </c>
      <c r="AU68" s="245"/>
      <c r="AV68" s="245"/>
      <c r="AW68" s="222">
        <f>IF(ASZTAB!$X$71,28,12)</f>
        <v>12</v>
      </c>
      <c r="AX68" s="222">
        <f>MATCH(ASZTAB!$R$43,index.a,0)+ROUNDUP(ASZTAB!$X$68/2,0)-AX66+IF(ASZTAB!$X$71,16,0)</f>
        <v>342</v>
      </c>
      <c r="AY68" s="222">
        <f>MATCH(ASZTAB!$R$43-1,index.a,0)+ROUNDUP(ASZTAB!$X$68/2,0)-AY66+IF(ASZTAB!$X$71,16,0)</f>
        <v>326</v>
      </c>
    </row>
    <row r="69" spans="1:57" ht="14.25" hidden="1" customHeight="1" x14ac:dyDescent="0.2">
      <c r="A69" s="842"/>
      <c r="C69" s="278"/>
      <c r="D69" s="278"/>
      <c r="E69" s="265"/>
      <c r="F69" s="265"/>
      <c r="H69" s="266"/>
      <c r="I69" s="266"/>
      <c r="J69" s="223"/>
      <c r="K69" s="268"/>
      <c r="L69" s="225"/>
      <c r="M69" s="226"/>
      <c r="N69" s="209"/>
      <c r="O69" s="174"/>
      <c r="U69" s="210" t="str">
        <f t="shared" si="24"/>
        <v>00</v>
      </c>
      <c r="V69" s="211" t="b">
        <f t="shared" si="25"/>
        <v>0</v>
      </c>
      <c r="W69" s="210">
        <f t="shared" si="32"/>
        <v>2</v>
      </c>
      <c r="X69" s="210">
        <f t="shared" si="26"/>
        <v>0</v>
      </c>
      <c r="Y69" s="210">
        <f t="shared" si="27"/>
        <v>0</v>
      </c>
      <c r="Z69" s="212" t="str">
        <f t="shared" si="28"/>
        <v/>
      </c>
      <c r="AA69" s="210" t="str">
        <f t="shared" si="29"/>
        <v/>
      </c>
      <c r="AB69" s="213"/>
      <c r="AC69" s="214" t="str">
        <f t="shared" si="17"/>
        <v/>
      </c>
      <c r="AD69" s="214" t="str">
        <f t="shared" si="18"/>
        <v/>
      </c>
      <c r="AE69" s="215" t="str">
        <f t="shared" si="30"/>
        <v/>
      </c>
      <c r="AF69" s="214" t="str">
        <f t="shared" si="19"/>
        <v/>
      </c>
      <c r="AG69" s="214" t="str">
        <f t="shared" si="20"/>
        <v/>
      </c>
      <c r="AH69" s="215" t="str">
        <f t="shared" si="31"/>
        <v/>
      </c>
      <c r="AI69" s="216">
        <f t="shared" si="21"/>
        <v>0</v>
      </c>
      <c r="AL69" s="217" t="str">
        <f>IF(OR(X69=Kedvenc!$C$43,Y69=Kedvenc!$C$43),W69,"")</f>
        <v/>
      </c>
      <c r="AM69" s="218" t="str">
        <f t="shared" si="22"/>
        <v/>
      </c>
      <c r="AP69" s="245"/>
      <c r="AQ69" s="240">
        <v>11</v>
      </c>
      <c r="AR69" s="241">
        <v>42158</v>
      </c>
      <c r="AS69" s="242">
        <f t="shared" ca="1" si="23"/>
        <v>1000</v>
      </c>
      <c r="AT69" s="240">
        <f ca="1">IF(COUNT(OFFSET($AB$42,MATCH(AQ69,index.a,0),-2,12+IF(ASZTAB!$X$71,16,0),2))&gt;=4,AQ69,-1000)</f>
        <v>11</v>
      </c>
      <c r="AU69" s="245"/>
      <c r="AV69" s="245"/>
      <c r="AW69" s="222">
        <v>14</v>
      </c>
      <c r="AX69" s="222">
        <v>1</v>
      </c>
      <c r="AY69" s="222">
        <v>1</v>
      </c>
    </row>
    <row r="70" spans="1:57" ht="14.25" hidden="1" customHeight="1" x14ac:dyDescent="0.2">
      <c r="A70" s="842"/>
      <c r="C70" s="278"/>
      <c r="D70" s="278"/>
      <c r="E70" s="265"/>
      <c r="F70" s="265"/>
      <c r="H70" s="266"/>
      <c r="I70" s="266"/>
      <c r="J70" s="169"/>
      <c r="K70" s="268"/>
      <c r="L70" s="228"/>
      <c r="M70" s="228"/>
      <c r="N70" s="228"/>
      <c r="O70" s="174"/>
      <c r="U70" s="210" t="str">
        <f t="shared" si="24"/>
        <v>00</v>
      </c>
      <c r="V70" s="211" t="b">
        <f t="shared" si="25"/>
        <v>0</v>
      </c>
      <c r="W70" s="210">
        <f t="shared" si="32"/>
        <v>2</v>
      </c>
      <c r="X70" s="210">
        <f t="shared" si="26"/>
        <v>0</v>
      </c>
      <c r="Y70" s="210">
        <f t="shared" si="27"/>
        <v>0</v>
      </c>
      <c r="Z70" s="212" t="str">
        <f t="shared" si="28"/>
        <v/>
      </c>
      <c r="AA70" s="210" t="str">
        <f t="shared" si="29"/>
        <v/>
      </c>
      <c r="AB70" s="213"/>
      <c r="AC70" s="214" t="str">
        <f t="shared" si="17"/>
        <v/>
      </c>
      <c r="AD70" s="214" t="str">
        <f t="shared" si="18"/>
        <v/>
      </c>
      <c r="AE70" s="215" t="str">
        <f t="shared" si="30"/>
        <v/>
      </c>
      <c r="AF70" s="214" t="str">
        <f t="shared" si="19"/>
        <v/>
      </c>
      <c r="AG70" s="214" t="str">
        <f t="shared" si="20"/>
        <v/>
      </c>
      <c r="AH70" s="215" t="str">
        <f t="shared" si="31"/>
        <v/>
      </c>
      <c r="AI70" s="216">
        <f t="shared" si="21"/>
        <v>0</v>
      </c>
      <c r="AL70" s="217" t="str">
        <f>IF(OR(X70=Kedvenc!$C$43,Y70=Kedvenc!$C$43),W70,"")</f>
        <v/>
      </c>
      <c r="AM70" s="218" t="str">
        <f t="shared" si="22"/>
        <v/>
      </c>
      <c r="AP70" s="245"/>
      <c r="AQ70" s="240">
        <v>12</v>
      </c>
      <c r="AR70" s="241">
        <v>42165</v>
      </c>
      <c r="AS70" s="242">
        <f t="shared" ca="1" si="23"/>
        <v>1000</v>
      </c>
      <c r="AT70" s="240">
        <f ca="1">IF(COUNT(OFFSET($AB$42,MATCH(AQ70,index.a,0),-2,12+IF(ASZTAB!$X$71,16,0),2))&gt;=4,AQ70,-1000)</f>
        <v>12</v>
      </c>
      <c r="AU70" s="245"/>
      <c r="AV70" s="245"/>
      <c r="AW70" s="245"/>
      <c r="AX70" s="245"/>
      <c r="AY70" s="245"/>
    </row>
    <row r="71" spans="1:57" ht="14.25" customHeight="1" x14ac:dyDescent="0.2">
      <c r="A71" s="842"/>
      <c r="E71" s="247"/>
      <c r="F71" s="248"/>
      <c r="G71" s="248"/>
      <c r="H71" s="248"/>
      <c r="I71" s="247"/>
      <c r="J71" s="172"/>
      <c r="K71" s="228"/>
      <c r="L71" s="228"/>
      <c r="M71" s="228"/>
      <c r="N71" s="228"/>
      <c r="O71" s="174"/>
      <c r="W71" s="231"/>
      <c r="AC71" s="233"/>
      <c r="AD71" s="233"/>
      <c r="AE71" s="234"/>
      <c r="AF71" s="233"/>
      <c r="AG71" s="233"/>
      <c r="AH71" s="234"/>
      <c r="AI71" s="234"/>
      <c r="AP71" s="245"/>
      <c r="AQ71" s="240">
        <v>13</v>
      </c>
      <c r="AR71" s="241">
        <v>42172</v>
      </c>
      <c r="AS71" s="242">
        <f t="shared" ca="1" si="23"/>
        <v>1000</v>
      </c>
      <c r="AT71" s="240">
        <f ca="1">IF(COUNT(OFFSET($AB$42,MATCH(AQ71,index.a,0),-2,12+IF(ASZTAB!$X$71,16,0),2))&gt;=4,AQ71,-1000)</f>
        <v>13</v>
      </c>
      <c r="AU71" s="245"/>
      <c r="AV71" s="245"/>
      <c r="AW71" s="245"/>
      <c r="AX71" s="245"/>
      <c r="AY71" s="245"/>
    </row>
    <row r="72" spans="1:57" ht="14.25" customHeight="1" x14ac:dyDescent="0.2">
      <c r="A72" s="842"/>
      <c r="E72" s="247"/>
      <c r="F72" s="248"/>
      <c r="G72" s="248"/>
      <c r="H72" s="248"/>
      <c r="I72" s="247"/>
      <c r="J72" s="172"/>
      <c r="K72" s="228"/>
      <c r="L72" s="228"/>
      <c r="M72" s="228"/>
      <c r="N72" s="228"/>
      <c r="O72" s="174"/>
      <c r="W72" s="231"/>
      <c r="AC72" s="233"/>
      <c r="AD72" s="233"/>
      <c r="AE72" s="234"/>
      <c r="AF72" s="233"/>
      <c r="AG72" s="233"/>
      <c r="AH72" s="234"/>
      <c r="AI72" s="197"/>
      <c r="AP72" s="245"/>
      <c r="AQ72" s="240">
        <v>14</v>
      </c>
      <c r="AR72" s="241">
        <v>42179</v>
      </c>
      <c r="AS72" s="242">
        <f t="shared" ca="1" si="23"/>
        <v>1000</v>
      </c>
      <c r="AT72" s="240">
        <f ca="1">IF(COUNT(OFFSET($AB$42,MATCH(AQ72,index.a,0),-2,12+IF(ASZTAB!$X$71,16,0),2))&gt;=4,AQ72,-1000)</f>
        <v>14</v>
      </c>
      <c r="AU72" s="245"/>
      <c r="AV72" s="245"/>
      <c r="AW72" s="245"/>
      <c r="AX72" s="245"/>
      <c r="AY72" s="245"/>
      <c r="BA72" s="245"/>
      <c r="BD72" s="245"/>
      <c r="BE72" s="245"/>
    </row>
    <row r="73" spans="1:57" ht="14.25" customHeight="1" x14ac:dyDescent="0.2">
      <c r="A73" s="842"/>
      <c r="B73" s="187"/>
      <c r="C73" s="269" t="str">
        <f>CONCATENATE(" ",AB75,"."," forduló  –")</f>
        <v xml:space="preserve"> 3. forduló  –</v>
      </c>
      <c r="D73" s="843">
        <f>VLOOKUP(AB75,ASZ!$AQ$59:$AS$104,2,FALSE)</f>
        <v>42102</v>
      </c>
      <c r="E73" s="843"/>
      <c r="F73" s="274"/>
      <c r="G73" s="274"/>
      <c r="H73" s="274"/>
      <c r="I73" s="270" t="str">
        <f>CONCATENATE(IF($AW$61,"pont: ","gól: "),SUM(F75:H86)," / átlag: ",TEXT(IF(COUNT(F75:H86)=0,"-",SUM(F75:H86)/COUNT(F75:H86)*2),"0,00"))</f>
        <v>gól: 24 / átlag: 4,80</v>
      </c>
      <c r="J73" s="190"/>
      <c r="K73" s="271" t="s">
        <v>285</v>
      </c>
      <c r="L73" s="192"/>
      <c r="U73" s="229"/>
      <c r="V73" s="230"/>
      <c r="W73" s="231"/>
      <c r="X73" s="231"/>
      <c r="Y73" s="231"/>
      <c r="Z73" s="232"/>
      <c r="AA73" s="231"/>
      <c r="AC73" s="197"/>
      <c r="AD73" s="197"/>
      <c r="AE73" s="197"/>
      <c r="AF73" s="197"/>
      <c r="AG73" s="197"/>
      <c r="AH73" s="197"/>
      <c r="AI73" s="197"/>
      <c r="AQ73" s="240">
        <v>15</v>
      </c>
      <c r="AR73" s="241">
        <v>42242</v>
      </c>
      <c r="AS73" s="242">
        <f t="shared" ca="1" si="23"/>
        <v>1000</v>
      </c>
      <c r="AT73" s="240">
        <f ca="1">IF(COUNT(OFFSET($AB$42,MATCH(AQ73,index.a,0),-2,12+IF(ASZTAB!$X$71,16,0),2))&gt;=4,AQ73,-1000)</f>
        <v>15</v>
      </c>
    </row>
    <row r="74" spans="1:57" ht="9" customHeight="1" x14ac:dyDescent="0.2">
      <c r="A74" s="842"/>
      <c r="P74" s="209"/>
      <c r="Q74" s="209"/>
      <c r="R74" s="209"/>
      <c r="S74" s="209"/>
      <c r="AQ74" s="240">
        <v>16</v>
      </c>
      <c r="AR74" s="241">
        <v>42249</v>
      </c>
      <c r="AS74" s="242">
        <f t="shared" ca="1" si="23"/>
        <v>1000</v>
      </c>
      <c r="AT74" s="240">
        <f ca="1">IF(COUNT(OFFSET($AB$42,MATCH(AQ74,index.a,0),-2,12+IF(ASZTAB!$X$71,16,0),2))&gt;=4,AQ74,-1000)</f>
        <v>16</v>
      </c>
    </row>
    <row r="75" spans="1:57" ht="14.25" customHeight="1" x14ac:dyDescent="0.2">
      <c r="A75" s="842"/>
      <c r="C75" s="255">
        <v>42102</v>
      </c>
      <c r="D75" s="255" t="s">
        <v>498</v>
      </c>
      <c r="E75" s="265" t="s">
        <v>494</v>
      </c>
      <c r="F75" s="272">
        <v>1</v>
      </c>
      <c r="G75" s="200" t="s">
        <v>247</v>
      </c>
      <c r="H75" s="273">
        <v>3</v>
      </c>
      <c r="I75" s="266" t="s">
        <v>485</v>
      </c>
      <c r="J75" s="207"/>
      <c r="K75" s="267"/>
      <c r="P75" s="209"/>
      <c r="Q75" s="209"/>
      <c r="R75" s="209"/>
      <c r="S75" s="209"/>
      <c r="U75" s="210" t="str">
        <f t="shared" ref="U75:U86" si="33">X75&amp;Y75</f>
        <v>ZrínyigyöngyeBBK</v>
      </c>
      <c r="V75" s="211" t="b">
        <f t="shared" ref="V75:V86" si="34">AND(F75&lt;&gt;"",H75&lt;&gt;"")</f>
        <v>1</v>
      </c>
      <c r="W75" s="210">
        <f>AB75</f>
        <v>3</v>
      </c>
      <c r="X75" s="210" t="str">
        <f t="shared" ref="X75:X86" si="35">E75</f>
        <v>Zrínyigyöngye</v>
      </c>
      <c r="Y75" s="210" t="str">
        <f t="shared" ref="Y75:Y86" si="36">I75</f>
        <v>BBK</v>
      </c>
      <c r="Z75" s="212">
        <f t="shared" ref="Z75:Z86" si="37">IF(V75,F75,"")</f>
        <v>1</v>
      </c>
      <c r="AA75" s="210">
        <f t="shared" ref="AA75:AA86" si="38">IF(V75,H75,"")</f>
        <v>3</v>
      </c>
      <c r="AB75" s="213">
        <f>IF(NOT(ASZTAB!$X$71),AB59+1,AB59+COUNTIF(AB43:AB74,AB59)-1)</f>
        <v>3</v>
      </c>
      <c r="AC75" s="214" t="str">
        <f t="shared" ref="AC75:AC86" si="39">IF(Z75&gt;AA75,X75,"")</f>
        <v/>
      </c>
      <c r="AD75" s="214" t="str">
        <f t="shared" ref="AD75:AD86" si="40">IF(AA75="","",IF(Z75=AA75,X75,""))</f>
        <v/>
      </c>
      <c r="AE75" s="215" t="str">
        <f t="shared" ref="AE75:AE86" si="41">IF(AND($AW$61,Z75=0,AA75=20),X75&amp;"ooo",IF(Z75&lt;AA75,X75,""))</f>
        <v>Zrínyigyöngye</v>
      </c>
      <c r="AF75" s="214" t="str">
        <f t="shared" ref="AF75:AF86" si="42">IF(AA75&gt;Z75,Y75,"")</f>
        <v>BBK</v>
      </c>
      <c r="AG75" s="214" t="str">
        <f t="shared" ref="AG75:AG86" si="43">IF(AA75="","",IF(Z75=AA75,Y75,""))</f>
        <v/>
      </c>
      <c r="AH75" s="215" t="str">
        <f t="shared" ref="AH75:AH86" si="44">IF(AND($AW$61,Z75=20,AA75=0),Y75&amp;"ooo",IF(Z75&gt;AA75,Y75,""))</f>
        <v/>
      </c>
      <c r="AI75" s="216">
        <f>C75</f>
        <v>42102</v>
      </c>
      <c r="AL75" s="217" t="str">
        <f>IF(OR(X75=Kedvenc!$C$43,Y75=Kedvenc!$C$43),W75,"")</f>
        <v/>
      </c>
      <c r="AM75" s="218" t="str">
        <f t="shared" ref="AM75:AM86" si="45">IF(AL75="","",U75)</f>
        <v/>
      </c>
      <c r="AQ75" s="240">
        <v>17</v>
      </c>
      <c r="AR75" s="241">
        <v>42256</v>
      </c>
      <c r="AS75" s="242">
        <f t="shared" ca="1" si="23"/>
        <v>1000</v>
      </c>
      <c r="AT75" s="240">
        <f ca="1">IF(COUNT(OFFSET($AB$42,MATCH(AQ75,index.a,0),-2,12+IF(ASZTAB!$X$71,16,0),2))&gt;=4,AQ75,-1000)</f>
        <v>17</v>
      </c>
      <c r="BB75" s="285" t="str">
        <f>C75&amp;D75</f>
        <v>4210219:45 – A pálya</v>
      </c>
      <c r="BC75" s="284">
        <f>COUNTIF($BB$43:$BB$383,BB75)</f>
        <v>1</v>
      </c>
      <c r="BD75" s="512" t="str">
        <f>U75</f>
        <v>ZrínyigyöngyeBBK</v>
      </c>
    </row>
    <row r="76" spans="1:57" ht="14.25" customHeight="1" x14ac:dyDescent="0.2">
      <c r="A76" s="842"/>
      <c r="C76" s="255">
        <v>42102</v>
      </c>
      <c r="D76" s="255" t="s">
        <v>499</v>
      </c>
      <c r="E76" s="265" t="s">
        <v>487</v>
      </c>
      <c r="F76" s="272">
        <v>3</v>
      </c>
      <c r="G76" s="200" t="s">
        <v>247</v>
      </c>
      <c r="H76" s="273">
        <v>3</v>
      </c>
      <c r="I76" s="266" t="s">
        <v>488</v>
      </c>
      <c r="J76" s="207"/>
      <c r="K76" s="268"/>
      <c r="P76" s="209"/>
      <c r="Q76" s="209"/>
      <c r="R76" s="209"/>
      <c r="S76" s="209"/>
      <c r="U76" s="210" t="str">
        <f t="shared" si="33"/>
        <v>BőrdíszműCarbonász</v>
      </c>
      <c r="V76" s="211" t="b">
        <f t="shared" si="34"/>
        <v>1</v>
      </c>
      <c r="W76" s="210">
        <f t="shared" ref="W76:W86" si="46">W75</f>
        <v>3</v>
      </c>
      <c r="X76" s="210" t="str">
        <f t="shared" si="35"/>
        <v>Bőrdíszmű</v>
      </c>
      <c r="Y76" s="210" t="str">
        <f t="shared" si="36"/>
        <v>Carbonász</v>
      </c>
      <c r="Z76" s="212">
        <f t="shared" si="37"/>
        <v>3</v>
      </c>
      <c r="AA76" s="210">
        <f t="shared" si="38"/>
        <v>3</v>
      </c>
      <c r="AB76" s="213"/>
      <c r="AC76" s="214" t="str">
        <f t="shared" si="39"/>
        <v/>
      </c>
      <c r="AD76" s="214" t="str">
        <f t="shared" si="40"/>
        <v>Bőrdíszmű</v>
      </c>
      <c r="AE76" s="215" t="str">
        <f t="shared" si="41"/>
        <v/>
      </c>
      <c r="AF76" s="214" t="str">
        <f t="shared" si="42"/>
        <v/>
      </c>
      <c r="AG76" s="214" t="str">
        <f t="shared" si="43"/>
        <v>Carbonász</v>
      </c>
      <c r="AH76" s="215" t="str">
        <f t="shared" si="44"/>
        <v/>
      </c>
      <c r="AI76" s="216">
        <f t="shared" si="21"/>
        <v>42102</v>
      </c>
      <c r="AL76" s="217" t="str">
        <f>IF(OR(X76=Kedvenc!$C$43,Y76=Kedvenc!$C$43),W76,"")</f>
        <v/>
      </c>
      <c r="AM76" s="218" t="str">
        <f t="shared" si="45"/>
        <v/>
      </c>
      <c r="AP76" s="245"/>
      <c r="AQ76" s="240">
        <v>18</v>
      </c>
      <c r="AR76" s="241">
        <v>42263</v>
      </c>
      <c r="AS76" s="242">
        <f t="shared" ca="1" si="23"/>
        <v>1000</v>
      </c>
      <c r="AT76" s="240">
        <f ca="1">IF(COUNT(OFFSET($AB$42,MATCH(AQ76,index.a,0),-2,12+IF(ASZTAB!$X$71,16,0),2))&gt;=4,AQ76,-1000)</f>
        <v>18</v>
      </c>
      <c r="AU76" s="245"/>
      <c r="AV76" s="245"/>
      <c r="AW76" s="245"/>
      <c r="AX76" s="245"/>
      <c r="AY76" s="245"/>
      <c r="BA76" s="245"/>
      <c r="BB76" s="285" t="str">
        <f>C76&amp;D76</f>
        <v>4210220:30 – A pálya</v>
      </c>
      <c r="BC76" s="284">
        <f>COUNTIF($BB$43:$BB$383,BB76)</f>
        <v>1</v>
      </c>
      <c r="BD76" s="512" t="str">
        <f>U76</f>
        <v>BőrdíszműCarbonász</v>
      </c>
      <c r="BE76" s="245"/>
    </row>
    <row r="77" spans="1:57" ht="14.25" customHeight="1" x14ac:dyDescent="0.2">
      <c r="A77" s="842"/>
      <c r="C77" s="255">
        <v>42102</v>
      </c>
      <c r="D77" s="255" t="s">
        <v>500</v>
      </c>
      <c r="E77" s="265" t="s">
        <v>490</v>
      </c>
      <c r="F77" s="272">
        <v>1</v>
      </c>
      <c r="G77" s="200" t="s">
        <v>247</v>
      </c>
      <c r="H77" s="273">
        <v>0</v>
      </c>
      <c r="I77" s="266" t="s">
        <v>484</v>
      </c>
      <c r="J77" s="207"/>
      <c r="K77" s="268"/>
      <c r="P77" s="209"/>
      <c r="Q77" s="209"/>
      <c r="R77" s="209"/>
      <c r="S77" s="209"/>
      <c r="U77" s="210" t="str">
        <f t="shared" si="33"/>
        <v>Hercules-LudovikaBakafogó-Honvéd-Sashegy SE</v>
      </c>
      <c r="V77" s="211" t="b">
        <f t="shared" si="34"/>
        <v>1</v>
      </c>
      <c r="W77" s="210">
        <f t="shared" si="46"/>
        <v>3</v>
      </c>
      <c r="X77" s="210" t="str">
        <f t="shared" si="35"/>
        <v>Hercules-Ludovika</v>
      </c>
      <c r="Y77" s="210" t="str">
        <f t="shared" si="36"/>
        <v>Bakafogó-Honvéd-Sashegy SE</v>
      </c>
      <c r="Z77" s="212">
        <f t="shared" si="37"/>
        <v>1</v>
      </c>
      <c r="AA77" s="210">
        <f t="shared" si="38"/>
        <v>0</v>
      </c>
      <c r="AB77" s="213"/>
      <c r="AC77" s="214" t="str">
        <f t="shared" si="39"/>
        <v>Hercules-Ludovika</v>
      </c>
      <c r="AD77" s="214" t="str">
        <f t="shared" si="40"/>
        <v/>
      </c>
      <c r="AE77" s="215" t="str">
        <f t="shared" si="41"/>
        <v/>
      </c>
      <c r="AF77" s="214" t="str">
        <f t="shared" si="42"/>
        <v/>
      </c>
      <c r="AG77" s="214" t="str">
        <f t="shared" si="43"/>
        <v/>
      </c>
      <c r="AH77" s="215" t="str">
        <f t="shared" si="44"/>
        <v>Bakafogó-Honvéd-Sashegy SE</v>
      </c>
      <c r="AI77" s="216">
        <f t="shared" si="21"/>
        <v>42102</v>
      </c>
      <c r="AL77" s="217" t="str">
        <f>IF(OR(X77=Kedvenc!$C$43,Y77=Kedvenc!$C$43),W77,"")</f>
        <v/>
      </c>
      <c r="AM77" s="218" t="str">
        <f t="shared" si="45"/>
        <v/>
      </c>
      <c r="AP77" s="245"/>
      <c r="AQ77" s="240">
        <v>19</v>
      </c>
      <c r="AR77" s="241">
        <v>42270</v>
      </c>
      <c r="AS77" s="242">
        <f t="shared" ca="1" si="23"/>
        <v>1000</v>
      </c>
      <c r="AT77" s="240">
        <f ca="1">IF(COUNT(OFFSET($AB$42,MATCH(AQ77,index.a,0),-2,12+IF(ASZTAB!$X$71,16,0),2))&gt;=4,AQ77,-1000)</f>
        <v>19</v>
      </c>
      <c r="AU77" s="245"/>
      <c r="AV77" s="245"/>
      <c r="AW77" s="245"/>
      <c r="AX77" s="245"/>
      <c r="AY77" s="245"/>
      <c r="BA77" s="245"/>
      <c r="BB77" s="285" t="str">
        <f>C77&amp;D77</f>
        <v>4210219:00 – B pálya</v>
      </c>
      <c r="BC77" s="284">
        <f>COUNTIF($BB$43:$BB$383,BB77)</f>
        <v>1</v>
      </c>
      <c r="BD77" s="512" t="str">
        <f>U77</f>
        <v>Hercules-LudovikaBakafogó-Honvéd-Sashegy SE</v>
      </c>
      <c r="BE77" s="245"/>
    </row>
    <row r="78" spans="1:57" ht="14.25" customHeight="1" x14ac:dyDescent="0.2">
      <c r="A78" s="842"/>
      <c r="C78" s="255">
        <v>42102</v>
      </c>
      <c r="D78" s="255" t="s">
        <v>501</v>
      </c>
      <c r="E78" s="265" t="s">
        <v>493</v>
      </c>
      <c r="F78" s="272">
        <v>0</v>
      </c>
      <c r="G78" s="200" t="s">
        <v>247</v>
      </c>
      <c r="H78" s="273">
        <v>3</v>
      </c>
      <c r="I78" s="266" t="s">
        <v>486</v>
      </c>
      <c r="J78" s="207"/>
      <c r="K78" s="268"/>
      <c r="P78" s="209"/>
      <c r="Q78" s="209"/>
      <c r="R78" s="209"/>
      <c r="S78" s="209"/>
      <c r="U78" s="210" t="str">
        <f t="shared" si="33"/>
        <v>VakanaBHD</v>
      </c>
      <c r="V78" s="211" t="b">
        <f t="shared" si="34"/>
        <v>1</v>
      </c>
      <c r="W78" s="210">
        <f t="shared" si="46"/>
        <v>3</v>
      </c>
      <c r="X78" s="210" t="str">
        <f t="shared" si="35"/>
        <v>Vakana</v>
      </c>
      <c r="Y78" s="210" t="str">
        <f t="shared" si="36"/>
        <v>BHD</v>
      </c>
      <c r="Z78" s="212">
        <f t="shared" si="37"/>
        <v>0</v>
      </c>
      <c r="AA78" s="210">
        <f t="shared" si="38"/>
        <v>3</v>
      </c>
      <c r="AB78" s="213"/>
      <c r="AC78" s="214" t="str">
        <f t="shared" si="39"/>
        <v/>
      </c>
      <c r="AD78" s="214" t="str">
        <f t="shared" si="40"/>
        <v/>
      </c>
      <c r="AE78" s="215" t="str">
        <f t="shared" si="41"/>
        <v>Vakana</v>
      </c>
      <c r="AF78" s="214" t="str">
        <f t="shared" si="42"/>
        <v>BHD</v>
      </c>
      <c r="AG78" s="214" t="str">
        <f t="shared" si="43"/>
        <v/>
      </c>
      <c r="AH78" s="215" t="str">
        <f t="shared" si="44"/>
        <v/>
      </c>
      <c r="AI78" s="216">
        <f t="shared" si="21"/>
        <v>42102</v>
      </c>
      <c r="AL78" s="217" t="str">
        <f>IF(OR(X78=Kedvenc!$C$43,Y78=Kedvenc!$C$43),W78,"")</f>
        <v/>
      </c>
      <c r="AM78" s="218" t="str">
        <f t="shared" si="45"/>
        <v/>
      </c>
      <c r="AP78" s="245"/>
      <c r="AQ78" s="240">
        <v>20</v>
      </c>
      <c r="AR78" s="241">
        <v>42277</v>
      </c>
      <c r="AS78" s="242">
        <f t="shared" ca="1" si="23"/>
        <v>1000</v>
      </c>
      <c r="AT78" s="240">
        <f ca="1">IF(COUNT(OFFSET($AB$42,MATCH(AQ78,index.a,0),-2,12+IF(ASZTAB!$X$71,16,0),2))&gt;=4,AQ78,-1000)</f>
        <v>20</v>
      </c>
      <c r="AU78" s="245"/>
      <c r="AV78" s="245"/>
      <c r="AW78" s="245"/>
      <c r="AX78" s="245"/>
      <c r="AY78" s="245"/>
      <c r="BA78" s="245"/>
      <c r="BB78" s="285" t="str">
        <f>C78&amp;D78</f>
        <v>4210219:45 – B pálya</v>
      </c>
      <c r="BC78" s="284">
        <f>COUNTIF($BB$43:$BB$383,BB78)</f>
        <v>1</v>
      </c>
      <c r="BD78" s="512" t="str">
        <f>U78</f>
        <v>VakanaBHD</v>
      </c>
      <c r="BE78" s="245"/>
    </row>
    <row r="79" spans="1:57" ht="14.25" customHeight="1" x14ac:dyDescent="0.2">
      <c r="A79" s="842"/>
      <c r="C79" s="255">
        <v>42088</v>
      </c>
      <c r="D79" s="255" t="s">
        <v>502</v>
      </c>
      <c r="E79" s="265" t="s">
        <v>491</v>
      </c>
      <c r="F79" s="272">
        <v>10</v>
      </c>
      <c r="G79" s="200" t="s">
        <v>247</v>
      </c>
      <c r="H79" s="273">
        <v>0</v>
      </c>
      <c r="I79" s="266" t="s">
        <v>492</v>
      </c>
      <c r="J79" s="223"/>
      <c r="K79" s="787" t="s">
        <v>628</v>
      </c>
      <c r="P79" s="209"/>
      <c r="Q79" s="209"/>
      <c r="R79" s="209"/>
      <c r="S79" s="209"/>
      <c r="U79" s="210" t="str">
        <f t="shared" si="33"/>
        <v>K&amp;HRoyal Guard's</v>
      </c>
      <c r="V79" s="211" t="b">
        <f t="shared" si="34"/>
        <v>1</v>
      </c>
      <c r="W79" s="210">
        <f t="shared" si="46"/>
        <v>3</v>
      </c>
      <c r="X79" s="210" t="str">
        <f t="shared" si="35"/>
        <v>K&amp;H</v>
      </c>
      <c r="Y79" s="210" t="str">
        <f t="shared" si="36"/>
        <v>Royal Guard's</v>
      </c>
      <c r="Z79" s="212">
        <f t="shared" si="37"/>
        <v>10</v>
      </c>
      <c r="AA79" s="210">
        <f t="shared" si="38"/>
        <v>0</v>
      </c>
      <c r="AB79" s="213"/>
      <c r="AC79" s="214" t="str">
        <f t="shared" si="39"/>
        <v>K&amp;H</v>
      </c>
      <c r="AD79" s="214" t="str">
        <f t="shared" si="40"/>
        <v/>
      </c>
      <c r="AE79" s="215" t="str">
        <f t="shared" si="41"/>
        <v/>
      </c>
      <c r="AF79" s="214" t="str">
        <f t="shared" si="42"/>
        <v/>
      </c>
      <c r="AG79" s="214" t="str">
        <f t="shared" si="43"/>
        <v/>
      </c>
      <c r="AH79" s="215" t="str">
        <f t="shared" si="44"/>
        <v>Royal Guard's</v>
      </c>
      <c r="AI79" s="216">
        <f t="shared" si="21"/>
        <v>42088</v>
      </c>
      <c r="AL79" s="217" t="str">
        <f>IF(OR(X79=Kedvenc!$C$43,Y79=Kedvenc!$C$43),W79,"")</f>
        <v/>
      </c>
      <c r="AM79" s="218" t="str">
        <f t="shared" si="45"/>
        <v/>
      </c>
      <c r="AP79" s="245"/>
      <c r="AQ79" s="240">
        <v>21</v>
      </c>
      <c r="AR79" s="241">
        <v>42284</v>
      </c>
      <c r="AS79" s="242">
        <f t="shared" ca="1" si="23"/>
        <v>1000</v>
      </c>
      <c r="AT79" s="240">
        <f ca="1">IF(COUNT(OFFSET($AB$42,MATCH(AQ79,index.a,0),-2,12+IF(ASZTAB!$X$71,16,0),2))&gt;=4,AQ79,-1000)</f>
        <v>21</v>
      </c>
      <c r="AU79" s="245"/>
      <c r="AV79" s="245"/>
      <c r="AW79" s="245"/>
      <c r="AX79" s="245"/>
      <c r="AY79" s="245"/>
      <c r="BA79" s="245"/>
      <c r="BB79" s="285" t="str">
        <f>C79&amp;D79</f>
        <v>4208820:30 – B pálya</v>
      </c>
      <c r="BC79" s="284">
        <f>COUNTIF($BB$43:$BB$383,BB79)</f>
        <v>1</v>
      </c>
      <c r="BD79" s="512" t="str">
        <f>U79</f>
        <v>K&amp;HRoyal Guard's</v>
      </c>
      <c r="BE79" s="245"/>
    </row>
    <row r="80" spans="1:57" ht="14.25" customHeight="1" x14ac:dyDescent="0.2">
      <c r="A80" s="842"/>
      <c r="C80" s="278"/>
      <c r="D80" s="278"/>
      <c r="E80" s="275" t="s">
        <v>489</v>
      </c>
      <c r="F80" s="275"/>
      <c r="G80" s="276"/>
      <c r="H80" s="277"/>
      <c r="I80" s="277" t="s">
        <v>495</v>
      </c>
      <c r="J80" s="223"/>
      <c r="K80" s="268"/>
      <c r="P80" s="209"/>
      <c r="Q80" s="209"/>
      <c r="R80" s="209"/>
      <c r="S80" s="209"/>
      <c r="U80" s="210" t="str">
        <f t="shared" si="33"/>
        <v>Élelmesekszabadnapos</v>
      </c>
      <c r="V80" s="211" t="b">
        <f t="shared" si="34"/>
        <v>0</v>
      </c>
      <c r="W80" s="210">
        <f t="shared" si="46"/>
        <v>3</v>
      </c>
      <c r="X80" s="210" t="str">
        <f t="shared" si="35"/>
        <v>Élelmesek</v>
      </c>
      <c r="Y80" s="210" t="str">
        <f t="shared" si="36"/>
        <v>szabadnapos</v>
      </c>
      <c r="Z80" s="212" t="str">
        <f t="shared" si="37"/>
        <v/>
      </c>
      <c r="AA80" s="210" t="str">
        <f t="shared" si="38"/>
        <v/>
      </c>
      <c r="AB80" s="213"/>
      <c r="AC80" s="214" t="str">
        <f t="shared" si="39"/>
        <v/>
      </c>
      <c r="AD80" s="214" t="str">
        <f t="shared" si="40"/>
        <v/>
      </c>
      <c r="AE80" s="215" t="str">
        <f t="shared" si="41"/>
        <v/>
      </c>
      <c r="AF80" s="214" t="str">
        <f t="shared" si="42"/>
        <v/>
      </c>
      <c r="AG80" s="214" t="str">
        <f t="shared" si="43"/>
        <v/>
      </c>
      <c r="AH80" s="215" t="str">
        <f t="shared" si="44"/>
        <v/>
      </c>
      <c r="AI80" s="750">
        <f>AI75</f>
        <v>42102</v>
      </c>
      <c r="AL80" s="217" t="str">
        <f>IF(OR(X80=Kedvenc!$C$43,Y80=Kedvenc!$C$43),W80,"")</f>
        <v/>
      </c>
      <c r="AM80" s="218" t="str">
        <f t="shared" si="45"/>
        <v/>
      </c>
      <c r="AP80" s="245"/>
      <c r="AQ80" s="240">
        <v>22</v>
      </c>
      <c r="AR80" s="241">
        <v>42291</v>
      </c>
      <c r="AS80" s="242">
        <f t="shared" ca="1" si="23"/>
        <v>1000</v>
      </c>
      <c r="AT80" s="240">
        <f ca="1">IF(COUNT(OFFSET($AB$42,MATCH(AQ80,index.a,0),-2,12+IF(ASZTAB!$X$71,16,0),2))&gt;=4,AQ80,-1000)</f>
        <v>22</v>
      </c>
      <c r="AU80" s="245"/>
      <c r="AV80" s="245"/>
      <c r="AW80" s="245"/>
      <c r="AX80" s="245"/>
      <c r="AY80" s="245"/>
      <c r="BA80" s="245"/>
      <c r="BE80" s="245"/>
    </row>
    <row r="81" spans="1:57" ht="14.25" hidden="1" customHeight="1" x14ac:dyDescent="0.2">
      <c r="A81" s="842"/>
      <c r="C81" s="278"/>
      <c r="D81" s="278"/>
      <c r="E81" s="265"/>
      <c r="F81" s="265"/>
      <c r="H81" s="266"/>
      <c r="I81" s="266"/>
      <c r="J81" s="223"/>
      <c r="K81" s="268"/>
      <c r="P81" s="209"/>
      <c r="Q81" s="209"/>
      <c r="R81" s="209"/>
      <c r="S81" s="209"/>
      <c r="U81" s="210" t="str">
        <f t="shared" si="33"/>
        <v>00</v>
      </c>
      <c r="V81" s="211" t="b">
        <f t="shared" si="34"/>
        <v>0</v>
      </c>
      <c r="W81" s="210">
        <f t="shared" si="46"/>
        <v>3</v>
      </c>
      <c r="X81" s="210">
        <f t="shared" si="35"/>
        <v>0</v>
      </c>
      <c r="Y81" s="210">
        <f t="shared" si="36"/>
        <v>0</v>
      </c>
      <c r="Z81" s="212" t="str">
        <f t="shared" si="37"/>
        <v/>
      </c>
      <c r="AA81" s="210" t="str">
        <f t="shared" si="38"/>
        <v/>
      </c>
      <c r="AB81" s="213"/>
      <c r="AC81" s="214" t="str">
        <f t="shared" si="39"/>
        <v/>
      </c>
      <c r="AD81" s="214" t="str">
        <f t="shared" si="40"/>
        <v/>
      </c>
      <c r="AE81" s="215" t="str">
        <f t="shared" si="41"/>
        <v/>
      </c>
      <c r="AF81" s="214" t="str">
        <f t="shared" si="42"/>
        <v/>
      </c>
      <c r="AG81" s="214" t="str">
        <f t="shared" si="43"/>
        <v/>
      </c>
      <c r="AH81" s="215" t="str">
        <f t="shared" si="44"/>
        <v/>
      </c>
      <c r="AI81" s="216">
        <f t="shared" si="21"/>
        <v>0</v>
      </c>
      <c r="AL81" s="217" t="str">
        <f>IF(OR(X81=Kedvenc!$C$43,Y81=Kedvenc!$C$43),W81,"")</f>
        <v/>
      </c>
      <c r="AM81" s="218" t="str">
        <f t="shared" si="45"/>
        <v/>
      </c>
      <c r="AP81" s="245"/>
      <c r="AQ81" s="240"/>
      <c r="AR81" s="241"/>
      <c r="AS81" s="242"/>
      <c r="AT81" s="240"/>
      <c r="AU81" s="245"/>
      <c r="AV81" s="245"/>
      <c r="AW81" s="245"/>
      <c r="AX81" s="245"/>
      <c r="AY81" s="245"/>
      <c r="BA81" s="245"/>
      <c r="BE81" s="245"/>
    </row>
    <row r="82" spans="1:57" ht="14.25" hidden="1" customHeight="1" x14ac:dyDescent="0.2">
      <c r="A82" s="842"/>
      <c r="C82" s="278"/>
      <c r="D82" s="278"/>
      <c r="E82" s="265"/>
      <c r="F82" s="265"/>
      <c r="H82" s="266"/>
      <c r="I82" s="266"/>
      <c r="J82" s="223"/>
      <c r="K82" s="268"/>
      <c r="P82" s="209"/>
      <c r="Q82" s="209"/>
      <c r="R82" s="209"/>
      <c r="S82" s="209"/>
      <c r="U82" s="210" t="str">
        <f t="shared" si="33"/>
        <v>00</v>
      </c>
      <c r="V82" s="211" t="b">
        <f t="shared" si="34"/>
        <v>0</v>
      </c>
      <c r="W82" s="210">
        <f t="shared" si="46"/>
        <v>3</v>
      </c>
      <c r="X82" s="210">
        <f t="shared" si="35"/>
        <v>0</v>
      </c>
      <c r="Y82" s="210">
        <f t="shared" si="36"/>
        <v>0</v>
      </c>
      <c r="Z82" s="212" t="str">
        <f t="shared" si="37"/>
        <v/>
      </c>
      <c r="AA82" s="210" t="str">
        <f t="shared" si="38"/>
        <v/>
      </c>
      <c r="AB82" s="213"/>
      <c r="AC82" s="214" t="str">
        <f t="shared" si="39"/>
        <v/>
      </c>
      <c r="AD82" s="214" t="str">
        <f t="shared" si="40"/>
        <v/>
      </c>
      <c r="AE82" s="215" t="str">
        <f t="shared" si="41"/>
        <v/>
      </c>
      <c r="AF82" s="214" t="str">
        <f t="shared" si="42"/>
        <v/>
      </c>
      <c r="AG82" s="214" t="str">
        <f t="shared" si="43"/>
        <v/>
      </c>
      <c r="AH82" s="215" t="str">
        <f t="shared" si="44"/>
        <v/>
      </c>
      <c r="AI82" s="216">
        <f t="shared" si="21"/>
        <v>0</v>
      </c>
      <c r="AL82" s="217" t="str">
        <f>IF(OR(X82=Kedvenc!$C$43,Y82=Kedvenc!$C$43),W82,"")</f>
        <v/>
      </c>
      <c r="AM82" s="218" t="str">
        <f t="shared" si="45"/>
        <v/>
      </c>
      <c r="AP82" s="245"/>
      <c r="AQ82" s="240"/>
      <c r="AR82" s="241"/>
      <c r="AS82" s="242"/>
      <c r="AT82" s="240"/>
      <c r="AU82" s="245"/>
      <c r="AV82" s="245"/>
      <c r="AW82" s="245"/>
      <c r="AX82" s="245"/>
      <c r="AY82" s="245"/>
      <c r="BA82" s="245"/>
      <c r="BE82" s="245"/>
    </row>
    <row r="83" spans="1:57" ht="14.25" hidden="1" customHeight="1" x14ac:dyDescent="0.2">
      <c r="A83" s="842"/>
      <c r="C83" s="278"/>
      <c r="D83" s="278"/>
      <c r="E83" s="265"/>
      <c r="F83" s="265"/>
      <c r="H83" s="266"/>
      <c r="I83" s="266"/>
      <c r="J83" s="223"/>
      <c r="K83" s="268"/>
      <c r="P83" s="209"/>
      <c r="Q83" s="209"/>
      <c r="R83" s="209"/>
      <c r="S83" s="209"/>
      <c r="U83" s="210" t="str">
        <f t="shared" si="33"/>
        <v>00</v>
      </c>
      <c r="V83" s="211" t="b">
        <f t="shared" si="34"/>
        <v>0</v>
      </c>
      <c r="W83" s="210">
        <f t="shared" si="46"/>
        <v>3</v>
      </c>
      <c r="X83" s="210">
        <f t="shared" si="35"/>
        <v>0</v>
      </c>
      <c r="Y83" s="210">
        <f t="shared" si="36"/>
        <v>0</v>
      </c>
      <c r="Z83" s="212" t="str">
        <f t="shared" si="37"/>
        <v/>
      </c>
      <c r="AA83" s="210" t="str">
        <f t="shared" si="38"/>
        <v/>
      </c>
      <c r="AB83" s="213"/>
      <c r="AC83" s="214" t="str">
        <f t="shared" si="39"/>
        <v/>
      </c>
      <c r="AD83" s="214" t="str">
        <f t="shared" si="40"/>
        <v/>
      </c>
      <c r="AE83" s="215" t="str">
        <f t="shared" si="41"/>
        <v/>
      </c>
      <c r="AF83" s="214" t="str">
        <f t="shared" si="42"/>
        <v/>
      </c>
      <c r="AG83" s="214" t="str">
        <f t="shared" si="43"/>
        <v/>
      </c>
      <c r="AH83" s="215" t="str">
        <f t="shared" si="44"/>
        <v/>
      </c>
      <c r="AI83" s="216">
        <f t="shared" si="21"/>
        <v>0</v>
      </c>
      <c r="AL83" s="217" t="str">
        <f>IF(OR(X83=Kedvenc!$C$43,Y83=Kedvenc!$C$43),W83,"")</f>
        <v/>
      </c>
      <c r="AM83" s="218" t="str">
        <f t="shared" si="45"/>
        <v/>
      </c>
      <c r="AP83" s="245"/>
      <c r="AQ83" s="240"/>
      <c r="AR83" s="241"/>
      <c r="AS83" s="242"/>
      <c r="AT83" s="240"/>
      <c r="AU83" s="245"/>
      <c r="AV83" s="245"/>
      <c r="AW83" s="245"/>
      <c r="AX83" s="245"/>
      <c r="AY83" s="245"/>
      <c r="BA83" s="245"/>
      <c r="BE83" s="245"/>
    </row>
    <row r="84" spans="1:57" ht="14.25" hidden="1" customHeight="1" x14ac:dyDescent="0.2">
      <c r="A84" s="842"/>
      <c r="C84" s="278"/>
      <c r="D84" s="278"/>
      <c r="E84" s="265"/>
      <c r="F84" s="265"/>
      <c r="H84" s="266"/>
      <c r="I84" s="266"/>
      <c r="J84" s="223"/>
      <c r="K84" s="268"/>
      <c r="U84" s="210" t="str">
        <f t="shared" si="33"/>
        <v>00</v>
      </c>
      <c r="V84" s="211" t="b">
        <f t="shared" si="34"/>
        <v>0</v>
      </c>
      <c r="W84" s="210">
        <f t="shared" si="46"/>
        <v>3</v>
      </c>
      <c r="X84" s="210">
        <f t="shared" si="35"/>
        <v>0</v>
      </c>
      <c r="Y84" s="210">
        <f t="shared" si="36"/>
        <v>0</v>
      </c>
      <c r="Z84" s="212" t="str">
        <f t="shared" si="37"/>
        <v/>
      </c>
      <c r="AA84" s="210" t="str">
        <f t="shared" si="38"/>
        <v/>
      </c>
      <c r="AB84" s="213"/>
      <c r="AC84" s="214" t="str">
        <f t="shared" si="39"/>
        <v/>
      </c>
      <c r="AD84" s="214" t="str">
        <f t="shared" si="40"/>
        <v/>
      </c>
      <c r="AE84" s="215" t="str">
        <f t="shared" si="41"/>
        <v/>
      </c>
      <c r="AF84" s="214" t="str">
        <f t="shared" si="42"/>
        <v/>
      </c>
      <c r="AG84" s="214" t="str">
        <f t="shared" si="43"/>
        <v/>
      </c>
      <c r="AH84" s="215" t="str">
        <f t="shared" si="44"/>
        <v/>
      </c>
      <c r="AI84" s="216">
        <f t="shared" si="21"/>
        <v>0</v>
      </c>
      <c r="AL84" s="217" t="str">
        <f>IF(OR(X84=Kedvenc!$C$43,Y84=Kedvenc!$C$43),W84,"")</f>
        <v/>
      </c>
      <c r="AM84" s="218" t="str">
        <f t="shared" si="45"/>
        <v/>
      </c>
      <c r="AP84" s="245"/>
      <c r="AQ84" s="240"/>
      <c r="AR84" s="241"/>
      <c r="AS84" s="242"/>
      <c r="AT84" s="240"/>
      <c r="AU84" s="245"/>
      <c r="AV84" s="245"/>
      <c r="AW84" s="245"/>
      <c r="AX84" s="245"/>
      <c r="AY84" s="245"/>
      <c r="BA84" s="245"/>
      <c r="BE84" s="245"/>
    </row>
    <row r="85" spans="1:57" ht="14.25" hidden="1" customHeight="1" x14ac:dyDescent="0.2">
      <c r="A85" s="842"/>
      <c r="C85" s="278"/>
      <c r="D85" s="278"/>
      <c r="E85" s="265"/>
      <c r="F85" s="265"/>
      <c r="H85" s="266"/>
      <c r="I85" s="266"/>
      <c r="J85" s="223"/>
      <c r="K85" s="268"/>
      <c r="U85" s="210" t="str">
        <f t="shared" si="33"/>
        <v>00</v>
      </c>
      <c r="V85" s="211" t="b">
        <f t="shared" si="34"/>
        <v>0</v>
      </c>
      <c r="W85" s="210">
        <f t="shared" si="46"/>
        <v>3</v>
      </c>
      <c r="X85" s="210">
        <f t="shared" si="35"/>
        <v>0</v>
      </c>
      <c r="Y85" s="210">
        <f t="shared" si="36"/>
        <v>0</v>
      </c>
      <c r="Z85" s="212" t="str">
        <f t="shared" si="37"/>
        <v/>
      </c>
      <c r="AA85" s="210" t="str">
        <f t="shared" si="38"/>
        <v/>
      </c>
      <c r="AB85" s="213"/>
      <c r="AC85" s="214" t="str">
        <f t="shared" si="39"/>
        <v/>
      </c>
      <c r="AD85" s="214" t="str">
        <f t="shared" si="40"/>
        <v/>
      </c>
      <c r="AE85" s="215" t="str">
        <f t="shared" si="41"/>
        <v/>
      </c>
      <c r="AF85" s="214" t="str">
        <f t="shared" si="42"/>
        <v/>
      </c>
      <c r="AG85" s="214" t="str">
        <f t="shared" si="43"/>
        <v/>
      </c>
      <c r="AH85" s="215" t="str">
        <f t="shared" si="44"/>
        <v/>
      </c>
      <c r="AI85" s="216">
        <f t="shared" si="21"/>
        <v>0</v>
      </c>
      <c r="AL85" s="217" t="str">
        <f>IF(OR(X85=Kedvenc!$C$43,Y85=Kedvenc!$C$43),W85,"")</f>
        <v/>
      </c>
      <c r="AM85" s="218" t="str">
        <f t="shared" si="45"/>
        <v/>
      </c>
      <c r="AQ85" s="240"/>
      <c r="AR85" s="241"/>
      <c r="AS85" s="242"/>
      <c r="AT85" s="240"/>
    </row>
    <row r="86" spans="1:57" ht="14.25" hidden="1" customHeight="1" x14ac:dyDescent="0.2">
      <c r="A86" s="842"/>
      <c r="C86" s="278"/>
      <c r="D86" s="278"/>
      <c r="E86" s="265"/>
      <c r="F86" s="265"/>
      <c r="H86" s="266"/>
      <c r="I86" s="266"/>
      <c r="J86" s="169"/>
      <c r="K86" s="268"/>
      <c r="U86" s="210" t="str">
        <f t="shared" si="33"/>
        <v>00</v>
      </c>
      <c r="V86" s="211" t="b">
        <f t="shared" si="34"/>
        <v>0</v>
      </c>
      <c r="W86" s="210">
        <f t="shared" si="46"/>
        <v>3</v>
      </c>
      <c r="X86" s="210">
        <f t="shared" si="35"/>
        <v>0</v>
      </c>
      <c r="Y86" s="210">
        <f t="shared" si="36"/>
        <v>0</v>
      </c>
      <c r="Z86" s="212" t="str">
        <f t="shared" si="37"/>
        <v/>
      </c>
      <c r="AA86" s="210" t="str">
        <f t="shared" si="38"/>
        <v/>
      </c>
      <c r="AB86" s="213"/>
      <c r="AC86" s="214" t="str">
        <f t="shared" si="39"/>
        <v/>
      </c>
      <c r="AD86" s="214" t="str">
        <f t="shared" si="40"/>
        <v/>
      </c>
      <c r="AE86" s="215" t="str">
        <f t="shared" si="41"/>
        <v/>
      </c>
      <c r="AF86" s="214" t="str">
        <f t="shared" si="42"/>
        <v/>
      </c>
      <c r="AG86" s="214" t="str">
        <f t="shared" si="43"/>
        <v/>
      </c>
      <c r="AH86" s="215" t="str">
        <f t="shared" si="44"/>
        <v/>
      </c>
      <c r="AI86" s="216">
        <f t="shared" si="21"/>
        <v>0</v>
      </c>
      <c r="AL86" s="217" t="str">
        <f>IF(OR(X86=Kedvenc!$C$43,Y86=Kedvenc!$C$43),W86,"")</f>
        <v/>
      </c>
      <c r="AM86" s="218" t="str">
        <f t="shared" si="45"/>
        <v/>
      </c>
      <c r="AQ86" s="240"/>
      <c r="AR86" s="241"/>
      <c r="AS86" s="242"/>
      <c r="AT86" s="240"/>
    </row>
    <row r="87" spans="1:57" ht="14.25" customHeight="1" x14ac:dyDescent="0.2">
      <c r="A87" s="842"/>
      <c r="E87" s="224"/>
      <c r="F87" s="225"/>
      <c r="G87" s="226"/>
      <c r="H87" s="209"/>
      <c r="I87" s="227"/>
      <c r="J87" s="169"/>
      <c r="K87" s="228"/>
      <c r="L87" s="225"/>
      <c r="M87" s="226"/>
      <c r="N87" s="209"/>
      <c r="O87" s="174"/>
      <c r="P87" s="209"/>
      <c r="Q87" s="209"/>
      <c r="R87" s="209"/>
      <c r="S87" s="209"/>
      <c r="W87" s="231"/>
      <c r="AC87" s="233"/>
      <c r="AD87" s="233"/>
      <c r="AE87" s="234"/>
      <c r="AF87" s="233"/>
      <c r="AG87" s="233"/>
      <c r="AH87" s="234"/>
      <c r="AI87" s="234"/>
      <c r="AQ87" s="240"/>
      <c r="AR87" s="241"/>
      <c r="AS87" s="242"/>
      <c r="AT87" s="240"/>
    </row>
    <row r="88" spans="1:57" ht="14.25" customHeight="1" x14ac:dyDescent="0.2">
      <c r="A88" s="842"/>
      <c r="E88" s="224"/>
      <c r="F88" s="225"/>
      <c r="G88" s="226"/>
      <c r="H88" s="209"/>
      <c r="I88" s="227"/>
      <c r="J88" s="169"/>
      <c r="K88" s="228"/>
      <c r="L88" s="225"/>
      <c r="M88" s="226"/>
      <c r="N88" s="209"/>
      <c r="O88" s="174"/>
      <c r="P88" s="209"/>
      <c r="Q88" s="209"/>
      <c r="R88" s="209"/>
      <c r="S88" s="209"/>
      <c r="W88" s="231"/>
      <c r="AC88" s="233"/>
      <c r="AD88" s="233"/>
      <c r="AE88" s="234"/>
      <c r="AF88" s="233"/>
      <c r="AG88" s="233"/>
      <c r="AH88" s="234"/>
      <c r="AI88" s="197"/>
      <c r="AP88" s="245"/>
      <c r="AQ88" s="240"/>
      <c r="AR88" s="241"/>
      <c r="AS88" s="242"/>
      <c r="AT88" s="240"/>
      <c r="AU88" s="245"/>
      <c r="AV88" s="245"/>
      <c r="AW88" s="245"/>
      <c r="AX88" s="245"/>
      <c r="AY88" s="245"/>
      <c r="BA88" s="245"/>
      <c r="BD88" s="245"/>
      <c r="BE88" s="245"/>
    </row>
    <row r="89" spans="1:57" ht="14.25" customHeight="1" x14ac:dyDescent="0.2">
      <c r="A89" s="842"/>
      <c r="B89" s="187"/>
      <c r="C89" s="269" t="str">
        <f>CONCATENATE(" ",AB91,"."," forduló  –")</f>
        <v xml:space="preserve"> 4. forduló  –</v>
      </c>
      <c r="D89" s="843">
        <f>VLOOKUP(AB91,ASZ!$AQ$59:$AS$104,2,FALSE)</f>
        <v>42109</v>
      </c>
      <c r="E89" s="843"/>
      <c r="F89" s="274"/>
      <c r="G89" s="274"/>
      <c r="H89" s="274"/>
      <c r="I89" s="270" t="str">
        <f>CONCATENATE(IF($AW$61,"pont: ","gól: "),SUM(F91:H102)," / átlag: ",TEXT(IF(COUNT(F91:H102)=0,"-",SUM(F91:H102)/COUNT(F91:H102)*2),"0,00"))</f>
        <v>gól: 25 / átlag: 5,00</v>
      </c>
      <c r="J89" s="190"/>
      <c r="K89" s="271" t="s">
        <v>285</v>
      </c>
      <c r="L89" s="192"/>
      <c r="U89" s="229"/>
      <c r="V89" s="230"/>
      <c r="W89" s="231"/>
      <c r="X89" s="231"/>
      <c r="Y89" s="231"/>
      <c r="Z89" s="232"/>
      <c r="AA89" s="231"/>
      <c r="AC89" s="197"/>
      <c r="AD89" s="197"/>
      <c r="AE89" s="197"/>
      <c r="AF89" s="197"/>
      <c r="AG89" s="197"/>
      <c r="AH89" s="197"/>
      <c r="AI89" s="197"/>
      <c r="AQ89" s="240"/>
      <c r="AR89" s="241"/>
      <c r="AS89" s="242"/>
      <c r="AT89" s="240"/>
    </row>
    <row r="90" spans="1:57" ht="9" customHeight="1" x14ac:dyDescent="0.2">
      <c r="A90" s="842"/>
      <c r="J90" s="169"/>
      <c r="K90" s="228"/>
      <c r="L90" s="225"/>
      <c r="M90" s="226"/>
      <c r="N90" s="209"/>
      <c r="O90" s="174"/>
      <c r="P90" s="209"/>
      <c r="Q90" s="209"/>
      <c r="R90" s="209"/>
      <c r="S90" s="209"/>
      <c r="AP90" s="245"/>
      <c r="AQ90" s="240"/>
      <c r="AR90" s="241"/>
      <c r="AS90" s="242"/>
      <c r="AT90" s="240"/>
      <c r="AU90" s="245"/>
      <c r="AV90" s="245"/>
      <c r="AW90" s="245"/>
      <c r="AX90" s="245"/>
      <c r="AY90" s="245"/>
      <c r="BA90" s="245"/>
      <c r="BE90" s="245"/>
    </row>
    <row r="91" spans="1:57" ht="14.25" customHeight="1" x14ac:dyDescent="0.2">
      <c r="A91" s="842"/>
      <c r="C91" s="255">
        <v>42109</v>
      </c>
      <c r="D91" s="255" t="s">
        <v>497</v>
      </c>
      <c r="E91" s="265" t="s">
        <v>494</v>
      </c>
      <c r="F91" s="272">
        <v>6</v>
      </c>
      <c r="G91" s="200" t="s">
        <v>247</v>
      </c>
      <c r="H91" s="273">
        <v>1</v>
      </c>
      <c r="I91" s="266" t="s">
        <v>487</v>
      </c>
      <c r="J91" s="207"/>
      <c r="K91" s="267"/>
      <c r="L91" s="225"/>
      <c r="M91" s="226"/>
      <c r="N91" s="209"/>
      <c r="O91" s="174"/>
      <c r="P91" s="209"/>
      <c r="Q91" s="209"/>
      <c r="R91" s="209"/>
      <c r="S91" s="209"/>
      <c r="U91" s="210" t="str">
        <f t="shared" ref="U91:U102" si="47">X91&amp;Y91</f>
        <v>ZrínyigyöngyeBőrdíszmű</v>
      </c>
      <c r="V91" s="211" t="b">
        <f t="shared" ref="V91:V102" si="48">AND(F91&lt;&gt;"",H91&lt;&gt;"")</f>
        <v>1</v>
      </c>
      <c r="W91" s="210">
        <f>AB91</f>
        <v>4</v>
      </c>
      <c r="X91" s="210" t="str">
        <f t="shared" ref="X91:X102" si="49">E91</f>
        <v>Zrínyigyöngye</v>
      </c>
      <c r="Y91" s="210" t="str">
        <f t="shared" ref="Y91:Y102" si="50">I91</f>
        <v>Bőrdíszmű</v>
      </c>
      <c r="Z91" s="212">
        <f t="shared" ref="Z91:Z102" si="51">IF(V91,F91,"")</f>
        <v>6</v>
      </c>
      <c r="AA91" s="210">
        <f t="shared" ref="AA91:AA102" si="52">IF(V91,H91,"")</f>
        <v>1</v>
      </c>
      <c r="AB91" s="213">
        <f>IF(NOT(ASZTAB!$X$71),AB75+1,AB75+COUNTIF(AB59:AB90,AB75)-1)</f>
        <v>4</v>
      </c>
      <c r="AC91" s="214" t="str">
        <f t="shared" ref="AC91:AC102" si="53">IF(Z91&gt;AA91,X91,"")</f>
        <v>Zrínyigyöngye</v>
      </c>
      <c r="AD91" s="214" t="str">
        <f t="shared" ref="AD91:AD102" si="54">IF(AA91="","",IF(Z91=AA91,X91,""))</f>
        <v/>
      </c>
      <c r="AE91" s="215" t="str">
        <f t="shared" ref="AE91:AE102" si="55">IF(AND($AW$61,Z91=0,AA91=20),X91&amp;"ooo",IF(Z91&lt;AA91,X91,""))</f>
        <v/>
      </c>
      <c r="AF91" s="214" t="str">
        <f t="shared" ref="AF91:AF102" si="56">IF(AA91&gt;Z91,Y91,"")</f>
        <v/>
      </c>
      <c r="AG91" s="214" t="str">
        <f t="shared" ref="AG91:AG102" si="57">IF(AA91="","",IF(Z91=AA91,Y91,""))</f>
        <v/>
      </c>
      <c r="AH91" s="215" t="str">
        <f t="shared" ref="AH91:AH102" si="58">IF(AND($AW$61,Z91=20,AA91=0),Y91&amp;"ooo",IF(Z91&gt;AA91,Y91,""))</f>
        <v>Bőrdíszmű</v>
      </c>
      <c r="AI91" s="216">
        <f>C91</f>
        <v>42109</v>
      </c>
      <c r="AL91" s="217" t="str">
        <f>IF(OR(X91=Kedvenc!$C$43,Y91=Kedvenc!$C$43),W91,"")</f>
        <v/>
      </c>
      <c r="AM91" s="218" t="str">
        <f t="shared" ref="AM91:AM102" si="59">IF(AL91="","",U91)</f>
        <v/>
      </c>
      <c r="AP91" s="245"/>
      <c r="AQ91" s="240"/>
      <c r="AR91" s="241"/>
      <c r="AS91" s="242"/>
      <c r="AT91" s="240"/>
      <c r="AU91" s="245"/>
      <c r="AV91" s="245"/>
      <c r="AW91" s="245"/>
      <c r="AX91" s="245"/>
      <c r="AY91" s="245"/>
      <c r="BA91" s="245"/>
      <c r="BB91" s="285" t="str">
        <f>C91&amp;D91</f>
        <v>4210919:00 – A pálya</v>
      </c>
      <c r="BC91" s="284">
        <f>COUNTIF($BB$43:$BB$383,BB91)</f>
        <v>1</v>
      </c>
      <c r="BD91" s="512" t="str">
        <f>U91</f>
        <v>ZrínyigyöngyeBőrdíszmű</v>
      </c>
      <c r="BE91" s="245"/>
    </row>
    <row r="92" spans="1:57" ht="14.25" customHeight="1" x14ac:dyDescent="0.2">
      <c r="A92" s="842"/>
      <c r="C92" s="255">
        <v>42109</v>
      </c>
      <c r="D92" s="255" t="s">
        <v>498</v>
      </c>
      <c r="E92" s="265" t="s">
        <v>489</v>
      </c>
      <c r="F92" s="272">
        <v>1</v>
      </c>
      <c r="G92" s="200" t="s">
        <v>247</v>
      </c>
      <c r="H92" s="273">
        <v>1</v>
      </c>
      <c r="I92" s="266" t="s">
        <v>490</v>
      </c>
      <c r="J92" s="207"/>
      <c r="K92" s="268"/>
      <c r="L92" s="225"/>
      <c r="M92" s="226"/>
      <c r="N92" s="209"/>
      <c r="O92" s="174"/>
      <c r="P92" s="209"/>
      <c r="Q92" s="209"/>
      <c r="R92" s="209"/>
      <c r="S92" s="209"/>
      <c r="U92" s="210" t="str">
        <f t="shared" si="47"/>
        <v>ÉlelmesekHercules-Ludovika</v>
      </c>
      <c r="V92" s="211" t="b">
        <f t="shared" si="48"/>
        <v>1</v>
      </c>
      <c r="W92" s="210">
        <f t="shared" ref="W92:W102" si="60">W91</f>
        <v>4</v>
      </c>
      <c r="X92" s="210" t="str">
        <f t="shared" si="49"/>
        <v>Élelmesek</v>
      </c>
      <c r="Y92" s="210" t="str">
        <f t="shared" si="50"/>
        <v>Hercules-Ludovika</v>
      </c>
      <c r="Z92" s="212">
        <f t="shared" si="51"/>
        <v>1</v>
      </c>
      <c r="AA92" s="210">
        <f t="shared" si="52"/>
        <v>1</v>
      </c>
      <c r="AB92" s="213"/>
      <c r="AC92" s="214" t="str">
        <f t="shared" si="53"/>
        <v/>
      </c>
      <c r="AD92" s="214" t="str">
        <f t="shared" si="54"/>
        <v>Élelmesek</v>
      </c>
      <c r="AE92" s="215" t="str">
        <f t="shared" si="55"/>
        <v/>
      </c>
      <c r="AF92" s="214" t="str">
        <f t="shared" si="56"/>
        <v/>
      </c>
      <c r="AG92" s="214" t="str">
        <f t="shared" si="57"/>
        <v>Hercules-Ludovika</v>
      </c>
      <c r="AH92" s="215" t="str">
        <f t="shared" si="58"/>
        <v/>
      </c>
      <c r="AI92" s="216">
        <f t="shared" si="21"/>
        <v>42109</v>
      </c>
      <c r="AL92" s="217" t="str">
        <f>IF(OR(X92=Kedvenc!$C$43,Y92=Kedvenc!$C$43),W92,"")</f>
        <v/>
      </c>
      <c r="AM92" s="218" t="str">
        <f t="shared" si="59"/>
        <v/>
      </c>
      <c r="AP92" s="245"/>
      <c r="AQ92" s="240"/>
      <c r="AR92" s="241"/>
      <c r="AS92" s="242"/>
      <c r="AT92" s="240"/>
      <c r="AU92" s="245"/>
      <c r="AV92" s="245"/>
      <c r="AW92" s="245"/>
      <c r="AX92" s="245"/>
      <c r="AY92" s="245"/>
      <c r="BA92" s="245"/>
      <c r="BB92" s="285" t="str">
        <f>C92&amp;D92</f>
        <v>4210919:45 – A pálya</v>
      </c>
      <c r="BC92" s="284">
        <f>COUNTIF($BB$43:$BB$383,BB92)</f>
        <v>1</v>
      </c>
      <c r="BD92" s="512" t="str">
        <f>U92</f>
        <v>ÉlelmesekHercules-Ludovika</v>
      </c>
      <c r="BE92" s="245"/>
    </row>
    <row r="93" spans="1:57" ht="14.25" customHeight="1" x14ac:dyDescent="0.2">
      <c r="A93" s="842"/>
      <c r="C93" s="255">
        <v>42109</v>
      </c>
      <c r="D93" s="255" t="s">
        <v>499</v>
      </c>
      <c r="E93" s="265" t="s">
        <v>491</v>
      </c>
      <c r="F93" s="272">
        <v>7</v>
      </c>
      <c r="G93" s="200" t="s">
        <v>247</v>
      </c>
      <c r="H93" s="273">
        <v>0</v>
      </c>
      <c r="I93" s="266" t="s">
        <v>484</v>
      </c>
      <c r="J93" s="207"/>
      <c r="K93" s="268"/>
      <c r="L93" s="225"/>
      <c r="M93" s="226"/>
      <c r="N93" s="209"/>
      <c r="O93" s="174"/>
      <c r="P93" s="209"/>
      <c r="Q93" s="209"/>
      <c r="R93" s="209"/>
      <c r="S93" s="209"/>
      <c r="U93" s="210" t="str">
        <f t="shared" si="47"/>
        <v>K&amp;HBakafogó-Honvéd-Sashegy SE</v>
      </c>
      <c r="V93" s="211" t="b">
        <f t="shared" si="48"/>
        <v>1</v>
      </c>
      <c r="W93" s="210">
        <f t="shared" si="60"/>
        <v>4</v>
      </c>
      <c r="X93" s="210" t="str">
        <f t="shared" si="49"/>
        <v>K&amp;H</v>
      </c>
      <c r="Y93" s="210" t="str">
        <f t="shared" si="50"/>
        <v>Bakafogó-Honvéd-Sashegy SE</v>
      </c>
      <c r="Z93" s="212">
        <f t="shared" si="51"/>
        <v>7</v>
      </c>
      <c r="AA93" s="210">
        <f t="shared" si="52"/>
        <v>0</v>
      </c>
      <c r="AB93" s="213"/>
      <c r="AC93" s="214" t="str">
        <f t="shared" si="53"/>
        <v>K&amp;H</v>
      </c>
      <c r="AD93" s="214" t="str">
        <f t="shared" si="54"/>
        <v/>
      </c>
      <c r="AE93" s="215" t="str">
        <f t="shared" si="55"/>
        <v/>
      </c>
      <c r="AF93" s="214" t="str">
        <f t="shared" si="56"/>
        <v/>
      </c>
      <c r="AG93" s="214" t="str">
        <f t="shared" si="57"/>
        <v/>
      </c>
      <c r="AH93" s="215" t="str">
        <f t="shared" si="58"/>
        <v>Bakafogó-Honvéd-Sashegy SE</v>
      </c>
      <c r="AI93" s="216">
        <f t="shared" si="21"/>
        <v>42109</v>
      </c>
      <c r="AL93" s="217" t="str">
        <f>IF(OR(X93=Kedvenc!$C$43,Y93=Kedvenc!$C$43),W93,"")</f>
        <v/>
      </c>
      <c r="AM93" s="218" t="str">
        <f t="shared" si="59"/>
        <v/>
      </c>
      <c r="AP93" s="245"/>
      <c r="AQ93" s="240"/>
      <c r="AR93" s="241"/>
      <c r="AS93" s="242"/>
      <c r="AT93" s="240"/>
      <c r="AU93" s="245"/>
      <c r="AV93" s="245"/>
      <c r="AW93" s="245"/>
      <c r="AX93" s="245"/>
      <c r="AY93" s="245"/>
      <c r="BA93" s="245"/>
      <c r="BB93" s="285" t="str">
        <f>C93&amp;D93</f>
        <v>4210920:30 – A pálya</v>
      </c>
      <c r="BC93" s="284">
        <f>COUNTIF($BB$43:$BB$383,BB93)</f>
        <v>1</v>
      </c>
      <c r="BD93" s="512" t="str">
        <f>U93</f>
        <v>K&amp;HBakafogó-Honvéd-Sashegy SE</v>
      </c>
      <c r="BE93" s="245"/>
    </row>
    <row r="94" spans="1:57" ht="14.25" customHeight="1" x14ac:dyDescent="0.2">
      <c r="A94" s="842"/>
      <c r="C94" s="255">
        <v>42109</v>
      </c>
      <c r="D94" s="255" t="s">
        <v>500</v>
      </c>
      <c r="E94" s="265" t="s">
        <v>493</v>
      </c>
      <c r="F94" s="272">
        <v>1</v>
      </c>
      <c r="G94" s="200" t="s">
        <v>247</v>
      </c>
      <c r="H94" s="273">
        <v>2</v>
      </c>
      <c r="I94" s="266" t="s">
        <v>488</v>
      </c>
      <c r="J94" s="207"/>
      <c r="K94" s="268"/>
      <c r="L94" s="225"/>
      <c r="M94" s="226"/>
      <c r="N94" s="209"/>
      <c r="O94" s="174"/>
      <c r="P94" s="209"/>
      <c r="Q94" s="209"/>
      <c r="R94" s="209"/>
      <c r="S94" s="209"/>
      <c r="U94" s="210" t="str">
        <f t="shared" si="47"/>
        <v>VakanaCarbonász</v>
      </c>
      <c r="V94" s="211" t="b">
        <f t="shared" si="48"/>
        <v>1</v>
      </c>
      <c r="W94" s="210">
        <f t="shared" si="60"/>
        <v>4</v>
      </c>
      <c r="X94" s="210" t="str">
        <f t="shared" si="49"/>
        <v>Vakana</v>
      </c>
      <c r="Y94" s="210" t="str">
        <f t="shared" si="50"/>
        <v>Carbonász</v>
      </c>
      <c r="Z94" s="212">
        <f t="shared" si="51"/>
        <v>1</v>
      </c>
      <c r="AA94" s="210">
        <f t="shared" si="52"/>
        <v>2</v>
      </c>
      <c r="AB94" s="213"/>
      <c r="AC94" s="214" t="str">
        <f t="shared" si="53"/>
        <v/>
      </c>
      <c r="AD94" s="214" t="str">
        <f t="shared" si="54"/>
        <v/>
      </c>
      <c r="AE94" s="215" t="str">
        <f t="shared" si="55"/>
        <v>Vakana</v>
      </c>
      <c r="AF94" s="214" t="str">
        <f t="shared" si="56"/>
        <v>Carbonász</v>
      </c>
      <c r="AG94" s="214" t="str">
        <f t="shared" si="57"/>
        <v/>
      </c>
      <c r="AH94" s="215" t="str">
        <f t="shared" si="58"/>
        <v/>
      </c>
      <c r="AI94" s="216">
        <f t="shared" si="21"/>
        <v>42109</v>
      </c>
      <c r="AL94" s="217" t="str">
        <f>IF(OR(X94=Kedvenc!$C$43,Y94=Kedvenc!$C$43),W94,"")</f>
        <v/>
      </c>
      <c r="AM94" s="218" t="str">
        <f t="shared" si="59"/>
        <v/>
      </c>
      <c r="AP94" s="245"/>
      <c r="AQ94" s="240"/>
      <c r="AR94" s="241"/>
      <c r="AS94" s="242"/>
      <c r="AT94" s="240"/>
      <c r="AU94" s="245"/>
      <c r="AV94" s="245"/>
      <c r="AW94" s="245"/>
      <c r="AX94" s="245"/>
      <c r="AY94" s="245"/>
      <c r="BA94" s="245"/>
      <c r="BB94" s="285" t="str">
        <f>C94&amp;D94</f>
        <v>4210919:00 – B pálya</v>
      </c>
      <c r="BC94" s="284">
        <f>COUNTIF($BB$43:$BB$383,BB94)</f>
        <v>1</v>
      </c>
      <c r="BD94" s="512" t="str">
        <f>U94</f>
        <v>VakanaCarbonász</v>
      </c>
      <c r="BE94" s="245"/>
    </row>
    <row r="95" spans="1:57" ht="14.25" customHeight="1" x14ac:dyDescent="0.2">
      <c r="A95" s="842"/>
      <c r="C95" s="255">
        <v>42123</v>
      </c>
      <c r="D95" s="255" t="s">
        <v>502</v>
      </c>
      <c r="E95" s="265" t="s">
        <v>486</v>
      </c>
      <c r="F95" s="272">
        <v>4</v>
      </c>
      <c r="G95" s="200" t="s">
        <v>247</v>
      </c>
      <c r="H95" s="273">
        <v>2</v>
      </c>
      <c r="I95" s="266" t="s">
        <v>492</v>
      </c>
      <c r="J95" s="223"/>
      <c r="K95" s="787" t="s">
        <v>629</v>
      </c>
      <c r="L95" s="225"/>
      <c r="M95" s="226"/>
      <c r="N95" s="209"/>
      <c r="O95" s="174"/>
      <c r="P95" s="209"/>
      <c r="Q95" s="209"/>
      <c r="R95" s="209"/>
      <c r="S95" s="209"/>
      <c r="U95" s="210" t="str">
        <f t="shared" si="47"/>
        <v>BHDRoyal Guard's</v>
      </c>
      <c r="V95" s="211" t="b">
        <f t="shared" si="48"/>
        <v>1</v>
      </c>
      <c r="W95" s="210">
        <f t="shared" si="60"/>
        <v>4</v>
      </c>
      <c r="X95" s="210" t="str">
        <f t="shared" si="49"/>
        <v>BHD</v>
      </c>
      <c r="Y95" s="210" t="str">
        <f t="shared" si="50"/>
        <v>Royal Guard's</v>
      </c>
      <c r="Z95" s="212">
        <f t="shared" si="51"/>
        <v>4</v>
      </c>
      <c r="AA95" s="210">
        <f t="shared" si="52"/>
        <v>2</v>
      </c>
      <c r="AB95" s="213"/>
      <c r="AC95" s="214" t="str">
        <f t="shared" si="53"/>
        <v>BHD</v>
      </c>
      <c r="AD95" s="214" t="str">
        <f t="shared" si="54"/>
        <v/>
      </c>
      <c r="AE95" s="215" t="str">
        <f t="shared" si="55"/>
        <v/>
      </c>
      <c r="AF95" s="214" t="str">
        <f t="shared" si="56"/>
        <v/>
      </c>
      <c r="AG95" s="214" t="str">
        <f t="shared" si="57"/>
        <v/>
      </c>
      <c r="AH95" s="215" t="str">
        <f t="shared" si="58"/>
        <v>Royal Guard's</v>
      </c>
      <c r="AI95" s="216">
        <f t="shared" si="21"/>
        <v>42123</v>
      </c>
      <c r="AL95" s="217" t="str">
        <f>IF(OR(X95=Kedvenc!$C$43,Y95=Kedvenc!$C$43),W95,"")</f>
        <v/>
      </c>
      <c r="AM95" s="218" t="str">
        <f t="shared" si="59"/>
        <v/>
      </c>
      <c r="AP95" s="245"/>
      <c r="AQ95" s="240"/>
      <c r="AR95" s="241"/>
      <c r="AS95" s="242"/>
      <c r="AT95" s="240"/>
      <c r="AU95" s="245"/>
      <c r="AV95" s="245"/>
      <c r="AW95" s="245"/>
      <c r="AX95" s="245"/>
      <c r="AY95" s="245"/>
      <c r="BA95" s="245"/>
      <c r="BB95" s="285" t="str">
        <f>C95&amp;D95</f>
        <v>4212320:30 – B pálya</v>
      </c>
      <c r="BC95" s="284">
        <f>COUNTIF($BB$43:$BB$383,BB95)</f>
        <v>1</v>
      </c>
      <c r="BD95" s="512" t="str">
        <f>U95</f>
        <v>BHDRoyal Guard's</v>
      </c>
      <c r="BE95" s="245"/>
    </row>
    <row r="96" spans="1:57" ht="14.25" customHeight="1" x14ac:dyDescent="0.2">
      <c r="A96" s="842"/>
      <c r="C96" s="278"/>
      <c r="D96" s="278"/>
      <c r="E96" s="275" t="s">
        <v>485</v>
      </c>
      <c r="F96" s="275"/>
      <c r="G96" s="276"/>
      <c r="H96" s="277"/>
      <c r="I96" s="277" t="s">
        <v>495</v>
      </c>
      <c r="J96" s="223"/>
      <c r="K96" s="268"/>
      <c r="L96" s="225"/>
      <c r="M96" s="226"/>
      <c r="N96" s="209"/>
      <c r="O96" s="174"/>
      <c r="U96" s="210" t="str">
        <f t="shared" si="47"/>
        <v>BBKszabadnapos</v>
      </c>
      <c r="V96" s="211" t="b">
        <f t="shared" si="48"/>
        <v>0</v>
      </c>
      <c r="W96" s="210">
        <f t="shared" si="60"/>
        <v>4</v>
      </c>
      <c r="X96" s="210" t="str">
        <f t="shared" si="49"/>
        <v>BBK</v>
      </c>
      <c r="Y96" s="210" t="str">
        <f t="shared" si="50"/>
        <v>szabadnapos</v>
      </c>
      <c r="Z96" s="212" t="str">
        <f t="shared" si="51"/>
        <v/>
      </c>
      <c r="AA96" s="210" t="str">
        <f t="shared" si="52"/>
        <v/>
      </c>
      <c r="AB96" s="213"/>
      <c r="AC96" s="214" t="str">
        <f t="shared" si="53"/>
        <v/>
      </c>
      <c r="AD96" s="214" t="str">
        <f t="shared" si="54"/>
        <v/>
      </c>
      <c r="AE96" s="215" t="str">
        <f t="shared" si="55"/>
        <v/>
      </c>
      <c r="AF96" s="214" t="str">
        <f t="shared" si="56"/>
        <v/>
      </c>
      <c r="AG96" s="214" t="str">
        <f t="shared" si="57"/>
        <v/>
      </c>
      <c r="AH96" s="215" t="str">
        <f t="shared" si="58"/>
        <v/>
      </c>
      <c r="AI96" s="750">
        <f>AI91</f>
        <v>42109</v>
      </c>
      <c r="AL96" s="217" t="str">
        <f>IF(OR(X96=Kedvenc!$C$43,Y96=Kedvenc!$C$43),W96,"")</f>
        <v/>
      </c>
      <c r="AM96" s="218" t="str">
        <f t="shared" si="59"/>
        <v/>
      </c>
      <c r="AP96" s="245"/>
      <c r="AQ96" s="240"/>
      <c r="AR96" s="241"/>
      <c r="AS96" s="242"/>
      <c r="AT96" s="240"/>
      <c r="AU96" s="245"/>
      <c r="AV96" s="245"/>
      <c r="AW96" s="245"/>
      <c r="AX96" s="245"/>
      <c r="AY96" s="245"/>
      <c r="BA96" s="245"/>
      <c r="BE96" s="245"/>
    </row>
    <row r="97" spans="1:57" ht="14.25" hidden="1" customHeight="1" x14ac:dyDescent="0.2">
      <c r="A97" s="842"/>
      <c r="C97" s="278"/>
      <c r="D97" s="278"/>
      <c r="E97" s="265"/>
      <c r="F97" s="265"/>
      <c r="H97" s="266"/>
      <c r="I97" s="266"/>
      <c r="J97" s="223"/>
      <c r="K97" s="268"/>
      <c r="L97" s="225"/>
      <c r="M97" s="226"/>
      <c r="N97" s="209"/>
      <c r="O97" s="174"/>
      <c r="U97" s="210" t="str">
        <f t="shared" si="47"/>
        <v>00</v>
      </c>
      <c r="V97" s="211" t="b">
        <f t="shared" si="48"/>
        <v>0</v>
      </c>
      <c r="W97" s="210">
        <f t="shared" si="60"/>
        <v>4</v>
      </c>
      <c r="X97" s="210">
        <f t="shared" si="49"/>
        <v>0</v>
      </c>
      <c r="Y97" s="210">
        <f t="shared" si="50"/>
        <v>0</v>
      </c>
      <c r="Z97" s="212" t="str">
        <f t="shared" si="51"/>
        <v/>
      </c>
      <c r="AA97" s="210" t="str">
        <f t="shared" si="52"/>
        <v/>
      </c>
      <c r="AB97" s="213"/>
      <c r="AC97" s="214" t="str">
        <f t="shared" si="53"/>
        <v/>
      </c>
      <c r="AD97" s="214" t="str">
        <f t="shared" si="54"/>
        <v/>
      </c>
      <c r="AE97" s="215" t="str">
        <f t="shared" si="55"/>
        <v/>
      </c>
      <c r="AF97" s="214" t="str">
        <f t="shared" si="56"/>
        <v/>
      </c>
      <c r="AG97" s="214" t="str">
        <f t="shared" si="57"/>
        <v/>
      </c>
      <c r="AH97" s="215" t="str">
        <f t="shared" si="58"/>
        <v/>
      </c>
      <c r="AI97" s="216">
        <f t="shared" si="21"/>
        <v>0</v>
      </c>
      <c r="AL97" s="217" t="str">
        <f>IF(OR(X97=Kedvenc!$C$43,Y97=Kedvenc!$C$43),W97,"")</f>
        <v/>
      </c>
      <c r="AM97" s="218" t="str">
        <f t="shared" si="59"/>
        <v/>
      </c>
      <c r="AQ97" s="240"/>
      <c r="AR97" s="241"/>
      <c r="AS97" s="242"/>
      <c r="AT97" s="240"/>
    </row>
    <row r="98" spans="1:57" ht="14.25" hidden="1" customHeight="1" x14ac:dyDescent="0.2">
      <c r="A98" s="842"/>
      <c r="C98" s="278"/>
      <c r="D98" s="278"/>
      <c r="E98" s="265"/>
      <c r="F98" s="265"/>
      <c r="H98" s="266"/>
      <c r="I98" s="266"/>
      <c r="J98" s="223"/>
      <c r="K98" s="268"/>
      <c r="L98" s="225"/>
      <c r="M98" s="226"/>
      <c r="N98" s="209"/>
      <c r="O98" s="174"/>
      <c r="U98" s="210" t="str">
        <f t="shared" si="47"/>
        <v>00</v>
      </c>
      <c r="V98" s="211" t="b">
        <f t="shared" si="48"/>
        <v>0</v>
      </c>
      <c r="W98" s="210">
        <f t="shared" si="60"/>
        <v>4</v>
      </c>
      <c r="X98" s="210">
        <f t="shared" si="49"/>
        <v>0</v>
      </c>
      <c r="Y98" s="210">
        <f t="shared" si="50"/>
        <v>0</v>
      </c>
      <c r="Z98" s="212" t="str">
        <f t="shared" si="51"/>
        <v/>
      </c>
      <c r="AA98" s="210" t="str">
        <f t="shared" si="52"/>
        <v/>
      </c>
      <c r="AB98" s="213"/>
      <c r="AC98" s="214" t="str">
        <f t="shared" si="53"/>
        <v/>
      </c>
      <c r="AD98" s="214" t="str">
        <f t="shared" si="54"/>
        <v/>
      </c>
      <c r="AE98" s="215" t="str">
        <f t="shared" si="55"/>
        <v/>
      </c>
      <c r="AF98" s="214" t="str">
        <f t="shared" si="56"/>
        <v/>
      </c>
      <c r="AG98" s="214" t="str">
        <f t="shared" si="57"/>
        <v/>
      </c>
      <c r="AH98" s="215" t="str">
        <f t="shared" si="58"/>
        <v/>
      </c>
      <c r="AI98" s="216">
        <f t="shared" si="21"/>
        <v>0</v>
      </c>
      <c r="AL98" s="217" t="str">
        <f>IF(OR(X98=Kedvenc!$C$43,Y98=Kedvenc!$C$43),W98,"")</f>
        <v/>
      </c>
      <c r="AM98" s="218" t="str">
        <f t="shared" si="59"/>
        <v/>
      </c>
      <c r="AQ98" s="240"/>
      <c r="AR98" s="241"/>
      <c r="AS98" s="242"/>
      <c r="AT98" s="240"/>
    </row>
    <row r="99" spans="1:57" ht="14.25" hidden="1" customHeight="1" x14ac:dyDescent="0.2">
      <c r="A99" s="842"/>
      <c r="C99" s="278"/>
      <c r="D99" s="278"/>
      <c r="E99" s="265"/>
      <c r="F99" s="265"/>
      <c r="H99" s="266"/>
      <c r="I99" s="266"/>
      <c r="J99" s="223"/>
      <c r="K99" s="268"/>
      <c r="L99" s="225"/>
      <c r="M99" s="226"/>
      <c r="N99" s="209"/>
      <c r="O99" s="174"/>
      <c r="U99" s="210" t="str">
        <f t="shared" si="47"/>
        <v>00</v>
      </c>
      <c r="V99" s="211" t="b">
        <f t="shared" si="48"/>
        <v>0</v>
      </c>
      <c r="W99" s="210">
        <f t="shared" si="60"/>
        <v>4</v>
      </c>
      <c r="X99" s="210">
        <f t="shared" si="49"/>
        <v>0</v>
      </c>
      <c r="Y99" s="210">
        <f t="shared" si="50"/>
        <v>0</v>
      </c>
      <c r="Z99" s="212" t="str">
        <f t="shared" si="51"/>
        <v/>
      </c>
      <c r="AA99" s="210" t="str">
        <f t="shared" si="52"/>
        <v/>
      </c>
      <c r="AB99" s="213"/>
      <c r="AC99" s="214" t="str">
        <f t="shared" si="53"/>
        <v/>
      </c>
      <c r="AD99" s="214" t="str">
        <f t="shared" si="54"/>
        <v/>
      </c>
      <c r="AE99" s="215" t="str">
        <f t="shared" si="55"/>
        <v/>
      </c>
      <c r="AF99" s="214" t="str">
        <f t="shared" si="56"/>
        <v/>
      </c>
      <c r="AG99" s="214" t="str">
        <f t="shared" si="57"/>
        <v/>
      </c>
      <c r="AH99" s="215" t="str">
        <f t="shared" si="58"/>
        <v/>
      </c>
      <c r="AI99" s="216">
        <f t="shared" si="21"/>
        <v>0</v>
      </c>
      <c r="AL99" s="217" t="str">
        <f>IF(OR(X99=Kedvenc!$C$43,Y99=Kedvenc!$C$43),W99,"")</f>
        <v/>
      </c>
      <c r="AM99" s="218" t="str">
        <f t="shared" si="59"/>
        <v/>
      </c>
      <c r="AQ99" s="240"/>
      <c r="AR99" s="241"/>
      <c r="AS99" s="242"/>
      <c r="AT99" s="240"/>
    </row>
    <row r="100" spans="1:57" ht="14.25" hidden="1" customHeight="1" x14ac:dyDescent="0.2">
      <c r="A100" s="842"/>
      <c r="C100" s="278"/>
      <c r="D100" s="278"/>
      <c r="E100" s="265"/>
      <c r="F100" s="265"/>
      <c r="H100" s="266"/>
      <c r="I100" s="266"/>
      <c r="J100" s="223"/>
      <c r="K100" s="268"/>
      <c r="L100" s="225"/>
      <c r="M100" s="226"/>
      <c r="N100" s="209"/>
      <c r="O100" s="174"/>
      <c r="U100" s="210" t="str">
        <f t="shared" si="47"/>
        <v>00</v>
      </c>
      <c r="V100" s="211" t="b">
        <f t="shared" si="48"/>
        <v>0</v>
      </c>
      <c r="W100" s="210">
        <f t="shared" si="60"/>
        <v>4</v>
      </c>
      <c r="X100" s="210">
        <f t="shared" si="49"/>
        <v>0</v>
      </c>
      <c r="Y100" s="210">
        <f t="shared" si="50"/>
        <v>0</v>
      </c>
      <c r="Z100" s="212" t="str">
        <f t="shared" si="51"/>
        <v/>
      </c>
      <c r="AA100" s="210" t="str">
        <f t="shared" si="52"/>
        <v/>
      </c>
      <c r="AB100" s="213"/>
      <c r="AC100" s="214" t="str">
        <f t="shared" si="53"/>
        <v/>
      </c>
      <c r="AD100" s="214" t="str">
        <f t="shared" si="54"/>
        <v/>
      </c>
      <c r="AE100" s="215" t="str">
        <f t="shared" si="55"/>
        <v/>
      </c>
      <c r="AF100" s="214" t="str">
        <f t="shared" si="56"/>
        <v/>
      </c>
      <c r="AG100" s="214" t="str">
        <f t="shared" si="57"/>
        <v/>
      </c>
      <c r="AH100" s="215" t="str">
        <f t="shared" si="58"/>
        <v/>
      </c>
      <c r="AI100" s="216">
        <f t="shared" si="21"/>
        <v>0</v>
      </c>
      <c r="AL100" s="217" t="str">
        <f>IF(OR(X100=Kedvenc!$C$43,Y100=Kedvenc!$C$43),W100,"")</f>
        <v/>
      </c>
      <c r="AM100" s="218" t="str">
        <f t="shared" si="59"/>
        <v/>
      </c>
      <c r="AP100" s="245"/>
      <c r="AQ100" s="240"/>
      <c r="AR100" s="241"/>
      <c r="AS100" s="242"/>
      <c r="AT100" s="240"/>
      <c r="AU100" s="245"/>
      <c r="AV100" s="245"/>
      <c r="AW100" s="245"/>
      <c r="AX100" s="245"/>
      <c r="AY100" s="245"/>
      <c r="BA100" s="245"/>
      <c r="BE100" s="245"/>
    </row>
    <row r="101" spans="1:57" ht="14.25" hidden="1" customHeight="1" x14ac:dyDescent="0.2">
      <c r="A101" s="842"/>
      <c r="C101" s="278"/>
      <c r="D101" s="278"/>
      <c r="E101" s="265"/>
      <c r="F101" s="265"/>
      <c r="H101" s="266"/>
      <c r="I101" s="266"/>
      <c r="J101" s="223"/>
      <c r="K101" s="268"/>
      <c r="L101" s="225"/>
      <c r="M101" s="226"/>
      <c r="N101" s="209"/>
      <c r="O101" s="174"/>
      <c r="P101" s="209"/>
      <c r="Q101" s="209"/>
      <c r="R101" s="209"/>
      <c r="S101" s="209"/>
      <c r="U101" s="210" t="str">
        <f t="shared" si="47"/>
        <v>00</v>
      </c>
      <c r="V101" s="211" t="b">
        <f t="shared" si="48"/>
        <v>0</v>
      </c>
      <c r="W101" s="210">
        <f t="shared" si="60"/>
        <v>4</v>
      </c>
      <c r="X101" s="210">
        <f t="shared" si="49"/>
        <v>0</v>
      </c>
      <c r="Y101" s="210">
        <f t="shared" si="50"/>
        <v>0</v>
      </c>
      <c r="Z101" s="212" t="str">
        <f t="shared" si="51"/>
        <v/>
      </c>
      <c r="AA101" s="210" t="str">
        <f t="shared" si="52"/>
        <v/>
      </c>
      <c r="AB101" s="213"/>
      <c r="AC101" s="214" t="str">
        <f t="shared" si="53"/>
        <v/>
      </c>
      <c r="AD101" s="214" t="str">
        <f t="shared" si="54"/>
        <v/>
      </c>
      <c r="AE101" s="215" t="str">
        <f t="shared" si="55"/>
        <v/>
      </c>
      <c r="AF101" s="214" t="str">
        <f t="shared" si="56"/>
        <v/>
      </c>
      <c r="AG101" s="214" t="str">
        <f t="shared" si="57"/>
        <v/>
      </c>
      <c r="AH101" s="215" t="str">
        <f t="shared" si="58"/>
        <v/>
      </c>
      <c r="AI101" s="216">
        <f t="shared" si="21"/>
        <v>0</v>
      </c>
      <c r="AL101" s="217" t="str">
        <f>IF(OR(X101=Kedvenc!$C$43,Y101=Kedvenc!$C$43),W101,"")</f>
        <v/>
      </c>
      <c r="AM101" s="218" t="str">
        <f t="shared" si="59"/>
        <v/>
      </c>
      <c r="AP101" s="245"/>
      <c r="AQ101" s="240"/>
      <c r="AR101" s="241"/>
      <c r="AS101" s="242"/>
      <c r="AT101" s="240"/>
      <c r="AU101" s="245"/>
      <c r="AV101" s="245"/>
      <c r="AW101" s="245"/>
      <c r="AX101" s="245"/>
      <c r="AY101" s="245"/>
      <c r="BA101" s="245"/>
      <c r="BE101" s="245"/>
    </row>
    <row r="102" spans="1:57" ht="14.25" hidden="1" customHeight="1" x14ac:dyDescent="0.2">
      <c r="A102" s="842"/>
      <c r="C102" s="278"/>
      <c r="D102" s="278"/>
      <c r="E102" s="265"/>
      <c r="F102" s="265"/>
      <c r="H102" s="266"/>
      <c r="I102" s="266"/>
      <c r="J102" s="169"/>
      <c r="K102" s="268"/>
      <c r="L102" s="228"/>
      <c r="M102" s="228"/>
      <c r="N102" s="228"/>
      <c r="O102" s="174"/>
      <c r="P102" s="209"/>
      <c r="Q102" s="209"/>
      <c r="R102" s="209"/>
      <c r="S102" s="209"/>
      <c r="U102" s="210" t="str">
        <f t="shared" si="47"/>
        <v>00</v>
      </c>
      <c r="V102" s="211" t="b">
        <f t="shared" si="48"/>
        <v>0</v>
      </c>
      <c r="W102" s="210">
        <f t="shared" si="60"/>
        <v>4</v>
      </c>
      <c r="X102" s="210">
        <f t="shared" si="49"/>
        <v>0</v>
      </c>
      <c r="Y102" s="210">
        <f t="shared" si="50"/>
        <v>0</v>
      </c>
      <c r="Z102" s="212" t="str">
        <f t="shared" si="51"/>
        <v/>
      </c>
      <c r="AA102" s="210" t="str">
        <f t="shared" si="52"/>
        <v/>
      </c>
      <c r="AB102" s="213"/>
      <c r="AC102" s="214" t="str">
        <f t="shared" si="53"/>
        <v/>
      </c>
      <c r="AD102" s="214" t="str">
        <f t="shared" si="54"/>
        <v/>
      </c>
      <c r="AE102" s="215" t="str">
        <f t="shared" si="55"/>
        <v/>
      </c>
      <c r="AF102" s="214" t="str">
        <f t="shared" si="56"/>
        <v/>
      </c>
      <c r="AG102" s="214" t="str">
        <f t="shared" si="57"/>
        <v/>
      </c>
      <c r="AH102" s="215" t="str">
        <f t="shared" si="58"/>
        <v/>
      </c>
      <c r="AI102" s="216">
        <f t="shared" si="21"/>
        <v>0</v>
      </c>
      <c r="AL102" s="217" t="str">
        <f>IF(OR(X102=Kedvenc!$C$43,Y102=Kedvenc!$C$43),W102,"")</f>
        <v/>
      </c>
      <c r="AM102" s="218" t="str">
        <f t="shared" si="59"/>
        <v/>
      </c>
      <c r="AP102" s="245"/>
      <c r="AQ102" s="240"/>
      <c r="AR102" s="241"/>
      <c r="AS102" s="242"/>
      <c r="AT102" s="240"/>
      <c r="AU102" s="245"/>
      <c r="AV102" s="245"/>
      <c r="AW102" s="245"/>
      <c r="AX102" s="245"/>
      <c r="AY102" s="245"/>
      <c r="BA102" s="245"/>
      <c r="BE102" s="245"/>
    </row>
    <row r="103" spans="1:57" ht="14.25" customHeight="1" x14ac:dyDescent="0.2">
      <c r="A103" s="842"/>
      <c r="E103" s="247"/>
      <c r="F103" s="248"/>
      <c r="G103" s="248"/>
      <c r="H103" s="248"/>
      <c r="I103" s="247"/>
      <c r="J103" s="172"/>
      <c r="K103" s="228"/>
      <c r="L103" s="228"/>
      <c r="M103" s="228"/>
      <c r="N103" s="228"/>
      <c r="O103" s="174"/>
      <c r="P103" s="209"/>
      <c r="Q103" s="209"/>
      <c r="R103" s="209"/>
      <c r="S103" s="209"/>
      <c r="W103" s="231"/>
      <c r="AC103" s="233"/>
      <c r="AD103" s="233"/>
      <c r="AE103" s="234"/>
      <c r="AF103" s="233"/>
      <c r="AG103" s="233"/>
      <c r="AH103" s="234"/>
      <c r="AI103" s="234"/>
      <c r="AP103" s="245"/>
      <c r="AQ103" s="240"/>
      <c r="AR103" s="241"/>
      <c r="AS103" s="242"/>
      <c r="AT103" s="240"/>
      <c r="AU103" s="245"/>
      <c r="AV103" s="245"/>
      <c r="AW103" s="245"/>
      <c r="AX103" s="245"/>
      <c r="AY103" s="245"/>
      <c r="BA103" s="245"/>
      <c r="BE103" s="245"/>
    </row>
    <row r="104" spans="1:57" ht="14.25" customHeight="1" x14ac:dyDescent="0.2">
      <c r="A104" s="842"/>
      <c r="E104" s="247"/>
      <c r="F104" s="248"/>
      <c r="G104" s="248"/>
      <c r="H104" s="248"/>
      <c r="I104" s="247"/>
      <c r="J104" s="172"/>
      <c r="K104" s="228"/>
      <c r="L104" s="228"/>
      <c r="M104" s="228"/>
      <c r="N104" s="228"/>
      <c r="O104" s="174"/>
      <c r="P104" s="209"/>
      <c r="Q104" s="209"/>
      <c r="R104" s="209"/>
      <c r="S104" s="209"/>
      <c r="W104" s="231"/>
      <c r="AC104" s="233"/>
      <c r="AD104" s="233"/>
      <c r="AE104" s="234"/>
      <c r="AF104" s="233"/>
      <c r="AG104" s="233"/>
      <c r="AH104" s="234"/>
      <c r="AI104" s="197"/>
      <c r="AP104" s="245"/>
      <c r="AQ104" s="240"/>
      <c r="AR104" s="241"/>
      <c r="AS104" s="242"/>
      <c r="AT104" s="240"/>
      <c r="AU104" s="245"/>
      <c r="AV104" s="245"/>
      <c r="AW104" s="245"/>
      <c r="AX104" s="245"/>
      <c r="AY104" s="245"/>
      <c r="BA104" s="245"/>
      <c r="BD104" s="245"/>
      <c r="BE104" s="245"/>
    </row>
    <row r="105" spans="1:57" ht="14.25" customHeight="1" x14ac:dyDescent="0.2">
      <c r="A105" s="842"/>
      <c r="B105" s="187"/>
      <c r="C105" s="269" t="str">
        <f>CONCATENATE(" ",AB107,"."," forduló  –")</f>
        <v xml:space="preserve"> 5. forduló  –</v>
      </c>
      <c r="D105" s="843">
        <f>VLOOKUP(AB107,ASZ!$AQ$59:$AS$104,2,FALSE)</f>
        <v>42116</v>
      </c>
      <c r="E105" s="843"/>
      <c r="F105" s="274"/>
      <c r="G105" s="274"/>
      <c r="H105" s="274"/>
      <c r="I105" s="270" t="str">
        <f>CONCATENATE(IF($AW$61,"pont: ","gól: "),SUM(F107:H118)," / átlag: ",TEXT(IF(COUNT(F107:H118)=0,"-",SUM(F107:H118)/COUNT(F107:H118)*2),"0,00"))</f>
        <v>gól: 34 / átlag: 6,80</v>
      </c>
      <c r="J105" s="190"/>
      <c r="K105" s="271" t="s">
        <v>285</v>
      </c>
      <c r="L105" s="192"/>
      <c r="U105" s="229"/>
      <c r="V105" s="230"/>
      <c r="W105" s="231"/>
      <c r="X105" s="231"/>
      <c r="Y105" s="231"/>
      <c r="Z105" s="232"/>
      <c r="AA105" s="231"/>
      <c r="AC105" s="197"/>
      <c r="AD105" s="197"/>
      <c r="AE105" s="197"/>
      <c r="AF105" s="197"/>
      <c r="AG105" s="197"/>
      <c r="AH105" s="197"/>
      <c r="AI105" s="197"/>
      <c r="AQ105" s="249" t="s">
        <v>143</v>
      </c>
      <c r="AR105" s="250"/>
      <c r="AS105" s="251">
        <f ca="1">MIN(AS59:AS104)</f>
        <v>1000</v>
      </c>
      <c r="AT105" s="252">
        <f ca="1">MAX(AT59:AT104)</f>
        <v>22</v>
      </c>
    </row>
    <row r="106" spans="1:57" ht="9" customHeight="1" x14ac:dyDescent="0.2">
      <c r="A106" s="842"/>
      <c r="P106" s="209"/>
      <c r="Q106" s="209"/>
      <c r="R106" s="209"/>
      <c r="S106" s="209"/>
      <c r="AP106" s="245"/>
      <c r="AQ106" s="245"/>
      <c r="AR106" s="245"/>
      <c r="AS106" s="245"/>
      <c r="AT106" s="245"/>
      <c r="AU106" s="245"/>
      <c r="AV106" s="245"/>
      <c r="AW106" s="245"/>
      <c r="AX106" s="245"/>
      <c r="AY106" s="245"/>
      <c r="BA106" s="245"/>
      <c r="BE106" s="245"/>
    </row>
    <row r="107" spans="1:57" ht="14.25" customHeight="1" x14ac:dyDescent="0.2">
      <c r="A107" s="842"/>
      <c r="C107" s="255">
        <v>42116</v>
      </c>
      <c r="D107" s="255" t="s">
        <v>497</v>
      </c>
      <c r="E107" s="265" t="s">
        <v>491</v>
      </c>
      <c r="F107" s="272">
        <v>2</v>
      </c>
      <c r="G107" s="200" t="s">
        <v>247</v>
      </c>
      <c r="H107" s="273">
        <v>2</v>
      </c>
      <c r="I107" s="266" t="s">
        <v>486</v>
      </c>
      <c r="J107" s="207"/>
      <c r="K107" s="267"/>
      <c r="P107" s="209"/>
      <c r="Q107" s="209"/>
      <c r="R107" s="209"/>
      <c r="S107" s="209"/>
      <c r="U107" s="210" t="str">
        <f t="shared" ref="U107:U118" si="61">X107&amp;Y107</f>
        <v>K&amp;HBHD</v>
      </c>
      <c r="V107" s="211" t="b">
        <f t="shared" ref="V107:V118" si="62">AND(F107&lt;&gt;"",H107&lt;&gt;"")</f>
        <v>1</v>
      </c>
      <c r="W107" s="210">
        <f>AB107</f>
        <v>5</v>
      </c>
      <c r="X107" s="210" t="str">
        <f t="shared" ref="X107:X118" si="63">E107</f>
        <v>K&amp;H</v>
      </c>
      <c r="Y107" s="210" t="str">
        <f t="shared" ref="Y107:Y118" si="64">I107</f>
        <v>BHD</v>
      </c>
      <c r="Z107" s="212">
        <f t="shared" ref="Z107:Z118" si="65">IF(V107,F107,"")</f>
        <v>2</v>
      </c>
      <c r="AA107" s="210">
        <f t="shared" ref="AA107:AA118" si="66">IF(V107,H107,"")</f>
        <v>2</v>
      </c>
      <c r="AB107" s="213">
        <f>IF(NOT(ASZTAB!$X$71),AB91+1,AB91+COUNTIF(AB75:AB106,AB91)-1)</f>
        <v>5</v>
      </c>
      <c r="AC107" s="214" t="str">
        <f t="shared" ref="AC107:AC118" si="67">IF(Z107&gt;AA107,X107,"")</f>
        <v/>
      </c>
      <c r="AD107" s="214" t="str">
        <f t="shared" ref="AD107:AD118" si="68">IF(AA107="","",IF(Z107=AA107,X107,""))</f>
        <v>K&amp;H</v>
      </c>
      <c r="AE107" s="215" t="str">
        <f t="shared" ref="AE107:AE118" si="69">IF(AND($AW$61,Z107=0,AA107=20),X107&amp;"ooo",IF(Z107&lt;AA107,X107,""))</f>
        <v/>
      </c>
      <c r="AF107" s="214" t="str">
        <f t="shared" ref="AF107:AF118" si="70">IF(AA107&gt;Z107,Y107,"")</f>
        <v/>
      </c>
      <c r="AG107" s="214" t="str">
        <f t="shared" ref="AG107:AG118" si="71">IF(AA107="","",IF(Z107=AA107,Y107,""))</f>
        <v>BHD</v>
      </c>
      <c r="AH107" s="215" t="str">
        <f t="shared" ref="AH107:AH118" si="72">IF(AND($AW$61,Z107=20,AA107=0),Y107&amp;"ooo",IF(Z107&gt;AA107,Y107,""))</f>
        <v/>
      </c>
      <c r="AI107" s="216">
        <f>C107</f>
        <v>42116</v>
      </c>
      <c r="AL107" s="217" t="str">
        <f>IF(OR(X107=Kedvenc!$C$43,Y107=Kedvenc!$C$43),W107,"")</f>
        <v/>
      </c>
      <c r="AM107" s="218" t="str">
        <f t="shared" ref="AM107:AM118" si="73">IF(AL107="","",U107)</f>
        <v/>
      </c>
      <c r="AP107" s="245"/>
      <c r="AQ107" s="245"/>
      <c r="AR107" s="245"/>
      <c r="AS107" s="253" t="s">
        <v>389</v>
      </c>
      <c r="AT107" s="254">
        <f ca="1">IF(ASZTAB!$R$43&lt;AT105,ASZTAB!$R$43,AT105)</f>
        <v>22</v>
      </c>
      <c r="AU107" s="245"/>
      <c r="AV107" s="245"/>
      <c r="AW107" s="245"/>
      <c r="AX107" s="245"/>
      <c r="AY107" s="245"/>
      <c r="BA107" s="245"/>
      <c r="BB107" s="285" t="str">
        <f>C107&amp;D107</f>
        <v>4211619:00 – A pálya</v>
      </c>
      <c r="BC107" s="284">
        <f>COUNTIF($BB$43:$BB$383,BB107)</f>
        <v>1</v>
      </c>
      <c r="BD107" s="512" t="str">
        <f>U107</f>
        <v>K&amp;HBHD</v>
      </c>
      <c r="BE107" s="245"/>
    </row>
    <row r="108" spans="1:57" ht="14.25" customHeight="1" x14ac:dyDescent="0.2">
      <c r="A108" s="842"/>
      <c r="C108" s="255">
        <v>42116</v>
      </c>
      <c r="D108" s="255" t="s">
        <v>498</v>
      </c>
      <c r="E108" s="265" t="s">
        <v>493</v>
      </c>
      <c r="F108" s="272">
        <v>1</v>
      </c>
      <c r="G108" s="200" t="s">
        <v>247</v>
      </c>
      <c r="H108" s="273">
        <v>7</v>
      </c>
      <c r="I108" s="266" t="s">
        <v>485</v>
      </c>
      <c r="J108" s="207"/>
      <c r="K108" s="268"/>
      <c r="P108" s="209"/>
      <c r="Q108" s="209"/>
      <c r="R108" s="209"/>
      <c r="S108" s="209"/>
      <c r="U108" s="210" t="str">
        <f t="shared" si="61"/>
        <v>VakanaBBK</v>
      </c>
      <c r="V108" s="211" t="b">
        <f t="shared" si="62"/>
        <v>1</v>
      </c>
      <c r="W108" s="210">
        <f t="shared" ref="W108:W118" si="74">W107</f>
        <v>5</v>
      </c>
      <c r="X108" s="210" t="str">
        <f t="shared" si="63"/>
        <v>Vakana</v>
      </c>
      <c r="Y108" s="210" t="str">
        <f t="shared" si="64"/>
        <v>BBK</v>
      </c>
      <c r="Z108" s="212">
        <f t="shared" si="65"/>
        <v>1</v>
      </c>
      <c r="AA108" s="210">
        <f t="shared" si="66"/>
        <v>7</v>
      </c>
      <c r="AB108" s="213"/>
      <c r="AC108" s="214" t="str">
        <f t="shared" si="67"/>
        <v/>
      </c>
      <c r="AD108" s="214" t="str">
        <f t="shared" si="68"/>
        <v/>
      </c>
      <c r="AE108" s="215" t="str">
        <f t="shared" si="69"/>
        <v>Vakana</v>
      </c>
      <c r="AF108" s="214" t="str">
        <f t="shared" si="70"/>
        <v>BBK</v>
      </c>
      <c r="AG108" s="214" t="str">
        <f t="shared" si="71"/>
        <v/>
      </c>
      <c r="AH108" s="215" t="str">
        <f t="shared" si="72"/>
        <v/>
      </c>
      <c r="AI108" s="216">
        <f t="shared" si="21"/>
        <v>42116</v>
      </c>
      <c r="AL108" s="217" t="str">
        <f>IF(OR(X108=Kedvenc!$C$43,Y108=Kedvenc!$C$43),W108,"")</f>
        <v/>
      </c>
      <c r="AM108" s="218" t="str">
        <f t="shared" si="73"/>
        <v/>
      </c>
      <c r="AP108" s="245"/>
      <c r="AQ108" s="245"/>
      <c r="AR108" s="245"/>
      <c r="AS108" s="245"/>
      <c r="AT108" s="245"/>
      <c r="AU108" s="245"/>
      <c r="AV108" s="245"/>
      <c r="AW108" s="245"/>
      <c r="AX108" s="245"/>
      <c r="AY108" s="245"/>
      <c r="BA108" s="245"/>
      <c r="BB108" s="285" t="str">
        <f>C108&amp;D108</f>
        <v>4211619:45 – A pálya</v>
      </c>
      <c r="BC108" s="284">
        <f>COUNTIF($BB$43:$BB$383,BB108)</f>
        <v>1</v>
      </c>
      <c r="BD108" s="512" t="str">
        <f>U108</f>
        <v>VakanaBBK</v>
      </c>
      <c r="BE108" s="245"/>
    </row>
    <row r="109" spans="1:57" ht="14.25" customHeight="1" x14ac:dyDescent="0.2">
      <c r="A109" s="842"/>
      <c r="C109" s="255">
        <v>42116</v>
      </c>
      <c r="D109" s="255" t="s">
        <v>499</v>
      </c>
      <c r="E109" s="265" t="s">
        <v>494</v>
      </c>
      <c r="F109" s="272">
        <v>5</v>
      </c>
      <c r="G109" s="200" t="s">
        <v>247</v>
      </c>
      <c r="H109" s="273">
        <v>4</v>
      </c>
      <c r="I109" s="266" t="s">
        <v>484</v>
      </c>
      <c r="J109" s="207"/>
      <c r="K109" s="268"/>
      <c r="P109" s="209"/>
      <c r="Q109" s="209"/>
      <c r="R109" s="209"/>
      <c r="S109" s="209"/>
      <c r="U109" s="210" t="str">
        <f t="shared" si="61"/>
        <v>ZrínyigyöngyeBakafogó-Honvéd-Sashegy SE</v>
      </c>
      <c r="V109" s="211" t="b">
        <f t="shared" si="62"/>
        <v>1</v>
      </c>
      <c r="W109" s="210">
        <f t="shared" si="74"/>
        <v>5</v>
      </c>
      <c r="X109" s="210" t="str">
        <f t="shared" si="63"/>
        <v>Zrínyigyöngye</v>
      </c>
      <c r="Y109" s="210" t="str">
        <f t="shared" si="64"/>
        <v>Bakafogó-Honvéd-Sashegy SE</v>
      </c>
      <c r="Z109" s="212">
        <f t="shared" si="65"/>
        <v>5</v>
      </c>
      <c r="AA109" s="210">
        <f t="shared" si="66"/>
        <v>4</v>
      </c>
      <c r="AB109" s="213"/>
      <c r="AC109" s="214" t="str">
        <f t="shared" si="67"/>
        <v>Zrínyigyöngye</v>
      </c>
      <c r="AD109" s="214" t="str">
        <f t="shared" si="68"/>
        <v/>
      </c>
      <c r="AE109" s="215" t="str">
        <f t="shared" si="69"/>
        <v/>
      </c>
      <c r="AF109" s="214" t="str">
        <f t="shared" si="70"/>
        <v/>
      </c>
      <c r="AG109" s="214" t="str">
        <f t="shared" si="71"/>
        <v/>
      </c>
      <c r="AH109" s="215" t="str">
        <f t="shared" si="72"/>
        <v>Bakafogó-Honvéd-Sashegy SE</v>
      </c>
      <c r="AI109" s="216">
        <f t="shared" si="21"/>
        <v>42116</v>
      </c>
      <c r="AL109" s="217" t="str">
        <f>IF(OR(X109=Kedvenc!$C$43,Y109=Kedvenc!$C$43),W109,"")</f>
        <v/>
      </c>
      <c r="AM109" s="218" t="str">
        <f t="shared" si="73"/>
        <v/>
      </c>
      <c r="BB109" s="285" t="str">
        <f>C109&amp;D109</f>
        <v>4211620:30 – A pálya</v>
      </c>
      <c r="BC109" s="284">
        <f>COUNTIF($BB$43:$BB$383,BB109)</f>
        <v>1</v>
      </c>
      <c r="BD109" s="512" t="str">
        <f>U109</f>
        <v>ZrínyigyöngyeBakafogó-Honvéd-Sashegy SE</v>
      </c>
    </row>
    <row r="110" spans="1:57" ht="14.25" customHeight="1" x14ac:dyDescent="0.2">
      <c r="A110" s="842"/>
      <c r="C110" s="255">
        <v>42116</v>
      </c>
      <c r="D110" s="255" t="s">
        <v>500</v>
      </c>
      <c r="E110" s="265" t="s">
        <v>490</v>
      </c>
      <c r="F110" s="272">
        <v>7</v>
      </c>
      <c r="G110" s="200" t="s">
        <v>247</v>
      </c>
      <c r="H110" s="273">
        <v>4</v>
      </c>
      <c r="I110" s="266" t="s">
        <v>488</v>
      </c>
      <c r="J110" s="207"/>
      <c r="K110" s="268"/>
      <c r="U110" s="210" t="str">
        <f t="shared" si="61"/>
        <v>Hercules-LudovikaCarbonász</v>
      </c>
      <c r="V110" s="211" t="b">
        <f t="shared" si="62"/>
        <v>1</v>
      </c>
      <c r="W110" s="210">
        <f t="shared" si="74"/>
        <v>5</v>
      </c>
      <c r="X110" s="210" t="str">
        <f t="shared" si="63"/>
        <v>Hercules-Ludovika</v>
      </c>
      <c r="Y110" s="210" t="str">
        <f t="shared" si="64"/>
        <v>Carbonász</v>
      </c>
      <c r="Z110" s="212">
        <f t="shared" si="65"/>
        <v>7</v>
      </c>
      <c r="AA110" s="210">
        <f t="shared" si="66"/>
        <v>4</v>
      </c>
      <c r="AB110" s="213"/>
      <c r="AC110" s="214" t="str">
        <f t="shared" si="67"/>
        <v>Hercules-Ludovika</v>
      </c>
      <c r="AD110" s="214" t="str">
        <f t="shared" si="68"/>
        <v/>
      </c>
      <c r="AE110" s="215" t="str">
        <f t="shared" si="69"/>
        <v/>
      </c>
      <c r="AF110" s="214" t="str">
        <f t="shared" si="70"/>
        <v/>
      </c>
      <c r="AG110" s="214" t="str">
        <f t="shared" si="71"/>
        <v/>
      </c>
      <c r="AH110" s="215" t="str">
        <f t="shared" si="72"/>
        <v>Carbonász</v>
      </c>
      <c r="AI110" s="216">
        <f t="shared" si="21"/>
        <v>42116</v>
      </c>
      <c r="AL110" s="217" t="str">
        <f>IF(OR(X110=Kedvenc!$C$43,Y110=Kedvenc!$C$43),W110,"")</f>
        <v/>
      </c>
      <c r="AM110" s="218" t="str">
        <f t="shared" si="73"/>
        <v/>
      </c>
      <c r="BB110" s="285" t="str">
        <f>C110&amp;D110</f>
        <v>4211619:00 – B pálya</v>
      </c>
      <c r="BC110" s="284">
        <f>COUNTIF($BB$43:$BB$383,BB110)</f>
        <v>1</v>
      </c>
      <c r="BD110" s="512" t="str">
        <f>U110</f>
        <v>Hercules-LudovikaCarbonász</v>
      </c>
    </row>
    <row r="111" spans="1:57" ht="14.25" customHeight="1" x14ac:dyDescent="0.2">
      <c r="A111" s="842"/>
      <c r="C111" s="255">
        <v>42116</v>
      </c>
      <c r="D111" s="255" t="s">
        <v>501</v>
      </c>
      <c r="E111" s="265" t="s">
        <v>489</v>
      </c>
      <c r="F111" s="272">
        <v>1</v>
      </c>
      <c r="G111" s="200" t="s">
        <v>247</v>
      </c>
      <c r="H111" s="273">
        <v>1</v>
      </c>
      <c r="I111" s="266" t="s">
        <v>492</v>
      </c>
      <c r="J111" s="223"/>
      <c r="K111" s="787"/>
      <c r="U111" s="210" t="str">
        <f t="shared" si="61"/>
        <v>ÉlelmesekRoyal Guard's</v>
      </c>
      <c r="V111" s="211" t="b">
        <f t="shared" si="62"/>
        <v>1</v>
      </c>
      <c r="W111" s="210">
        <f t="shared" si="74"/>
        <v>5</v>
      </c>
      <c r="X111" s="210" t="str">
        <f t="shared" si="63"/>
        <v>Élelmesek</v>
      </c>
      <c r="Y111" s="210" t="str">
        <f t="shared" si="64"/>
        <v>Royal Guard's</v>
      </c>
      <c r="Z111" s="212">
        <f t="shared" si="65"/>
        <v>1</v>
      </c>
      <c r="AA111" s="210">
        <f t="shared" si="66"/>
        <v>1</v>
      </c>
      <c r="AB111" s="213"/>
      <c r="AC111" s="214" t="str">
        <f t="shared" si="67"/>
        <v/>
      </c>
      <c r="AD111" s="214" t="str">
        <f t="shared" si="68"/>
        <v>Élelmesek</v>
      </c>
      <c r="AE111" s="215" t="str">
        <f t="shared" si="69"/>
        <v/>
      </c>
      <c r="AF111" s="214" t="str">
        <f t="shared" si="70"/>
        <v/>
      </c>
      <c r="AG111" s="214" t="str">
        <f t="shared" si="71"/>
        <v>Royal Guard's</v>
      </c>
      <c r="AH111" s="215" t="str">
        <f t="shared" si="72"/>
        <v/>
      </c>
      <c r="AI111" s="216">
        <f t="shared" si="21"/>
        <v>42116</v>
      </c>
      <c r="AL111" s="217" t="str">
        <f>IF(OR(X111=Kedvenc!$C$43,Y111=Kedvenc!$C$43),W111,"")</f>
        <v/>
      </c>
      <c r="AM111" s="218" t="str">
        <f t="shared" si="73"/>
        <v/>
      </c>
      <c r="BB111" s="285" t="str">
        <f>C111&amp;D111</f>
        <v>4211619:45 – B pálya</v>
      </c>
      <c r="BC111" s="284">
        <f>COUNTIF($BB$43:$BB$383,BB111)</f>
        <v>1</v>
      </c>
      <c r="BD111" s="512" t="str">
        <f>U111</f>
        <v>ÉlelmesekRoyal Guard's</v>
      </c>
    </row>
    <row r="112" spans="1:57" ht="14.25" customHeight="1" x14ac:dyDescent="0.2">
      <c r="A112" s="842"/>
      <c r="C112" s="278"/>
      <c r="D112" s="278"/>
      <c r="E112" s="275" t="s">
        <v>487</v>
      </c>
      <c r="F112" s="275"/>
      <c r="G112" s="276"/>
      <c r="H112" s="277"/>
      <c r="I112" s="277" t="s">
        <v>495</v>
      </c>
      <c r="J112" s="223"/>
      <c r="K112" s="268"/>
      <c r="U112" s="210" t="str">
        <f t="shared" si="61"/>
        <v>Bőrdíszműszabadnapos</v>
      </c>
      <c r="V112" s="211" t="b">
        <f t="shared" si="62"/>
        <v>0</v>
      </c>
      <c r="W112" s="210">
        <f t="shared" si="74"/>
        <v>5</v>
      </c>
      <c r="X112" s="210" t="str">
        <f t="shared" si="63"/>
        <v>Bőrdíszmű</v>
      </c>
      <c r="Y112" s="210" t="str">
        <f t="shared" si="64"/>
        <v>szabadnapos</v>
      </c>
      <c r="Z112" s="212" t="str">
        <f t="shared" si="65"/>
        <v/>
      </c>
      <c r="AA112" s="210" t="str">
        <f t="shared" si="66"/>
        <v/>
      </c>
      <c r="AB112" s="213"/>
      <c r="AC112" s="214" t="str">
        <f t="shared" si="67"/>
        <v/>
      </c>
      <c r="AD112" s="214" t="str">
        <f t="shared" si="68"/>
        <v/>
      </c>
      <c r="AE112" s="215" t="str">
        <f t="shared" si="69"/>
        <v/>
      </c>
      <c r="AF112" s="214" t="str">
        <f t="shared" si="70"/>
        <v/>
      </c>
      <c r="AG112" s="214" t="str">
        <f t="shared" si="71"/>
        <v/>
      </c>
      <c r="AH112" s="215" t="str">
        <f t="shared" si="72"/>
        <v/>
      </c>
      <c r="AI112" s="750">
        <f>AI107</f>
        <v>42116</v>
      </c>
      <c r="AL112" s="217" t="str">
        <f>IF(OR(X112=Kedvenc!$C$43,Y112=Kedvenc!$C$43),W112,"")</f>
        <v/>
      </c>
      <c r="AM112" s="218" t="str">
        <f t="shared" si="73"/>
        <v/>
      </c>
    </row>
    <row r="113" spans="1:57" ht="14.25" hidden="1" customHeight="1" x14ac:dyDescent="0.2">
      <c r="A113" s="842"/>
      <c r="C113" s="278"/>
      <c r="D113" s="278"/>
      <c r="E113" s="265"/>
      <c r="F113" s="265"/>
      <c r="H113" s="266"/>
      <c r="I113" s="266"/>
      <c r="J113" s="223"/>
      <c r="K113" s="268"/>
      <c r="U113" s="210" t="str">
        <f t="shared" si="61"/>
        <v>00</v>
      </c>
      <c r="V113" s="211" t="b">
        <f t="shared" si="62"/>
        <v>0</v>
      </c>
      <c r="W113" s="210">
        <f t="shared" si="74"/>
        <v>5</v>
      </c>
      <c r="X113" s="210">
        <f t="shared" si="63"/>
        <v>0</v>
      </c>
      <c r="Y113" s="210">
        <f t="shared" si="64"/>
        <v>0</v>
      </c>
      <c r="Z113" s="212" t="str">
        <f t="shared" si="65"/>
        <v/>
      </c>
      <c r="AA113" s="210" t="str">
        <f t="shared" si="66"/>
        <v/>
      </c>
      <c r="AB113" s="213"/>
      <c r="AC113" s="214" t="str">
        <f t="shared" si="67"/>
        <v/>
      </c>
      <c r="AD113" s="214" t="str">
        <f t="shared" si="68"/>
        <v/>
      </c>
      <c r="AE113" s="215" t="str">
        <f t="shared" si="69"/>
        <v/>
      </c>
      <c r="AF113" s="214" t="str">
        <f t="shared" si="70"/>
        <v/>
      </c>
      <c r="AG113" s="214" t="str">
        <f t="shared" si="71"/>
        <v/>
      </c>
      <c r="AH113" s="215" t="str">
        <f t="shared" si="72"/>
        <v/>
      </c>
      <c r="AI113" s="216">
        <f t="shared" si="21"/>
        <v>0</v>
      </c>
      <c r="AL113" s="217" t="str">
        <f>IF(OR(X113=Kedvenc!$C$43,Y113=Kedvenc!$C$43),W113,"")</f>
        <v/>
      </c>
      <c r="AM113" s="218" t="str">
        <f t="shared" si="73"/>
        <v/>
      </c>
    </row>
    <row r="114" spans="1:57" ht="14.25" hidden="1" customHeight="1" x14ac:dyDescent="0.2">
      <c r="A114" s="842"/>
      <c r="C114" s="278"/>
      <c r="D114" s="278"/>
      <c r="E114" s="265"/>
      <c r="F114" s="265"/>
      <c r="H114" s="266"/>
      <c r="I114" s="266"/>
      <c r="J114" s="223"/>
      <c r="K114" s="268"/>
      <c r="U114" s="210" t="str">
        <f t="shared" si="61"/>
        <v>00</v>
      </c>
      <c r="V114" s="211" t="b">
        <f t="shared" si="62"/>
        <v>0</v>
      </c>
      <c r="W114" s="210">
        <f t="shared" si="74"/>
        <v>5</v>
      </c>
      <c r="X114" s="210">
        <f t="shared" si="63"/>
        <v>0</v>
      </c>
      <c r="Y114" s="210">
        <f t="shared" si="64"/>
        <v>0</v>
      </c>
      <c r="Z114" s="212" t="str">
        <f t="shared" si="65"/>
        <v/>
      </c>
      <c r="AA114" s="210" t="str">
        <f t="shared" si="66"/>
        <v/>
      </c>
      <c r="AB114" s="213"/>
      <c r="AC114" s="214" t="str">
        <f t="shared" si="67"/>
        <v/>
      </c>
      <c r="AD114" s="214" t="str">
        <f t="shared" si="68"/>
        <v/>
      </c>
      <c r="AE114" s="215" t="str">
        <f t="shared" si="69"/>
        <v/>
      </c>
      <c r="AF114" s="214" t="str">
        <f t="shared" si="70"/>
        <v/>
      </c>
      <c r="AG114" s="214" t="str">
        <f t="shared" si="71"/>
        <v/>
      </c>
      <c r="AH114" s="215" t="str">
        <f t="shared" si="72"/>
        <v/>
      </c>
      <c r="AI114" s="216">
        <f t="shared" si="21"/>
        <v>0</v>
      </c>
      <c r="AL114" s="217" t="str">
        <f>IF(OR(X114=Kedvenc!$C$43,Y114=Kedvenc!$C$43),W114,"")</f>
        <v/>
      </c>
      <c r="AM114" s="218" t="str">
        <f t="shared" si="73"/>
        <v/>
      </c>
      <c r="AP114" s="245"/>
      <c r="AQ114" s="245"/>
      <c r="AR114" s="245"/>
      <c r="AS114" s="245"/>
      <c r="AT114" s="245"/>
      <c r="AU114" s="245"/>
      <c r="AV114" s="245"/>
      <c r="AW114" s="245"/>
      <c r="AX114" s="245"/>
      <c r="AY114" s="245"/>
      <c r="BA114" s="245"/>
      <c r="BE114" s="245"/>
    </row>
    <row r="115" spans="1:57" ht="14.25" hidden="1" customHeight="1" x14ac:dyDescent="0.2">
      <c r="A115" s="842"/>
      <c r="C115" s="278"/>
      <c r="D115" s="278"/>
      <c r="E115" s="265"/>
      <c r="F115" s="265"/>
      <c r="H115" s="266"/>
      <c r="I115" s="266"/>
      <c r="J115" s="223"/>
      <c r="K115" s="268"/>
      <c r="P115" s="209"/>
      <c r="Q115" s="209"/>
      <c r="R115" s="209"/>
      <c r="S115" s="209"/>
      <c r="U115" s="210" t="str">
        <f t="shared" si="61"/>
        <v>00</v>
      </c>
      <c r="V115" s="211" t="b">
        <f t="shared" si="62"/>
        <v>0</v>
      </c>
      <c r="W115" s="210">
        <f t="shared" si="74"/>
        <v>5</v>
      </c>
      <c r="X115" s="210">
        <f t="shared" si="63"/>
        <v>0</v>
      </c>
      <c r="Y115" s="210">
        <f t="shared" si="64"/>
        <v>0</v>
      </c>
      <c r="Z115" s="212" t="str">
        <f t="shared" si="65"/>
        <v/>
      </c>
      <c r="AA115" s="210" t="str">
        <f t="shared" si="66"/>
        <v/>
      </c>
      <c r="AB115" s="213"/>
      <c r="AC115" s="214" t="str">
        <f t="shared" si="67"/>
        <v/>
      </c>
      <c r="AD115" s="214" t="str">
        <f t="shared" si="68"/>
        <v/>
      </c>
      <c r="AE115" s="215" t="str">
        <f t="shared" si="69"/>
        <v/>
      </c>
      <c r="AF115" s="214" t="str">
        <f t="shared" si="70"/>
        <v/>
      </c>
      <c r="AG115" s="214" t="str">
        <f t="shared" si="71"/>
        <v/>
      </c>
      <c r="AH115" s="215" t="str">
        <f t="shared" si="72"/>
        <v/>
      </c>
      <c r="AI115" s="216">
        <f t="shared" si="21"/>
        <v>0</v>
      </c>
      <c r="AL115" s="217" t="str">
        <f>IF(OR(X115=Kedvenc!$C$43,Y115=Kedvenc!$C$43),W115,"")</f>
        <v/>
      </c>
      <c r="AM115" s="218" t="str">
        <f t="shared" si="73"/>
        <v/>
      </c>
      <c r="AP115" s="245"/>
      <c r="AQ115" s="245"/>
      <c r="AR115" s="245"/>
      <c r="AS115" s="245"/>
      <c r="AT115" s="245"/>
      <c r="AU115" s="245"/>
      <c r="AV115" s="245"/>
      <c r="AW115" s="245"/>
      <c r="AX115" s="245"/>
      <c r="AY115" s="245"/>
      <c r="BA115" s="245"/>
      <c r="BE115" s="245"/>
    </row>
    <row r="116" spans="1:57" ht="14.25" hidden="1" customHeight="1" x14ac:dyDescent="0.2">
      <c r="A116" s="842"/>
      <c r="C116" s="278"/>
      <c r="D116" s="278"/>
      <c r="E116" s="265"/>
      <c r="F116" s="265"/>
      <c r="H116" s="266"/>
      <c r="I116" s="266"/>
      <c r="J116" s="223"/>
      <c r="K116" s="268"/>
      <c r="P116" s="209"/>
      <c r="Q116" s="209"/>
      <c r="R116" s="209"/>
      <c r="S116" s="209"/>
      <c r="U116" s="210" t="str">
        <f t="shared" si="61"/>
        <v>00</v>
      </c>
      <c r="V116" s="211" t="b">
        <f t="shared" si="62"/>
        <v>0</v>
      </c>
      <c r="W116" s="210">
        <f t="shared" si="74"/>
        <v>5</v>
      </c>
      <c r="X116" s="210">
        <f t="shared" si="63"/>
        <v>0</v>
      </c>
      <c r="Y116" s="210">
        <f t="shared" si="64"/>
        <v>0</v>
      </c>
      <c r="Z116" s="212" t="str">
        <f t="shared" si="65"/>
        <v/>
      </c>
      <c r="AA116" s="210" t="str">
        <f t="shared" si="66"/>
        <v/>
      </c>
      <c r="AB116" s="213"/>
      <c r="AC116" s="214" t="str">
        <f t="shared" si="67"/>
        <v/>
      </c>
      <c r="AD116" s="214" t="str">
        <f t="shared" si="68"/>
        <v/>
      </c>
      <c r="AE116" s="215" t="str">
        <f t="shared" si="69"/>
        <v/>
      </c>
      <c r="AF116" s="214" t="str">
        <f t="shared" si="70"/>
        <v/>
      </c>
      <c r="AG116" s="214" t="str">
        <f t="shared" si="71"/>
        <v/>
      </c>
      <c r="AH116" s="215" t="str">
        <f t="shared" si="72"/>
        <v/>
      </c>
      <c r="AI116" s="216">
        <f t="shared" si="21"/>
        <v>0</v>
      </c>
      <c r="AL116" s="217" t="str">
        <f>IF(OR(X116=Kedvenc!$C$43,Y116=Kedvenc!$C$43),W116,"")</f>
        <v/>
      </c>
      <c r="AM116" s="218" t="str">
        <f t="shared" si="73"/>
        <v/>
      </c>
      <c r="AP116" s="245"/>
      <c r="AQ116" s="245"/>
      <c r="AR116" s="245"/>
      <c r="AS116" s="245"/>
      <c r="AT116" s="245"/>
      <c r="AU116" s="245"/>
      <c r="AV116" s="245"/>
      <c r="AW116" s="245"/>
      <c r="AX116" s="245"/>
      <c r="AY116" s="245"/>
      <c r="BA116" s="245"/>
      <c r="BE116" s="245"/>
    </row>
    <row r="117" spans="1:57" ht="14.25" hidden="1" customHeight="1" x14ac:dyDescent="0.2">
      <c r="A117" s="842"/>
      <c r="C117" s="278"/>
      <c r="D117" s="278"/>
      <c r="E117" s="265"/>
      <c r="F117" s="265"/>
      <c r="H117" s="266"/>
      <c r="I117" s="266"/>
      <c r="J117" s="223"/>
      <c r="K117" s="268"/>
      <c r="P117" s="209"/>
      <c r="Q117" s="209"/>
      <c r="R117" s="209"/>
      <c r="S117" s="209"/>
      <c r="U117" s="210" t="str">
        <f t="shared" si="61"/>
        <v>00</v>
      </c>
      <c r="V117" s="211" t="b">
        <f t="shared" si="62"/>
        <v>0</v>
      </c>
      <c r="W117" s="210">
        <f t="shared" si="74"/>
        <v>5</v>
      </c>
      <c r="X117" s="210">
        <f t="shared" si="63"/>
        <v>0</v>
      </c>
      <c r="Y117" s="210">
        <f t="shared" si="64"/>
        <v>0</v>
      </c>
      <c r="Z117" s="212" t="str">
        <f t="shared" si="65"/>
        <v/>
      </c>
      <c r="AA117" s="210" t="str">
        <f t="shared" si="66"/>
        <v/>
      </c>
      <c r="AB117" s="213"/>
      <c r="AC117" s="214" t="str">
        <f t="shared" si="67"/>
        <v/>
      </c>
      <c r="AD117" s="214" t="str">
        <f t="shared" si="68"/>
        <v/>
      </c>
      <c r="AE117" s="215" t="str">
        <f t="shared" si="69"/>
        <v/>
      </c>
      <c r="AF117" s="214" t="str">
        <f t="shared" si="70"/>
        <v/>
      </c>
      <c r="AG117" s="214" t="str">
        <f t="shared" si="71"/>
        <v/>
      </c>
      <c r="AH117" s="215" t="str">
        <f t="shared" si="72"/>
        <v/>
      </c>
      <c r="AI117" s="216">
        <f t="shared" si="21"/>
        <v>0</v>
      </c>
      <c r="AL117" s="217" t="str">
        <f>IF(OR(X117=Kedvenc!$C$43,Y117=Kedvenc!$C$43),W117,"")</f>
        <v/>
      </c>
      <c r="AM117" s="218" t="str">
        <f t="shared" si="73"/>
        <v/>
      </c>
      <c r="AP117" s="245"/>
      <c r="AQ117" s="245"/>
      <c r="AR117" s="245"/>
      <c r="AS117" s="245"/>
      <c r="AT117" s="245"/>
      <c r="AU117" s="245"/>
      <c r="AV117" s="245"/>
      <c r="AW117" s="245"/>
      <c r="AX117" s="245"/>
      <c r="AY117" s="245"/>
      <c r="BA117" s="245"/>
      <c r="BE117" s="245"/>
    </row>
    <row r="118" spans="1:57" ht="14.25" hidden="1" customHeight="1" x14ac:dyDescent="0.2">
      <c r="A118" s="842"/>
      <c r="C118" s="278"/>
      <c r="D118" s="278"/>
      <c r="E118" s="265"/>
      <c r="F118" s="265"/>
      <c r="H118" s="266"/>
      <c r="I118" s="266"/>
      <c r="J118" s="169"/>
      <c r="K118" s="268"/>
      <c r="P118" s="209"/>
      <c r="Q118" s="209"/>
      <c r="R118" s="209"/>
      <c r="S118" s="209"/>
      <c r="U118" s="210" t="str">
        <f t="shared" si="61"/>
        <v>00</v>
      </c>
      <c r="V118" s="211" t="b">
        <f t="shared" si="62"/>
        <v>0</v>
      </c>
      <c r="W118" s="210">
        <f t="shared" si="74"/>
        <v>5</v>
      </c>
      <c r="X118" s="210">
        <f t="shared" si="63"/>
        <v>0</v>
      </c>
      <c r="Y118" s="210">
        <f t="shared" si="64"/>
        <v>0</v>
      </c>
      <c r="Z118" s="212" t="str">
        <f t="shared" si="65"/>
        <v/>
      </c>
      <c r="AA118" s="210" t="str">
        <f t="shared" si="66"/>
        <v/>
      </c>
      <c r="AB118" s="213"/>
      <c r="AC118" s="214" t="str">
        <f t="shared" si="67"/>
        <v/>
      </c>
      <c r="AD118" s="214" t="str">
        <f t="shared" si="68"/>
        <v/>
      </c>
      <c r="AE118" s="215" t="str">
        <f t="shared" si="69"/>
        <v/>
      </c>
      <c r="AF118" s="214" t="str">
        <f t="shared" si="70"/>
        <v/>
      </c>
      <c r="AG118" s="214" t="str">
        <f t="shared" si="71"/>
        <v/>
      </c>
      <c r="AH118" s="215" t="str">
        <f t="shared" si="72"/>
        <v/>
      </c>
      <c r="AI118" s="216">
        <f t="shared" si="21"/>
        <v>0</v>
      </c>
      <c r="AL118" s="217" t="str">
        <f>IF(OR(X118=Kedvenc!$C$43,Y118=Kedvenc!$C$43),W118,"")</f>
        <v/>
      </c>
      <c r="AM118" s="218" t="str">
        <f t="shared" si="73"/>
        <v/>
      </c>
      <c r="AP118" s="245"/>
      <c r="AQ118" s="245"/>
      <c r="AR118" s="245"/>
      <c r="AS118" s="245"/>
      <c r="AT118" s="245"/>
      <c r="AU118" s="245"/>
      <c r="AV118" s="245"/>
      <c r="AW118" s="245"/>
      <c r="AX118" s="245"/>
      <c r="AY118" s="245"/>
      <c r="BA118" s="245"/>
      <c r="BE118" s="245"/>
    </row>
    <row r="119" spans="1:57" ht="14.25" customHeight="1" x14ac:dyDescent="0.2">
      <c r="A119" s="842"/>
      <c r="E119" s="224"/>
      <c r="F119" s="225"/>
      <c r="G119" s="226"/>
      <c r="H119" s="209"/>
      <c r="I119" s="227"/>
      <c r="J119" s="169"/>
      <c r="K119" s="228"/>
      <c r="L119" s="225"/>
      <c r="M119" s="226"/>
      <c r="N119" s="209"/>
      <c r="O119" s="174"/>
      <c r="P119" s="209"/>
      <c r="Q119" s="209"/>
      <c r="R119" s="209"/>
      <c r="S119" s="209"/>
      <c r="W119" s="231"/>
      <c r="AC119" s="233"/>
      <c r="AD119" s="233"/>
      <c r="AE119" s="234"/>
      <c r="AF119" s="233"/>
      <c r="AG119" s="233"/>
      <c r="AH119" s="234"/>
      <c r="AI119" s="234"/>
      <c r="AP119" s="245"/>
      <c r="AQ119" s="245"/>
      <c r="AR119" s="245"/>
      <c r="AS119" s="245"/>
      <c r="AT119" s="245"/>
      <c r="AU119" s="245"/>
      <c r="AV119" s="245"/>
      <c r="AW119" s="245"/>
      <c r="AX119" s="245"/>
      <c r="AY119" s="245"/>
      <c r="BA119" s="245"/>
      <c r="BE119" s="245"/>
    </row>
    <row r="120" spans="1:57" ht="14.25" customHeight="1" x14ac:dyDescent="0.2">
      <c r="A120" s="842"/>
      <c r="E120" s="224"/>
      <c r="F120" s="225"/>
      <c r="G120" s="226"/>
      <c r="H120" s="209"/>
      <c r="I120" s="227"/>
      <c r="J120" s="169"/>
      <c r="K120" s="228"/>
      <c r="L120" s="225"/>
      <c r="M120" s="226"/>
      <c r="N120" s="209"/>
      <c r="O120" s="174"/>
      <c r="P120" s="209"/>
      <c r="Q120" s="209"/>
      <c r="R120" s="209"/>
      <c r="S120" s="209"/>
      <c r="W120" s="231"/>
      <c r="AC120" s="233"/>
      <c r="AD120" s="233"/>
      <c r="AE120" s="234"/>
      <c r="AF120" s="233"/>
      <c r="AG120" s="233"/>
      <c r="AH120" s="234"/>
      <c r="AI120" s="197"/>
      <c r="AP120" s="245"/>
      <c r="AQ120" s="245"/>
      <c r="AR120" s="245"/>
      <c r="AS120" s="245"/>
      <c r="AT120" s="245"/>
      <c r="AU120" s="245"/>
      <c r="AV120" s="245"/>
      <c r="AW120" s="245"/>
      <c r="AX120" s="245"/>
      <c r="AY120" s="245"/>
      <c r="BA120" s="245"/>
      <c r="BD120" s="245"/>
      <c r="BE120" s="245"/>
    </row>
    <row r="121" spans="1:57" ht="14.25" customHeight="1" x14ac:dyDescent="0.2">
      <c r="A121" s="842"/>
      <c r="B121" s="187"/>
      <c r="C121" s="269" t="str">
        <f>CONCATENATE(" ",AB123,"."," forduló  –")</f>
        <v xml:space="preserve"> 6. forduló  –</v>
      </c>
      <c r="D121" s="843">
        <f>VLOOKUP(AB123,ASZ!$AQ$59:$AS$104,2,FALSE)</f>
        <v>42123</v>
      </c>
      <c r="E121" s="843"/>
      <c r="F121" s="274"/>
      <c r="G121" s="274"/>
      <c r="H121" s="274"/>
      <c r="I121" s="270" t="str">
        <f>CONCATENATE(IF($AW$61,"pont: ","gól: "),SUM(F123:H134)," / átlag: ",TEXT(IF(COUNT(F123:H134)=0,"-",SUM(F123:H134)/COUNT(F123:H134)*2),"0,00"))</f>
        <v>gól: 35 / átlag: 7,00</v>
      </c>
      <c r="J121" s="190"/>
      <c r="K121" s="271" t="s">
        <v>285</v>
      </c>
      <c r="L121" s="192"/>
      <c r="U121" s="229"/>
      <c r="V121" s="230"/>
      <c r="W121" s="231"/>
      <c r="X121" s="231"/>
      <c r="Y121" s="231"/>
      <c r="Z121" s="232"/>
      <c r="AA121" s="231"/>
      <c r="AC121" s="197"/>
      <c r="AD121" s="197"/>
      <c r="AE121" s="197"/>
      <c r="AF121" s="197"/>
      <c r="AG121" s="197"/>
      <c r="AH121" s="197"/>
      <c r="AI121" s="197"/>
      <c r="AQ121" s="245"/>
      <c r="AR121" s="245"/>
      <c r="AS121" s="245"/>
      <c r="AT121" s="245"/>
    </row>
    <row r="122" spans="1:57" ht="9" customHeight="1" x14ac:dyDescent="0.2">
      <c r="A122" s="842"/>
      <c r="J122" s="169"/>
      <c r="K122" s="228"/>
      <c r="L122" s="225"/>
      <c r="M122" s="226"/>
      <c r="N122" s="209"/>
      <c r="O122" s="174"/>
      <c r="P122" s="209"/>
      <c r="Q122" s="209"/>
      <c r="R122" s="209"/>
      <c r="S122" s="209"/>
      <c r="AP122" s="245"/>
      <c r="AQ122" s="245"/>
      <c r="AR122" s="245"/>
      <c r="AS122" s="245"/>
      <c r="AT122" s="245"/>
      <c r="AU122" s="245"/>
      <c r="AV122" s="245"/>
      <c r="AW122" s="245"/>
      <c r="AX122" s="245"/>
      <c r="AY122" s="245"/>
      <c r="BA122" s="245"/>
      <c r="BE122" s="245"/>
    </row>
    <row r="123" spans="1:57" ht="14.25" customHeight="1" x14ac:dyDescent="0.2">
      <c r="A123" s="842"/>
      <c r="C123" s="255">
        <v>42123</v>
      </c>
      <c r="D123" s="255" t="s">
        <v>497</v>
      </c>
      <c r="E123" s="265" t="s">
        <v>489</v>
      </c>
      <c r="F123" s="272">
        <v>2</v>
      </c>
      <c r="G123" s="200" t="s">
        <v>247</v>
      </c>
      <c r="H123" s="273">
        <v>3</v>
      </c>
      <c r="I123" s="266" t="s">
        <v>487</v>
      </c>
      <c r="J123" s="207"/>
      <c r="K123" s="267"/>
      <c r="L123" s="225"/>
      <c r="M123" s="226"/>
      <c r="N123" s="209"/>
      <c r="O123" s="174"/>
      <c r="P123" s="209"/>
      <c r="Q123" s="209"/>
      <c r="R123" s="209"/>
      <c r="S123" s="209"/>
      <c r="U123" s="210" t="str">
        <f t="shared" ref="U123:U134" si="75">X123&amp;Y123</f>
        <v>ÉlelmesekBőrdíszmű</v>
      </c>
      <c r="V123" s="211" t="b">
        <f t="shared" ref="V123:V134" si="76">AND(F123&lt;&gt;"",H123&lt;&gt;"")</f>
        <v>1</v>
      </c>
      <c r="W123" s="210">
        <f>AB123</f>
        <v>6</v>
      </c>
      <c r="X123" s="210" t="str">
        <f t="shared" ref="X123:X134" si="77">E123</f>
        <v>Élelmesek</v>
      </c>
      <c r="Y123" s="210" t="str">
        <f t="shared" ref="Y123:Y134" si="78">I123</f>
        <v>Bőrdíszmű</v>
      </c>
      <c r="Z123" s="212">
        <f t="shared" ref="Z123:Z134" si="79">IF(V123,F123,"")</f>
        <v>2</v>
      </c>
      <c r="AA123" s="210">
        <f t="shared" ref="AA123:AA134" si="80">IF(V123,H123,"")</f>
        <v>3</v>
      </c>
      <c r="AB123" s="213">
        <f>IF(NOT(ASZTAB!$X$71),AB107+1,AB107+COUNTIF(AB91:AB122,AB107)-1)</f>
        <v>6</v>
      </c>
      <c r="AC123" s="214" t="str">
        <f t="shared" ref="AC123:AC134" si="81">IF(Z123&gt;AA123,X123,"")</f>
        <v/>
      </c>
      <c r="AD123" s="214" t="str">
        <f t="shared" ref="AD123:AD134" si="82">IF(AA123="","",IF(Z123=AA123,X123,""))</f>
        <v/>
      </c>
      <c r="AE123" s="215" t="str">
        <f t="shared" ref="AE123:AE134" si="83">IF(AND($AW$61,Z123=0,AA123=20),X123&amp;"ooo",IF(Z123&lt;AA123,X123,""))</f>
        <v>Élelmesek</v>
      </c>
      <c r="AF123" s="214" t="str">
        <f t="shared" ref="AF123:AF134" si="84">IF(AA123&gt;Z123,Y123,"")</f>
        <v>Bőrdíszmű</v>
      </c>
      <c r="AG123" s="214" t="str">
        <f t="shared" ref="AG123:AG134" si="85">IF(AA123="","",IF(Z123=AA123,Y123,""))</f>
        <v/>
      </c>
      <c r="AH123" s="215" t="str">
        <f t="shared" ref="AH123:AH134" si="86">IF(AND($AW$61,Z123=20,AA123=0),Y123&amp;"ooo",IF(Z123&gt;AA123,Y123,""))</f>
        <v/>
      </c>
      <c r="AI123" s="216">
        <f t="shared" ref="AI123:AI182" si="87">C123</f>
        <v>42123</v>
      </c>
      <c r="AL123" s="217" t="str">
        <f>IF(OR(X123=Kedvenc!$C$43,Y123=Kedvenc!$C$43),W123,"")</f>
        <v/>
      </c>
      <c r="AM123" s="218" t="str">
        <f t="shared" ref="AM123:AM134" si="88">IF(AL123="","",U123)</f>
        <v/>
      </c>
      <c r="AQ123" s="245"/>
      <c r="AR123" s="245"/>
      <c r="AS123" s="245"/>
      <c r="AT123" s="245"/>
      <c r="BB123" s="285" t="str">
        <f>C123&amp;D123</f>
        <v>4212319:00 – A pálya</v>
      </c>
      <c r="BC123" s="284">
        <f>COUNTIF($BB$43:$BB$383,BB123)</f>
        <v>1</v>
      </c>
      <c r="BD123" s="512" t="str">
        <f>U123</f>
        <v>ÉlelmesekBőrdíszmű</v>
      </c>
    </row>
    <row r="124" spans="1:57" ht="14.25" customHeight="1" x14ac:dyDescent="0.2">
      <c r="A124" s="842"/>
      <c r="C124" s="255">
        <v>42123</v>
      </c>
      <c r="D124" s="255" t="s">
        <v>498</v>
      </c>
      <c r="E124" s="265" t="s">
        <v>485</v>
      </c>
      <c r="F124" s="272">
        <v>12</v>
      </c>
      <c r="G124" s="200" t="s">
        <v>247</v>
      </c>
      <c r="H124" s="273">
        <v>2</v>
      </c>
      <c r="I124" s="266" t="s">
        <v>488</v>
      </c>
      <c r="J124" s="207"/>
      <c r="K124" s="268"/>
      <c r="L124" s="225"/>
      <c r="M124" s="226"/>
      <c r="N124" s="209"/>
      <c r="O124" s="174"/>
      <c r="U124" s="210" t="str">
        <f t="shared" si="75"/>
        <v>BBKCarbonász</v>
      </c>
      <c r="V124" s="211" t="b">
        <f t="shared" si="76"/>
        <v>1</v>
      </c>
      <c r="W124" s="210">
        <f t="shared" ref="W124:W134" si="89">W123</f>
        <v>6</v>
      </c>
      <c r="X124" s="210" t="str">
        <f t="shared" si="77"/>
        <v>BBK</v>
      </c>
      <c r="Y124" s="210" t="str">
        <f t="shared" si="78"/>
        <v>Carbonász</v>
      </c>
      <c r="Z124" s="212">
        <f t="shared" si="79"/>
        <v>12</v>
      </c>
      <c r="AA124" s="210">
        <f t="shared" si="80"/>
        <v>2</v>
      </c>
      <c r="AB124" s="213"/>
      <c r="AC124" s="214" t="str">
        <f t="shared" si="81"/>
        <v>BBK</v>
      </c>
      <c r="AD124" s="214" t="str">
        <f t="shared" si="82"/>
        <v/>
      </c>
      <c r="AE124" s="215" t="str">
        <f t="shared" si="83"/>
        <v/>
      </c>
      <c r="AF124" s="214" t="str">
        <f t="shared" si="84"/>
        <v/>
      </c>
      <c r="AG124" s="214" t="str">
        <f t="shared" si="85"/>
        <v/>
      </c>
      <c r="AH124" s="215" t="str">
        <f t="shared" si="86"/>
        <v>Carbonász</v>
      </c>
      <c r="AI124" s="216">
        <f t="shared" si="87"/>
        <v>42123</v>
      </c>
      <c r="AL124" s="217" t="str">
        <f>IF(OR(X124=Kedvenc!$C$43,Y124=Kedvenc!$C$43),W124,"")</f>
        <v/>
      </c>
      <c r="AM124" s="218" t="str">
        <f t="shared" si="88"/>
        <v/>
      </c>
      <c r="BB124" s="285" t="str">
        <f>C124&amp;D124</f>
        <v>4212319:45 – A pálya</v>
      </c>
      <c r="BC124" s="284">
        <f>COUNTIF($BB$43:$BB$383,BB124)</f>
        <v>1</v>
      </c>
      <c r="BD124" s="512" t="str">
        <f>U124</f>
        <v>BBKCarbonász</v>
      </c>
    </row>
    <row r="125" spans="1:57" ht="14.25" customHeight="1" x14ac:dyDescent="0.2">
      <c r="A125" s="842"/>
      <c r="C125" s="255">
        <v>42123</v>
      </c>
      <c r="D125" s="255" t="s">
        <v>499</v>
      </c>
      <c r="E125" s="265" t="s">
        <v>493</v>
      </c>
      <c r="F125" s="272">
        <v>0</v>
      </c>
      <c r="G125" s="200" t="s">
        <v>247</v>
      </c>
      <c r="H125" s="273">
        <v>1</v>
      </c>
      <c r="I125" s="266" t="s">
        <v>484</v>
      </c>
      <c r="J125" s="207"/>
      <c r="K125" s="268"/>
      <c r="L125" s="225"/>
      <c r="M125" s="226"/>
      <c r="N125" s="209"/>
      <c r="O125" s="174"/>
      <c r="U125" s="210" t="str">
        <f t="shared" si="75"/>
        <v>VakanaBakafogó-Honvéd-Sashegy SE</v>
      </c>
      <c r="V125" s="211" t="b">
        <f t="shared" si="76"/>
        <v>1</v>
      </c>
      <c r="W125" s="210">
        <f t="shared" si="89"/>
        <v>6</v>
      </c>
      <c r="X125" s="210" t="str">
        <f t="shared" si="77"/>
        <v>Vakana</v>
      </c>
      <c r="Y125" s="210" t="str">
        <f t="shared" si="78"/>
        <v>Bakafogó-Honvéd-Sashegy SE</v>
      </c>
      <c r="Z125" s="212">
        <f t="shared" si="79"/>
        <v>0</v>
      </c>
      <c r="AA125" s="210">
        <f t="shared" si="80"/>
        <v>1</v>
      </c>
      <c r="AB125" s="213"/>
      <c r="AC125" s="214" t="str">
        <f t="shared" si="81"/>
        <v/>
      </c>
      <c r="AD125" s="214" t="str">
        <f t="shared" si="82"/>
        <v/>
      </c>
      <c r="AE125" s="215" t="str">
        <f t="shared" si="83"/>
        <v>Vakana</v>
      </c>
      <c r="AF125" s="214" t="str">
        <f t="shared" si="84"/>
        <v>Bakafogó-Honvéd-Sashegy SE</v>
      </c>
      <c r="AG125" s="214" t="str">
        <f t="shared" si="85"/>
        <v/>
      </c>
      <c r="AH125" s="215" t="str">
        <f t="shared" si="86"/>
        <v/>
      </c>
      <c r="AI125" s="216">
        <f t="shared" si="87"/>
        <v>42123</v>
      </c>
      <c r="AL125" s="217" t="str">
        <f>IF(OR(X125=Kedvenc!$C$43,Y125=Kedvenc!$C$43),W125,"")</f>
        <v/>
      </c>
      <c r="AM125" s="218" t="str">
        <f t="shared" si="88"/>
        <v/>
      </c>
      <c r="BB125" s="285" t="str">
        <f>C125&amp;D125</f>
        <v>4212320:30 – A pálya</v>
      </c>
      <c r="BC125" s="284">
        <f>COUNTIF($BB$43:$BB$383,BB125)</f>
        <v>1</v>
      </c>
      <c r="BD125" s="512" t="str">
        <f>U125</f>
        <v>VakanaBakafogó-Honvéd-Sashegy SE</v>
      </c>
    </row>
    <row r="126" spans="1:57" ht="14.25" customHeight="1" x14ac:dyDescent="0.2">
      <c r="A126" s="842"/>
      <c r="C126" s="255">
        <v>42123</v>
      </c>
      <c r="D126" s="255" t="s">
        <v>500</v>
      </c>
      <c r="E126" s="265" t="s">
        <v>494</v>
      </c>
      <c r="F126" s="272">
        <v>5</v>
      </c>
      <c r="G126" s="200" t="s">
        <v>247</v>
      </c>
      <c r="H126" s="273">
        <v>1</v>
      </c>
      <c r="I126" s="266" t="s">
        <v>492</v>
      </c>
      <c r="J126" s="207"/>
      <c r="K126" s="268"/>
      <c r="L126" s="225"/>
      <c r="M126" s="226"/>
      <c r="N126" s="209"/>
      <c r="O126" s="174"/>
      <c r="U126" s="210" t="str">
        <f t="shared" si="75"/>
        <v>ZrínyigyöngyeRoyal Guard's</v>
      </c>
      <c r="V126" s="211" t="b">
        <f t="shared" si="76"/>
        <v>1</v>
      </c>
      <c r="W126" s="210">
        <f t="shared" si="89"/>
        <v>6</v>
      </c>
      <c r="X126" s="210" t="str">
        <f t="shared" si="77"/>
        <v>Zrínyigyöngye</v>
      </c>
      <c r="Y126" s="210" t="str">
        <f t="shared" si="78"/>
        <v>Royal Guard's</v>
      </c>
      <c r="Z126" s="212">
        <f t="shared" si="79"/>
        <v>5</v>
      </c>
      <c r="AA126" s="210">
        <f t="shared" si="80"/>
        <v>1</v>
      </c>
      <c r="AB126" s="213"/>
      <c r="AC126" s="214" t="str">
        <f t="shared" si="81"/>
        <v>Zrínyigyöngye</v>
      </c>
      <c r="AD126" s="214" t="str">
        <f t="shared" si="82"/>
        <v/>
      </c>
      <c r="AE126" s="215" t="str">
        <f t="shared" si="83"/>
        <v/>
      </c>
      <c r="AF126" s="214" t="str">
        <f t="shared" si="84"/>
        <v/>
      </c>
      <c r="AG126" s="214" t="str">
        <f t="shared" si="85"/>
        <v/>
      </c>
      <c r="AH126" s="215" t="str">
        <f t="shared" si="86"/>
        <v>Royal Guard's</v>
      </c>
      <c r="AI126" s="216">
        <f t="shared" si="87"/>
        <v>42123</v>
      </c>
      <c r="AL126" s="217" t="str">
        <f>IF(OR(X126=Kedvenc!$C$43,Y126=Kedvenc!$C$43),W126,"")</f>
        <v/>
      </c>
      <c r="AM126" s="218" t="str">
        <f t="shared" si="88"/>
        <v/>
      </c>
      <c r="AP126" s="245"/>
      <c r="AQ126" s="245"/>
      <c r="AR126" s="245"/>
      <c r="AS126" s="245"/>
      <c r="AT126" s="245"/>
      <c r="AU126" s="245"/>
      <c r="AV126" s="245"/>
      <c r="AW126" s="245"/>
      <c r="AX126" s="245"/>
      <c r="AY126" s="245"/>
      <c r="BA126" s="245"/>
      <c r="BB126" s="285" t="str">
        <f>C126&amp;D126</f>
        <v>4212319:00 – B pálya</v>
      </c>
      <c r="BC126" s="284">
        <f>COUNTIF($BB$43:$BB$383,BB126)</f>
        <v>1</v>
      </c>
      <c r="BD126" s="512" t="str">
        <f>U126</f>
        <v>ZrínyigyöngyeRoyal Guard's</v>
      </c>
      <c r="BE126" s="245"/>
    </row>
    <row r="127" spans="1:57" ht="14.25" customHeight="1" x14ac:dyDescent="0.2">
      <c r="A127" s="842"/>
      <c r="C127" s="255">
        <v>42123</v>
      </c>
      <c r="D127" s="255" t="s">
        <v>501</v>
      </c>
      <c r="E127" s="265" t="s">
        <v>491</v>
      </c>
      <c r="F127" s="272">
        <v>8</v>
      </c>
      <c r="G127" s="200" t="s">
        <v>247</v>
      </c>
      <c r="H127" s="273">
        <v>1</v>
      </c>
      <c r="I127" s="266" t="s">
        <v>490</v>
      </c>
      <c r="J127" s="223"/>
      <c r="K127" s="787"/>
      <c r="L127" s="225"/>
      <c r="M127" s="226"/>
      <c r="N127" s="209"/>
      <c r="O127" s="174"/>
      <c r="P127" s="209"/>
      <c r="Q127" s="209"/>
      <c r="R127" s="209"/>
      <c r="S127" s="209"/>
      <c r="U127" s="210" t="str">
        <f t="shared" si="75"/>
        <v>K&amp;HHercules-Ludovika</v>
      </c>
      <c r="V127" s="211" t="b">
        <f t="shared" si="76"/>
        <v>1</v>
      </c>
      <c r="W127" s="210">
        <f t="shared" si="89"/>
        <v>6</v>
      </c>
      <c r="X127" s="210" t="str">
        <f t="shared" si="77"/>
        <v>K&amp;H</v>
      </c>
      <c r="Y127" s="210" t="str">
        <f t="shared" si="78"/>
        <v>Hercules-Ludovika</v>
      </c>
      <c r="Z127" s="212">
        <f t="shared" si="79"/>
        <v>8</v>
      </c>
      <c r="AA127" s="210">
        <f t="shared" si="80"/>
        <v>1</v>
      </c>
      <c r="AB127" s="213"/>
      <c r="AC127" s="214" t="str">
        <f t="shared" si="81"/>
        <v>K&amp;H</v>
      </c>
      <c r="AD127" s="214" t="str">
        <f t="shared" si="82"/>
        <v/>
      </c>
      <c r="AE127" s="215" t="str">
        <f t="shared" si="83"/>
        <v/>
      </c>
      <c r="AF127" s="214" t="str">
        <f t="shared" si="84"/>
        <v/>
      </c>
      <c r="AG127" s="214" t="str">
        <f t="shared" si="85"/>
        <v/>
      </c>
      <c r="AH127" s="215" t="str">
        <f t="shared" si="86"/>
        <v>Hercules-Ludovika</v>
      </c>
      <c r="AI127" s="216">
        <f t="shared" si="87"/>
        <v>42123</v>
      </c>
      <c r="AL127" s="217" t="str">
        <f>IF(OR(X127=Kedvenc!$C$43,Y127=Kedvenc!$C$43),W127,"")</f>
        <v/>
      </c>
      <c r="AM127" s="218" t="str">
        <f t="shared" si="88"/>
        <v/>
      </c>
      <c r="AP127" s="245"/>
      <c r="AQ127" s="245"/>
      <c r="AR127" s="245"/>
      <c r="AS127" s="245"/>
      <c r="AT127" s="245"/>
      <c r="AU127" s="245"/>
      <c r="AV127" s="245"/>
      <c r="AW127" s="245"/>
      <c r="AX127" s="245"/>
      <c r="AY127" s="245"/>
      <c r="BA127" s="245"/>
      <c r="BB127" s="285" t="str">
        <f>C127&amp;D127</f>
        <v>4212319:45 – B pálya</v>
      </c>
      <c r="BC127" s="284">
        <f>COUNTIF($BB$43:$BB$383,BB127)</f>
        <v>1</v>
      </c>
      <c r="BD127" s="512" t="str">
        <f>U127</f>
        <v>K&amp;HHercules-Ludovika</v>
      </c>
      <c r="BE127" s="245"/>
    </row>
    <row r="128" spans="1:57" ht="14.25" customHeight="1" x14ac:dyDescent="0.2">
      <c r="A128" s="842"/>
      <c r="C128" s="278"/>
      <c r="D128" s="278"/>
      <c r="E128" s="275" t="s">
        <v>486</v>
      </c>
      <c r="F128" s="275"/>
      <c r="G128" s="276"/>
      <c r="H128" s="277"/>
      <c r="I128" s="277" t="s">
        <v>495</v>
      </c>
      <c r="J128" s="223"/>
      <c r="K128" s="268"/>
      <c r="L128" s="225"/>
      <c r="M128" s="226"/>
      <c r="N128" s="209"/>
      <c r="O128" s="174"/>
      <c r="P128" s="209"/>
      <c r="Q128" s="209"/>
      <c r="R128" s="209"/>
      <c r="S128" s="209"/>
      <c r="U128" s="210" t="str">
        <f t="shared" si="75"/>
        <v>BHDszabadnapos</v>
      </c>
      <c r="V128" s="211" t="b">
        <f t="shared" si="76"/>
        <v>0</v>
      </c>
      <c r="W128" s="210">
        <f t="shared" si="89"/>
        <v>6</v>
      </c>
      <c r="X128" s="210" t="str">
        <f t="shared" si="77"/>
        <v>BHD</v>
      </c>
      <c r="Y128" s="210" t="str">
        <f t="shared" si="78"/>
        <v>szabadnapos</v>
      </c>
      <c r="Z128" s="212" t="str">
        <f t="shared" si="79"/>
        <v/>
      </c>
      <c r="AA128" s="210" t="str">
        <f t="shared" si="80"/>
        <v/>
      </c>
      <c r="AB128" s="213"/>
      <c r="AC128" s="214" t="str">
        <f t="shared" si="81"/>
        <v/>
      </c>
      <c r="AD128" s="214" t="str">
        <f t="shared" si="82"/>
        <v/>
      </c>
      <c r="AE128" s="215" t="str">
        <f t="shared" si="83"/>
        <v/>
      </c>
      <c r="AF128" s="214" t="str">
        <f t="shared" si="84"/>
        <v/>
      </c>
      <c r="AG128" s="214" t="str">
        <f t="shared" si="85"/>
        <v/>
      </c>
      <c r="AH128" s="215" t="str">
        <f t="shared" si="86"/>
        <v/>
      </c>
      <c r="AI128" s="750">
        <f>AI123</f>
        <v>42123</v>
      </c>
      <c r="AL128" s="217" t="str">
        <f>IF(OR(X128=Kedvenc!$C$43,Y128=Kedvenc!$C$43),W128,"")</f>
        <v/>
      </c>
      <c r="AM128" s="218" t="str">
        <f t="shared" si="88"/>
        <v/>
      </c>
      <c r="AP128" s="245"/>
      <c r="AQ128" s="245"/>
      <c r="AR128" s="245"/>
      <c r="AS128" s="245"/>
      <c r="AT128" s="245"/>
      <c r="AU128" s="245"/>
      <c r="AV128" s="245"/>
      <c r="AW128" s="245"/>
      <c r="AX128" s="245"/>
      <c r="AY128" s="245"/>
      <c r="BA128" s="245"/>
      <c r="BE128" s="245"/>
    </row>
    <row r="129" spans="1:57" ht="14.25" hidden="1" customHeight="1" x14ac:dyDescent="0.2">
      <c r="A129" s="842"/>
      <c r="C129" s="278"/>
      <c r="D129" s="278"/>
      <c r="E129" s="265"/>
      <c r="F129" s="265"/>
      <c r="H129" s="266"/>
      <c r="I129" s="266"/>
      <c r="J129" s="223"/>
      <c r="K129" s="268"/>
      <c r="L129" s="225"/>
      <c r="M129" s="226"/>
      <c r="N129" s="209"/>
      <c r="O129" s="174"/>
      <c r="P129" s="209"/>
      <c r="Q129" s="209"/>
      <c r="R129" s="209"/>
      <c r="S129" s="209"/>
      <c r="U129" s="210" t="str">
        <f t="shared" si="75"/>
        <v>00</v>
      </c>
      <c r="V129" s="211" t="b">
        <f t="shared" si="76"/>
        <v>0</v>
      </c>
      <c r="W129" s="210">
        <f t="shared" si="89"/>
        <v>6</v>
      </c>
      <c r="X129" s="210">
        <f t="shared" si="77"/>
        <v>0</v>
      </c>
      <c r="Y129" s="210">
        <f t="shared" si="78"/>
        <v>0</v>
      </c>
      <c r="Z129" s="212" t="str">
        <f t="shared" si="79"/>
        <v/>
      </c>
      <c r="AA129" s="210" t="str">
        <f t="shared" si="80"/>
        <v/>
      </c>
      <c r="AB129" s="213"/>
      <c r="AC129" s="214" t="str">
        <f t="shared" si="81"/>
        <v/>
      </c>
      <c r="AD129" s="214" t="str">
        <f t="shared" si="82"/>
        <v/>
      </c>
      <c r="AE129" s="215" t="str">
        <f t="shared" si="83"/>
        <v/>
      </c>
      <c r="AF129" s="214" t="str">
        <f t="shared" si="84"/>
        <v/>
      </c>
      <c r="AG129" s="214" t="str">
        <f t="shared" si="85"/>
        <v/>
      </c>
      <c r="AH129" s="215" t="str">
        <f t="shared" si="86"/>
        <v/>
      </c>
      <c r="AI129" s="216">
        <f t="shared" si="87"/>
        <v>0</v>
      </c>
      <c r="AL129" s="217" t="str">
        <f>IF(OR(X129=Kedvenc!$C$43,Y129=Kedvenc!$C$43),W129,"")</f>
        <v/>
      </c>
      <c r="AM129" s="218" t="str">
        <f t="shared" si="88"/>
        <v/>
      </c>
      <c r="AP129" s="245"/>
      <c r="AQ129" s="245"/>
      <c r="AR129" s="245"/>
      <c r="AS129" s="245"/>
      <c r="AT129" s="245"/>
      <c r="AU129" s="245"/>
      <c r="AV129" s="245"/>
      <c r="AW129" s="245"/>
      <c r="AX129" s="245"/>
      <c r="AY129" s="245"/>
      <c r="BA129" s="245"/>
      <c r="BE129" s="245"/>
    </row>
    <row r="130" spans="1:57" ht="14.25" hidden="1" customHeight="1" x14ac:dyDescent="0.2">
      <c r="A130" s="842"/>
      <c r="C130" s="278"/>
      <c r="D130" s="278"/>
      <c r="E130" s="265"/>
      <c r="F130" s="265"/>
      <c r="H130" s="266"/>
      <c r="I130" s="266"/>
      <c r="J130" s="223"/>
      <c r="K130" s="268"/>
      <c r="L130" s="225"/>
      <c r="M130" s="226"/>
      <c r="N130" s="209"/>
      <c r="O130" s="174"/>
      <c r="P130" s="209"/>
      <c r="Q130" s="209"/>
      <c r="R130" s="209"/>
      <c r="S130" s="209"/>
      <c r="U130" s="210" t="str">
        <f t="shared" si="75"/>
        <v>00</v>
      </c>
      <c r="V130" s="211" t="b">
        <f t="shared" si="76"/>
        <v>0</v>
      </c>
      <c r="W130" s="210">
        <f t="shared" si="89"/>
        <v>6</v>
      </c>
      <c r="X130" s="210">
        <f t="shared" si="77"/>
        <v>0</v>
      </c>
      <c r="Y130" s="210">
        <f t="shared" si="78"/>
        <v>0</v>
      </c>
      <c r="Z130" s="212" t="str">
        <f t="shared" si="79"/>
        <v/>
      </c>
      <c r="AA130" s="210" t="str">
        <f t="shared" si="80"/>
        <v/>
      </c>
      <c r="AB130" s="213"/>
      <c r="AC130" s="214" t="str">
        <f t="shared" si="81"/>
        <v/>
      </c>
      <c r="AD130" s="214" t="str">
        <f t="shared" si="82"/>
        <v/>
      </c>
      <c r="AE130" s="215" t="str">
        <f t="shared" si="83"/>
        <v/>
      </c>
      <c r="AF130" s="214" t="str">
        <f t="shared" si="84"/>
        <v/>
      </c>
      <c r="AG130" s="214" t="str">
        <f t="shared" si="85"/>
        <v/>
      </c>
      <c r="AH130" s="215" t="str">
        <f t="shared" si="86"/>
        <v/>
      </c>
      <c r="AI130" s="216">
        <f t="shared" si="87"/>
        <v>0</v>
      </c>
      <c r="AL130" s="217" t="str">
        <f>IF(OR(X130=Kedvenc!$C$43,Y130=Kedvenc!$C$43),W130,"")</f>
        <v/>
      </c>
      <c r="AM130" s="218" t="str">
        <f t="shared" si="88"/>
        <v/>
      </c>
      <c r="AP130" s="245"/>
      <c r="AQ130" s="245"/>
      <c r="AR130" s="245"/>
      <c r="AS130" s="245"/>
      <c r="AT130" s="245"/>
      <c r="AU130" s="245"/>
      <c r="AV130" s="245"/>
      <c r="AW130" s="245"/>
      <c r="AX130" s="245"/>
      <c r="AY130" s="245"/>
      <c r="BA130" s="245"/>
      <c r="BE130" s="245"/>
    </row>
    <row r="131" spans="1:57" ht="14.25" hidden="1" customHeight="1" x14ac:dyDescent="0.2">
      <c r="A131" s="842"/>
      <c r="C131" s="278"/>
      <c r="D131" s="278"/>
      <c r="E131" s="265"/>
      <c r="F131" s="265"/>
      <c r="H131" s="266"/>
      <c r="I131" s="266"/>
      <c r="J131" s="223"/>
      <c r="K131" s="268"/>
      <c r="L131" s="225"/>
      <c r="M131" s="226"/>
      <c r="N131" s="209"/>
      <c r="O131" s="174"/>
      <c r="P131" s="209"/>
      <c r="Q131" s="209"/>
      <c r="R131" s="209"/>
      <c r="S131" s="209"/>
      <c r="U131" s="210" t="str">
        <f t="shared" si="75"/>
        <v>00</v>
      </c>
      <c r="V131" s="211" t="b">
        <f t="shared" si="76"/>
        <v>0</v>
      </c>
      <c r="W131" s="210">
        <f t="shared" si="89"/>
        <v>6</v>
      </c>
      <c r="X131" s="210">
        <f t="shared" si="77"/>
        <v>0</v>
      </c>
      <c r="Y131" s="210">
        <f t="shared" si="78"/>
        <v>0</v>
      </c>
      <c r="Z131" s="212" t="str">
        <f t="shared" si="79"/>
        <v/>
      </c>
      <c r="AA131" s="210" t="str">
        <f t="shared" si="80"/>
        <v/>
      </c>
      <c r="AB131" s="213"/>
      <c r="AC131" s="214" t="str">
        <f t="shared" si="81"/>
        <v/>
      </c>
      <c r="AD131" s="214" t="str">
        <f t="shared" si="82"/>
        <v/>
      </c>
      <c r="AE131" s="215" t="str">
        <f t="shared" si="83"/>
        <v/>
      </c>
      <c r="AF131" s="214" t="str">
        <f t="shared" si="84"/>
        <v/>
      </c>
      <c r="AG131" s="214" t="str">
        <f t="shared" si="85"/>
        <v/>
      </c>
      <c r="AH131" s="215" t="str">
        <f t="shared" si="86"/>
        <v/>
      </c>
      <c r="AI131" s="216">
        <f t="shared" si="87"/>
        <v>0</v>
      </c>
      <c r="AL131" s="217" t="str">
        <f>IF(OR(X131=Kedvenc!$C$43,Y131=Kedvenc!$C$43),W131,"")</f>
        <v/>
      </c>
      <c r="AM131" s="218" t="str">
        <f t="shared" si="88"/>
        <v/>
      </c>
      <c r="AP131" s="245"/>
      <c r="AQ131" s="245"/>
      <c r="AR131" s="245"/>
      <c r="AS131" s="245"/>
      <c r="AT131" s="245"/>
      <c r="AU131" s="245"/>
      <c r="AV131" s="245"/>
      <c r="AW131" s="245"/>
      <c r="AX131" s="245"/>
      <c r="AY131" s="245"/>
      <c r="BA131" s="245"/>
      <c r="BE131" s="245"/>
    </row>
    <row r="132" spans="1:57" ht="14.25" hidden="1" customHeight="1" x14ac:dyDescent="0.2">
      <c r="A132" s="842"/>
      <c r="C132" s="278"/>
      <c r="D132" s="278"/>
      <c r="E132" s="265"/>
      <c r="F132" s="265"/>
      <c r="H132" s="266"/>
      <c r="I132" s="266"/>
      <c r="J132" s="223"/>
      <c r="K132" s="268"/>
      <c r="L132" s="225"/>
      <c r="M132" s="226"/>
      <c r="N132" s="209"/>
      <c r="O132" s="174"/>
      <c r="P132" s="209"/>
      <c r="Q132" s="209"/>
      <c r="R132" s="209"/>
      <c r="S132" s="209"/>
      <c r="U132" s="210" t="str">
        <f t="shared" si="75"/>
        <v>00</v>
      </c>
      <c r="V132" s="211" t="b">
        <f t="shared" si="76"/>
        <v>0</v>
      </c>
      <c r="W132" s="210">
        <f t="shared" si="89"/>
        <v>6</v>
      </c>
      <c r="X132" s="210">
        <f t="shared" si="77"/>
        <v>0</v>
      </c>
      <c r="Y132" s="210">
        <f t="shared" si="78"/>
        <v>0</v>
      </c>
      <c r="Z132" s="212" t="str">
        <f t="shared" si="79"/>
        <v/>
      </c>
      <c r="AA132" s="210" t="str">
        <f t="shared" si="80"/>
        <v/>
      </c>
      <c r="AB132" s="213"/>
      <c r="AC132" s="214" t="str">
        <f t="shared" si="81"/>
        <v/>
      </c>
      <c r="AD132" s="214" t="str">
        <f t="shared" si="82"/>
        <v/>
      </c>
      <c r="AE132" s="215" t="str">
        <f t="shared" si="83"/>
        <v/>
      </c>
      <c r="AF132" s="214" t="str">
        <f t="shared" si="84"/>
        <v/>
      </c>
      <c r="AG132" s="214" t="str">
        <f t="shared" si="85"/>
        <v/>
      </c>
      <c r="AH132" s="215" t="str">
        <f t="shared" si="86"/>
        <v/>
      </c>
      <c r="AI132" s="216">
        <f t="shared" si="87"/>
        <v>0</v>
      </c>
      <c r="AL132" s="217" t="str">
        <f>IF(OR(X132=Kedvenc!$C$43,Y132=Kedvenc!$C$43),W132,"")</f>
        <v/>
      </c>
      <c r="AM132" s="218" t="str">
        <f t="shared" si="88"/>
        <v/>
      </c>
      <c r="AP132" s="245"/>
      <c r="AQ132" s="245"/>
      <c r="AR132" s="245"/>
      <c r="AS132" s="245"/>
      <c r="AT132" s="245"/>
      <c r="AU132" s="245"/>
      <c r="AV132" s="245"/>
      <c r="AW132" s="245"/>
      <c r="AX132" s="245"/>
      <c r="AY132" s="245"/>
      <c r="BA132" s="245"/>
      <c r="BE132" s="245"/>
    </row>
    <row r="133" spans="1:57" ht="14.25" hidden="1" customHeight="1" x14ac:dyDescent="0.2">
      <c r="A133" s="842"/>
      <c r="C133" s="278"/>
      <c r="D133" s="278"/>
      <c r="E133" s="265"/>
      <c r="F133" s="265"/>
      <c r="H133" s="266"/>
      <c r="I133" s="266"/>
      <c r="J133" s="223"/>
      <c r="K133" s="268"/>
      <c r="L133" s="225"/>
      <c r="M133" s="226"/>
      <c r="N133" s="209"/>
      <c r="O133" s="174"/>
      <c r="P133" s="209"/>
      <c r="Q133" s="209"/>
      <c r="R133" s="209"/>
      <c r="S133" s="209"/>
      <c r="U133" s="210" t="str">
        <f t="shared" si="75"/>
        <v>00</v>
      </c>
      <c r="V133" s="211" t="b">
        <f t="shared" si="76"/>
        <v>0</v>
      </c>
      <c r="W133" s="210">
        <f t="shared" si="89"/>
        <v>6</v>
      </c>
      <c r="X133" s="210">
        <f t="shared" si="77"/>
        <v>0</v>
      </c>
      <c r="Y133" s="210">
        <f t="shared" si="78"/>
        <v>0</v>
      </c>
      <c r="Z133" s="212" t="str">
        <f t="shared" si="79"/>
        <v/>
      </c>
      <c r="AA133" s="210" t="str">
        <f t="shared" si="80"/>
        <v/>
      </c>
      <c r="AB133" s="213"/>
      <c r="AC133" s="214" t="str">
        <f t="shared" si="81"/>
        <v/>
      </c>
      <c r="AD133" s="214" t="str">
        <f t="shared" si="82"/>
        <v/>
      </c>
      <c r="AE133" s="215" t="str">
        <f t="shared" si="83"/>
        <v/>
      </c>
      <c r="AF133" s="214" t="str">
        <f t="shared" si="84"/>
        <v/>
      </c>
      <c r="AG133" s="214" t="str">
        <f t="shared" si="85"/>
        <v/>
      </c>
      <c r="AH133" s="215" t="str">
        <f t="shared" si="86"/>
        <v/>
      </c>
      <c r="AI133" s="216">
        <f t="shared" si="87"/>
        <v>0</v>
      </c>
      <c r="AL133" s="217" t="str">
        <f>IF(OR(X133=Kedvenc!$C$43,Y133=Kedvenc!$C$43),W133,"")</f>
        <v/>
      </c>
      <c r="AM133" s="218" t="str">
        <f t="shared" si="88"/>
        <v/>
      </c>
      <c r="AP133" s="245"/>
      <c r="AQ133" s="245"/>
      <c r="AR133" s="245"/>
      <c r="AS133" s="245"/>
      <c r="AT133" s="245"/>
      <c r="AU133" s="245"/>
      <c r="AV133" s="245"/>
      <c r="AW133" s="245"/>
      <c r="AX133" s="245"/>
      <c r="AY133" s="245"/>
      <c r="BA133" s="245"/>
      <c r="BE133" s="245"/>
    </row>
    <row r="134" spans="1:57" ht="14.25" hidden="1" customHeight="1" x14ac:dyDescent="0.2">
      <c r="A134" s="842"/>
      <c r="C134" s="278"/>
      <c r="D134" s="278"/>
      <c r="E134" s="265"/>
      <c r="F134" s="265"/>
      <c r="H134" s="266"/>
      <c r="I134" s="266"/>
      <c r="J134" s="169"/>
      <c r="K134" s="268"/>
      <c r="L134" s="228"/>
      <c r="M134" s="228"/>
      <c r="N134" s="228"/>
      <c r="O134" s="174"/>
      <c r="P134" s="209"/>
      <c r="Q134" s="209"/>
      <c r="R134" s="209"/>
      <c r="S134" s="209"/>
      <c r="U134" s="210" t="str">
        <f t="shared" si="75"/>
        <v>00</v>
      </c>
      <c r="V134" s="211" t="b">
        <f t="shared" si="76"/>
        <v>0</v>
      </c>
      <c r="W134" s="210">
        <f t="shared" si="89"/>
        <v>6</v>
      </c>
      <c r="X134" s="210">
        <f t="shared" si="77"/>
        <v>0</v>
      </c>
      <c r="Y134" s="210">
        <f t="shared" si="78"/>
        <v>0</v>
      </c>
      <c r="Z134" s="212" t="str">
        <f t="shared" si="79"/>
        <v/>
      </c>
      <c r="AA134" s="210" t="str">
        <f t="shared" si="80"/>
        <v/>
      </c>
      <c r="AB134" s="213"/>
      <c r="AC134" s="214" t="str">
        <f t="shared" si="81"/>
        <v/>
      </c>
      <c r="AD134" s="214" t="str">
        <f t="shared" si="82"/>
        <v/>
      </c>
      <c r="AE134" s="215" t="str">
        <f t="shared" si="83"/>
        <v/>
      </c>
      <c r="AF134" s="214" t="str">
        <f t="shared" si="84"/>
        <v/>
      </c>
      <c r="AG134" s="214" t="str">
        <f t="shared" si="85"/>
        <v/>
      </c>
      <c r="AH134" s="215" t="str">
        <f t="shared" si="86"/>
        <v/>
      </c>
      <c r="AI134" s="216">
        <f t="shared" si="87"/>
        <v>0</v>
      </c>
      <c r="AL134" s="217" t="str">
        <f>IF(OR(X134=Kedvenc!$C$43,Y134=Kedvenc!$C$43),W134,"")</f>
        <v/>
      </c>
      <c r="AM134" s="218" t="str">
        <f t="shared" si="88"/>
        <v/>
      </c>
      <c r="AP134" s="245"/>
      <c r="AQ134" s="245"/>
      <c r="AR134" s="245"/>
      <c r="AS134" s="245"/>
      <c r="AT134" s="245"/>
      <c r="AU134" s="245"/>
      <c r="AV134" s="245"/>
      <c r="AW134" s="245"/>
      <c r="AX134" s="245"/>
      <c r="AY134" s="245"/>
      <c r="BA134" s="245"/>
      <c r="BE134" s="245"/>
    </row>
    <row r="135" spans="1:57" ht="14.25" customHeight="1" x14ac:dyDescent="0.2">
      <c r="A135" s="842"/>
      <c r="E135" s="247"/>
      <c r="F135" s="248"/>
      <c r="G135" s="248"/>
      <c r="H135" s="248"/>
      <c r="I135" s="247"/>
      <c r="J135" s="172"/>
      <c r="K135" s="228"/>
      <c r="L135" s="228"/>
      <c r="M135" s="228"/>
      <c r="N135" s="228"/>
      <c r="O135" s="174"/>
      <c r="P135" s="209"/>
      <c r="Q135" s="209"/>
      <c r="R135" s="209"/>
      <c r="S135" s="209"/>
      <c r="W135" s="231"/>
      <c r="AC135" s="233"/>
      <c r="AD135" s="233"/>
      <c r="AE135" s="234"/>
      <c r="AF135" s="233"/>
      <c r="AG135" s="233"/>
      <c r="AH135" s="234"/>
      <c r="AI135" s="234"/>
      <c r="AP135" s="245"/>
      <c r="AQ135" s="245"/>
      <c r="AR135" s="245"/>
      <c r="AS135" s="245"/>
      <c r="AT135" s="245"/>
      <c r="AU135" s="245"/>
      <c r="AV135" s="245"/>
      <c r="AW135" s="245"/>
      <c r="AX135" s="245"/>
      <c r="AY135" s="245"/>
      <c r="BA135" s="245"/>
      <c r="BE135" s="245"/>
    </row>
    <row r="136" spans="1:57" ht="14.25" customHeight="1" x14ac:dyDescent="0.2">
      <c r="A136" s="842"/>
      <c r="E136" s="224"/>
      <c r="F136" s="225"/>
      <c r="G136" s="226"/>
      <c r="H136" s="209"/>
      <c r="I136" s="227"/>
      <c r="J136" s="169"/>
      <c r="K136" s="228"/>
      <c r="L136" s="225"/>
      <c r="M136" s="226"/>
      <c r="N136" s="209"/>
      <c r="O136" s="174"/>
      <c r="P136" s="209"/>
      <c r="Q136" s="209"/>
      <c r="R136" s="209"/>
      <c r="S136" s="209"/>
      <c r="W136" s="231"/>
      <c r="AC136" s="233"/>
      <c r="AD136" s="233"/>
      <c r="AE136" s="234"/>
      <c r="AF136" s="233"/>
      <c r="AG136" s="233"/>
      <c r="AH136" s="234"/>
      <c r="AI136" s="197"/>
      <c r="AP136" s="245"/>
      <c r="AQ136" s="245"/>
      <c r="AR136" s="245"/>
      <c r="AS136" s="245"/>
      <c r="AT136" s="245"/>
      <c r="AU136" s="245"/>
      <c r="AV136" s="245"/>
      <c r="AW136" s="245"/>
      <c r="AX136" s="245"/>
      <c r="AY136" s="245"/>
      <c r="BA136" s="245"/>
      <c r="BD136" s="245"/>
      <c r="BE136" s="245"/>
    </row>
    <row r="137" spans="1:57" ht="14.25" customHeight="1" x14ac:dyDescent="0.2">
      <c r="A137" s="842"/>
      <c r="B137" s="187"/>
      <c r="C137" s="269" t="str">
        <f>CONCATENATE(" ",AB139,"."," forduló  –")</f>
        <v xml:space="preserve"> 7. forduló  –</v>
      </c>
      <c r="D137" s="843">
        <f>VLOOKUP(AB139,ASZ!$AQ$59:$AS$104,2,FALSE)</f>
        <v>42130</v>
      </c>
      <c r="E137" s="843"/>
      <c r="F137" s="274"/>
      <c r="G137" s="274"/>
      <c r="H137" s="274"/>
      <c r="I137" s="270" t="str">
        <f>CONCATENATE(IF($AW$61,"pont: ","gól: "),SUM(F139:H150)," / átlag: ",TEXT(IF(COUNT(F139:H150)=0,"-",SUM(F139:H150)/COUNT(F139:H150)*2),"0,00"))</f>
        <v>gól: 20 / átlag: 4,00</v>
      </c>
      <c r="J137" s="190"/>
      <c r="K137" s="271" t="s">
        <v>285</v>
      </c>
      <c r="L137" s="192"/>
      <c r="U137" s="229"/>
      <c r="V137" s="230"/>
      <c r="W137" s="231"/>
      <c r="X137" s="231"/>
      <c r="Y137" s="231"/>
      <c r="Z137" s="232"/>
      <c r="AA137" s="231"/>
      <c r="AC137" s="197"/>
      <c r="AD137" s="197"/>
      <c r="AE137" s="197"/>
      <c r="AF137" s="197"/>
      <c r="AG137" s="197"/>
      <c r="AH137" s="197"/>
      <c r="AI137" s="197"/>
      <c r="AQ137" s="245"/>
      <c r="AR137" s="245"/>
      <c r="AS137" s="245"/>
      <c r="AT137" s="245"/>
    </row>
    <row r="138" spans="1:57" ht="9" customHeight="1" x14ac:dyDescent="0.2">
      <c r="A138" s="842"/>
      <c r="J138" s="169"/>
      <c r="K138" s="228"/>
      <c r="L138" s="225"/>
      <c r="M138" s="226"/>
      <c r="N138" s="209"/>
      <c r="O138" s="174"/>
      <c r="P138" s="209"/>
      <c r="Q138" s="209"/>
      <c r="R138" s="209"/>
      <c r="S138" s="209"/>
      <c r="AP138" s="245"/>
      <c r="AQ138" s="245"/>
      <c r="AR138" s="245"/>
      <c r="AS138" s="245"/>
      <c r="AT138" s="245"/>
      <c r="AU138" s="245"/>
      <c r="AV138" s="245"/>
      <c r="AW138" s="245"/>
      <c r="AX138" s="245"/>
      <c r="AY138" s="245"/>
      <c r="BA138" s="245"/>
      <c r="BE138" s="245"/>
    </row>
    <row r="139" spans="1:57" ht="14.25" customHeight="1" x14ac:dyDescent="0.2">
      <c r="A139" s="842"/>
      <c r="C139" s="255">
        <v>42130</v>
      </c>
      <c r="D139" s="255" t="s">
        <v>497</v>
      </c>
      <c r="E139" s="265" t="s">
        <v>491</v>
      </c>
      <c r="F139" s="272">
        <v>2</v>
      </c>
      <c r="G139" s="200" t="s">
        <v>247</v>
      </c>
      <c r="H139" s="273">
        <v>4</v>
      </c>
      <c r="I139" s="266" t="s">
        <v>485</v>
      </c>
      <c r="J139" s="207"/>
      <c r="K139" s="267"/>
      <c r="L139" s="225"/>
      <c r="M139" s="226"/>
      <c r="N139" s="209"/>
      <c r="O139" s="174"/>
      <c r="P139" s="209"/>
      <c r="Q139" s="209"/>
      <c r="R139" s="209"/>
      <c r="S139" s="209"/>
      <c r="U139" s="210" t="str">
        <f t="shared" ref="U139:U150" si="90">X139&amp;Y139</f>
        <v>K&amp;HBBK</v>
      </c>
      <c r="V139" s="211" t="b">
        <f t="shared" ref="V139:V150" si="91">AND(F139&lt;&gt;"",H139&lt;&gt;"")</f>
        <v>1</v>
      </c>
      <c r="W139" s="210">
        <f>AB139</f>
        <v>7</v>
      </c>
      <c r="X139" s="210" t="str">
        <f t="shared" ref="X139:X150" si="92">E139</f>
        <v>K&amp;H</v>
      </c>
      <c r="Y139" s="210" t="str">
        <f t="shared" ref="Y139:Y150" si="93">I139</f>
        <v>BBK</v>
      </c>
      <c r="Z139" s="212">
        <f t="shared" ref="Z139:Z150" si="94">IF(V139,F139,"")</f>
        <v>2</v>
      </c>
      <c r="AA139" s="210">
        <f t="shared" ref="AA139:AA150" si="95">IF(V139,H139,"")</f>
        <v>4</v>
      </c>
      <c r="AB139" s="213">
        <f>IF(NOT(ASZTAB!$X$71),AB123+1,AB123+COUNTIF(AB107:AB138,AB123)-1)</f>
        <v>7</v>
      </c>
      <c r="AC139" s="214" t="str">
        <f t="shared" ref="AC139:AC150" si="96">IF(Z139&gt;AA139,X139,"")</f>
        <v/>
      </c>
      <c r="AD139" s="214" t="str">
        <f t="shared" ref="AD139:AD150" si="97">IF(AA139="","",IF(Z139=AA139,X139,""))</f>
        <v/>
      </c>
      <c r="AE139" s="215" t="str">
        <f t="shared" ref="AE139:AE150" si="98">IF(AND($AW$61,Z139=0,AA139=20),X139&amp;"ooo",IF(Z139&lt;AA139,X139,""))</f>
        <v>K&amp;H</v>
      </c>
      <c r="AF139" s="214" t="str">
        <f t="shared" ref="AF139:AF150" si="99">IF(AA139&gt;Z139,Y139,"")</f>
        <v>BBK</v>
      </c>
      <c r="AG139" s="214" t="str">
        <f t="shared" ref="AG139:AG150" si="100">IF(AA139="","",IF(Z139=AA139,Y139,""))</f>
        <v/>
      </c>
      <c r="AH139" s="215" t="str">
        <f t="shared" ref="AH139:AH150" si="101">IF(AND($AW$61,Z139=20,AA139=0),Y139&amp;"ooo",IF(Z139&gt;AA139,Y139,""))</f>
        <v/>
      </c>
      <c r="AI139" s="216">
        <f>C139</f>
        <v>42130</v>
      </c>
      <c r="AL139" s="217" t="str">
        <f>IF(OR(X139=Kedvenc!$C$43,Y139=Kedvenc!$C$43),W139,"")</f>
        <v/>
      </c>
      <c r="AM139" s="218" t="str">
        <f t="shared" ref="AM139:AM150" si="102">IF(AL139="","",U139)</f>
        <v/>
      </c>
      <c r="AQ139" s="245"/>
      <c r="AR139" s="245"/>
      <c r="AS139" s="245"/>
      <c r="AT139" s="245"/>
      <c r="BB139" s="285" t="str">
        <f>C139&amp;D139</f>
        <v>4213019:00 – A pálya</v>
      </c>
      <c r="BC139" s="284">
        <f>COUNTIF($BB$43:$BB$383,BB139)</f>
        <v>1</v>
      </c>
      <c r="BD139" s="512" t="str">
        <f>U139</f>
        <v>K&amp;HBBK</v>
      </c>
    </row>
    <row r="140" spans="1:57" ht="14.25" customHeight="1" x14ac:dyDescent="0.2">
      <c r="A140" s="842"/>
      <c r="C140" s="255">
        <v>42130</v>
      </c>
      <c r="D140" s="255" t="s">
        <v>498</v>
      </c>
      <c r="E140" s="265" t="s">
        <v>489</v>
      </c>
      <c r="F140" s="272">
        <v>1</v>
      </c>
      <c r="G140" s="200" t="s">
        <v>247</v>
      </c>
      <c r="H140" s="273">
        <v>1</v>
      </c>
      <c r="I140" s="266" t="s">
        <v>486</v>
      </c>
      <c r="J140" s="207"/>
      <c r="K140" s="268"/>
      <c r="L140" s="225"/>
      <c r="M140" s="226"/>
      <c r="N140" s="209"/>
      <c r="O140" s="174"/>
      <c r="U140" s="210" t="str">
        <f t="shared" si="90"/>
        <v>ÉlelmesekBHD</v>
      </c>
      <c r="V140" s="211" t="b">
        <f t="shared" si="91"/>
        <v>1</v>
      </c>
      <c r="W140" s="210">
        <f t="shared" ref="W140:W150" si="103">W139</f>
        <v>7</v>
      </c>
      <c r="X140" s="210" t="str">
        <f t="shared" si="92"/>
        <v>Élelmesek</v>
      </c>
      <c r="Y140" s="210" t="str">
        <f t="shared" si="93"/>
        <v>BHD</v>
      </c>
      <c r="Z140" s="212">
        <f t="shared" si="94"/>
        <v>1</v>
      </c>
      <c r="AA140" s="210">
        <f t="shared" si="95"/>
        <v>1</v>
      </c>
      <c r="AB140" s="213"/>
      <c r="AC140" s="214" t="str">
        <f t="shared" si="96"/>
        <v/>
      </c>
      <c r="AD140" s="214" t="str">
        <f t="shared" si="97"/>
        <v>Élelmesek</v>
      </c>
      <c r="AE140" s="215" t="str">
        <f t="shared" si="98"/>
        <v/>
      </c>
      <c r="AF140" s="214" t="str">
        <f t="shared" si="99"/>
        <v/>
      </c>
      <c r="AG140" s="214" t="str">
        <f t="shared" si="100"/>
        <v>BHD</v>
      </c>
      <c r="AH140" s="215" t="str">
        <f t="shared" si="101"/>
        <v/>
      </c>
      <c r="AI140" s="216">
        <f t="shared" si="87"/>
        <v>42130</v>
      </c>
      <c r="AL140" s="217" t="str">
        <f>IF(OR(X140=Kedvenc!$C$43,Y140=Kedvenc!$C$43),W140,"")</f>
        <v/>
      </c>
      <c r="AM140" s="218" t="str">
        <f t="shared" si="102"/>
        <v/>
      </c>
      <c r="BB140" s="285" t="str">
        <f>C140&amp;D140</f>
        <v>4213019:45 – A pálya</v>
      </c>
      <c r="BC140" s="284">
        <f>COUNTIF($BB$43:$BB$383,BB140)</f>
        <v>1</v>
      </c>
      <c r="BD140" s="512" t="str">
        <f>U140</f>
        <v>ÉlelmesekBHD</v>
      </c>
    </row>
    <row r="141" spans="1:57" ht="14.25" customHeight="1" x14ac:dyDescent="0.2">
      <c r="A141" s="842"/>
      <c r="C141" s="255">
        <v>42130</v>
      </c>
      <c r="D141" s="255" t="s">
        <v>499</v>
      </c>
      <c r="E141" s="265" t="s">
        <v>487</v>
      </c>
      <c r="F141" s="272">
        <v>2</v>
      </c>
      <c r="G141" s="200" t="s">
        <v>247</v>
      </c>
      <c r="H141" s="273">
        <v>3</v>
      </c>
      <c r="I141" s="266" t="s">
        <v>492</v>
      </c>
      <c r="J141" s="207"/>
      <c r="K141" s="268"/>
      <c r="L141" s="225"/>
      <c r="M141" s="226"/>
      <c r="N141" s="209"/>
      <c r="O141" s="174"/>
      <c r="U141" s="210" t="str">
        <f t="shared" si="90"/>
        <v>BőrdíszműRoyal Guard's</v>
      </c>
      <c r="V141" s="211" t="b">
        <f t="shared" si="91"/>
        <v>1</v>
      </c>
      <c r="W141" s="210">
        <f t="shared" si="103"/>
        <v>7</v>
      </c>
      <c r="X141" s="210" t="str">
        <f t="shared" si="92"/>
        <v>Bőrdíszmű</v>
      </c>
      <c r="Y141" s="210" t="str">
        <f t="shared" si="93"/>
        <v>Royal Guard's</v>
      </c>
      <c r="Z141" s="212">
        <f t="shared" si="94"/>
        <v>2</v>
      </c>
      <c r="AA141" s="210">
        <f t="shared" si="95"/>
        <v>3</v>
      </c>
      <c r="AB141" s="213"/>
      <c r="AC141" s="214" t="str">
        <f t="shared" si="96"/>
        <v/>
      </c>
      <c r="AD141" s="214" t="str">
        <f t="shared" si="97"/>
        <v/>
      </c>
      <c r="AE141" s="215" t="str">
        <f t="shared" si="98"/>
        <v>Bőrdíszmű</v>
      </c>
      <c r="AF141" s="214" t="str">
        <f t="shared" si="99"/>
        <v>Royal Guard's</v>
      </c>
      <c r="AG141" s="214" t="str">
        <f t="shared" si="100"/>
        <v/>
      </c>
      <c r="AH141" s="215" t="str">
        <f t="shared" si="101"/>
        <v/>
      </c>
      <c r="AI141" s="216">
        <f t="shared" si="87"/>
        <v>42130</v>
      </c>
      <c r="AL141" s="217" t="str">
        <f>IF(OR(X141=Kedvenc!$C$43,Y141=Kedvenc!$C$43),W141,"")</f>
        <v/>
      </c>
      <c r="AM141" s="218" t="str">
        <f t="shared" si="102"/>
        <v/>
      </c>
      <c r="BB141" s="285" t="str">
        <f>C141&amp;D141</f>
        <v>4213020:30 – A pálya</v>
      </c>
      <c r="BC141" s="284">
        <f>COUNTIF($BB$43:$BB$383,BB141)</f>
        <v>1</v>
      </c>
      <c r="BD141" s="512" t="str">
        <f>U141</f>
        <v>BőrdíszműRoyal Guard's</v>
      </c>
    </row>
    <row r="142" spans="1:57" ht="14.25" customHeight="1" x14ac:dyDescent="0.2">
      <c r="A142" s="842"/>
      <c r="C142" s="255">
        <v>42130</v>
      </c>
      <c r="D142" s="255" t="s">
        <v>500</v>
      </c>
      <c r="E142" s="265" t="s">
        <v>494</v>
      </c>
      <c r="F142" s="272">
        <v>4</v>
      </c>
      <c r="G142" s="200" t="s">
        <v>247</v>
      </c>
      <c r="H142" s="273">
        <v>0</v>
      </c>
      <c r="I142" s="266" t="s">
        <v>493</v>
      </c>
      <c r="J142" s="207"/>
      <c r="K142" s="268"/>
      <c r="L142" s="225"/>
      <c r="M142" s="226"/>
      <c r="N142" s="209"/>
      <c r="O142" s="174"/>
      <c r="U142" s="210" t="str">
        <f t="shared" si="90"/>
        <v>ZrínyigyöngyeVakana</v>
      </c>
      <c r="V142" s="211" t="b">
        <f t="shared" si="91"/>
        <v>1</v>
      </c>
      <c r="W142" s="210">
        <f t="shared" si="103"/>
        <v>7</v>
      </c>
      <c r="X142" s="210" t="str">
        <f t="shared" si="92"/>
        <v>Zrínyigyöngye</v>
      </c>
      <c r="Y142" s="210" t="str">
        <f t="shared" si="93"/>
        <v>Vakana</v>
      </c>
      <c r="Z142" s="212">
        <f t="shared" si="94"/>
        <v>4</v>
      </c>
      <c r="AA142" s="210">
        <f t="shared" si="95"/>
        <v>0</v>
      </c>
      <c r="AB142" s="213"/>
      <c r="AC142" s="214" t="str">
        <f t="shared" si="96"/>
        <v>Zrínyigyöngye</v>
      </c>
      <c r="AD142" s="214" t="str">
        <f t="shared" si="97"/>
        <v/>
      </c>
      <c r="AE142" s="215" t="str">
        <f t="shared" si="98"/>
        <v/>
      </c>
      <c r="AF142" s="214" t="str">
        <f t="shared" si="99"/>
        <v/>
      </c>
      <c r="AG142" s="214" t="str">
        <f t="shared" si="100"/>
        <v/>
      </c>
      <c r="AH142" s="215" t="str">
        <f t="shared" si="101"/>
        <v>Vakana</v>
      </c>
      <c r="AI142" s="216">
        <f t="shared" si="87"/>
        <v>42130</v>
      </c>
      <c r="AL142" s="217" t="str">
        <f>IF(OR(X142=Kedvenc!$C$43,Y142=Kedvenc!$C$43),W142,"")</f>
        <v/>
      </c>
      <c r="AM142" s="218" t="str">
        <f t="shared" si="102"/>
        <v/>
      </c>
      <c r="AP142" s="245"/>
      <c r="AQ142" s="245"/>
      <c r="AR142" s="245"/>
      <c r="AS142" s="245"/>
      <c r="AT142" s="245"/>
      <c r="AU142" s="245"/>
      <c r="AV142" s="245"/>
      <c r="AW142" s="245"/>
      <c r="AX142" s="245"/>
      <c r="AY142" s="245"/>
      <c r="BA142" s="245"/>
      <c r="BB142" s="285" t="str">
        <f>C142&amp;D142</f>
        <v>4213019:00 – B pálya</v>
      </c>
      <c r="BC142" s="284">
        <f>COUNTIF($BB$43:$BB$383,BB142)</f>
        <v>1</v>
      </c>
      <c r="BD142" s="512" t="str">
        <f>U142</f>
        <v>ZrínyigyöngyeVakana</v>
      </c>
      <c r="BE142" s="245"/>
    </row>
    <row r="143" spans="1:57" ht="14.25" customHeight="1" x14ac:dyDescent="0.2">
      <c r="A143" s="842"/>
      <c r="C143" s="255">
        <v>42130</v>
      </c>
      <c r="D143" s="255" t="s">
        <v>501</v>
      </c>
      <c r="E143" s="265" t="s">
        <v>484</v>
      </c>
      <c r="F143" s="272">
        <v>3</v>
      </c>
      <c r="G143" s="200" t="s">
        <v>247</v>
      </c>
      <c r="H143" s="273">
        <v>0</v>
      </c>
      <c r="I143" s="266" t="s">
        <v>488</v>
      </c>
      <c r="J143" s="223"/>
      <c r="K143" s="787" t="s">
        <v>627</v>
      </c>
      <c r="L143" s="225"/>
      <c r="M143" s="226"/>
      <c r="N143" s="209"/>
      <c r="O143" s="174"/>
      <c r="P143" s="209"/>
      <c r="Q143" s="209"/>
      <c r="R143" s="209"/>
      <c r="S143" s="209"/>
      <c r="U143" s="210" t="str">
        <f t="shared" si="90"/>
        <v>Bakafogó-Honvéd-Sashegy SECarbonász</v>
      </c>
      <c r="V143" s="211" t="b">
        <f t="shared" si="91"/>
        <v>1</v>
      </c>
      <c r="W143" s="210">
        <f t="shared" si="103"/>
        <v>7</v>
      </c>
      <c r="X143" s="210" t="str">
        <f t="shared" si="92"/>
        <v>Bakafogó-Honvéd-Sashegy SE</v>
      </c>
      <c r="Y143" s="210" t="str">
        <f t="shared" si="93"/>
        <v>Carbonász</v>
      </c>
      <c r="Z143" s="212">
        <f t="shared" si="94"/>
        <v>3</v>
      </c>
      <c r="AA143" s="210">
        <f t="shared" si="95"/>
        <v>0</v>
      </c>
      <c r="AB143" s="213"/>
      <c r="AC143" s="214" t="str">
        <f t="shared" si="96"/>
        <v>Bakafogó-Honvéd-Sashegy SE</v>
      </c>
      <c r="AD143" s="214" t="str">
        <f t="shared" si="97"/>
        <v/>
      </c>
      <c r="AE143" s="215" t="str">
        <f t="shared" si="98"/>
        <v/>
      </c>
      <c r="AF143" s="214" t="str">
        <f t="shared" si="99"/>
        <v/>
      </c>
      <c r="AG143" s="214" t="str">
        <f t="shared" si="100"/>
        <v/>
      </c>
      <c r="AH143" s="215" t="str">
        <f t="shared" si="101"/>
        <v>Carbonász</v>
      </c>
      <c r="AI143" s="216">
        <f t="shared" si="87"/>
        <v>42130</v>
      </c>
      <c r="AL143" s="217" t="str">
        <f>IF(OR(X143=Kedvenc!$C$43,Y143=Kedvenc!$C$43),W143,"")</f>
        <v/>
      </c>
      <c r="AM143" s="218" t="str">
        <f t="shared" si="102"/>
        <v/>
      </c>
      <c r="AP143" s="245"/>
      <c r="AQ143" s="245"/>
      <c r="AR143" s="245"/>
      <c r="AS143" s="245"/>
      <c r="AT143" s="245"/>
      <c r="AU143" s="245"/>
      <c r="AV143" s="245"/>
      <c r="AW143" s="245"/>
      <c r="AX143" s="245"/>
      <c r="AY143" s="245"/>
      <c r="BA143" s="245"/>
      <c r="BB143" s="285" t="str">
        <f>C143&amp;D143</f>
        <v>4213019:45 – B pálya</v>
      </c>
      <c r="BC143" s="284">
        <f>COUNTIF($BB$43:$BB$383,BB143)</f>
        <v>1</v>
      </c>
      <c r="BD143" s="512" t="str">
        <f>U143</f>
        <v>Bakafogó-Honvéd-Sashegy SECarbonász</v>
      </c>
      <c r="BE143" s="245"/>
    </row>
    <row r="144" spans="1:57" ht="14.25" customHeight="1" x14ac:dyDescent="0.2">
      <c r="A144" s="842"/>
      <c r="C144" s="278"/>
      <c r="D144" s="278"/>
      <c r="E144" s="275" t="s">
        <v>490</v>
      </c>
      <c r="F144" s="275"/>
      <c r="G144" s="276"/>
      <c r="H144" s="277"/>
      <c r="I144" s="277" t="s">
        <v>495</v>
      </c>
      <c r="J144" s="223"/>
      <c r="K144" s="268"/>
      <c r="L144" s="225"/>
      <c r="M144" s="226"/>
      <c r="N144" s="209"/>
      <c r="O144" s="174"/>
      <c r="P144" s="209"/>
      <c r="Q144" s="209"/>
      <c r="R144" s="209"/>
      <c r="S144" s="209"/>
      <c r="U144" s="210" t="str">
        <f t="shared" si="90"/>
        <v>Hercules-Ludovikaszabadnapos</v>
      </c>
      <c r="V144" s="211" t="b">
        <f t="shared" si="91"/>
        <v>0</v>
      </c>
      <c r="W144" s="210">
        <f t="shared" si="103"/>
        <v>7</v>
      </c>
      <c r="X144" s="210" t="str">
        <f t="shared" si="92"/>
        <v>Hercules-Ludovika</v>
      </c>
      <c r="Y144" s="210" t="str">
        <f t="shared" si="93"/>
        <v>szabadnapos</v>
      </c>
      <c r="Z144" s="212" t="str">
        <f t="shared" si="94"/>
        <v/>
      </c>
      <c r="AA144" s="210" t="str">
        <f t="shared" si="95"/>
        <v/>
      </c>
      <c r="AB144" s="213"/>
      <c r="AC144" s="214" t="str">
        <f t="shared" si="96"/>
        <v/>
      </c>
      <c r="AD144" s="214" t="str">
        <f t="shared" si="97"/>
        <v/>
      </c>
      <c r="AE144" s="215" t="str">
        <f t="shared" si="98"/>
        <v/>
      </c>
      <c r="AF144" s="214" t="str">
        <f t="shared" si="99"/>
        <v/>
      </c>
      <c r="AG144" s="214" t="str">
        <f t="shared" si="100"/>
        <v/>
      </c>
      <c r="AH144" s="215" t="str">
        <f t="shared" si="101"/>
        <v/>
      </c>
      <c r="AI144" s="750">
        <f>AI139</f>
        <v>42130</v>
      </c>
      <c r="AL144" s="217" t="str">
        <f>IF(OR(X144=Kedvenc!$C$43,Y144=Kedvenc!$C$43),W144,"")</f>
        <v/>
      </c>
      <c r="AM144" s="218" t="str">
        <f t="shared" si="102"/>
        <v/>
      </c>
      <c r="AP144" s="245"/>
      <c r="AQ144" s="245"/>
      <c r="AR144" s="245"/>
      <c r="AS144" s="245"/>
      <c r="AT144" s="245"/>
      <c r="AU144" s="245"/>
      <c r="AV144" s="245"/>
      <c r="AW144" s="245"/>
      <c r="AX144" s="245"/>
      <c r="AY144" s="245"/>
      <c r="BA144" s="245"/>
      <c r="BE144" s="245"/>
    </row>
    <row r="145" spans="1:57" ht="14.25" hidden="1" customHeight="1" x14ac:dyDescent="0.2">
      <c r="A145" s="842"/>
      <c r="C145" s="278"/>
      <c r="D145" s="278"/>
      <c r="E145" s="265"/>
      <c r="F145" s="265"/>
      <c r="H145" s="266"/>
      <c r="I145" s="266"/>
      <c r="J145" s="223"/>
      <c r="K145" s="268"/>
      <c r="L145" s="225"/>
      <c r="M145" s="226"/>
      <c r="N145" s="209"/>
      <c r="O145" s="174"/>
      <c r="P145" s="209"/>
      <c r="Q145" s="209"/>
      <c r="R145" s="209"/>
      <c r="S145" s="209"/>
      <c r="U145" s="210" t="str">
        <f t="shared" si="90"/>
        <v>00</v>
      </c>
      <c r="V145" s="211" t="b">
        <f t="shared" si="91"/>
        <v>0</v>
      </c>
      <c r="W145" s="210">
        <f t="shared" si="103"/>
        <v>7</v>
      </c>
      <c r="X145" s="210">
        <f t="shared" si="92"/>
        <v>0</v>
      </c>
      <c r="Y145" s="210">
        <f t="shared" si="93"/>
        <v>0</v>
      </c>
      <c r="Z145" s="212" t="str">
        <f t="shared" si="94"/>
        <v/>
      </c>
      <c r="AA145" s="210" t="str">
        <f t="shared" si="95"/>
        <v/>
      </c>
      <c r="AB145" s="213"/>
      <c r="AC145" s="214" t="str">
        <f t="shared" si="96"/>
        <v/>
      </c>
      <c r="AD145" s="214" t="str">
        <f t="shared" si="97"/>
        <v/>
      </c>
      <c r="AE145" s="215" t="str">
        <f t="shared" si="98"/>
        <v/>
      </c>
      <c r="AF145" s="214" t="str">
        <f t="shared" si="99"/>
        <v/>
      </c>
      <c r="AG145" s="214" t="str">
        <f t="shared" si="100"/>
        <v/>
      </c>
      <c r="AH145" s="215" t="str">
        <f t="shared" si="101"/>
        <v/>
      </c>
      <c r="AI145" s="216">
        <f t="shared" si="87"/>
        <v>0</v>
      </c>
      <c r="AL145" s="217" t="str">
        <f>IF(OR(X145=Kedvenc!$C$43,Y145=Kedvenc!$C$43),W145,"")</f>
        <v/>
      </c>
      <c r="AM145" s="218" t="str">
        <f t="shared" si="102"/>
        <v/>
      </c>
      <c r="AP145" s="245"/>
      <c r="AQ145" s="245"/>
      <c r="AR145" s="245"/>
      <c r="AS145" s="245"/>
      <c r="AT145" s="245"/>
      <c r="AU145" s="245"/>
      <c r="AV145" s="245"/>
      <c r="AW145" s="245"/>
      <c r="AX145" s="245"/>
      <c r="AY145" s="245"/>
      <c r="BA145" s="245"/>
      <c r="BE145" s="245"/>
    </row>
    <row r="146" spans="1:57" ht="14.25" hidden="1" customHeight="1" x14ac:dyDescent="0.2">
      <c r="A146" s="842"/>
      <c r="C146" s="278"/>
      <c r="D146" s="278"/>
      <c r="E146" s="265"/>
      <c r="F146" s="265"/>
      <c r="H146" s="266"/>
      <c r="I146" s="266"/>
      <c r="J146" s="223"/>
      <c r="K146" s="268"/>
      <c r="L146" s="225"/>
      <c r="M146" s="226"/>
      <c r="N146" s="209"/>
      <c r="O146" s="174"/>
      <c r="P146" s="209"/>
      <c r="Q146" s="209"/>
      <c r="R146" s="209"/>
      <c r="S146" s="209"/>
      <c r="U146" s="210" t="str">
        <f t="shared" si="90"/>
        <v>00</v>
      </c>
      <c r="V146" s="211" t="b">
        <f t="shared" si="91"/>
        <v>0</v>
      </c>
      <c r="W146" s="210">
        <f t="shared" si="103"/>
        <v>7</v>
      </c>
      <c r="X146" s="210">
        <f t="shared" si="92"/>
        <v>0</v>
      </c>
      <c r="Y146" s="210">
        <f t="shared" si="93"/>
        <v>0</v>
      </c>
      <c r="Z146" s="212" t="str">
        <f t="shared" si="94"/>
        <v/>
      </c>
      <c r="AA146" s="210" t="str">
        <f t="shared" si="95"/>
        <v/>
      </c>
      <c r="AB146" s="213"/>
      <c r="AC146" s="214" t="str">
        <f t="shared" si="96"/>
        <v/>
      </c>
      <c r="AD146" s="214" t="str">
        <f t="shared" si="97"/>
        <v/>
      </c>
      <c r="AE146" s="215" t="str">
        <f t="shared" si="98"/>
        <v/>
      </c>
      <c r="AF146" s="214" t="str">
        <f t="shared" si="99"/>
        <v/>
      </c>
      <c r="AG146" s="214" t="str">
        <f t="shared" si="100"/>
        <v/>
      </c>
      <c r="AH146" s="215" t="str">
        <f t="shared" si="101"/>
        <v/>
      </c>
      <c r="AI146" s="216">
        <f t="shared" si="87"/>
        <v>0</v>
      </c>
      <c r="AL146" s="217" t="str">
        <f>IF(OR(X146=Kedvenc!$C$43,Y146=Kedvenc!$C$43),W146,"")</f>
        <v/>
      </c>
      <c r="AM146" s="218" t="str">
        <f t="shared" si="102"/>
        <v/>
      </c>
      <c r="AP146" s="245"/>
      <c r="AQ146" s="245"/>
      <c r="AR146" s="245"/>
      <c r="AS146" s="245"/>
      <c r="AT146" s="245"/>
      <c r="AU146" s="245"/>
      <c r="AV146" s="245"/>
      <c r="AW146" s="245"/>
      <c r="AX146" s="245"/>
      <c r="AY146" s="245"/>
      <c r="BA146" s="245"/>
      <c r="BE146" s="245"/>
    </row>
    <row r="147" spans="1:57" ht="14.25" hidden="1" customHeight="1" x14ac:dyDescent="0.2">
      <c r="A147" s="842"/>
      <c r="C147" s="278"/>
      <c r="D147" s="278"/>
      <c r="E147" s="265"/>
      <c r="F147" s="265"/>
      <c r="H147" s="266"/>
      <c r="I147" s="266"/>
      <c r="J147" s="223"/>
      <c r="K147" s="268"/>
      <c r="L147" s="225"/>
      <c r="M147" s="226"/>
      <c r="N147" s="209"/>
      <c r="O147" s="174"/>
      <c r="P147" s="209"/>
      <c r="Q147" s="209"/>
      <c r="R147" s="209"/>
      <c r="S147" s="209"/>
      <c r="U147" s="210" t="str">
        <f t="shared" si="90"/>
        <v>00</v>
      </c>
      <c r="V147" s="211" t="b">
        <f t="shared" si="91"/>
        <v>0</v>
      </c>
      <c r="W147" s="210">
        <f t="shared" si="103"/>
        <v>7</v>
      </c>
      <c r="X147" s="210">
        <f t="shared" si="92"/>
        <v>0</v>
      </c>
      <c r="Y147" s="210">
        <f t="shared" si="93"/>
        <v>0</v>
      </c>
      <c r="Z147" s="212" t="str">
        <f t="shared" si="94"/>
        <v/>
      </c>
      <c r="AA147" s="210" t="str">
        <f t="shared" si="95"/>
        <v/>
      </c>
      <c r="AB147" s="213"/>
      <c r="AC147" s="214" t="str">
        <f t="shared" si="96"/>
        <v/>
      </c>
      <c r="AD147" s="214" t="str">
        <f t="shared" si="97"/>
        <v/>
      </c>
      <c r="AE147" s="215" t="str">
        <f t="shared" si="98"/>
        <v/>
      </c>
      <c r="AF147" s="214" t="str">
        <f t="shared" si="99"/>
        <v/>
      </c>
      <c r="AG147" s="214" t="str">
        <f t="shared" si="100"/>
        <v/>
      </c>
      <c r="AH147" s="215" t="str">
        <f t="shared" si="101"/>
        <v/>
      </c>
      <c r="AI147" s="216">
        <f t="shared" si="87"/>
        <v>0</v>
      </c>
      <c r="AL147" s="217" t="str">
        <f>IF(OR(X147=Kedvenc!$C$43,Y147=Kedvenc!$C$43),W147,"")</f>
        <v/>
      </c>
      <c r="AM147" s="218" t="str">
        <f t="shared" si="102"/>
        <v/>
      </c>
      <c r="AP147" s="245"/>
      <c r="AQ147" s="245"/>
      <c r="AR147" s="245"/>
      <c r="AS147" s="245"/>
      <c r="AT147" s="245"/>
      <c r="AU147" s="245"/>
      <c r="AV147" s="245"/>
      <c r="AW147" s="245"/>
      <c r="AX147" s="245"/>
      <c r="AY147" s="245"/>
      <c r="BA147" s="245"/>
      <c r="BE147" s="245"/>
    </row>
    <row r="148" spans="1:57" ht="14.25" hidden="1" customHeight="1" x14ac:dyDescent="0.2">
      <c r="A148" s="842"/>
      <c r="C148" s="278"/>
      <c r="D148" s="278"/>
      <c r="E148" s="265"/>
      <c r="F148" s="265"/>
      <c r="H148" s="266"/>
      <c r="I148" s="266"/>
      <c r="J148" s="223"/>
      <c r="K148" s="268"/>
      <c r="L148" s="225"/>
      <c r="M148" s="226"/>
      <c r="N148" s="209"/>
      <c r="O148" s="174"/>
      <c r="P148" s="209"/>
      <c r="Q148" s="209"/>
      <c r="R148" s="209"/>
      <c r="S148" s="209"/>
      <c r="U148" s="210" t="str">
        <f t="shared" si="90"/>
        <v>00</v>
      </c>
      <c r="V148" s="211" t="b">
        <f t="shared" si="91"/>
        <v>0</v>
      </c>
      <c r="W148" s="210">
        <f t="shared" si="103"/>
        <v>7</v>
      </c>
      <c r="X148" s="210">
        <f t="shared" si="92"/>
        <v>0</v>
      </c>
      <c r="Y148" s="210">
        <f t="shared" si="93"/>
        <v>0</v>
      </c>
      <c r="Z148" s="212" t="str">
        <f t="shared" si="94"/>
        <v/>
      </c>
      <c r="AA148" s="210" t="str">
        <f t="shared" si="95"/>
        <v/>
      </c>
      <c r="AB148" s="213"/>
      <c r="AC148" s="214" t="str">
        <f t="shared" si="96"/>
        <v/>
      </c>
      <c r="AD148" s="214" t="str">
        <f t="shared" si="97"/>
        <v/>
      </c>
      <c r="AE148" s="215" t="str">
        <f t="shared" si="98"/>
        <v/>
      </c>
      <c r="AF148" s="214" t="str">
        <f t="shared" si="99"/>
        <v/>
      </c>
      <c r="AG148" s="214" t="str">
        <f t="shared" si="100"/>
        <v/>
      </c>
      <c r="AH148" s="215" t="str">
        <f t="shared" si="101"/>
        <v/>
      </c>
      <c r="AI148" s="216">
        <f t="shared" si="87"/>
        <v>0</v>
      </c>
      <c r="AL148" s="217" t="str">
        <f>IF(OR(X148=Kedvenc!$C$43,Y148=Kedvenc!$C$43),W148,"")</f>
        <v/>
      </c>
      <c r="AM148" s="218" t="str">
        <f t="shared" si="102"/>
        <v/>
      </c>
      <c r="AP148" s="245"/>
      <c r="AQ148" s="245"/>
      <c r="AR148" s="245"/>
      <c r="AS148" s="245"/>
      <c r="AT148" s="245"/>
      <c r="AU148" s="245"/>
      <c r="AV148" s="245"/>
      <c r="AW148" s="245"/>
      <c r="AX148" s="245"/>
      <c r="AY148" s="245"/>
      <c r="BA148" s="245"/>
      <c r="BE148" s="245"/>
    </row>
    <row r="149" spans="1:57" ht="14.25" hidden="1" customHeight="1" x14ac:dyDescent="0.2">
      <c r="A149" s="842"/>
      <c r="C149" s="278"/>
      <c r="D149" s="278"/>
      <c r="E149" s="265"/>
      <c r="F149" s="265"/>
      <c r="H149" s="266"/>
      <c r="I149" s="266"/>
      <c r="J149" s="223"/>
      <c r="K149" s="268"/>
      <c r="L149" s="225"/>
      <c r="M149" s="226"/>
      <c r="N149" s="209"/>
      <c r="O149" s="174"/>
      <c r="P149" s="209"/>
      <c r="Q149" s="209"/>
      <c r="R149" s="209"/>
      <c r="S149" s="209"/>
      <c r="U149" s="210" t="str">
        <f t="shared" si="90"/>
        <v>00</v>
      </c>
      <c r="V149" s="211" t="b">
        <f t="shared" si="91"/>
        <v>0</v>
      </c>
      <c r="W149" s="210">
        <f t="shared" si="103"/>
        <v>7</v>
      </c>
      <c r="X149" s="210">
        <f t="shared" si="92"/>
        <v>0</v>
      </c>
      <c r="Y149" s="210">
        <f t="shared" si="93"/>
        <v>0</v>
      </c>
      <c r="Z149" s="212" t="str">
        <f t="shared" si="94"/>
        <v/>
      </c>
      <c r="AA149" s="210" t="str">
        <f t="shared" si="95"/>
        <v/>
      </c>
      <c r="AB149" s="213"/>
      <c r="AC149" s="214" t="str">
        <f t="shared" si="96"/>
        <v/>
      </c>
      <c r="AD149" s="214" t="str">
        <f t="shared" si="97"/>
        <v/>
      </c>
      <c r="AE149" s="215" t="str">
        <f t="shared" si="98"/>
        <v/>
      </c>
      <c r="AF149" s="214" t="str">
        <f t="shared" si="99"/>
        <v/>
      </c>
      <c r="AG149" s="214" t="str">
        <f t="shared" si="100"/>
        <v/>
      </c>
      <c r="AH149" s="215" t="str">
        <f t="shared" si="101"/>
        <v/>
      </c>
      <c r="AI149" s="216">
        <f t="shared" si="87"/>
        <v>0</v>
      </c>
      <c r="AL149" s="217" t="str">
        <f>IF(OR(X149=Kedvenc!$C$43,Y149=Kedvenc!$C$43),W149,"")</f>
        <v/>
      </c>
      <c r="AM149" s="218" t="str">
        <f t="shared" si="102"/>
        <v/>
      </c>
      <c r="AP149" s="245"/>
      <c r="AQ149" s="245"/>
      <c r="AR149" s="245"/>
      <c r="AS149" s="245"/>
      <c r="AT149" s="245"/>
      <c r="AU149" s="245"/>
      <c r="AV149" s="245"/>
      <c r="AW149" s="245"/>
      <c r="AX149" s="245"/>
      <c r="AY149" s="245"/>
      <c r="BA149" s="245"/>
      <c r="BE149" s="245"/>
    </row>
    <row r="150" spans="1:57" ht="14.25" hidden="1" customHeight="1" x14ac:dyDescent="0.2">
      <c r="A150" s="842"/>
      <c r="C150" s="278"/>
      <c r="D150" s="278"/>
      <c r="E150" s="265"/>
      <c r="F150" s="265"/>
      <c r="H150" s="266"/>
      <c r="I150" s="266"/>
      <c r="J150" s="169"/>
      <c r="K150" s="268"/>
      <c r="L150" s="228"/>
      <c r="M150" s="228"/>
      <c r="N150" s="228"/>
      <c r="O150" s="174"/>
      <c r="P150" s="209"/>
      <c r="Q150" s="209"/>
      <c r="R150" s="209"/>
      <c r="S150" s="209"/>
      <c r="U150" s="210" t="str">
        <f t="shared" si="90"/>
        <v>00</v>
      </c>
      <c r="V150" s="211" t="b">
        <f t="shared" si="91"/>
        <v>0</v>
      </c>
      <c r="W150" s="210">
        <f t="shared" si="103"/>
        <v>7</v>
      </c>
      <c r="X150" s="210">
        <f t="shared" si="92"/>
        <v>0</v>
      </c>
      <c r="Y150" s="210">
        <f t="shared" si="93"/>
        <v>0</v>
      </c>
      <c r="Z150" s="212" t="str">
        <f t="shared" si="94"/>
        <v/>
      </c>
      <c r="AA150" s="210" t="str">
        <f t="shared" si="95"/>
        <v/>
      </c>
      <c r="AB150" s="213"/>
      <c r="AC150" s="214" t="str">
        <f t="shared" si="96"/>
        <v/>
      </c>
      <c r="AD150" s="214" t="str">
        <f t="shared" si="97"/>
        <v/>
      </c>
      <c r="AE150" s="215" t="str">
        <f t="shared" si="98"/>
        <v/>
      </c>
      <c r="AF150" s="214" t="str">
        <f t="shared" si="99"/>
        <v/>
      </c>
      <c r="AG150" s="214" t="str">
        <f t="shared" si="100"/>
        <v/>
      </c>
      <c r="AH150" s="215" t="str">
        <f t="shared" si="101"/>
        <v/>
      </c>
      <c r="AI150" s="216">
        <f t="shared" si="87"/>
        <v>0</v>
      </c>
      <c r="AL150" s="217" t="str">
        <f>IF(OR(X150=Kedvenc!$C$43,Y150=Kedvenc!$C$43),W150,"")</f>
        <v/>
      </c>
      <c r="AM150" s="218" t="str">
        <f t="shared" si="102"/>
        <v/>
      </c>
      <c r="AP150" s="245"/>
      <c r="AQ150" s="245"/>
      <c r="AR150" s="245"/>
      <c r="AS150" s="245"/>
      <c r="AT150" s="245"/>
      <c r="AU150" s="245"/>
      <c r="AV150" s="245"/>
      <c r="AW150" s="245"/>
      <c r="AX150" s="245"/>
      <c r="AY150" s="245"/>
      <c r="BA150" s="245"/>
      <c r="BE150" s="245"/>
    </row>
    <row r="151" spans="1:57" ht="14.25" customHeight="1" x14ac:dyDescent="0.2">
      <c r="A151" s="842"/>
      <c r="E151" s="247"/>
      <c r="F151" s="248"/>
      <c r="G151" s="248"/>
      <c r="H151" s="248"/>
      <c r="I151" s="247"/>
      <c r="J151" s="172"/>
      <c r="K151" s="228"/>
      <c r="L151" s="228"/>
      <c r="M151" s="228"/>
      <c r="N151" s="228"/>
      <c r="O151" s="174"/>
      <c r="P151" s="209"/>
      <c r="Q151" s="209"/>
      <c r="R151" s="209"/>
      <c r="S151" s="209"/>
      <c r="W151" s="231"/>
      <c r="AC151" s="233"/>
      <c r="AD151" s="233"/>
      <c r="AE151" s="234"/>
      <c r="AF151" s="233"/>
      <c r="AG151" s="233"/>
      <c r="AH151" s="234"/>
      <c r="AI151" s="234"/>
      <c r="AP151" s="245"/>
      <c r="AQ151" s="245"/>
      <c r="AR151" s="245"/>
      <c r="AS151" s="245"/>
      <c r="AT151" s="245"/>
      <c r="AU151" s="245"/>
      <c r="AV151" s="245"/>
      <c r="AW151" s="245"/>
      <c r="AX151" s="245"/>
      <c r="AY151" s="245"/>
      <c r="BA151" s="245"/>
      <c r="BE151" s="245"/>
    </row>
    <row r="152" spans="1:57" ht="14.25" customHeight="1" x14ac:dyDescent="0.2">
      <c r="A152" s="842"/>
      <c r="E152" s="224"/>
      <c r="F152" s="225"/>
      <c r="G152" s="226"/>
      <c r="H152" s="209"/>
      <c r="I152" s="227"/>
      <c r="J152" s="169"/>
      <c r="K152" s="228"/>
      <c r="L152" s="225"/>
      <c r="M152" s="226"/>
      <c r="N152" s="209"/>
      <c r="O152" s="174"/>
      <c r="P152" s="209"/>
      <c r="Q152" s="209"/>
      <c r="R152" s="209"/>
      <c r="S152" s="209"/>
      <c r="W152" s="231"/>
      <c r="AC152" s="233"/>
      <c r="AD152" s="233"/>
      <c r="AE152" s="234"/>
      <c r="AF152" s="233"/>
      <c r="AG152" s="233"/>
      <c r="AH152" s="234"/>
      <c r="AI152" s="197"/>
      <c r="AP152" s="245"/>
      <c r="AQ152" s="245"/>
      <c r="AR152" s="245"/>
      <c r="AS152" s="245"/>
      <c r="AT152" s="245"/>
      <c r="AU152" s="245"/>
      <c r="AV152" s="245"/>
      <c r="AW152" s="245"/>
      <c r="AX152" s="245"/>
      <c r="AY152" s="245"/>
      <c r="BA152" s="245"/>
      <c r="BD152" s="245"/>
      <c r="BE152" s="245"/>
    </row>
    <row r="153" spans="1:57" ht="14.25" customHeight="1" x14ac:dyDescent="0.2">
      <c r="A153" s="842"/>
      <c r="B153" s="187"/>
      <c r="C153" s="269" t="str">
        <f>CONCATENATE(" ",AB155,"."," forduló  –")</f>
        <v xml:space="preserve"> 8. forduló  –</v>
      </c>
      <c r="D153" s="843">
        <f>VLOOKUP(AB155,ASZ!$AQ$59:$AS$104,2,FALSE)</f>
        <v>42137</v>
      </c>
      <c r="E153" s="843"/>
      <c r="F153" s="274"/>
      <c r="G153" s="274"/>
      <c r="H153" s="274"/>
      <c r="I153" s="270" t="str">
        <f>CONCATENATE(IF($AW$61,"pont: ","gól: "),SUM(F155:H166)," / átlag: ",TEXT(IF(COUNT(F155:H166)=0,"-",SUM(F155:H166)/COUNT(F155:H166)*2),"0,00"))</f>
        <v>gól: 38 / átlag: 7,60</v>
      </c>
      <c r="J153" s="190"/>
      <c r="K153" s="271" t="s">
        <v>285</v>
      </c>
      <c r="L153" s="192"/>
      <c r="U153" s="229"/>
      <c r="V153" s="230"/>
      <c r="W153" s="231"/>
      <c r="X153" s="231"/>
      <c r="Y153" s="231"/>
      <c r="Z153" s="232"/>
      <c r="AA153" s="231"/>
      <c r="AC153" s="197"/>
      <c r="AD153" s="197"/>
      <c r="AE153" s="197"/>
      <c r="AF153" s="197"/>
      <c r="AG153" s="197"/>
      <c r="AH153" s="197"/>
      <c r="AI153" s="197"/>
      <c r="AQ153" s="245"/>
      <c r="AR153" s="245"/>
      <c r="AS153" s="245"/>
      <c r="AT153" s="245"/>
    </row>
    <row r="154" spans="1:57" ht="9" customHeight="1" x14ac:dyDescent="0.2">
      <c r="A154" s="842"/>
      <c r="J154" s="169"/>
      <c r="K154" s="228"/>
      <c r="L154" s="225"/>
      <c r="M154" s="226"/>
      <c r="N154" s="209"/>
      <c r="O154" s="174"/>
      <c r="P154" s="209"/>
      <c r="Q154" s="209"/>
      <c r="R154" s="209"/>
      <c r="S154" s="209"/>
      <c r="AP154" s="245"/>
      <c r="AQ154" s="245"/>
      <c r="AR154" s="245"/>
      <c r="AS154" s="245"/>
      <c r="AT154" s="245"/>
      <c r="AU154" s="245"/>
      <c r="AV154" s="245"/>
      <c r="AW154" s="245"/>
      <c r="AX154" s="245"/>
      <c r="AY154" s="245"/>
      <c r="BA154" s="245"/>
      <c r="BE154" s="245"/>
    </row>
    <row r="155" spans="1:57" ht="14.25" customHeight="1" x14ac:dyDescent="0.2">
      <c r="A155" s="842"/>
      <c r="C155" s="255">
        <v>42137</v>
      </c>
      <c r="D155" s="255" t="s">
        <v>497</v>
      </c>
      <c r="E155" s="265" t="s">
        <v>494</v>
      </c>
      <c r="F155" s="272">
        <v>3</v>
      </c>
      <c r="G155" s="200" t="s">
        <v>247</v>
      </c>
      <c r="H155" s="273">
        <v>1</v>
      </c>
      <c r="I155" s="266" t="s">
        <v>489</v>
      </c>
      <c r="J155" s="207"/>
      <c r="K155" s="267"/>
      <c r="L155" s="225"/>
      <c r="M155" s="226"/>
      <c r="N155" s="209"/>
      <c r="O155" s="174"/>
      <c r="P155" s="209"/>
      <c r="Q155" s="209"/>
      <c r="R155" s="209"/>
      <c r="S155" s="209"/>
      <c r="U155" s="210" t="str">
        <f t="shared" ref="U155:U166" si="104">X155&amp;Y155</f>
        <v>ZrínyigyöngyeÉlelmesek</v>
      </c>
      <c r="V155" s="211" t="b">
        <f t="shared" ref="V155:V166" si="105">AND(F155&lt;&gt;"",H155&lt;&gt;"")</f>
        <v>1</v>
      </c>
      <c r="W155" s="210">
        <f>AB155</f>
        <v>8</v>
      </c>
      <c r="X155" s="210" t="str">
        <f t="shared" ref="X155:X166" si="106">E155</f>
        <v>Zrínyigyöngye</v>
      </c>
      <c r="Y155" s="210" t="str">
        <f t="shared" ref="Y155:Y166" si="107">I155</f>
        <v>Élelmesek</v>
      </c>
      <c r="Z155" s="212">
        <f t="shared" ref="Z155:Z166" si="108">IF(V155,F155,"")</f>
        <v>3</v>
      </c>
      <c r="AA155" s="210">
        <f t="shared" ref="AA155:AA166" si="109">IF(V155,H155,"")</f>
        <v>1</v>
      </c>
      <c r="AB155" s="213">
        <f>IF(NOT(ASZTAB!$X$71),AB139+1,AB139+COUNTIF(AB123:AB154,AB139)-1)</f>
        <v>8</v>
      </c>
      <c r="AC155" s="214" t="str">
        <f t="shared" ref="AC155:AC166" si="110">IF(Z155&gt;AA155,X155,"")</f>
        <v>Zrínyigyöngye</v>
      </c>
      <c r="AD155" s="214" t="str">
        <f t="shared" ref="AD155:AD166" si="111">IF(AA155="","",IF(Z155=AA155,X155,""))</f>
        <v/>
      </c>
      <c r="AE155" s="215" t="str">
        <f t="shared" ref="AE155:AE166" si="112">IF(AND($AW$61,Z155=0,AA155=20),X155&amp;"ooo",IF(Z155&lt;AA155,X155,""))</f>
        <v/>
      </c>
      <c r="AF155" s="214" t="str">
        <f t="shared" ref="AF155:AF166" si="113">IF(AA155&gt;Z155,Y155,"")</f>
        <v/>
      </c>
      <c r="AG155" s="214" t="str">
        <f t="shared" ref="AG155:AG166" si="114">IF(AA155="","",IF(Z155=AA155,Y155,""))</f>
        <v/>
      </c>
      <c r="AH155" s="215" t="str">
        <f t="shared" ref="AH155:AH166" si="115">IF(AND($AW$61,Z155=20,AA155=0),Y155&amp;"ooo",IF(Z155&gt;AA155,Y155,""))</f>
        <v>Élelmesek</v>
      </c>
      <c r="AI155" s="216">
        <f>C155</f>
        <v>42137</v>
      </c>
      <c r="AL155" s="217" t="str">
        <f>IF(OR(X155=Kedvenc!$C$43,Y155=Kedvenc!$C$43),W155,"")</f>
        <v/>
      </c>
      <c r="AM155" s="218" t="str">
        <f t="shared" ref="AM155:AM166" si="116">IF(AL155="","",U155)</f>
        <v/>
      </c>
      <c r="AQ155" s="245"/>
      <c r="AR155" s="245"/>
      <c r="AS155" s="245"/>
      <c r="AT155" s="245"/>
      <c r="BB155" s="285" t="str">
        <f>C155&amp;D155</f>
        <v>4213719:00 – A pálya</v>
      </c>
      <c r="BC155" s="284">
        <f>COUNTIF($BB$43:$BB$383,BB155)</f>
        <v>1</v>
      </c>
      <c r="BD155" s="512" t="str">
        <f>U155</f>
        <v>ZrínyigyöngyeÉlelmesek</v>
      </c>
    </row>
    <row r="156" spans="1:57" ht="14.25" customHeight="1" x14ac:dyDescent="0.2">
      <c r="A156" s="842"/>
      <c r="C156" s="255">
        <v>42137</v>
      </c>
      <c r="D156" s="255" t="s">
        <v>498</v>
      </c>
      <c r="E156" s="265" t="s">
        <v>491</v>
      </c>
      <c r="F156" s="272">
        <v>5</v>
      </c>
      <c r="G156" s="200" t="s">
        <v>247</v>
      </c>
      <c r="H156" s="273">
        <v>2</v>
      </c>
      <c r="I156" s="266" t="s">
        <v>487</v>
      </c>
      <c r="J156" s="207"/>
      <c r="K156" s="268"/>
      <c r="L156" s="225"/>
      <c r="M156" s="226"/>
      <c r="N156" s="209"/>
      <c r="O156" s="174"/>
      <c r="U156" s="210" t="str">
        <f t="shared" si="104"/>
        <v>K&amp;HBőrdíszmű</v>
      </c>
      <c r="V156" s="211" t="b">
        <f t="shared" si="105"/>
        <v>1</v>
      </c>
      <c r="W156" s="210">
        <f t="shared" ref="W156:W166" si="117">W155</f>
        <v>8</v>
      </c>
      <c r="X156" s="210" t="str">
        <f t="shared" si="106"/>
        <v>K&amp;H</v>
      </c>
      <c r="Y156" s="210" t="str">
        <f t="shared" si="107"/>
        <v>Bőrdíszmű</v>
      </c>
      <c r="Z156" s="212">
        <f t="shared" si="108"/>
        <v>5</v>
      </c>
      <c r="AA156" s="210">
        <f t="shared" si="109"/>
        <v>2</v>
      </c>
      <c r="AB156" s="213"/>
      <c r="AC156" s="214" t="str">
        <f t="shared" si="110"/>
        <v>K&amp;H</v>
      </c>
      <c r="AD156" s="214" t="str">
        <f t="shared" si="111"/>
        <v/>
      </c>
      <c r="AE156" s="215" t="str">
        <f t="shared" si="112"/>
        <v/>
      </c>
      <c r="AF156" s="214" t="str">
        <f t="shared" si="113"/>
        <v/>
      </c>
      <c r="AG156" s="214" t="str">
        <f t="shared" si="114"/>
        <v/>
      </c>
      <c r="AH156" s="215" t="str">
        <f t="shared" si="115"/>
        <v>Bőrdíszmű</v>
      </c>
      <c r="AI156" s="216">
        <f t="shared" si="87"/>
        <v>42137</v>
      </c>
      <c r="AL156" s="217" t="str">
        <f>IF(OR(X156=Kedvenc!$C$43,Y156=Kedvenc!$C$43),W156,"")</f>
        <v/>
      </c>
      <c r="AM156" s="218" t="str">
        <f t="shared" si="116"/>
        <v/>
      </c>
      <c r="BB156" s="285" t="str">
        <f>C156&amp;D156</f>
        <v>4213719:45 – A pálya</v>
      </c>
      <c r="BC156" s="284">
        <f>COUNTIF($BB$43:$BB$383,BB156)</f>
        <v>1</v>
      </c>
      <c r="BD156" s="512" t="str">
        <f>U156</f>
        <v>K&amp;HBőrdíszmű</v>
      </c>
    </row>
    <row r="157" spans="1:57" ht="14.25" customHeight="1" x14ac:dyDescent="0.2">
      <c r="A157" s="842"/>
      <c r="C157" s="255">
        <v>42137</v>
      </c>
      <c r="D157" s="255" t="s">
        <v>499</v>
      </c>
      <c r="E157" s="265" t="s">
        <v>493</v>
      </c>
      <c r="F157" s="272">
        <v>1</v>
      </c>
      <c r="G157" s="200" t="s">
        <v>247</v>
      </c>
      <c r="H157" s="273">
        <v>11</v>
      </c>
      <c r="I157" s="266" t="s">
        <v>490</v>
      </c>
      <c r="J157" s="207"/>
      <c r="K157" s="268"/>
      <c r="L157" s="225"/>
      <c r="M157" s="226"/>
      <c r="N157" s="209"/>
      <c r="O157" s="174"/>
      <c r="U157" s="210" t="str">
        <f t="shared" si="104"/>
        <v>VakanaHercules-Ludovika</v>
      </c>
      <c r="V157" s="211" t="b">
        <f t="shared" si="105"/>
        <v>1</v>
      </c>
      <c r="W157" s="210">
        <f t="shared" si="117"/>
        <v>8</v>
      </c>
      <c r="X157" s="210" t="str">
        <f t="shared" si="106"/>
        <v>Vakana</v>
      </c>
      <c r="Y157" s="210" t="str">
        <f t="shared" si="107"/>
        <v>Hercules-Ludovika</v>
      </c>
      <c r="Z157" s="212">
        <f t="shared" si="108"/>
        <v>1</v>
      </c>
      <c r="AA157" s="210">
        <f t="shared" si="109"/>
        <v>11</v>
      </c>
      <c r="AB157" s="213"/>
      <c r="AC157" s="214" t="str">
        <f t="shared" si="110"/>
        <v/>
      </c>
      <c r="AD157" s="214" t="str">
        <f t="shared" si="111"/>
        <v/>
      </c>
      <c r="AE157" s="215" t="str">
        <f t="shared" si="112"/>
        <v>Vakana</v>
      </c>
      <c r="AF157" s="214" t="str">
        <f t="shared" si="113"/>
        <v>Hercules-Ludovika</v>
      </c>
      <c r="AG157" s="214" t="str">
        <f t="shared" si="114"/>
        <v/>
      </c>
      <c r="AH157" s="215" t="str">
        <f t="shared" si="115"/>
        <v/>
      </c>
      <c r="AI157" s="216">
        <f t="shared" si="87"/>
        <v>42137</v>
      </c>
      <c r="AL157" s="217" t="str">
        <f>IF(OR(X157=Kedvenc!$C$43,Y157=Kedvenc!$C$43),W157,"")</f>
        <v/>
      </c>
      <c r="AM157" s="218" t="str">
        <f t="shared" si="116"/>
        <v/>
      </c>
      <c r="BB157" s="285" t="str">
        <f>C157&amp;D157</f>
        <v>4213720:30 – A pálya</v>
      </c>
      <c r="BC157" s="284">
        <f>COUNTIF($BB$43:$BB$383,BB157)</f>
        <v>1</v>
      </c>
      <c r="BD157" s="512" t="str">
        <f>U157</f>
        <v>VakanaHercules-Ludovika</v>
      </c>
    </row>
    <row r="158" spans="1:57" ht="14.25" customHeight="1" x14ac:dyDescent="0.2">
      <c r="A158" s="842"/>
      <c r="C158" s="255">
        <v>42137</v>
      </c>
      <c r="D158" s="255" t="s">
        <v>500</v>
      </c>
      <c r="E158" s="265" t="s">
        <v>485</v>
      </c>
      <c r="F158" s="272">
        <v>3</v>
      </c>
      <c r="G158" s="200" t="s">
        <v>247</v>
      </c>
      <c r="H158" s="273">
        <v>1</v>
      </c>
      <c r="I158" s="266" t="s">
        <v>484</v>
      </c>
      <c r="J158" s="207"/>
      <c r="K158" s="268"/>
      <c r="L158" s="225"/>
      <c r="M158" s="226"/>
      <c r="N158" s="209"/>
      <c r="O158" s="174"/>
      <c r="U158" s="210" t="str">
        <f t="shared" si="104"/>
        <v>BBKBakafogó-Honvéd-Sashegy SE</v>
      </c>
      <c r="V158" s="211" t="b">
        <f t="shared" si="105"/>
        <v>1</v>
      </c>
      <c r="W158" s="210">
        <f t="shared" si="117"/>
        <v>8</v>
      </c>
      <c r="X158" s="210" t="str">
        <f t="shared" si="106"/>
        <v>BBK</v>
      </c>
      <c r="Y158" s="210" t="str">
        <f t="shared" si="107"/>
        <v>Bakafogó-Honvéd-Sashegy SE</v>
      </c>
      <c r="Z158" s="212">
        <f t="shared" si="108"/>
        <v>3</v>
      </c>
      <c r="AA158" s="210">
        <f t="shared" si="109"/>
        <v>1</v>
      </c>
      <c r="AB158" s="213"/>
      <c r="AC158" s="214" t="str">
        <f t="shared" si="110"/>
        <v>BBK</v>
      </c>
      <c r="AD158" s="214" t="str">
        <f t="shared" si="111"/>
        <v/>
      </c>
      <c r="AE158" s="215" t="str">
        <f t="shared" si="112"/>
        <v/>
      </c>
      <c r="AF158" s="214" t="str">
        <f t="shared" si="113"/>
        <v/>
      </c>
      <c r="AG158" s="214" t="str">
        <f t="shared" si="114"/>
        <v/>
      </c>
      <c r="AH158" s="215" t="str">
        <f t="shared" si="115"/>
        <v>Bakafogó-Honvéd-Sashegy SE</v>
      </c>
      <c r="AI158" s="216">
        <f t="shared" si="87"/>
        <v>42137</v>
      </c>
      <c r="AL158" s="217" t="str">
        <f>IF(OR(X158=Kedvenc!$C$43,Y158=Kedvenc!$C$43),W158,"")</f>
        <v/>
      </c>
      <c r="AM158" s="218" t="str">
        <f t="shared" si="116"/>
        <v/>
      </c>
      <c r="AP158" s="245"/>
      <c r="AQ158" s="245"/>
      <c r="AR158" s="245"/>
      <c r="AS158" s="245"/>
      <c r="AT158" s="245"/>
      <c r="AU158" s="245"/>
      <c r="AV158" s="245"/>
      <c r="AW158" s="245"/>
      <c r="AX158" s="245"/>
      <c r="AY158" s="245"/>
      <c r="BA158" s="245"/>
      <c r="BB158" s="285" t="str">
        <f>C158&amp;D158</f>
        <v>4213719:00 – B pálya</v>
      </c>
      <c r="BC158" s="284">
        <f>COUNTIF($BB$43:$BB$383,BB158)</f>
        <v>1</v>
      </c>
      <c r="BD158" s="512" t="str">
        <f>U158</f>
        <v>BBKBakafogó-Honvéd-Sashegy SE</v>
      </c>
      <c r="BE158" s="245"/>
    </row>
    <row r="159" spans="1:57" ht="14.25" customHeight="1" x14ac:dyDescent="0.2">
      <c r="A159" s="842"/>
      <c r="C159" s="255">
        <v>42137</v>
      </c>
      <c r="D159" s="255" t="s">
        <v>501</v>
      </c>
      <c r="E159" s="265" t="s">
        <v>486</v>
      </c>
      <c r="F159" s="272">
        <v>10</v>
      </c>
      <c r="G159" s="200" t="s">
        <v>247</v>
      </c>
      <c r="H159" s="273">
        <v>1</v>
      </c>
      <c r="I159" s="266" t="s">
        <v>488</v>
      </c>
      <c r="J159" s="223"/>
      <c r="K159" s="787"/>
      <c r="L159" s="225"/>
      <c r="M159" s="226"/>
      <c r="N159" s="209"/>
      <c r="O159" s="174"/>
      <c r="P159" s="209"/>
      <c r="Q159" s="209"/>
      <c r="R159" s="209"/>
      <c r="S159" s="209"/>
      <c r="U159" s="210" t="str">
        <f t="shared" si="104"/>
        <v>BHDCarbonász</v>
      </c>
      <c r="V159" s="211" t="b">
        <f t="shared" si="105"/>
        <v>1</v>
      </c>
      <c r="W159" s="210">
        <f t="shared" si="117"/>
        <v>8</v>
      </c>
      <c r="X159" s="210" t="str">
        <f t="shared" si="106"/>
        <v>BHD</v>
      </c>
      <c r="Y159" s="210" t="str">
        <f t="shared" si="107"/>
        <v>Carbonász</v>
      </c>
      <c r="Z159" s="212">
        <f t="shared" si="108"/>
        <v>10</v>
      </c>
      <c r="AA159" s="210">
        <f t="shared" si="109"/>
        <v>1</v>
      </c>
      <c r="AB159" s="213"/>
      <c r="AC159" s="214" t="str">
        <f t="shared" si="110"/>
        <v>BHD</v>
      </c>
      <c r="AD159" s="214" t="str">
        <f t="shared" si="111"/>
        <v/>
      </c>
      <c r="AE159" s="215" t="str">
        <f t="shared" si="112"/>
        <v/>
      </c>
      <c r="AF159" s="214" t="str">
        <f t="shared" si="113"/>
        <v/>
      </c>
      <c r="AG159" s="214" t="str">
        <f t="shared" si="114"/>
        <v/>
      </c>
      <c r="AH159" s="215" t="str">
        <f t="shared" si="115"/>
        <v>Carbonász</v>
      </c>
      <c r="AI159" s="216">
        <f t="shared" si="87"/>
        <v>42137</v>
      </c>
      <c r="AL159" s="217" t="str">
        <f>IF(OR(X159=Kedvenc!$C$43,Y159=Kedvenc!$C$43),W159,"")</f>
        <v/>
      </c>
      <c r="AM159" s="218" t="str">
        <f t="shared" si="116"/>
        <v/>
      </c>
      <c r="AP159" s="245"/>
      <c r="AQ159" s="245"/>
      <c r="AR159" s="245"/>
      <c r="AS159" s="245"/>
      <c r="AT159" s="245"/>
      <c r="AU159" s="245"/>
      <c r="AV159" s="245"/>
      <c r="AW159" s="245"/>
      <c r="AX159" s="245"/>
      <c r="AY159" s="245"/>
      <c r="BA159" s="245"/>
      <c r="BB159" s="285" t="str">
        <f>C159&amp;D159</f>
        <v>4213719:45 – B pálya</v>
      </c>
      <c r="BC159" s="284">
        <f>COUNTIF($BB$43:$BB$383,BB159)</f>
        <v>1</v>
      </c>
      <c r="BD159" s="512" t="str">
        <f>U159</f>
        <v>BHDCarbonász</v>
      </c>
      <c r="BE159" s="245"/>
    </row>
    <row r="160" spans="1:57" ht="14.25" customHeight="1" x14ac:dyDescent="0.2">
      <c r="A160" s="842"/>
      <c r="C160" s="278"/>
      <c r="D160" s="278"/>
      <c r="E160" s="275" t="s">
        <v>492</v>
      </c>
      <c r="F160" s="275"/>
      <c r="G160" s="276"/>
      <c r="H160" s="277"/>
      <c r="I160" s="277" t="s">
        <v>495</v>
      </c>
      <c r="J160" s="223"/>
      <c r="K160" s="268"/>
      <c r="L160" s="225"/>
      <c r="M160" s="226"/>
      <c r="N160" s="209"/>
      <c r="O160" s="174"/>
      <c r="P160" s="209"/>
      <c r="Q160" s="209"/>
      <c r="R160" s="209"/>
      <c r="S160" s="209"/>
      <c r="U160" s="210" t="str">
        <f t="shared" si="104"/>
        <v>Royal Guard'sszabadnapos</v>
      </c>
      <c r="V160" s="211" t="b">
        <f t="shared" si="105"/>
        <v>0</v>
      </c>
      <c r="W160" s="210">
        <f t="shared" si="117"/>
        <v>8</v>
      </c>
      <c r="X160" s="210" t="str">
        <f t="shared" si="106"/>
        <v>Royal Guard's</v>
      </c>
      <c r="Y160" s="210" t="str">
        <f t="shared" si="107"/>
        <v>szabadnapos</v>
      </c>
      <c r="Z160" s="212" t="str">
        <f t="shared" si="108"/>
        <v/>
      </c>
      <c r="AA160" s="210" t="str">
        <f t="shared" si="109"/>
        <v/>
      </c>
      <c r="AB160" s="213"/>
      <c r="AC160" s="214" t="str">
        <f t="shared" si="110"/>
        <v/>
      </c>
      <c r="AD160" s="214" t="str">
        <f t="shared" si="111"/>
        <v/>
      </c>
      <c r="AE160" s="215" t="str">
        <f t="shared" si="112"/>
        <v/>
      </c>
      <c r="AF160" s="214" t="str">
        <f t="shared" si="113"/>
        <v/>
      </c>
      <c r="AG160" s="214" t="str">
        <f t="shared" si="114"/>
        <v/>
      </c>
      <c r="AH160" s="215" t="str">
        <f t="shared" si="115"/>
        <v/>
      </c>
      <c r="AI160" s="750">
        <f>AI155</f>
        <v>42137</v>
      </c>
      <c r="AL160" s="217" t="str">
        <f>IF(OR(X160=Kedvenc!$C$43,Y160=Kedvenc!$C$43),W160,"")</f>
        <v/>
      </c>
      <c r="AM160" s="218" t="str">
        <f t="shared" si="116"/>
        <v/>
      </c>
      <c r="AP160" s="245"/>
      <c r="AQ160" s="245"/>
      <c r="AR160" s="245"/>
      <c r="AS160" s="245"/>
      <c r="AT160" s="245"/>
      <c r="AU160" s="245"/>
      <c r="AV160" s="245"/>
      <c r="AW160" s="245"/>
      <c r="AX160" s="245"/>
      <c r="AY160" s="245"/>
      <c r="BA160" s="245"/>
      <c r="BE160" s="245"/>
    </row>
    <row r="161" spans="1:57" ht="14.25" hidden="1" customHeight="1" x14ac:dyDescent="0.2">
      <c r="A161" s="842"/>
      <c r="C161" s="278"/>
      <c r="D161" s="278"/>
      <c r="E161" s="265"/>
      <c r="F161" s="265"/>
      <c r="H161" s="266"/>
      <c r="I161" s="266"/>
      <c r="J161" s="223"/>
      <c r="K161" s="268"/>
      <c r="L161" s="225"/>
      <c r="M161" s="226"/>
      <c r="N161" s="209"/>
      <c r="O161" s="174"/>
      <c r="P161" s="209"/>
      <c r="Q161" s="209"/>
      <c r="R161" s="209"/>
      <c r="S161" s="209"/>
      <c r="U161" s="210" t="str">
        <f t="shared" si="104"/>
        <v>00</v>
      </c>
      <c r="V161" s="211" t="b">
        <f t="shared" si="105"/>
        <v>0</v>
      </c>
      <c r="W161" s="210">
        <f t="shared" si="117"/>
        <v>8</v>
      </c>
      <c r="X161" s="210">
        <f t="shared" si="106"/>
        <v>0</v>
      </c>
      <c r="Y161" s="210">
        <f t="shared" si="107"/>
        <v>0</v>
      </c>
      <c r="Z161" s="212" t="str">
        <f t="shared" si="108"/>
        <v/>
      </c>
      <c r="AA161" s="210" t="str">
        <f t="shared" si="109"/>
        <v/>
      </c>
      <c r="AB161" s="213"/>
      <c r="AC161" s="214" t="str">
        <f t="shared" si="110"/>
        <v/>
      </c>
      <c r="AD161" s="214" t="str">
        <f t="shared" si="111"/>
        <v/>
      </c>
      <c r="AE161" s="215" t="str">
        <f t="shared" si="112"/>
        <v/>
      </c>
      <c r="AF161" s="214" t="str">
        <f t="shared" si="113"/>
        <v/>
      </c>
      <c r="AG161" s="214" t="str">
        <f t="shared" si="114"/>
        <v/>
      </c>
      <c r="AH161" s="215" t="str">
        <f t="shared" si="115"/>
        <v/>
      </c>
      <c r="AI161" s="216">
        <f t="shared" si="87"/>
        <v>0</v>
      </c>
      <c r="AL161" s="217" t="str">
        <f>IF(OR(X161=Kedvenc!$C$43,Y161=Kedvenc!$C$43),W161,"")</f>
        <v/>
      </c>
      <c r="AM161" s="218" t="str">
        <f t="shared" si="116"/>
        <v/>
      </c>
      <c r="AP161" s="245"/>
      <c r="AQ161" s="245"/>
      <c r="AR161" s="245"/>
      <c r="AS161" s="245"/>
      <c r="AT161" s="245"/>
      <c r="AU161" s="245"/>
      <c r="AV161" s="245"/>
      <c r="AW161" s="245"/>
      <c r="AX161" s="245"/>
      <c r="AY161" s="245"/>
      <c r="BA161" s="245"/>
      <c r="BE161" s="245"/>
    </row>
    <row r="162" spans="1:57" ht="14.25" hidden="1" customHeight="1" x14ac:dyDescent="0.2">
      <c r="A162" s="842"/>
      <c r="C162" s="278"/>
      <c r="D162" s="278"/>
      <c r="E162" s="265"/>
      <c r="F162" s="265"/>
      <c r="H162" s="266"/>
      <c r="I162" s="266"/>
      <c r="J162" s="223"/>
      <c r="K162" s="268"/>
      <c r="L162" s="225"/>
      <c r="M162" s="226"/>
      <c r="N162" s="209"/>
      <c r="O162" s="174"/>
      <c r="P162" s="209"/>
      <c r="Q162" s="209"/>
      <c r="R162" s="209"/>
      <c r="S162" s="209"/>
      <c r="U162" s="210" t="str">
        <f t="shared" si="104"/>
        <v>00</v>
      </c>
      <c r="V162" s="211" t="b">
        <f t="shared" si="105"/>
        <v>0</v>
      </c>
      <c r="W162" s="210">
        <f t="shared" si="117"/>
        <v>8</v>
      </c>
      <c r="X162" s="210">
        <f t="shared" si="106"/>
        <v>0</v>
      </c>
      <c r="Y162" s="210">
        <f t="shared" si="107"/>
        <v>0</v>
      </c>
      <c r="Z162" s="212" t="str">
        <f t="shared" si="108"/>
        <v/>
      </c>
      <c r="AA162" s="210" t="str">
        <f t="shared" si="109"/>
        <v/>
      </c>
      <c r="AB162" s="213"/>
      <c r="AC162" s="214" t="str">
        <f t="shared" si="110"/>
        <v/>
      </c>
      <c r="AD162" s="214" t="str">
        <f t="shared" si="111"/>
        <v/>
      </c>
      <c r="AE162" s="215" t="str">
        <f t="shared" si="112"/>
        <v/>
      </c>
      <c r="AF162" s="214" t="str">
        <f t="shared" si="113"/>
        <v/>
      </c>
      <c r="AG162" s="214" t="str">
        <f t="shared" si="114"/>
        <v/>
      </c>
      <c r="AH162" s="215" t="str">
        <f t="shared" si="115"/>
        <v/>
      </c>
      <c r="AI162" s="216">
        <f t="shared" si="87"/>
        <v>0</v>
      </c>
      <c r="AL162" s="217" t="str">
        <f>IF(OR(X162=Kedvenc!$C$43,Y162=Kedvenc!$C$43),W162,"")</f>
        <v/>
      </c>
      <c r="AM162" s="218" t="str">
        <f t="shared" si="116"/>
        <v/>
      </c>
      <c r="AP162" s="245"/>
      <c r="AQ162" s="245"/>
      <c r="AR162" s="245"/>
      <c r="AS162" s="245"/>
      <c r="AT162" s="245"/>
      <c r="AU162" s="245"/>
      <c r="AV162" s="245"/>
      <c r="AW162" s="245"/>
      <c r="AX162" s="245"/>
      <c r="AY162" s="245"/>
      <c r="BA162" s="245"/>
      <c r="BE162" s="245"/>
    </row>
    <row r="163" spans="1:57" ht="14.25" hidden="1" customHeight="1" x14ac:dyDescent="0.2">
      <c r="A163" s="842"/>
      <c r="C163" s="278"/>
      <c r="D163" s="278"/>
      <c r="E163" s="265"/>
      <c r="F163" s="265"/>
      <c r="H163" s="266"/>
      <c r="I163" s="266"/>
      <c r="J163" s="223"/>
      <c r="K163" s="268"/>
      <c r="L163" s="225"/>
      <c r="M163" s="226"/>
      <c r="N163" s="209"/>
      <c r="O163" s="174"/>
      <c r="P163" s="209"/>
      <c r="Q163" s="209"/>
      <c r="R163" s="209"/>
      <c r="S163" s="209"/>
      <c r="U163" s="210" t="str">
        <f t="shared" si="104"/>
        <v>00</v>
      </c>
      <c r="V163" s="211" t="b">
        <f t="shared" si="105"/>
        <v>0</v>
      </c>
      <c r="W163" s="210">
        <f t="shared" si="117"/>
        <v>8</v>
      </c>
      <c r="X163" s="210">
        <f t="shared" si="106"/>
        <v>0</v>
      </c>
      <c r="Y163" s="210">
        <f t="shared" si="107"/>
        <v>0</v>
      </c>
      <c r="Z163" s="212" t="str">
        <f t="shared" si="108"/>
        <v/>
      </c>
      <c r="AA163" s="210" t="str">
        <f t="shared" si="109"/>
        <v/>
      </c>
      <c r="AB163" s="213"/>
      <c r="AC163" s="214" t="str">
        <f t="shared" si="110"/>
        <v/>
      </c>
      <c r="AD163" s="214" t="str">
        <f t="shared" si="111"/>
        <v/>
      </c>
      <c r="AE163" s="215" t="str">
        <f t="shared" si="112"/>
        <v/>
      </c>
      <c r="AF163" s="214" t="str">
        <f t="shared" si="113"/>
        <v/>
      </c>
      <c r="AG163" s="214" t="str">
        <f t="shared" si="114"/>
        <v/>
      </c>
      <c r="AH163" s="215" t="str">
        <f t="shared" si="115"/>
        <v/>
      </c>
      <c r="AI163" s="216">
        <f t="shared" si="87"/>
        <v>0</v>
      </c>
      <c r="AL163" s="217" t="str">
        <f>IF(OR(X163=Kedvenc!$C$43,Y163=Kedvenc!$C$43),W163,"")</f>
        <v/>
      </c>
      <c r="AM163" s="218" t="str">
        <f t="shared" si="116"/>
        <v/>
      </c>
      <c r="AP163" s="245"/>
      <c r="AQ163" s="245"/>
      <c r="AR163" s="245"/>
      <c r="AS163" s="245"/>
      <c r="AT163" s="245"/>
      <c r="AU163" s="245"/>
      <c r="AV163" s="245"/>
      <c r="AW163" s="245"/>
      <c r="AX163" s="245"/>
      <c r="AY163" s="245"/>
      <c r="BA163" s="245"/>
      <c r="BE163" s="245"/>
    </row>
    <row r="164" spans="1:57" ht="14.25" hidden="1" customHeight="1" x14ac:dyDescent="0.2">
      <c r="A164" s="842"/>
      <c r="C164" s="278"/>
      <c r="D164" s="278"/>
      <c r="E164" s="265"/>
      <c r="F164" s="265"/>
      <c r="H164" s="266"/>
      <c r="I164" s="266"/>
      <c r="J164" s="223"/>
      <c r="K164" s="268"/>
      <c r="L164" s="225"/>
      <c r="M164" s="226"/>
      <c r="N164" s="209"/>
      <c r="O164" s="174"/>
      <c r="P164" s="209"/>
      <c r="Q164" s="209"/>
      <c r="R164" s="209"/>
      <c r="S164" s="209"/>
      <c r="U164" s="210" t="str">
        <f t="shared" si="104"/>
        <v>00</v>
      </c>
      <c r="V164" s="211" t="b">
        <f t="shared" si="105"/>
        <v>0</v>
      </c>
      <c r="W164" s="210">
        <f t="shared" si="117"/>
        <v>8</v>
      </c>
      <c r="X164" s="210">
        <f t="shared" si="106"/>
        <v>0</v>
      </c>
      <c r="Y164" s="210">
        <f t="shared" si="107"/>
        <v>0</v>
      </c>
      <c r="Z164" s="212" t="str">
        <f t="shared" si="108"/>
        <v/>
      </c>
      <c r="AA164" s="210" t="str">
        <f t="shared" si="109"/>
        <v/>
      </c>
      <c r="AB164" s="213"/>
      <c r="AC164" s="214" t="str">
        <f t="shared" si="110"/>
        <v/>
      </c>
      <c r="AD164" s="214" t="str">
        <f t="shared" si="111"/>
        <v/>
      </c>
      <c r="AE164" s="215" t="str">
        <f t="shared" si="112"/>
        <v/>
      </c>
      <c r="AF164" s="214" t="str">
        <f t="shared" si="113"/>
        <v/>
      </c>
      <c r="AG164" s="214" t="str">
        <f t="shared" si="114"/>
        <v/>
      </c>
      <c r="AH164" s="215" t="str">
        <f t="shared" si="115"/>
        <v/>
      </c>
      <c r="AI164" s="216">
        <f t="shared" si="87"/>
        <v>0</v>
      </c>
      <c r="AL164" s="217" t="str">
        <f>IF(OR(X164=Kedvenc!$C$43,Y164=Kedvenc!$C$43),W164,"")</f>
        <v/>
      </c>
      <c r="AM164" s="218" t="str">
        <f t="shared" si="116"/>
        <v/>
      </c>
      <c r="AP164" s="245"/>
      <c r="AQ164" s="245"/>
      <c r="AR164" s="245"/>
      <c r="AS164" s="245"/>
      <c r="AT164" s="245"/>
      <c r="AU164" s="245"/>
      <c r="AV164" s="245"/>
      <c r="AW164" s="245"/>
      <c r="AX164" s="245"/>
      <c r="AY164" s="245"/>
      <c r="BA164" s="245"/>
      <c r="BE164" s="245"/>
    </row>
    <row r="165" spans="1:57" ht="14.25" hidden="1" customHeight="1" x14ac:dyDescent="0.2">
      <c r="A165" s="842"/>
      <c r="C165" s="278"/>
      <c r="D165" s="278"/>
      <c r="E165" s="265"/>
      <c r="F165" s="265"/>
      <c r="H165" s="266"/>
      <c r="I165" s="266"/>
      <c r="J165" s="223"/>
      <c r="K165" s="268"/>
      <c r="L165" s="225"/>
      <c r="M165" s="226"/>
      <c r="N165" s="209"/>
      <c r="O165" s="174"/>
      <c r="P165" s="209"/>
      <c r="Q165" s="209"/>
      <c r="R165" s="209"/>
      <c r="S165" s="209"/>
      <c r="U165" s="210" t="str">
        <f t="shared" si="104"/>
        <v>00</v>
      </c>
      <c r="V165" s="211" t="b">
        <f t="shared" si="105"/>
        <v>0</v>
      </c>
      <c r="W165" s="210">
        <f t="shared" si="117"/>
        <v>8</v>
      </c>
      <c r="X165" s="210">
        <f t="shared" si="106"/>
        <v>0</v>
      </c>
      <c r="Y165" s="210">
        <f t="shared" si="107"/>
        <v>0</v>
      </c>
      <c r="Z165" s="212" t="str">
        <f t="shared" si="108"/>
        <v/>
      </c>
      <c r="AA165" s="210" t="str">
        <f t="shared" si="109"/>
        <v/>
      </c>
      <c r="AB165" s="213"/>
      <c r="AC165" s="214" t="str">
        <f t="shared" si="110"/>
        <v/>
      </c>
      <c r="AD165" s="214" t="str">
        <f t="shared" si="111"/>
        <v/>
      </c>
      <c r="AE165" s="215" t="str">
        <f t="shared" si="112"/>
        <v/>
      </c>
      <c r="AF165" s="214" t="str">
        <f t="shared" si="113"/>
        <v/>
      </c>
      <c r="AG165" s="214" t="str">
        <f t="shared" si="114"/>
        <v/>
      </c>
      <c r="AH165" s="215" t="str">
        <f t="shared" si="115"/>
        <v/>
      </c>
      <c r="AI165" s="216">
        <f t="shared" si="87"/>
        <v>0</v>
      </c>
      <c r="AL165" s="217" t="str">
        <f>IF(OR(X165=Kedvenc!$C$43,Y165=Kedvenc!$C$43),W165,"")</f>
        <v/>
      </c>
      <c r="AM165" s="218" t="str">
        <f t="shared" si="116"/>
        <v/>
      </c>
      <c r="AP165" s="245"/>
      <c r="AQ165" s="245"/>
      <c r="AR165" s="245"/>
      <c r="AS165" s="245"/>
      <c r="AT165" s="245"/>
      <c r="AU165" s="245"/>
      <c r="AV165" s="245"/>
      <c r="AW165" s="245"/>
      <c r="AX165" s="245"/>
      <c r="AY165" s="245"/>
      <c r="BA165" s="245"/>
      <c r="BE165" s="245"/>
    </row>
    <row r="166" spans="1:57" ht="14.25" hidden="1" customHeight="1" x14ac:dyDescent="0.2">
      <c r="A166" s="842"/>
      <c r="C166" s="278"/>
      <c r="D166" s="278"/>
      <c r="E166" s="265"/>
      <c r="F166" s="265"/>
      <c r="H166" s="266"/>
      <c r="I166" s="266"/>
      <c r="J166" s="169"/>
      <c r="K166" s="268"/>
      <c r="L166" s="228"/>
      <c r="M166" s="228"/>
      <c r="N166" s="228"/>
      <c r="O166" s="174"/>
      <c r="P166" s="209"/>
      <c r="Q166" s="209"/>
      <c r="R166" s="209"/>
      <c r="S166" s="209"/>
      <c r="U166" s="210" t="str">
        <f t="shared" si="104"/>
        <v>00</v>
      </c>
      <c r="V166" s="211" t="b">
        <f t="shared" si="105"/>
        <v>0</v>
      </c>
      <c r="W166" s="210">
        <f t="shared" si="117"/>
        <v>8</v>
      </c>
      <c r="X166" s="210">
        <f t="shared" si="106"/>
        <v>0</v>
      </c>
      <c r="Y166" s="210">
        <f t="shared" si="107"/>
        <v>0</v>
      </c>
      <c r="Z166" s="212" t="str">
        <f t="shared" si="108"/>
        <v/>
      </c>
      <c r="AA166" s="210" t="str">
        <f t="shared" si="109"/>
        <v/>
      </c>
      <c r="AB166" s="213"/>
      <c r="AC166" s="214" t="str">
        <f t="shared" si="110"/>
        <v/>
      </c>
      <c r="AD166" s="214" t="str">
        <f t="shared" si="111"/>
        <v/>
      </c>
      <c r="AE166" s="215" t="str">
        <f t="shared" si="112"/>
        <v/>
      </c>
      <c r="AF166" s="214" t="str">
        <f t="shared" si="113"/>
        <v/>
      </c>
      <c r="AG166" s="214" t="str">
        <f t="shared" si="114"/>
        <v/>
      </c>
      <c r="AH166" s="215" t="str">
        <f t="shared" si="115"/>
        <v/>
      </c>
      <c r="AI166" s="216">
        <f t="shared" si="87"/>
        <v>0</v>
      </c>
      <c r="AL166" s="217" t="str">
        <f>IF(OR(X166=Kedvenc!$C$43,Y166=Kedvenc!$C$43),W166,"")</f>
        <v/>
      </c>
      <c r="AM166" s="218" t="str">
        <f t="shared" si="116"/>
        <v/>
      </c>
      <c r="AP166" s="245"/>
      <c r="AQ166" s="245"/>
      <c r="AR166" s="245"/>
      <c r="AS166" s="245"/>
      <c r="AT166" s="245"/>
      <c r="AU166" s="245"/>
      <c r="AV166" s="245"/>
      <c r="AW166" s="245"/>
      <c r="AX166" s="245"/>
      <c r="AY166" s="245"/>
      <c r="BA166" s="245"/>
      <c r="BE166" s="245"/>
    </row>
    <row r="167" spans="1:57" ht="14.25" customHeight="1" x14ac:dyDescent="0.2">
      <c r="A167" s="842"/>
      <c r="E167" s="247"/>
      <c r="F167" s="248"/>
      <c r="G167" s="248"/>
      <c r="H167" s="248"/>
      <c r="I167" s="247"/>
      <c r="J167" s="172"/>
      <c r="K167" s="228"/>
      <c r="L167" s="228"/>
      <c r="M167" s="228"/>
      <c r="N167" s="228"/>
      <c r="O167" s="174"/>
      <c r="P167" s="209"/>
      <c r="Q167" s="209"/>
      <c r="R167" s="209"/>
      <c r="S167" s="209"/>
      <c r="W167" s="231"/>
      <c r="AC167" s="233"/>
      <c r="AD167" s="233"/>
      <c r="AE167" s="234"/>
      <c r="AF167" s="233"/>
      <c r="AG167" s="233"/>
      <c r="AH167" s="234"/>
      <c r="AI167" s="234"/>
      <c r="AP167" s="245"/>
      <c r="AQ167" s="245"/>
      <c r="AR167" s="245"/>
      <c r="AS167" s="245"/>
      <c r="AT167" s="245"/>
      <c r="AU167" s="245"/>
      <c r="AV167" s="245"/>
      <c r="AW167" s="245"/>
      <c r="AX167" s="245"/>
      <c r="AY167" s="245"/>
      <c r="BA167" s="245"/>
      <c r="BE167" s="245"/>
    </row>
    <row r="168" spans="1:57" ht="14.25" customHeight="1" x14ac:dyDescent="0.2">
      <c r="A168" s="842"/>
      <c r="E168" s="224"/>
      <c r="F168" s="225"/>
      <c r="G168" s="226"/>
      <c r="H168" s="209"/>
      <c r="I168" s="227"/>
      <c r="J168" s="169"/>
      <c r="K168" s="228"/>
      <c r="L168" s="225"/>
      <c r="M168" s="226"/>
      <c r="N168" s="209"/>
      <c r="O168" s="174"/>
      <c r="P168" s="209"/>
      <c r="Q168" s="209"/>
      <c r="R168" s="209"/>
      <c r="S168" s="209"/>
      <c r="W168" s="231"/>
      <c r="AC168" s="233"/>
      <c r="AD168" s="233"/>
      <c r="AE168" s="234"/>
      <c r="AF168" s="233"/>
      <c r="AG168" s="233"/>
      <c r="AH168" s="234"/>
      <c r="AI168" s="197"/>
      <c r="AP168" s="245"/>
      <c r="AQ168" s="245"/>
      <c r="AR168" s="245"/>
      <c r="AS168" s="245"/>
      <c r="AT168" s="245"/>
      <c r="AU168" s="245"/>
      <c r="AV168" s="245"/>
      <c r="AW168" s="245"/>
      <c r="AX168" s="245"/>
      <c r="AY168" s="245"/>
      <c r="BA168" s="245"/>
      <c r="BD168" s="245"/>
      <c r="BE168" s="245"/>
    </row>
    <row r="169" spans="1:57" ht="14.25" customHeight="1" x14ac:dyDescent="0.2">
      <c r="A169" s="842"/>
      <c r="B169" s="187"/>
      <c r="C169" s="269" t="str">
        <f>CONCATENATE(" ",AB171,"."," forduló  –")</f>
        <v xml:space="preserve"> 9. forduló  –</v>
      </c>
      <c r="D169" s="843">
        <f>VLOOKUP(AB171,ASZ!$AQ$59:$AS$104,2,FALSE)</f>
        <v>42144</v>
      </c>
      <c r="E169" s="843"/>
      <c r="F169" s="274"/>
      <c r="G169" s="274"/>
      <c r="H169" s="274"/>
      <c r="I169" s="270" t="str">
        <f>CONCATENATE(IF($AW$61,"pont: ","gól: "),SUM(F171:H182)," / átlag: ",TEXT(IF(COUNT(F171:H182)=0,"-",SUM(F171:H182)/COUNT(F171:H182)*2),"0,00"))</f>
        <v>gól: 37 / átlag: 7,40</v>
      </c>
      <c r="J169" s="190"/>
      <c r="K169" s="271" t="s">
        <v>285</v>
      </c>
      <c r="L169" s="192"/>
      <c r="U169" s="229"/>
      <c r="V169" s="230"/>
      <c r="W169" s="231"/>
      <c r="X169" s="231"/>
      <c r="Y169" s="231"/>
      <c r="Z169" s="232"/>
      <c r="AA169" s="231"/>
      <c r="AC169" s="197"/>
      <c r="AD169" s="197"/>
      <c r="AE169" s="197"/>
      <c r="AF169" s="197"/>
      <c r="AG169" s="197"/>
      <c r="AH169" s="197"/>
      <c r="AI169" s="197"/>
      <c r="AQ169" s="245"/>
      <c r="AR169" s="245"/>
      <c r="AS169" s="245"/>
      <c r="AT169" s="245"/>
    </row>
    <row r="170" spans="1:57" ht="9" customHeight="1" x14ac:dyDescent="0.2">
      <c r="A170" s="842"/>
      <c r="J170" s="169"/>
      <c r="K170" s="228"/>
      <c r="L170" s="225"/>
      <c r="M170" s="226"/>
      <c r="N170" s="209"/>
      <c r="O170" s="174"/>
      <c r="P170" s="209"/>
      <c r="Q170" s="209"/>
      <c r="R170" s="209"/>
      <c r="S170" s="209"/>
      <c r="AP170" s="245"/>
      <c r="AQ170" s="245"/>
      <c r="AR170" s="245"/>
      <c r="AS170" s="245"/>
      <c r="AT170" s="245"/>
      <c r="AU170" s="245"/>
      <c r="AV170" s="245"/>
      <c r="AW170" s="245"/>
      <c r="AX170" s="245"/>
      <c r="AY170" s="245"/>
      <c r="BA170" s="245"/>
      <c r="BE170" s="245"/>
    </row>
    <row r="171" spans="1:57" ht="14.25" customHeight="1" x14ac:dyDescent="0.2">
      <c r="A171" s="842"/>
      <c r="C171" s="255">
        <v>42144</v>
      </c>
      <c r="D171" s="255" t="s">
        <v>497</v>
      </c>
      <c r="E171" s="265" t="s">
        <v>487</v>
      </c>
      <c r="F171" s="272">
        <v>1</v>
      </c>
      <c r="G171" s="200" t="s">
        <v>247</v>
      </c>
      <c r="H171" s="273">
        <v>6</v>
      </c>
      <c r="I171" s="266" t="s">
        <v>486</v>
      </c>
      <c r="J171" s="207"/>
      <c r="K171" s="267"/>
      <c r="L171" s="225"/>
      <c r="M171" s="226"/>
      <c r="N171" s="209"/>
      <c r="O171" s="174"/>
      <c r="P171" s="209"/>
      <c r="Q171" s="209"/>
      <c r="R171" s="209"/>
      <c r="S171" s="209"/>
      <c r="U171" s="210" t="str">
        <f t="shared" ref="U171:U182" si="118">X171&amp;Y171</f>
        <v>BőrdíszműBHD</v>
      </c>
      <c r="V171" s="211" t="b">
        <f t="shared" ref="V171:V182" si="119">AND(F171&lt;&gt;"",H171&lt;&gt;"")</f>
        <v>1</v>
      </c>
      <c r="W171" s="210">
        <f>AB171</f>
        <v>9</v>
      </c>
      <c r="X171" s="210" t="str">
        <f t="shared" ref="X171:X182" si="120">E171</f>
        <v>Bőrdíszmű</v>
      </c>
      <c r="Y171" s="210" t="str">
        <f t="shared" ref="Y171:Y182" si="121">I171</f>
        <v>BHD</v>
      </c>
      <c r="Z171" s="212">
        <f t="shared" ref="Z171:Z182" si="122">IF(V171,F171,"")</f>
        <v>1</v>
      </c>
      <c r="AA171" s="210">
        <f t="shared" ref="AA171:AA182" si="123">IF(V171,H171,"")</f>
        <v>6</v>
      </c>
      <c r="AB171" s="213">
        <f>IF(NOT(ASZTAB!$X$71),AB155+1,AB155+COUNTIF(AB139:AB170,AB155)-1)</f>
        <v>9</v>
      </c>
      <c r="AC171" s="214" t="str">
        <f t="shared" ref="AC171:AC182" si="124">IF(Z171&gt;AA171,X171,"")</f>
        <v/>
      </c>
      <c r="AD171" s="214" t="str">
        <f t="shared" ref="AD171:AD182" si="125">IF(AA171="","",IF(Z171=AA171,X171,""))</f>
        <v/>
      </c>
      <c r="AE171" s="215" t="str">
        <f t="shared" ref="AE171:AE182" si="126">IF(AND($AW$61,Z171=0,AA171=20),X171&amp;"ooo",IF(Z171&lt;AA171,X171,""))</f>
        <v>Bőrdíszmű</v>
      </c>
      <c r="AF171" s="214" t="str">
        <f t="shared" ref="AF171:AF182" si="127">IF(AA171&gt;Z171,Y171,"")</f>
        <v>BHD</v>
      </c>
      <c r="AG171" s="214" t="str">
        <f t="shared" ref="AG171:AG182" si="128">IF(AA171="","",IF(Z171=AA171,Y171,""))</f>
        <v/>
      </c>
      <c r="AH171" s="215" t="str">
        <f t="shared" ref="AH171:AH182" si="129">IF(AND($AW$61,Z171=20,AA171=0),Y171&amp;"ooo",IF(Z171&gt;AA171,Y171,""))</f>
        <v/>
      </c>
      <c r="AI171" s="216">
        <f>C171</f>
        <v>42144</v>
      </c>
      <c r="AL171" s="217" t="str">
        <f>IF(OR(X171=Kedvenc!$C$43,Y171=Kedvenc!$C$43),W171,"")</f>
        <v/>
      </c>
      <c r="AM171" s="218" t="str">
        <f t="shared" ref="AM171:AM182" si="130">IF(AL171="","",U171)</f>
        <v/>
      </c>
      <c r="AQ171" s="245"/>
      <c r="AR171" s="245"/>
      <c r="AS171" s="245"/>
      <c r="AT171" s="245"/>
      <c r="BB171" s="285" t="str">
        <f>C171&amp;D171</f>
        <v>4214419:00 – A pálya</v>
      </c>
      <c r="BC171" s="284">
        <f>COUNTIF($BB$43:$BB$383,BB171)</f>
        <v>1</v>
      </c>
      <c r="BD171" s="512" t="str">
        <f>U171</f>
        <v>BőrdíszműBHD</v>
      </c>
    </row>
    <row r="172" spans="1:57" ht="14.25" customHeight="1" x14ac:dyDescent="0.2">
      <c r="A172" s="842"/>
      <c r="C172" s="255">
        <v>42144</v>
      </c>
      <c r="D172" s="255" t="s">
        <v>498</v>
      </c>
      <c r="E172" s="265" t="s">
        <v>489</v>
      </c>
      <c r="F172" s="272">
        <v>3</v>
      </c>
      <c r="G172" s="200" t="s">
        <v>247</v>
      </c>
      <c r="H172" s="273">
        <v>6</v>
      </c>
      <c r="I172" s="266" t="s">
        <v>485</v>
      </c>
      <c r="J172" s="207"/>
      <c r="K172" s="268"/>
      <c r="L172" s="225"/>
      <c r="M172" s="226"/>
      <c r="N172" s="209"/>
      <c r="O172" s="174"/>
      <c r="U172" s="210" t="str">
        <f t="shared" si="118"/>
        <v>ÉlelmesekBBK</v>
      </c>
      <c r="V172" s="211" t="b">
        <f t="shared" si="119"/>
        <v>1</v>
      </c>
      <c r="W172" s="210">
        <f t="shared" ref="W172:W182" si="131">W171</f>
        <v>9</v>
      </c>
      <c r="X172" s="210" t="str">
        <f t="shared" si="120"/>
        <v>Élelmesek</v>
      </c>
      <c r="Y172" s="210" t="str">
        <f t="shared" si="121"/>
        <v>BBK</v>
      </c>
      <c r="Z172" s="212">
        <f t="shared" si="122"/>
        <v>3</v>
      </c>
      <c r="AA172" s="210">
        <f t="shared" si="123"/>
        <v>6</v>
      </c>
      <c r="AB172" s="213"/>
      <c r="AC172" s="214" t="str">
        <f t="shared" si="124"/>
        <v/>
      </c>
      <c r="AD172" s="214" t="str">
        <f t="shared" si="125"/>
        <v/>
      </c>
      <c r="AE172" s="215" t="str">
        <f t="shared" si="126"/>
        <v>Élelmesek</v>
      </c>
      <c r="AF172" s="214" t="str">
        <f t="shared" si="127"/>
        <v>BBK</v>
      </c>
      <c r="AG172" s="214" t="str">
        <f t="shared" si="128"/>
        <v/>
      </c>
      <c r="AH172" s="215" t="str">
        <f t="shared" si="129"/>
        <v/>
      </c>
      <c r="AI172" s="216">
        <f t="shared" si="87"/>
        <v>42144</v>
      </c>
      <c r="AL172" s="217" t="str">
        <f>IF(OR(X172=Kedvenc!$C$43,Y172=Kedvenc!$C$43),W172,"")</f>
        <v/>
      </c>
      <c r="AM172" s="218" t="str">
        <f t="shared" si="130"/>
        <v/>
      </c>
      <c r="BB172" s="285" t="str">
        <f>C172&amp;D172</f>
        <v>4214419:45 – A pálya</v>
      </c>
      <c r="BC172" s="284">
        <f>COUNTIF($BB$43:$BB$383,BB172)</f>
        <v>1</v>
      </c>
      <c r="BD172" s="512" t="str">
        <f>U172</f>
        <v>ÉlelmesekBBK</v>
      </c>
    </row>
    <row r="173" spans="1:57" ht="14.25" customHeight="1" x14ac:dyDescent="0.2">
      <c r="A173" s="842"/>
      <c r="C173" s="255">
        <v>42144</v>
      </c>
      <c r="D173" s="255" t="s">
        <v>499</v>
      </c>
      <c r="E173" s="265" t="s">
        <v>491</v>
      </c>
      <c r="F173" s="272">
        <v>3</v>
      </c>
      <c r="G173" s="200" t="s">
        <v>247</v>
      </c>
      <c r="H173" s="273">
        <v>1</v>
      </c>
      <c r="I173" s="266" t="s">
        <v>493</v>
      </c>
      <c r="J173" s="207"/>
      <c r="K173" s="268"/>
      <c r="L173" s="225"/>
      <c r="M173" s="226"/>
      <c r="N173" s="209"/>
      <c r="O173" s="174"/>
      <c r="U173" s="210" t="str">
        <f t="shared" si="118"/>
        <v>K&amp;HVakana</v>
      </c>
      <c r="V173" s="211" t="b">
        <f t="shared" si="119"/>
        <v>1</v>
      </c>
      <c r="W173" s="210">
        <f t="shared" si="131"/>
        <v>9</v>
      </c>
      <c r="X173" s="210" t="str">
        <f t="shared" si="120"/>
        <v>K&amp;H</v>
      </c>
      <c r="Y173" s="210" t="str">
        <f t="shared" si="121"/>
        <v>Vakana</v>
      </c>
      <c r="Z173" s="212">
        <f t="shared" si="122"/>
        <v>3</v>
      </c>
      <c r="AA173" s="210">
        <f t="shared" si="123"/>
        <v>1</v>
      </c>
      <c r="AB173" s="213"/>
      <c r="AC173" s="214" t="str">
        <f t="shared" si="124"/>
        <v>K&amp;H</v>
      </c>
      <c r="AD173" s="214" t="str">
        <f t="shared" si="125"/>
        <v/>
      </c>
      <c r="AE173" s="215" t="str">
        <f t="shared" si="126"/>
        <v/>
      </c>
      <c r="AF173" s="214" t="str">
        <f t="shared" si="127"/>
        <v/>
      </c>
      <c r="AG173" s="214" t="str">
        <f t="shared" si="128"/>
        <v/>
      </c>
      <c r="AH173" s="215" t="str">
        <f t="shared" si="129"/>
        <v>Vakana</v>
      </c>
      <c r="AI173" s="216">
        <f t="shared" si="87"/>
        <v>42144</v>
      </c>
      <c r="AL173" s="217" t="str">
        <f>IF(OR(X173=Kedvenc!$C$43,Y173=Kedvenc!$C$43),W173,"")</f>
        <v/>
      </c>
      <c r="AM173" s="218" t="str">
        <f t="shared" si="130"/>
        <v/>
      </c>
      <c r="BB173" s="285" t="str">
        <f>C173&amp;D173</f>
        <v>4214420:30 – A pálya</v>
      </c>
      <c r="BC173" s="284">
        <f>COUNTIF($BB$43:$BB$383,BB173)</f>
        <v>1</v>
      </c>
      <c r="BD173" s="512" t="str">
        <f>U173</f>
        <v>K&amp;HVakana</v>
      </c>
    </row>
    <row r="174" spans="1:57" ht="14.25" customHeight="1" x14ac:dyDescent="0.2">
      <c r="A174" s="842"/>
      <c r="C174" s="255">
        <v>42144</v>
      </c>
      <c r="D174" s="255" t="s">
        <v>500</v>
      </c>
      <c r="E174" s="265" t="s">
        <v>494</v>
      </c>
      <c r="F174" s="272">
        <v>4</v>
      </c>
      <c r="G174" s="200" t="s">
        <v>247</v>
      </c>
      <c r="H174" s="273">
        <v>3</v>
      </c>
      <c r="I174" s="266" t="s">
        <v>488</v>
      </c>
      <c r="J174" s="207"/>
      <c r="K174" s="268"/>
      <c r="L174" s="225"/>
      <c r="M174" s="226"/>
      <c r="N174" s="209"/>
      <c r="O174" s="174"/>
      <c r="U174" s="210" t="str">
        <f t="shared" si="118"/>
        <v>ZrínyigyöngyeCarbonász</v>
      </c>
      <c r="V174" s="211" t="b">
        <f t="shared" si="119"/>
        <v>1</v>
      </c>
      <c r="W174" s="210">
        <f t="shared" si="131"/>
        <v>9</v>
      </c>
      <c r="X174" s="210" t="str">
        <f t="shared" si="120"/>
        <v>Zrínyigyöngye</v>
      </c>
      <c r="Y174" s="210" t="str">
        <f t="shared" si="121"/>
        <v>Carbonász</v>
      </c>
      <c r="Z174" s="212">
        <f t="shared" si="122"/>
        <v>4</v>
      </c>
      <c r="AA174" s="210">
        <f t="shared" si="123"/>
        <v>3</v>
      </c>
      <c r="AB174" s="213"/>
      <c r="AC174" s="214" t="str">
        <f t="shared" si="124"/>
        <v>Zrínyigyöngye</v>
      </c>
      <c r="AD174" s="214" t="str">
        <f t="shared" si="125"/>
        <v/>
      </c>
      <c r="AE174" s="215" t="str">
        <f t="shared" si="126"/>
        <v/>
      </c>
      <c r="AF174" s="214" t="str">
        <f t="shared" si="127"/>
        <v/>
      </c>
      <c r="AG174" s="214" t="str">
        <f t="shared" si="128"/>
        <v/>
      </c>
      <c r="AH174" s="215" t="str">
        <f t="shared" si="129"/>
        <v>Carbonász</v>
      </c>
      <c r="AI174" s="216">
        <f t="shared" si="87"/>
        <v>42144</v>
      </c>
      <c r="AL174" s="217" t="str">
        <f>IF(OR(X174=Kedvenc!$C$43,Y174=Kedvenc!$C$43),W174,"")</f>
        <v/>
      </c>
      <c r="AM174" s="218" t="str">
        <f t="shared" si="130"/>
        <v/>
      </c>
      <c r="AP174" s="245"/>
      <c r="AQ174" s="245"/>
      <c r="AR174" s="245"/>
      <c r="AS174" s="245"/>
      <c r="AT174" s="245"/>
      <c r="AU174" s="245"/>
      <c r="AV174" s="245"/>
      <c r="AW174" s="245"/>
      <c r="AX174" s="245"/>
      <c r="AY174" s="245"/>
      <c r="BA174" s="245"/>
      <c r="BB174" s="285" t="str">
        <f>C174&amp;D174</f>
        <v>4214419:00 – B pálya</v>
      </c>
      <c r="BC174" s="284">
        <f>COUNTIF($BB$43:$BB$383,BB174)</f>
        <v>1</v>
      </c>
      <c r="BD174" s="512" t="str">
        <f>U174</f>
        <v>ZrínyigyöngyeCarbonász</v>
      </c>
      <c r="BE174" s="245"/>
    </row>
    <row r="175" spans="1:57" ht="14.25" customHeight="1" x14ac:dyDescent="0.2">
      <c r="A175" s="842"/>
      <c r="C175" s="255">
        <v>42158</v>
      </c>
      <c r="D175" s="255" t="s">
        <v>502</v>
      </c>
      <c r="E175" s="265" t="s">
        <v>490</v>
      </c>
      <c r="F175" s="272">
        <v>10</v>
      </c>
      <c r="G175" s="200" t="s">
        <v>247</v>
      </c>
      <c r="H175" s="273">
        <v>0</v>
      </c>
      <c r="I175" s="266" t="s">
        <v>492</v>
      </c>
      <c r="J175" s="223"/>
      <c r="K175" s="787" t="s">
        <v>630</v>
      </c>
      <c r="L175" s="225"/>
      <c r="M175" s="226"/>
      <c r="N175" s="209"/>
      <c r="O175" s="174"/>
      <c r="P175" s="209"/>
      <c r="Q175" s="209"/>
      <c r="R175" s="209"/>
      <c r="S175" s="209"/>
      <c r="U175" s="210" t="str">
        <f t="shared" si="118"/>
        <v>Hercules-LudovikaRoyal Guard's</v>
      </c>
      <c r="V175" s="211" t="b">
        <f t="shared" si="119"/>
        <v>1</v>
      </c>
      <c r="W175" s="210">
        <f t="shared" si="131"/>
        <v>9</v>
      </c>
      <c r="X175" s="210" t="str">
        <f t="shared" si="120"/>
        <v>Hercules-Ludovika</v>
      </c>
      <c r="Y175" s="210" t="str">
        <f t="shared" si="121"/>
        <v>Royal Guard's</v>
      </c>
      <c r="Z175" s="212">
        <f t="shared" si="122"/>
        <v>10</v>
      </c>
      <c r="AA175" s="210">
        <f t="shared" si="123"/>
        <v>0</v>
      </c>
      <c r="AB175" s="213"/>
      <c r="AC175" s="214" t="str">
        <f t="shared" si="124"/>
        <v>Hercules-Ludovika</v>
      </c>
      <c r="AD175" s="214" t="str">
        <f t="shared" si="125"/>
        <v/>
      </c>
      <c r="AE175" s="215" t="str">
        <f t="shared" si="126"/>
        <v/>
      </c>
      <c r="AF175" s="214" t="str">
        <f t="shared" si="127"/>
        <v/>
      </c>
      <c r="AG175" s="214" t="str">
        <f t="shared" si="128"/>
        <v/>
      </c>
      <c r="AH175" s="215" t="str">
        <f t="shared" si="129"/>
        <v>Royal Guard's</v>
      </c>
      <c r="AI175" s="216">
        <f t="shared" si="87"/>
        <v>42158</v>
      </c>
      <c r="AL175" s="217" t="str">
        <f>IF(OR(X175=Kedvenc!$C$43,Y175=Kedvenc!$C$43),W175,"")</f>
        <v/>
      </c>
      <c r="AM175" s="218" t="str">
        <f t="shared" si="130"/>
        <v/>
      </c>
      <c r="AP175" s="245"/>
      <c r="AQ175" s="245"/>
      <c r="AR175" s="245"/>
      <c r="AS175" s="245"/>
      <c r="AT175" s="245"/>
      <c r="AU175" s="245"/>
      <c r="AV175" s="245"/>
      <c r="AW175" s="245"/>
      <c r="AX175" s="245"/>
      <c r="AY175" s="245"/>
      <c r="BA175" s="245"/>
      <c r="BB175" s="285" t="str">
        <f>C175&amp;D175</f>
        <v>4215820:30 – B pálya</v>
      </c>
      <c r="BC175" s="284">
        <f>COUNTIF($BB$43:$BB$383,BB175)</f>
        <v>1</v>
      </c>
      <c r="BD175" s="512" t="str">
        <f>U175</f>
        <v>Hercules-LudovikaRoyal Guard's</v>
      </c>
      <c r="BE175" s="245"/>
    </row>
    <row r="176" spans="1:57" ht="14.25" customHeight="1" x14ac:dyDescent="0.2">
      <c r="A176" s="842"/>
      <c r="C176" s="278"/>
      <c r="D176" s="278"/>
      <c r="E176" s="275" t="s">
        <v>484</v>
      </c>
      <c r="F176" s="275"/>
      <c r="G176" s="276"/>
      <c r="H176" s="277"/>
      <c r="I176" s="277" t="s">
        <v>495</v>
      </c>
      <c r="J176" s="223"/>
      <c r="K176" s="268"/>
      <c r="L176" s="225"/>
      <c r="M176" s="226"/>
      <c r="N176" s="209"/>
      <c r="O176" s="174"/>
      <c r="P176" s="209"/>
      <c r="Q176" s="209"/>
      <c r="R176" s="209"/>
      <c r="S176" s="209"/>
      <c r="U176" s="210" t="str">
        <f t="shared" si="118"/>
        <v>Bakafogó-Honvéd-Sashegy SEszabadnapos</v>
      </c>
      <c r="V176" s="211" t="b">
        <f t="shared" si="119"/>
        <v>0</v>
      </c>
      <c r="W176" s="210">
        <f t="shared" si="131"/>
        <v>9</v>
      </c>
      <c r="X176" s="210" t="str">
        <f t="shared" si="120"/>
        <v>Bakafogó-Honvéd-Sashegy SE</v>
      </c>
      <c r="Y176" s="210" t="str">
        <f t="shared" si="121"/>
        <v>szabadnapos</v>
      </c>
      <c r="Z176" s="212" t="str">
        <f t="shared" si="122"/>
        <v/>
      </c>
      <c r="AA176" s="210" t="str">
        <f t="shared" si="123"/>
        <v/>
      </c>
      <c r="AB176" s="213"/>
      <c r="AC176" s="214" t="str">
        <f t="shared" si="124"/>
        <v/>
      </c>
      <c r="AD176" s="214" t="str">
        <f t="shared" si="125"/>
        <v/>
      </c>
      <c r="AE176" s="215" t="str">
        <f t="shared" si="126"/>
        <v/>
      </c>
      <c r="AF176" s="214" t="str">
        <f t="shared" si="127"/>
        <v/>
      </c>
      <c r="AG176" s="214" t="str">
        <f t="shared" si="128"/>
        <v/>
      </c>
      <c r="AH176" s="215" t="str">
        <f t="shared" si="129"/>
        <v/>
      </c>
      <c r="AI176" s="750">
        <f>AI171</f>
        <v>42144</v>
      </c>
      <c r="AL176" s="217" t="str">
        <f>IF(OR(X176=Kedvenc!$C$43,Y176=Kedvenc!$C$43),W176,"")</f>
        <v/>
      </c>
      <c r="AM176" s="218" t="str">
        <f t="shared" si="130"/>
        <v/>
      </c>
      <c r="AP176" s="245"/>
      <c r="AQ176" s="245"/>
      <c r="AR176" s="245"/>
      <c r="AS176" s="245"/>
      <c r="AT176" s="245"/>
      <c r="AU176" s="245"/>
      <c r="AV176" s="245"/>
      <c r="AW176" s="245"/>
      <c r="AX176" s="245"/>
      <c r="AY176" s="245"/>
      <c r="BA176" s="245"/>
      <c r="BE176" s="245"/>
    </row>
    <row r="177" spans="1:57" ht="14.25" hidden="1" customHeight="1" x14ac:dyDescent="0.2">
      <c r="A177" s="842"/>
      <c r="C177" s="278"/>
      <c r="D177" s="278"/>
      <c r="E177" s="265"/>
      <c r="F177" s="265"/>
      <c r="H177" s="266"/>
      <c r="I177" s="266"/>
      <c r="J177" s="223"/>
      <c r="K177" s="268"/>
      <c r="L177" s="225"/>
      <c r="M177" s="226"/>
      <c r="N177" s="209"/>
      <c r="O177" s="174"/>
      <c r="P177" s="209"/>
      <c r="Q177" s="209"/>
      <c r="R177" s="209"/>
      <c r="S177" s="209"/>
      <c r="U177" s="210" t="str">
        <f t="shared" si="118"/>
        <v>00</v>
      </c>
      <c r="V177" s="211" t="b">
        <f t="shared" si="119"/>
        <v>0</v>
      </c>
      <c r="W177" s="210">
        <f t="shared" si="131"/>
        <v>9</v>
      </c>
      <c r="X177" s="210">
        <f t="shared" si="120"/>
        <v>0</v>
      </c>
      <c r="Y177" s="210">
        <f t="shared" si="121"/>
        <v>0</v>
      </c>
      <c r="Z177" s="212" t="str">
        <f t="shared" si="122"/>
        <v/>
      </c>
      <c r="AA177" s="210" t="str">
        <f t="shared" si="123"/>
        <v/>
      </c>
      <c r="AB177" s="213"/>
      <c r="AC177" s="214" t="str">
        <f t="shared" si="124"/>
        <v/>
      </c>
      <c r="AD177" s="214" t="str">
        <f t="shared" si="125"/>
        <v/>
      </c>
      <c r="AE177" s="215" t="str">
        <f t="shared" si="126"/>
        <v/>
      </c>
      <c r="AF177" s="214" t="str">
        <f t="shared" si="127"/>
        <v/>
      </c>
      <c r="AG177" s="214" t="str">
        <f t="shared" si="128"/>
        <v/>
      </c>
      <c r="AH177" s="215" t="str">
        <f t="shared" si="129"/>
        <v/>
      </c>
      <c r="AI177" s="216">
        <f t="shared" si="87"/>
        <v>0</v>
      </c>
      <c r="AL177" s="217" t="str">
        <f>IF(OR(X177=Kedvenc!$C$43,Y177=Kedvenc!$C$43),W177,"")</f>
        <v/>
      </c>
      <c r="AM177" s="218" t="str">
        <f t="shared" si="130"/>
        <v/>
      </c>
      <c r="AP177" s="245"/>
      <c r="AQ177" s="245"/>
      <c r="AR177" s="245"/>
      <c r="AS177" s="245"/>
      <c r="AT177" s="245"/>
      <c r="AU177" s="245"/>
      <c r="AV177" s="245"/>
      <c r="AW177" s="245"/>
      <c r="AX177" s="245"/>
      <c r="AY177" s="245"/>
      <c r="BA177" s="245"/>
      <c r="BE177" s="245"/>
    </row>
    <row r="178" spans="1:57" ht="14.25" hidden="1" customHeight="1" x14ac:dyDescent="0.2">
      <c r="A178" s="842"/>
      <c r="C178" s="278"/>
      <c r="D178" s="278"/>
      <c r="E178" s="265"/>
      <c r="F178" s="265"/>
      <c r="H178" s="266"/>
      <c r="I178" s="266"/>
      <c r="J178" s="223"/>
      <c r="K178" s="268"/>
      <c r="L178" s="225"/>
      <c r="M178" s="226"/>
      <c r="N178" s="209"/>
      <c r="O178" s="174"/>
      <c r="P178" s="209"/>
      <c r="Q178" s="209"/>
      <c r="R178" s="209"/>
      <c r="S178" s="209"/>
      <c r="U178" s="210" t="str">
        <f t="shared" si="118"/>
        <v>00</v>
      </c>
      <c r="V178" s="211" t="b">
        <f t="shared" si="119"/>
        <v>0</v>
      </c>
      <c r="W178" s="210">
        <f t="shared" si="131"/>
        <v>9</v>
      </c>
      <c r="X178" s="210">
        <f t="shared" si="120"/>
        <v>0</v>
      </c>
      <c r="Y178" s="210">
        <f t="shared" si="121"/>
        <v>0</v>
      </c>
      <c r="Z178" s="212" t="str">
        <f t="shared" si="122"/>
        <v/>
      </c>
      <c r="AA178" s="210" t="str">
        <f t="shared" si="123"/>
        <v/>
      </c>
      <c r="AB178" s="213"/>
      <c r="AC178" s="214" t="str">
        <f t="shared" si="124"/>
        <v/>
      </c>
      <c r="AD178" s="214" t="str">
        <f t="shared" si="125"/>
        <v/>
      </c>
      <c r="AE178" s="215" t="str">
        <f t="shared" si="126"/>
        <v/>
      </c>
      <c r="AF178" s="214" t="str">
        <f t="shared" si="127"/>
        <v/>
      </c>
      <c r="AG178" s="214" t="str">
        <f t="shared" si="128"/>
        <v/>
      </c>
      <c r="AH178" s="215" t="str">
        <f t="shared" si="129"/>
        <v/>
      </c>
      <c r="AI178" s="216">
        <f t="shared" si="87"/>
        <v>0</v>
      </c>
      <c r="AL178" s="217" t="str">
        <f>IF(OR(X178=Kedvenc!$C$43,Y178=Kedvenc!$C$43),W178,"")</f>
        <v/>
      </c>
      <c r="AM178" s="218" t="str">
        <f t="shared" si="130"/>
        <v/>
      </c>
      <c r="AP178" s="245"/>
      <c r="AQ178" s="245"/>
      <c r="AR178" s="245"/>
      <c r="AS178" s="245"/>
      <c r="AT178" s="245"/>
      <c r="AU178" s="245"/>
      <c r="AV178" s="245"/>
      <c r="AW178" s="245"/>
      <c r="AX178" s="245"/>
      <c r="AY178" s="245"/>
      <c r="BA178" s="245"/>
      <c r="BE178" s="245"/>
    </row>
    <row r="179" spans="1:57" ht="14.25" hidden="1" customHeight="1" x14ac:dyDescent="0.2">
      <c r="A179" s="842"/>
      <c r="C179" s="278"/>
      <c r="D179" s="278"/>
      <c r="E179" s="265"/>
      <c r="F179" s="265"/>
      <c r="H179" s="266"/>
      <c r="I179" s="266"/>
      <c r="J179" s="223"/>
      <c r="K179" s="268"/>
      <c r="L179" s="225"/>
      <c r="M179" s="226"/>
      <c r="N179" s="209"/>
      <c r="O179" s="174"/>
      <c r="P179" s="209"/>
      <c r="Q179" s="209"/>
      <c r="R179" s="209"/>
      <c r="S179" s="209"/>
      <c r="U179" s="210" t="str">
        <f t="shared" si="118"/>
        <v>00</v>
      </c>
      <c r="V179" s="211" t="b">
        <f t="shared" si="119"/>
        <v>0</v>
      </c>
      <c r="W179" s="210">
        <f t="shared" si="131"/>
        <v>9</v>
      </c>
      <c r="X179" s="210">
        <f t="shared" si="120"/>
        <v>0</v>
      </c>
      <c r="Y179" s="210">
        <f t="shared" si="121"/>
        <v>0</v>
      </c>
      <c r="Z179" s="212" t="str">
        <f t="shared" si="122"/>
        <v/>
      </c>
      <c r="AA179" s="210" t="str">
        <f t="shared" si="123"/>
        <v/>
      </c>
      <c r="AB179" s="213"/>
      <c r="AC179" s="214" t="str">
        <f t="shared" si="124"/>
        <v/>
      </c>
      <c r="AD179" s="214" t="str">
        <f t="shared" si="125"/>
        <v/>
      </c>
      <c r="AE179" s="215" t="str">
        <f t="shared" si="126"/>
        <v/>
      </c>
      <c r="AF179" s="214" t="str">
        <f t="shared" si="127"/>
        <v/>
      </c>
      <c r="AG179" s="214" t="str">
        <f t="shared" si="128"/>
        <v/>
      </c>
      <c r="AH179" s="215" t="str">
        <f t="shared" si="129"/>
        <v/>
      </c>
      <c r="AI179" s="216">
        <f t="shared" si="87"/>
        <v>0</v>
      </c>
      <c r="AL179" s="217" t="str">
        <f>IF(OR(X179=Kedvenc!$C$43,Y179=Kedvenc!$C$43),W179,"")</f>
        <v/>
      </c>
      <c r="AM179" s="218" t="str">
        <f t="shared" si="130"/>
        <v/>
      </c>
      <c r="AP179" s="245"/>
      <c r="AQ179" s="245"/>
      <c r="AR179" s="245"/>
      <c r="AS179" s="245"/>
      <c r="AT179" s="245"/>
      <c r="AU179" s="245"/>
      <c r="AV179" s="245"/>
      <c r="AW179" s="245"/>
      <c r="AX179" s="245"/>
      <c r="AY179" s="245"/>
      <c r="BA179" s="245"/>
      <c r="BE179" s="245"/>
    </row>
    <row r="180" spans="1:57" ht="14.25" hidden="1" customHeight="1" x14ac:dyDescent="0.2">
      <c r="A180" s="842"/>
      <c r="C180" s="278"/>
      <c r="D180" s="278"/>
      <c r="E180" s="265"/>
      <c r="F180" s="265"/>
      <c r="H180" s="266"/>
      <c r="I180" s="266"/>
      <c r="J180" s="223"/>
      <c r="K180" s="268"/>
      <c r="L180" s="225"/>
      <c r="M180" s="226"/>
      <c r="N180" s="209"/>
      <c r="O180" s="174"/>
      <c r="P180" s="209"/>
      <c r="Q180" s="209"/>
      <c r="R180" s="209"/>
      <c r="S180" s="209"/>
      <c r="U180" s="210" t="str">
        <f t="shared" si="118"/>
        <v>00</v>
      </c>
      <c r="V180" s="211" t="b">
        <f t="shared" si="119"/>
        <v>0</v>
      </c>
      <c r="W180" s="210">
        <f t="shared" si="131"/>
        <v>9</v>
      </c>
      <c r="X180" s="210">
        <f t="shared" si="120"/>
        <v>0</v>
      </c>
      <c r="Y180" s="210">
        <f t="shared" si="121"/>
        <v>0</v>
      </c>
      <c r="Z180" s="212" t="str">
        <f t="shared" si="122"/>
        <v/>
      </c>
      <c r="AA180" s="210" t="str">
        <f t="shared" si="123"/>
        <v/>
      </c>
      <c r="AB180" s="213"/>
      <c r="AC180" s="214" t="str">
        <f t="shared" si="124"/>
        <v/>
      </c>
      <c r="AD180" s="214" t="str">
        <f t="shared" si="125"/>
        <v/>
      </c>
      <c r="AE180" s="215" t="str">
        <f t="shared" si="126"/>
        <v/>
      </c>
      <c r="AF180" s="214" t="str">
        <f t="shared" si="127"/>
        <v/>
      </c>
      <c r="AG180" s="214" t="str">
        <f t="shared" si="128"/>
        <v/>
      </c>
      <c r="AH180" s="215" t="str">
        <f t="shared" si="129"/>
        <v/>
      </c>
      <c r="AI180" s="216">
        <f t="shared" si="87"/>
        <v>0</v>
      </c>
      <c r="AL180" s="217" t="str">
        <f>IF(OR(X180=Kedvenc!$C$43,Y180=Kedvenc!$C$43),W180,"")</f>
        <v/>
      </c>
      <c r="AM180" s="218" t="str">
        <f t="shared" si="130"/>
        <v/>
      </c>
      <c r="AP180" s="245"/>
      <c r="AQ180" s="245"/>
      <c r="AR180" s="245"/>
      <c r="AS180" s="245"/>
      <c r="AT180" s="245"/>
      <c r="AU180" s="245"/>
      <c r="AV180" s="245"/>
      <c r="AW180" s="245"/>
      <c r="AX180" s="245"/>
      <c r="AY180" s="245"/>
      <c r="BA180" s="245"/>
      <c r="BE180" s="245"/>
    </row>
    <row r="181" spans="1:57" ht="14.25" hidden="1" customHeight="1" x14ac:dyDescent="0.2">
      <c r="A181" s="842"/>
      <c r="C181" s="278"/>
      <c r="D181" s="278"/>
      <c r="E181" s="265"/>
      <c r="F181" s="265"/>
      <c r="H181" s="266"/>
      <c r="I181" s="266"/>
      <c r="J181" s="223"/>
      <c r="K181" s="268"/>
      <c r="L181" s="225"/>
      <c r="M181" s="226"/>
      <c r="N181" s="209"/>
      <c r="O181" s="174"/>
      <c r="P181" s="209"/>
      <c r="Q181" s="209"/>
      <c r="R181" s="209"/>
      <c r="S181" s="209"/>
      <c r="U181" s="210" t="str">
        <f t="shared" si="118"/>
        <v>00</v>
      </c>
      <c r="V181" s="211" t="b">
        <f t="shared" si="119"/>
        <v>0</v>
      </c>
      <c r="W181" s="210">
        <f t="shared" si="131"/>
        <v>9</v>
      </c>
      <c r="X181" s="210">
        <f t="shared" si="120"/>
        <v>0</v>
      </c>
      <c r="Y181" s="210">
        <f t="shared" si="121"/>
        <v>0</v>
      </c>
      <c r="Z181" s="212" t="str">
        <f t="shared" si="122"/>
        <v/>
      </c>
      <c r="AA181" s="210" t="str">
        <f t="shared" si="123"/>
        <v/>
      </c>
      <c r="AB181" s="213"/>
      <c r="AC181" s="214" t="str">
        <f t="shared" si="124"/>
        <v/>
      </c>
      <c r="AD181" s="214" t="str">
        <f t="shared" si="125"/>
        <v/>
      </c>
      <c r="AE181" s="215" t="str">
        <f t="shared" si="126"/>
        <v/>
      </c>
      <c r="AF181" s="214" t="str">
        <f t="shared" si="127"/>
        <v/>
      </c>
      <c r="AG181" s="214" t="str">
        <f t="shared" si="128"/>
        <v/>
      </c>
      <c r="AH181" s="215" t="str">
        <f t="shared" si="129"/>
        <v/>
      </c>
      <c r="AI181" s="216">
        <f t="shared" si="87"/>
        <v>0</v>
      </c>
      <c r="AL181" s="217" t="str">
        <f>IF(OR(X181=Kedvenc!$C$43,Y181=Kedvenc!$C$43),W181,"")</f>
        <v/>
      </c>
      <c r="AM181" s="218" t="str">
        <f t="shared" si="130"/>
        <v/>
      </c>
      <c r="AP181" s="245"/>
      <c r="AQ181" s="245"/>
      <c r="AR181" s="245"/>
      <c r="AS181" s="245"/>
      <c r="AT181" s="245"/>
      <c r="AU181" s="245"/>
      <c r="AV181" s="245"/>
      <c r="AW181" s="245"/>
      <c r="AX181" s="245"/>
      <c r="AY181" s="245"/>
      <c r="BA181" s="245"/>
      <c r="BE181" s="245"/>
    </row>
    <row r="182" spans="1:57" ht="14.25" hidden="1" customHeight="1" x14ac:dyDescent="0.2">
      <c r="A182" s="842"/>
      <c r="C182" s="278"/>
      <c r="D182" s="278"/>
      <c r="E182" s="265"/>
      <c r="F182" s="265"/>
      <c r="H182" s="266"/>
      <c r="I182" s="266"/>
      <c r="J182" s="169"/>
      <c r="K182" s="268"/>
      <c r="L182" s="228"/>
      <c r="M182" s="228"/>
      <c r="N182" s="228"/>
      <c r="O182" s="174"/>
      <c r="P182" s="209"/>
      <c r="Q182" s="209"/>
      <c r="R182" s="209"/>
      <c r="S182" s="209"/>
      <c r="U182" s="210" t="str">
        <f t="shared" si="118"/>
        <v>00</v>
      </c>
      <c r="V182" s="211" t="b">
        <f t="shared" si="119"/>
        <v>0</v>
      </c>
      <c r="W182" s="210">
        <f t="shared" si="131"/>
        <v>9</v>
      </c>
      <c r="X182" s="210">
        <f t="shared" si="120"/>
        <v>0</v>
      </c>
      <c r="Y182" s="210">
        <f t="shared" si="121"/>
        <v>0</v>
      </c>
      <c r="Z182" s="212" t="str">
        <f t="shared" si="122"/>
        <v/>
      </c>
      <c r="AA182" s="210" t="str">
        <f t="shared" si="123"/>
        <v/>
      </c>
      <c r="AB182" s="213"/>
      <c r="AC182" s="214" t="str">
        <f t="shared" si="124"/>
        <v/>
      </c>
      <c r="AD182" s="214" t="str">
        <f t="shared" si="125"/>
        <v/>
      </c>
      <c r="AE182" s="215" t="str">
        <f t="shared" si="126"/>
        <v/>
      </c>
      <c r="AF182" s="214" t="str">
        <f t="shared" si="127"/>
        <v/>
      </c>
      <c r="AG182" s="214" t="str">
        <f t="shared" si="128"/>
        <v/>
      </c>
      <c r="AH182" s="215" t="str">
        <f t="shared" si="129"/>
        <v/>
      </c>
      <c r="AI182" s="216">
        <f t="shared" si="87"/>
        <v>0</v>
      </c>
      <c r="AL182" s="217" t="str">
        <f>IF(OR(X182=Kedvenc!$C$43,Y182=Kedvenc!$C$43),W182,"")</f>
        <v/>
      </c>
      <c r="AM182" s="218" t="str">
        <f t="shared" si="130"/>
        <v/>
      </c>
      <c r="AP182" s="245"/>
      <c r="AQ182" s="245"/>
      <c r="AR182" s="245"/>
      <c r="AS182" s="245"/>
      <c r="AT182" s="245"/>
      <c r="AU182" s="245"/>
      <c r="AV182" s="245"/>
      <c r="AW182" s="245"/>
      <c r="AX182" s="245"/>
      <c r="AY182" s="245"/>
      <c r="BA182" s="245"/>
      <c r="BE182" s="245"/>
    </row>
    <row r="183" spans="1:57" ht="14.25" customHeight="1" x14ac:dyDescent="0.2">
      <c r="A183" s="842"/>
      <c r="E183" s="247"/>
      <c r="F183" s="248"/>
      <c r="G183" s="248"/>
      <c r="H183" s="248"/>
      <c r="I183" s="247"/>
      <c r="J183" s="172"/>
      <c r="K183" s="228"/>
      <c r="L183" s="228"/>
      <c r="M183" s="228"/>
      <c r="N183" s="228"/>
      <c r="O183" s="174"/>
      <c r="P183" s="209"/>
      <c r="Q183" s="209"/>
      <c r="R183" s="209"/>
      <c r="S183" s="209"/>
      <c r="W183" s="231"/>
      <c r="AC183" s="233"/>
      <c r="AD183" s="233"/>
      <c r="AE183" s="234"/>
      <c r="AF183" s="233"/>
      <c r="AG183" s="233"/>
      <c r="AH183" s="234"/>
      <c r="AI183" s="234"/>
      <c r="AP183" s="245"/>
      <c r="AQ183" s="245"/>
      <c r="AR183" s="245"/>
      <c r="AS183" s="245"/>
      <c r="AT183" s="245"/>
      <c r="AU183" s="245"/>
      <c r="AV183" s="245"/>
      <c r="AW183" s="245"/>
      <c r="AX183" s="245"/>
      <c r="AY183" s="245"/>
      <c r="BA183" s="245"/>
      <c r="BE183" s="245"/>
    </row>
    <row r="184" spans="1:57" ht="14.25" customHeight="1" x14ac:dyDescent="0.2">
      <c r="A184" s="842"/>
      <c r="E184" s="224"/>
      <c r="F184" s="225"/>
      <c r="G184" s="226"/>
      <c r="H184" s="209"/>
      <c r="I184" s="227"/>
      <c r="J184" s="169"/>
      <c r="K184" s="228"/>
      <c r="L184" s="225"/>
      <c r="M184" s="226"/>
      <c r="N184" s="209"/>
      <c r="O184" s="174"/>
      <c r="P184" s="209"/>
      <c r="Q184" s="209"/>
      <c r="R184" s="209"/>
      <c r="S184" s="209"/>
      <c r="W184" s="231"/>
      <c r="AC184" s="233"/>
      <c r="AD184" s="233"/>
      <c r="AE184" s="234"/>
      <c r="AF184" s="233"/>
      <c r="AG184" s="233"/>
      <c r="AH184" s="234"/>
      <c r="AI184" s="197"/>
      <c r="AP184" s="245"/>
      <c r="AQ184" s="245"/>
      <c r="AR184" s="245"/>
      <c r="AS184" s="245"/>
      <c r="AT184" s="245"/>
      <c r="AU184" s="245"/>
      <c r="AV184" s="245"/>
      <c r="AW184" s="245"/>
      <c r="AX184" s="245"/>
      <c r="AY184" s="245"/>
      <c r="BA184" s="245"/>
      <c r="BD184" s="245"/>
      <c r="BE184" s="245"/>
    </row>
    <row r="185" spans="1:57" ht="14.25" customHeight="1" x14ac:dyDescent="0.2">
      <c r="A185" s="842"/>
      <c r="B185" s="187"/>
      <c r="C185" s="269" t="str">
        <f>CONCATENATE(" ",AB187,"."," forduló  –")</f>
        <v xml:space="preserve"> 10. forduló  –</v>
      </c>
      <c r="D185" s="843">
        <f>VLOOKUP(AB187,ASZ!$AQ$59:$AS$104,2,FALSE)</f>
        <v>42151</v>
      </c>
      <c r="E185" s="843"/>
      <c r="F185" s="274"/>
      <c r="G185" s="274"/>
      <c r="H185" s="274"/>
      <c r="I185" s="270" t="str">
        <f>CONCATENATE(IF($AW$61,"pont: ","gól: "),SUM(F187:H198)," / átlag: ",TEXT(IF(COUNT(F187:H198)=0,"-",SUM(F187:H198)/COUNT(F187:H198)*2),"0,00"))</f>
        <v>gól: 27 / átlag: 5,40</v>
      </c>
      <c r="J185" s="190"/>
      <c r="K185" s="271" t="s">
        <v>285</v>
      </c>
      <c r="L185" s="192"/>
      <c r="U185" s="229"/>
      <c r="V185" s="230"/>
      <c r="W185" s="231"/>
      <c r="X185" s="231"/>
      <c r="Y185" s="231"/>
      <c r="Z185" s="232"/>
      <c r="AA185" s="231"/>
      <c r="AC185" s="197"/>
      <c r="AD185" s="197"/>
      <c r="AE185" s="197"/>
      <c r="AF185" s="197"/>
      <c r="AG185" s="197"/>
      <c r="AH185" s="197"/>
      <c r="AI185" s="197"/>
      <c r="AQ185" s="245"/>
      <c r="AR185" s="245"/>
      <c r="AS185" s="245"/>
      <c r="AT185" s="245"/>
    </row>
    <row r="186" spans="1:57" ht="9" customHeight="1" x14ac:dyDescent="0.2">
      <c r="A186" s="842"/>
      <c r="J186" s="169"/>
      <c r="K186" s="228"/>
      <c r="L186" s="225"/>
      <c r="M186" s="226"/>
      <c r="N186" s="209"/>
      <c r="O186" s="174"/>
      <c r="P186" s="209"/>
      <c r="Q186" s="209"/>
      <c r="R186" s="209"/>
      <c r="S186" s="209"/>
      <c r="AP186" s="245"/>
      <c r="AQ186" s="245"/>
      <c r="AR186" s="245"/>
      <c r="AS186" s="245"/>
      <c r="AT186" s="245"/>
      <c r="AU186" s="245"/>
      <c r="AV186" s="245"/>
      <c r="AW186" s="245"/>
      <c r="AX186" s="245"/>
      <c r="AY186" s="245"/>
      <c r="BA186" s="245"/>
      <c r="BE186" s="245"/>
    </row>
    <row r="187" spans="1:57" ht="14.25" customHeight="1" x14ac:dyDescent="0.2">
      <c r="A187" s="842"/>
      <c r="C187" s="255">
        <v>42151</v>
      </c>
      <c r="D187" s="255" t="s">
        <v>497</v>
      </c>
      <c r="E187" s="265" t="s">
        <v>486</v>
      </c>
      <c r="F187" s="272">
        <v>5</v>
      </c>
      <c r="G187" s="200" t="s">
        <v>247</v>
      </c>
      <c r="H187" s="273">
        <v>3</v>
      </c>
      <c r="I187" s="266" t="s">
        <v>484</v>
      </c>
      <c r="J187" s="207"/>
      <c r="K187" s="267"/>
      <c r="L187" s="225"/>
      <c r="M187" s="226"/>
      <c r="N187" s="209"/>
      <c r="O187" s="174"/>
      <c r="P187" s="209"/>
      <c r="Q187" s="209"/>
      <c r="R187" s="209"/>
      <c r="S187" s="209"/>
      <c r="U187" s="210" t="str">
        <f t="shared" ref="U187:U198" si="132">X187&amp;Y187</f>
        <v>BHDBakafogó-Honvéd-Sashegy SE</v>
      </c>
      <c r="V187" s="211" t="b">
        <f t="shared" ref="V187:V198" si="133">AND(F187&lt;&gt;"",H187&lt;&gt;"")</f>
        <v>1</v>
      </c>
      <c r="W187" s="210">
        <f>AB187</f>
        <v>10</v>
      </c>
      <c r="X187" s="210" t="str">
        <f t="shared" ref="X187:X198" si="134">E187</f>
        <v>BHD</v>
      </c>
      <c r="Y187" s="210" t="str">
        <f t="shared" ref="Y187:Y198" si="135">I187</f>
        <v>Bakafogó-Honvéd-Sashegy SE</v>
      </c>
      <c r="Z187" s="212">
        <f t="shared" ref="Z187:Z198" si="136">IF(V187,F187,"")</f>
        <v>5</v>
      </c>
      <c r="AA187" s="210">
        <f t="shared" ref="AA187:AA198" si="137">IF(V187,H187,"")</f>
        <v>3</v>
      </c>
      <c r="AB187" s="213">
        <f>IF(NOT(ASZTAB!$X$71),AB171+1,AB171+COUNTIF(AB155:AB186,AB171)-1)</f>
        <v>10</v>
      </c>
      <c r="AC187" s="214" t="str">
        <f t="shared" ref="AC187:AC198" si="138">IF(Z187&gt;AA187,X187,"")</f>
        <v>BHD</v>
      </c>
      <c r="AD187" s="214" t="str">
        <f t="shared" ref="AD187:AD198" si="139">IF(AA187="","",IF(Z187=AA187,X187,""))</f>
        <v/>
      </c>
      <c r="AE187" s="215" t="str">
        <f t="shared" ref="AE187:AE198" si="140">IF(AND($AW$61,Z187=0,AA187=20),X187&amp;"ooo",IF(Z187&lt;AA187,X187,""))</f>
        <v/>
      </c>
      <c r="AF187" s="214" t="str">
        <f t="shared" ref="AF187:AF198" si="141">IF(AA187&gt;Z187,Y187,"")</f>
        <v/>
      </c>
      <c r="AG187" s="214" t="str">
        <f t="shared" ref="AG187:AG198" si="142">IF(AA187="","",IF(Z187=AA187,Y187,""))</f>
        <v/>
      </c>
      <c r="AH187" s="215" t="str">
        <f t="shared" ref="AH187:AH198" si="143">IF(AND($AW$61,Z187=20,AA187=0),Y187&amp;"ooo",IF(Z187&gt;AA187,Y187,""))</f>
        <v>Bakafogó-Honvéd-Sashegy SE</v>
      </c>
      <c r="AI187" s="216">
        <f t="shared" ref="AI187:AI246" si="144">C187</f>
        <v>42151</v>
      </c>
      <c r="AL187" s="217" t="str">
        <f>IF(OR(X187=Kedvenc!$C$43,Y187=Kedvenc!$C$43),W187,"")</f>
        <v/>
      </c>
      <c r="AM187" s="218" t="str">
        <f t="shared" ref="AM187:AM198" si="145">IF(AL187="","",U187)</f>
        <v/>
      </c>
      <c r="AQ187" s="245"/>
      <c r="AR187" s="245"/>
      <c r="AS187" s="245"/>
      <c r="AT187" s="245"/>
      <c r="BB187" s="285" t="str">
        <f>C187&amp;D187</f>
        <v>4215119:00 – A pálya</v>
      </c>
      <c r="BC187" s="284">
        <f>COUNTIF($BB$43:$BB$383,BB187)</f>
        <v>1</v>
      </c>
      <c r="BD187" s="512" t="str">
        <f>U187</f>
        <v>BHDBakafogó-Honvéd-Sashegy SE</v>
      </c>
    </row>
    <row r="188" spans="1:57" ht="14.25" customHeight="1" x14ac:dyDescent="0.2">
      <c r="A188" s="842"/>
      <c r="C188" s="255">
        <v>42151</v>
      </c>
      <c r="D188" s="255" t="s">
        <v>498</v>
      </c>
      <c r="E188" s="265" t="s">
        <v>491</v>
      </c>
      <c r="F188" s="272">
        <v>4</v>
      </c>
      <c r="G188" s="200" t="s">
        <v>247</v>
      </c>
      <c r="H188" s="273">
        <v>1</v>
      </c>
      <c r="I188" s="266" t="s">
        <v>489</v>
      </c>
      <c r="J188" s="207"/>
      <c r="K188" s="268"/>
      <c r="L188" s="225"/>
      <c r="M188" s="226"/>
      <c r="N188" s="209"/>
      <c r="O188" s="174"/>
      <c r="U188" s="210" t="str">
        <f t="shared" si="132"/>
        <v>K&amp;HÉlelmesek</v>
      </c>
      <c r="V188" s="211" t="b">
        <f t="shared" si="133"/>
        <v>1</v>
      </c>
      <c r="W188" s="210">
        <f t="shared" ref="W188:W198" si="146">W187</f>
        <v>10</v>
      </c>
      <c r="X188" s="210" t="str">
        <f t="shared" si="134"/>
        <v>K&amp;H</v>
      </c>
      <c r="Y188" s="210" t="str">
        <f t="shared" si="135"/>
        <v>Élelmesek</v>
      </c>
      <c r="Z188" s="212">
        <f t="shared" si="136"/>
        <v>4</v>
      </c>
      <c r="AA188" s="210">
        <f t="shared" si="137"/>
        <v>1</v>
      </c>
      <c r="AB188" s="213"/>
      <c r="AC188" s="214" t="str">
        <f t="shared" si="138"/>
        <v>K&amp;H</v>
      </c>
      <c r="AD188" s="214" t="str">
        <f t="shared" si="139"/>
        <v/>
      </c>
      <c r="AE188" s="215" t="str">
        <f t="shared" si="140"/>
        <v/>
      </c>
      <c r="AF188" s="214" t="str">
        <f t="shared" si="141"/>
        <v/>
      </c>
      <c r="AG188" s="214" t="str">
        <f t="shared" si="142"/>
        <v/>
      </c>
      <c r="AH188" s="215" t="str">
        <f t="shared" si="143"/>
        <v>Élelmesek</v>
      </c>
      <c r="AI188" s="216">
        <f t="shared" si="144"/>
        <v>42151</v>
      </c>
      <c r="AL188" s="217" t="str">
        <f>IF(OR(X188=Kedvenc!$C$43,Y188=Kedvenc!$C$43),W188,"")</f>
        <v/>
      </c>
      <c r="AM188" s="218" t="str">
        <f t="shared" si="145"/>
        <v/>
      </c>
      <c r="BB188" s="285" t="str">
        <f>C188&amp;D188</f>
        <v>4215119:45 – A pálya</v>
      </c>
      <c r="BC188" s="284">
        <f>COUNTIF($BB$43:$BB$383,BB188)</f>
        <v>1</v>
      </c>
      <c r="BD188" s="512" t="str">
        <f>U188</f>
        <v>K&amp;HÉlelmesek</v>
      </c>
    </row>
    <row r="189" spans="1:57" ht="14.25" customHeight="1" x14ac:dyDescent="0.2">
      <c r="A189" s="842"/>
      <c r="C189" s="255">
        <v>42151</v>
      </c>
      <c r="D189" s="255" t="s">
        <v>499</v>
      </c>
      <c r="E189" s="265" t="s">
        <v>492</v>
      </c>
      <c r="F189" s="272">
        <v>3</v>
      </c>
      <c r="G189" s="200" t="s">
        <v>247</v>
      </c>
      <c r="H189" s="273">
        <v>3</v>
      </c>
      <c r="I189" s="266" t="s">
        <v>488</v>
      </c>
      <c r="J189" s="207"/>
      <c r="K189" s="268"/>
      <c r="L189" s="225"/>
      <c r="M189" s="226"/>
      <c r="N189" s="209"/>
      <c r="O189" s="174"/>
      <c r="U189" s="210" t="str">
        <f t="shared" si="132"/>
        <v>Royal Guard'sCarbonász</v>
      </c>
      <c r="V189" s="211" t="b">
        <f t="shared" si="133"/>
        <v>1</v>
      </c>
      <c r="W189" s="210">
        <f t="shared" si="146"/>
        <v>10</v>
      </c>
      <c r="X189" s="210" t="str">
        <f t="shared" si="134"/>
        <v>Royal Guard's</v>
      </c>
      <c r="Y189" s="210" t="str">
        <f t="shared" si="135"/>
        <v>Carbonász</v>
      </c>
      <c r="Z189" s="212">
        <f t="shared" si="136"/>
        <v>3</v>
      </c>
      <c r="AA189" s="210">
        <f t="shared" si="137"/>
        <v>3</v>
      </c>
      <c r="AB189" s="213"/>
      <c r="AC189" s="214" t="str">
        <f t="shared" si="138"/>
        <v/>
      </c>
      <c r="AD189" s="214" t="str">
        <f t="shared" si="139"/>
        <v>Royal Guard's</v>
      </c>
      <c r="AE189" s="215" t="str">
        <f t="shared" si="140"/>
        <v/>
      </c>
      <c r="AF189" s="214" t="str">
        <f t="shared" si="141"/>
        <v/>
      </c>
      <c r="AG189" s="214" t="str">
        <f t="shared" si="142"/>
        <v>Carbonász</v>
      </c>
      <c r="AH189" s="215" t="str">
        <f t="shared" si="143"/>
        <v/>
      </c>
      <c r="AI189" s="216">
        <f t="shared" si="144"/>
        <v>42151</v>
      </c>
      <c r="AL189" s="217" t="str">
        <f>IF(OR(X189=Kedvenc!$C$43,Y189=Kedvenc!$C$43),W189,"")</f>
        <v/>
      </c>
      <c r="AM189" s="218" t="str">
        <f t="shared" si="145"/>
        <v/>
      </c>
      <c r="BB189" s="285" t="str">
        <f>C189&amp;D189</f>
        <v>4215120:30 – A pálya</v>
      </c>
      <c r="BC189" s="284">
        <f>COUNTIF($BB$43:$BB$383,BB189)</f>
        <v>1</v>
      </c>
      <c r="BD189" s="512" t="str">
        <f>U189</f>
        <v>Royal Guard'sCarbonász</v>
      </c>
    </row>
    <row r="190" spans="1:57" ht="14.25" customHeight="1" x14ac:dyDescent="0.2">
      <c r="A190" s="842"/>
      <c r="C190" s="255">
        <v>42151</v>
      </c>
      <c r="D190" s="255" t="s">
        <v>500</v>
      </c>
      <c r="E190" s="265" t="s">
        <v>485</v>
      </c>
      <c r="F190" s="272">
        <v>3</v>
      </c>
      <c r="G190" s="200" t="s">
        <v>247</v>
      </c>
      <c r="H190" s="273">
        <v>1</v>
      </c>
      <c r="I190" s="266" t="s">
        <v>490</v>
      </c>
      <c r="J190" s="207"/>
      <c r="K190" s="268"/>
      <c r="L190" s="225"/>
      <c r="M190" s="226"/>
      <c r="N190" s="209"/>
      <c r="O190" s="174"/>
      <c r="U190" s="210" t="str">
        <f t="shared" si="132"/>
        <v>BBKHercules-Ludovika</v>
      </c>
      <c r="V190" s="211" t="b">
        <f t="shared" si="133"/>
        <v>1</v>
      </c>
      <c r="W190" s="210">
        <f t="shared" si="146"/>
        <v>10</v>
      </c>
      <c r="X190" s="210" t="str">
        <f t="shared" si="134"/>
        <v>BBK</v>
      </c>
      <c r="Y190" s="210" t="str">
        <f t="shared" si="135"/>
        <v>Hercules-Ludovika</v>
      </c>
      <c r="Z190" s="212">
        <f t="shared" si="136"/>
        <v>3</v>
      </c>
      <c r="AA190" s="210">
        <f t="shared" si="137"/>
        <v>1</v>
      </c>
      <c r="AB190" s="213"/>
      <c r="AC190" s="214" t="str">
        <f t="shared" si="138"/>
        <v>BBK</v>
      </c>
      <c r="AD190" s="214" t="str">
        <f t="shared" si="139"/>
        <v/>
      </c>
      <c r="AE190" s="215" t="str">
        <f t="shared" si="140"/>
        <v/>
      </c>
      <c r="AF190" s="214" t="str">
        <f t="shared" si="141"/>
        <v/>
      </c>
      <c r="AG190" s="214" t="str">
        <f t="shared" si="142"/>
        <v/>
      </c>
      <c r="AH190" s="215" t="str">
        <f t="shared" si="143"/>
        <v>Hercules-Ludovika</v>
      </c>
      <c r="AI190" s="216">
        <f t="shared" si="144"/>
        <v>42151</v>
      </c>
      <c r="AL190" s="217" t="str">
        <f>IF(OR(X190=Kedvenc!$C$43,Y190=Kedvenc!$C$43),W190,"")</f>
        <v/>
      </c>
      <c r="AM190" s="218" t="str">
        <f t="shared" si="145"/>
        <v/>
      </c>
      <c r="AP190" s="245"/>
      <c r="AQ190" s="245"/>
      <c r="AR190" s="245"/>
      <c r="AS190" s="245"/>
      <c r="AT190" s="245"/>
      <c r="AU190" s="245"/>
      <c r="AV190" s="245"/>
      <c r="AW190" s="245"/>
      <c r="AX190" s="245"/>
      <c r="AY190" s="245"/>
      <c r="BA190" s="245"/>
      <c r="BB190" s="285" t="str">
        <f>C190&amp;D190</f>
        <v>4215119:00 – B pálya</v>
      </c>
      <c r="BC190" s="284">
        <f>COUNTIF($BB$43:$BB$383,BB190)</f>
        <v>1</v>
      </c>
      <c r="BD190" s="512" t="str">
        <f>U190</f>
        <v>BBKHercules-Ludovika</v>
      </c>
      <c r="BE190" s="245"/>
    </row>
    <row r="191" spans="1:57" ht="14.25" customHeight="1" x14ac:dyDescent="0.2">
      <c r="A191" s="842"/>
      <c r="C191" s="255">
        <v>42151</v>
      </c>
      <c r="D191" s="255" t="s">
        <v>501</v>
      </c>
      <c r="E191" s="265" t="s">
        <v>493</v>
      </c>
      <c r="F191" s="272">
        <v>4</v>
      </c>
      <c r="G191" s="200" t="s">
        <v>247</v>
      </c>
      <c r="H191" s="273">
        <v>0</v>
      </c>
      <c r="I191" s="266" t="s">
        <v>487</v>
      </c>
      <c r="J191" s="223"/>
      <c r="K191" s="787"/>
      <c r="L191" s="225"/>
      <c r="M191" s="226"/>
      <c r="N191" s="209"/>
      <c r="O191" s="174"/>
      <c r="P191" s="209"/>
      <c r="Q191" s="209"/>
      <c r="R191" s="209"/>
      <c r="S191" s="209"/>
      <c r="U191" s="210" t="str">
        <f t="shared" si="132"/>
        <v>VakanaBőrdíszmű</v>
      </c>
      <c r="V191" s="211" t="b">
        <f t="shared" si="133"/>
        <v>1</v>
      </c>
      <c r="W191" s="210">
        <f t="shared" si="146"/>
        <v>10</v>
      </c>
      <c r="X191" s="210" t="str">
        <f t="shared" si="134"/>
        <v>Vakana</v>
      </c>
      <c r="Y191" s="210" t="str">
        <f t="shared" si="135"/>
        <v>Bőrdíszmű</v>
      </c>
      <c r="Z191" s="212">
        <f t="shared" si="136"/>
        <v>4</v>
      </c>
      <c r="AA191" s="210">
        <f t="shared" si="137"/>
        <v>0</v>
      </c>
      <c r="AB191" s="213"/>
      <c r="AC191" s="214" t="str">
        <f t="shared" si="138"/>
        <v>Vakana</v>
      </c>
      <c r="AD191" s="214" t="str">
        <f t="shared" si="139"/>
        <v/>
      </c>
      <c r="AE191" s="215" t="str">
        <f t="shared" si="140"/>
        <v/>
      </c>
      <c r="AF191" s="214" t="str">
        <f t="shared" si="141"/>
        <v/>
      </c>
      <c r="AG191" s="214" t="str">
        <f t="shared" si="142"/>
        <v/>
      </c>
      <c r="AH191" s="215" t="str">
        <f t="shared" si="143"/>
        <v>Bőrdíszmű</v>
      </c>
      <c r="AI191" s="216">
        <f t="shared" si="144"/>
        <v>42151</v>
      </c>
      <c r="AL191" s="217" t="str">
        <f>IF(OR(X191=Kedvenc!$C$43,Y191=Kedvenc!$C$43),W191,"")</f>
        <v/>
      </c>
      <c r="AM191" s="218" t="str">
        <f t="shared" si="145"/>
        <v/>
      </c>
      <c r="AP191" s="245"/>
      <c r="AQ191" s="245"/>
      <c r="AR191" s="245"/>
      <c r="AS191" s="245"/>
      <c r="AT191" s="245"/>
      <c r="AU191" s="245"/>
      <c r="AV191" s="245"/>
      <c r="AW191" s="245"/>
      <c r="AX191" s="245"/>
      <c r="AY191" s="245"/>
      <c r="BA191" s="245"/>
      <c r="BB191" s="285" t="str">
        <f>C191&amp;D191</f>
        <v>4215119:45 – B pálya</v>
      </c>
      <c r="BC191" s="284">
        <f>COUNTIF($BB$43:$BB$383,BB191)</f>
        <v>1</v>
      </c>
      <c r="BD191" s="512" t="str">
        <f>U191</f>
        <v>VakanaBőrdíszmű</v>
      </c>
      <c r="BE191" s="245"/>
    </row>
    <row r="192" spans="1:57" ht="14.25" customHeight="1" x14ac:dyDescent="0.2">
      <c r="A192" s="842"/>
      <c r="C192" s="278"/>
      <c r="D192" s="278"/>
      <c r="E192" s="275" t="s">
        <v>494</v>
      </c>
      <c r="F192" s="275"/>
      <c r="G192" s="276"/>
      <c r="H192" s="277"/>
      <c r="I192" s="277" t="s">
        <v>495</v>
      </c>
      <c r="J192" s="223"/>
      <c r="K192" s="268"/>
      <c r="L192" s="225"/>
      <c r="M192" s="226"/>
      <c r="N192" s="209"/>
      <c r="O192" s="174"/>
      <c r="P192" s="209"/>
      <c r="Q192" s="209"/>
      <c r="R192" s="209"/>
      <c r="S192" s="209"/>
      <c r="U192" s="210" t="str">
        <f t="shared" si="132"/>
        <v>Zrínyigyöngyeszabadnapos</v>
      </c>
      <c r="V192" s="211" t="b">
        <f t="shared" si="133"/>
        <v>0</v>
      </c>
      <c r="W192" s="210">
        <f t="shared" si="146"/>
        <v>10</v>
      </c>
      <c r="X192" s="210" t="str">
        <f t="shared" si="134"/>
        <v>Zrínyigyöngye</v>
      </c>
      <c r="Y192" s="210" t="str">
        <f t="shared" si="135"/>
        <v>szabadnapos</v>
      </c>
      <c r="Z192" s="212" t="str">
        <f t="shared" si="136"/>
        <v/>
      </c>
      <c r="AA192" s="210" t="str">
        <f t="shared" si="137"/>
        <v/>
      </c>
      <c r="AB192" s="213"/>
      <c r="AC192" s="214" t="str">
        <f t="shared" si="138"/>
        <v/>
      </c>
      <c r="AD192" s="214" t="str">
        <f t="shared" si="139"/>
        <v/>
      </c>
      <c r="AE192" s="215" t="str">
        <f t="shared" si="140"/>
        <v/>
      </c>
      <c r="AF192" s="214" t="str">
        <f t="shared" si="141"/>
        <v/>
      </c>
      <c r="AG192" s="214" t="str">
        <f t="shared" si="142"/>
        <v/>
      </c>
      <c r="AH192" s="215" t="str">
        <f t="shared" si="143"/>
        <v/>
      </c>
      <c r="AI192" s="750">
        <f>AI187</f>
        <v>42151</v>
      </c>
      <c r="AL192" s="217" t="str">
        <f>IF(OR(X192=Kedvenc!$C$43,Y192=Kedvenc!$C$43),W192,"")</f>
        <v/>
      </c>
      <c r="AM192" s="218" t="str">
        <f t="shared" si="145"/>
        <v/>
      </c>
      <c r="AP192" s="245"/>
      <c r="AQ192" s="245"/>
      <c r="AR192" s="245"/>
      <c r="AS192" s="245"/>
      <c r="AT192" s="245"/>
      <c r="AU192" s="245"/>
      <c r="AV192" s="245"/>
      <c r="AW192" s="245"/>
      <c r="AX192" s="245"/>
      <c r="AY192" s="245"/>
      <c r="BA192" s="245"/>
      <c r="BE192" s="245"/>
    </row>
    <row r="193" spans="1:57" ht="14.25" hidden="1" customHeight="1" x14ac:dyDescent="0.2">
      <c r="A193" s="842"/>
      <c r="C193" s="278"/>
      <c r="D193" s="278"/>
      <c r="E193" s="265"/>
      <c r="F193" s="265"/>
      <c r="H193" s="266"/>
      <c r="I193" s="266"/>
      <c r="J193" s="223"/>
      <c r="K193" s="268"/>
      <c r="L193" s="225"/>
      <c r="M193" s="226"/>
      <c r="N193" s="209"/>
      <c r="O193" s="174"/>
      <c r="P193" s="209"/>
      <c r="Q193" s="209"/>
      <c r="R193" s="209"/>
      <c r="S193" s="209"/>
      <c r="U193" s="210" t="str">
        <f t="shared" si="132"/>
        <v>00</v>
      </c>
      <c r="V193" s="211" t="b">
        <f t="shared" si="133"/>
        <v>0</v>
      </c>
      <c r="W193" s="210">
        <f t="shared" si="146"/>
        <v>10</v>
      </c>
      <c r="X193" s="210">
        <f t="shared" si="134"/>
        <v>0</v>
      </c>
      <c r="Y193" s="210">
        <f t="shared" si="135"/>
        <v>0</v>
      </c>
      <c r="Z193" s="212" t="str">
        <f t="shared" si="136"/>
        <v/>
      </c>
      <c r="AA193" s="210" t="str">
        <f t="shared" si="137"/>
        <v/>
      </c>
      <c r="AB193" s="213"/>
      <c r="AC193" s="214" t="str">
        <f t="shared" si="138"/>
        <v/>
      </c>
      <c r="AD193" s="214" t="str">
        <f t="shared" si="139"/>
        <v/>
      </c>
      <c r="AE193" s="215" t="str">
        <f t="shared" si="140"/>
        <v/>
      </c>
      <c r="AF193" s="214" t="str">
        <f t="shared" si="141"/>
        <v/>
      </c>
      <c r="AG193" s="214" t="str">
        <f t="shared" si="142"/>
        <v/>
      </c>
      <c r="AH193" s="215" t="str">
        <f t="shared" si="143"/>
        <v/>
      </c>
      <c r="AI193" s="216">
        <f t="shared" si="144"/>
        <v>0</v>
      </c>
      <c r="AL193" s="217" t="str">
        <f>IF(OR(X193=Kedvenc!$C$43,Y193=Kedvenc!$C$43),W193,"")</f>
        <v/>
      </c>
      <c r="AM193" s="218" t="str">
        <f t="shared" si="145"/>
        <v/>
      </c>
      <c r="AP193" s="245"/>
      <c r="AQ193" s="245"/>
      <c r="AR193" s="245"/>
      <c r="AS193" s="245"/>
      <c r="AT193" s="245"/>
      <c r="AU193" s="245"/>
      <c r="AV193" s="245"/>
      <c r="AW193" s="245"/>
      <c r="AX193" s="245"/>
      <c r="AY193" s="245"/>
      <c r="BA193" s="245"/>
      <c r="BE193" s="245"/>
    </row>
    <row r="194" spans="1:57" ht="14.25" hidden="1" customHeight="1" x14ac:dyDescent="0.2">
      <c r="A194" s="842"/>
      <c r="C194" s="278"/>
      <c r="D194" s="278"/>
      <c r="E194" s="265"/>
      <c r="F194" s="265"/>
      <c r="H194" s="266"/>
      <c r="I194" s="266"/>
      <c r="J194" s="223"/>
      <c r="K194" s="268"/>
      <c r="L194" s="225"/>
      <c r="M194" s="226"/>
      <c r="N194" s="209"/>
      <c r="O194" s="174"/>
      <c r="P194" s="209"/>
      <c r="Q194" s="209"/>
      <c r="R194" s="209"/>
      <c r="S194" s="209"/>
      <c r="U194" s="210" t="str">
        <f t="shared" si="132"/>
        <v>00</v>
      </c>
      <c r="V194" s="211" t="b">
        <f t="shared" si="133"/>
        <v>0</v>
      </c>
      <c r="W194" s="210">
        <f t="shared" si="146"/>
        <v>10</v>
      </c>
      <c r="X194" s="210">
        <f t="shared" si="134"/>
        <v>0</v>
      </c>
      <c r="Y194" s="210">
        <f t="shared" si="135"/>
        <v>0</v>
      </c>
      <c r="Z194" s="212" t="str">
        <f t="shared" si="136"/>
        <v/>
      </c>
      <c r="AA194" s="210" t="str">
        <f t="shared" si="137"/>
        <v/>
      </c>
      <c r="AB194" s="213"/>
      <c r="AC194" s="214" t="str">
        <f t="shared" si="138"/>
        <v/>
      </c>
      <c r="AD194" s="214" t="str">
        <f t="shared" si="139"/>
        <v/>
      </c>
      <c r="AE194" s="215" t="str">
        <f t="shared" si="140"/>
        <v/>
      </c>
      <c r="AF194" s="214" t="str">
        <f t="shared" si="141"/>
        <v/>
      </c>
      <c r="AG194" s="214" t="str">
        <f t="shared" si="142"/>
        <v/>
      </c>
      <c r="AH194" s="215" t="str">
        <f t="shared" si="143"/>
        <v/>
      </c>
      <c r="AI194" s="216">
        <f t="shared" si="144"/>
        <v>0</v>
      </c>
      <c r="AL194" s="217" t="str">
        <f>IF(OR(X194=Kedvenc!$C$43,Y194=Kedvenc!$C$43),W194,"")</f>
        <v/>
      </c>
      <c r="AM194" s="218" t="str">
        <f t="shared" si="145"/>
        <v/>
      </c>
      <c r="AP194" s="245"/>
      <c r="AQ194" s="245"/>
      <c r="AR194" s="245"/>
      <c r="AS194" s="245"/>
      <c r="AT194" s="245"/>
      <c r="AU194" s="245"/>
      <c r="AV194" s="245"/>
      <c r="AW194" s="245"/>
      <c r="AX194" s="245"/>
      <c r="AY194" s="245"/>
      <c r="BA194" s="245"/>
      <c r="BE194" s="245"/>
    </row>
    <row r="195" spans="1:57" ht="14.25" hidden="1" customHeight="1" x14ac:dyDescent="0.2">
      <c r="A195" s="842"/>
      <c r="C195" s="278"/>
      <c r="D195" s="278"/>
      <c r="E195" s="265"/>
      <c r="F195" s="265"/>
      <c r="H195" s="266"/>
      <c r="I195" s="266"/>
      <c r="J195" s="223"/>
      <c r="K195" s="268"/>
      <c r="L195" s="225"/>
      <c r="M195" s="226"/>
      <c r="N195" s="209"/>
      <c r="O195" s="174"/>
      <c r="P195" s="209"/>
      <c r="Q195" s="209"/>
      <c r="R195" s="209"/>
      <c r="S195" s="209"/>
      <c r="U195" s="210" t="str">
        <f t="shared" si="132"/>
        <v>00</v>
      </c>
      <c r="V195" s="211" t="b">
        <f t="shared" si="133"/>
        <v>0</v>
      </c>
      <c r="W195" s="210">
        <f t="shared" si="146"/>
        <v>10</v>
      </c>
      <c r="X195" s="210">
        <f t="shared" si="134"/>
        <v>0</v>
      </c>
      <c r="Y195" s="210">
        <f t="shared" si="135"/>
        <v>0</v>
      </c>
      <c r="Z195" s="212" t="str">
        <f t="shared" si="136"/>
        <v/>
      </c>
      <c r="AA195" s="210" t="str">
        <f t="shared" si="137"/>
        <v/>
      </c>
      <c r="AB195" s="213"/>
      <c r="AC195" s="214" t="str">
        <f t="shared" si="138"/>
        <v/>
      </c>
      <c r="AD195" s="214" t="str">
        <f t="shared" si="139"/>
        <v/>
      </c>
      <c r="AE195" s="215" t="str">
        <f t="shared" si="140"/>
        <v/>
      </c>
      <c r="AF195" s="214" t="str">
        <f t="shared" si="141"/>
        <v/>
      </c>
      <c r="AG195" s="214" t="str">
        <f t="shared" si="142"/>
        <v/>
      </c>
      <c r="AH195" s="215" t="str">
        <f t="shared" si="143"/>
        <v/>
      </c>
      <c r="AI195" s="216">
        <f t="shared" si="144"/>
        <v>0</v>
      </c>
      <c r="AL195" s="217" t="str">
        <f>IF(OR(X195=Kedvenc!$C$43,Y195=Kedvenc!$C$43),W195,"")</f>
        <v/>
      </c>
      <c r="AM195" s="218" t="str">
        <f t="shared" si="145"/>
        <v/>
      </c>
      <c r="AP195" s="245"/>
      <c r="AQ195" s="245"/>
      <c r="AR195" s="245"/>
      <c r="AS195" s="245"/>
      <c r="AT195" s="245"/>
      <c r="AU195" s="245"/>
      <c r="AV195" s="245"/>
      <c r="AW195" s="245"/>
      <c r="AX195" s="245"/>
      <c r="AY195" s="245"/>
      <c r="BA195" s="245"/>
      <c r="BE195" s="245"/>
    </row>
    <row r="196" spans="1:57" ht="14.25" hidden="1" customHeight="1" x14ac:dyDescent="0.2">
      <c r="A196" s="842"/>
      <c r="C196" s="278"/>
      <c r="D196" s="278"/>
      <c r="E196" s="265"/>
      <c r="F196" s="265"/>
      <c r="H196" s="266"/>
      <c r="I196" s="266"/>
      <c r="J196" s="223"/>
      <c r="K196" s="268"/>
      <c r="L196" s="225"/>
      <c r="M196" s="226"/>
      <c r="N196" s="209"/>
      <c r="O196" s="174"/>
      <c r="P196" s="209"/>
      <c r="Q196" s="209"/>
      <c r="R196" s="209"/>
      <c r="S196" s="209"/>
      <c r="U196" s="210" t="str">
        <f t="shared" si="132"/>
        <v>00</v>
      </c>
      <c r="V196" s="211" t="b">
        <f t="shared" si="133"/>
        <v>0</v>
      </c>
      <c r="W196" s="210">
        <f t="shared" si="146"/>
        <v>10</v>
      </c>
      <c r="X196" s="210">
        <f t="shared" si="134"/>
        <v>0</v>
      </c>
      <c r="Y196" s="210">
        <f t="shared" si="135"/>
        <v>0</v>
      </c>
      <c r="Z196" s="212" t="str">
        <f t="shared" si="136"/>
        <v/>
      </c>
      <c r="AA196" s="210" t="str">
        <f t="shared" si="137"/>
        <v/>
      </c>
      <c r="AB196" s="213"/>
      <c r="AC196" s="214" t="str">
        <f t="shared" si="138"/>
        <v/>
      </c>
      <c r="AD196" s="214" t="str">
        <f t="shared" si="139"/>
        <v/>
      </c>
      <c r="AE196" s="215" t="str">
        <f t="shared" si="140"/>
        <v/>
      </c>
      <c r="AF196" s="214" t="str">
        <f t="shared" si="141"/>
        <v/>
      </c>
      <c r="AG196" s="214" t="str">
        <f t="shared" si="142"/>
        <v/>
      </c>
      <c r="AH196" s="215" t="str">
        <f t="shared" si="143"/>
        <v/>
      </c>
      <c r="AI196" s="216">
        <f t="shared" si="144"/>
        <v>0</v>
      </c>
      <c r="AL196" s="217" t="str">
        <f>IF(OR(X196=Kedvenc!$C$43,Y196=Kedvenc!$C$43),W196,"")</f>
        <v/>
      </c>
      <c r="AM196" s="218" t="str">
        <f t="shared" si="145"/>
        <v/>
      </c>
      <c r="AP196" s="245"/>
      <c r="AQ196" s="245"/>
      <c r="AR196" s="245"/>
      <c r="AS196" s="245"/>
      <c r="AT196" s="245"/>
      <c r="AU196" s="245"/>
      <c r="AV196" s="245"/>
      <c r="AW196" s="245"/>
      <c r="AX196" s="245"/>
      <c r="AY196" s="245"/>
      <c r="BA196" s="245"/>
      <c r="BE196" s="245"/>
    </row>
    <row r="197" spans="1:57" ht="14.25" hidden="1" customHeight="1" x14ac:dyDescent="0.2">
      <c r="A197" s="842"/>
      <c r="C197" s="278"/>
      <c r="D197" s="278"/>
      <c r="E197" s="265"/>
      <c r="F197" s="265"/>
      <c r="H197" s="266"/>
      <c r="I197" s="266"/>
      <c r="J197" s="223"/>
      <c r="K197" s="268"/>
      <c r="L197" s="225"/>
      <c r="M197" s="226"/>
      <c r="N197" s="209"/>
      <c r="O197" s="174"/>
      <c r="P197" s="209"/>
      <c r="Q197" s="209"/>
      <c r="R197" s="209"/>
      <c r="S197" s="209"/>
      <c r="U197" s="210" t="str">
        <f t="shared" si="132"/>
        <v>00</v>
      </c>
      <c r="V197" s="211" t="b">
        <f t="shared" si="133"/>
        <v>0</v>
      </c>
      <c r="W197" s="210">
        <f t="shared" si="146"/>
        <v>10</v>
      </c>
      <c r="X197" s="210">
        <f t="shared" si="134"/>
        <v>0</v>
      </c>
      <c r="Y197" s="210">
        <f t="shared" si="135"/>
        <v>0</v>
      </c>
      <c r="Z197" s="212" t="str">
        <f t="shared" si="136"/>
        <v/>
      </c>
      <c r="AA197" s="210" t="str">
        <f t="shared" si="137"/>
        <v/>
      </c>
      <c r="AB197" s="213"/>
      <c r="AC197" s="214" t="str">
        <f t="shared" si="138"/>
        <v/>
      </c>
      <c r="AD197" s="214" t="str">
        <f t="shared" si="139"/>
        <v/>
      </c>
      <c r="AE197" s="215" t="str">
        <f t="shared" si="140"/>
        <v/>
      </c>
      <c r="AF197" s="214" t="str">
        <f t="shared" si="141"/>
        <v/>
      </c>
      <c r="AG197" s="214" t="str">
        <f t="shared" si="142"/>
        <v/>
      </c>
      <c r="AH197" s="215" t="str">
        <f t="shared" si="143"/>
        <v/>
      </c>
      <c r="AI197" s="216">
        <f t="shared" si="144"/>
        <v>0</v>
      </c>
      <c r="AL197" s="217" t="str">
        <f>IF(OR(X197=Kedvenc!$C$43,Y197=Kedvenc!$C$43),W197,"")</f>
        <v/>
      </c>
      <c r="AM197" s="218" t="str">
        <f t="shared" si="145"/>
        <v/>
      </c>
      <c r="AP197" s="245"/>
      <c r="AQ197" s="245"/>
      <c r="AR197" s="245"/>
      <c r="AS197" s="245"/>
      <c r="AT197" s="245"/>
      <c r="AU197" s="245"/>
      <c r="AV197" s="245"/>
      <c r="AW197" s="245"/>
      <c r="AX197" s="245"/>
      <c r="AY197" s="245"/>
      <c r="BA197" s="245"/>
      <c r="BE197" s="245"/>
    </row>
    <row r="198" spans="1:57" ht="14.25" hidden="1" customHeight="1" x14ac:dyDescent="0.2">
      <c r="A198" s="842"/>
      <c r="C198" s="278"/>
      <c r="D198" s="278"/>
      <c r="E198" s="265"/>
      <c r="F198" s="265"/>
      <c r="H198" s="266"/>
      <c r="I198" s="266"/>
      <c r="J198" s="169"/>
      <c r="K198" s="268"/>
      <c r="L198" s="228"/>
      <c r="M198" s="228"/>
      <c r="N198" s="228"/>
      <c r="O198" s="174"/>
      <c r="P198" s="209"/>
      <c r="Q198" s="209"/>
      <c r="R198" s="209"/>
      <c r="S198" s="209"/>
      <c r="U198" s="210" t="str">
        <f t="shared" si="132"/>
        <v>00</v>
      </c>
      <c r="V198" s="211" t="b">
        <f t="shared" si="133"/>
        <v>0</v>
      </c>
      <c r="W198" s="210">
        <f t="shared" si="146"/>
        <v>10</v>
      </c>
      <c r="X198" s="210">
        <f t="shared" si="134"/>
        <v>0</v>
      </c>
      <c r="Y198" s="210">
        <f t="shared" si="135"/>
        <v>0</v>
      </c>
      <c r="Z198" s="212" t="str">
        <f t="shared" si="136"/>
        <v/>
      </c>
      <c r="AA198" s="210" t="str">
        <f t="shared" si="137"/>
        <v/>
      </c>
      <c r="AB198" s="213"/>
      <c r="AC198" s="214" t="str">
        <f t="shared" si="138"/>
        <v/>
      </c>
      <c r="AD198" s="214" t="str">
        <f t="shared" si="139"/>
        <v/>
      </c>
      <c r="AE198" s="215" t="str">
        <f t="shared" si="140"/>
        <v/>
      </c>
      <c r="AF198" s="214" t="str">
        <f t="shared" si="141"/>
        <v/>
      </c>
      <c r="AG198" s="214" t="str">
        <f t="shared" si="142"/>
        <v/>
      </c>
      <c r="AH198" s="215" t="str">
        <f t="shared" si="143"/>
        <v/>
      </c>
      <c r="AI198" s="216">
        <f t="shared" si="144"/>
        <v>0</v>
      </c>
      <c r="AL198" s="217" t="str">
        <f>IF(OR(X198=Kedvenc!$C$43,Y198=Kedvenc!$C$43),W198,"")</f>
        <v/>
      </c>
      <c r="AM198" s="218" t="str">
        <f t="shared" si="145"/>
        <v/>
      </c>
      <c r="AP198" s="245"/>
      <c r="AQ198" s="245"/>
      <c r="AR198" s="245"/>
      <c r="AS198" s="245"/>
      <c r="AT198" s="245"/>
      <c r="AU198" s="245"/>
      <c r="AV198" s="245"/>
      <c r="AW198" s="245"/>
      <c r="AX198" s="245"/>
      <c r="AY198" s="245"/>
      <c r="BA198" s="245"/>
      <c r="BE198" s="245"/>
    </row>
    <row r="199" spans="1:57" ht="14.25" customHeight="1" x14ac:dyDescent="0.2">
      <c r="A199" s="842"/>
      <c r="E199" s="247"/>
      <c r="F199" s="248"/>
      <c r="G199" s="248"/>
      <c r="H199" s="248"/>
      <c r="I199" s="247"/>
      <c r="J199" s="172"/>
      <c r="K199" s="228"/>
      <c r="L199" s="228"/>
      <c r="M199" s="228"/>
      <c r="N199" s="228"/>
      <c r="O199" s="174"/>
      <c r="P199" s="209"/>
      <c r="Q199" s="209"/>
      <c r="R199" s="209"/>
      <c r="S199" s="209"/>
      <c r="W199" s="231"/>
      <c r="AC199" s="233"/>
      <c r="AD199" s="233"/>
      <c r="AE199" s="234"/>
      <c r="AF199" s="233"/>
      <c r="AG199" s="233"/>
      <c r="AH199" s="234"/>
      <c r="AI199" s="234"/>
      <c r="AP199" s="245"/>
      <c r="AQ199" s="245"/>
      <c r="AR199" s="245"/>
      <c r="AS199" s="245"/>
      <c r="AT199" s="245"/>
      <c r="AU199" s="245"/>
      <c r="AV199" s="245"/>
      <c r="AW199" s="245"/>
      <c r="AX199" s="245"/>
      <c r="AY199" s="245"/>
      <c r="BA199" s="245"/>
      <c r="BE199" s="245"/>
    </row>
    <row r="200" spans="1:57" ht="14.25" customHeight="1" x14ac:dyDescent="0.2">
      <c r="A200" s="842"/>
      <c r="E200" s="224"/>
      <c r="F200" s="225"/>
      <c r="G200" s="226"/>
      <c r="H200" s="209"/>
      <c r="I200" s="227"/>
      <c r="J200" s="169"/>
      <c r="K200" s="228"/>
      <c r="L200" s="225"/>
      <c r="M200" s="226"/>
      <c r="N200" s="209"/>
      <c r="O200" s="174"/>
      <c r="P200" s="209"/>
      <c r="Q200" s="209"/>
      <c r="R200" s="209"/>
      <c r="S200" s="209"/>
      <c r="W200" s="231"/>
      <c r="AC200" s="233"/>
      <c r="AD200" s="233"/>
      <c r="AE200" s="234"/>
      <c r="AF200" s="233"/>
      <c r="AG200" s="233"/>
      <c r="AH200" s="234"/>
      <c r="AI200" s="197"/>
      <c r="AP200" s="245"/>
      <c r="AQ200" s="245"/>
      <c r="AR200" s="245"/>
      <c r="AS200" s="245"/>
      <c r="AT200" s="245"/>
      <c r="AU200" s="245"/>
      <c r="AV200" s="245"/>
      <c r="AW200" s="245"/>
      <c r="AX200" s="245"/>
      <c r="AY200" s="245"/>
      <c r="BA200" s="245"/>
      <c r="BD200" s="245"/>
      <c r="BE200" s="245"/>
    </row>
    <row r="201" spans="1:57" ht="14.25" customHeight="1" x14ac:dyDescent="0.2">
      <c r="A201" s="842"/>
      <c r="B201" s="187"/>
      <c r="C201" s="269" t="str">
        <f>CONCATENATE(" ",AB203,"."," forduló  –")</f>
        <v xml:space="preserve"> 11. forduló  –</v>
      </c>
      <c r="D201" s="843">
        <f>VLOOKUP(AB203,ASZ!$AQ$59:$AS$104,2,FALSE)</f>
        <v>42158</v>
      </c>
      <c r="E201" s="843"/>
      <c r="F201" s="274"/>
      <c r="G201" s="274"/>
      <c r="H201" s="274"/>
      <c r="I201" s="270" t="str">
        <f>CONCATENATE(IF($AW$61,"pont: ","gól: "),SUM(F203:H214)," / átlag: ",TEXT(IF(COUNT(F203:H214)=0,"-",SUM(F203:H214)/COUNT(F203:H214)*2),"0,00"))</f>
        <v>gól: 35 / átlag: 7,00</v>
      </c>
      <c r="J201" s="190"/>
      <c r="K201" s="271" t="s">
        <v>285</v>
      </c>
      <c r="L201" s="192"/>
      <c r="U201" s="229"/>
      <c r="V201" s="230"/>
      <c r="W201" s="231"/>
      <c r="X201" s="231"/>
      <c r="Y201" s="231"/>
      <c r="Z201" s="232"/>
      <c r="AA201" s="231"/>
      <c r="AC201" s="197"/>
      <c r="AD201" s="197"/>
      <c r="AE201" s="197"/>
      <c r="AF201" s="197"/>
      <c r="AG201" s="197"/>
      <c r="AH201" s="197"/>
      <c r="AI201" s="197"/>
      <c r="AQ201" s="245"/>
      <c r="AR201" s="245"/>
      <c r="AS201" s="245"/>
      <c r="AT201" s="245"/>
    </row>
    <row r="202" spans="1:57" ht="9" customHeight="1" x14ac:dyDescent="0.2">
      <c r="A202" s="842"/>
      <c r="J202" s="169"/>
      <c r="K202" s="228"/>
      <c r="L202" s="225"/>
      <c r="M202" s="226"/>
      <c r="N202" s="209"/>
      <c r="O202" s="174"/>
      <c r="P202" s="209"/>
      <c r="Q202" s="209"/>
      <c r="R202" s="209"/>
      <c r="S202" s="209"/>
      <c r="AP202" s="245"/>
      <c r="AQ202" s="245"/>
      <c r="AR202" s="245"/>
      <c r="AS202" s="245"/>
      <c r="AT202" s="245"/>
      <c r="AU202" s="245"/>
      <c r="AV202" s="245"/>
      <c r="AW202" s="245"/>
      <c r="AX202" s="245"/>
      <c r="AY202" s="245"/>
      <c r="BA202" s="245"/>
      <c r="BE202" s="245"/>
    </row>
    <row r="203" spans="1:57" ht="14.25" customHeight="1" x14ac:dyDescent="0.2">
      <c r="A203" s="842"/>
      <c r="C203" s="255">
        <v>42158</v>
      </c>
      <c r="D203" s="255" t="s">
        <v>497</v>
      </c>
      <c r="E203" s="265" t="s">
        <v>491</v>
      </c>
      <c r="F203" s="272">
        <v>8</v>
      </c>
      <c r="G203" s="200" t="s">
        <v>247</v>
      </c>
      <c r="H203" s="273">
        <v>3</v>
      </c>
      <c r="I203" s="266" t="s">
        <v>494</v>
      </c>
      <c r="J203" s="207"/>
      <c r="K203" s="267"/>
      <c r="L203" s="225"/>
      <c r="M203" s="226"/>
      <c r="N203" s="209"/>
      <c r="O203" s="174"/>
      <c r="P203" s="209"/>
      <c r="Q203" s="209"/>
      <c r="R203" s="209"/>
      <c r="S203" s="209"/>
      <c r="U203" s="210" t="str">
        <f t="shared" ref="U203:U214" si="147">X203&amp;Y203</f>
        <v>K&amp;HZrínyigyöngye</v>
      </c>
      <c r="V203" s="211" t="b">
        <f t="shared" ref="V203:V214" si="148">AND(F203&lt;&gt;"",H203&lt;&gt;"")</f>
        <v>1</v>
      </c>
      <c r="W203" s="210">
        <f>AB203</f>
        <v>11</v>
      </c>
      <c r="X203" s="210" t="str">
        <f t="shared" ref="X203:X214" si="149">E203</f>
        <v>K&amp;H</v>
      </c>
      <c r="Y203" s="210" t="str">
        <f t="shared" ref="Y203:Y214" si="150">I203</f>
        <v>Zrínyigyöngye</v>
      </c>
      <c r="Z203" s="212">
        <f t="shared" ref="Z203:Z214" si="151">IF(V203,F203,"")</f>
        <v>8</v>
      </c>
      <c r="AA203" s="210">
        <f t="shared" ref="AA203:AA214" si="152">IF(V203,H203,"")</f>
        <v>3</v>
      </c>
      <c r="AB203" s="213">
        <f>IF(NOT(ASZTAB!$X$71),AB187+1,AB187+COUNTIF(AB171:AB202,AB187)-1)</f>
        <v>11</v>
      </c>
      <c r="AC203" s="214" t="str">
        <f t="shared" ref="AC203:AC214" si="153">IF(Z203&gt;AA203,X203,"")</f>
        <v>K&amp;H</v>
      </c>
      <c r="AD203" s="214" t="str">
        <f t="shared" ref="AD203:AD214" si="154">IF(AA203="","",IF(Z203=AA203,X203,""))</f>
        <v/>
      </c>
      <c r="AE203" s="215" t="str">
        <f t="shared" ref="AE203:AE214" si="155">IF(AND($AW$61,Z203=0,AA203=20),X203&amp;"ooo",IF(Z203&lt;AA203,X203,""))</f>
        <v/>
      </c>
      <c r="AF203" s="214" t="str">
        <f t="shared" ref="AF203:AF214" si="156">IF(AA203&gt;Z203,Y203,"")</f>
        <v/>
      </c>
      <c r="AG203" s="214" t="str">
        <f t="shared" ref="AG203:AG214" si="157">IF(AA203="","",IF(Z203=AA203,Y203,""))</f>
        <v/>
      </c>
      <c r="AH203" s="215" t="str">
        <f t="shared" ref="AH203:AH214" si="158">IF(AND($AW$61,Z203=20,AA203=0),Y203&amp;"ooo",IF(Z203&gt;AA203,Y203,""))</f>
        <v>Zrínyigyöngye</v>
      </c>
      <c r="AI203" s="216">
        <f>C203</f>
        <v>42158</v>
      </c>
      <c r="AL203" s="217" t="str">
        <f>IF(OR(X203=Kedvenc!$C$43,Y203=Kedvenc!$C$43),W203,"")</f>
        <v/>
      </c>
      <c r="AM203" s="218" t="str">
        <f t="shared" ref="AM203:AM214" si="159">IF(AL203="","",U203)</f>
        <v/>
      </c>
      <c r="AQ203" s="245"/>
      <c r="AR203" s="245"/>
      <c r="AS203" s="245"/>
      <c r="AT203" s="245"/>
      <c r="BB203" s="285" t="str">
        <f>C203&amp;D203</f>
        <v>4215819:00 – A pálya</v>
      </c>
      <c r="BC203" s="284">
        <f>COUNTIF($BB$43:$BB$383,BB203)</f>
        <v>1</v>
      </c>
      <c r="BD203" s="512" t="str">
        <f>U203</f>
        <v>K&amp;HZrínyigyöngye</v>
      </c>
    </row>
    <row r="204" spans="1:57" ht="14.25" customHeight="1" x14ac:dyDescent="0.2">
      <c r="A204" s="842"/>
      <c r="C204" s="255">
        <v>42158</v>
      </c>
      <c r="D204" s="255" t="s">
        <v>498</v>
      </c>
      <c r="E204" s="265" t="s">
        <v>489</v>
      </c>
      <c r="F204" s="272">
        <v>6</v>
      </c>
      <c r="G204" s="200" t="s">
        <v>247</v>
      </c>
      <c r="H204" s="273">
        <v>1</v>
      </c>
      <c r="I204" s="266" t="s">
        <v>493</v>
      </c>
      <c r="J204" s="207"/>
      <c r="K204" s="268"/>
      <c r="L204" s="225"/>
      <c r="M204" s="226"/>
      <c r="N204" s="209"/>
      <c r="O204" s="174"/>
      <c r="U204" s="210" t="str">
        <f t="shared" si="147"/>
        <v>ÉlelmesekVakana</v>
      </c>
      <c r="V204" s="211" t="b">
        <f t="shared" si="148"/>
        <v>1</v>
      </c>
      <c r="W204" s="210">
        <f t="shared" ref="W204:W214" si="160">W203</f>
        <v>11</v>
      </c>
      <c r="X204" s="210" t="str">
        <f t="shared" si="149"/>
        <v>Élelmesek</v>
      </c>
      <c r="Y204" s="210" t="str">
        <f t="shared" si="150"/>
        <v>Vakana</v>
      </c>
      <c r="Z204" s="212">
        <f t="shared" si="151"/>
        <v>6</v>
      </c>
      <c r="AA204" s="210">
        <f t="shared" si="152"/>
        <v>1</v>
      </c>
      <c r="AB204" s="213"/>
      <c r="AC204" s="214" t="str">
        <f t="shared" si="153"/>
        <v>Élelmesek</v>
      </c>
      <c r="AD204" s="214" t="str">
        <f t="shared" si="154"/>
        <v/>
      </c>
      <c r="AE204" s="215" t="str">
        <f t="shared" si="155"/>
        <v/>
      </c>
      <c r="AF204" s="214" t="str">
        <f t="shared" si="156"/>
        <v/>
      </c>
      <c r="AG204" s="214" t="str">
        <f t="shared" si="157"/>
        <v/>
      </c>
      <c r="AH204" s="215" t="str">
        <f t="shared" si="158"/>
        <v>Vakana</v>
      </c>
      <c r="AI204" s="216">
        <f t="shared" si="144"/>
        <v>42158</v>
      </c>
      <c r="AL204" s="217" t="str">
        <f>IF(OR(X204=Kedvenc!$C$43,Y204=Kedvenc!$C$43),W204,"")</f>
        <v/>
      </c>
      <c r="AM204" s="218" t="str">
        <f t="shared" si="159"/>
        <v/>
      </c>
      <c r="BB204" s="285" t="str">
        <f>C204&amp;D204</f>
        <v>4215819:45 – A pálya</v>
      </c>
      <c r="BC204" s="284">
        <f>COUNTIF($BB$43:$BB$383,BB204)</f>
        <v>1</v>
      </c>
      <c r="BD204" s="512" t="str">
        <f>U204</f>
        <v>ÉlelmesekVakana</v>
      </c>
    </row>
    <row r="205" spans="1:57" ht="14.25" customHeight="1" x14ac:dyDescent="0.2">
      <c r="A205" s="842"/>
      <c r="C205" s="255">
        <v>42158</v>
      </c>
      <c r="D205" s="255" t="s">
        <v>499</v>
      </c>
      <c r="E205" s="265" t="s">
        <v>487</v>
      </c>
      <c r="F205" s="272">
        <v>0</v>
      </c>
      <c r="G205" s="200" t="s">
        <v>247</v>
      </c>
      <c r="H205" s="273">
        <v>8</v>
      </c>
      <c r="I205" s="266" t="s">
        <v>485</v>
      </c>
      <c r="J205" s="207"/>
      <c r="K205" s="268"/>
      <c r="L205" s="225"/>
      <c r="M205" s="226"/>
      <c r="N205" s="209"/>
      <c r="O205" s="174"/>
      <c r="U205" s="210" t="str">
        <f t="shared" si="147"/>
        <v>BőrdíszműBBK</v>
      </c>
      <c r="V205" s="211" t="b">
        <f t="shared" si="148"/>
        <v>1</v>
      </c>
      <c r="W205" s="210">
        <f t="shared" si="160"/>
        <v>11</v>
      </c>
      <c r="X205" s="210" t="str">
        <f t="shared" si="149"/>
        <v>Bőrdíszmű</v>
      </c>
      <c r="Y205" s="210" t="str">
        <f t="shared" si="150"/>
        <v>BBK</v>
      </c>
      <c r="Z205" s="212">
        <f t="shared" si="151"/>
        <v>0</v>
      </c>
      <c r="AA205" s="210">
        <f t="shared" si="152"/>
        <v>8</v>
      </c>
      <c r="AB205" s="213"/>
      <c r="AC205" s="214" t="str">
        <f t="shared" si="153"/>
        <v/>
      </c>
      <c r="AD205" s="214" t="str">
        <f t="shared" si="154"/>
        <v/>
      </c>
      <c r="AE205" s="215" t="str">
        <f t="shared" si="155"/>
        <v>Bőrdíszmű</v>
      </c>
      <c r="AF205" s="214" t="str">
        <f t="shared" si="156"/>
        <v>BBK</v>
      </c>
      <c r="AG205" s="214" t="str">
        <f t="shared" si="157"/>
        <v/>
      </c>
      <c r="AH205" s="215" t="str">
        <f t="shared" si="158"/>
        <v/>
      </c>
      <c r="AI205" s="216">
        <f t="shared" si="144"/>
        <v>42158</v>
      </c>
      <c r="AL205" s="217" t="str">
        <f>IF(OR(X205=Kedvenc!$C$43,Y205=Kedvenc!$C$43),W205,"")</f>
        <v/>
      </c>
      <c r="AM205" s="218" t="str">
        <f t="shared" si="159"/>
        <v/>
      </c>
      <c r="BB205" s="285" t="str">
        <f>C205&amp;D205</f>
        <v>4215820:30 – A pálya</v>
      </c>
      <c r="BC205" s="284">
        <f>COUNTIF($BB$43:$BB$383,BB205)</f>
        <v>1</v>
      </c>
      <c r="BD205" s="512" t="str">
        <f>U205</f>
        <v>BőrdíszműBBK</v>
      </c>
    </row>
    <row r="206" spans="1:57" ht="14.25" customHeight="1" x14ac:dyDescent="0.2">
      <c r="A206" s="842"/>
      <c r="C206" s="255">
        <v>42158</v>
      </c>
      <c r="D206" s="255" t="s">
        <v>500</v>
      </c>
      <c r="E206" s="265" t="s">
        <v>490</v>
      </c>
      <c r="F206" s="272">
        <v>2</v>
      </c>
      <c r="G206" s="200" t="s">
        <v>247</v>
      </c>
      <c r="H206" s="273">
        <v>1</v>
      </c>
      <c r="I206" s="266" t="s">
        <v>486</v>
      </c>
      <c r="J206" s="207"/>
      <c r="K206" s="268"/>
      <c r="L206" s="225"/>
      <c r="M206" s="226"/>
      <c r="N206" s="209"/>
      <c r="O206" s="174"/>
      <c r="U206" s="210" t="str">
        <f t="shared" si="147"/>
        <v>Hercules-LudovikaBHD</v>
      </c>
      <c r="V206" s="211" t="b">
        <f t="shared" si="148"/>
        <v>1</v>
      </c>
      <c r="W206" s="210">
        <f t="shared" si="160"/>
        <v>11</v>
      </c>
      <c r="X206" s="210" t="str">
        <f t="shared" si="149"/>
        <v>Hercules-Ludovika</v>
      </c>
      <c r="Y206" s="210" t="str">
        <f t="shared" si="150"/>
        <v>BHD</v>
      </c>
      <c r="Z206" s="212">
        <f t="shared" si="151"/>
        <v>2</v>
      </c>
      <c r="AA206" s="210">
        <f t="shared" si="152"/>
        <v>1</v>
      </c>
      <c r="AB206" s="213"/>
      <c r="AC206" s="214" t="str">
        <f t="shared" si="153"/>
        <v>Hercules-Ludovika</v>
      </c>
      <c r="AD206" s="214" t="str">
        <f t="shared" si="154"/>
        <v/>
      </c>
      <c r="AE206" s="215" t="str">
        <f t="shared" si="155"/>
        <v/>
      </c>
      <c r="AF206" s="214" t="str">
        <f t="shared" si="156"/>
        <v/>
      </c>
      <c r="AG206" s="214" t="str">
        <f t="shared" si="157"/>
        <v/>
      </c>
      <c r="AH206" s="215" t="str">
        <f t="shared" si="158"/>
        <v>BHD</v>
      </c>
      <c r="AI206" s="216">
        <f t="shared" si="144"/>
        <v>42158</v>
      </c>
      <c r="AL206" s="217" t="str">
        <f>IF(OR(X206=Kedvenc!$C$43,Y206=Kedvenc!$C$43),W206,"")</f>
        <v/>
      </c>
      <c r="AM206" s="218" t="str">
        <f t="shared" si="159"/>
        <v/>
      </c>
      <c r="AP206" s="245"/>
      <c r="AQ206" s="245"/>
      <c r="AR206" s="245"/>
      <c r="AS206" s="245"/>
      <c r="AT206" s="245"/>
      <c r="AU206" s="245"/>
      <c r="AV206" s="245"/>
      <c r="AW206" s="245"/>
      <c r="AX206" s="245"/>
      <c r="AY206" s="245"/>
      <c r="BA206" s="245"/>
      <c r="BB206" s="285" t="str">
        <f>C206&amp;D206</f>
        <v>4215819:00 – B pálya</v>
      </c>
      <c r="BC206" s="284">
        <f>COUNTIF($BB$43:$BB$383,BB206)</f>
        <v>1</v>
      </c>
      <c r="BD206" s="512" t="str">
        <f>U206</f>
        <v>Hercules-LudovikaBHD</v>
      </c>
      <c r="BE206" s="245"/>
    </row>
    <row r="207" spans="1:57" ht="14.25" customHeight="1" x14ac:dyDescent="0.2">
      <c r="A207" s="842"/>
      <c r="C207" s="255">
        <v>42158</v>
      </c>
      <c r="D207" s="255" t="s">
        <v>501</v>
      </c>
      <c r="E207" s="265" t="s">
        <v>484</v>
      </c>
      <c r="F207" s="272">
        <v>4</v>
      </c>
      <c r="G207" s="200" t="s">
        <v>247</v>
      </c>
      <c r="H207" s="273">
        <v>2</v>
      </c>
      <c r="I207" s="266" t="s">
        <v>492</v>
      </c>
      <c r="J207" s="223"/>
      <c r="K207" s="787"/>
      <c r="L207" s="225"/>
      <c r="M207" s="226"/>
      <c r="N207" s="209"/>
      <c r="O207" s="174"/>
      <c r="P207" s="209"/>
      <c r="Q207" s="209"/>
      <c r="R207" s="209"/>
      <c r="S207" s="209"/>
      <c r="U207" s="210" t="str">
        <f t="shared" si="147"/>
        <v>Bakafogó-Honvéd-Sashegy SERoyal Guard's</v>
      </c>
      <c r="V207" s="211" t="b">
        <f t="shared" si="148"/>
        <v>1</v>
      </c>
      <c r="W207" s="210">
        <f t="shared" si="160"/>
        <v>11</v>
      </c>
      <c r="X207" s="210" t="str">
        <f t="shared" si="149"/>
        <v>Bakafogó-Honvéd-Sashegy SE</v>
      </c>
      <c r="Y207" s="210" t="str">
        <f t="shared" si="150"/>
        <v>Royal Guard's</v>
      </c>
      <c r="Z207" s="212">
        <f t="shared" si="151"/>
        <v>4</v>
      </c>
      <c r="AA207" s="210">
        <f t="shared" si="152"/>
        <v>2</v>
      </c>
      <c r="AB207" s="213"/>
      <c r="AC207" s="214" t="str">
        <f t="shared" si="153"/>
        <v>Bakafogó-Honvéd-Sashegy SE</v>
      </c>
      <c r="AD207" s="214" t="str">
        <f t="shared" si="154"/>
        <v/>
      </c>
      <c r="AE207" s="215" t="str">
        <f t="shared" si="155"/>
        <v/>
      </c>
      <c r="AF207" s="214" t="str">
        <f t="shared" si="156"/>
        <v/>
      </c>
      <c r="AG207" s="214" t="str">
        <f t="shared" si="157"/>
        <v/>
      </c>
      <c r="AH207" s="215" t="str">
        <f t="shared" si="158"/>
        <v>Royal Guard's</v>
      </c>
      <c r="AI207" s="216">
        <f t="shared" si="144"/>
        <v>42158</v>
      </c>
      <c r="AL207" s="217" t="str">
        <f>IF(OR(X207=Kedvenc!$C$43,Y207=Kedvenc!$C$43),W207,"")</f>
        <v/>
      </c>
      <c r="AM207" s="218" t="str">
        <f t="shared" si="159"/>
        <v/>
      </c>
      <c r="AP207" s="245"/>
      <c r="AQ207" s="245"/>
      <c r="AR207" s="245"/>
      <c r="AS207" s="245"/>
      <c r="AT207" s="245"/>
      <c r="AU207" s="245"/>
      <c r="AV207" s="245"/>
      <c r="AW207" s="245"/>
      <c r="AX207" s="245"/>
      <c r="AY207" s="245"/>
      <c r="BA207" s="245"/>
      <c r="BB207" s="285" t="str">
        <f>C207&amp;D207</f>
        <v>4215819:45 – B pálya</v>
      </c>
      <c r="BC207" s="284">
        <f>COUNTIF($BB$43:$BB$383,BB207)</f>
        <v>1</v>
      </c>
      <c r="BD207" s="512" t="str">
        <f>U207</f>
        <v>Bakafogó-Honvéd-Sashegy SERoyal Guard's</v>
      </c>
      <c r="BE207" s="245"/>
    </row>
    <row r="208" spans="1:57" ht="14.25" customHeight="1" x14ac:dyDescent="0.2">
      <c r="A208" s="842"/>
      <c r="C208" s="278"/>
      <c r="D208" s="278"/>
      <c r="E208" s="275" t="s">
        <v>488</v>
      </c>
      <c r="F208" s="275"/>
      <c r="G208" s="276"/>
      <c r="H208" s="277"/>
      <c r="I208" s="277" t="s">
        <v>495</v>
      </c>
      <c r="J208" s="223"/>
      <c r="K208" s="268"/>
      <c r="L208" s="225"/>
      <c r="M208" s="226"/>
      <c r="N208" s="209"/>
      <c r="O208" s="174"/>
      <c r="P208" s="209"/>
      <c r="Q208" s="209"/>
      <c r="R208" s="209"/>
      <c r="S208" s="209"/>
      <c r="U208" s="210" t="str">
        <f t="shared" si="147"/>
        <v>Carbonászszabadnapos</v>
      </c>
      <c r="V208" s="211" t="b">
        <f t="shared" si="148"/>
        <v>0</v>
      </c>
      <c r="W208" s="210">
        <f t="shared" si="160"/>
        <v>11</v>
      </c>
      <c r="X208" s="210" t="str">
        <f t="shared" si="149"/>
        <v>Carbonász</v>
      </c>
      <c r="Y208" s="210" t="str">
        <f t="shared" si="150"/>
        <v>szabadnapos</v>
      </c>
      <c r="Z208" s="212" t="str">
        <f t="shared" si="151"/>
        <v/>
      </c>
      <c r="AA208" s="210" t="str">
        <f t="shared" si="152"/>
        <v/>
      </c>
      <c r="AB208" s="213"/>
      <c r="AC208" s="214" t="str">
        <f t="shared" si="153"/>
        <v/>
      </c>
      <c r="AD208" s="214" t="str">
        <f t="shared" si="154"/>
        <v/>
      </c>
      <c r="AE208" s="215" t="str">
        <f t="shared" si="155"/>
        <v/>
      </c>
      <c r="AF208" s="214" t="str">
        <f t="shared" si="156"/>
        <v/>
      </c>
      <c r="AG208" s="214" t="str">
        <f t="shared" si="157"/>
        <v/>
      </c>
      <c r="AH208" s="215" t="str">
        <f t="shared" si="158"/>
        <v/>
      </c>
      <c r="AI208" s="750">
        <f>AI203</f>
        <v>42158</v>
      </c>
      <c r="AL208" s="217" t="str">
        <f>IF(OR(X208=Kedvenc!$C$43,Y208=Kedvenc!$C$43),W208,"")</f>
        <v/>
      </c>
      <c r="AM208" s="218" t="str">
        <f t="shared" si="159"/>
        <v/>
      </c>
      <c r="AP208" s="245"/>
      <c r="AQ208" s="245"/>
      <c r="AR208" s="245"/>
      <c r="AS208" s="245"/>
      <c r="AT208" s="245"/>
      <c r="AU208" s="245"/>
      <c r="AV208" s="245"/>
      <c r="AW208" s="245"/>
      <c r="AX208" s="245"/>
      <c r="AY208" s="245"/>
      <c r="BA208" s="245"/>
      <c r="BE208" s="245"/>
    </row>
    <row r="209" spans="1:57" ht="14.25" hidden="1" customHeight="1" x14ac:dyDescent="0.2">
      <c r="A209" s="842"/>
      <c r="C209" s="278"/>
      <c r="D209" s="278"/>
      <c r="E209" s="265"/>
      <c r="F209" s="265"/>
      <c r="H209" s="266"/>
      <c r="I209" s="266"/>
      <c r="J209" s="223"/>
      <c r="K209" s="268"/>
      <c r="L209" s="225"/>
      <c r="M209" s="226"/>
      <c r="N209" s="209"/>
      <c r="O209" s="174"/>
      <c r="P209" s="209"/>
      <c r="Q209" s="209"/>
      <c r="R209" s="209"/>
      <c r="S209" s="209"/>
      <c r="U209" s="210" t="str">
        <f t="shared" si="147"/>
        <v>00</v>
      </c>
      <c r="V209" s="211" t="b">
        <f t="shared" si="148"/>
        <v>0</v>
      </c>
      <c r="W209" s="210">
        <f t="shared" si="160"/>
        <v>11</v>
      </c>
      <c r="X209" s="210">
        <f t="shared" si="149"/>
        <v>0</v>
      </c>
      <c r="Y209" s="210">
        <f t="shared" si="150"/>
        <v>0</v>
      </c>
      <c r="Z209" s="212" t="str">
        <f t="shared" si="151"/>
        <v/>
      </c>
      <c r="AA209" s="210" t="str">
        <f t="shared" si="152"/>
        <v/>
      </c>
      <c r="AB209" s="213"/>
      <c r="AC209" s="214" t="str">
        <f t="shared" si="153"/>
        <v/>
      </c>
      <c r="AD209" s="214" t="str">
        <f t="shared" si="154"/>
        <v/>
      </c>
      <c r="AE209" s="215" t="str">
        <f t="shared" si="155"/>
        <v/>
      </c>
      <c r="AF209" s="214" t="str">
        <f t="shared" si="156"/>
        <v/>
      </c>
      <c r="AG209" s="214" t="str">
        <f t="shared" si="157"/>
        <v/>
      </c>
      <c r="AH209" s="215" t="str">
        <f t="shared" si="158"/>
        <v/>
      </c>
      <c r="AI209" s="216">
        <f t="shared" si="144"/>
        <v>0</v>
      </c>
      <c r="AL209" s="217" t="str">
        <f>IF(OR(X209=Kedvenc!$C$43,Y209=Kedvenc!$C$43),W209,"")</f>
        <v/>
      </c>
      <c r="AM209" s="218" t="str">
        <f t="shared" si="159"/>
        <v/>
      </c>
      <c r="AP209" s="245"/>
      <c r="AQ209" s="245"/>
      <c r="AR209" s="245"/>
      <c r="AS209" s="245"/>
      <c r="AT209" s="245"/>
      <c r="AU209" s="245"/>
      <c r="AV209" s="245"/>
      <c r="AW209" s="245"/>
      <c r="AX209" s="245"/>
      <c r="AY209" s="245"/>
      <c r="BA209" s="245"/>
      <c r="BE209" s="245"/>
    </row>
    <row r="210" spans="1:57" ht="14.25" hidden="1" customHeight="1" x14ac:dyDescent="0.2">
      <c r="A210" s="842"/>
      <c r="C210" s="278"/>
      <c r="D210" s="278"/>
      <c r="E210" s="265"/>
      <c r="F210" s="265"/>
      <c r="H210" s="266"/>
      <c r="I210" s="266"/>
      <c r="J210" s="223"/>
      <c r="K210" s="268"/>
      <c r="L210" s="225"/>
      <c r="M210" s="226"/>
      <c r="N210" s="209"/>
      <c r="O210" s="174"/>
      <c r="P210" s="209"/>
      <c r="Q210" s="209"/>
      <c r="R210" s="209"/>
      <c r="S210" s="209"/>
      <c r="U210" s="210" t="str">
        <f t="shared" si="147"/>
        <v>00</v>
      </c>
      <c r="V210" s="211" t="b">
        <f t="shared" si="148"/>
        <v>0</v>
      </c>
      <c r="W210" s="210">
        <f t="shared" si="160"/>
        <v>11</v>
      </c>
      <c r="X210" s="210">
        <f t="shared" si="149"/>
        <v>0</v>
      </c>
      <c r="Y210" s="210">
        <f t="shared" si="150"/>
        <v>0</v>
      </c>
      <c r="Z210" s="212" t="str">
        <f t="shared" si="151"/>
        <v/>
      </c>
      <c r="AA210" s="210" t="str">
        <f t="shared" si="152"/>
        <v/>
      </c>
      <c r="AB210" s="213"/>
      <c r="AC210" s="214" t="str">
        <f t="shared" si="153"/>
        <v/>
      </c>
      <c r="AD210" s="214" t="str">
        <f t="shared" si="154"/>
        <v/>
      </c>
      <c r="AE210" s="215" t="str">
        <f t="shared" si="155"/>
        <v/>
      </c>
      <c r="AF210" s="214" t="str">
        <f t="shared" si="156"/>
        <v/>
      </c>
      <c r="AG210" s="214" t="str">
        <f t="shared" si="157"/>
        <v/>
      </c>
      <c r="AH210" s="215" t="str">
        <f t="shared" si="158"/>
        <v/>
      </c>
      <c r="AI210" s="216">
        <f t="shared" si="144"/>
        <v>0</v>
      </c>
      <c r="AL210" s="217" t="str">
        <f>IF(OR(X210=Kedvenc!$C$43,Y210=Kedvenc!$C$43),W210,"")</f>
        <v/>
      </c>
      <c r="AM210" s="218" t="str">
        <f t="shared" si="159"/>
        <v/>
      </c>
      <c r="AP210" s="245"/>
      <c r="AQ210" s="245"/>
      <c r="AR210" s="245"/>
      <c r="AS210" s="245"/>
      <c r="AT210" s="245"/>
      <c r="AU210" s="245"/>
      <c r="AV210" s="245"/>
      <c r="AW210" s="245"/>
      <c r="AX210" s="245"/>
      <c r="AY210" s="245"/>
      <c r="BA210" s="245"/>
      <c r="BE210" s="245"/>
    </row>
    <row r="211" spans="1:57" ht="14.25" hidden="1" customHeight="1" x14ac:dyDescent="0.2">
      <c r="A211" s="842"/>
      <c r="C211" s="278"/>
      <c r="D211" s="278"/>
      <c r="E211" s="265"/>
      <c r="F211" s="265"/>
      <c r="H211" s="266"/>
      <c r="I211" s="266"/>
      <c r="J211" s="223"/>
      <c r="K211" s="268"/>
      <c r="L211" s="225"/>
      <c r="M211" s="226"/>
      <c r="N211" s="209"/>
      <c r="O211" s="174"/>
      <c r="P211" s="209"/>
      <c r="Q211" s="209"/>
      <c r="R211" s="209"/>
      <c r="S211" s="209"/>
      <c r="U211" s="210" t="str">
        <f t="shared" si="147"/>
        <v>00</v>
      </c>
      <c r="V211" s="211" t="b">
        <f t="shared" si="148"/>
        <v>0</v>
      </c>
      <c r="W211" s="210">
        <f t="shared" si="160"/>
        <v>11</v>
      </c>
      <c r="X211" s="210">
        <f t="shared" si="149"/>
        <v>0</v>
      </c>
      <c r="Y211" s="210">
        <f t="shared" si="150"/>
        <v>0</v>
      </c>
      <c r="Z211" s="212" t="str">
        <f t="shared" si="151"/>
        <v/>
      </c>
      <c r="AA211" s="210" t="str">
        <f t="shared" si="152"/>
        <v/>
      </c>
      <c r="AB211" s="213"/>
      <c r="AC211" s="214" t="str">
        <f t="shared" si="153"/>
        <v/>
      </c>
      <c r="AD211" s="214" t="str">
        <f t="shared" si="154"/>
        <v/>
      </c>
      <c r="AE211" s="215" t="str">
        <f t="shared" si="155"/>
        <v/>
      </c>
      <c r="AF211" s="214" t="str">
        <f t="shared" si="156"/>
        <v/>
      </c>
      <c r="AG211" s="214" t="str">
        <f t="shared" si="157"/>
        <v/>
      </c>
      <c r="AH211" s="215" t="str">
        <f t="shared" si="158"/>
        <v/>
      </c>
      <c r="AI211" s="216">
        <f t="shared" si="144"/>
        <v>0</v>
      </c>
      <c r="AL211" s="217" t="str">
        <f>IF(OR(X211=Kedvenc!$C$43,Y211=Kedvenc!$C$43),W211,"")</f>
        <v/>
      </c>
      <c r="AM211" s="218" t="str">
        <f t="shared" si="159"/>
        <v/>
      </c>
      <c r="AP211" s="245"/>
      <c r="AQ211" s="245"/>
      <c r="AR211" s="245"/>
      <c r="AS211" s="245"/>
      <c r="AT211" s="245"/>
      <c r="AU211" s="245"/>
      <c r="AV211" s="245"/>
      <c r="AW211" s="245"/>
      <c r="AX211" s="245"/>
      <c r="AY211" s="245"/>
      <c r="BA211" s="245"/>
      <c r="BE211" s="245"/>
    </row>
    <row r="212" spans="1:57" ht="14.25" hidden="1" customHeight="1" x14ac:dyDescent="0.2">
      <c r="A212" s="842"/>
      <c r="C212" s="278"/>
      <c r="D212" s="278"/>
      <c r="E212" s="265"/>
      <c r="F212" s="265"/>
      <c r="H212" s="266"/>
      <c r="I212" s="266"/>
      <c r="J212" s="223"/>
      <c r="K212" s="268"/>
      <c r="L212" s="225"/>
      <c r="M212" s="226"/>
      <c r="N212" s="209"/>
      <c r="O212" s="174"/>
      <c r="P212" s="209"/>
      <c r="Q212" s="209"/>
      <c r="R212" s="209"/>
      <c r="S212" s="209"/>
      <c r="U212" s="210" t="str">
        <f t="shared" si="147"/>
        <v>00</v>
      </c>
      <c r="V212" s="211" t="b">
        <f t="shared" si="148"/>
        <v>0</v>
      </c>
      <c r="W212" s="210">
        <f t="shared" si="160"/>
        <v>11</v>
      </c>
      <c r="X212" s="210">
        <f t="shared" si="149"/>
        <v>0</v>
      </c>
      <c r="Y212" s="210">
        <f t="shared" si="150"/>
        <v>0</v>
      </c>
      <c r="Z212" s="212" t="str">
        <f t="shared" si="151"/>
        <v/>
      </c>
      <c r="AA212" s="210" t="str">
        <f t="shared" si="152"/>
        <v/>
      </c>
      <c r="AB212" s="213"/>
      <c r="AC212" s="214" t="str">
        <f t="shared" si="153"/>
        <v/>
      </c>
      <c r="AD212" s="214" t="str">
        <f t="shared" si="154"/>
        <v/>
      </c>
      <c r="AE212" s="215" t="str">
        <f t="shared" si="155"/>
        <v/>
      </c>
      <c r="AF212" s="214" t="str">
        <f t="shared" si="156"/>
        <v/>
      </c>
      <c r="AG212" s="214" t="str">
        <f t="shared" si="157"/>
        <v/>
      </c>
      <c r="AH212" s="215" t="str">
        <f t="shared" si="158"/>
        <v/>
      </c>
      <c r="AI212" s="216">
        <f t="shared" si="144"/>
        <v>0</v>
      </c>
      <c r="AL212" s="217" t="str">
        <f>IF(OR(X212=Kedvenc!$C$43,Y212=Kedvenc!$C$43),W212,"")</f>
        <v/>
      </c>
      <c r="AM212" s="218" t="str">
        <f t="shared" si="159"/>
        <v/>
      </c>
      <c r="AP212" s="245"/>
      <c r="AQ212" s="245"/>
      <c r="AR212" s="245"/>
      <c r="AS212" s="245"/>
      <c r="AT212" s="245"/>
      <c r="AU212" s="245"/>
      <c r="AV212" s="245"/>
      <c r="AW212" s="245"/>
      <c r="AX212" s="245"/>
      <c r="AY212" s="245"/>
      <c r="BA212" s="245"/>
      <c r="BE212" s="245"/>
    </row>
    <row r="213" spans="1:57" ht="14.25" hidden="1" customHeight="1" x14ac:dyDescent="0.2">
      <c r="A213" s="842"/>
      <c r="C213" s="278"/>
      <c r="D213" s="278"/>
      <c r="E213" s="265"/>
      <c r="F213" s="265"/>
      <c r="H213" s="266"/>
      <c r="I213" s="266"/>
      <c r="J213" s="223"/>
      <c r="K213" s="268"/>
      <c r="L213" s="225"/>
      <c r="M213" s="226"/>
      <c r="N213" s="209"/>
      <c r="O213" s="174"/>
      <c r="P213" s="209"/>
      <c r="Q213" s="209"/>
      <c r="R213" s="209"/>
      <c r="S213" s="209"/>
      <c r="U213" s="210" t="str">
        <f t="shared" si="147"/>
        <v>00</v>
      </c>
      <c r="V213" s="211" t="b">
        <f t="shared" si="148"/>
        <v>0</v>
      </c>
      <c r="W213" s="210">
        <f t="shared" si="160"/>
        <v>11</v>
      </c>
      <c r="X213" s="210">
        <f t="shared" si="149"/>
        <v>0</v>
      </c>
      <c r="Y213" s="210">
        <f t="shared" si="150"/>
        <v>0</v>
      </c>
      <c r="Z213" s="212" t="str">
        <f t="shared" si="151"/>
        <v/>
      </c>
      <c r="AA213" s="210" t="str">
        <f t="shared" si="152"/>
        <v/>
      </c>
      <c r="AB213" s="213"/>
      <c r="AC213" s="214" t="str">
        <f t="shared" si="153"/>
        <v/>
      </c>
      <c r="AD213" s="214" t="str">
        <f t="shared" si="154"/>
        <v/>
      </c>
      <c r="AE213" s="215" t="str">
        <f t="shared" si="155"/>
        <v/>
      </c>
      <c r="AF213" s="214" t="str">
        <f t="shared" si="156"/>
        <v/>
      </c>
      <c r="AG213" s="214" t="str">
        <f t="shared" si="157"/>
        <v/>
      </c>
      <c r="AH213" s="215" t="str">
        <f t="shared" si="158"/>
        <v/>
      </c>
      <c r="AI213" s="216">
        <f t="shared" si="144"/>
        <v>0</v>
      </c>
      <c r="AL213" s="217" t="str">
        <f>IF(OR(X213=Kedvenc!$C$43,Y213=Kedvenc!$C$43),W213,"")</f>
        <v/>
      </c>
      <c r="AM213" s="218" t="str">
        <f t="shared" si="159"/>
        <v/>
      </c>
      <c r="AP213" s="245"/>
      <c r="AQ213" s="245"/>
      <c r="AR213" s="245"/>
      <c r="AS213" s="245"/>
      <c r="AT213" s="245"/>
      <c r="AU213" s="245"/>
      <c r="AV213" s="245"/>
      <c r="AW213" s="245"/>
      <c r="AX213" s="245"/>
      <c r="AY213" s="245"/>
      <c r="BA213" s="245"/>
      <c r="BE213" s="245"/>
    </row>
    <row r="214" spans="1:57" ht="14.25" hidden="1" customHeight="1" x14ac:dyDescent="0.2">
      <c r="A214" s="842"/>
      <c r="C214" s="278"/>
      <c r="D214" s="278"/>
      <c r="E214" s="265"/>
      <c r="F214" s="265"/>
      <c r="H214" s="266"/>
      <c r="I214" s="266"/>
      <c r="J214" s="169"/>
      <c r="K214" s="268"/>
      <c r="L214" s="228"/>
      <c r="M214" s="228"/>
      <c r="N214" s="228"/>
      <c r="O214" s="174"/>
      <c r="P214" s="209"/>
      <c r="Q214" s="209"/>
      <c r="R214" s="209"/>
      <c r="S214" s="209"/>
      <c r="U214" s="210" t="str">
        <f t="shared" si="147"/>
        <v>00</v>
      </c>
      <c r="V214" s="211" t="b">
        <f t="shared" si="148"/>
        <v>0</v>
      </c>
      <c r="W214" s="210">
        <f t="shared" si="160"/>
        <v>11</v>
      </c>
      <c r="X214" s="210">
        <f t="shared" si="149"/>
        <v>0</v>
      </c>
      <c r="Y214" s="210">
        <f t="shared" si="150"/>
        <v>0</v>
      </c>
      <c r="Z214" s="212" t="str">
        <f t="shared" si="151"/>
        <v/>
      </c>
      <c r="AA214" s="210" t="str">
        <f t="shared" si="152"/>
        <v/>
      </c>
      <c r="AB214" s="213"/>
      <c r="AC214" s="214" t="str">
        <f t="shared" si="153"/>
        <v/>
      </c>
      <c r="AD214" s="214" t="str">
        <f t="shared" si="154"/>
        <v/>
      </c>
      <c r="AE214" s="215" t="str">
        <f t="shared" si="155"/>
        <v/>
      </c>
      <c r="AF214" s="214" t="str">
        <f t="shared" si="156"/>
        <v/>
      </c>
      <c r="AG214" s="214" t="str">
        <f t="shared" si="157"/>
        <v/>
      </c>
      <c r="AH214" s="215" t="str">
        <f t="shared" si="158"/>
        <v/>
      </c>
      <c r="AI214" s="216">
        <f t="shared" si="144"/>
        <v>0</v>
      </c>
      <c r="AL214" s="217" t="str">
        <f>IF(OR(X214=Kedvenc!$C$43,Y214=Kedvenc!$C$43),W214,"")</f>
        <v/>
      </c>
      <c r="AM214" s="218" t="str">
        <f t="shared" si="159"/>
        <v/>
      </c>
      <c r="AP214" s="245"/>
      <c r="AQ214" s="245"/>
      <c r="AR214" s="245"/>
      <c r="AS214" s="245"/>
      <c r="AT214" s="245"/>
      <c r="AU214" s="245"/>
      <c r="AV214" s="245"/>
      <c r="AW214" s="245"/>
      <c r="AX214" s="245"/>
      <c r="AY214" s="245"/>
      <c r="BA214" s="245"/>
      <c r="BE214" s="245"/>
    </row>
    <row r="215" spans="1:57" ht="14.25" customHeight="1" x14ac:dyDescent="0.2">
      <c r="A215" s="842"/>
      <c r="E215" s="247"/>
      <c r="F215" s="248"/>
      <c r="G215" s="248"/>
      <c r="H215" s="248"/>
      <c r="I215" s="247"/>
      <c r="J215" s="172"/>
      <c r="K215" s="228"/>
      <c r="L215" s="228"/>
      <c r="M215" s="228"/>
      <c r="N215" s="228"/>
      <c r="O215" s="174"/>
      <c r="P215" s="209"/>
      <c r="Q215" s="209"/>
      <c r="R215" s="209"/>
      <c r="S215" s="209"/>
      <c r="W215" s="231"/>
      <c r="AC215" s="233"/>
      <c r="AD215" s="233"/>
      <c r="AE215" s="234"/>
      <c r="AF215" s="233"/>
      <c r="AG215" s="233"/>
      <c r="AH215" s="234"/>
      <c r="AI215" s="234"/>
      <c r="AP215" s="245"/>
      <c r="AQ215" s="245"/>
      <c r="AR215" s="245"/>
      <c r="AS215" s="245"/>
      <c r="AT215" s="245"/>
      <c r="AU215" s="245"/>
      <c r="AV215" s="245"/>
      <c r="AW215" s="245"/>
      <c r="AX215" s="245"/>
      <c r="AY215" s="245"/>
      <c r="BA215" s="245"/>
      <c r="BE215" s="245"/>
    </row>
    <row r="216" spans="1:57" ht="14.25" customHeight="1" x14ac:dyDescent="0.2">
      <c r="A216" s="842"/>
      <c r="E216" s="224"/>
      <c r="F216" s="225"/>
      <c r="G216" s="226"/>
      <c r="H216" s="209"/>
      <c r="I216" s="227"/>
      <c r="J216" s="169"/>
      <c r="K216" s="228"/>
      <c r="L216" s="225"/>
      <c r="M216" s="226"/>
      <c r="N216" s="209"/>
      <c r="O216" s="174"/>
      <c r="P216" s="209"/>
      <c r="Q216" s="209"/>
      <c r="R216" s="209"/>
      <c r="S216" s="209"/>
      <c r="W216" s="231"/>
      <c r="AC216" s="233"/>
      <c r="AD216" s="233"/>
      <c r="AE216" s="234"/>
      <c r="AF216" s="233"/>
      <c r="AG216" s="233"/>
      <c r="AH216" s="234"/>
      <c r="AI216" s="197"/>
      <c r="AP216" s="245"/>
      <c r="AQ216" s="245"/>
      <c r="AR216" s="245"/>
      <c r="AS216" s="245"/>
      <c r="AT216" s="245"/>
      <c r="AU216" s="245"/>
      <c r="AV216" s="245"/>
      <c r="AW216" s="245"/>
      <c r="AX216" s="245"/>
      <c r="AY216" s="245"/>
      <c r="BA216" s="245"/>
      <c r="BD216" s="245"/>
      <c r="BE216" s="245"/>
    </row>
    <row r="217" spans="1:57" ht="14.25" customHeight="1" x14ac:dyDescent="0.2">
      <c r="A217" s="842"/>
      <c r="B217" s="187"/>
      <c r="C217" s="269" t="str">
        <f>CONCATENATE(" ",AB219,"."," forduló  –")</f>
        <v xml:space="preserve"> 12. forduló  –</v>
      </c>
      <c r="D217" s="843">
        <f>VLOOKUP(AB219,ASZ!$AQ$59:$AS$104,2,FALSE)</f>
        <v>42165</v>
      </c>
      <c r="E217" s="843"/>
      <c r="F217" s="274"/>
      <c r="G217" s="274"/>
      <c r="H217" s="274"/>
      <c r="I217" s="270" t="str">
        <f>CONCATENATE(IF($AW$61,"pont: ","gól: "),SUM(F219:H230)," / átlag: ",TEXT(IF(COUNT(F219:H230)=0,"-",SUM(F219:H230)/COUNT(F219:H230)*2),"0,00"))</f>
        <v>gól: 23 / átlag: 4,60</v>
      </c>
      <c r="J217" s="190"/>
      <c r="K217" s="271" t="s">
        <v>285</v>
      </c>
      <c r="L217" s="192"/>
      <c r="U217" s="229"/>
      <c r="V217" s="230"/>
      <c r="W217" s="231"/>
      <c r="X217" s="231"/>
      <c r="Y217" s="231"/>
      <c r="Z217" s="232"/>
      <c r="AA217" s="231"/>
      <c r="AC217" s="197"/>
      <c r="AD217" s="197"/>
      <c r="AE217" s="197"/>
      <c r="AF217" s="197"/>
      <c r="AG217" s="197"/>
      <c r="AH217" s="197"/>
      <c r="AI217" s="197"/>
      <c r="AQ217" s="245"/>
      <c r="AR217" s="245"/>
      <c r="AS217" s="245"/>
      <c r="AT217" s="245"/>
    </row>
    <row r="218" spans="1:57" ht="9" customHeight="1" x14ac:dyDescent="0.2">
      <c r="A218" s="842"/>
      <c r="J218" s="169"/>
      <c r="K218" s="228"/>
      <c r="L218" s="225"/>
      <c r="M218" s="226"/>
      <c r="N218" s="209"/>
      <c r="O218" s="174"/>
      <c r="P218" s="209"/>
      <c r="Q218" s="209"/>
      <c r="R218" s="209"/>
      <c r="S218" s="209"/>
      <c r="AP218" s="245"/>
      <c r="AQ218" s="245"/>
      <c r="AR218" s="245"/>
      <c r="AS218" s="245"/>
      <c r="AT218" s="245"/>
      <c r="AU218" s="245"/>
      <c r="AV218" s="245"/>
      <c r="AW218" s="245"/>
      <c r="AX218" s="245"/>
      <c r="AY218" s="245"/>
      <c r="BA218" s="245"/>
      <c r="BE218" s="245"/>
    </row>
    <row r="219" spans="1:57" ht="14.25" customHeight="1" x14ac:dyDescent="0.2">
      <c r="A219" s="842"/>
      <c r="C219" s="255">
        <v>42165</v>
      </c>
      <c r="D219" s="255" t="s">
        <v>497</v>
      </c>
      <c r="E219" s="265" t="s">
        <v>486</v>
      </c>
      <c r="F219" s="272">
        <v>2</v>
      </c>
      <c r="G219" s="200" t="s">
        <v>247</v>
      </c>
      <c r="H219" s="273">
        <v>4</v>
      </c>
      <c r="I219" s="266" t="s">
        <v>485</v>
      </c>
      <c r="J219" s="207"/>
      <c r="K219" s="267"/>
      <c r="L219" s="225"/>
      <c r="M219" s="226"/>
      <c r="N219" s="209"/>
      <c r="O219" s="174"/>
      <c r="P219" s="209"/>
      <c r="Q219" s="209"/>
      <c r="R219" s="209"/>
      <c r="S219" s="209"/>
      <c r="U219" s="210" t="str">
        <f t="shared" ref="U219:U230" si="161">X219&amp;Y219</f>
        <v>BHDBBK</v>
      </c>
      <c r="V219" s="211" t="b">
        <f t="shared" ref="V219:V230" si="162">AND(F219&lt;&gt;"",H219&lt;&gt;"")</f>
        <v>1</v>
      </c>
      <c r="W219" s="210">
        <f>AB219</f>
        <v>12</v>
      </c>
      <c r="X219" s="210" t="str">
        <f t="shared" ref="X219:X230" si="163">E219</f>
        <v>BHD</v>
      </c>
      <c r="Y219" s="210" t="str">
        <f t="shared" ref="Y219:Y230" si="164">I219</f>
        <v>BBK</v>
      </c>
      <c r="Z219" s="212">
        <f t="shared" ref="Z219:Z230" si="165">IF(V219,F219,"")</f>
        <v>2</v>
      </c>
      <c r="AA219" s="210">
        <f t="shared" ref="AA219:AA230" si="166">IF(V219,H219,"")</f>
        <v>4</v>
      </c>
      <c r="AB219" s="213">
        <f>IF(NOT(ASZTAB!$X$71),AB203+1,AB203+COUNTIF(AB187:AB218,AB203)-1)</f>
        <v>12</v>
      </c>
      <c r="AC219" s="214" t="str">
        <f t="shared" ref="AC219:AC230" si="167">IF(Z219&gt;AA219,X219,"")</f>
        <v/>
      </c>
      <c r="AD219" s="214" t="str">
        <f t="shared" ref="AD219:AD230" si="168">IF(AA219="","",IF(Z219=AA219,X219,""))</f>
        <v/>
      </c>
      <c r="AE219" s="215" t="str">
        <f t="shared" ref="AE219:AE230" si="169">IF(AND($AW$61,Z219=0,AA219=20),X219&amp;"ooo",IF(Z219&lt;AA219,X219,""))</f>
        <v>BHD</v>
      </c>
      <c r="AF219" s="214" t="str">
        <f t="shared" ref="AF219:AF230" si="170">IF(AA219&gt;Z219,Y219,"")</f>
        <v>BBK</v>
      </c>
      <c r="AG219" s="214" t="str">
        <f t="shared" ref="AG219:AG230" si="171">IF(AA219="","",IF(Z219=AA219,Y219,""))</f>
        <v/>
      </c>
      <c r="AH219" s="215" t="str">
        <f t="shared" ref="AH219:AH230" si="172">IF(AND($AW$61,Z219=20,AA219=0),Y219&amp;"ooo",IF(Z219&gt;AA219,Y219,""))</f>
        <v/>
      </c>
      <c r="AI219" s="216">
        <f>C219</f>
        <v>42165</v>
      </c>
      <c r="AL219" s="217" t="str">
        <f>IF(OR(X219=Kedvenc!$C$43,Y219=Kedvenc!$C$43),W219,"")</f>
        <v/>
      </c>
      <c r="AM219" s="218" t="str">
        <f t="shared" ref="AM219:AM230" si="173">IF(AL219="","",U219)</f>
        <v/>
      </c>
      <c r="AQ219" s="245"/>
      <c r="AR219" s="245"/>
      <c r="AS219" s="245"/>
      <c r="AT219" s="245"/>
      <c r="BB219" s="285" t="str">
        <f>C219&amp;D219</f>
        <v>4216519:00 – A pálya</v>
      </c>
      <c r="BC219" s="284">
        <f>COUNTIF($BB$43:$BB$383,BB219)</f>
        <v>1</v>
      </c>
      <c r="BD219" s="512" t="str">
        <f>U219</f>
        <v>BHDBBK</v>
      </c>
    </row>
    <row r="220" spans="1:57" ht="14.25" customHeight="1" x14ac:dyDescent="0.2">
      <c r="A220" s="842"/>
      <c r="C220" s="255">
        <v>42165</v>
      </c>
      <c r="D220" s="255" t="s">
        <v>498</v>
      </c>
      <c r="E220" s="265" t="s">
        <v>490</v>
      </c>
      <c r="F220" s="272">
        <v>4</v>
      </c>
      <c r="G220" s="200" t="s">
        <v>247</v>
      </c>
      <c r="H220" s="273">
        <v>2</v>
      </c>
      <c r="I220" s="266" t="s">
        <v>494</v>
      </c>
      <c r="J220" s="207"/>
      <c r="K220" s="268"/>
      <c r="L220" s="225"/>
      <c r="M220" s="226"/>
      <c r="N220" s="209"/>
      <c r="O220" s="174"/>
      <c r="U220" s="210" t="str">
        <f t="shared" si="161"/>
        <v>Hercules-LudovikaZrínyigyöngye</v>
      </c>
      <c r="V220" s="211" t="b">
        <f t="shared" si="162"/>
        <v>1</v>
      </c>
      <c r="W220" s="210">
        <f t="shared" ref="W220:W230" si="174">W219</f>
        <v>12</v>
      </c>
      <c r="X220" s="210" t="str">
        <f t="shared" si="163"/>
        <v>Hercules-Ludovika</v>
      </c>
      <c r="Y220" s="210" t="str">
        <f t="shared" si="164"/>
        <v>Zrínyigyöngye</v>
      </c>
      <c r="Z220" s="212">
        <f t="shared" si="165"/>
        <v>4</v>
      </c>
      <c r="AA220" s="210">
        <f t="shared" si="166"/>
        <v>2</v>
      </c>
      <c r="AB220" s="213"/>
      <c r="AC220" s="214" t="str">
        <f t="shared" si="167"/>
        <v>Hercules-Ludovika</v>
      </c>
      <c r="AD220" s="214" t="str">
        <f t="shared" si="168"/>
        <v/>
      </c>
      <c r="AE220" s="215" t="str">
        <f t="shared" si="169"/>
        <v/>
      </c>
      <c r="AF220" s="214" t="str">
        <f t="shared" si="170"/>
        <v/>
      </c>
      <c r="AG220" s="214" t="str">
        <f t="shared" si="171"/>
        <v/>
      </c>
      <c r="AH220" s="215" t="str">
        <f t="shared" si="172"/>
        <v>Zrínyigyöngye</v>
      </c>
      <c r="AI220" s="216">
        <f t="shared" si="144"/>
        <v>42165</v>
      </c>
      <c r="AL220" s="217" t="str">
        <f>IF(OR(X220=Kedvenc!$C$43,Y220=Kedvenc!$C$43),W220,"")</f>
        <v/>
      </c>
      <c r="AM220" s="218" t="str">
        <f t="shared" si="173"/>
        <v/>
      </c>
      <c r="BB220" s="285" t="str">
        <f>C220&amp;D220</f>
        <v>4216519:45 – A pálya</v>
      </c>
      <c r="BC220" s="284">
        <f>COUNTIF($BB$43:$BB$383,BB220)</f>
        <v>1</v>
      </c>
      <c r="BD220" s="512" t="str">
        <f>U220</f>
        <v>Hercules-LudovikaZrínyigyöngye</v>
      </c>
    </row>
    <row r="221" spans="1:57" ht="14.25" customHeight="1" x14ac:dyDescent="0.2">
      <c r="A221" s="842"/>
      <c r="C221" s="255">
        <v>42165</v>
      </c>
      <c r="D221" s="255" t="s">
        <v>499</v>
      </c>
      <c r="E221" s="265" t="s">
        <v>484</v>
      </c>
      <c r="F221" s="272">
        <v>1</v>
      </c>
      <c r="G221" s="200" t="s">
        <v>247</v>
      </c>
      <c r="H221" s="273">
        <v>2</v>
      </c>
      <c r="I221" s="266" t="s">
        <v>487</v>
      </c>
      <c r="J221" s="207"/>
      <c r="K221" s="268"/>
      <c r="L221" s="225"/>
      <c r="M221" s="226"/>
      <c r="N221" s="209"/>
      <c r="O221" s="174"/>
      <c r="U221" s="210" t="str">
        <f t="shared" si="161"/>
        <v>Bakafogó-Honvéd-Sashegy SEBőrdíszmű</v>
      </c>
      <c r="V221" s="211" t="b">
        <f t="shared" si="162"/>
        <v>1</v>
      </c>
      <c r="W221" s="210">
        <f t="shared" si="174"/>
        <v>12</v>
      </c>
      <c r="X221" s="210" t="str">
        <f t="shared" si="163"/>
        <v>Bakafogó-Honvéd-Sashegy SE</v>
      </c>
      <c r="Y221" s="210" t="str">
        <f t="shared" si="164"/>
        <v>Bőrdíszmű</v>
      </c>
      <c r="Z221" s="212">
        <f t="shared" si="165"/>
        <v>1</v>
      </c>
      <c r="AA221" s="210">
        <f t="shared" si="166"/>
        <v>2</v>
      </c>
      <c r="AB221" s="213"/>
      <c r="AC221" s="214" t="str">
        <f t="shared" si="167"/>
        <v/>
      </c>
      <c r="AD221" s="214" t="str">
        <f t="shared" si="168"/>
        <v/>
      </c>
      <c r="AE221" s="215" t="str">
        <f t="shared" si="169"/>
        <v>Bakafogó-Honvéd-Sashegy SE</v>
      </c>
      <c r="AF221" s="214" t="str">
        <f t="shared" si="170"/>
        <v>Bőrdíszmű</v>
      </c>
      <c r="AG221" s="214" t="str">
        <f t="shared" si="171"/>
        <v/>
      </c>
      <c r="AH221" s="215" t="str">
        <f t="shared" si="172"/>
        <v/>
      </c>
      <c r="AI221" s="216">
        <f t="shared" si="144"/>
        <v>42165</v>
      </c>
      <c r="AL221" s="217" t="str">
        <f>IF(OR(X221=Kedvenc!$C$43,Y221=Kedvenc!$C$43),W221,"")</f>
        <v/>
      </c>
      <c r="AM221" s="218" t="str">
        <f t="shared" si="173"/>
        <v/>
      </c>
      <c r="BB221" s="285" t="str">
        <f>C221&amp;D221</f>
        <v>4216520:30 – A pálya</v>
      </c>
      <c r="BC221" s="284">
        <f>COUNTIF($BB$43:$BB$383,BB221)</f>
        <v>1</v>
      </c>
      <c r="BD221" s="512" t="str">
        <f>U221</f>
        <v>Bakafogó-Honvéd-Sashegy SEBőrdíszmű</v>
      </c>
    </row>
    <row r="222" spans="1:57" ht="14.25" customHeight="1" x14ac:dyDescent="0.2">
      <c r="A222" s="842"/>
      <c r="C222" s="255">
        <v>42165</v>
      </c>
      <c r="D222" s="255" t="s">
        <v>500</v>
      </c>
      <c r="E222" s="265" t="s">
        <v>488</v>
      </c>
      <c r="F222" s="272">
        <v>0</v>
      </c>
      <c r="G222" s="200" t="s">
        <v>247</v>
      </c>
      <c r="H222" s="273">
        <v>6</v>
      </c>
      <c r="I222" s="266" t="s">
        <v>489</v>
      </c>
      <c r="J222" s="207"/>
      <c r="K222" s="268"/>
      <c r="L222" s="225"/>
      <c r="M222" s="226"/>
      <c r="N222" s="209"/>
      <c r="O222" s="174"/>
      <c r="U222" s="210" t="str">
        <f t="shared" si="161"/>
        <v>CarbonászÉlelmesek</v>
      </c>
      <c r="V222" s="211" t="b">
        <f t="shared" si="162"/>
        <v>1</v>
      </c>
      <c r="W222" s="210">
        <f t="shared" si="174"/>
        <v>12</v>
      </c>
      <c r="X222" s="210" t="str">
        <f t="shared" si="163"/>
        <v>Carbonász</v>
      </c>
      <c r="Y222" s="210" t="str">
        <f t="shared" si="164"/>
        <v>Élelmesek</v>
      </c>
      <c r="Z222" s="212">
        <f t="shared" si="165"/>
        <v>0</v>
      </c>
      <c r="AA222" s="210">
        <f t="shared" si="166"/>
        <v>6</v>
      </c>
      <c r="AB222" s="213"/>
      <c r="AC222" s="214" t="str">
        <f t="shared" si="167"/>
        <v/>
      </c>
      <c r="AD222" s="214" t="str">
        <f t="shared" si="168"/>
        <v/>
      </c>
      <c r="AE222" s="215" t="str">
        <f t="shared" si="169"/>
        <v>Carbonász</v>
      </c>
      <c r="AF222" s="214" t="str">
        <f t="shared" si="170"/>
        <v>Élelmesek</v>
      </c>
      <c r="AG222" s="214" t="str">
        <f t="shared" si="171"/>
        <v/>
      </c>
      <c r="AH222" s="215" t="str">
        <f t="shared" si="172"/>
        <v/>
      </c>
      <c r="AI222" s="216">
        <f t="shared" si="144"/>
        <v>42165</v>
      </c>
      <c r="AL222" s="217" t="str">
        <f>IF(OR(X222=Kedvenc!$C$43,Y222=Kedvenc!$C$43),W222,"")</f>
        <v/>
      </c>
      <c r="AM222" s="218" t="str">
        <f t="shared" si="173"/>
        <v/>
      </c>
      <c r="AP222" s="245"/>
      <c r="AQ222" s="245"/>
      <c r="AR222" s="245"/>
      <c r="AS222" s="245"/>
      <c r="AT222" s="245"/>
      <c r="AU222" s="245"/>
      <c r="AV222" s="245"/>
      <c r="AW222" s="245"/>
      <c r="AX222" s="245"/>
      <c r="AY222" s="245"/>
      <c r="BA222" s="245"/>
      <c r="BB222" s="285" t="str">
        <f>C222&amp;D222</f>
        <v>4216519:00 – B pálya</v>
      </c>
      <c r="BC222" s="284">
        <f>COUNTIF($BB$43:$BB$383,BB222)</f>
        <v>1</v>
      </c>
      <c r="BD222" s="512" t="str">
        <f>U222</f>
        <v>CarbonászÉlelmesek</v>
      </c>
      <c r="BE222" s="245"/>
    </row>
    <row r="223" spans="1:57" ht="14.25" customHeight="1" x14ac:dyDescent="0.2">
      <c r="A223" s="842"/>
      <c r="C223" s="255">
        <v>42165</v>
      </c>
      <c r="D223" s="255" t="s">
        <v>501</v>
      </c>
      <c r="E223" s="265" t="s">
        <v>492</v>
      </c>
      <c r="F223" s="272">
        <v>1</v>
      </c>
      <c r="G223" s="200" t="s">
        <v>247</v>
      </c>
      <c r="H223" s="273">
        <v>1</v>
      </c>
      <c r="I223" s="266" t="s">
        <v>493</v>
      </c>
      <c r="J223" s="223"/>
      <c r="K223" s="787"/>
      <c r="L223" s="225"/>
      <c r="M223" s="226"/>
      <c r="N223" s="209"/>
      <c r="O223" s="174"/>
      <c r="P223" s="209"/>
      <c r="Q223" s="209"/>
      <c r="R223" s="209"/>
      <c r="S223" s="209"/>
      <c r="U223" s="210" t="str">
        <f t="shared" si="161"/>
        <v>Royal Guard'sVakana</v>
      </c>
      <c r="V223" s="211" t="b">
        <f t="shared" si="162"/>
        <v>1</v>
      </c>
      <c r="W223" s="210">
        <f t="shared" si="174"/>
        <v>12</v>
      </c>
      <c r="X223" s="210" t="str">
        <f t="shared" si="163"/>
        <v>Royal Guard's</v>
      </c>
      <c r="Y223" s="210" t="str">
        <f t="shared" si="164"/>
        <v>Vakana</v>
      </c>
      <c r="Z223" s="212">
        <f t="shared" si="165"/>
        <v>1</v>
      </c>
      <c r="AA223" s="210">
        <f t="shared" si="166"/>
        <v>1</v>
      </c>
      <c r="AB223" s="213"/>
      <c r="AC223" s="214" t="str">
        <f t="shared" si="167"/>
        <v/>
      </c>
      <c r="AD223" s="214" t="str">
        <f t="shared" si="168"/>
        <v>Royal Guard's</v>
      </c>
      <c r="AE223" s="215" t="str">
        <f t="shared" si="169"/>
        <v/>
      </c>
      <c r="AF223" s="214" t="str">
        <f t="shared" si="170"/>
        <v/>
      </c>
      <c r="AG223" s="214" t="str">
        <f t="shared" si="171"/>
        <v>Vakana</v>
      </c>
      <c r="AH223" s="215" t="str">
        <f t="shared" si="172"/>
        <v/>
      </c>
      <c r="AI223" s="216">
        <f t="shared" si="144"/>
        <v>42165</v>
      </c>
      <c r="AL223" s="217" t="str">
        <f>IF(OR(X223=Kedvenc!$C$43,Y223=Kedvenc!$C$43),W223,"")</f>
        <v/>
      </c>
      <c r="AM223" s="218" t="str">
        <f t="shared" si="173"/>
        <v/>
      </c>
      <c r="AP223" s="245"/>
      <c r="AQ223" s="245"/>
      <c r="AR223" s="245"/>
      <c r="AS223" s="245"/>
      <c r="AT223" s="245"/>
      <c r="AU223" s="245"/>
      <c r="AV223" s="245"/>
      <c r="AW223" s="245"/>
      <c r="AX223" s="245"/>
      <c r="AY223" s="245"/>
      <c r="BA223" s="245"/>
      <c r="BB223" s="285" t="str">
        <f>C223&amp;D223</f>
        <v>4216519:45 – B pálya</v>
      </c>
      <c r="BC223" s="284">
        <f>COUNTIF($BB$43:$BB$383,BB223)</f>
        <v>1</v>
      </c>
      <c r="BD223" s="512" t="str">
        <f>U223</f>
        <v>Royal Guard'sVakana</v>
      </c>
      <c r="BE223" s="245"/>
    </row>
    <row r="224" spans="1:57" ht="14.25" customHeight="1" x14ac:dyDescent="0.2">
      <c r="A224" s="842"/>
      <c r="C224" s="278"/>
      <c r="D224" s="278"/>
      <c r="E224" s="275" t="s">
        <v>491</v>
      </c>
      <c r="F224" s="275"/>
      <c r="G224" s="276"/>
      <c r="H224" s="277"/>
      <c r="I224" s="277" t="s">
        <v>495</v>
      </c>
      <c r="J224" s="223"/>
      <c r="K224" s="268"/>
      <c r="L224" s="225"/>
      <c r="M224" s="226"/>
      <c r="N224" s="209"/>
      <c r="O224" s="174"/>
      <c r="P224" s="209"/>
      <c r="Q224" s="209"/>
      <c r="R224" s="209"/>
      <c r="S224" s="209"/>
      <c r="U224" s="210" t="str">
        <f t="shared" si="161"/>
        <v>K&amp;Hszabadnapos</v>
      </c>
      <c r="V224" s="211" t="b">
        <f t="shared" si="162"/>
        <v>0</v>
      </c>
      <c r="W224" s="210">
        <f t="shared" si="174"/>
        <v>12</v>
      </c>
      <c r="X224" s="210" t="str">
        <f t="shared" si="163"/>
        <v>K&amp;H</v>
      </c>
      <c r="Y224" s="210" t="str">
        <f t="shared" si="164"/>
        <v>szabadnapos</v>
      </c>
      <c r="Z224" s="212" t="str">
        <f t="shared" si="165"/>
        <v/>
      </c>
      <c r="AA224" s="210" t="str">
        <f t="shared" si="166"/>
        <v/>
      </c>
      <c r="AB224" s="213"/>
      <c r="AC224" s="214" t="str">
        <f t="shared" si="167"/>
        <v/>
      </c>
      <c r="AD224" s="214" t="str">
        <f t="shared" si="168"/>
        <v/>
      </c>
      <c r="AE224" s="215" t="str">
        <f t="shared" si="169"/>
        <v/>
      </c>
      <c r="AF224" s="214" t="str">
        <f t="shared" si="170"/>
        <v/>
      </c>
      <c r="AG224" s="214" t="str">
        <f t="shared" si="171"/>
        <v/>
      </c>
      <c r="AH224" s="215" t="str">
        <f t="shared" si="172"/>
        <v/>
      </c>
      <c r="AI224" s="750">
        <f>AI219</f>
        <v>42165</v>
      </c>
      <c r="AL224" s="217" t="str">
        <f>IF(OR(X224=Kedvenc!$C$43,Y224=Kedvenc!$C$43),W224,"")</f>
        <v/>
      </c>
      <c r="AM224" s="218" t="str">
        <f t="shared" si="173"/>
        <v/>
      </c>
      <c r="AP224" s="245"/>
      <c r="AQ224" s="245"/>
      <c r="AR224" s="245"/>
      <c r="AS224" s="245"/>
      <c r="AT224" s="245"/>
      <c r="AU224" s="245"/>
      <c r="AV224" s="245"/>
      <c r="AW224" s="245"/>
      <c r="AX224" s="245"/>
      <c r="AY224" s="245"/>
      <c r="BA224" s="245"/>
      <c r="BE224" s="245"/>
    </row>
    <row r="225" spans="1:57" ht="14.25" hidden="1" customHeight="1" x14ac:dyDescent="0.2">
      <c r="A225" s="842"/>
      <c r="C225" s="278"/>
      <c r="D225" s="278"/>
      <c r="E225" s="265"/>
      <c r="F225" s="265"/>
      <c r="H225" s="266"/>
      <c r="I225" s="266"/>
      <c r="J225" s="223"/>
      <c r="K225" s="268"/>
      <c r="L225" s="225"/>
      <c r="M225" s="226"/>
      <c r="N225" s="209"/>
      <c r="O225" s="174"/>
      <c r="P225" s="209"/>
      <c r="Q225" s="209"/>
      <c r="R225" s="209"/>
      <c r="S225" s="209"/>
      <c r="U225" s="210" t="str">
        <f t="shared" si="161"/>
        <v>00</v>
      </c>
      <c r="V225" s="211" t="b">
        <f t="shared" si="162"/>
        <v>0</v>
      </c>
      <c r="W225" s="210">
        <f t="shared" si="174"/>
        <v>12</v>
      </c>
      <c r="X225" s="210">
        <f t="shared" si="163"/>
        <v>0</v>
      </c>
      <c r="Y225" s="210">
        <f t="shared" si="164"/>
        <v>0</v>
      </c>
      <c r="Z225" s="212" t="str">
        <f t="shared" si="165"/>
        <v/>
      </c>
      <c r="AA225" s="210" t="str">
        <f t="shared" si="166"/>
        <v/>
      </c>
      <c r="AB225" s="213"/>
      <c r="AC225" s="214" t="str">
        <f t="shared" si="167"/>
        <v/>
      </c>
      <c r="AD225" s="214" t="str">
        <f t="shared" si="168"/>
        <v/>
      </c>
      <c r="AE225" s="215" t="str">
        <f t="shared" si="169"/>
        <v/>
      </c>
      <c r="AF225" s="214" t="str">
        <f t="shared" si="170"/>
        <v/>
      </c>
      <c r="AG225" s="214" t="str">
        <f t="shared" si="171"/>
        <v/>
      </c>
      <c r="AH225" s="215" t="str">
        <f t="shared" si="172"/>
        <v/>
      </c>
      <c r="AI225" s="216">
        <f t="shared" si="144"/>
        <v>0</v>
      </c>
      <c r="AL225" s="217" t="str">
        <f>IF(OR(X225=Kedvenc!$C$43,Y225=Kedvenc!$C$43),W225,"")</f>
        <v/>
      </c>
      <c r="AM225" s="218" t="str">
        <f t="shared" si="173"/>
        <v/>
      </c>
      <c r="AP225" s="245"/>
      <c r="AQ225" s="245"/>
      <c r="AR225" s="245"/>
      <c r="AS225" s="245"/>
      <c r="AT225" s="245"/>
      <c r="AU225" s="245"/>
      <c r="AV225" s="245"/>
      <c r="AW225" s="245"/>
      <c r="AX225" s="245"/>
      <c r="AY225" s="245"/>
      <c r="BA225" s="245"/>
      <c r="BE225" s="245"/>
    </row>
    <row r="226" spans="1:57" ht="14.25" hidden="1" customHeight="1" x14ac:dyDescent="0.2">
      <c r="A226" s="842"/>
      <c r="C226" s="278"/>
      <c r="D226" s="278"/>
      <c r="E226" s="265"/>
      <c r="F226" s="265"/>
      <c r="H226" s="266"/>
      <c r="I226" s="266"/>
      <c r="J226" s="223"/>
      <c r="K226" s="268"/>
      <c r="L226" s="225"/>
      <c r="M226" s="226"/>
      <c r="N226" s="209"/>
      <c r="O226" s="174"/>
      <c r="P226" s="209"/>
      <c r="Q226" s="209"/>
      <c r="R226" s="209"/>
      <c r="S226" s="209"/>
      <c r="U226" s="210" t="str">
        <f t="shared" si="161"/>
        <v>00</v>
      </c>
      <c r="V226" s="211" t="b">
        <f t="shared" si="162"/>
        <v>0</v>
      </c>
      <c r="W226" s="210">
        <f t="shared" si="174"/>
        <v>12</v>
      </c>
      <c r="X226" s="210">
        <f t="shared" si="163"/>
        <v>0</v>
      </c>
      <c r="Y226" s="210">
        <f t="shared" si="164"/>
        <v>0</v>
      </c>
      <c r="Z226" s="212" t="str">
        <f t="shared" si="165"/>
        <v/>
      </c>
      <c r="AA226" s="210" t="str">
        <f t="shared" si="166"/>
        <v/>
      </c>
      <c r="AB226" s="213"/>
      <c r="AC226" s="214" t="str">
        <f t="shared" si="167"/>
        <v/>
      </c>
      <c r="AD226" s="214" t="str">
        <f t="shared" si="168"/>
        <v/>
      </c>
      <c r="AE226" s="215" t="str">
        <f t="shared" si="169"/>
        <v/>
      </c>
      <c r="AF226" s="214" t="str">
        <f t="shared" si="170"/>
        <v/>
      </c>
      <c r="AG226" s="214" t="str">
        <f t="shared" si="171"/>
        <v/>
      </c>
      <c r="AH226" s="215" t="str">
        <f t="shared" si="172"/>
        <v/>
      </c>
      <c r="AI226" s="216">
        <f t="shared" si="144"/>
        <v>0</v>
      </c>
      <c r="AL226" s="217" t="str">
        <f>IF(OR(X226=Kedvenc!$C$43,Y226=Kedvenc!$C$43),W226,"")</f>
        <v/>
      </c>
      <c r="AM226" s="218" t="str">
        <f t="shared" si="173"/>
        <v/>
      </c>
      <c r="AP226" s="245"/>
      <c r="AQ226" s="245"/>
      <c r="AR226" s="245"/>
      <c r="AS226" s="245"/>
      <c r="AT226" s="245"/>
      <c r="AU226" s="245"/>
      <c r="AV226" s="245"/>
      <c r="AW226" s="245"/>
      <c r="AX226" s="245"/>
      <c r="AY226" s="245"/>
      <c r="BA226" s="245"/>
      <c r="BE226" s="245"/>
    </row>
    <row r="227" spans="1:57" ht="14.25" hidden="1" customHeight="1" x14ac:dyDescent="0.2">
      <c r="A227" s="842"/>
      <c r="C227" s="278"/>
      <c r="D227" s="278"/>
      <c r="E227" s="265"/>
      <c r="F227" s="265"/>
      <c r="H227" s="266"/>
      <c r="I227" s="266"/>
      <c r="J227" s="223"/>
      <c r="K227" s="268"/>
      <c r="L227" s="225"/>
      <c r="M227" s="226"/>
      <c r="N227" s="209"/>
      <c r="O227" s="174"/>
      <c r="P227" s="209"/>
      <c r="Q227" s="209"/>
      <c r="R227" s="209"/>
      <c r="S227" s="209"/>
      <c r="U227" s="210" t="str">
        <f t="shared" si="161"/>
        <v>00</v>
      </c>
      <c r="V227" s="211" t="b">
        <f t="shared" si="162"/>
        <v>0</v>
      </c>
      <c r="W227" s="210">
        <f t="shared" si="174"/>
        <v>12</v>
      </c>
      <c r="X227" s="210">
        <f t="shared" si="163"/>
        <v>0</v>
      </c>
      <c r="Y227" s="210">
        <f t="shared" si="164"/>
        <v>0</v>
      </c>
      <c r="Z227" s="212" t="str">
        <f t="shared" si="165"/>
        <v/>
      </c>
      <c r="AA227" s="210" t="str">
        <f t="shared" si="166"/>
        <v/>
      </c>
      <c r="AB227" s="213"/>
      <c r="AC227" s="214" t="str">
        <f t="shared" si="167"/>
        <v/>
      </c>
      <c r="AD227" s="214" t="str">
        <f t="shared" si="168"/>
        <v/>
      </c>
      <c r="AE227" s="215" t="str">
        <f t="shared" si="169"/>
        <v/>
      </c>
      <c r="AF227" s="214" t="str">
        <f t="shared" si="170"/>
        <v/>
      </c>
      <c r="AG227" s="214" t="str">
        <f t="shared" si="171"/>
        <v/>
      </c>
      <c r="AH227" s="215" t="str">
        <f t="shared" si="172"/>
        <v/>
      </c>
      <c r="AI227" s="216">
        <f t="shared" si="144"/>
        <v>0</v>
      </c>
      <c r="AL227" s="217" t="str">
        <f>IF(OR(X227=Kedvenc!$C$43,Y227=Kedvenc!$C$43),W227,"")</f>
        <v/>
      </c>
      <c r="AM227" s="218" t="str">
        <f t="shared" si="173"/>
        <v/>
      </c>
      <c r="AP227" s="245"/>
      <c r="AQ227" s="245"/>
      <c r="AR227" s="245"/>
      <c r="AS227" s="245"/>
      <c r="AT227" s="245"/>
      <c r="AU227" s="245"/>
      <c r="AV227" s="245"/>
      <c r="AW227" s="245"/>
      <c r="AX227" s="245"/>
      <c r="AY227" s="245"/>
      <c r="BA227" s="245"/>
      <c r="BE227" s="245"/>
    </row>
    <row r="228" spans="1:57" ht="14.25" hidden="1" customHeight="1" x14ac:dyDescent="0.2">
      <c r="A228" s="842"/>
      <c r="C228" s="278"/>
      <c r="D228" s="278"/>
      <c r="E228" s="265"/>
      <c r="F228" s="265"/>
      <c r="H228" s="266"/>
      <c r="I228" s="266"/>
      <c r="J228" s="223"/>
      <c r="K228" s="268"/>
      <c r="L228" s="225"/>
      <c r="M228" s="226"/>
      <c r="N228" s="209"/>
      <c r="O228" s="174"/>
      <c r="P228" s="209"/>
      <c r="Q228" s="209"/>
      <c r="R228" s="209"/>
      <c r="S228" s="209"/>
      <c r="U228" s="210" t="str">
        <f t="shared" si="161"/>
        <v>00</v>
      </c>
      <c r="V228" s="211" t="b">
        <f t="shared" si="162"/>
        <v>0</v>
      </c>
      <c r="W228" s="210">
        <f t="shared" si="174"/>
        <v>12</v>
      </c>
      <c r="X228" s="210">
        <f t="shared" si="163"/>
        <v>0</v>
      </c>
      <c r="Y228" s="210">
        <f t="shared" si="164"/>
        <v>0</v>
      </c>
      <c r="Z228" s="212" t="str">
        <f t="shared" si="165"/>
        <v/>
      </c>
      <c r="AA228" s="210" t="str">
        <f t="shared" si="166"/>
        <v/>
      </c>
      <c r="AB228" s="213"/>
      <c r="AC228" s="214" t="str">
        <f t="shared" si="167"/>
        <v/>
      </c>
      <c r="AD228" s="214" t="str">
        <f t="shared" si="168"/>
        <v/>
      </c>
      <c r="AE228" s="215" t="str">
        <f t="shared" si="169"/>
        <v/>
      </c>
      <c r="AF228" s="214" t="str">
        <f t="shared" si="170"/>
        <v/>
      </c>
      <c r="AG228" s="214" t="str">
        <f t="shared" si="171"/>
        <v/>
      </c>
      <c r="AH228" s="215" t="str">
        <f t="shared" si="172"/>
        <v/>
      </c>
      <c r="AI228" s="216">
        <f t="shared" si="144"/>
        <v>0</v>
      </c>
      <c r="AL228" s="217" t="str">
        <f>IF(OR(X228=Kedvenc!$C$43,Y228=Kedvenc!$C$43),W228,"")</f>
        <v/>
      </c>
      <c r="AM228" s="218" t="str">
        <f t="shared" si="173"/>
        <v/>
      </c>
      <c r="AP228" s="245"/>
      <c r="AQ228" s="245"/>
      <c r="AR228" s="245"/>
      <c r="AS228" s="245"/>
      <c r="AT228" s="245"/>
      <c r="AU228" s="245"/>
      <c r="AV228" s="245"/>
      <c r="AW228" s="245"/>
      <c r="AX228" s="245"/>
      <c r="AY228" s="245"/>
      <c r="BA228" s="245"/>
      <c r="BE228" s="245"/>
    </row>
    <row r="229" spans="1:57" ht="14.25" hidden="1" customHeight="1" x14ac:dyDescent="0.2">
      <c r="A229" s="842"/>
      <c r="C229" s="278"/>
      <c r="D229" s="278"/>
      <c r="E229" s="265"/>
      <c r="F229" s="265"/>
      <c r="H229" s="266"/>
      <c r="I229" s="266"/>
      <c r="J229" s="223"/>
      <c r="K229" s="268"/>
      <c r="L229" s="225"/>
      <c r="M229" s="226"/>
      <c r="N229" s="209"/>
      <c r="O229" s="174"/>
      <c r="P229" s="209"/>
      <c r="Q229" s="209"/>
      <c r="R229" s="209"/>
      <c r="S229" s="209"/>
      <c r="U229" s="210" t="str">
        <f t="shared" si="161"/>
        <v>00</v>
      </c>
      <c r="V229" s="211" t="b">
        <f t="shared" si="162"/>
        <v>0</v>
      </c>
      <c r="W229" s="210">
        <f t="shared" si="174"/>
        <v>12</v>
      </c>
      <c r="X229" s="210">
        <f t="shared" si="163"/>
        <v>0</v>
      </c>
      <c r="Y229" s="210">
        <f t="shared" si="164"/>
        <v>0</v>
      </c>
      <c r="Z229" s="212" t="str">
        <f t="shared" si="165"/>
        <v/>
      </c>
      <c r="AA229" s="210" t="str">
        <f t="shared" si="166"/>
        <v/>
      </c>
      <c r="AB229" s="213"/>
      <c r="AC229" s="214" t="str">
        <f t="shared" si="167"/>
        <v/>
      </c>
      <c r="AD229" s="214" t="str">
        <f t="shared" si="168"/>
        <v/>
      </c>
      <c r="AE229" s="215" t="str">
        <f t="shared" si="169"/>
        <v/>
      </c>
      <c r="AF229" s="214" t="str">
        <f t="shared" si="170"/>
        <v/>
      </c>
      <c r="AG229" s="214" t="str">
        <f t="shared" si="171"/>
        <v/>
      </c>
      <c r="AH229" s="215" t="str">
        <f t="shared" si="172"/>
        <v/>
      </c>
      <c r="AI229" s="216">
        <f t="shared" si="144"/>
        <v>0</v>
      </c>
      <c r="AL229" s="217" t="str">
        <f>IF(OR(X229=Kedvenc!$C$43,Y229=Kedvenc!$C$43),W229,"")</f>
        <v/>
      </c>
      <c r="AM229" s="218" t="str">
        <f t="shared" si="173"/>
        <v/>
      </c>
      <c r="AP229" s="245"/>
      <c r="AQ229" s="245"/>
      <c r="AR229" s="245"/>
      <c r="AS229" s="245"/>
      <c r="AT229" s="245"/>
      <c r="AU229" s="245"/>
      <c r="AV229" s="245"/>
      <c r="AW229" s="245"/>
      <c r="AX229" s="245"/>
      <c r="AY229" s="245"/>
      <c r="BA229" s="245"/>
      <c r="BE229" s="245"/>
    </row>
    <row r="230" spans="1:57" ht="14.25" hidden="1" customHeight="1" x14ac:dyDescent="0.2">
      <c r="A230" s="842"/>
      <c r="C230" s="278"/>
      <c r="D230" s="278"/>
      <c r="E230" s="265"/>
      <c r="F230" s="265"/>
      <c r="H230" s="266"/>
      <c r="I230" s="266"/>
      <c r="J230" s="169"/>
      <c r="K230" s="268"/>
      <c r="L230" s="228"/>
      <c r="M230" s="228"/>
      <c r="N230" s="228"/>
      <c r="O230" s="174"/>
      <c r="P230" s="209"/>
      <c r="Q230" s="209"/>
      <c r="R230" s="209"/>
      <c r="S230" s="209"/>
      <c r="U230" s="210" t="str">
        <f t="shared" si="161"/>
        <v>00</v>
      </c>
      <c r="V230" s="211" t="b">
        <f t="shared" si="162"/>
        <v>0</v>
      </c>
      <c r="W230" s="210">
        <f t="shared" si="174"/>
        <v>12</v>
      </c>
      <c r="X230" s="210">
        <f t="shared" si="163"/>
        <v>0</v>
      </c>
      <c r="Y230" s="210">
        <f t="shared" si="164"/>
        <v>0</v>
      </c>
      <c r="Z230" s="212" t="str">
        <f t="shared" si="165"/>
        <v/>
      </c>
      <c r="AA230" s="210" t="str">
        <f t="shared" si="166"/>
        <v/>
      </c>
      <c r="AB230" s="213"/>
      <c r="AC230" s="214" t="str">
        <f t="shared" si="167"/>
        <v/>
      </c>
      <c r="AD230" s="214" t="str">
        <f t="shared" si="168"/>
        <v/>
      </c>
      <c r="AE230" s="215" t="str">
        <f t="shared" si="169"/>
        <v/>
      </c>
      <c r="AF230" s="214" t="str">
        <f t="shared" si="170"/>
        <v/>
      </c>
      <c r="AG230" s="214" t="str">
        <f t="shared" si="171"/>
        <v/>
      </c>
      <c r="AH230" s="215" t="str">
        <f t="shared" si="172"/>
        <v/>
      </c>
      <c r="AI230" s="216">
        <f t="shared" si="144"/>
        <v>0</v>
      </c>
      <c r="AL230" s="217" t="str">
        <f>IF(OR(X230=Kedvenc!$C$43,Y230=Kedvenc!$C$43),W230,"")</f>
        <v/>
      </c>
      <c r="AM230" s="218" t="str">
        <f t="shared" si="173"/>
        <v/>
      </c>
      <c r="AP230" s="245"/>
      <c r="AQ230" s="245"/>
      <c r="AR230" s="245"/>
      <c r="AS230" s="245"/>
      <c r="AT230" s="245"/>
      <c r="AU230" s="245"/>
      <c r="AV230" s="245"/>
      <c r="AW230" s="245"/>
      <c r="AX230" s="245"/>
      <c r="AY230" s="245"/>
      <c r="BA230" s="245"/>
      <c r="BE230" s="245"/>
    </row>
    <row r="231" spans="1:57" ht="14.25" customHeight="1" x14ac:dyDescent="0.2">
      <c r="A231" s="842"/>
      <c r="E231" s="247"/>
      <c r="F231" s="248"/>
      <c r="G231" s="248"/>
      <c r="H231" s="248"/>
      <c r="I231" s="247"/>
      <c r="J231" s="172"/>
      <c r="K231" s="228"/>
      <c r="L231" s="228"/>
      <c r="M231" s="228"/>
      <c r="N231" s="228"/>
      <c r="O231" s="174"/>
      <c r="P231" s="209"/>
      <c r="Q231" s="209"/>
      <c r="R231" s="209"/>
      <c r="S231" s="209"/>
      <c r="W231" s="231"/>
      <c r="AC231" s="233"/>
      <c r="AD231" s="233"/>
      <c r="AE231" s="234"/>
      <c r="AF231" s="233"/>
      <c r="AG231" s="233"/>
      <c r="AH231" s="234"/>
      <c r="AI231" s="234"/>
      <c r="AP231" s="245"/>
      <c r="AQ231" s="245"/>
      <c r="AR231" s="245"/>
      <c r="AS231" s="245"/>
      <c r="AT231" s="245"/>
      <c r="AU231" s="245"/>
      <c r="AV231" s="245"/>
      <c r="AW231" s="245"/>
      <c r="AX231" s="245"/>
      <c r="AY231" s="245"/>
      <c r="BA231" s="245"/>
      <c r="BE231" s="245"/>
    </row>
    <row r="232" spans="1:57" ht="14.25" customHeight="1" x14ac:dyDescent="0.2">
      <c r="A232" s="842"/>
      <c r="E232" s="224"/>
      <c r="F232" s="225"/>
      <c r="G232" s="226"/>
      <c r="H232" s="209"/>
      <c r="I232" s="227"/>
      <c r="J232" s="169"/>
      <c r="K232" s="228"/>
      <c r="L232" s="225"/>
      <c r="M232" s="226"/>
      <c r="N232" s="209"/>
      <c r="O232" s="174"/>
      <c r="P232" s="209"/>
      <c r="Q232" s="209"/>
      <c r="R232" s="209"/>
      <c r="S232" s="209"/>
      <c r="W232" s="231"/>
      <c r="AC232" s="233"/>
      <c r="AD232" s="233"/>
      <c r="AE232" s="234"/>
      <c r="AF232" s="233"/>
      <c r="AG232" s="233"/>
      <c r="AH232" s="234"/>
      <c r="AI232" s="197"/>
      <c r="AP232" s="245"/>
      <c r="AQ232" s="245"/>
      <c r="AR232" s="245"/>
      <c r="AS232" s="245"/>
      <c r="AT232" s="245"/>
      <c r="AU232" s="245"/>
      <c r="AV232" s="245"/>
      <c r="AW232" s="245"/>
      <c r="AX232" s="245"/>
      <c r="AY232" s="245"/>
      <c r="BA232" s="245"/>
      <c r="BD232" s="245"/>
      <c r="BE232" s="245"/>
    </row>
    <row r="233" spans="1:57" ht="14.25" customHeight="1" x14ac:dyDescent="0.2">
      <c r="A233" s="842"/>
      <c r="B233" s="187"/>
      <c r="C233" s="269" t="str">
        <f>CONCATENATE(" ",AB235,"."," forduló  –")</f>
        <v xml:space="preserve"> 13. forduló  –</v>
      </c>
      <c r="D233" s="843">
        <f>VLOOKUP(AB235,ASZ!$AQ$59:$AS$104,2,FALSE)</f>
        <v>42172</v>
      </c>
      <c r="E233" s="843"/>
      <c r="F233" s="274"/>
      <c r="G233" s="274"/>
      <c r="H233" s="274"/>
      <c r="I233" s="270" t="str">
        <f>CONCATENATE(IF($AW$61,"pont: ","gól: "),SUM(F235:H246)," / átlag: ",TEXT(IF(COUNT(F235:H246)=0,"-",SUM(F235:H246)/COUNT(F235:H246)*2),"0,00"))</f>
        <v>gól: 28 / átlag: 5,60</v>
      </c>
      <c r="J233" s="190"/>
      <c r="K233" s="271" t="s">
        <v>285</v>
      </c>
      <c r="L233" s="192"/>
      <c r="U233" s="229"/>
      <c r="V233" s="230"/>
      <c r="W233" s="231"/>
      <c r="X233" s="231"/>
      <c r="Y233" s="231"/>
      <c r="Z233" s="232"/>
      <c r="AA233" s="231"/>
      <c r="AC233" s="197"/>
      <c r="AD233" s="197"/>
      <c r="AE233" s="197"/>
      <c r="AF233" s="197"/>
      <c r="AG233" s="197"/>
      <c r="AH233" s="197"/>
      <c r="AI233" s="197"/>
      <c r="AQ233" s="245"/>
      <c r="AR233" s="245"/>
      <c r="AS233" s="245"/>
      <c r="AT233" s="245"/>
    </row>
    <row r="234" spans="1:57" ht="9" customHeight="1" x14ac:dyDescent="0.2">
      <c r="A234" s="842"/>
      <c r="J234" s="169"/>
      <c r="K234" s="228"/>
      <c r="L234" s="225"/>
      <c r="M234" s="226"/>
      <c r="N234" s="209"/>
      <c r="O234" s="174"/>
      <c r="P234" s="209"/>
      <c r="Q234" s="209"/>
      <c r="R234" s="209"/>
      <c r="S234" s="209"/>
      <c r="AP234" s="245"/>
      <c r="AQ234" s="245"/>
      <c r="AR234" s="245"/>
      <c r="AS234" s="245"/>
      <c r="AT234" s="245"/>
      <c r="AU234" s="245"/>
      <c r="AV234" s="245"/>
      <c r="AW234" s="245"/>
      <c r="AX234" s="245"/>
      <c r="AY234" s="245"/>
      <c r="BA234" s="245"/>
      <c r="BE234" s="245"/>
    </row>
    <row r="235" spans="1:57" ht="14.25" customHeight="1" x14ac:dyDescent="0.2">
      <c r="A235" s="842"/>
      <c r="C235" s="255">
        <v>42172</v>
      </c>
      <c r="D235" s="255" t="s">
        <v>497</v>
      </c>
      <c r="E235" s="265" t="s">
        <v>488</v>
      </c>
      <c r="F235" s="272">
        <v>1</v>
      </c>
      <c r="G235" s="200" t="s">
        <v>247</v>
      </c>
      <c r="H235" s="273">
        <v>12</v>
      </c>
      <c r="I235" s="266" t="s">
        <v>491</v>
      </c>
      <c r="J235" s="207"/>
      <c r="K235" s="267"/>
      <c r="L235" s="225"/>
      <c r="M235" s="226"/>
      <c r="N235" s="209"/>
      <c r="O235" s="174"/>
      <c r="P235" s="209"/>
      <c r="Q235" s="209"/>
      <c r="R235" s="209"/>
      <c r="S235" s="209"/>
      <c r="U235" s="210" t="str">
        <f t="shared" ref="U235:U246" si="175">X235&amp;Y235</f>
        <v>CarbonászK&amp;H</v>
      </c>
      <c r="V235" s="211" t="b">
        <f t="shared" ref="V235:V246" si="176">AND(F235&lt;&gt;"",H235&lt;&gt;"")</f>
        <v>1</v>
      </c>
      <c r="W235" s="210">
        <f>AB235</f>
        <v>13</v>
      </c>
      <c r="X235" s="210" t="str">
        <f t="shared" ref="X235:X246" si="177">E235</f>
        <v>Carbonász</v>
      </c>
      <c r="Y235" s="210" t="str">
        <f t="shared" ref="Y235:Y246" si="178">I235</f>
        <v>K&amp;H</v>
      </c>
      <c r="Z235" s="212">
        <f t="shared" ref="Z235:Z246" si="179">IF(V235,F235,"")</f>
        <v>1</v>
      </c>
      <c r="AA235" s="210">
        <f t="shared" ref="AA235:AA246" si="180">IF(V235,H235,"")</f>
        <v>12</v>
      </c>
      <c r="AB235" s="213">
        <f>IF(NOT(ASZTAB!$X$71),AB219+1,AB219+COUNTIF(AB203:AB234,AB219)-1)</f>
        <v>13</v>
      </c>
      <c r="AC235" s="214" t="str">
        <f t="shared" ref="AC235:AC246" si="181">IF(Z235&gt;AA235,X235,"")</f>
        <v/>
      </c>
      <c r="AD235" s="214" t="str">
        <f t="shared" ref="AD235:AD246" si="182">IF(AA235="","",IF(Z235=AA235,X235,""))</f>
        <v/>
      </c>
      <c r="AE235" s="215" t="str">
        <f t="shared" ref="AE235:AE246" si="183">IF(AND($AW$61,Z235=0,AA235=20),X235&amp;"ooo",IF(Z235&lt;AA235,X235,""))</f>
        <v>Carbonász</v>
      </c>
      <c r="AF235" s="214" t="str">
        <f t="shared" ref="AF235:AF246" si="184">IF(AA235&gt;Z235,Y235,"")</f>
        <v>K&amp;H</v>
      </c>
      <c r="AG235" s="214" t="str">
        <f t="shared" ref="AG235:AG246" si="185">IF(AA235="","",IF(Z235=AA235,Y235,""))</f>
        <v/>
      </c>
      <c r="AH235" s="215" t="str">
        <f t="shared" ref="AH235:AH246" si="186">IF(AND($AW$61,Z235=20,AA235=0),Y235&amp;"ooo",IF(Z235&gt;AA235,Y235,""))</f>
        <v/>
      </c>
      <c r="AI235" s="216">
        <f>C235</f>
        <v>42172</v>
      </c>
      <c r="AL235" s="217" t="str">
        <f>IF(OR(X235=Kedvenc!$C$43,Y235=Kedvenc!$C$43),W235,"")</f>
        <v/>
      </c>
      <c r="AM235" s="218" t="str">
        <f t="shared" ref="AM235:AM246" si="187">IF(AL235="","",U235)</f>
        <v/>
      </c>
      <c r="AQ235" s="245"/>
      <c r="AR235" s="245"/>
      <c r="AS235" s="245"/>
      <c r="AT235" s="245"/>
      <c r="BB235" s="285" t="str">
        <f>C235&amp;D235</f>
        <v>4217219:00 – A pálya</v>
      </c>
      <c r="BC235" s="284">
        <f>COUNTIF($BB$43:$BB$383,BB235)</f>
        <v>1</v>
      </c>
      <c r="BD235" s="512" t="str">
        <f>U235</f>
        <v>CarbonászK&amp;H</v>
      </c>
    </row>
    <row r="236" spans="1:57" ht="14.25" customHeight="1" x14ac:dyDescent="0.2">
      <c r="A236" s="842"/>
      <c r="C236" s="255">
        <v>42172</v>
      </c>
      <c r="D236" s="255" t="s">
        <v>498</v>
      </c>
      <c r="E236" s="265" t="s">
        <v>484</v>
      </c>
      <c r="F236" s="272">
        <v>1</v>
      </c>
      <c r="G236" s="200" t="s">
        <v>247</v>
      </c>
      <c r="H236" s="273">
        <v>1</v>
      </c>
      <c r="I236" s="266" t="s">
        <v>489</v>
      </c>
      <c r="J236" s="207"/>
      <c r="K236" s="268"/>
      <c r="L236" s="225"/>
      <c r="M236" s="226"/>
      <c r="N236" s="209"/>
      <c r="O236" s="174"/>
      <c r="U236" s="210" t="str">
        <f t="shared" si="175"/>
        <v>Bakafogó-Honvéd-Sashegy SEÉlelmesek</v>
      </c>
      <c r="V236" s="211" t="b">
        <f t="shared" si="176"/>
        <v>1</v>
      </c>
      <c r="W236" s="210">
        <f t="shared" ref="W236:W246" si="188">W235</f>
        <v>13</v>
      </c>
      <c r="X236" s="210" t="str">
        <f t="shared" si="177"/>
        <v>Bakafogó-Honvéd-Sashegy SE</v>
      </c>
      <c r="Y236" s="210" t="str">
        <f t="shared" si="178"/>
        <v>Élelmesek</v>
      </c>
      <c r="Z236" s="212">
        <f t="shared" si="179"/>
        <v>1</v>
      </c>
      <c r="AA236" s="210">
        <f t="shared" si="180"/>
        <v>1</v>
      </c>
      <c r="AB236" s="213"/>
      <c r="AC236" s="214" t="str">
        <f t="shared" si="181"/>
        <v/>
      </c>
      <c r="AD236" s="214" t="str">
        <f t="shared" si="182"/>
        <v>Bakafogó-Honvéd-Sashegy SE</v>
      </c>
      <c r="AE236" s="215" t="str">
        <f t="shared" si="183"/>
        <v/>
      </c>
      <c r="AF236" s="214" t="str">
        <f t="shared" si="184"/>
        <v/>
      </c>
      <c r="AG236" s="214" t="str">
        <f t="shared" si="185"/>
        <v>Élelmesek</v>
      </c>
      <c r="AH236" s="215" t="str">
        <f t="shared" si="186"/>
        <v/>
      </c>
      <c r="AI236" s="216">
        <f t="shared" si="144"/>
        <v>42172</v>
      </c>
      <c r="AL236" s="217" t="str">
        <f>IF(OR(X236=Kedvenc!$C$43,Y236=Kedvenc!$C$43),W236,"")</f>
        <v/>
      </c>
      <c r="AM236" s="218" t="str">
        <f t="shared" si="187"/>
        <v/>
      </c>
      <c r="BB236" s="285" t="str">
        <f>C236&amp;D236</f>
        <v>4217219:45 – A pálya</v>
      </c>
      <c r="BC236" s="284">
        <f>COUNTIF($BB$43:$BB$383,BB236)</f>
        <v>1</v>
      </c>
      <c r="BD236" s="512" t="str">
        <f>U236</f>
        <v>Bakafogó-Honvéd-Sashegy SEÉlelmesek</v>
      </c>
    </row>
    <row r="237" spans="1:57" ht="14.25" customHeight="1" x14ac:dyDescent="0.2">
      <c r="A237" s="842"/>
      <c r="C237" s="255">
        <v>42172</v>
      </c>
      <c r="D237" s="255" t="s">
        <v>499</v>
      </c>
      <c r="E237" s="265" t="s">
        <v>490</v>
      </c>
      <c r="F237" s="272">
        <v>5</v>
      </c>
      <c r="G237" s="200" t="s">
        <v>247</v>
      </c>
      <c r="H237" s="273">
        <v>0</v>
      </c>
      <c r="I237" s="266" t="s">
        <v>487</v>
      </c>
      <c r="J237" s="207"/>
      <c r="K237" s="268"/>
      <c r="L237" s="225"/>
      <c r="M237" s="226"/>
      <c r="N237" s="209"/>
      <c r="O237" s="174"/>
      <c r="U237" s="210" t="str">
        <f t="shared" si="175"/>
        <v>Hercules-LudovikaBőrdíszmű</v>
      </c>
      <c r="V237" s="211" t="b">
        <f t="shared" si="176"/>
        <v>1</v>
      </c>
      <c r="W237" s="210">
        <f t="shared" si="188"/>
        <v>13</v>
      </c>
      <c r="X237" s="210" t="str">
        <f t="shared" si="177"/>
        <v>Hercules-Ludovika</v>
      </c>
      <c r="Y237" s="210" t="str">
        <f t="shared" si="178"/>
        <v>Bőrdíszmű</v>
      </c>
      <c r="Z237" s="212">
        <f t="shared" si="179"/>
        <v>5</v>
      </c>
      <c r="AA237" s="210">
        <f t="shared" si="180"/>
        <v>0</v>
      </c>
      <c r="AB237" s="213"/>
      <c r="AC237" s="214" t="str">
        <f t="shared" si="181"/>
        <v>Hercules-Ludovika</v>
      </c>
      <c r="AD237" s="214" t="str">
        <f t="shared" si="182"/>
        <v/>
      </c>
      <c r="AE237" s="215" t="str">
        <f t="shared" si="183"/>
        <v/>
      </c>
      <c r="AF237" s="214" t="str">
        <f t="shared" si="184"/>
        <v/>
      </c>
      <c r="AG237" s="214" t="str">
        <f t="shared" si="185"/>
        <v/>
      </c>
      <c r="AH237" s="215" t="str">
        <f t="shared" si="186"/>
        <v>Bőrdíszmű</v>
      </c>
      <c r="AI237" s="216">
        <f t="shared" si="144"/>
        <v>42172</v>
      </c>
      <c r="AL237" s="217" t="str">
        <f>IF(OR(X237=Kedvenc!$C$43,Y237=Kedvenc!$C$43),W237,"")</f>
        <v/>
      </c>
      <c r="AM237" s="218" t="str">
        <f t="shared" si="187"/>
        <v/>
      </c>
      <c r="BB237" s="285" t="str">
        <f>C237&amp;D237</f>
        <v>4217220:30 – A pálya</v>
      </c>
      <c r="BC237" s="284">
        <f>COUNTIF($BB$43:$BB$383,BB237)</f>
        <v>1</v>
      </c>
      <c r="BD237" s="512" t="str">
        <f>U237</f>
        <v>Hercules-LudovikaBőrdíszmű</v>
      </c>
    </row>
    <row r="238" spans="1:57" ht="14.25" customHeight="1" x14ac:dyDescent="0.2">
      <c r="A238" s="842"/>
      <c r="C238" s="255">
        <v>42242</v>
      </c>
      <c r="D238" s="255" t="s">
        <v>502</v>
      </c>
      <c r="E238" s="265" t="s">
        <v>492</v>
      </c>
      <c r="F238" s="272">
        <v>1</v>
      </c>
      <c r="G238" s="200" t="s">
        <v>247</v>
      </c>
      <c r="H238" s="273">
        <v>4</v>
      </c>
      <c r="I238" s="266" t="s">
        <v>485</v>
      </c>
      <c r="J238" s="207"/>
      <c r="K238" s="268" t="s">
        <v>631</v>
      </c>
      <c r="L238" s="225"/>
      <c r="M238" s="226"/>
      <c r="N238" s="209"/>
      <c r="O238" s="174"/>
      <c r="U238" s="210" t="str">
        <f t="shared" si="175"/>
        <v>Royal Guard'sBBK</v>
      </c>
      <c r="V238" s="211" t="b">
        <f t="shared" si="176"/>
        <v>1</v>
      </c>
      <c r="W238" s="210">
        <f t="shared" si="188"/>
        <v>13</v>
      </c>
      <c r="X238" s="210" t="str">
        <f t="shared" si="177"/>
        <v>Royal Guard's</v>
      </c>
      <c r="Y238" s="210" t="str">
        <f t="shared" si="178"/>
        <v>BBK</v>
      </c>
      <c r="Z238" s="212">
        <f t="shared" si="179"/>
        <v>1</v>
      </c>
      <c r="AA238" s="210">
        <f t="shared" si="180"/>
        <v>4</v>
      </c>
      <c r="AB238" s="213"/>
      <c r="AC238" s="214" t="str">
        <f t="shared" si="181"/>
        <v/>
      </c>
      <c r="AD238" s="214" t="str">
        <f t="shared" si="182"/>
        <v/>
      </c>
      <c r="AE238" s="215" t="str">
        <f t="shared" si="183"/>
        <v>Royal Guard's</v>
      </c>
      <c r="AF238" s="214" t="str">
        <f t="shared" si="184"/>
        <v>BBK</v>
      </c>
      <c r="AG238" s="214" t="str">
        <f t="shared" si="185"/>
        <v/>
      </c>
      <c r="AH238" s="215" t="str">
        <f t="shared" si="186"/>
        <v/>
      </c>
      <c r="AI238" s="216">
        <f t="shared" si="144"/>
        <v>42242</v>
      </c>
      <c r="AL238" s="217" t="str">
        <f>IF(OR(X238=Kedvenc!$C$43,Y238=Kedvenc!$C$43),W238,"")</f>
        <v/>
      </c>
      <c r="AM238" s="218" t="str">
        <f t="shared" si="187"/>
        <v/>
      </c>
      <c r="AP238" s="245"/>
      <c r="AQ238" s="245"/>
      <c r="AR238" s="245"/>
      <c r="AS238" s="245"/>
      <c r="AT238" s="245"/>
      <c r="AU238" s="245"/>
      <c r="AV238" s="245"/>
      <c r="AW238" s="245"/>
      <c r="AX238" s="245"/>
      <c r="AY238" s="245"/>
      <c r="BA238" s="245"/>
      <c r="BB238" s="285" t="str">
        <f>C238&amp;D238</f>
        <v>4224220:30 – B pálya</v>
      </c>
      <c r="BC238" s="284">
        <f>COUNTIF($BB$43:$BB$383,BB238)</f>
        <v>1</v>
      </c>
      <c r="BD238" s="512" t="str">
        <f>U238</f>
        <v>Royal Guard'sBBK</v>
      </c>
      <c r="BE238" s="245"/>
    </row>
    <row r="239" spans="1:57" ht="14.25" customHeight="1" x14ac:dyDescent="0.2">
      <c r="A239" s="842"/>
      <c r="C239" s="255">
        <v>42256</v>
      </c>
      <c r="D239" s="255" t="s">
        <v>502</v>
      </c>
      <c r="E239" s="265" t="s">
        <v>486</v>
      </c>
      <c r="F239" s="272">
        <v>2</v>
      </c>
      <c r="G239" s="200" t="s">
        <v>247</v>
      </c>
      <c r="H239" s="273">
        <v>1</v>
      </c>
      <c r="I239" s="266" t="s">
        <v>494</v>
      </c>
      <c r="J239" s="223"/>
      <c r="K239" s="268" t="s">
        <v>632</v>
      </c>
      <c r="L239" s="225"/>
      <c r="M239" s="226"/>
      <c r="N239" s="209"/>
      <c r="O239" s="174"/>
      <c r="P239" s="209"/>
      <c r="Q239" s="209"/>
      <c r="R239" s="209"/>
      <c r="S239" s="209"/>
      <c r="U239" s="210" t="str">
        <f t="shared" si="175"/>
        <v>BHDZrínyigyöngye</v>
      </c>
      <c r="V239" s="211" t="b">
        <f t="shared" si="176"/>
        <v>1</v>
      </c>
      <c r="W239" s="210">
        <f t="shared" si="188"/>
        <v>13</v>
      </c>
      <c r="X239" s="210" t="str">
        <f t="shared" si="177"/>
        <v>BHD</v>
      </c>
      <c r="Y239" s="210" t="str">
        <f t="shared" si="178"/>
        <v>Zrínyigyöngye</v>
      </c>
      <c r="Z239" s="212">
        <f t="shared" si="179"/>
        <v>2</v>
      </c>
      <c r="AA239" s="210">
        <f t="shared" si="180"/>
        <v>1</v>
      </c>
      <c r="AB239" s="213"/>
      <c r="AC239" s="214" t="str">
        <f t="shared" si="181"/>
        <v>BHD</v>
      </c>
      <c r="AD239" s="214" t="str">
        <f t="shared" si="182"/>
        <v/>
      </c>
      <c r="AE239" s="215" t="str">
        <f t="shared" si="183"/>
        <v/>
      </c>
      <c r="AF239" s="214" t="str">
        <f t="shared" si="184"/>
        <v/>
      </c>
      <c r="AG239" s="214" t="str">
        <f t="shared" si="185"/>
        <v/>
      </c>
      <c r="AH239" s="215" t="str">
        <f t="shared" si="186"/>
        <v>Zrínyigyöngye</v>
      </c>
      <c r="AI239" s="216">
        <f t="shared" si="144"/>
        <v>42256</v>
      </c>
      <c r="AL239" s="217" t="str">
        <f>IF(OR(X239=Kedvenc!$C$43,Y239=Kedvenc!$C$43),W239,"")</f>
        <v/>
      </c>
      <c r="AM239" s="218" t="str">
        <f t="shared" si="187"/>
        <v/>
      </c>
      <c r="AP239" s="245"/>
      <c r="AQ239" s="245"/>
      <c r="AR239" s="245"/>
      <c r="AS239" s="245"/>
      <c r="AT239" s="245"/>
      <c r="AU239" s="245"/>
      <c r="AV239" s="245"/>
      <c r="AW239" s="245"/>
      <c r="AX239" s="245"/>
      <c r="AY239" s="245"/>
      <c r="BA239" s="245"/>
      <c r="BB239" s="285" t="str">
        <f>C239&amp;D239</f>
        <v>4225620:30 – B pálya</v>
      </c>
      <c r="BC239" s="284">
        <f>COUNTIF($BB$43:$BB$383,BB239)</f>
        <v>1</v>
      </c>
      <c r="BD239" s="512" t="str">
        <f>U239</f>
        <v>BHDZrínyigyöngye</v>
      </c>
      <c r="BE239" s="245"/>
    </row>
    <row r="240" spans="1:57" ht="14.25" customHeight="1" x14ac:dyDescent="0.2">
      <c r="A240" s="842"/>
      <c r="C240" s="278"/>
      <c r="D240" s="278"/>
      <c r="E240" s="275" t="s">
        <v>493</v>
      </c>
      <c r="F240" s="275"/>
      <c r="G240" s="276"/>
      <c r="H240" s="277"/>
      <c r="I240" s="277" t="s">
        <v>495</v>
      </c>
      <c r="J240" s="223"/>
      <c r="K240" s="268"/>
      <c r="L240" s="225"/>
      <c r="M240" s="226"/>
      <c r="N240" s="209"/>
      <c r="O240" s="174"/>
      <c r="P240" s="209"/>
      <c r="Q240" s="209"/>
      <c r="R240" s="209"/>
      <c r="S240" s="209"/>
      <c r="U240" s="210" t="str">
        <f t="shared" si="175"/>
        <v>Vakanaszabadnapos</v>
      </c>
      <c r="V240" s="211" t="b">
        <f t="shared" si="176"/>
        <v>0</v>
      </c>
      <c r="W240" s="210">
        <f t="shared" si="188"/>
        <v>13</v>
      </c>
      <c r="X240" s="210" t="str">
        <f t="shared" si="177"/>
        <v>Vakana</v>
      </c>
      <c r="Y240" s="210" t="str">
        <f t="shared" si="178"/>
        <v>szabadnapos</v>
      </c>
      <c r="Z240" s="212" t="str">
        <f t="shared" si="179"/>
        <v/>
      </c>
      <c r="AA240" s="210" t="str">
        <f t="shared" si="180"/>
        <v/>
      </c>
      <c r="AB240" s="213"/>
      <c r="AC240" s="214" t="str">
        <f t="shared" si="181"/>
        <v/>
      </c>
      <c r="AD240" s="214" t="str">
        <f t="shared" si="182"/>
        <v/>
      </c>
      <c r="AE240" s="215" t="str">
        <f t="shared" si="183"/>
        <v/>
      </c>
      <c r="AF240" s="214" t="str">
        <f t="shared" si="184"/>
        <v/>
      </c>
      <c r="AG240" s="214" t="str">
        <f t="shared" si="185"/>
        <v/>
      </c>
      <c r="AH240" s="215" t="str">
        <f t="shared" si="186"/>
        <v/>
      </c>
      <c r="AI240" s="750">
        <f>AI235</f>
        <v>42172</v>
      </c>
      <c r="AL240" s="217" t="str">
        <f>IF(OR(X240=Kedvenc!$C$43,Y240=Kedvenc!$C$43),W240,"")</f>
        <v/>
      </c>
      <c r="AM240" s="218" t="str">
        <f t="shared" si="187"/>
        <v/>
      </c>
      <c r="AP240" s="245"/>
      <c r="AQ240" s="245"/>
      <c r="AR240" s="245"/>
      <c r="AS240" s="245"/>
      <c r="AT240" s="245"/>
      <c r="AU240" s="245"/>
      <c r="AV240" s="245"/>
      <c r="AW240" s="245"/>
      <c r="AX240" s="245"/>
      <c r="AY240" s="245"/>
      <c r="BA240" s="245"/>
      <c r="BE240" s="245"/>
    </row>
    <row r="241" spans="1:57" ht="14.25" hidden="1" customHeight="1" x14ac:dyDescent="0.2">
      <c r="A241" s="842"/>
      <c r="C241" s="278"/>
      <c r="D241" s="278"/>
      <c r="E241" s="265"/>
      <c r="F241" s="265"/>
      <c r="H241" s="266"/>
      <c r="I241" s="266"/>
      <c r="J241" s="223"/>
      <c r="K241" s="268"/>
      <c r="L241" s="225"/>
      <c r="M241" s="226"/>
      <c r="N241" s="209"/>
      <c r="O241" s="174"/>
      <c r="P241" s="209"/>
      <c r="Q241" s="209"/>
      <c r="R241" s="209"/>
      <c r="S241" s="209"/>
      <c r="U241" s="210" t="str">
        <f t="shared" si="175"/>
        <v>00</v>
      </c>
      <c r="V241" s="211" t="b">
        <f t="shared" si="176"/>
        <v>0</v>
      </c>
      <c r="W241" s="210">
        <f t="shared" si="188"/>
        <v>13</v>
      </c>
      <c r="X241" s="210">
        <f t="shared" si="177"/>
        <v>0</v>
      </c>
      <c r="Y241" s="210">
        <f t="shared" si="178"/>
        <v>0</v>
      </c>
      <c r="Z241" s="212" t="str">
        <f t="shared" si="179"/>
        <v/>
      </c>
      <c r="AA241" s="210" t="str">
        <f t="shared" si="180"/>
        <v/>
      </c>
      <c r="AB241" s="213"/>
      <c r="AC241" s="214" t="str">
        <f t="shared" si="181"/>
        <v/>
      </c>
      <c r="AD241" s="214" t="str">
        <f t="shared" si="182"/>
        <v/>
      </c>
      <c r="AE241" s="215" t="str">
        <f t="shared" si="183"/>
        <v/>
      </c>
      <c r="AF241" s="214" t="str">
        <f t="shared" si="184"/>
        <v/>
      </c>
      <c r="AG241" s="214" t="str">
        <f t="shared" si="185"/>
        <v/>
      </c>
      <c r="AH241" s="215" t="str">
        <f t="shared" si="186"/>
        <v/>
      </c>
      <c r="AI241" s="216">
        <f t="shared" si="144"/>
        <v>0</v>
      </c>
      <c r="AL241" s="217" t="str">
        <f>IF(OR(X241=Kedvenc!$C$43,Y241=Kedvenc!$C$43),W241,"")</f>
        <v/>
      </c>
      <c r="AM241" s="218" t="str">
        <f t="shared" si="187"/>
        <v/>
      </c>
      <c r="AP241" s="245"/>
      <c r="AQ241" s="245"/>
      <c r="AR241" s="245"/>
      <c r="AS241" s="245"/>
      <c r="AT241" s="245"/>
      <c r="AU241" s="245"/>
      <c r="AV241" s="245"/>
      <c r="AW241" s="245"/>
      <c r="AX241" s="245"/>
      <c r="AY241" s="245"/>
      <c r="BA241" s="245"/>
      <c r="BE241" s="245"/>
    </row>
    <row r="242" spans="1:57" ht="14.25" hidden="1" customHeight="1" x14ac:dyDescent="0.2">
      <c r="A242" s="842"/>
      <c r="C242" s="278"/>
      <c r="D242" s="278"/>
      <c r="E242" s="265"/>
      <c r="F242" s="265"/>
      <c r="H242" s="266"/>
      <c r="I242" s="266"/>
      <c r="J242" s="223"/>
      <c r="K242" s="268"/>
      <c r="L242" s="225"/>
      <c r="M242" s="226"/>
      <c r="N242" s="209"/>
      <c r="O242" s="174"/>
      <c r="P242" s="209"/>
      <c r="Q242" s="209"/>
      <c r="R242" s="209"/>
      <c r="S242" s="209"/>
      <c r="U242" s="210" t="str">
        <f t="shared" si="175"/>
        <v>00</v>
      </c>
      <c r="V242" s="211" t="b">
        <f t="shared" si="176"/>
        <v>0</v>
      </c>
      <c r="W242" s="210">
        <f t="shared" si="188"/>
        <v>13</v>
      </c>
      <c r="X242" s="210">
        <f t="shared" si="177"/>
        <v>0</v>
      </c>
      <c r="Y242" s="210">
        <f t="shared" si="178"/>
        <v>0</v>
      </c>
      <c r="Z242" s="212" t="str">
        <f t="shared" si="179"/>
        <v/>
      </c>
      <c r="AA242" s="210" t="str">
        <f t="shared" si="180"/>
        <v/>
      </c>
      <c r="AB242" s="213"/>
      <c r="AC242" s="214" t="str">
        <f t="shared" si="181"/>
        <v/>
      </c>
      <c r="AD242" s="214" t="str">
        <f t="shared" si="182"/>
        <v/>
      </c>
      <c r="AE242" s="215" t="str">
        <f t="shared" si="183"/>
        <v/>
      </c>
      <c r="AF242" s="214" t="str">
        <f t="shared" si="184"/>
        <v/>
      </c>
      <c r="AG242" s="214" t="str">
        <f t="shared" si="185"/>
        <v/>
      </c>
      <c r="AH242" s="215" t="str">
        <f t="shared" si="186"/>
        <v/>
      </c>
      <c r="AI242" s="216">
        <f t="shared" si="144"/>
        <v>0</v>
      </c>
      <c r="AL242" s="217" t="str">
        <f>IF(OR(X242=Kedvenc!$C$43,Y242=Kedvenc!$C$43),W242,"")</f>
        <v/>
      </c>
      <c r="AM242" s="218" t="str">
        <f t="shared" si="187"/>
        <v/>
      </c>
      <c r="AP242" s="245"/>
      <c r="AQ242" s="245"/>
      <c r="AR242" s="245"/>
      <c r="AS242" s="245"/>
      <c r="AT242" s="245"/>
      <c r="AU242" s="245"/>
      <c r="AV242" s="245"/>
      <c r="AW242" s="245"/>
      <c r="AX242" s="245"/>
      <c r="AY242" s="245"/>
      <c r="BA242" s="245"/>
      <c r="BE242" s="245"/>
    </row>
    <row r="243" spans="1:57" ht="14.25" hidden="1" customHeight="1" x14ac:dyDescent="0.2">
      <c r="A243" s="842"/>
      <c r="C243" s="278"/>
      <c r="D243" s="278"/>
      <c r="E243" s="265"/>
      <c r="F243" s="265"/>
      <c r="H243" s="266"/>
      <c r="I243" s="266"/>
      <c r="J243" s="223"/>
      <c r="K243" s="268"/>
      <c r="L243" s="225"/>
      <c r="M243" s="226"/>
      <c r="N243" s="209"/>
      <c r="O243" s="174"/>
      <c r="P243" s="209"/>
      <c r="Q243" s="209"/>
      <c r="R243" s="209"/>
      <c r="S243" s="209"/>
      <c r="U243" s="210" t="str">
        <f t="shared" si="175"/>
        <v>00</v>
      </c>
      <c r="V243" s="211" t="b">
        <f t="shared" si="176"/>
        <v>0</v>
      </c>
      <c r="W243" s="210">
        <f t="shared" si="188"/>
        <v>13</v>
      </c>
      <c r="X243" s="210">
        <f t="shared" si="177"/>
        <v>0</v>
      </c>
      <c r="Y243" s="210">
        <f t="shared" si="178"/>
        <v>0</v>
      </c>
      <c r="Z243" s="212" t="str">
        <f t="shared" si="179"/>
        <v/>
      </c>
      <c r="AA243" s="210" t="str">
        <f t="shared" si="180"/>
        <v/>
      </c>
      <c r="AB243" s="213"/>
      <c r="AC243" s="214" t="str">
        <f t="shared" si="181"/>
        <v/>
      </c>
      <c r="AD243" s="214" t="str">
        <f t="shared" si="182"/>
        <v/>
      </c>
      <c r="AE243" s="215" t="str">
        <f t="shared" si="183"/>
        <v/>
      </c>
      <c r="AF243" s="214" t="str">
        <f t="shared" si="184"/>
        <v/>
      </c>
      <c r="AG243" s="214" t="str">
        <f t="shared" si="185"/>
        <v/>
      </c>
      <c r="AH243" s="215" t="str">
        <f t="shared" si="186"/>
        <v/>
      </c>
      <c r="AI243" s="216">
        <f t="shared" si="144"/>
        <v>0</v>
      </c>
      <c r="AL243" s="217" t="str">
        <f>IF(OR(X243=Kedvenc!$C$43,Y243=Kedvenc!$C$43),W243,"")</f>
        <v/>
      </c>
      <c r="AM243" s="218" t="str">
        <f t="shared" si="187"/>
        <v/>
      </c>
      <c r="AP243" s="245"/>
      <c r="AQ243" s="245"/>
      <c r="AR243" s="245"/>
      <c r="AS243" s="245"/>
      <c r="AT243" s="245"/>
      <c r="AU243" s="245"/>
      <c r="AV243" s="245"/>
      <c r="AW243" s="245"/>
      <c r="AX243" s="245"/>
      <c r="AY243" s="245"/>
      <c r="BA243" s="245"/>
      <c r="BE243" s="245"/>
    </row>
    <row r="244" spans="1:57" ht="14.25" hidden="1" customHeight="1" x14ac:dyDescent="0.2">
      <c r="A244" s="842"/>
      <c r="C244" s="278"/>
      <c r="D244" s="278"/>
      <c r="E244" s="265"/>
      <c r="F244" s="265"/>
      <c r="H244" s="266"/>
      <c r="I244" s="266"/>
      <c r="J244" s="223"/>
      <c r="K244" s="268"/>
      <c r="L244" s="225"/>
      <c r="M244" s="226"/>
      <c r="N244" s="209"/>
      <c r="O244" s="174"/>
      <c r="P244" s="209"/>
      <c r="Q244" s="209"/>
      <c r="R244" s="209"/>
      <c r="S244" s="209"/>
      <c r="U244" s="210" t="str">
        <f t="shared" si="175"/>
        <v>00</v>
      </c>
      <c r="V244" s="211" t="b">
        <f t="shared" si="176"/>
        <v>0</v>
      </c>
      <c r="W244" s="210">
        <f t="shared" si="188"/>
        <v>13</v>
      </c>
      <c r="X244" s="210">
        <f t="shared" si="177"/>
        <v>0</v>
      </c>
      <c r="Y244" s="210">
        <f t="shared" si="178"/>
        <v>0</v>
      </c>
      <c r="Z244" s="212" t="str">
        <f t="shared" si="179"/>
        <v/>
      </c>
      <c r="AA244" s="210" t="str">
        <f t="shared" si="180"/>
        <v/>
      </c>
      <c r="AB244" s="213"/>
      <c r="AC244" s="214" t="str">
        <f t="shared" si="181"/>
        <v/>
      </c>
      <c r="AD244" s="214" t="str">
        <f t="shared" si="182"/>
        <v/>
      </c>
      <c r="AE244" s="215" t="str">
        <f t="shared" si="183"/>
        <v/>
      </c>
      <c r="AF244" s="214" t="str">
        <f t="shared" si="184"/>
        <v/>
      </c>
      <c r="AG244" s="214" t="str">
        <f t="shared" si="185"/>
        <v/>
      </c>
      <c r="AH244" s="215" t="str">
        <f t="shared" si="186"/>
        <v/>
      </c>
      <c r="AI244" s="216">
        <f t="shared" si="144"/>
        <v>0</v>
      </c>
      <c r="AL244" s="217" t="str">
        <f>IF(OR(X244=Kedvenc!$C$43,Y244=Kedvenc!$C$43),W244,"")</f>
        <v/>
      </c>
      <c r="AM244" s="218" t="str">
        <f t="shared" si="187"/>
        <v/>
      </c>
      <c r="AP244" s="245"/>
      <c r="AQ244" s="245"/>
      <c r="AR244" s="245"/>
      <c r="AS244" s="245"/>
      <c r="AT244" s="245"/>
      <c r="AU244" s="245"/>
      <c r="AV244" s="245"/>
      <c r="AW244" s="245"/>
      <c r="AX244" s="245"/>
      <c r="AY244" s="245"/>
      <c r="BA244" s="245"/>
      <c r="BE244" s="245"/>
    </row>
    <row r="245" spans="1:57" ht="14.25" hidden="1" customHeight="1" x14ac:dyDescent="0.2">
      <c r="A245" s="842"/>
      <c r="C245" s="278"/>
      <c r="D245" s="278"/>
      <c r="E245" s="265"/>
      <c r="F245" s="265"/>
      <c r="H245" s="266"/>
      <c r="I245" s="266"/>
      <c r="J245" s="223"/>
      <c r="K245" s="268"/>
      <c r="L245" s="225"/>
      <c r="M245" s="226"/>
      <c r="N245" s="209"/>
      <c r="O245" s="174"/>
      <c r="P245" s="209"/>
      <c r="Q245" s="209"/>
      <c r="R245" s="209"/>
      <c r="S245" s="209"/>
      <c r="U245" s="210" t="str">
        <f t="shared" si="175"/>
        <v>00</v>
      </c>
      <c r="V245" s="211" t="b">
        <f t="shared" si="176"/>
        <v>0</v>
      </c>
      <c r="W245" s="210">
        <f t="shared" si="188"/>
        <v>13</v>
      </c>
      <c r="X245" s="210">
        <f t="shared" si="177"/>
        <v>0</v>
      </c>
      <c r="Y245" s="210">
        <f t="shared" si="178"/>
        <v>0</v>
      </c>
      <c r="Z245" s="212" t="str">
        <f t="shared" si="179"/>
        <v/>
      </c>
      <c r="AA245" s="210" t="str">
        <f t="shared" si="180"/>
        <v/>
      </c>
      <c r="AB245" s="213"/>
      <c r="AC245" s="214" t="str">
        <f t="shared" si="181"/>
        <v/>
      </c>
      <c r="AD245" s="214" t="str">
        <f t="shared" si="182"/>
        <v/>
      </c>
      <c r="AE245" s="215" t="str">
        <f t="shared" si="183"/>
        <v/>
      </c>
      <c r="AF245" s="214" t="str">
        <f t="shared" si="184"/>
        <v/>
      </c>
      <c r="AG245" s="214" t="str">
        <f t="shared" si="185"/>
        <v/>
      </c>
      <c r="AH245" s="215" t="str">
        <f t="shared" si="186"/>
        <v/>
      </c>
      <c r="AI245" s="216">
        <f t="shared" si="144"/>
        <v>0</v>
      </c>
      <c r="AL245" s="217" t="str">
        <f>IF(OR(X245=Kedvenc!$C$43,Y245=Kedvenc!$C$43),W245,"")</f>
        <v/>
      </c>
      <c r="AM245" s="218" t="str">
        <f t="shared" si="187"/>
        <v/>
      </c>
      <c r="AP245" s="245"/>
      <c r="AQ245" s="245"/>
      <c r="AR245" s="245"/>
      <c r="AS245" s="245"/>
      <c r="AT245" s="245"/>
      <c r="AU245" s="245"/>
      <c r="AV245" s="245"/>
      <c r="AW245" s="245"/>
      <c r="AX245" s="245"/>
      <c r="AY245" s="245"/>
      <c r="BA245" s="245"/>
      <c r="BE245" s="245"/>
    </row>
    <row r="246" spans="1:57" ht="14.25" hidden="1" customHeight="1" x14ac:dyDescent="0.2">
      <c r="A246" s="842"/>
      <c r="C246" s="278"/>
      <c r="D246" s="278"/>
      <c r="E246" s="265"/>
      <c r="F246" s="265"/>
      <c r="H246" s="266"/>
      <c r="I246" s="266"/>
      <c r="J246" s="169"/>
      <c r="K246" s="268"/>
      <c r="L246" s="228"/>
      <c r="M246" s="228"/>
      <c r="N246" s="228"/>
      <c r="O246" s="174"/>
      <c r="P246" s="209"/>
      <c r="Q246" s="209"/>
      <c r="R246" s="209"/>
      <c r="S246" s="209"/>
      <c r="U246" s="210" t="str">
        <f t="shared" si="175"/>
        <v>00</v>
      </c>
      <c r="V246" s="211" t="b">
        <f t="shared" si="176"/>
        <v>0</v>
      </c>
      <c r="W246" s="210">
        <f t="shared" si="188"/>
        <v>13</v>
      </c>
      <c r="X246" s="210">
        <f t="shared" si="177"/>
        <v>0</v>
      </c>
      <c r="Y246" s="210">
        <f t="shared" si="178"/>
        <v>0</v>
      </c>
      <c r="Z246" s="212" t="str">
        <f t="shared" si="179"/>
        <v/>
      </c>
      <c r="AA246" s="210" t="str">
        <f t="shared" si="180"/>
        <v/>
      </c>
      <c r="AB246" s="213"/>
      <c r="AC246" s="214" t="str">
        <f t="shared" si="181"/>
        <v/>
      </c>
      <c r="AD246" s="214" t="str">
        <f t="shared" si="182"/>
        <v/>
      </c>
      <c r="AE246" s="215" t="str">
        <f t="shared" si="183"/>
        <v/>
      </c>
      <c r="AF246" s="214" t="str">
        <f t="shared" si="184"/>
        <v/>
      </c>
      <c r="AG246" s="214" t="str">
        <f t="shared" si="185"/>
        <v/>
      </c>
      <c r="AH246" s="215" t="str">
        <f t="shared" si="186"/>
        <v/>
      </c>
      <c r="AI246" s="216">
        <f t="shared" si="144"/>
        <v>0</v>
      </c>
      <c r="AL246" s="217" t="str">
        <f>IF(OR(X246=Kedvenc!$C$43,Y246=Kedvenc!$C$43),W246,"")</f>
        <v/>
      </c>
      <c r="AM246" s="218" t="str">
        <f t="shared" si="187"/>
        <v/>
      </c>
      <c r="AP246" s="245"/>
      <c r="AQ246" s="245"/>
      <c r="AR246" s="245"/>
      <c r="AS246" s="245"/>
      <c r="AT246" s="245"/>
      <c r="AU246" s="245"/>
      <c r="AV246" s="245"/>
      <c r="AW246" s="245"/>
      <c r="AX246" s="245"/>
      <c r="AY246" s="245"/>
      <c r="BA246" s="245"/>
      <c r="BE246" s="245"/>
    </row>
    <row r="247" spans="1:57" ht="14.25" customHeight="1" x14ac:dyDescent="0.2">
      <c r="A247" s="842"/>
      <c r="E247" s="247"/>
      <c r="F247" s="248"/>
      <c r="G247" s="248"/>
      <c r="H247" s="248"/>
      <c r="I247" s="247"/>
      <c r="J247" s="172"/>
      <c r="K247" s="228"/>
      <c r="L247" s="228"/>
      <c r="M247" s="228"/>
      <c r="N247" s="228"/>
      <c r="O247" s="174"/>
      <c r="P247" s="209"/>
      <c r="Q247" s="209"/>
      <c r="R247" s="209"/>
      <c r="S247" s="209"/>
      <c r="W247" s="231"/>
      <c r="AC247" s="233"/>
      <c r="AD247" s="233"/>
      <c r="AE247" s="234"/>
      <c r="AF247" s="233"/>
      <c r="AG247" s="233"/>
      <c r="AH247" s="234"/>
      <c r="AI247" s="234"/>
      <c r="AP247" s="245"/>
      <c r="AQ247" s="245"/>
      <c r="AR247" s="245"/>
      <c r="AS247" s="245"/>
      <c r="AT247" s="245"/>
      <c r="AU247" s="245"/>
      <c r="AV247" s="245"/>
      <c r="AW247" s="245"/>
      <c r="AX247" s="245"/>
      <c r="AY247" s="245"/>
      <c r="BA247" s="245"/>
      <c r="BE247" s="245"/>
    </row>
    <row r="248" spans="1:57" ht="14.25" customHeight="1" x14ac:dyDescent="0.2">
      <c r="A248" s="842"/>
      <c r="E248" s="224"/>
      <c r="F248" s="225"/>
      <c r="G248" s="226"/>
      <c r="H248" s="209"/>
      <c r="I248" s="227"/>
      <c r="J248" s="169"/>
      <c r="K248" s="228"/>
      <c r="L248" s="225"/>
      <c r="M248" s="226"/>
      <c r="N248" s="209"/>
      <c r="O248" s="174"/>
      <c r="P248" s="209"/>
      <c r="Q248" s="209"/>
      <c r="R248" s="209"/>
      <c r="S248" s="209"/>
      <c r="W248" s="231"/>
      <c r="AC248" s="233"/>
      <c r="AD248" s="233"/>
      <c r="AE248" s="234"/>
      <c r="AF248" s="233"/>
      <c r="AG248" s="233"/>
      <c r="AH248" s="234"/>
      <c r="AI248" s="197"/>
      <c r="AP248" s="245"/>
      <c r="AQ248" s="245"/>
      <c r="AR248" s="245"/>
      <c r="AS248" s="245"/>
      <c r="AT248" s="245"/>
      <c r="AU248" s="245"/>
      <c r="AV248" s="245"/>
      <c r="AW248" s="245"/>
      <c r="AX248" s="245"/>
      <c r="AY248" s="245"/>
      <c r="BA248" s="245"/>
      <c r="BD248" s="245"/>
      <c r="BE248" s="245"/>
    </row>
    <row r="249" spans="1:57" ht="14.25" customHeight="1" x14ac:dyDescent="0.2">
      <c r="A249" s="842"/>
      <c r="B249" s="187"/>
      <c r="C249" s="269" t="str">
        <f>CONCATENATE(" ",AB251,"."," forduló  –")</f>
        <v xml:space="preserve"> 14. forduló  –</v>
      </c>
      <c r="D249" s="843">
        <f>VLOOKUP(AB251,ASZ!$AQ$59:$AS$104,2,FALSE)</f>
        <v>42179</v>
      </c>
      <c r="E249" s="843"/>
      <c r="F249" s="274"/>
      <c r="G249" s="274"/>
      <c r="H249" s="274"/>
      <c r="I249" s="270" t="str">
        <f>CONCATENATE(IF($AW$61,"pont: ","gól: "),SUM(F251:H262)," / átlag: ",TEXT(IF(COUNT(F251:H262)=0,"-",SUM(F251:H262)/COUNT(F251:H262)*2),"0,00"))</f>
        <v>gól: 27 / átlag: 5,40</v>
      </c>
      <c r="J249" s="190"/>
      <c r="K249" s="271" t="s">
        <v>285</v>
      </c>
      <c r="L249" s="192"/>
      <c r="U249" s="229"/>
      <c r="V249" s="230"/>
      <c r="W249" s="231"/>
      <c r="X249" s="231"/>
      <c r="Y249" s="231"/>
      <c r="Z249" s="232"/>
      <c r="AA249" s="231"/>
      <c r="AC249" s="197"/>
      <c r="AD249" s="197"/>
      <c r="AE249" s="197"/>
      <c r="AF249" s="197"/>
      <c r="AG249" s="197"/>
      <c r="AH249" s="197"/>
      <c r="AI249" s="197"/>
      <c r="AQ249" s="245"/>
      <c r="AR249" s="245"/>
      <c r="AS249" s="245"/>
      <c r="AT249" s="245"/>
    </row>
    <row r="250" spans="1:57" ht="9" customHeight="1" x14ac:dyDescent="0.2">
      <c r="A250" s="842"/>
      <c r="J250" s="169"/>
      <c r="K250" s="228"/>
      <c r="L250" s="225"/>
      <c r="M250" s="226"/>
      <c r="N250" s="209"/>
      <c r="O250" s="174"/>
      <c r="P250" s="209"/>
      <c r="Q250" s="209"/>
      <c r="R250" s="209"/>
      <c r="S250" s="209"/>
      <c r="AP250" s="245"/>
      <c r="AQ250" s="245"/>
      <c r="AR250" s="245"/>
      <c r="AS250" s="245"/>
      <c r="AT250" s="245"/>
      <c r="AU250" s="245"/>
      <c r="AV250" s="245"/>
      <c r="AW250" s="245"/>
      <c r="AX250" s="245"/>
      <c r="AY250" s="245"/>
      <c r="BA250" s="245"/>
      <c r="BE250" s="245"/>
    </row>
    <row r="251" spans="1:57" ht="14.25" customHeight="1" x14ac:dyDescent="0.2">
      <c r="A251" s="842"/>
      <c r="C251" s="255">
        <v>42179</v>
      </c>
      <c r="D251" s="255" t="s">
        <v>498</v>
      </c>
      <c r="E251" s="265" t="s">
        <v>485</v>
      </c>
      <c r="F251" s="272">
        <v>2</v>
      </c>
      <c r="G251" s="200" t="s">
        <v>247</v>
      </c>
      <c r="H251" s="273">
        <v>2</v>
      </c>
      <c r="I251" s="266" t="s">
        <v>494</v>
      </c>
      <c r="J251" s="207"/>
      <c r="K251" s="267"/>
      <c r="L251" s="225"/>
      <c r="M251" s="226"/>
      <c r="N251" s="209"/>
      <c r="O251" s="174"/>
      <c r="P251" s="209"/>
      <c r="Q251" s="209"/>
      <c r="R251" s="209"/>
      <c r="S251" s="209"/>
      <c r="U251" s="210" t="str">
        <f t="shared" ref="U251:U262" si="189">X251&amp;Y251</f>
        <v>BBKZrínyigyöngye</v>
      </c>
      <c r="V251" s="211" t="b">
        <f t="shared" ref="V251:V262" si="190">AND(F251&lt;&gt;"",H251&lt;&gt;"")</f>
        <v>1</v>
      </c>
      <c r="W251" s="210">
        <f>AB251</f>
        <v>14</v>
      </c>
      <c r="X251" s="210" t="str">
        <f t="shared" ref="X251:X262" si="191">E251</f>
        <v>BBK</v>
      </c>
      <c r="Y251" s="210" t="str">
        <f t="shared" ref="Y251:Y262" si="192">I251</f>
        <v>Zrínyigyöngye</v>
      </c>
      <c r="Z251" s="212">
        <f t="shared" ref="Z251:Z262" si="193">IF(V251,F251,"")</f>
        <v>2</v>
      </c>
      <c r="AA251" s="210">
        <f t="shared" ref="AA251:AA262" si="194">IF(V251,H251,"")</f>
        <v>2</v>
      </c>
      <c r="AB251" s="213">
        <f>IF(NOT(ASZTAB!$X$71),AB235+1,AB235+COUNTIF(AB219:AB250,AB235)-1)</f>
        <v>14</v>
      </c>
      <c r="AC251" s="214" t="str">
        <f t="shared" ref="AC251:AC262" si="195">IF(Z251&gt;AA251,X251,"")</f>
        <v/>
      </c>
      <c r="AD251" s="214" t="str">
        <f t="shared" ref="AD251:AD262" si="196">IF(AA251="","",IF(Z251=AA251,X251,""))</f>
        <v>BBK</v>
      </c>
      <c r="AE251" s="215" t="str">
        <f t="shared" ref="AE251:AE262" si="197">IF(AND($AW$61,Z251=0,AA251=20),X251&amp;"ooo",IF(Z251&lt;AA251,X251,""))</f>
        <v/>
      </c>
      <c r="AF251" s="214" t="str">
        <f t="shared" ref="AF251:AF262" si="198">IF(AA251&gt;Z251,Y251,"")</f>
        <v/>
      </c>
      <c r="AG251" s="214" t="str">
        <f t="shared" ref="AG251:AG262" si="199">IF(AA251="","",IF(Z251=AA251,Y251,""))</f>
        <v>Zrínyigyöngye</v>
      </c>
      <c r="AH251" s="215" t="str">
        <f t="shared" ref="AH251:AH262" si="200">IF(AND($AW$61,Z251=20,AA251=0),Y251&amp;"ooo",IF(Z251&gt;AA251,Y251,""))</f>
        <v/>
      </c>
      <c r="AI251" s="216">
        <f t="shared" ref="AI251:AI310" si="201">C251</f>
        <v>42179</v>
      </c>
      <c r="AL251" s="217" t="str">
        <f>IF(OR(X251=Kedvenc!$C$43,Y251=Kedvenc!$C$43),W251,"")</f>
        <v/>
      </c>
      <c r="AM251" s="218" t="str">
        <f t="shared" ref="AM251:AM262" si="202">IF(AL251="","",U251)</f>
        <v/>
      </c>
      <c r="AQ251" s="245"/>
      <c r="AR251" s="245"/>
      <c r="AS251" s="245"/>
      <c r="AT251" s="245"/>
      <c r="BB251" s="285" t="str">
        <f>C251&amp;D251</f>
        <v>4217919:45 – A pálya</v>
      </c>
      <c r="BC251" s="284">
        <f>COUNTIF($BB$43:$BB$383,BB251)</f>
        <v>1</v>
      </c>
      <c r="BD251" s="512" t="str">
        <f>U251</f>
        <v>BBKZrínyigyöngye</v>
      </c>
    </row>
    <row r="252" spans="1:57" ht="14.25" customHeight="1" x14ac:dyDescent="0.2">
      <c r="A252" s="842"/>
      <c r="C252" s="255">
        <v>42179</v>
      </c>
      <c r="D252" s="255" t="s">
        <v>499</v>
      </c>
      <c r="E252" s="265" t="s">
        <v>488</v>
      </c>
      <c r="F252" s="272">
        <v>4</v>
      </c>
      <c r="G252" s="200" t="s">
        <v>247</v>
      </c>
      <c r="H252" s="273">
        <v>1</v>
      </c>
      <c r="I252" s="266" t="s">
        <v>487</v>
      </c>
      <c r="J252" s="207"/>
      <c r="K252" s="268"/>
      <c r="L252" s="225"/>
      <c r="M252" s="226"/>
      <c r="N252" s="209"/>
      <c r="O252" s="174"/>
      <c r="U252" s="210" t="str">
        <f t="shared" si="189"/>
        <v>CarbonászBőrdíszmű</v>
      </c>
      <c r="V252" s="211" t="b">
        <f t="shared" si="190"/>
        <v>1</v>
      </c>
      <c r="W252" s="210">
        <f t="shared" ref="W252:W262" si="203">W251</f>
        <v>14</v>
      </c>
      <c r="X252" s="210" t="str">
        <f t="shared" si="191"/>
        <v>Carbonász</v>
      </c>
      <c r="Y252" s="210" t="str">
        <f t="shared" si="192"/>
        <v>Bőrdíszmű</v>
      </c>
      <c r="Z252" s="212">
        <f t="shared" si="193"/>
        <v>4</v>
      </c>
      <c r="AA252" s="210">
        <f t="shared" si="194"/>
        <v>1</v>
      </c>
      <c r="AB252" s="213"/>
      <c r="AC252" s="214" t="str">
        <f t="shared" si="195"/>
        <v>Carbonász</v>
      </c>
      <c r="AD252" s="214" t="str">
        <f t="shared" si="196"/>
        <v/>
      </c>
      <c r="AE252" s="215" t="str">
        <f t="shared" si="197"/>
        <v/>
      </c>
      <c r="AF252" s="214" t="str">
        <f t="shared" si="198"/>
        <v/>
      </c>
      <c r="AG252" s="214" t="str">
        <f t="shared" si="199"/>
        <v/>
      </c>
      <c r="AH252" s="215" t="str">
        <f t="shared" si="200"/>
        <v>Bőrdíszmű</v>
      </c>
      <c r="AI252" s="216">
        <f t="shared" si="201"/>
        <v>42179</v>
      </c>
      <c r="AL252" s="217" t="str">
        <f>IF(OR(X252=Kedvenc!$C$43,Y252=Kedvenc!$C$43),W252,"")</f>
        <v/>
      </c>
      <c r="AM252" s="218" t="str">
        <f t="shared" si="202"/>
        <v/>
      </c>
      <c r="BB252" s="285" t="str">
        <f>C252&amp;D252</f>
        <v>4217920:30 – A pálya</v>
      </c>
      <c r="BC252" s="284">
        <f>COUNTIF($BB$43:$BB$383,BB252)</f>
        <v>1</v>
      </c>
      <c r="BD252" s="512" t="str">
        <f>U252</f>
        <v>CarbonászBőrdíszmű</v>
      </c>
    </row>
    <row r="253" spans="1:57" ht="14.25" customHeight="1" x14ac:dyDescent="0.2">
      <c r="A253" s="842"/>
      <c r="C253" s="255">
        <v>42179</v>
      </c>
      <c r="D253" s="255" t="s">
        <v>501</v>
      </c>
      <c r="E253" s="265" t="s">
        <v>486</v>
      </c>
      <c r="F253" s="272">
        <v>5</v>
      </c>
      <c r="G253" s="200" t="s">
        <v>247</v>
      </c>
      <c r="H253" s="273">
        <v>1</v>
      </c>
      <c r="I253" s="266" t="s">
        <v>493</v>
      </c>
      <c r="J253" s="207"/>
      <c r="K253" s="268"/>
      <c r="L253" s="225"/>
      <c r="M253" s="226"/>
      <c r="N253" s="209"/>
      <c r="O253" s="174"/>
      <c r="U253" s="210" t="str">
        <f t="shared" si="189"/>
        <v>BHDVakana</v>
      </c>
      <c r="V253" s="211" t="b">
        <f t="shared" si="190"/>
        <v>1</v>
      </c>
      <c r="W253" s="210">
        <f t="shared" si="203"/>
        <v>14</v>
      </c>
      <c r="X253" s="210" t="str">
        <f t="shared" si="191"/>
        <v>BHD</v>
      </c>
      <c r="Y253" s="210" t="str">
        <f t="shared" si="192"/>
        <v>Vakana</v>
      </c>
      <c r="Z253" s="212">
        <f t="shared" si="193"/>
        <v>5</v>
      </c>
      <c r="AA253" s="210">
        <f t="shared" si="194"/>
        <v>1</v>
      </c>
      <c r="AB253" s="213"/>
      <c r="AC253" s="214" t="str">
        <f t="shared" si="195"/>
        <v>BHD</v>
      </c>
      <c r="AD253" s="214" t="str">
        <f t="shared" si="196"/>
        <v/>
      </c>
      <c r="AE253" s="215" t="str">
        <f t="shared" si="197"/>
        <v/>
      </c>
      <c r="AF253" s="214" t="str">
        <f t="shared" si="198"/>
        <v/>
      </c>
      <c r="AG253" s="214" t="str">
        <f t="shared" si="199"/>
        <v/>
      </c>
      <c r="AH253" s="215" t="str">
        <f t="shared" si="200"/>
        <v>Vakana</v>
      </c>
      <c r="AI253" s="216">
        <f t="shared" si="201"/>
        <v>42179</v>
      </c>
      <c r="AL253" s="217" t="str">
        <f>IF(OR(X253=Kedvenc!$C$43,Y253=Kedvenc!$C$43),W253,"")</f>
        <v/>
      </c>
      <c r="AM253" s="218" t="str">
        <f t="shared" si="202"/>
        <v/>
      </c>
      <c r="BB253" s="285" t="str">
        <f>C253&amp;D253</f>
        <v>4217919:45 – B pálya</v>
      </c>
      <c r="BC253" s="284">
        <f>COUNTIF($BB$43:$BB$383,BB253)</f>
        <v>1</v>
      </c>
      <c r="BD253" s="512" t="str">
        <f>U253</f>
        <v>BHDVakana</v>
      </c>
    </row>
    <row r="254" spans="1:57" ht="14.25" customHeight="1" x14ac:dyDescent="0.2">
      <c r="A254" s="842"/>
      <c r="C254" s="255">
        <v>42270</v>
      </c>
      <c r="D254" s="255" t="s">
        <v>502</v>
      </c>
      <c r="E254" s="265" t="s">
        <v>492</v>
      </c>
      <c r="F254" s="272">
        <v>0</v>
      </c>
      <c r="G254" s="200" t="s">
        <v>247</v>
      </c>
      <c r="H254" s="273">
        <v>3</v>
      </c>
      <c r="I254" s="266" t="s">
        <v>491</v>
      </c>
      <c r="J254" s="207"/>
      <c r="K254" s="268" t="s">
        <v>633</v>
      </c>
      <c r="L254" s="225"/>
      <c r="M254" s="226"/>
      <c r="N254" s="209"/>
      <c r="O254" s="174"/>
      <c r="U254" s="210" t="str">
        <f t="shared" si="189"/>
        <v>Royal Guard'sK&amp;H</v>
      </c>
      <c r="V254" s="211" t="b">
        <f t="shared" si="190"/>
        <v>1</v>
      </c>
      <c r="W254" s="210">
        <f t="shared" si="203"/>
        <v>14</v>
      </c>
      <c r="X254" s="210" t="str">
        <f t="shared" si="191"/>
        <v>Royal Guard's</v>
      </c>
      <c r="Y254" s="210" t="str">
        <f t="shared" si="192"/>
        <v>K&amp;H</v>
      </c>
      <c r="Z254" s="212">
        <f t="shared" si="193"/>
        <v>0</v>
      </c>
      <c r="AA254" s="210">
        <f t="shared" si="194"/>
        <v>3</v>
      </c>
      <c r="AB254" s="213"/>
      <c r="AC254" s="214" t="str">
        <f t="shared" si="195"/>
        <v/>
      </c>
      <c r="AD254" s="214" t="str">
        <f t="shared" si="196"/>
        <v/>
      </c>
      <c r="AE254" s="215" t="str">
        <f t="shared" si="197"/>
        <v>Royal Guard's</v>
      </c>
      <c r="AF254" s="214" t="str">
        <f t="shared" si="198"/>
        <v>K&amp;H</v>
      </c>
      <c r="AG254" s="214" t="str">
        <f t="shared" si="199"/>
        <v/>
      </c>
      <c r="AH254" s="215" t="str">
        <f t="shared" si="200"/>
        <v/>
      </c>
      <c r="AI254" s="216">
        <f t="shared" si="201"/>
        <v>42270</v>
      </c>
      <c r="AL254" s="217" t="str">
        <f>IF(OR(X254=Kedvenc!$C$43,Y254=Kedvenc!$C$43),W254,"")</f>
        <v/>
      </c>
      <c r="AM254" s="218" t="str">
        <f t="shared" si="202"/>
        <v/>
      </c>
      <c r="AP254" s="245"/>
      <c r="AQ254" s="245"/>
      <c r="AR254" s="245"/>
      <c r="AS254" s="245"/>
      <c r="AT254" s="245"/>
      <c r="AU254" s="245"/>
      <c r="AV254" s="245"/>
      <c r="AW254" s="245"/>
      <c r="AX254" s="245"/>
      <c r="AY254" s="245"/>
      <c r="BA254" s="245"/>
      <c r="BB254" s="285" t="str">
        <f>C254&amp;D254</f>
        <v>4227020:30 – B pálya</v>
      </c>
      <c r="BC254" s="284">
        <f>COUNTIF($BB$43:$BB$383,BB254)</f>
        <v>1</v>
      </c>
      <c r="BD254" s="512" t="str">
        <f>U254</f>
        <v>Royal Guard'sK&amp;H</v>
      </c>
      <c r="BE254" s="245"/>
    </row>
    <row r="255" spans="1:57" ht="14.25" customHeight="1" x14ac:dyDescent="0.2">
      <c r="A255" s="842"/>
      <c r="C255" s="255">
        <v>42277</v>
      </c>
      <c r="D255" s="255" t="s">
        <v>502</v>
      </c>
      <c r="E255" s="265" t="s">
        <v>484</v>
      </c>
      <c r="F255" s="272">
        <v>7</v>
      </c>
      <c r="G255" s="200" t="s">
        <v>247</v>
      </c>
      <c r="H255" s="273">
        <v>2</v>
      </c>
      <c r="I255" s="266" t="s">
        <v>490</v>
      </c>
      <c r="J255" s="223"/>
      <c r="K255" s="268" t="s">
        <v>634</v>
      </c>
      <c r="L255" s="225"/>
      <c r="M255" s="226"/>
      <c r="N255" s="209"/>
      <c r="O255" s="174"/>
      <c r="P255" s="209"/>
      <c r="Q255" s="209"/>
      <c r="R255" s="209"/>
      <c r="S255" s="209"/>
      <c r="U255" s="210" t="str">
        <f t="shared" si="189"/>
        <v>Bakafogó-Honvéd-Sashegy SEHercules-Ludovika</v>
      </c>
      <c r="V255" s="211" t="b">
        <f t="shared" si="190"/>
        <v>1</v>
      </c>
      <c r="W255" s="210">
        <f t="shared" si="203"/>
        <v>14</v>
      </c>
      <c r="X255" s="210" t="str">
        <f t="shared" si="191"/>
        <v>Bakafogó-Honvéd-Sashegy SE</v>
      </c>
      <c r="Y255" s="210" t="str">
        <f t="shared" si="192"/>
        <v>Hercules-Ludovika</v>
      </c>
      <c r="Z255" s="212">
        <f t="shared" si="193"/>
        <v>7</v>
      </c>
      <c r="AA255" s="210">
        <f t="shared" si="194"/>
        <v>2</v>
      </c>
      <c r="AB255" s="213"/>
      <c r="AC255" s="214" t="str">
        <f t="shared" si="195"/>
        <v>Bakafogó-Honvéd-Sashegy SE</v>
      </c>
      <c r="AD255" s="214" t="str">
        <f t="shared" si="196"/>
        <v/>
      </c>
      <c r="AE255" s="215" t="str">
        <f t="shared" si="197"/>
        <v/>
      </c>
      <c r="AF255" s="214" t="str">
        <f t="shared" si="198"/>
        <v/>
      </c>
      <c r="AG255" s="214" t="str">
        <f t="shared" si="199"/>
        <v/>
      </c>
      <c r="AH255" s="215" t="str">
        <f t="shared" si="200"/>
        <v>Hercules-Ludovika</v>
      </c>
      <c r="AI255" s="216">
        <f t="shared" si="201"/>
        <v>42277</v>
      </c>
      <c r="AL255" s="217" t="str">
        <f>IF(OR(X255=Kedvenc!$C$43,Y255=Kedvenc!$C$43),W255,"")</f>
        <v/>
      </c>
      <c r="AM255" s="218" t="str">
        <f t="shared" si="202"/>
        <v/>
      </c>
      <c r="AP255" s="245"/>
      <c r="AQ255" s="245"/>
      <c r="AR255" s="245"/>
      <c r="AS255" s="245"/>
      <c r="AT255" s="245"/>
      <c r="AU255" s="245"/>
      <c r="AV255" s="245"/>
      <c r="AW255" s="245"/>
      <c r="AX255" s="245"/>
      <c r="AY255" s="245"/>
      <c r="BA255" s="245"/>
      <c r="BB255" s="285" t="str">
        <f>C255&amp;D255</f>
        <v>4227720:30 – B pálya</v>
      </c>
      <c r="BC255" s="284">
        <f>COUNTIF($BB$43:$BB$383,BB255)</f>
        <v>1</v>
      </c>
      <c r="BD255" s="512" t="str">
        <f>U255</f>
        <v>Bakafogó-Honvéd-Sashegy SEHercules-Ludovika</v>
      </c>
      <c r="BE255" s="245"/>
    </row>
    <row r="256" spans="1:57" ht="14.25" customHeight="1" x14ac:dyDescent="0.2">
      <c r="A256" s="842"/>
      <c r="C256" s="278"/>
      <c r="D256" s="278"/>
      <c r="E256" s="275" t="s">
        <v>489</v>
      </c>
      <c r="F256" s="275"/>
      <c r="G256" s="276"/>
      <c r="H256" s="277"/>
      <c r="I256" s="277" t="s">
        <v>495</v>
      </c>
      <c r="J256" s="223"/>
      <c r="K256" s="268"/>
      <c r="L256" s="225"/>
      <c r="M256" s="226"/>
      <c r="N256" s="209"/>
      <c r="O256" s="174"/>
      <c r="P256" s="209"/>
      <c r="Q256" s="209"/>
      <c r="R256" s="209"/>
      <c r="S256" s="209"/>
      <c r="U256" s="210" t="str">
        <f t="shared" si="189"/>
        <v>Élelmesekszabadnapos</v>
      </c>
      <c r="V256" s="211" t="b">
        <f t="shared" si="190"/>
        <v>0</v>
      </c>
      <c r="W256" s="210">
        <f t="shared" si="203"/>
        <v>14</v>
      </c>
      <c r="X256" s="210" t="str">
        <f t="shared" si="191"/>
        <v>Élelmesek</v>
      </c>
      <c r="Y256" s="210" t="str">
        <f t="shared" si="192"/>
        <v>szabadnapos</v>
      </c>
      <c r="Z256" s="212" t="str">
        <f t="shared" si="193"/>
        <v/>
      </c>
      <c r="AA256" s="210" t="str">
        <f t="shared" si="194"/>
        <v/>
      </c>
      <c r="AB256" s="213"/>
      <c r="AC256" s="214" t="str">
        <f t="shared" si="195"/>
        <v/>
      </c>
      <c r="AD256" s="214" t="str">
        <f t="shared" si="196"/>
        <v/>
      </c>
      <c r="AE256" s="215" t="str">
        <f t="shared" si="197"/>
        <v/>
      </c>
      <c r="AF256" s="214" t="str">
        <f t="shared" si="198"/>
        <v/>
      </c>
      <c r="AG256" s="214" t="str">
        <f t="shared" si="199"/>
        <v/>
      </c>
      <c r="AH256" s="215" t="str">
        <f t="shared" si="200"/>
        <v/>
      </c>
      <c r="AI256" s="750">
        <f>AI251</f>
        <v>42179</v>
      </c>
      <c r="AL256" s="217" t="str">
        <f>IF(OR(X256=Kedvenc!$C$43,Y256=Kedvenc!$C$43),W256,"")</f>
        <v/>
      </c>
      <c r="AM256" s="218" t="str">
        <f t="shared" si="202"/>
        <v/>
      </c>
      <c r="AP256" s="245"/>
      <c r="AQ256" s="245"/>
      <c r="AR256" s="245"/>
      <c r="AS256" s="245"/>
      <c r="AT256" s="245"/>
      <c r="AU256" s="245"/>
      <c r="AV256" s="245"/>
      <c r="AW256" s="245"/>
      <c r="AX256" s="245"/>
      <c r="AY256" s="245"/>
      <c r="BA256" s="245"/>
      <c r="BE256" s="245"/>
    </row>
    <row r="257" spans="1:57" ht="14.25" hidden="1" customHeight="1" x14ac:dyDescent="0.2">
      <c r="A257" s="842"/>
      <c r="C257" s="278"/>
      <c r="D257" s="278"/>
      <c r="E257" s="265"/>
      <c r="F257" s="265"/>
      <c r="H257" s="266"/>
      <c r="I257" s="266"/>
      <c r="J257" s="223"/>
      <c r="K257" s="268"/>
      <c r="L257" s="225"/>
      <c r="M257" s="226"/>
      <c r="N257" s="209"/>
      <c r="O257" s="174"/>
      <c r="P257" s="209"/>
      <c r="Q257" s="209"/>
      <c r="R257" s="209"/>
      <c r="S257" s="209"/>
      <c r="U257" s="210" t="str">
        <f t="shared" si="189"/>
        <v>00</v>
      </c>
      <c r="V257" s="211" t="b">
        <f t="shared" si="190"/>
        <v>0</v>
      </c>
      <c r="W257" s="210">
        <f t="shared" si="203"/>
        <v>14</v>
      </c>
      <c r="X257" s="210">
        <f t="shared" si="191"/>
        <v>0</v>
      </c>
      <c r="Y257" s="210">
        <f t="shared" si="192"/>
        <v>0</v>
      </c>
      <c r="Z257" s="212" t="str">
        <f t="shared" si="193"/>
        <v/>
      </c>
      <c r="AA257" s="210" t="str">
        <f t="shared" si="194"/>
        <v/>
      </c>
      <c r="AB257" s="213"/>
      <c r="AC257" s="214" t="str">
        <f t="shared" si="195"/>
        <v/>
      </c>
      <c r="AD257" s="214" t="str">
        <f t="shared" si="196"/>
        <v/>
      </c>
      <c r="AE257" s="215" t="str">
        <f t="shared" si="197"/>
        <v/>
      </c>
      <c r="AF257" s="214" t="str">
        <f t="shared" si="198"/>
        <v/>
      </c>
      <c r="AG257" s="214" t="str">
        <f t="shared" si="199"/>
        <v/>
      </c>
      <c r="AH257" s="215" t="str">
        <f t="shared" si="200"/>
        <v/>
      </c>
      <c r="AI257" s="216">
        <f t="shared" si="201"/>
        <v>0</v>
      </c>
      <c r="AL257" s="217" t="str">
        <f>IF(OR(X257=Kedvenc!$C$43,Y257=Kedvenc!$C$43),W257,"")</f>
        <v/>
      </c>
      <c r="AM257" s="218" t="str">
        <f t="shared" si="202"/>
        <v/>
      </c>
      <c r="AP257" s="245"/>
      <c r="AQ257" s="245"/>
      <c r="AR257" s="245"/>
      <c r="AS257" s="245"/>
      <c r="AT257" s="245"/>
      <c r="AU257" s="245"/>
      <c r="AV257" s="245"/>
      <c r="AW257" s="245"/>
      <c r="AX257" s="245"/>
      <c r="AY257" s="245"/>
      <c r="BA257" s="245"/>
      <c r="BE257" s="245"/>
    </row>
    <row r="258" spans="1:57" ht="14.25" hidden="1" customHeight="1" x14ac:dyDescent="0.2">
      <c r="A258" s="842"/>
      <c r="C258" s="278"/>
      <c r="D258" s="278"/>
      <c r="E258" s="265"/>
      <c r="F258" s="265"/>
      <c r="H258" s="266"/>
      <c r="I258" s="266"/>
      <c r="J258" s="223"/>
      <c r="K258" s="268"/>
      <c r="L258" s="225"/>
      <c r="M258" s="226"/>
      <c r="N258" s="209"/>
      <c r="O258" s="174"/>
      <c r="P258" s="209"/>
      <c r="Q258" s="209"/>
      <c r="R258" s="209"/>
      <c r="S258" s="209"/>
      <c r="U258" s="210" t="str">
        <f t="shared" si="189"/>
        <v>00</v>
      </c>
      <c r="V258" s="211" t="b">
        <f t="shared" si="190"/>
        <v>0</v>
      </c>
      <c r="W258" s="210">
        <f t="shared" si="203"/>
        <v>14</v>
      </c>
      <c r="X258" s="210">
        <f t="shared" si="191"/>
        <v>0</v>
      </c>
      <c r="Y258" s="210">
        <f t="shared" si="192"/>
        <v>0</v>
      </c>
      <c r="Z258" s="212" t="str">
        <f t="shared" si="193"/>
        <v/>
      </c>
      <c r="AA258" s="210" t="str">
        <f t="shared" si="194"/>
        <v/>
      </c>
      <c r="AB258" s="213"/>
      <c r="AC258" s="214" t="str">
        <f t="shared" si="195"/>
        <v/>
      </c>
      <c r="AD258" s="214" t="str">
        <f t="shared" si="196"/>
        <v/>
      </c>
      <c r="AE258" s="215" t="str">
        <f t="shared" si="197"/>
        <v/>
      </c>
      <c r="AF258" s="214" t="str">
        <f t="shared" si="198"/>
        <v/>
      </c>
      <c r="AG258" s="214" t="str">
        <f t="shared" si="199"/>
        <v/>
      </c>
      <c r="AH258" s="215" t="str">
        <f t="shared" si="200"/>
        <v/>
      </c>
      <c r="AI258" s="216">
        <f t="shared" si="201"/>
        <v>0</v>
      </c>
      <c r="AL258" s="217" t="str">
        <f>IF(OR(X258=Kedvenc!$C$43,Y258=Kedvenc!$C$43),W258,"")</f>
        <v/>
      </c>
      <c r="AM258" s="218" t="str">
        <f t="shared" si="202"/>
        <v/>
      </c>
      <c r="AP258" s="245"/>
      <c r="AQ258" s="245"/>
      <c r="AR258" s="245"/>
      <c r="AS258" s="245"/>
      <c r="AT258" s="245"/>
      <c r="AU258" s="245"/>
      <c r="AV258" s="245"/>
      <c r="AW258" s="245"/>
      <c r="AX258" s="245"/>
      <c r="AY258" s="245"/>
      <c r="BA258" s="245"/>
      <c r="BE258" s="245"/>
    </row>
    <row r="259" spans="1:57" ht="14.25" hidden="1" customHeight="1" x14ac:dyDescent="0.2">
      <c r="A259" s="842"/>
      <c r="C259" s="278"/>
      <c r="D259" s="278"/>
      <c r="E259" s="265"/>
      <c r="F259" s="265"/>
      <c r="H259" s="266"/>
      <c r="I259" s="266"/>
      <c r="J259" s="223"/>
      <c r="K259" s="268"/>
      <c r="L259" s="225"/>
      <c r="M259" s="226"/>
      <c r="N259" s="209"/>
      <c r="O259" s="174"/>
      <c r="P259" s="209"/>
      <c r="Q259" s="209"/>
      <c r="R259" s="209"/>
      <c r="S259" s="209"/>
      <c r="U259" s="210" t="str">
        <f t="shared" si="189"/>
        <v>00</v>
      </c>
      <c r="V259" s="211" t="b">
        <f t="shared" si="190"/>
        <v>0</v>
      </c>
      <c r="W259" s="210">
        <f t="shared" si="203"/>
        <v>14</v>
      </c>
      <c r="X259" s="210">
        <f t="shared" si="191"/>
        <v>0</v>
      </c>
      <c r="Y259" s="210">
        <f t="shared" si="192"/>
        <v>0</v>
      </c>
      <c r="Z259" s="212" t="str">
        <f t="shared" si="193"/>
        <v/>
      </c>
      <c r="AA259" s="210" t="str">
        <f t="shared" si="194"/>
        <v/>
      </c>
      <c r="AB259" s="213"/>
      <c r="AC259" s="214" t="str">
        <f t="shared" si="195"/>
        <v/>
      </c>
      <c r="AD259" s="214" t="str">
        <f t="shared" si="196"/>
        <v/>
      </c>
      <c r="AE259" s="215" t="str">
        <f t="shared" si="197"/>
        <v/>
      </c>
      <c r="AF259" s="214" t="str">
        <f t="shared" si="198"/>
        <v/>
      </c>
      <c r="AG259" s="214" t="str">
        <f t="shared" si="199"/>
        <v/>
      </c>
      <c r="AH259" s="215" t="str">
        <f t="shared" si="200"/>
        <v/>
      </c>
      <c r="AI259" s="216">
        <f t="shared" si="201"/>
        <v>0</v>
      </c>
      <c r="AL259" s="217" t="str">
        <f>IF(OR(X259=Kedvenc!$C$43,Y259=Kedvenc!$C$43),W259,"")</f>
        <v/>
      </c>
      <c r="AM259" s="218" t="str">
        <f t="shared" si="202"/>
        <v/>
      </c>
      <c r="AP259" s="245"/>
      <c r="AQ259" s="245"/>
      <c r="AR259" s="245"/>
      <c r="AS259" s="245"/>
      <c r="AT259" s="245"/>
      <c r="AU259" s="245"/>
      <c r="AV259" s="245"/>
      <c r="AW259" s="245"/>
      <c r="AX259" s="245"/>
      <c r="AY259" s="245"/>
      <c r="BA259" s="245"/>
      <c r="BE259" s="245"/>
    </row>
    <row r="260" spans="1:57" ht="14.25" hidden="1" customHeight="1" x14ac:dyDescent="0.2">
      <c r="A260" s="842"/>
      <c r="C260" s="278"/>
      <c r="D260" s="278"/>
      <c r="E260" s="265"/>
      <c r="F260" s="265"/>
      <c r="H260" s="266"/>
      <c r="I260" s="266"/>
      <c r="J260" s="223"/>
      <c r="K260" s="268"/>
      <c r="L260" s="225"/>
      <c r="M260" s="226"/>
      <c r="N260" s="209"/>
      <c r="O260" s="174"/>
      <c r="P260" s="209"/>
      <c r="Q260" s="209"/>
      <c r="R260" s="209"/>
      <c r="S260" s="209"/>
      <c r="U260" s="210" t="str">
        <f t="shared" si="189"/>
        <v>00</v>
      </c>
      <c r="V260" s="211" t="b">
        <f t="shared" si="190"/>
        <v>0</v>
      </c>
      <c r="W260" s="210">
        <f t="shared" si="203"/>
        <v>14</v>
      </c>
      <c r="X260" s="210">
        <f t="shared" si="191"/>
        <v>0</v>
      </c>
      <c r="Y260" s="210">
        <f t="shared" si="192"/>
        <v>0</v>
      </c>
      <c r="Z260" s="212" t="str">
        <f t="shared" si="193"/>
        <v/>
      </c>
      <c r="AA260" s="210" t="str">
        <f t="shared" si="194"/>
        <v/>
      </c>
      <c r="AB260" s="213"/>
      <c r="AC260" s="214" t="str">
        <f t="shared" si="195"/>
        <v/>
      </c>
      <c r="AD260" s="214" t="str">
        <f t="shared" si="196"/>
        <v/>
      </c>
      <c r="AE260" s="215" t="str">
        <f t="shared" si="197"/>
        <v/>
      </c>
      <c r="AF260" s="214" t="str">
        <f t="shared" si="198"/>
        <v/>
      </c>
      <c r="AG260" s="214" t="str">
        <f t="shared" si="199"/>
        <v/>
      </c>
      <c r="AH260" s="215" t="str">
        <f t="shared" si="200"/>
        <v/>
      </c>
      <c r="AI260" s="216">
        <f t="shared" si="201"/>
        <v>0</v>
      </c>
      <c r="AL260" s="217" t="str">
        <f>IF(OR(X260=Kedvenc!$C$43,Y260=Kedvenc!$C$43),W260,"")</f>
        <v/>
      </c>
      <c r="AM260" s="218" t="str">
        <f t="shared" si="202"/>
        <v/>
      </c>
      <c r="AP260" s="245"/>
      <c r="AQ260" s="245"/>
      <c r="AR260" s="245"/>
      <c r="AS260" s="245"/>
      <c r="AT260" s="245"/>
      <c r="AU260" s="245"/>
      <c r="AV260" s="245"/>
      <c r="AW260" s="245"/>
      <c r="AX260" s="245"/>
      <c r="AY260" s="245"/>
      <c r="BA260" s="245"/>
      <c r="BE260" s="245"/>
    </row>
    <row r="261" spans="1:57" ht="14.25" hidden="1" customHeight="1" x14ac:dyDescent="0.2">
      <c r="A261" s="842"/>
      <c r="C261" s="278"/>
      <c r="D261" s="278"/>
      <c r="E261" s="265"/>
      <c r="F261" s="265"/>
      <c r="H261" s="266"/>
      <c r="I261" s="266"/>
      <c r="J261" s="223"/>
      <c r="K261" s="268"/>
      <c r="L261" s="225"/>
      <c r="M261" s="226"/>
      <c r="N261" s="209"/>
      <c r="O261" s="174"/>
      <c r="P261" s="209"/>
      <c r="Q261" s="209"/>
      <c r="R261" s="209"/>
      <c r="S261" s="209"/>
      <c r="U261" s="210" t="str">
        <f t="shared" si="189"/>
        <v>00</v>
      </c>
      <c r="V261" s="211" t="b">
        <f t="shared" si="190"/>
        <v>0</v>
      </c>
      <c r="W261" s="210">
        <f t="shared" si="203"/>
        <v>14</v>
      </c>
      <c r="X261" s="210">
        <f t="shared" si="191"/>
        <v>0</v>
      </c>
      <c r="Y261" s="210">
        <f t="shared" si="192"/>
        <v>0</v>
      </c>
      <c r="Z261" s="212" t="str">
        <f t="shared" si="193"/>
        <v/>
      </c>
      <c r="AA261" s="210" t="str">
        <f t="shared" si="194"/>
        <v/>
      </c>
      <c r="AB261" s="213"/>
      <c r="AC261" s="214" t="str">
        <f t="shared" si="195"/>
        <v/>
      </c>
      <c r="AD261" s="214" t="str">
        <f t="shared" si="196"/>
        <v/>
      </c>
      <c r="AE261" s="215" t="str">
        <f t="shared" si="197"/>
        <v/>
      </c>
      <c r="AF261" s="214" t="str">
        <f t="shared" si="198"/>
        <v/>
      </c>
      <c r="AG261" s="214" t="str">
        <f t="shared" si="199"/>
        <v/>
      </c>
      <c r="AH261" s="215" t="str">
        <f t="shared" si="200"/>
        <v/>
      </c>
      <c r="AI261" s="216">
        <f t="shared" si="201"/>
        <v>0</v>
      </c>
      <c r="AL261" s="217" t="str">
        <f>IF(OR(X261=Kedvenc!$C$43,Y261=Kedvenc!$C$43),W261,"")</f>
        <v/>
      </c>
      <c r="AM261" s="218" t="str">
        <f t="shared" si="202"/>
        <v/>
      </c>
      <c r="AP261" s="245"/>
      <c r="AQ261" s="245"/>
      <c r="AR261" s="245"/>
      <c r="AS261" s="245"/>
      <c r="AT261" s="245"/>
      <c r="AU261" s="245"/>
      <c r="AV261" s="245"/>
      <c r="AW261" s="245"/>
      <c r="AX261" s="245"/>
      <c r="AY261" s="245"/>
      <c r="BA261" s="245"/>
      <c r="BE261" s="245"/>
    </row>
    <row r="262" spans="1:57" ht="14.25" hidden="1" customHeight="1" x14ac:dyDescent="0.2">
      <c r="A262" s="842"/>
      <c r="C262" s="278"/>
      <c r="D262" s="278"/>
      <c r="E262" s="265"/>
      <c r="F262" s="265"/>
      <c r="H262" s="266"/>
      <c r="I262" s="266"/>
      <c r="J262" s="169"/>
      <c r="K262" s="268"/>
      <c r="L262" s="228"/>
      <c r="M262" s="228"/>
      <c r="N262" s="228"/>
      <c r="O262" s="174"/>
      <c r="P262" s="209"/>
      <c r="Q262" s="209"/>
      <c r="R262" s="209"/>
      <c r="S262" s="209"/>
      <c r="U262" s="210" t="str">
        <f t="shared" si="189"/>
        <v>00</v>
      </c>
      <c r="V262" s="211" t="b">
        <f t="shared" si="190"/>
        <v>0</v>
      </c>
      <c r="W262" s="210">
        <f t="shared" si="203"/>
        <v>14</v>
      </c>
      <c r="X262" s="210">
        <f t="shared" si="191"/>
        <v>0</v>
      </c>
      <c r="Y262" s="210">
        <f t="shared" si="192"/>
        <v>0</v>
      </c>
      <c r="Z262" s="212" t="str">
        <f t="shared" si="193"/>
        <v/>
      </c>
      <c r="AA262" s="210" t="str">
        <f t="shared" si="194"/>
        <v/>
      </c>
      <c r="AB262" s="213"/>
      <c r="AC262" s="214" t="str">
        <f t="shared" si="195"/>
        <v/>
      </c>
      <c r="AD262" s="214" t="str">
        <f t="shared" si="196"/>
        <v/>
      </c>
      <c r="AE262" s="215" t="str">
        <f t="shared" si="197"/>
        <v/>
      </c>
      <c r="AF262" s="214" t="str">
        <f t="shared" si="198"/>
        <v/>
      </c>
      <c r="AG262" s="214" t="str">
        <f t="shared" si="199"/>
        <v/>
      </c>
      <c r="AH262" s="215" t="str">
        <f t="shared" si="200"/>
        <v/>
      </c>
      <c r="AI262" s="216">
        <f t="shared" si="201"/>
        <v>0</v>
      </c>
      <c r="AL262" s="217" t="str">
        <f>IF(OR(X262=Kedvenc!$C$43,Y262=Kedvenc!$C$43),W262,"")</f>
        <v/>
      </c>
      <c r="AM262" s="218" t="str">
        <f t="shared" si="202"/>
        <v/>
      </c>
      <c r="AP262" s="245"/>
      <c r="AQ262" s="245"/>
      <c r="AR262" s="245"/>
      <c r="AS262" s="245"/>
      <c r="AT262" s="245"/>
      <c r="AU262" s="245"/>
      <c r="AV262" s="245"/>
      <c r="AW262" s="245"/>
      <c r="AX262" s="245"/>
      <c r="AY262" s="245"/>
      <c r="BA262" s="245"/>
      <c r="BE262" s="245"/>
    </row>
    <row r="263" spans="1:57" ht="14.25" customHeight="1" x14ac:dyDescent="0.2">
      <c r="A263" s="842"/>
      <c r="E263" s="247"/>
      <c r="F263" s="248"/>
      <c r="G263" s="248"/>
      <c r="H263" s="248"/>
      <c r="I263" s="247"/>
      <c r="J263" s="172"/>
      <c r="K263" s="228"/>
      <c r="L263" s="228"/>
      <c r="M263" s="228"/>
      <c r="N263" s="228"/>
      <c r="O263" s="174"/>
      <c r="P263" s="209"/>
      <c r="Q263" s="209"/>
      <c r="R263" s="209"/>
      <c r="S263" s="209"/>
      <c r="W263" s="231"/>
      <c r="AC263" s="233"/>
      <c r="AD263" s="233"/>
      <c r="AE263" s="234"/>
      <c r="AF263" s="233"/>
      <c r="AG263" s="233"/>
      <c r="AH263" s="234"/>
      <c r="AI263" s="234"/>
      <c r="AP263" s="245"/>
      <c r="AQ263" s="245"/>
      <c r="AR263" s="245"/>
      <c r="AS263" s="245"/>
      <c r="AT263" s="245"/>
      <c r="AU263" s="245"/>
      <c r="AV263" s="245"/>
      <c r="AW263" s="245"/>
      <c r="AX263" s="245"/>
      <c r="AY263" s="245"/>
      <c r="BA263" s="245"/>
      <c r="BE263" s="245"/>
    </row>
    <row r="264" spans="1:57" ht="14.25" customHeight="1" x14ac:dyDescent="0.2">
      <c r="A264" s="842"/>
      <c r="E264" s="224"/>
      <c r="F264" s="225"/>
      <c r="G264" s="226"/>
      <c r="H264" s="209"/>
      <c r="I264" s="227"/>
      <c r="J264" s="169"/>
      <c r="K264" s="228"/>
      <c r="L264" s="225"/>
      <c r="M264" s="226"/>
      <c r="N264" s="209"/>
      <c r="O264" s="174"/>
      <c r="P264" s="209"/>
      <c r="Q264" s="209"/>
      <c r="R264" s="209"/>
      <c r="S264" s="209"/>
      <c r="W264" s="231"/>
      <c r="AC264" s="233"/>
      <c r="AD264" s="233"/>
      <c r="AE264" s="234"/>
      <c r="AF264" s="233"/>
      <c r="AG264" s="233"/>
      <c r="AH264" s="234"/>
      <c r="AI264" s="197"/>
      <c r="AP264" s="245"/>
      <c r="AQ264" s="245"/>
      <c r="AR264" s="245"/>
      <c r="AS264" s="245"/>
      <c r="AT264" s="245"/>
      <c r="AU264" s="245"/>
      <c r="AV264" s="245"/>
      <c r="AW264" s="245"/>
      <c r="AX264" s="245"/>
      <c r="AY264" s="245"/>
      <c r="BA264" s="245"/>
      <c r="BD264" s="245"/>
      <c r="BE264" s="245"/>
    </row>
    <row r="265" spans="1:57" ht="14.25" customHeight="1" x14ac:dyDescent="0.2">
      <c r="A265" s="842"/>
      <c r="B265" s="187"/>
      <c r="C265" s="269" t="str">
        <f>CONCATENATE(" ",AB267,"."," forduló  –")</f>
        <v xml:space="preserve"> 15. forduló  –</v>
      </c>
      <c r="D265" s="843">
        <f>VLOOKUP(AB267,ASZ!$AQ$59:$AS$104,2,FALSE)</f>
        <v>42242</v>
      </c>
      <c r="E265" s="843"/>
      <c r="F265" s="274"/>
      <c r="G265" s="274"/>
      <c r="H265" s="274"/>
      <c r="I265" s="270" t="str">
        <f>CONCATENATE(IF($AW$61,"pont: ","gól: "),SUM(F267:H278)," / átlag: ",TEXT(IF(COUNT(F267:H278)=0,"-",SUM(F267:H278)/COUNT(F267:H278)*2),"0,00"))</f>
        <v>gól: 31 / átlag: 6,20</v>
      </c>
      <c r="J265" s="190"/>
      <c r="K265" s="271" t="s">
        <v>285</v>
      </c>
      <c r="L265" s="192"/>
      <c r="U265" s="229"/>
      <c r="V265" s="230"/>
      <c r="W265" s="231"/>
      <c r="X265" s="231"/>
      <c r="Y265" s="231"/>
      <c r="Z265" s="232"/>
      <c r="AA265" s="231"/>
      <c r="AC265" s="197"/>
      <c r="AD265" s="197"/>
      <c r="AE265" s="197"/>
      <c r="AF265" s="197"/>
      <c r="AG265" s="197"/>
      <c r="AH265" s="197"/>
      <c r="AI265" s="197"/>
      <c r="AQ265" s="245"/>
      <c r="AR265" s="245"/>
      <c r="AS265" s="245"/>
      <c r="AT265" s="245"/>
    </row>
    <row r="266" spans="1:57" ht="9" customHeight="1" x14ac:dyDescent="0.2">
      <c r="A266" s="842"/>
      <c r="J266" s="169"/>
      <c r="K266" s="228"/>
      <c r="L266" s="225"/>
      <c r="M266" s="226"/>
      <c r="N266" s="209"/>
      <c r="O266" s="174"/>
      <c r="P266" s="209"/>
      <c r="Q266" s="209"/>
      <c r="R266" s="209"/>
      <c r="S266" s="209"/>
      <c r="AP266" s="245"/>
      <c r="AQ266" s="245"/>
      <c r="AR266" s="245"/>
      <c r="AS266" s="245"/>
      <c r="AT266" s="245"/>
      <c r="AU266" s="245"/>
      <c r="AV266" s="245"/>
      <c r="AW266" s="245"/>
      <c r="AX266" s="245"/>
      <c r="AY266" s="245"/>
      <c r="BA266" s="245"/>
      <c r="BE266" s="245"/>
    </row>
    <row r="267" spans="1:57" ht="14.25" customHeight="1" x14ac:dyDescent="0.2">
      <c r="A267" s="842"/>
      <c r="C267" s="255">
        <v>42242</v>
      </c>
      <c r="D267" s="255" t="s">
        <v>497</v>
      </c>
      <c r="E267" s="265" t="s">
        <v>487</v>
      </c>
      <c r="F267" s="272">
        <v>1</v>
      </c>
      <c r="G267" s="200" t="s">
        <v>247</v>
      </c>
      <c r="H267" s="273">
        <v>6</v>
      </c>
      <c r="I267" s="266" t="s">
        <v>494</v>
      </c>
      <c r="J267" s="207"/>
      <c r="K267" s="267"/>
      <c r="L267" s="225"/>
      <c r="M267" s="226"/>
      <c r="N267" s="209"/>
      <c r="O267" s="174"/>
      <c r="P267" s="209"/>
      <c r="Q267" s="209"/>
      <c r="R267" s="209"/>
      <c r="S267" s="209"/>
      <c r="U267" s="210" t="str">
        <f t="shared" ref="U267:U278" si="204">X267&amp;Y267</f>
        <v>BőrdíszműZrínyigyöngye</v>
      </c>
      <c r="V267" s="211" t="b">
        <f t="shared" ref="V267:V278" si="205">AND(F267&lt;&gt;"",H267&lt;&gt;"")</f>
        <v>1</v>
      </c>
      <c r="W267" s="210">
        <f>AB267</f>
        <v>15</v>
      </c>
      <c r="X267" s="210" t="str">
        <f t="shared" ref="X267:X278" si="206">E267</f>
        <v>Bőrdíszmű</v>
      </c>
      <c r="Y267" s="210" t="str">
        <f t="shared" ref="Y267:Y278" si="207">I267</f>
        <v>Zrínyigyöngye</v>
      </c>
      <c r="Z267" s="212">
        <f t="shared" ref="Z267:Z278" si="208">IF(V267,F267,"")</f>
        <v>1</v>
      </c>
      <c r="AA267" s="210">
        <f t="shared" ref="AA267:AA278" si="209">IF(V267,H267,"")</f>
        <v>6</v>
      </c>
      <c r="AB267" s="213">
        <f>IF(NOT(ASZTAB!$X$71),AB251+1,AB251+COUNTIF(AB235:AB266,AB251)-1)</f>
        <v>15</v>
      </c>
      <c r="AC267" s="214" t="str">
        <f t="shared" ref="AC267:AC278" si="210">IF(Z267&gt;AA267,X267,"")</f>
        <v/>
      </c>
      <c r="AD267" s="214" t="str">
        <f t="shared" ref="AD267:AD278" si="211">IF(AA267="","",IF(Z267=AA267,X267,""))</f>
        <v/>
      </c>
      <c r="AE267" s="215" t="str">
        <f t="shared" ref="AE267:AE278" si="212">IF(AND($AW$61,Z267=0,AA267=20),X267&amp;"ooo",IF(Z267&lt;AA267,X267,""))</f>
        <v>Bőrdíszmű</v>
      </c>
      <c r="AF267" s="214" t="str">
        <f t="shared" ref="AF267:AF278" si="213">IF(AA267&gt;Z267,Y267,"")</f>
        <v>Zrínyigyöngye</v>
      </c>
      <c r="AG267" s="214" t="str">
        <f t="shared" ref="AG267:AG278" si="214">IF(AA267="","",IF(Z267=AA267,Y267,""))</f>
        <v/>
      </c>
      <c r="AH267" s="215" t="str">
        <f t="shared" ref="AH267:AH278" si="215">IF(AND($AW$61,Z267=20,AA267=0),Y267&amp;"ooo",IF(Z267&gt;AA267,Y267,""))</f>
        <v/>
      </c>
      <c r="AI267" s="216">
        <f>C267</f>
        <v>42242</v>
      </c>
      <c r="AL267" s="217" t="str">
        <f>IF(OR(X267=Kedvenc!$C$43,Y267=Kedvenc!$C$43),W267,"")</f>
        <v/>
      </c>
      <c r="AM267" s="218" t="str">
        <f t="shared" ref="AM267:AM278" si="216">IF(AL267="","",U267)</f>
        <v/>
      </c>
      <c r="AQ267" s="245"/>
      <c r="AR267" s="245"/>
      <c r="AS267" s="245"/>
      <c r="AT267" s="245"/>
      <c r="BB267" s="285" t="str">
        <f>C267&amp;D267</f>
        <v>4224219:00 – A pálya</v>
      </c>
      <c r="BC267" s="284">
        <f>COUNTIF($BB$43:$BB$383,BB267)</f>
        <v>1</v>
      </c>
      <c r="BD267" s="512" t="str">
        <f>U267</f>
        <v>BőrdíszműZrínyigyöngye</v>
      </c>
    </row>
    <row r="268" spans="1:57" ht="14.25" customHeight="1" x14ac:dyDescent="0.2">
      <c r="A268" s="842"/>
      <c r="C268" s="255">
        <v>42242</v>
      </c>
      <c r="D268" s="255" t="s">
        <v>498</v>
      </c>
      <c r="E268" s="265" t="s">
        <v>490</v>
      </c>
      <c r="F268" s="272">
        <v>1</v>
      </c>
      <c r="G268" s="200" t="s">
        <v>247</v>
      </c>
      <c r="H268" s="273">
        <v>3</v>
      </c>
      <c r="I268" s="266" t="s">
        <v>489</v>
      </c>
      <c r="J268" s="207"/>
      <c r="K268" s="268"/>
      <c r="L268" s="225"/>
      <c r="M268" s="226"/>
      <c r="N268" s="209"/>
      <c r="O268" s="174"/>
      <c r="U268" s="210" t="str">
        <f t="shared" si="204"/>
        <v>Hercules-LudovikaÉlelmesek</v>
      </c>
      <c r="V268" s="211" t="b">
        <f t="shared" si="205"/>
        <v>1</v>
      </c>
      <c r="W268" s="210">
        <f t="shared" ref="W268:W278" si="217">W267</f>
        <v>15</v>
      </c>
      <c r="X268" s="210" t="str">
        <f t="shared" si="206"/>
        <v>Hercules-Ludovika</v>
      </c>
      <c r="Y268" s="210" t="str">
        <f t="shared" si="207"/>
        <v>Élelmesek</v>
      </c>
      <c r="Z268" s="212">
        <f t="shared" si="208"/>
        <v>1</v>
      </c>
      <c r="AA268" s="210">
        <f t="shared" si="209"/>
        <v>3</v>
      </c>
      <c r="AB268" s="213"/>
      <c r="AC268" s="214" t="str">
        <f t="shared" si="210"/>
        <v/>
      </c>
      <c r="AD268" s="214" t="str">
        <f t="shared" si="211"/>
        <v/>
      </c>
      <c r="AE268" s="215" t="str">
        <f t="shared" si="212"/>
        <v>Hercules-Ludovika</v>
      </c>
      <c r="AF268" s="214" t="str">
        <f t="shared" si="213"/>
        <v>Élelmesek</v>
      </c>
      <c r="AG268" s="214" t="str">
        <f t="shared" si="214"/>
        <v/>
      </c>
      <c r="AH268" s="215" t="str">
        <f t="shared" si="215"/>
        <v/>
      </c>
      <c r="AI268" s="216">
        <f t="shared" si="201"/>
        <v>42242</v>
      </c>
      <c r="AL268" s="217" t="str">
        <f>IF(OR(X268=Kedvenc!$C$43,Y268=Kedvenc!$C$43),W268,"")</f>
        <v/>
      </c>
      <c r="AM268" s="218" t="str">
        <f t="shared" si="216"/>
        <v/>
      </c>
      <c r="BB268" s="285" t="str">
        <f>C268&amp;D268</f>
        <v>4224219:45 – A pálya</v>
      </c>
      <c r="BC268" s="284">
        <f>COUNTIF($BB$43:$BB$383,BB268)</f>
        <v>1</v>
      </c>
      <c r="BD268" s="512" t="str">
        <f>U268</f>
        <v>Hercules-LudovikaÉlelmesek</v>
      </c>
    </row>
    <row r="269" spans="1:57" ht="14.25" customHeight="1" x14ac:dyDescent="0.2">
      <c r="A269" s="842"/>
      <c r="C269" s="255">
        <v>42242</v>
      </c>
      <c r="D269" s="255" t="s">
        <v>499</v>
      </c>
      <c r="E269" s="265" t="s">
        <v>484</v>
      </c>
      <c r="F269" s="272">
        <v>0</v>
      </c>
      <c r="G269" s="200" t="s">
        <v>247</v>
      </c>
      <c r="H269" s="273">
        <v>7</v>
      </c>
      <c r="I269" s="266" t="s">
        <v>491</v>
      </c>
      <c r="J269" s="207"/>
      <c r="K269" s="268"/>
      <c r="L269" s="225"/>
      <c r="M269" s="226"/>
      <c r="N269" s="209"/>
      <c r="O269" s="174"/>
      <c r="U269" s="210" t="str">
        <f t="shared" si="204"/>
        <v>Bakafogó-Honvéd-Sashegy SEK&amp;H</v>
      </c>
      <c r="V269" s="211" t="b">
        <f t="shared" si="205"/>
        <v>1</v>
      </c>
      <c r="W269" s="210">
        <f t="shared" si="217"/>
        <v>15</v>
      </c>
      <c r="X269" s="210" t="str">
        <f t="shared" si="206"/>
        <v>Bakafogó-Honvéd-Sashegy SE</v>
      </c>
      <c r="Y269" s="210" t="str">
        <f t="shared" si="207"/>
        <v>K&amp;H</v>
      </c>
      <c r="Z269" s="212">
        <f t="shared" si="208"/>
        <v>0</v>
      </c>
      <c r="AA269" s="210">
        <f t="shared" si="209"/>
        <v>7</v>
      </c>
      <c r="AB269" s="213"/>
      <c r="AC269" s="214" t="str">
        <f t="shared" si="210"/>
        <v/>
      </c>
      <c r="AD269" s="214" t="str">
        <f t="shared" si="211"/>
        <v/>
      </c>
      <c r="AE269" s="215" t="str">
        <f t="shared" si="212"/>
        <v>Bakafogó-Honvéd-Sashegy SE</v>
      </c>
      <c r="AF269" s="214" t="str">
        <f t="shared" si="213"/>
        <v>K&amp;H</v>
      </c>
      <c r="AG269" s="214" t="str">
        <f t="shared" si="214"/>
        <v/>
      </c>
      <c r="AH269" s="215" t="str">
        <f t="shared" si="215"/>
        <v/>
      </c>
      <c r="AI269" s="216">
        <f t="shared" si="201"/>
        <v>42242</v>
      </c>
      <c r="AL269" s="217" t="str">
        <f>IF(OR(X269=Kedvenc!$C$43,Y269=Kedvenc!$C$43),W269,"")</f>
        <v/>
      </c>
      <c r="AM269" s="218" t="str">
        <f t="shared" si="216"/>
        <v/>
      </c>
      <c r="BB269" s="285" t="str">
        <f>C269&amp;D269</f>
        <v>4224220:30 – A pálya</v>
      </c>
      <c r="BC269" s="284">
        <f>COUNTIF($BB$43:$BB$383,BB269)</f>
        <v>1</v>
      </c>
      <c r="BD269" s="512" t="str">
        <f>U269</f>
        <v>Bakafogó-Honvéd-Sashegy SEK&amp;H</v>
      </c>
    </row>
    <row r="270" spans="1:57" ht="14.25" customHeight="1" x14ac:dyDescent="0.2">
      <c r="A270" s="842"/>
      <c r="C270" s="255">
        <v>42242</v>
      </c>
      <c r="D270" s="255" t="s">
        <v>500</v>
      </c>
      <c r="E270" s="265" t="s">
        <v>488</v>
      </c>
      <c r="F270" s="272">
        <v>3</v>
      </c>
      <c r="G270" s="200" t="s">
        <v>247</v>
      </c>
      <c r="H270" s="273">
        <v>7</v>
      </c>
      <c r="I270" s="266" t="s">
        <v>493</v>
      </c>
      <c r="J270" s="207"/>
      <c r="K270" s="268"/>
      <c r="L270" s="225"/>
      <c r="M270" s="226"/>
      <c r="N270" s="209"/>
      <c r="O270" s="174"/>
      <c r="U270" s="210" t="str">
        <f t="shared" si="204"/>
        <v>CarbonászVakana</v>
      </c>
      <c r="V270" s="211" t="b">
        <f t="shared" si="205"/>
        <v>1</v>
      </c>
      <c r="W270" s="210">
        <f t="shared" si="217"/>
        <v>15</v>
      </c>
      <c r="X270" s="210" t="str">
        <f t="shared" si="206"/>
        <v>Carbonász</v>
      </c>
      <c r="Y270" s="210" t="str">
        <f t="shared" si="207"/>
        <v>Vakana</v>
      </c>
      <c r="Z270" s="212">
        <f t="shared" si="208"/>
        <v>3</v>
      </c>
      <c r="AA270" s="210">
        <f t="shared" si="209"/>
        <v>7</v>
      </c>
      <c r="AB270" s="213"/>
      <c r="AC270" s="214" t="str">
        <f t="shared" si="210"/>
        <v/>
      </c>
      <c r="AD270" s="214" t="str">
        <f t="shared" si="211"/>
        <v/>
      </c>
      <c r="AE270" s="215" t="str">
        <f t="shared" si="212"/>
        <v>Carbonász</v>
      </c>
      <c r="AF270" s="214" t="str">
        <f t="shared" si="213"/>
        <v>Vakana</v>
      </c>
      <c r="AG270" s="214" t="str">
        <f t="shared" si="214"/>
        <v/>
      </c>
      <c r="AH270" s="215" t="str">
        <f t="shared" si="215"/>
        <v/>
      </c>
      <c r="AI270" s="216">
        <f t="shared" si="201"/>
        <v>42242</v>
      </c>
      <c r="AL270" s="217" t="str">
        <f>IF(OR(X270=Kedvenc!$C$43,Y270=Kedvenc!$C$43),W270,"")</f>
        <v/>
      </c>
      <c r="AM270" s="218" t="str">
        <f t="shared" si="216"/>
        <v/>
      </c>
      <c r="AP270" s="245"/>
      <c r="AQ270" s="245"/>
      <c r="AR270" s="245"/>
      <c r="AS270" s="245"/>
      <c r="AT270" s="245"/>
      <c r="AU270" s="245"/>
      <c r="AV270" s="245"/>
      <c r="AW270" s="245"/>
      <c r="AX270" s="245"/>
      <c r="AY270" s="245"/>
      <c r="BA270" s="245"/>
      <c r="BB270" s="285" t="str">
        <f>C270&amp;D270</f>
        <v>4224219:00 – B pálya</v>
      </c>
      <c r="BC270" s="284">
        <f>COUNTIF($BB$43:$BB$383,BB270)</f>
        <v>1</v>
      </c>
      <c r="BD270" s="512" t="str">
        <f>U270</f>
        <v>CarbonászVakana</v>
      </c>
      <c r="BE270" s="245"/>
    </row>
    <row r="271" spans="1:57" ht="14.25" customHeight="1" x14ac:dyDescent="0.2">
      <c r="A271" s="842"/>
      <c r="C271" s="255">
        <v>42242</v>
      </c>
      <c r="D271" s="255" t="s">
        <v>501</v>
      </c>
      <c r="E271" s="265" t="s">
        <v>492</v>
      </c>
      <c r="F271" s="272">
        <v>0</v>
      </c>
      <c r="G271" s="200" t="s">
        <v>247</v>
      </c>
      <c r="H271" s="273">
        <v>3</v>
      </c>
      <c r="I271" s="266" t="s">
        <v>486</v>
      </c>
      <c r="J271" s="223"/>
      <c r="K271" s="787"/>
      <c r="L271" s="225"/>
      <c r="M271" s="226"/>
      <c r="N271" s="209"/>
      <c r="O271" s="174"/>
      <c r="P271" s="209"/>
      <c r="Q271" s="209"/>
      <c r="R271" s="209"/>
      <c r="S271" s="209"/>
      <c r="U271" s="210" t="str">
        <f t="shared" si="204"/>
        <v>Royal Guard'sBHD</v>
      </c>
      <c r="V271" s="211" t="b">
        <f t="shared" si="205"/>
        <v>1</v>
      </c>
      <c r="W271" s="210">
        <f t="shared" si="217"/>
        <v>15</v>
      </c>
      <c r="X271" s="210" t="str">
        <f t="shared" si="206"/>
        <v>Royal Guard's</v>
      </c>
      <c r="Y271" s="210" t="str">
        <f t="shared" si="207"/>
        <v>BHD</v>
      </c>
      <c r="Z271" s="212">
        <f t="shared" si="208"/>
        <v>0</v>
      </c>
      <c r="AA271" s="210">
        <f t="shared" si="209"/>
        <v>3</v>
      </c>
      <c r="AB271" s="213"/>
      <c r="AC271" s="214" t="str">
        <f t="shared" si="210"/>
        <v/>
      </c>
      <c r="AD271" s="214" t="str">
        <f t="shared" si="211"/>
        <v/>
      </c>
      <c r="AE271" s="215" t="str">
        <f t="shared" si="212"/>
        <v>Royal Guard's</v>
      </c>
      <c r="AF271" s="214" t="str">
        <f t="shared" si="213"/>
        <v>BHD</v>
      </c>
      <c r="AG271" s="214" t="str">
        <f t="shared" si="214"/>
        <v/>
      </c>
      <c r="AH271" s="215" t="str">
        <f t="shared" si="215"/>
        <v/>
      </c>
      <c r="AI271" s="216">
        <f t="shared" si="201"/>
        <v>42242</v>
      </c>
      <c r="AL271" s="217" t="str">
        <f>IF(OR(X271=Kedvenc!$C$43,Y271=Kedvenc!$C$43),W271,"")</f>
        <v/>
      </c>
      <c r="AM271" s="218" t="str">
        <f t="shared" si="216"/>
        <v/>
      </c>
      <c r="AP271" s="245"/>
      <c r="AQ271" s="245"/>
      <c r="AR271" s="245"/>
      <c r="AS271" s="245"/>
      <c r="AT271" s="245"/>
      <c r="AU271" s="245"/>
      <c r="AV271" s="245"/>
      <c r="AW271" s="245"/>
      <c r="AX271" s="245"/>
      <c r="AY271" s="245"/>
      <c r="BA271" s="245"/>
      <c r="BB271" s="285" t="str">
        <f>C271&amp;D271</f>
        <v>4224219:45 – B pálya</v>
      </c>
      <c r="BC271" s="284">
        <f>COUNTIF($BB$43:$BB$383,BB271)</f>
        <v>1</v>
      </c>
      <c r="BD271" s="512" t="str">
        <f>U271</f>
        <v>Royal Guard'sBHD</v>
      </c>
      <c r="BE271" s="245"/>
    </row>
    <row r="272" spans="1:57" ht="14.25" customHeight="1" x14ac:dyDescent="0.2">
      <c r="A272" s="842"/>
      <c r="C272" s="278"/>
      <c r="D272" s="278"/>
      <c r="E272" s="275" t="s">
        <v>485</v>
      </c>
      <c r="F272" s="275"/>
      <c r="G272" s="276"/>
      <c r="H272" s="277"/>
      <c r="I272" s="277" t="s">
        <v>495</v>
      </c>
      <c r="J272" s="223"/>
      <c r="K272" s="268"/>
      <c r="L272" s="225"/>
      <c r="M272" s="226"/>
      <c r="N272" s="209"/>
      <c r="O272" s="174"/>
      <c r="P272" s="209"/>
      <c r="Q272" s="209"/>
      <c r="R272" s="209"/>
      <c r="S272" s="209"/>
      <c r="U272" s="210" t="str">
        <f t="shared" si="204"/>
        <v>BBKszabadnapos</v>
      </c>
      <c r="V272" s="211" t="b">
        <f t="shared" si="205"/>
        <v>0</v>
      </c>
      <c r="W272" s="210">
        <f t="shared" si="217"/>
        <v>15</v>
      </c>
      <c r="X272" s="210" t="str">
        <f t="shared" si="206"/>
        <v>BBK</v>
      </c>
      <c r="Y272" s="210" t="str">
        <f t="shared" si="207"/>
        <v>szabadnapos</v>
      </c>
      <c r="Z272" s="212" t="str">
        <f t="shared" si="208"/>
        <v/>
      </c>
      <c r="AA272" s="210" t="str">
        <f t="shared" si="209"/>
        <v/>
      </c>
      <c r="AB272" s="213"/>
      <c r="AC272" s="214" t="str">
        <f t="shared" si="210"/>
        <v/>
      </c>
      <c r="AD272" s="214" t="str">
        <f t="shared" si="211"/>
        <v/>
      </c>
      <c r="AE272" s="215" t="str">
        <f t="shared" si="212"/>
        <v/>
      </c>
      <c r="AF272" s="214" t="str">
        <f t="shared" si="213"/>
        <v/>
      </c>
      <c r="AG272" s="214" t="str">
        <f t="shared" si="214"/>
        <v/>
      </c>
      <c r="AH272" s="215" t="str">
        <f t="shared" si="215"/>
        <v/>
      </c>
      <c r="AI272" s="750">
        <f>AI267</f>
        <v>42242</v>
      </c>
      <c r="AL272" s="217" t="str">
        <f>IF(OR(X272=Kedvenc!$C$43,Y272=Kedvenc!$C$43),W272,"")</f>
        <v/>
      </c>
      <c r="AM272" s="218" t="str">
        <f t="shared" si="216"/>
        <v/>
      </c>
      <c r="AP272" s="245"/>
      <c r="AQ272" s="245"/>
      <c r="AR272" s="245"/>
      <c r="AS272" s="245"/>
      <c r="AT272" s="245"/>
      <c r="AU272" s="245"/>
      <c r="AV272" s="245"/>
      <c r="AW272" s="245"/>
      <c r="AX272" s="245"/>
      <c r="AY272" s="245"/>
      <c r="BA272" s="245"/>
      <c r="BE272" s="245"/>
    </row>
    <row r="273" spans="1:57" ht="14.25" hidden="1" customHeight="1" x14ac:dyDescent="0.2">
      <c r="A273" s="842"/>
      <c r="C273" s="278"/>
      <c r="D273" s="278"/>
      <c r="E273" s="265"/>
      <c r="F273" s="265"/>
      <c r="H273" s="266"/>
      <c r="I273" s="266"/>
      <c r="J273" s="223"/>
      <c r="K273" s="268"/>
      <c r="L273" s="225"/>
      <c r="M273" s="226"/>
      <c r="N273" s="209"/>
      <c r="O273" s="174"/>
      <c r="P273" s="209"/>
      <c r="Q273" s="209"/>
      <c r="R273" s="209"/>
      <c r="S273" s="209"/>
      <c r="U273" s="210" t="str">
        <f t="shared" si="204"/>
        <v>00</v>
      </c>
      <c r="V273" s="211" t="b">
        <f t="shared" si="205"/>
        <v>0</v>
      </c>
      <c r="W273" s="210">
        <f t="shared" si="217"/>
        <v>15</v>
      </c>
      <c r="X273" s="210">
        <f t="shared" si="206"/>
        <v>0</v>
      </c>
      <c r="Y273" s="210">
        <f t="shared" si="207"/>
        <v>0</v>
      </c>
      <c r="Z273" s="212" t="str">
        <f t="shared" si="208"/>
        <v/>
      </c>
      <c r="AA273" s="210" t="str">
        <f t="shared" si="209"/>
        <v/>
      </c>
      <c r="AB273" s="213"/>
      <c r="AC273" s="214" t="str">
        <f t="shared" si="210"/>
        <v/>
      </c>
      <c r="AD273" s="214" t="str">
        <f t="shared" si="211"/>
        <v/>
      </c>
      <c r="AE273" s="215" t="str">
        <f t="shared" si="212"/>
        <v/>
      </c>
      <c r="AF273" s="214" t="str">
        <f t="shared" si="213"/>
        <v/>
      </c>
      <c r="AG273" s="214" t="str">
        <f t="shared" si="214"/>
        <v/>
      </c>
      <c r="AH273" s="215" t="str">
        <f t="shared" si="215"/>
        <v/>
      </c>
      <c r="AI273" s="216">
        <f t="shared" si="201"/>
        <v>0</v>
      </c>
      <c r="AL273" s="217" t="str">
        <f>IF(OR(X273=Kedvenc!$C$43,Y273=Kedvenc!$C$43),W273,"")</f>
        <v/>
      </c>
      <c r="AM273" s="218" t="str">
        <f t="shared" si="216"/>
        <v/>
      </c>
      <c r="AP273" s="245"/>
      <c r="AQ273" s="245"/>
      <c r="AR273" s="245"/>
      <c r="AS273" s="245"/>
      <c r="AT273" s="245"/>
      <c r="AU273" s="245"/>
      <c r="AV273" s="245"/>
      <c r="AW273" s="245"/>
      <c r="AX273" s="245"/>
      <c r="AY273" s="245"/>
      <c r="BA273" s="245"/>
      <c r="BE273" s="245"/>
    </row>
    <row r="274" spans="1:57" ht="14.25" hidden="1" customHeight="1" x14ac:dyDescent="0.2">
      <c r="A274" s="842"/>
      <c r="C274" s="278"/>
      <c r="D274" s="278"/>
      <c r="E274" s="265"/>
      <c r="F274" s="265"/>
      <c r="H274" s="266"/>
      <c r="I274" s="266"/>
      <c r="J274" s="223"/>
      <c r="K274" s="268"/>
      <c r="L274" s="225"/>
      <c r="M274" s="226"/>
      <c r="N274" s="209"/>
      <c r="O274" s="174"/>
      <c r="P274" s="209"/>
      <c r="Q274" s="209"/>
      <c r="R274" s="209"/>
      <c r="S274" s="209"/>
      <c r="U274" s="210" t="str">
        <f t="shared" si="204"/>
        <v>00</v>
      </c>
      <c r="V274" s="211" t="b">
        <f t="shared" si="205"/>
        <v>0</v>
      </c>
      <c r="W274" s="210">
        <f t="shared" si="217"/>
        <v>15</v>
      </c>
      <c r="X274" s="210">
        <f t="shared" si="206"/>
        <v>0</v>
      </c>
      <c r="Y274" s="210">
        <f t="shared" si="207"/>
        <v>0</v>
      </c>
      <c r="Z274" s="212" t="str">
        <f t="shared" si="208"/>
        <v/>
      </c>
      <c r="AA274" s="210" t="str">
        <f t="shared" si="209"/>
        <v/>
      </c>
      <c r="AB274" s="213"/>
      <c r="AC274" s="214" t="str">
        <f t="shared" si="210"/>
        <v/>
      </c>
      <c r="AD274" s="214" t="str">
        <f t="shared" si="211"/>
        <v/>
      </c>
      <c r="AE274" s="215" t="str">
        <f t="shared" si="212"/>
        <v/>
      </c>
      <c r="AF274" s="214" t="str">
        <f t="shared" si="213"/>
        <v/>
      </c>
      <c r="AG274" s="214" t="str">
        <f t="shared" si="214"/>
        <v/>
      </c>
      <c r="AH274" s="215" t="str">
        <f t="shared" si="215"/>
        <v/>
      </c>
      <c r="AI274" s="216">
        <f t="shared" si="201"/>
        <v>0</v>
      </c>
      <c r="AL274" s="217" t="str">
        <f>IF(OR(X274=Kedvenc!$C$43,Y274=Kedvenc!$C$43),W274,"")</f>
        <v/>
      </c>
      <c r="AM274" s="218" t="str">
        <f t="shared" si="216"/>
        <v/>
      </c>
      <c r="AP274" s="245"/>
      <c r="AQ274" s="245"/>
      <c r="AR274" s="245"/>
      <c r="AS274" s="245"/>
      <c r="AT274" s="245"/>
      <c r="AU274" s="245"/>
      <c r="AV274" s="245"/>
      <c r="AW274" s="245"/>
      <c r="AX274" s="245"/>
      <c r="AY274" s="245"/>
      <c r="BA274" s="245"/>
      <c r="BE274" s="245"/>
    </row>
    <row r="275" spans="1:57" ht="14.25" hidden="1" customHeight="1" x14ac:dyDescent="0.2">
      <c r="A275" s="842"/>
      <c r="C275" s="278"/>
      <c r="D275" s="278"/>
      <c r="E275" s="265"/>
      <c r="F275" s="265"/>
      <c r="H275" s="266"/>
      <c r="I275" s="266"/>
      <c r="J275" s="223"/>
      <c r="K275" s="268"/>
      <c r="L275" s="225"/>
      <c r="M275" s="226"/>
      <c r="N275" s="209"/>
      <c r="O275" s="174"/>
      <c r="P275" s="209"/>
      <c r="Q275" s="209"/>
      <c r="R275" s="209"/>
      <c r="S275" s="209"/>
      <c r="U275" s="210" t="str">
        <f t="shared" si="204"/>
        <v>00</v>
      </c>
      <c r="V275" s="211" t="b">
        <f t="shared" si="205"/>
        <v>0</v>
      </c>
      <c r="W275" s="210">
        <f t="shared" si="217"/>
        <v>15</v>
      </c>
      <c r="X275" s="210">
        <f t="shared" si="206"/>
        <v>0</v>
      </c>
      <c r="Y275" s="210">
        <f t="shared" si="207"/>
        <v>0</v>
      </c>
      <c r="Z275" s="212" t="str">
        <f t="shared" si="208"/>
        <v/>
      </c>
      <c r="AA275" s="210" t="str">
        <f t="shared" si="209"/>
        <v/>
      </c>
      <c r="AB275" s="213"/>
      <c r="AC275" s="214" t="str">
        <f t="shared" si="210"/>
        <v/>
      </c>
      <c r="AD275" s="214" t="str">
        <f t="shared" si="211"/>
        <v/>
      </c>
      <c r="AE275" s="215" t="str">
        <f t="shared" si="212"/>
        <v/>
      </c>
      <c r="AF275" s="214" t="str">
        <f t="shared" si="213"/>
        <v/>
      </c>
      <c r="AG275" s="214" t="str">
        <f t="shared" si="214"/>
        <v/>
      </c>
      <c r="AH275" s="215" t="str">
        <f t="shared" si="215"/>
        <v/>
      </c>
      <c r="AI275" s="216">
        <f t="shared" si="201"/>
        <v>0</v>
      </c>
      <c r="AL275" s="217" t="str">
        <f>IF(OR(X275=Kedvenc!$C$43,Y275=Kedvenc!$C$43),W275,"")</f>
        <v/>
      </c>
      <c r="AM275" s="218" t="str">
        <f t="shared" si="216"/>
        <v/>
      </c>
      <c r="AP275" s="245"/>
      <c r="AQ275" s="245"/>
      <c r="AR275" s="245"/>
      <c r="AS275" s="245"/>
      <c r="AT275" s="245"/>
      <c r="AU275" s="245"/>
      <c r="AV275" s="245"/>
      <c r="AW275" s="245"/>
      <c r="AX275" s="245"/>
      <c r="AY275" s="245"/>
      <c r="BA275" s="245"/>
      <c r="BE275" s="245"/>
    </row>
    <row r="276" spans="1:57" ht="14.25" hidden="1" customHeight="1" x14ac:dyDescent="0.2">
      <c r="A276" s="842"/>
      <c r="C276" s="278"/>
      <c r="D276" s="278"/>
      <c r="E276" s="265"/>
      <c r="F276" s="265"/>
      <c r="H276" s="266"/>
      <c r="I276" s="266"/>
      <c r="J276" s="223"/>
      <c r="K276" s="268"/>
      <c r="L276" s="225"/>
      <c r="M276" s="226"/>
      <c r="N276" s="209"/>
      <c r="O276" s="174"/>
      <c r="P276" s="209"/>
      <c r="Q276" s="209"/>
      <c r="R276" s="209"/>
      <c r="S276" s="209"/>
      <c r="U276" s="210" t="str">
        <f t="shared" si="204"/>
        <v>00</v>
      </c>
      <c r="V276" s="211" t="b">
        <f t="shared" si="205"/>
        <v>0</v>
      </c>
      <c r="W276" s="210">
        <f t="shared" si="217"/>
        <v>15</v>
      </c>
      <c r="X276" s="210">
        <f t="shared" si="206"/>
        <v>0</v>
      </c>
      <c r="Y276" s="210">
        <f t="shared" si="207"/>
        <v>0</v>
      </c>
      <c r="Z276" s="212" t="str">
        <f t="shared" si="208"/>
        <v/>
      </c>
      <c r="AA276" s="210" t="str">
        <f t="shared" si="209"/>
        <v/>
      </c>
      <c r="AB276" s="213"/>
      <c r="AC276" s="214" t="str">
        <f t="shared" si="210"/>
        <v/>
      </c>
      <c r="AD276" s="214" t="str">
        <f t="shared" si="211"/>
        <v/>
      </c>
      <c r="AE276" s="215" t="str">
        <f t="shared" si="212"/>
        <v/>
      </c>
      <c r="AF276" s="214" t="str">
        <f t="shared" si="213"/>
        <v/>
      </c>
      <c r="AG276" s="214" t="str">
        <f t="shared" si="214"/>
        <v/>
      </c>
      <c r="AH276" s="215" t="str">
        <f t="shared" si="215"/>
        <v/>
      </c>
      <c r="AI276" s="216">
        <f t="shared" si="201"/>
        <v>0</v>
      </c>
      <c r="AL276" s="217" t="str">
        <f>IF(OR(X276=Kedvenc!$C$43,Y276=Kedvenc!$C$43),W276,"")</f>
        <v/>
      </c>
      <c r="AM276" s="218" t="str">
        <f t="shared" si="216"/>
        <v/>
      </c>
      <c r="AP276" s="245"/>
      <c r="AQ276" s="245"/>
      <c r="AR276" s="245"/>
      <c r="AS276" s="245"/>
      <c r="AT276" s="245"/>
      <c r="AU276" s="245"/>
      <c r="AV276" s="245"/>
      <c r="AW276" s="245"/>
      <c r="AX276" s="245"/>
      <c r="AY276" s="245"/>
      <c r="BA276" s="245"/>
      <c r="BE276" s="245"/>
    </row>
    <row r="277" spans="1:57" ht="14.25" hidden="1" customHeight="1" x14ac:dyDescent="0.2">
      <c r="A277" s="842"/>
      <c r="C277" s="278"/>
      <c r="D277" s="278"/>
      <c r="E277" s="265"/>
      <c r="F277" s="265"/>
      <c r="H277" s="266"/>
      <c r="I277" s="266"/>
      <c r="J277" s="223"/>
      <c r="K277" s="268"/>
      <c r="L277" s="225"/>
      <c r="M277" s="226"/>
      <c r="N277" s="209"/>
      <c r="O277" s="174"/>
      <c r="P277" s="209"/>
      <c r="Q277" s="209"/>
      <c r="R277" s="209"/>
      <c r="S277" s="209"/>
      <c r="U277" s="210" t="str">
        <f t="shared" si="204"/>
        <v>00</v>
      </c>
      <c r="V277" s="211" t="b">
        <f t="shared" si="205"/>
        <v>0</v>
      </c>
      <c r="W277" s="210">
        <f t="shared" si="217"/>
        <v>15</v>
      </c>
      <c r="X277" s="210">
        <f t="shared" si="206"/>
        <v>0</v>
      </c>
      <c r="Y277" s="210">
        <f t="shared" si="207"/>
        <v>0</v>
      </c>
      <c r="Z277" s="212" t="str">
        <f t="shared" si="208"/>
        <v/>
      </c>
      <c r="AA277" s="210" t="str">
        <f t="shared" si="209"/>
        <v/>
      </c>
      <c r="AB277" s="213"/>
      <c r="AC277" s="214" t="str">
        <f t="shared" si="210"/>
        <v/>
      </c>
      <c r="AD277" s="214" t="str">
        <f t="shared" si="211"/>
        <v/>
      </c>
      <c r="AE277" s="215" t="str">
        <f t="shared" si="212"/>
        <v/>
      </c>
      <c r="AF277" s="214" t="str">
        <f t="shared" si="213"/>
        <v/>
      </c>
      <c r="AG277" s="214" t="str">
        <f t="shared" si="214"/>
        <v/>
      </c>
      <c r="AH277" s="215" t="str">
        <f t="shared" si="215"/>
        <v/>
      </c>
      <c r="AI277" s="216">
        <f t="shared" si="201"/>
        <v>0</v>
      </c>
      <c r="AL277" s="217" t="str">
        <f>IF(OR(X277=Kedvenc!$C$43,Y277=Kedvenc!$C$43),W277,"")</f>
        <v/>
      </c>
      <c r="AM277" s="218" t="str">
        <f t="shared" si="216"/>
        <v/>
      </c>
      <c r="AP277" s="245"/>
      <c r="AQ277" s="245"/>
      <c r="AR277" s="245"/>
      <c r="AS277" s="245"/>
      <c r="AT277" s="245"/>
      <c r="AU277" s="245"/>
      <c r="AV277" s="245"/>
      <c r="AW277" s="245"/>
      <c r="AX277" s="245"/>
      <c r="AY277" s="245"/>
      <c r="BA277" s="245"/>
      <c r="BE277" s="245"/>
    </row>
    <row r="278" spans="1:57" ht="14.25" hidden="1" customHeight="1" x14ac:dyDescent="0.2">
      <c r="A278" s="842"/>
      <c r="C278" s="278"/>
      <c r="D278" s="278"/>
      <c r="E278" s="265"/>
      <c r="F278" s="265"/>
      <c r="H278" s="266"/>
      <c r="I278" s="266"/>
      <c r="J278" s="169"/>
      <c r="K278" s="268"/>
      <c r="L278" s="228"/>
      <c r="M278" s="228"/>
      <c r="N278" s="228"/>
      <c r="O278" s="174"/>
      <c r="P278" s="209"/>
      <c r="Q278" s="209"/>
      <c r="R278" s="209"/>
      <c r="S278" s="209"/>
      <c r="U278" s="210" t="str">
        <f t="shared" si="204"/>
        <v>00</v>
      </c>
      <c r="V278" s="211" t="b">
        <f t="shared" si="205"/>
        <v>0</v>
      </c>
      <c r="W278" s="210">
        <f t="shared" si="217"/>
        <v>15</v>
      </c>
      <c r="X278" s="210">
        <f t="shared" si="206"/>
        <v>0</v>
      </c>
      <c r="Y278" s="210">
        <f t="shared" si="207"/>
        <v>0</v>
      </c>
      <c r="Z278" s="212" t="str">
        <f t="shared" si="208"/>
        <v/>
      </c>
      <c r="AA278" s="210" t="str">
        <f t="shared" si="209"/>
        <v/>
      </c>
      <c r="AB278" s="213"/>
      <c r="AC278" s="214" t="str">
        <f t="shared" si="210"/>
        <v/>
      </c>
      <c r="AD278" s="214" t="str">
        <f t="shared" si="211"/>
        <v/>
      </c>
      <c r="AE278" s="215" t="str">
        <f t="shared" si="212"/>
        <v/>
      </c>
      <c r="AF278" s="214" t="str">
        <f t="shared" si="213"/>
        <v/>
      </c>
      <c r="AG278" s="214" t="str">
        <f t="shared" si="214"/>
        <v/>
      </c>
      <c r="AH278" s="215" t="str">
        <f t="shared" si="215"/>
        <v/>
      </c>
      <c r="AI278" s="216">
        <f t="shared" si="201"/>
        <v>0</v>
      </c>
      <c r="AL278" s="217" t="str">
        <f>IF(OR(X278=Kedvenc!$C$43,Y278=Kedvenc!$C$43),W278,"")</f>
        <v/>
      </c>
      <c r="AM278" s="218" t="str">
        <f t="shared" si="216"/>
        <v/>
      </c>
      <c r="AP278" s="245"/>
      <c r="AQ278" s="245"/>
      <c r="AR278" s="245"/>
      <c r="AS278" s="245"/>
      <c r="AT278" s="245"/>
      <c r="AU278" s="245"/>
      <c r="AV278" s="245"/>
      <c r="AW278" s="245"/>
      <c r="AX278" s="245"/>
      <c r="AY278" s="245"/>
      <c r="BA278" s="245"/>
      <c r="BE278" s="245"/>
    </row>
    <row r="279" spans="1:57" ht="14.25" customHeight="1" x14ac:dyDescent="0.2">
      <c r="A279" s="842"/>
      <c r="E279" s="247"/>
      <c r="F279" s="248"/>
      <c r="G279" s="248"/>
      <c r="H279" s="248"/>
      <c r="I279" s="247"/>
      <c r="J279" s="172"/>
      <c r="K279" s="228"/>
      <c r="L279" s="228"/>
      <c r="M279" s="228"/>
      <c r="N279" s="228"/>
      <c r="O279" s="174"/>
      <c r="P279" s="209"/>
      <c r="Q279" s="209"/>
      <c r="R279" s="209"/>
      <c r="S279" s="209"/>
      <c r="W279" s="231"/>
      <c r="AC279" s="233"/>
      <c r="AD279" s="233"/>
      <c r="AE279" s="234"/>
      <c r="AF279" s="233"/>
      <c r="AG279" s="233"/>
      <c r="AH279" s="234"/>
      <c r="AI279" s="234"/>
      <c r="AP279" s="245"/>
      <c r="AQ279" s="245"/>
      <c r="AR279" s="245"/>
      <c r="AS279" s="245"/>
      <c r="AT279" s="245"/>
      <c r="AU279" s="245"/>
      <c r="AV279" s="245"/>
      <c r="AW279" s="245"/>
      <c r="AX279" s="245"/>
      <c r="AY279" s="245"/>
      <c r="BA279" s="245"/>
      <c r="BE279" s="245"/>
    </row>
    <row r="280" spans="1:57" ht="14.25" customHeight="1" x14ac:dyDescent="0.2">
      <c r="A280" s="842"/>
      <c r="E280" s="224"/>
      <c r="F280" s="225"/>
      <c r="G280" s="226"/>
      <c r="H280" s="209"/>
      <c r="I280" s="227"/>
      <c r="J280" s="169"/>
      <c r="K280" s="228"/>
      <c r="L280" s="225"/>
      <c r="M280" s="226"/>
      <c r="N280" s="209"/>
      <c r="O280" s="174"/>
      <c r="P280" s="209"/>
      <c r="Q280" s="209"/>
      <c r="R280" s="209"/>
      <c r="S280" s="209"/>
      <c r="W280" s="231"/>
      <c r="AC280" s="233"/>
      <c r="AD280" s="233"/>
      <c r="AE280" s="234"/>
      <c r="AF280" s="233"/>
      <c r="AG280" s="233"/>
      <c r="AH280" s="234"/>
      <c r="AI280" s="197"/>
      <c r="AP280" s="245"/>
      <c r="AQ280" s="245"/>
      <c r="AR280" s="245"/>
      <c r="AS280" s="245"/>
      <c r="AT280" s="245"/>
      <c r="AU280" s="245"/>
      <c r="AV280" s="245"/>
      <c r="AW280" s="245"/>
      <c r="AX280" s="245"/>
      <c r="AY280" s="245"/>
      <c r="BA280" s="245"/>
      <c r="BD280" s="245"/>
      <c r="BE280" s="245"/>
    </row>
    <row r="281" spans="1:57" ht="14.25" customHeight="1" x14ac:dyDescent="0.2">
      <c r="A281" s="842"/>
      <c r="B281" s="187"/>
      <c r="C281" s="269" t="str">
        <f>CONCATENATE(" ",AB283,"."," forduló  –")</f>
        <v xml:space="preserve"> 16. forduló  –</v>
      </c>
      <c r="D281" s="843">
        <f>VLOOKUP(AB283,ASZ!$AQ$59:$AS$104,2,FALSE)</f>
        <v>42249</v>
      </c>
      <c r="E281" s="843"/>
      <c r="F281" s="274"/>
      <c r="G281" s="274"/>
      <c r="H281" s="274"/>
      <c r="I281" s="270" t="str">
        <f>CONCATENATE(IF($AW$61,"pont: ","gól: "),SUM(F283:H294)," / átlag: ",TEXT(IF(COUNT(F283:H294)=0,"-",SUM(F283:H294)/COUNT(F283:H294)*2),"0,00"))</f>
        <v>gól: 33 / átlag: 6,60</v>
      </c>
      <c r="J281" s="190"/>
      <c r="K281" s="271" t="s">
        <v>285</v>
      </c>
      <c r="L281" s="192"/>
      <c r="U281" s="229"/>
      <c r="V281" s="230"/>
      <c r="W281" s="231"/>
      <c r="X281" s="231"/>
      <c r="Y281" s="231"/>
      <c r="Z281" s="232"/>
      <c r="AA281" s="231"/>
      <c r="AC281" s="197"/>
      <c r="AD281" s="197"/>
      <c r="AE281" s="197"/>
      <c r="AF281" s="197"/>
      <c r="AG281" s="197"/>
      <c r="AH281" s="197"/>
      <c r="AI281" s="197"/>
      <c r="AQ281" s="245"/>
      <c r="AR281" s="245"/>
      <c r="AS281" s="245"/>
      <c r="AT281" s="245"/>
    </row>
    <row r="282" spans="1:57" ht="9" customHeight="1" x14ac:dyDescent="0.2">
      <c r="A282" s="842"/>
      <c r="J282" s="169"/>
      <c r="K282" s="228"/>
      <c r="L282" s="225"/>
      <c r="M282" s="226"/>
      <c r="N282" s="209"/>
      <c r="O282" s="174"/>
      <c r="P282" s="209"/>
      <c r="Q282" s="209"/>
      <c r="R282" s="209"/>
      <c r="S282" s="209"/>
      <c r="AP282" s="245"/>
      <c r="AQ282" s="245"/>
      <c r="AR282" s="245"/>
      <c r="AS282" s="245"/>
      <c r="AT282" s="245"/>
      <c r="AU282" s="245"/>
      <c r="AV282" s="245"/>
      <c r="AW282" s="245"/>
      <c r="AX282" s="245"/>
      <c r="AY282" s="245"/>
      <c r="BA282" s="245"/>
      <c r="BE282" s="245"/>
    </row>
    <row r="283" spans="1:57" ht="14.25" customHeight="1" x14ac:dyDescent="0.2">
      <c r="A283" s="842"/>
      <c r="C283" s="255">
        <v>42249</v>
      </c>
      <c r="D283" s="255" t="s">
        <v>497</v>
      </c>
      <c r="E283" s="265" t="s">
        <v>486</v>
      </c>
      <c r="F283" s="272">
        <v>2</v>
      </c>
      <c r="G283" s="200" t="s">
        <v>247</v>
      </c>
      <c r="H283" s="273">
        <v>7</v>
      </c>
      <c r="I283" s="266" t="s">
        <v>491</v>
      </c>
      <c r="J283" s="207"/>
      <c r="K283" s="267"/>
      <c r="L283" s="225"/>
      <c r="M283" s="226"/>
      <c r="N283" s="209"/>
      <c r="O283" s="174"/>
      <c r="P283" s="209"/>
      <c r="Q283" s="209"/>
      <c r="R283" s="209"/>
      <c r="S283" s="209"/>
      <c r="U283" s="210" t="str">
        <f t="shared" ref="U283:U294" si="218">X283&amp;Y283</f>
        <v>BHDK&amp;H</v>
      </c>
      <c r="V283" s="211" t="b">
        <f t="shared" ref="V283:V294" si="219">AND(F283&lt;&gt;"",H283&lt;&gt;"")</f>
        <v>1</v>
      </c>
      <c r="W283" s="210">
        <f>AB283</f>
        <v>16</v>
      </c>
      <c r="X283" s="210" t="str">
        <f t="shared" ref="X283:X294" si="220">E283</f>
        <v>BHD</v>
      </c>
      <c r="Y283" s="210" t="str">
        <f t="shared" ref="Y283:Y294" si="221">I283</f>
        <v>K&amp;H</v>
      </c>
      <c r="Z283" s="212">
        <f t="shared" ref="Z283:Z294" si="222">IF(V283,F283,"")</f>
        <v>2</v>
      </c>
      <c r="AA283" s="210">
        <f t="shared" ref="AA283:AA294" si="223">IF(V283,H283,"")</f>
        <v>7</v>
      </c>
      <c r="AB283" s="213">
        <f>IF(NOT(ASZTAB!$X$71),AB267+1,AB267+COUNTIF(AB251:AB282,AB267)-1)</f>
        <v>16</v>
      </c>
      <c r="AC283" s="214" t="str">
        <f t="shared" ref="AC283:AC294" si="224">IF(Z283&gt;AA283,X283,"")</f>
        <v/>
      </c>
      <c r="AD283" s="214" t="str">
        <f t="shared" ref="AD283:AD294" si="225">IF(AA283="","",IF(Z283=AA283,X283,""))</f>
        <v/>
      </c>
      <c r="AE283" s="215" t="str">
        <f t="shared" ref="AE283:AE294" si="226">IF(AND($AW$61,Z283=0,AA283=20),X283&amp;"ooo",IF(Z283&lt;AA283,X283,""))</f>
        <v>BHD</v>
      </c>
      <c r="AF283" s="214" t="str">
        <f t="shared" ref="AF283:AF294" si="227">IF(AA283&gt;Z283,Y283,"")</f>
        <v>K&amp;H</v>
      </c>
      <c r="AG283" s="214" t="str">
        <f t="shared" ref="AG283:AG294" si="228">IF(AA283="","",IF(Z283=AA283,Y283,""))</f>
        <v/>
      </c>
      <c r="AH283" s="215" t="str">
        <f t="shared" ref="AH283:AH294" si="229">IF(AND($AW$61,Z283=20,AA283=0),Y283&amp;"ooo",IF(Z283&gt;AA283,Y283,""))</f>
        <v/>
      </c>
      <c r="AI283" s="216">
        <f>C283</f>
        <v>42249</v>
      </c>
      <c r="AL283" s="217" t="str">
        <f>IF(OR(X283=Kedvenc!$C$43,Y283=Kedvenc!$C$43),W283,"")</f>
        <v/>
      </c>
      <c r="AM283" s="218" t="str">
        <f t="shared" ref="AM283:AM294" si="230">IF(AL283="","",U283)</f>
        <v/>
      </c>
      <c r="AQ283" s="245"/>
      <c r="AR283" s="245"/>
      <c r="AS283" s="245"/>
      <c r="AT283" s="245"/>
      <c r="BB283" s="285" t="str">
        <f>C283&amp;D283</f>
        <v>4224919:00 – A pálya</v>
      </c>
      <c r="BC283" s="284">
        <f>COUNTIF($BB$43:$BB$383,BB283)</f>
        <v>1</v>
      </c>
      <c r="BD283" s="512" t="str">
        <f>U283</f>
        <v>BHDK&amp;H</v>
      </c>
    </row>
    <row r="284" spans="1:57" ht="14.25" customHeight="1" x14ac:dyDescent="0.2">
      <c r="A284" s="842"/>
      <c r="C284" s="255">
        <v>42249</v>
      </c>
      <c r="D284" s="255" t="s">
        <v>498</v>
      </c>
      <c r="E284" s="265" t="s">
        <v>485</v>
      </c>
      <c r="F284" s="272">
        <v>3</v>
      </c>
      <c r="G284" s="200" t="s">
        <v>247</v>
      </c>
      <c r="H284" s="273">
        <v>0</v>
      </c>
      <c r="I284" s="266" t="s">
        <v>493</v>
      </c>
      <c r="J284" s="207"/>
      <c r="K284" s="268"/>
      <c r="L284" s="225"/>
      <c r="M284" s="226"/>
      <c r="N284" s="209"/>
      <c r="O284" s="174"/>
      <c r="U284" s="210" t="str">
        <f t="shared" si="218"/>
        <v>BBKVakana</v>
      </c>
      <c r="V284" s="211" t="b">
        <f t="shared" si="219"/>
        <v>1</v>
      </c>
      <c r="W284" s="210">
        <f t="shared" ref="W284:W294" si="231">W283</f>
        <v>16</v>
      </c>
      <c r="X284" s="210" t="str">
        <f t="shared" si="220"/>
        <v>BBK</v>
      </c>
      <c r="Y284" s="210" t="str">
        <f t="shared" si="221"/>
        <v>Vakana</v>
      </c>
      <c r="Z284" s="212">
        <f t="shared" si="222"/>
        <v>3</v>
      </c>
      <c r="AA284" s="210">
        <f t="shared" si="223"/>
        <v>0</v>
      </c>
      <c r="AB284" s="213"/>
      <c r="AC284" s="214" t="str">
        <f t="shared" si="224"/>
        <v>BBK</v>
      </c>
      <c r="AD284" s="214" t="str">
        <f t="shared" si="225"/>
        <v/>
      </c>
      <c r="AE284" s="215" t="str">
        <f t="shared" si="226"/>
        <v/>
      </c>
      <c r="AF284" s="214" t="str">
        <f t="shared" si="227"/>
        <v/>
      </c>
      <c r="AG284" s="214" t="str">
        <f t="shared" si="228"/>
        <v/>
      </c>
      <c r="AH284" s="215" t="str">
        <f t="shared" si="229"/>
        <v>Vakana</v>
      </c>
      <c r="AI284" s="216">
        <f t="shared" si="201"/>
        <v>42249</v>
      </c>
      <c r="AL284" s="217" t="str">
        <f>IF(OR(X284=Kedvenc!$C$43,Y284=Kedvenc!$C$43),W284,"")</f>
        <v/>
      </c>
      <c r="AM284" s="218" t="str">
        <f t="shared" si="230"/>
        <v/>
      </c>
      <c r="BB284" s="285" t="str">
        <f>C284&amp;D284</f>
        <v>4224919:45 – A pálya</v>
      </c>
      <c r="BC284" s="284">
        <f>COUNTIF($BB$43:$BB$383,BB284)</f>
        <v>1</v>
      </c>
      <c r="BD284" s="512" t="str">
        <f>U284</f>
        <v>BBKVakana</v>
      </c>
    </row>
    <row r="285" spans="1:57" ht="14.25" customHeight="1" x14ac:dyDescent="0.2">
      <c r="A285" s="842"/>
      <c r="C285" s="255">
        <v>42249</v>
      </c>
      <c r="D285" s="255" t="s">
        <v>499</v>
      </c>
      <c r="E285" s="265" t="s">
        <v>484</v>
      </c>
      <c r="F285" s="272">
        <v>1</v>
      </c>
      <c r="G285" s="200" t="s">
        <v>247</v>
      </c>
      <c r="H285" s="273">
        <v>9</v>
      </c>
      <c r="I285" s="266" t="s">
        <v>494</v>
      </c>
      <c r="J285" s="207"/>
      <c r="K285" s="268"/>
      <c r="L285" s="225"/>
      <c r="M285" s="226"/>
      <c r="N285" s="209"/>
      <c r="O285" s="174"/>
      <c r="U285" s="210" t="str">
        <f t="shared" si="218"/>
        <v>Bakafogó-Honvéd-Sashegy SEZrínyigyöngye</v>
      </c>
      <c r="V285" s="211" t="b">
        <f t="shared" si="219"/>
        <v>1</v>
      </c>
      <c r="W285" s="210">
        <f t="shared" si="231"/>
        <v>16</v>
      </c>
      <c r="X285" s="210" t="str">
        <f t="shared" si="220"/>
        <v>Bakafogó-Honvéd-Sashegy SE</v>
      </c>
      <c r="Y285" s="210" t="str">
        <f t="shared" si="221"/>
        <v>Zrínyigyöngye</v>
      </c>
      <c r="Z285" s="212">
        <f t="shared" si="222"/>
        <v>1</v>
      </c>
      <c r="AA285" s="210">
        <f t="shared" si="223"/>
        <v>9</v>
      </c>
      <c r="AB285" s="213"/>
      <c r="AC285" s="214" t="str">
        <f t="shared" si="224"/>
        <v/>
      </c>
      <c r="AD285" s="214" t="str">
        <f t="shared" si="225"/>
        <v/>
      </c>
      <c r="AE285" s="215" t="str">
        <f t="shared" si="226"/>
        <v>Bakafogó-Honvéd-Sashegy SE</v>
      </c>
      <c r="AF285" s="214" t="str">
        <f t="shared" si="227"/>
        <v>Zrínyigyöngye</v>
      </c>
      <c r="AG285" s="214" t="str">
        <f t="shared" si="228"/>
        <v/>
      </c>
      <c r="AH285" s="215" t="str">
        <f t="shared" si="229"/>
        <v/>
      </c>
      <c r="AI285" s="216">
        <f t="shared" si="201"/>
        <v>42249</v>
      </c>
      <c r="AL285" s="217" t="str">
        <f>IF(OR(X285=Kedvenc!$C$43,Y285=Kedvenc!$C$43),W285,"")</f>
        <v/>
      </c>
      <c r="AM285" s="218" t="str">
        <f t="shared" si="230"/>
        <v/>
      </c>
      <c r="BB285" s="285" t="str">
        <f>C285&amp;D285</f>
        <v>4224920:30 – A pálya</v>
      </c>
      <c r="BC285" s="284">
        <f>COUNTIF($BB$43:$BB$383,BB285)</f>
        <v>1</v>
      </c>
      <c r="BD285" s="512" t="str">
        <f>U285</f>
        <v>Bakafogó-Honvéd-Sashegy SEZrínyigyöngye</v>
      </c>
    </row>
    <row r="286" spans="1:57" ht="14.25" customHeight="1" x14ac:dyDescent="0.2">
      <c r="A286" s="842"/>
      <c r="C286" s="255">
        <v>42249</v>
      </c>
      <c r="D286" s="255" t="s">
        <v>500</v>
      </c>
      <c r="E286" s="265" t="s">
        <v>488</v>
      </c>
      <c r="F286" s="272">
        <v>4</v>
      </c>
      <c r="G286" s="200" t="s">
        <v>247</v>
      </c>
      <c r="H286" s="273">
        <v>3</v>
      </c>
      <c r="I286" s="266" t="s">
        <v>490</v>
      </c>
      <c r="J286" s="207"/>
      <c r="K286" s="268"/>
      <c r="L286" s="225"/>
      <c r="M286" s="226"/>
      <c r="N286" s="209"/>
      <c r="O286" s="174"/>
      <c r="U286" s="210" t="str">
        <f t="shared" si="218"/>
        <v>CarbonászHercules-Ludovika</v>
      </c>
      <c r="V286" s="211" t="b">
        <f t="shared" si="219"/>
        <v>1</v>
      </c>
      <c r="W286" s="210">
        <f t="shared" si="231"/>
        <v>16</v>
      </c>
      <c r="X286" s="210" t="str">
        <f t="shared" si="220"/>
        <v>Carbonász</v>
      </c>
      <c r="Y286" s="210" t="str">
        <f t="shared" si="221"/>
        <v>Hercules-Ludovika</v>
      </c>
      <c r="Z286" s="212">
        <f t="shared" si="222"/>
        <v>4</v>
      </c>
      <c r="AA286" s="210">
        <f t="shared" si="223"/>
        <v>3</v>
      </c>
      <c r="AB286" s="213"/>
      <c r="AC286" s="214" t="str">
        <f t="shared" si="224"/>
        <v>Carbonász</v>
      </c>
      <c r="AD286" s="214" t="str">
        <f t="shared" si="225"/>
        <v/>
      </c>
      <c r="AE286" s="215" t="str">
        <f t="shared" si="226"/>
        <v/>
      </c>
      <c r="AF286" s="214" t="str">
        <f t="shared" si="227"/>
        <v/>
      </c>
      <c r="AG286" s="214" t="str">
        <f t="shared" si="228"/>
        <v/>
      </c>
      <c r="AH286" s="215" t="str">
        <f t="shared" si="229"/>
        <v>Hercules-Ludovika</v>
      </c>
      <c r="AI286" s="216">
        <f t="shared" si="201"/>
        <v>42249</v>
      </c>
      <c r="AL286" s="217" t="str">
        <f>IF(OR(X286=Kedvenc!$C$43,Y286=Kedvenc!$C$43),W286,"")</f>
        <v/>
      </c>
      <c r="AM286" s="218" t="str">
        <f t="shared" si="230"/>
        <v/>
      </c>
      <c r="AP286" s="245"/>
      <c r="AQ286" s="245"/>
      <c r="AR286" s="245"/>
      <c r="AS286" s="245"/>
      <c r="AT286" s="245"/>
      <c r="AU286" s="245"/>
      <c r="AV286" s="245"/>
      <c r="AW286" s="245"/>
      <c r="AX286" s="245"/>
      <c r="AY286" s="245"/>
      <c r="BA286" s="245"/>
      <c r="BB286" s="285" t="str">
        <f>C286&amp;D286</f>
        <v>4224919:00 – B pálya</v>
      </c>
      <c r="BC286" s="284">
        <f>COUNTIF($BB$43:$BB$383,BB286)</f>
        <v>1</v>
      </c>
      <c r="BD286" s="512" t="str">
        <f>U286</f>
        <v>CarbonászHercules-Ludovika</v>
      </c>
      <c r="BE286" s="245"/>
    </row>
    <row r="287" spans="1:57" ht="14.25" customHeight="1" x14ac:dyDescent="0.2">
      <c r="A287" s="842"/>
      <c r="C287" s="255">
        <v>42249</v>
      </c>
      <c r="D287" s="255" t="s">
        <v>501</v>
      </c>
      <c r="E287" s="265" t="s">
        <v>492</v>
      </c>
      <c r="F287" s="272">
        <v>1</v>
      </c>
      <c r="G287" s="200" t="s">
        <v>247</v>
      </c>
      <c r="H287" s="273">
        <v>3</v>
      </c>
      <c r="I287" s="266" t="s">
        <v>489</v>
      </c>
      <c r="J287" s="223"/>
      <c r="K287" s="787"/>
      <c r="L287" s="225"/>
      <c r="M287" s="226"/>
      <c r="N287" s="209"/>
      <c r="O287" s="174"/>
      <c r="P287" s="209"/>
      <c r="Q287" s="209"/>
      <c r="R287" s="209"/>
      <c r="S287" s="209"/>
      <c r="U287" s="210" t="str">
        <f t="shared" si="218"/>
        <v>Royal Guard'sÉlelmesek</v>
      </c>
      <c r="V287" s="211" t="b">
        <f t="shared" si="219"/>
        <v>1</v>
      </c>
      <c r="W287" s="210">
        <f t="shared" si="231"/>
        <v>16</v>
      </c>
      <c r="X287" s="210" t="str">
        <f t="shared" si="220"/>
        <v>Royal Guard's</v>
      </c>
      <c r="Y287" s="210" t="str">
        <f t="shared" si="221"/>
        <v>Élelmesek</v>
      </c>
      <c r="Z287" s="212">
        <f t="shared" si="222"/>
        <v>1</v>
      </c>
      <c r="AA287" s="210">
        <f t="shared" si="223"/>
        <v>3</v>
      </c>
      <c r="AB287" s="213"/>
      <c r="AC287" s="214" t="str">
        <f t="shared" si="224"/>
        <v/>
      </c>
      <c r="AD287" s="214" t="str">
        <f t="shared" si="225"/>
        <v/>
      </c>
      <c r="AE287" s="215" t="str">
        <f t="shared" si="226"/>
        <v>Royal Guard's</v>
      </c>
      <c r="AF287" s="214" t="str">
        <f t="shared" si="227"/>
        <v>Élelmesek</v>
      </c>
      <c r="AG287" s="214" t="str">
        <f t="shared" si="228"/>
        <v/>
      </c>
      <c r="AH287" s="215" t="str">
        <f t="shared" si="229"/>
        <v/>
      </c>
      <c r="AI287" s="216">
        <f t="shared" si="201"/>
        <v>42249</v>
      </c>
      <c r="AL287" s="217" t="str">
        <f>IF(OR(X287=Kedvenc!$C$43,Y287=Kedvenc!$C$43),W287,"")</f>
        <v/>
      </c>
      <c r="AM287" s="218" t="str">
        <f t="shared" si="230"/>
        <v/>
      </c>
      <c r="AP287" s="245"/>
      <c r="AQ287" s="245"/>
      <c r="AR287" s="245"/>
      <c r="AS287" s="245"/>
      <c r="AT287" s="245"/>
      <c r="AU287" s="245"/>
      <c r="AV287" s="245"/>
      <c r="AW287" s="245"/>
      <c r="AX287" s="245"/>
      <c r="AY287" s="245"/>
      <c r="BA287" s="245"/>
      <c r="BB287" s="285" t="str">
        <f>C287&amp;D287</f>
        <v>4224919:45 – B pálya</v>
      </c>
      <c r="BC287" s="284">
        <f>COUNTIF($BB$43:$BB$383,BB287)</f>
        <v>1</v>
      </c>
      <c r="BD287" s="512" t="str">
        <f>U287</f>
        <v>Royal Guard'sÉlelmesek</v>
      </c>
      <c r="BE287" s="245"/>
    </row>
    <row r="288" spans="1:57" ht="14.25" customHeight="1" x14ac:dyDescent="0.2">
      <c r="A288" s="842"/>
      <c r="C288" s="278"/>
      <c r="D288" s="278"/>
      <c r="E288" s="275" t="s">
        <v>487</v>
      </c>
      <c r="F288" s="275"/>
      <c r="G288" s="276"/>
      <c r="H288" s="277"/>
      <c r="I288" s="277" t="s">
        <v>495</v>
      </c>
      <c r="J288" s="223"/>
      <c r="K288" s="268"/>
      <c r="L288" s="225"/>
      <c r="M288" s="226"/>
      <c r="N288" s="209"/>
      <c r="O288" s="174"/>
      <c r="P288" s="209"/>
      <c r="Q288" s="209"/>
      <c r="R288" s="209"/>
      <c r="S288" s="209"/>
      <c r="U288" s="210" t="str">
        <f t="shared" si="218"/>
        <v>Bőrdíszműszabadnapos</v>
      </c>
      <c r="V288" s="211" t="b">
        <f t="shared" si="219"/>
        <v>0</v>
      </c>
      <c r="W288" s="210">
        <f t="shared" si="231"/>
        <v>16</v>
      </c>
      <c r="X288" s="210" t="str">
        <f t="shared" si="220"/>
        <v>Bőrdíszmű</v>
      </c>
      <c r="Y288" s="210" t="str">
        <f t="shared" si="221"/>
        <v>szabadnapos</v>
      </c>
      <c r="Z288" s="212" t="str">
        <f t="shared" si="222"/>
        <v/>
      </c>
      <c r="AA288" s="210" t="str">
        <f t="shared" si="223"/>
        <v/>
      </c>
      <c r="AB288" s="213"/>
      <c r="AC288" s="214" t="str">
        <f t="shared" si="224"/>
        <v/>
      </c>
      <c r="AD288" s="214" t="str">
        <f t="shared" si="225"/>
        <v/>
      </c>
      <c r="AE288" s="215" t="str">
        <f t="shared" si="226"/>
        <v/>
      </c>
      <c r="AF288" s="214" t="str">
        <f t="shared" si="227"/>
        <v/>
      </c>
      <c r="AG288" s="214" t="str">
        <f t="shared" si="228"/>
        <v/>
      </c>
      <c r="AH288" s="215" t="str">
        <f t="shared" si="229"/>
        <v/>
      </c>
      <c r="AI288" s="750">
        <f>AI283</f>
        <v>42249</v>
      </c>
      <c r="AL288" s="217" t="str">
        <f>IF(OR(X288=Kedvenc!$C$43,Y288=Kedvenc!$C$43),W288,"")</f>
        <v/>
      </c>
      <c r="AM288" s="218" t="str">
        <f t="shared" si="230"/>
        <v/>
      </c>
      <c r="AP288" s="245"/>
      <c r="AQ288" s="245"/>
      <c r="AR288" s="245"/>
      <c r="AS288" s="245"/>
      <c r="AT288" s="245"/>
      <c r="AU288" s="245"/>
      <c r="AV288" s="245"/>
      <c r="AW288" s="245"/>
      <c r="AX288" s="245"/>
      <c r="AY288" s="245"/>
      <c r="BA288" s="245"/>
      <c r="BE288" s="245"/>
    </row>
    <row r="289" spans="1:57" ht="14.25" hidden="1" customHeight="1" x14ac:dyDescent="0.2">
      <c r="A289" s="842"/>
      <c r="C289" s="278"/>
      <c r="D289" s="278"/>
      <c r="E289" s="265"/>
      <c r="F289" s="265"/>
      <c r="H289" s="266"/>
      <c r="I289" s="266"/>
      <c r="J289" s="223"/>
      <c r="K289" s="268"/>
      <c r="L289" s="225"/>
      <c r="M289" s="226"/>
      <c r="N289" s="209"/>
      <c r="O289" s="174"/>
      <c r="P289" s="209"/>
      <c r="Q289" s="209"/>
      <c r="R289" s="209"/>
      <c r="S289" s="209"/>
      <c r="U289" s="210" t="str">
        <f t="shared" si="218"/>
        <v>00</v>
      </c>
      <c r="V289" s="211" t="b">
        <f t="shared" si="219"/>
        <v>0</v>
      </c>
      <c r="W289" s="210">
        <f t="shared" si="231"/>
        <v>16</v>
      </c>
      <c r="X289" s="210">
        <f t="shared" si="220"/>
        <v>0</v>
      </c>
      <c r="Y289" s="210">
        <f t="shared" si="221"/>
        <v>0</v>
      </c>
      <c r="Z289" s="212" t="str">
        <f t="shared" si="222"/>
        <v/>
      </c>
      <c r="AA289" s="210" t="str">
        <f t="shared" si="223"/>
        <v/>
      </c>
      <c r="AB289" s="213"/>
      <c r="AC289" s="214" t="str">
        <f t="shared" si="224"/>
        <v/>
      </c>
      <c r="AD289" s="214" t="str">
        <f t="shared" si="225"/>
        <v/>
      </c>
      <c r="AE289" s="215" t="str">
        <f t="shared" si="226"/>
        <v/>
      </c>
      <c r="AF289" s="214" t="str">
        <f t="shared" si="227"/>
        <v/>
      </c>
      <c r="AG289" s="214" t="str">
        <f t="shared" si="228"/>
        <v/>
      </c>
      <c r="AH289" s="215" t="str">
        <f t="shared" si="229"/>
        <v/>
      </c>
      <c r="AI289" s="216">
        <f t="shared" si="201"/>
        <v>0</v>
      </c>
      <c r="AL289" s="217" t="str">
        <f>IF(OR(X289=Kedvenc!$C$43,Y289=Kedvenc!$C$43),W289,"")</f>
        <v/>
      </c>
      <c r="AM289" s="218" t="str">
        <f t="shared" si="230"/>
        <v/>
      </c>
      <c r="AP289" s="245"/>
      <c r="AQ289" s="245"/>
      <c r="AR289" s="245"/>
      <c r="AS289" s="245"/>
      <c r="AT289" s="245"/>
      <c r="AU289" s="245"/>
      <c r="AV289" s="245"/>
      <c r="AW289" s="245"/>
      <c r="AX289" s="245"/>
      <c r="AY289" s="245"/>
      <c r="BA289" s="245"/>
      <c r="BE289" s="245"/>
    </row>
    <row r="290" spans="1:57" ht="14.25" hidden="1" customHeight="1" x14ac:dyDescent="0.2">
      <c r="A290" s="842"/>
      <c r="C290" s="278"/>
      <c r="D290" s="278"/>
      <c r="E290" s="265"/>
      <c r="F290" s="265"/>
      <c r="H290" s="266"/>
      <c r="I290" s="266"/>
      <c r="J290" s="223"/>
      <c r="K290" s="268"/>
      <c r="L290" s="225"/>
      <c r="M290" s="226"/>
      <c r="N290" s="209"/>
      <c r="O290" s="174"/>
      <c r="P290" s="209"/>
      <c r="Q290" s="209"/>
      <c r="R290" s="209"/>
      <c r="S290" s="209"/>
      <c r="U290" s="210" t="str">
        <f t="shared" si="218"/>
        <v>00</v>
      </c>
      <c r="V290" s="211" t="b">
        <f t="shared" si="219"/>
        <v>0</v>
      </c>
      <c r="W290" s="210">
        <f t="shared" si="231"/>
        <v>16</v>
      </c>
      <c r="X290" s="210">
        <f t="shared" si="220"/>
        <v>0</v>
      </c>
      <c r="Y290" s="210">
        <f t="shared" si="221"/>
        <v>0</v>
      </c>
      <c r="Z290" s="212" t="str">
        <f t="shared" si="222"/>
        <v/>
      </c>
      <c r="AA290" s="210" t="str">
        <f t="shared" si="223"/>
        <v/>
      </c>
      <c r="AB290" s="213"/>
      <c r="AC290" s="214" t="str">
        <f t="shared" si="224"/>
        <v/>
      </c>
      <c r="AD290" s="214" t="str">
        <f t="shared" si="225"/>
        <v/>
      </c>
      <c r="AE290" s="215" t="str">
        <f t="shared" si="226"/>
        <v/>
      </c>
      <c r="AF290" s="214" t="str">
        <f t="shared" si="227"/>
        <v/>
      </c>
      <c r="AG290" s="214" t="str">
        <f t="shared" si="228"/>
        <v/>
      </c>
      <c r="AH290" s="215" t="str">
        <f t="shared" si="229"/>
        <v/>
      </c>
      <c r="AI290" s="216">
        <f t="shared" si="201"/>
        <v>0</v>
      </c>
      <c r="AL290" s="217" t="str">
        <f>IF(OR(X290=Kedvenc!$C$43,Y290=Kedvenc!$C$43),W290,"")</f>
        <v/>
      </c>
      <c r="AM290" s="218" t="str">
        <f t="shared" si="230"/>
        <v/>
      </c>
      <c r="AP290" s="245"/>
      <c r="AQ290" s="245"/>
      <c r="AR290" s="245"/>
      <c r="AS290" s="245"/>
      <c r="AT290" s="245"/>
      <c r="AU290" s="245"/>
      <c r="AV290" s="245"/>
      <c r="AW290" s="245"/>
      <c r="AX290" s="245"/>
      <c r="AY290" s="245"/>
      <c r="BA290" s="245"/>
      <c r="BE290" s="245"/>
    </row>
    <row r="291" spans="1:57" ht="14.25" hidden="1" customHeight="1" x14ac:dyDescent="0.2">
      <c r="A291" s="842"/>
      <c r="C291" s="278"/>
      <c r="D291" s="278"/>
      <c r="E291" s="265"/>
      <c r="F291" s="265"/>
      <c r="H291" s="266"/>
      <c r="I291" s="266"/>
      <c r="J291" s="223"/>
      <c r="K291" s="268"/>
      <c r="L291" s="225"/>
      <c r="M291" s="226"/>
      <c r="N291" s="209"/>
      <c r="O291" s="174"/>
      <c r="P291" s="209"/>
      <c r="Q291" s="209"/>
      <c r="R291" s="209"/>
      <c r="S291" s="209"/>
      <c r="U291" s="210" t="str">
        <f t="shared" si="218"/>
        <v>00</v>
      </c>
      <c r="V291" s="211" t="b">
        <f t="shared" si="219"/>
        <v>0</v>
      </c>
      <c r="W291" s="210">
        <f t="shared" si="231"/>
        <v>16</v>
      </c>
      <c r="X291" s="210">
        <f t="shared" si="220"/>
        <v>0</v>
      </c>
      <c r="Y291" s="210">
        <f t="shared" si="221"/>
        <v>0</v>
      </c>
      <c r="Z291" s="212" t="str">
        <f t="shared" si="222"/>
        <v/>
      </c>
      <c r="AA291" s="210" t="str">
        <f t="shared" si="223"/>
        <v/>
      </c>
      <c r="AB291" s="213"/>
      <c r="AC291" s="214" t="str">
        <f t="shared" si="224"/>
        <v/>
      </c>
      <c r="AD291" s="214" t="str">
        <f t="shared" si="225"/>
        <v/>
      </c>
      <c r="AE291" s="215" t="str">
        <f t="shared" si="226"/>
        <v/>
      </c>
      <c r="AF291" s="214" t="str">
        <f t="shared" si="227"/>
        <v/>
      </c>
      <c r="AG291" s="214" t="str">
        <f t="shared" si="228"/>
        <v/>
      </c>
      <c r="AH291" s="215" t="str">
        <f t="shared" si="229"/>
        <v/>
      </c>
      <c r="AI291" s="216">
        <f t="shared" si="201"/>
        <v>0</v>
      </c>
      <c r="AL291" s="217" t="str">
        <f>IF(OR(X291=Kedvenc!$C$43,Y291=Kedvenc!$C$43),W291,"")</f>
        <v/>
      </c>
      <c r="AM291" s="218" t="str">
        <f t="shared" si="230"/>
        <v/>
      </c>
      <c r="AP291" s="245"/>
      <c r="AQ291" s="245"/>
      <c r="AR291" s="245"/>
      <c r="AS291" s="245"/>
      <c r="AT291" s="245"/>
      <c r="AU291" s="245"/>
      <c r="AV291" s="245"/>
      <c r="AW291" s="245"/>
      <c r="AX291" s="245"/>
      <c r="AY291" s="245"/>
      <c r="BA291" s="245"/>
      <c r="BE291" s="245"/>
    </row>
    <row r="292" spans="1:57" ht="14.25" hidden="1" customHeight="1" x14ac:dyDescent="0.2">
      <c r="A292" s="842"/>
      <c r="C292" s="278"/>
      <c r="D292" s="278"/>
      <c r="E292" s="265"/>
      <c r="F292" s="265"/>
      <c r="H292" s="266"/>
      <c r="I292" s="266"/>
      <c r="J292" s="223"/>
      <c r="K292" s="268"/>
      <c r="L292" s="225"/>
      <c r="M292" s="226"/>
      <c r="N292" s="209"/>
      <c r="O292" s="174"/>
      <c r="P292" s="209"/>
      <c r="Q292" s="209"/>
      <c r="R292" s="209"/>
      <c r="S292" s="209"/>
      <c r="U292" s="210" t="str">
        <f t="shared" si="218"/>
        <v>00</v>
      </c>
      <c r="V292" s="211" t="b">
        <f t="shared" si="219"/>
        <v>0</v>
      </c>
      <c r="W292" s="210">
        <f t="shared" si="231"/>
        <v>16</v>
      </c>
      <c r="X292" s="210">
        <f t="shared" si="220"/>
        <v>0</v>
      </c>
      <c r="Y292" s="210">
        <f t="shared" si="221"/>
        <v>0</v>
      </c>
      <c r="Z292" s="212" t="str">
        <f t="shared" si="222"/>
        <v/>
      </c>
      <c r="AA292" s="210" t="str">
        <f t="shared" si="223"/>
        <v/>
      </c>
      <c r="AB292" s="213"/>
      <c r="AC292" s="214" t="str">
        <f t="shared" si="224"/>
        <v/>
      </c>
      <c r="AD292" s="214" t="str">
        <f t="shared" si="225"/>
        <v/>
      </c>
      <c r="AE292" s="215" t="str">
        <f t="shared" si="226"/>
        <v/>
      </c>
      <c r="AF292" s="214" t="str">
        <f t="shared" si="227"/>
        <v/>
      </c>
      <c r="AG292" s="214" t="str">
        <f t="shared" si="228"/>
        <v/>
      </c>
      <c r="AH292" s="215" t="str">
        <f t="shared" si="229"/>
        <v/>
      </c>
      <c r="AI292" s="216">
        <f t="shared" si="201"/>
        <v>0</v>
      </c>
      <c r="AL292" s="217" t="str">
        <f>IF(OR(X292=Kedvenc!$C$43,Y292=Kedvenc!$C$43),W292,"")</f>
        <v/>
      </c>
      <c r="AM292" s="218" t="str">
        <f t="shared" si="230"/>
        <v/>
      </c>
      <c r="AP292" s="245"/>
      <c r="AQ292" s="245"/>
      <c r="AR292" s="245"/>
      <c r="AS292" s="245"/>
      <c r="AT292" s="245"/>
      <c r="AU292" s="245"/>
      <c r="AV292" s="245"/>
      <c r="AW292" s="245"/>
      <c r="AX292" s="245"/>
      <c r="AY292" s="245"/>
      <c r="BA292" s="245"/>
      <c r="BE292" s="245"/>
    </row>
    <row r="293" spans="1:57" ht="14.25" hidden="1" customHeight="1" x14ac:dyDescent="0.2">
      <c r="A293" s="842"/>
      <c r="C293" s="278"/>
      <c r="D293" s="278"/>
      <c r="E293" s="265"/>
      <c r="F293" s="265"/>
      <c r="H293" s="266"/>
      <c r="I293" s="266"/>
      <c r="J293" s="223"/>
      <c r="K293" s="268"/>
      <c r="L293" s="225"/>
      <c r="M293" s="226"/>
      <c r="N293" s="209"/>
      <c r="O293" s="174"/>
      <c r="P293" s="209"/>
      <c r="Q293" s="209"/>
      <c r="R293" s="209"/>
      <c r="S293" s="209"/>
      <c r="U293" s="210" t="str">
        <f t="shared" si="218"/>
        <v>00</v>
      </c>
      <c r="V293" s="211" t="b">
        <f t="shared" si="219"/>
        <v>0</v>
      </c>
      <c r="W293" s="210">
        <f t="shared" si="231"/>
        <v>16</v>
      </c>
      <c r="X293" s="210">
        <f t="shared" si="220"/>
        <v>0</v>
      </c>
      <c r="Y293" s="210">
        <f t="shared" si="221"/>
        <v>0</v>
      </c>
      <c r="Z293" s="212" t="str">
        <f t="shared" si="222"/>
        <v/>
      </c>
      <c r="AA293" s="210" t="str">
        <f t="shared" si="223"/>
        <v/>
      </c>
      <c r="AB293" s="213"/>
      <c r="AC293" s="214" t="str">
        <f t="shared" si="224"/>
        <v/>
      </c>
      <c r="AD293" s="214" t="str">
        <f t="shared" si="225"/>
        <v/>
      </c>
      <c r="AE293" s="215" t="str">
        <f t="shared" si="226"/>
        <v/>
      </c>
      <c r="AF293" s="214" t="str">
        <f t="shared" si="227"/>
        <v/>
      </c>
      <c r="AG293" s="214" t="str">
        <f t="shared" si="228"/>
        <v/>
      </c>
      <c r="AH293" s="215" t="str">
        <f t="shared" si="229"/>
        <v/>
      </c>
      <c r="AI293" s="216">
        <f t="shared" si="201"/>
        <v>0</v>
      </c>
      <c r="AL293" s="217" t="str">
        <f>IF(OR(X293=Kedvenc!$C$43,Y293=Kedvenc!$C$43),W293,"")</f>
        <v/>
      </c>
      <c r="AM293" s="218" t="str">
        <f t="shared" si="230"/>
        <v/>
      </c>
      <c r="AP293" s="245"/>
      <c r="AQ293" s="245"/>
      <c r="AR293" s="245"/>
      <c r="AS293" s="245"/>
      <c r="AT293" s="245"/>
      <c r="AU293" s="245"/>
      <c r="AV293" s="245"/>
      <c r="AW293" s="245"/>
      <c r="AX293" s="245"/>
      <c r="AY293" s="245"/>
      <c r="BA293" s="245"/>
      <c r="BE293" s="245"/>
    </row>
    <row r="294" spans="1:57" ht="14.25" hidden="1" customHeight="1" x14ac:dyDescent="0.2">
      <c r="A294" s="842"/>
      <c r="C294" s="278"/>
      <c r="D294" s="278"/>
      <c r="E294" s="265"/>
      <c r="F294" s="265"/>
      <c r="H294" s="266"/>
      <c r="I294" s="266"/>
      <c r="J294" s="169"/>
      <c r="K294" s="268"/>
      <c r="L294" s="228"/>
      <c r="M294" s="228"/>
      <c r="N294" s="228"/>
      <c r="O294" s="174"/>
      <c r="P294" s="209"/>
      <c r="Q294" s="209"/>
      <c r="R294" s="209"/>
      <c r="S294" s="209"/>
      <c r="U294" s="210" t="str">
        <f t="shared" si="218"/>
        <v>00</v>
      </c>
      <c r="V294" s="211" t="b">
        <f t="shared" si="219"/>
        <v>0</v>
      </c>
      <c r="W294" s="210">
        <f t="shared" si="231"/>
        <v>16</v>
      </c>
      <c r="X294" s="210">
        <f t="shared" si="220"/>
        <v>0</v>
      </c>
      <c r="Y294" s="210">
        <f t="shared" si="221"/>
        <v>0</v>
      </c>
      <c r="Z294" s="212" t="str">
        <f t="shared" si="222"/>
        <v/>
      </c>
      <c r="AA294" s="210" t="str">
        <f t="shared" si="223"/>
        <v/>
      </c>
      <c r="AB294" s="213"/>
      <c r="AC294" s="214" t="str">
        <f t="shared" si="224"/>
        <v/>
      </c>
      <c r="AD294" s="214" t="str">
        <f t="shared" si="225"/>
        <v/>
      </c>
      <c r="AE294" s="215" t="str">
        <f t="shared" si="226"/>
        <v/>
      </c>
      <c r="AF294" s="214" t="str">
        <f t="shared" si="227"/>
        <v/>
      </c>
      <c r="AG294" s="214" t="str">
        <f t="shared" si="228"/>
        <v/>
      </c>
      <c r="AH294" s="215" t="str">
        <f t="shared" si="229"/>
        <v/>
      </c>
      <c r="AI294" s="216">
        <f t="shared" si="201"/>
        <v>0</v>
      </c>
      <c r="AL294" s="217" t="str">
        <f>IF(OR(X294=Kedvenc!$C$43,Y294=Kedvenc!$C$43),W294,"")</f>
        <v/>
      </c>
      <c r="AM294" s="218" t="str">
        <f t="shared" si="230"/>
        <v/>
      </c>
      <c r="AP294" s="245"/>
      <c r="AQ294" s="245"/>
      <c r="AR294" s="245"/>
      <c r="AS294" s="245"/>
      <c r="AT294" s="245"/>
      <c r="AU294" s="245"/>
      <c r="AV294" s="245"/>
      <c r="AW294" s="245"/>
      <c r="AX294" s="245"/>
      <c r="AY294" s="245"/>
      <c r="BA294" s="245"/>
      <c r="BE294" s="245"/>
    </row>
    <row r="295" spans="1:57" ht="14.25" customHeight="1" x14ac:dyDescent="0.2">
      <c r="A295" s="842"/>
      <c r="E295" s="247"/>
      <c r="F295" s="248"/>
      <c r="G295" s="248"/>
      <c r="H295" s="248"/>
      <c r="I295" s="247"/>
      <c r="J295" s="172"/>
      <c r="K295" s="228"/>
      <c r="L295" s="228"/>
      <c r="M295" s="228"/>
      <c r="N295" s="228"/>
      <c r="O295" s="174"/>
      <c r="P295" s="209"/>
      <c r="Q295" s="209"/>
      <c r="R295" s="209"/>
      <c r="S295" s="209"/>
      <c r="W295" s="231"/>
      <c r="AC295" s="233"/>
      <c r="AD295" s="233"/>
      <c r="AE295" s="234"/>
      <c r="AF295" s="233"/>
      <c r="AG295" s="233"/>
      <c r="AH295" s="234"/>
      <c r="AI295" s="234"/>
      <c r="AP295" s="245"/>
      <c r="AQ295" s="245"/>
      <c r="AR295" s="245"/>
      <c r="AS295" s="245"/>
      <c r="AT295" s="245"/>
      <c r="AU295" s="245"/>
      <c r="AV295" s="245"/>
      <c r="AW295" s="245"/>
      <c r="AX295" s="245"/>
      <c r="AY295" s="245"/>
      <c r="BA295" s="245"/>
      <c r="BE295" s="245"/>
    </row>
    <row r="296" spans="1:57" ht="14.25" customHeight="1" x14ac:dyDescent="0.2">
      <c r="A296" s="842"/>
      <c r="E296" s="224"/>
      <c r="F296" s="225"/>
      <c r="G296" s="226"/>
      <c r="H296" s="209"/>
      <c r="I296" s="227"/>
      <c r="J296" s="169"/>
      <c r="K296" s="228"/>
      <c r="L296" s="225"/>
      <c r="M296" s="226"/>
      <c r="N296" s="209"/>
      <c r="O296" s="174"/>
      <c r="P296" s="209"/>
      <c r="Q296" s="209"/>
      <c r="R296" s="209"/>
      <c r="S296" s="209"/>
      <c r="W296" s="231"/>
      <c r="AC296" s="233"/>
      <c r="AD296" s="233"/>
      <c r="AE296" s="234"/>
      <c r="AF296" s="233"/>
      <c r="AG296" s="233"/>
      <c r="AH296" s="234"/>
      <c r="AI296" s="197"/>
      <c r="AP296" s="245"/>
      <c r="AQ296" s="245"/>
      <c r="AR296" s="245"/>
      <c r="AS296" s="245"/>
      <c r="AT296" s="245"/>
      <c r="AU296" s="245"/>
      <c r="AV296" s="245"/>
      <c r="AW296" s="245"/>
      <c r="AX296" s="245"/>
      <c r="AY296" s="245"/>
      <c r="BA296" s="245"/>
      <c r="BD296" s="245"/>
      <c r="BE296" s="245"/>
    </row>
    <row r="297" spans="1:57" ht="14.25" customHeight="1" x14ac:dyDescent="0.2">
      <c r="A297" s="842"/>
      <c r="B297" s="187"/>
      <c r="C297" s="269" t="str">
        <f>CONCATENATE(" ",AB299,"."," forduló  –")</f>
        <v xml:space="preserve"> 17. forduló  –</v>
      </c>
      <c r="D297" s="843">
        <f>VLOOKUP(AB299,ASZ!$AQ$59:$AS$104,2,FALSE)</f>
        <v>42256</v>
      </c>
      <c r="E297" s="843"/>
      <c r="F297" s="274"/>
      <c r="G297" s="274"/>
      <c r="H297" s="274"/>
      <c r="I297" s="270" t="str">
        <f>CONCATENATE(IF($AW$61,"pont: ","gól: "),SUM(F299:H310)," / átlag: ",TEXT(IF(COUNT(F299:H310)=0,"-",SUM(F299:H310)/COUNT(F299:H310)*2),"0,00"))</f>
        <v>gól: 41 / átlag: 8,20</v>
      </c>
      <c r="J297" s="190"/>
      <c r="K297" s="271" t="s">
        <v>285</v>
      </c>
      <c r="L297" s="192"/>
      <c r="U297" s="229"/>
      <c r="V297" s="230"/>
      <c r="W297" s="231"/>
      <c r="X297" s="231"/>
      <c r="Y297" s="231"/>
      <c r="Z297" s="232"/>
      <c r="AA297" s="231"/>
      <c r="AC297" s="197"/>
      <c r="AD297" s="197"/>
      <c r="AE297" s="197"/>
      <c r="AF297" s="197"/>
      <c r="AG297" s="197"/>
      <c r="AH297" s="197"/>
      <c r="AI297" s="197"/>
      <c r="AQ297" s="245"/>
      <c r="AR297" s="245"/>
      <c r="AS297" s="245"/>
      <c r="AT297" s="245"/>
    </row>
    <row r="298" spans="1:57" ht="9" customHeight="1" x14ac:dyDescent="0.2">
      <c r="A298" s="842"/>
      <c r="J298" s="169"/>
      <c r="K298" s="228"/>
      <c r="L298" s="225"/>
      <c r="M298" s="226"/>
      <c r="N298" s="209"/>
      <c r="O298" s="174"/>
      <c r="P298" s="209"/>
      <c r="Q298" s="209"/>
      <c r="R298" s="209"/>
      <c r="S298" s="209"/>
      <c r="AP298" s="245"/>
      <c r="AQ298" s="245"/>
      <c r="AR298" s="245"/>
      <c r="AS298" s="245"/>
      <c r="AT298" s="245"/>
      <c r="AU298" s="245"/>
      <c r="AV298" s="245"/>
      <c r="AW298" s="245"/>
      <c r="AX298" s="245"/>
      <c r="AY298" s="245"/>
      <c r="BA298" s="245"/>
      <c r="BE298" s="245"/>
    </row>
    <row r="299" spans="1:57" ht="14.25" customHeight="1" x14ac:dyDescent="0.2">
      <c r="A299" s="842"/>
      <c r="C299" s="255">
        <v>42256</v>
      </c>
      <c r="D299" s="255" t="s">
        <v>497</v>
      </c>
      <c r="E299" s="265" t="s">
        <v>487</v>
      </c>
      <c r="F299" s="272">
        <v>1</v>
      </c>
      <c r="G299" s="200" t="s">
        <v>247</v>
      </c>
      <c r="H299" s="273">
        <v>10</v>
      </c>
      <c r="I299" s="266" t="s">
        <v>489</v>
      </c>
      <c r="J299" s="207"/>
      <c r="K299" s="267"/>
      <c r="L299" s="225"/>
      <c r="M299" s="226"/>
      <c r="N299" s="209"/>
      <c r="O299" s="174"/>
      <c r="P299" s="209"/>
      <c r="Q299" s="209"/>
      <c r="R299" s="209"/>
      <c r="S299" s="209"/>
      <c r="U299" s="210" t="str">
        <f t="shared" ref="U299:U310" si="232">X299&amp;Y299</f>
        <v>BőrdíszműÉlelmesek</v>
      </c>
      <c r="V299" s="211" t="b">
        <f t="shared" ref="V299:V310" si="233">AND(F299&lt;&gt;"",H299&lt;&gt;"")</f>
        <v>1</v>
      </c>
      <c r="W299" s="210">
        <f>AB299</f>
        <v>17</v>
      </c>
      <c r="X299" s="210" t="str">
        <f t="shared" ref="X299:X310" si="234">E299</f>
        <v>Bőrdíszmű</v>
      </c>
      <c r="Y299" s="210" t="str">
        <f t="shared" ref="Y299:Y310" si="235">I299</f>
        <v>Élelmesek</v>
      </c>
      <c r="Z299" s="212">
        <f t="shared" ref="Z299:Z310" si="236">IF(V299,F299,"")</f>
        <v>1</v>
      </c>
      <c r="AA299" s="210">
        <f t="shared" ref="AA299:AA310" si="237">IF(V299,H299,"")</f>
        <v>10</v>
      </c>
      <c r="AB299" s="213">
        <f>IF(NOT(ASZTAB!$X$71),AB283+1,AB283+COUNTIF(AB267:AB298,AB283)-1)</f>
        <v>17</v>
      </c>
      <c r="AC299" s="214" t="str">
        <f t="shared" ref="AC299:AC310" si="238">IF(Z299&gt;AA299,X299,"")</f>
        <v/>
      </c>
      <c r="AD299" s="214" t="str">
        <f t="shared" ref="AD299:AD310" si="239">IF(AA299="","",IF(Z299=AA299,X299,""))</f>
        <v/>
      </c>
      <c r="AE299" s="215" t="str">
        <f t="shared" ref="AE299:AE310" si="240">IF(AND($AW$61,Z299=0,AA299=20),X299&amp;"ooo",IF(Z299&lt;AA299,X299,""))</f>
        <v>Bőrdíszmű</v>
      </c>
      <c r="AF299" s="214" t="str">
        <f t="shared" ref="AF299:AF310" si="241">IF(AA299&gt;Z299,Y299,"")</f>
        <v>Élelmesek</v>
      </c>
      <c r="AG299" s="214" t="str">
        <f t="shared" ref="AG299:AG310" si="242">IF(AA299="","",IF(Z299=AA299,Y299,""))</f>
        <v/>
      </c>
      <c r="AH299" s="215" t="str">
        <f t="shared" ref="AH299:AH310" si="243">IF(AND($AW$61,Z299=20,AA299=0),Y299&amp;"ooo",IF(Z299&gt;AA299,Y299,""))</f>
        <v/>
      </c>
      <c r="AI299" s="216">
        <f>C299</f>
        <v>42256</v>
      </c>
      <c r="AL299" s="217" t="str">
        <f>IF(OR(X299=Kedvenc!$C$43,Y299=Kedvenc!$C$43),W299,"")</f>
        <v/>
      </c>
      <c r="AM299" s="218" t="str">
        <f t="shared" ref="AM299:AM310" si="244">IF(AL299="","",U299)</f>
        <v/>
      </c>
      <c r="AQ299" s="245"/>
      <c r="AR299" s="245"/>
      <c r="AS299" s="245"/>
      <c r="AT299" s="245"/>
      <c r="BB299" s="285" t="str">
        <f>C299&amp;D299</f>
        <v>4225619:00 – A pálya</v>
      </c>
      <c r="BC299" s="284">
        <f>COUNTIF($BB$43:$BB$383,BB299)</f>
        <v>1</v>
      </c>
      <c r="BD299" s="512" t="str">
        <f>U299</f>
        <v>BőrdíszműÉlelmesek</v>
      </c>
    </row>
    <row r="300" spans="1:57" ht="14.25" customHeight="1" x14ac:dyDescent="0.2">
      <c r="A300" s="842"/>
      <c r="C300" s="255">
        <v>42256</v>
      </c>
      <c r="D300" s="255" t="s">
        <v>498</v>
      </c>
      <c r="E300" s="265" t="s">
        <v>488</v>
      </c>
      <c r="F300" s="272">
        <v>2</v>
      </c>
      <c r="G300" s="200" t="s">
        <v>247</v>
      </c>
      <c r="H300" s="273">
        <v>9</v>
      </c>
      <c r="I300" s="266" t="s">
        <v>485</v>
      </c>
      <c r="J300" s="207"/>
      <c r="K300" s="268"/>
      <c r="L300" s="225"/>
      <c r="M300" s="226"/>
      <c r="N300" s="209"/>
      <c r="O300" s="174"/>
      <c r="U300" s="210" t="str">
        <f t="shared" si="232"/>
        <v>CarbonászBBK</v>
      </c>
      <c r="V300" s="211" t="b">
        <f t="shared" si="233"/>
        <v>1</v>
      </c>
      <c r="W300" s="210">
        <f t="shared" ref="W300:W310" si="245">W299</f>
        <v>17</v>
      </c>
      <c r="X300" s="210" t="str">
        <f t="shared" si="234"/>
        <v>Carbonász</v>
      </c>
      <c r="Y300" s="210" t="str">
        <f t="shared" si="235"/>
        <v>BBK</v>
      </c>
      <c r="Z300" s="212">
        <f t="shared" si="236"/>
        <v>2</v>
      </c>
      <c r="AA300" s="210">
        <f t="shared" si="237"/>
        <v>9</v>
      </c>
      <c r="AB300" s="213"/>
      <c r="AC300" s="214" t="str">
        <f t="shared" si="238"/>
        <v/>
      </c>
      <c r="AD300" s="214" t="str">
        <f t="shared" si="239"/>
        <v/>
      </c>
      <c r="AE300" s="215" t="str">
        <f t="shared" si="240"/>
        <v>Carbonász</v>
      </c>
      <c r="AF300" s="214" t="str">
        <f t="shared" si="241"/>
        <v>BBK</v>
      </c>
      <c r="AG300" s="214" t="str">
        <f t="shared" si="242"/>
        <v/>
      </c>
      <c r="AH300" s="215" t="str">
        <f t="shared" si="243"/>
        <v/>
      </c>
      <c r="AI300" s="216">
        <f t="shared" si="201"/>
        <v>42256</v>
      </c>
      <c r="AL300" s="217" t="str">
        <f>IF(OR(X300=Kedvenc!$C$43,Y300=Kedvenc!$C$43),W300,"")</f>
        <v/>
      </c>
      <c r="AM300" s="218" t="str">
        <f t="shared" si="244"/>
        <v/>
      </c>
      <c r="BB300" s="285" t="str">
        <f>C300&amp;D300</f>
        <v>4225619:45 – A pálya</v>
      </c>
      <c r="BC300" s="284">
        <f>COUNTIF($BB$43:$BB$383,BB300)</f>
        <v>1</v>
      </c>
      <c r="BD300" s="512" t="str">
        <f>U300</f>
        <v>CarbonászBBK</v>
      </c>
    </row>
    <row r="301" spans="1:57" ht="14.25" customHeight="1" x14ac:dyDescent="0.2">
      <c r="A301" s="842"/>
      <c r="C301" s="255">
        <v>42256</v>
      </c>
      <c r="D301" s="255" t="s">
        <v>499</v>
      </c>
      <c r="E301" s="265" t="s">
        <v>484</v>
      </c>
      <c r="F301" s="272">
        <v>4</v>
      </c>
      <c r="G301" s="200" t="s">
        <v>247</v>
      </c>
      <c r="H301" s="273">
        <v>4</v>
      </c>
      <c r="I301" s="266" t="s">
        <v>493</v>
      </c>
      <c r="J301" s="207"/>
      <c r="K301" s="268"/>
      <c r="L301" s="225"/>
      <c r="M301" s="226"/>
      <c r="N301" s="209"/>
      <c r="O301" s="174"/>
      <c r="U301" s="210" t="str">
        <f t="shared" si="232"/>
        <v>Bakafogó-Honvéd-Sashegy SEVakana</v>
      </c>
      <c r="V301" s="211" t="b">
        <f t="shared" si="233"/>
        <v>1</v>
      </c>
      <c r="W301" s="210">
        <f t="shared" si="245"/>
        <v>17</v>
      </c>
      <c r="X301" s="210" t="str">
        <f t="shared" si="234"/>
        <v>Bakafogó-Honvéd-Sashegy SE</v>
      </c>
      <c r="Y301" s="210" t="str">
        <f t="shared" si="235"/>
        <v>Vakana</v>
      </c>
      <c r="Z301" s="212">
        <f t="shared" si="236"/>
        <v>4</v>
      </c>
      <c r="AA301" s="210">
        <f t="shared" si="237"/>
        <v>4</v>
      </c>
      <c r="AB301" s="213"/>
      <c r="AC301" s="214" t="str">
        <f t="shared" si="238"/>
        <v/>
      </c>
      <c r="AD301" s="214" t="str">
        <f t="shared" si="239"/>
        <v>Bakafogó-Honvéd-Sashegy SE</v>
      </c>
      <c r="AE301" s="215" t="str">
        <f t="shared" si="240"/>
        <v/>
      </c>
      <c r="AF301" s="214" t="str">
        <f t="shared" si="241"/>
        <v/>
      </c>
      <c r="AG301" s="214" t="str">
        <f t="shared" si="242"/>
        <v>Vakana</v>
      </c>
      <c r="AH301" s="215" t="str">
        <f t="shared" si="243"/>
        <v/>
      </c>
      <c r="AI301" s="216">
        <f t="shared" si="201"/>
        <v>42256</v>
      </c>
      <c r="AL301" s="217" t="str">
        <f>IF(OR(X301=Kedvenc!$C$43,Y301=Kedvenc!$C$43),W301,"")</f>
        <v/>
      </c>
      <c r="AM301" s="218" t="str">
        <f t="shared" si="244"/>
        <v/>
      </c>
      <c r="BB301" s="285" t="str">
        <f>C301&amp;D301</f>
        <v>4225620:30 – A pálya</v>
      </c>
      <c r="BC301" s="284">
        <f>COUNTIF($BB$43:$BB$383,BB301)</f>
        <v>1</v>
      </c>
      <c r="BD301" s="512" t="str">
        <f>U301</f>
        <v>Bakafogó-Honvéd-Sashegy SEVakana</v>
      </c>
    </row>
    <row r="302" spans="1:57" ht="14.25" customHeight="1" x14ac:dyDescent="0.2">
      <c r="A302" s="842"/>
      <c r="C302" s="255">
        <v>42256</v>
      </c>
      <c r="D302" s="255" t="s">
        <v>500</v>
      </c>
      <c r="E302" s="265" t="s">
        <v>492</v>
      </c>
      <c r="F302" s="272">
        <v>1</v>
      </c>
      <c r="G302" s="200" t="s">
        <v>247</v>
      </c>
      <c r="H302" s="273">
        <v>3</v>
      </c>
      <c r="I302" s="266" t="s">
        <v>494</v>
      </c>
      <c r="J302" s="207"/>
      <c r="K302" s="268"/>
      <c r="L302" s="225"/>
      <c r="M302" s="226"/>
      <c r="N302" s="209"/>
      <c r="O302" s="174"/>
      <c r="U302" s="210" t="str">
        <f t="shared" si="232"/>
        <v>Royal Guard'sZrínyigyöngye</v>
      </c>
      <c r="V302" s="211" t="b">
        <f t="shared" si="233"/>
        <v>1</v>
      </c>
      <c r="W302" s="210">
        <f t="shared" si="245"/>
        <v>17</v>
      </c>
      <c r="X302" s="210" t="str">
        <f t="shared" si="234"/>
        <v>Royal Guard's</v>
      </c>
      <c r="Y302" s="210" t="str">
        <f t="shared" si="235"/>
        <v>Zrínyigyöngye</v>
      </c>
      <c r="Z302" s="212">
        <f t="shared" si="236"/>
        <v>1</v>
      </c>
      <c r="AA302" s="210">
        <f t="shared" si="237"/>
        <v>3</v>
      </c>
      <c r="AB302" s="213"/>
      <c r="AC302" s="214" t="str">
        <f t="shared" si="238"/>
        <v/>
      </c>
      <c r="AD302" s="214" t="str">
        <f t="shared" si="239"/>
        <v/>
      </c>
      <c r="AE302" s="215" t="str">
        <f t="shared" si="240"/>
        <v>Royal Guard's</v>
      </c>
      <c r="AF302" s="214" t="str">
        <f t="shared" si="241"/>
        <v>Zrínyigyöngye</v>
      </c>
      <c r="AG302" s="214" t="str">
        <f t="shared" si="242"/>
        <v/>
      </c>
      <c r="AH302" s="215" t="str">
        <f t="shared" si="243"/>
        <v/>
      </c>
      <c r="AI302" s="216">
        <f t="shared" si="201"/>
        <v>42256</v>
      </c>
      <c r="AL302" s="217" t="str">
        <f>IF(OR(X302=Kedvenc!$C$43,Y302=Kedvenc!$C$43),W302,"")</f>
        <v/>
      </c>
      <c r="AM302" s="218" t="str">
        <f t="shared" si="244"/>
        <v/>
      </c>
      <c r="AP302" s="245"/>
      <c r="AQ302" s="245"/>
      <c r="AR302" s="245"/>
      <c r="AS302" s="245"/>
      <c r="AT302" s="245"/>
      <c r="AU302" s="245"/>
      <c r="AV302" s="245"/>
      <c r="AW302" s="245"/>
      <c r="AX302" s="245"/>
      <c r="AY302" s="245"/>
      <c r="BA302" s="245"/>
      <c r="BB302" s="285" t="str">
        <f>C302&amp;D302</f>
        <v>4225619:00 – B pálya</v>
      </c>
      <c r="BC302" s="284">
        <f>COUNTIF($BB$43:$BB$383,BB302)</f>
        <v>1</v>
      </c>
      <c r="BD302" s="512" t="str">
        <f>U302</f>
        <v>Royal Guard'sZrínyigyöngye</v>
      </c>
      <c r="BE302" s="245"/>
    </row>
    <row r="303" spans="1:57" ht="14.25" customHeight="1" x14ac:dyDescent="0.2">
      <c r="A303" s="842"/>
      <c r="C303" s="255">
        <v>42256</v>
      </c>
      <c r="D303" s="255" t="s">
        <v>501</v>
      </c>
      <c r="E303" s="265" t="s">
        <v>490</v>
      </c>
      <c r="F303" s="272">
        <v>0</v>
      </c>
      <c r="G303" s="200" t="s">
        <v>247</v>
      </c>
      <c r="H303" s="273">
        <v>7</v>
      </c>
      <c r="I303" s="266" t="s">
        <v>491</v>
      </c>
      <c r="J303" s="223"/>
      <c r="K303" s="787"/>
      <c r="L303" s="225"/>
      <c r="M303" s="226"/>
      <c r="N303" s="209"/>
      <c r="O303" s="174"/>
      <c r="P303" s="209"/>
      <c r="Q303" s="209"/>
      <c r="R303" s="209"/>
      <c r="S303" s="209"/>
      <c r="U303" s="210" t="str">
        <f t="shared" si="232"/>
        <v>Hercules-LudovikaK&amp;H</v>
      </c>
      <c r="V303" s="211" t="b">
        <f t="shared" si="233"/>
        <v>1</v>
      </c>
      <c r="W303" s="210">
        <f t="shared" si="245"/>
        <v>17</v>
      </c>
      <c r="X303" s="210" t="str">
        <f t="shared" si="234"/>
        <v>Hercules-Ludovika</v>
      </c>
      <c r="Y303" s="210" t="str">
        <f t="shared" si="235"/>
        <v>K&amp;H</v>
      </c>
      <c r="Z303" s="212">
        <f t="shared" si="236"/>
        <v>0</v>
      </c>
      <c r="AA303" s="210">
        <f t="shared" si="237"/>
        <v>7</v>
      </c>
      <c r="AB303" s="213"/>
      <c r="AC303" s="214" t="str">
        <f t="shared" si="238"/>
        <v/>
      </c>
      <c r="AD303" s="214" t="str">
        <f t="shared" si="239"/>
        <v/>
      </c>
      <c r="AE303" s="215" t="str">
        <f t="shared" si="240"/>
        <v>Hercules-Ludovika</v>
      </c>
      <c r="AF303" s="214" t="str">
        <f t="shared" si="241"/>
        <v>K&amp;H</v>
      </c>
      <c r="AG303" s="214" t="str">
        <f t="shared" si="242"/>
        <v/>
      </c>
      <c r="AH303" s="215" t="str">
        <f t="shared" si="243"/>
        <v/>
      </c>
      <c r="AI303" s="216">
        <f t="shared" si="201"/>
        <v>42256</v>
      </c>
      <c r="AL303" s="217" t="str">
        <f>IF(OR(X303=Kedvenc!$C$43,Y303=Kedvenc!$C$43),W303,"")</f>
        <v/>
      </c>
      <c r="AM303" s="218" t="str">
        <f t="shared" si="244"/>
        <v/>
      </c>
      <c r="AP303" s="245"/>
      <c r="AQ303" s="245"/>
      <c r="AR303" s="245"/>
      <c r="AS303" s="245"/>
      <c r="AT303" s="245"/>
      <c r="AU303" s="245"/>
      <c r="AV303" s="245"/>
      <c r="AW303" s="245"/>
      <c r="AX303" s="245"/>
      <c r="AY303" s="245"/>
      <c r="BA303" s="245"/>
      <c r="BB303" s="285" t="str">
        <f>C303&amp;D303</f>
        <v>4225619:45 – B pálya</v>
      </c>
      <c r="BC303" s="284">
        <f>COUNTIF($BB$43:$BB$383,BB303)</f>
        <v>1</v>
      </c>
      <c r="BD303" s="512" t="str">
        <f>U303</f>
        <v>Hercules-LudovikaK&amp;H</v>
      </c>
      <c r="BE303" s="245"/>
    </row>
    <row r="304" spans="1:57" ht="14.25" customHeight="1" x14ac:dyDescent="0.2">
      <c r="A304" s="842"/>
      <c r="C304" s="278"/>
      <c r="D304" s="278"/>
      <c r="E304" s="275" t="s">
        <v>486</v>
      </c>
      <c r="F304" s="275"/>
      <c r="G304" s="276"/>
      <c r="H304" s="277"/>
      <c r="I304" s="277" t="s">
        <v>495</v>
      </c>
      <c r="J304" s="223"/>
      <c r="K304" s="268"/>
      <c r="L304" s="225"/>
      <c r="M304" s="226"/>
      <c r="N304" s="209"/>
      <c r="O304" s="174"/>
      <c r="P304" s="209"/>
      <c r="Q304" s="209"/>
      <c r="R304" s="209"/>
      <c r="S304" s="209"/>
      <c r="U304" s="210" t="str">
        <f t="shared" si="232"/>
        <v>BHDszabadnapos</v>
      </c>
      <c r="V304" s="211" t="b">
        <f t="shared" si="233"/>
        <v>0</v>
      </c>
      <c r="W304" s="210">
        <f t="shared" si="245"/>
        <v>17</v>
      </c>
      <c r="X304" s="210" t="str">
        <f t="shared" si="234"/>
        <v>BHD</v>
      </c>
      <c r="Y304" s="210" t="str">
        <f t="shared" si="235"/>
        <v>szabadnapos</v>
      </c>
      <c r="Z304" s="212" t="str">
        <f t="shared" si="236"/>
        <v/>
      </c>
      <c r="AA304" s="210" t="str">
        <f t="shared" si="237"/>
        <v/>
      </c>
      <c r="AB304" s="213"/>
      <c r="AC304" s="214" t="str">
        <f t="shared" si="238"/>
        <v/>
      </c>
      <c r="AD304" s="214" t="str">
        <f t="shared" si="239"/>
        <v/>
      </c>
      <c r="AE304" s="215" t="str">
        <f t="shared" si="240"/>
        <v/>
      </c>
      <c r="AF304" s="214" t="str">
        <f t="shared" si="241"/>
        <v/>
      </c>
      <c r="AG304" s="214" t="str">
        <f t="shared" si="242"/>
        <v/>
      </c>
      <c r="AH304" s="215" t="str">
        <f t="shared" si="243"/>
        <v/>
      </c>
      <c r="AI304" s="750">
        <f>AI299</f>
        <v>42256</v>
      </c>
      <c r="AL304" s="217" t="str">
        <f>IF(OR(X304=Kedvenc!$C$43,Y304=Kedvenc!$C$43),W304,"")</f>
        <v/>
      </c>
      <c r="AM304" s="218" t="str">
        <f t="shared" si="244"/>
        <v/>
      </c>
      <c r="AP304" s="245"/>
      <c r="AQ304" s="245"/>
      <c r="AR304" s="245"/>
      <c r="AS304" s="245"/>
      <c r="AT304" s="245"/>
      <c r="AU304" s="245"/>
      <c r="AV304" s="245"/>
      <c r="AW304" s="245"/>
      <c r="AX304" s="245"/>
      <c r="AY304" s="245"/>
      <c r="BA304" s="245"/>
      <c r="BE304" s="245"/>
    </row>
    <row r="305" spans="1:57" ht="14.25" hidden="1" customHeight="1" x14ac:dyDescent="0.2">
      <c r="A305" s="842"/>
      <c r="C305" s="278"/>
      <c r="D305" s="278"/>
      <c r="E305" s="265"/>
      <c r="F305" s="265"/>
      <c r="H305" s="266"/>
      <c r="I305" s="266"/>
      <c r="J305" s="223"/>
      <c r="K305" s="268"/>
      <c r="L305" s="225"/>
      <c r="M305" s="226"/>
      <c r="N305" s="209"/>
      <c r="O305" s="174"/>
      <c r="P305" s="209"/>
      <c r="Q305" s="209"/>
      <c r="R305" s="209"/>
      <c r="S305" s="209"/>
      <c r="U305" s="210" t="str">
        <f t="shared" si="232"/>
        <v>00</v>
      </c>
      <c r="V305" s="211" t="b">
        <f t="shared" si="233"/>
        <v>0</v>
      </c>
      <c r="W305" s="210">
        <f t="shared" si="245"/>
        <v>17</v>
      </c>
      <c r="X305" s="210">
        <f t="shared" si="234"/>
        <v>0</v>
      </c>
      <c r="Y305" s="210">
        <f t="shared" si="235"/>
        <v>0</v>
      </c>
      <c r="Z305" s="212" t="str">
        <f t="shared" si="236"/>
        <v/>
      </c>
      <c r="AA305" s="210" t="str">
        <f t="shared" si="237"/>
        <v/>
      </c>
      <c r="AB305" s="213"/>
      <c r="AC305" s="214" t="str">
        <f t="shared" si="238"/>
        <v/>
      </c>
      <c r="AD305" s="214" t="str">
        <f t="shared" si="239"/>
        <v/>
      </c>
      <c r="AE305" s="215" t="str">
        <f t="shared" si="240"/>
        <v/>
      </c>
      <c r="AF305" s="214" t="str">
        <f t="shared" si="241"/>
        <v/>
      </c>
      <c r="AG305" s="214" t="str">
        <f t="shared" si="242"/>
        <v/>
      </c>
      <c r="AH305" s="215" t="str">
        <f t="shared" si="243"/>
        <v/>
      </c>
      <c r="AI305" s="216">
        <f t="shared" si="201"/>
        <v>0</v>
      </c>
      <c r="AL305" s="217" t="str">
        <f>IF(OR(X305=Kedvenc!$C$43,Y305=Kedvenc!$C$43),W305,"")</f>
        <v/>
      </c>
      <c r="AM305" s="218" t="str">
        <f t="shared" si="244"/>
        <v/>
      </c>
      <c r="AP305" s="245"/>
      <c r="AQ305" s="245"/>
      <c r="AR305" s="245"/>
      <c r="AS305" s="245"/>
      <c r="AT305" s="245"/>
      <c r="AU305" s="245"/>
      <c r="AV305" s="245"/>
      <c r="AW305" s="245"/>
      <c r="AX305" s="245"/>
      <c r="AY305" s="245"/>
      <c r="BA305" s="245"/>
      <c r="BE305" s="245"/>
    </row>
    <row r="306" spans="1:57" ht="14.25" hidden="1" customHeight="1" x14ac:dyDescent="0.2">
      <c r="A306" s="842"/>
      <c r="C306" s="278"/>
      <c r="D306" s="278"/>
      <c r="E306" s="265"/>
      <c r="F306" s="265"/>
      <c r="H306" s="266"/>
      <c r="I306" s="266"/>
      <c r="J306" s="223"/>
      <c r="K306" s="268"/>
      <c r="L306" s="225"/>
      <c r="M306" s="226"/>
      <c r="N306" s="209"/>
      <c r="O306" s="174"/>
      <c r="P306" s="209"/>
      <c r="Q306" s="209"/>
      <c r="R306" s="209"/>
      <c r="S306" s="209"/>
      <c r="U306" s="210" t="str">
        <f t="shared" si="232"/>
        <v>00</v>
      </c>
      <c r="V306" s="211" t="b">
        <f t="shared" si="233"/>
        <v>0</v>
      </c>
      <c r="W306" s="210">
        <f t="shared" si="245"/>
        <v>17</v>
      </c>
      <c r="X306" s="210">
        <f t="shared" si="234"/>
        <v>0</v>
      </c>
      <c r="Y306" s="210">
        <f t="shared" si="235"/>
        <v>0</v>
      </c>
      <c r="Z306" s="212" t="str">
        <f t="shared" si="236"/>
        <v/>
      </c>
      <c r="AA306" s="210" t="str">
        <f t="shared" si="237"/>
        <v/>
      </c>
      <c r="AB306" s="213"/>
      <c r="AC306" s="214" t="str">
        <f t="shared" si="238"/>
        <v/>
      </c>
      <c r="AD306" s="214" t="str">
        <f t="shared" si="239"/>
        <v/>
      </c>
      <c r="AE306" s="215" t="str">
        <f t="shared" si="240"/>
        <v/>
      </c>
      <c r="AF306" s="214" t="str">
        <f t="shared" si="241"/>
        <v/>
      </c>
      <c r="AG306" s="214" t="str">
        <f t="shared" si="242"/>
        <v/>
      </c>
      <c r="AH306" s="215" t="str">
        <f t="shared" si="243"/>
        <v/>
      </c>
      <c r="AI306" s="216">
        <f t="shared" si="201"/>
        <v>0</v>
      </c>
      <c r="AL306" s="217" t="str">
        <f>IF(OR(X306=Kedvenc!$C$43,Y306=Kedvenc!$C$43),W306,"")</f>
        <v/>
      </c>
      <c r="AM306" s="218" t="str">
        <f t="shared" si="244"/>
        <v/>
      </c>
      <c r="AP306" s="245"/>
      <c r="AQ306" s="245"/>
      <c r="AR306" s="245"/>
      <c r="AS306" s="245"/>
      <c r="AT306" s="245"/>
      <c r="AU306" s="245"/>
      <c r="AV306" s="245"/>
      <c r="AW306" s="245"/>
      <c r="AX306" s="245"/>
      <c r="AY306" s="245"/>
      <c r="BA306" s="245"/>
      <c r="BE306" s="245"/>
    </row>
    <row r="307" spans="1:57" ht="14.25" hidden="1" customHeight="1" x14ac:dyDescent="0.2">
      <c r="A307" s="842"/>
      <c r="C307" s="278"/>
      <c r="D307" s="278"/>
      <c r="E307" s="265"/>
      <c r="F307" s="265"/>
      <c r="H307" s="266"/>
      <c r="I307" s="266"/>
      <c r="J307" s="223"/>
      <c r="K307" s="268"/>
      <c r="L307" s="225"/>
      <c r="M307" s="226"/>
      <c r="N307" s="209"/>
      <c r="O307" s="174"/>
      <c r="P307" s="209"/>
      <c r="Q307" s="209"/>
      <c r="R307" s="209"/>
      <c r="S307" s="209"/>
      <c r="U307" s="210" t="str">
        <f t="shared" si="232"/>
        <v>00</v>
      </c>
      <c r="V307" s="211" t="b">
        <f t="shared" si="233"/>
        <v>0</v>
      </c>
      <c r="W307" s="210">
        <f t="shared" si="245"/>
        <v>17</v>
      </c>
      <c r="X307" s="210">
        <f t="shared" si="234"/>
        <v>0</v>
      </c>
      <c r="Y307" s="210">
        <f t="shared" si="235"/>
        <v>0</v>
      </c>
      <c r="Z307" s="212" t="str">
        <f t="shared" si="236"/>
        <v/>
      </c>
      <c r="AA307" s="210" t="str">
        <f t="shared" si="237"/>
        <v/>
      </c>
      <c r="AB307" s="213"/>
      <c r="AC307" s="214" t="str">
        <f t="shared" si="238"/>
        <v/>
      </c>
      <c r="AD307" s="214" t="str">
        <f t="shared" si="239"/>
        <v/>
      </c>
      <c r="AE307" s="215" t="str">
        <f t="shared" si="240"/>
        <v/>
      </c>
      <c r="AF307" s="214" t="str">
        <f t="shared" si="241"/>
        <v/>
      </c>
      <c r="AG307" s="214" t="str">
        <f t="shared" si="242"/>
        <v/>
      </c>
      <c r="AH307" s="215" t="str">
        <f t="shared" si="243"/>
        <v/>
      </c>
      <c r="AI307" s="216">
        <f t="shared" si="201"/>
        <v>0</v>
      </c>
      <c r="AL307" s="217" t="str">
        <f>IF(OR(X307=Kedvenc!$C$43,Y307=Kedvenc!$C$43),W307,"")</f>
        <v/>
      </c>
      <c r="AM307" s="218" t="str">
        <f t="shared" si="244"/>
        <v/>
      </c>
      <c r="AP307" s="245"/>
      <c r="AQ307" s="245"/>
      <c r="AR307" s="245"/>
      <c r="AS307" s="245"/>
      <c r="AT307" s="245"/>
      <c r="AU307" s="245"/>
      <c r="AV307" s="245"/>
      <c r="AW307" s="245"/>
      <c r="AX307" s="245"/>
      <c r="AY307" s="245"/>
      <c r="BA307" s="245"/>
      <c r="BE307" s="245"/>
    </row>
    <row r="308" spans="1:57" ht="14.25" hidden="1" customHeight="1" x14ac:dyDescent="0.2">
      <c r="A308" s="842"/>
      <c r="C308" s="278"/>
      <c r="D308" s="278"/>
      <c r="E308" s="265"/>
      <c r="F308" s="265"/>
      <c r="H308" s="266"/>
      <c r="I308" s="266"/>
      <c r="J308" s="223"/>
      <c r="K308" s="268"/>
      <c r="L308" s="225"/>
      <c r="M308" s="226"/>
      <c r="N308" s="209"/>
      <c r="O308" s="174"/>
      <c r="P308" s="209"/>
      <c r="Q308" s="209"/>
      <c r="R308" s="209"/>
      <c r="S308" s="209"/>
      <c r="U308" s="210" t="str">
        <f t="shared" si="232"/>
        <v>00</v>
      </c>
      <c r="V308" s="211" t="b">
        <f t="shared" si="233"/>
        <v>0</v>
      </c>
      <c r="W308" s="210">
        <f t="shared" si="245"/>
        <v>17</v>
      </c>
      <c r="X308" s="210">
        <f t="shared" si="234"/>
        <v>0</v>
      </c>
      <c r="Y308" s="210">
        <f t="shared" si="235"/>
        <v>0</v>
      </c>
      <c r="Z308" s="212" t="str">
        <f t="shared" si="236"/>
        <v/>
      </c>
      <c r="AA308" s="210" t="str">
        <f t="shared" si="237"/>
        <v/>
      </c>
      <c r="AB308" s="213"/>
      <c r="AC308" s="214" t="str">
        <f t="shared" si="238"/>
        <v/>
      </c>
      <c r="AD308" s="214" t="str">
        <f t="shared" si="239"/>
        <v/>
      </c>
      <c r="AE308" s="215" t="str">
        <f t="shared" si="240"/>
        <v/>
      </c>
      <c r="AF308" s="214" t="str">
        <f t="shared" si="241"/>
        <v/>
      </c>
      <c r="AG308" s="214" t="str">
        <f t="shared" si="242"/>
        <v/>
      </c>
      <c r="AH308" s="215" t="str">
        <f t="shared" si="243"/>
        <v/>
      </c>
      <c r="AI308" s="216">
        <f t="shared" si="201"/>
        <v>0</v>
      </c>
      <c r="AL308" s="217" t="str">
        <f>IF(OR(X308=Kedvenc!$C$43,Y308=Kedvenc!$C$43),W308,"")</f>
        <v/>
      </c>
      <c r="AM308" s="218" t="str">
        <f t="shared" si="244"/>
        <v/>
      </c>
      <c r="AP308" s="245"/>
      <c r="AQ308" s="245"/>
      <c r="AR308" s="245"/>
      <c r="AS308" s="245"/>
      <c r="AT308" s="245"/>
      <c r="AU308" s="245"/>
      <c r="AV308" s="245"/>
      <c r="AW308" s="245"/>
      <c r="AX308" s="245"/>
      <c r="AY308" s="245"/>
      <c r="BA308" s="245"/>
      <c r="BE308" s="245"/>
    </row>
    <row r="309" spans="1:57" ht="14.25" hidden="1" customHeight="1" x14ac:dyDescent="0.2">
      <c r="A309" s="842"/>
      <c r="C309" s="278"/>
      <c r="D309" s="278"/>
      <c r="E309" s="265"/>
      <c r="F309" s="265"/>
      <c r="H309" s="266"/>
      <c r="I309" s="266"/>
      <c r="J309" s="223"/>
      <c r="K309" s="268"/>
      <c r="L309" s="225"/>
      <c r="M309" s="226"/>
      <c r="N309" s="209"/>
      <c r="O309" s="174"/>
      <c r="P309" s="209"/>
      <c r="Q309" s="209"/>
      <c r="R309" s="209"/>
      <c r="S309" s="209"/>
      <c r="U309" s="210" t="str">
        <f t="shared" si="232"/>
        <v>00</v>
      </c>
      <c r="V309" s="211" t="b">
        <f t="shared" si="233"/>
        <v>0</v>
      </c>
      <c r="W309" s="210">
        <f t="shared" si="245"/>
        <v>17</v>
      </c>
      <c r="X309" s="210">
        <f t="shared" si="234"/>
        <v>0</v>
      </c>
      <c r="Y309" s="210">
        <f t="shared" si="235"/>
        <v>0</v>
      </c>
      <c r="Z309" s="212" t="str">
        <f t="shared" si="236"/>
        <v/>
      </c>
      <c r="AA309" s="210" t="str">
        <f t="shared" si="237"/>
        <v/>
      </c>
      <c r="AB309" s="213"/>
      <c r="AC309" s="214" t="str">
        <f t="shared" si="238"/>
        <v/>
      </c>
      <c r="AD309" s="214" t="str">
        <f t="shared" si="239"/>
        <v/>
      </c>
      <c r="AE309" s="215" t="str">
        <f t="shared" si="240"/>
        <v/>
      </c>
      <c r="AF309" s="214" t="str">
        <f t="shared" si="241"/>
        <v/>
      </c>
      <c r="AG309" s="214" t="str">
        <f t="shared" si="242"/>
        <v/>
      </c>
      <c r="AH309" s="215" t="str">
        <f t="shared" si="243"/>
        <v/>
      </c>
      <c r="AI309" s="216">
        <f t="shared" si="201"/>
        <v>0</v>
      </c>
      <c r="AL309" s="217" t="str">
        <f>IF(OR(X309=Kedvenc!$C$43,Y309=Kedvenc!$C$43),W309,"")</f>
        <v/>
      </c>
      <c r="AM309" s="218" t="str">
        <f t="shared" si="244"/>
        <v/>
      </c>
      <c r="AP309" s="245"/>
      <c r="AQ309" s="245"/>
      <c r="AR309" s="245"/>
      <c r="AS309" s="245"/>
      <c r="AT309" s="245"/>
      <c r="AU309" s="245"/>
      <c r="AV309" s="245"/>
      <c r="AW309" s="245"/>
      <c r="AX309" s="245"/>
      <c r="AY309" s="245"/>
      <c r="BA309" s="245"/>
      <c r="BE309" s="245"/>
    </row>
    <row r="310" spans="1:57" ht="14.25" hidden="1" customHeight="1" x14ac:dyDescent="0.2">
      <c r="A310" s="842"/>
      <c r="C310" s="278"/>
      <c r="D310" s="278"/>
      <c r="E310" s="265"/>
      <c r="F310" s="265"/>
      <c r="H310" s="266"/>
      <c r="I310" s="266"/>
      <c r="J310" s="169"/>
      <c r="K310" s="268"/>
      <c r="L310" s="228"/>
      <c r="M310" s="228"/>
      <c r="N310" s="228"/>
      <c r="O310" s="174"/>
      <c r="P310" s="209"/>
      <c r="Q310" s="209"/>
      <c r="R310" s="209"/>
      <c r="S310" s="209"/>
      <c r="U310" s="210" t="str">
        <f t="shared" si="232"/>
        <v>00</v>
      </c>
      <c r="V310" s="211" t="b">
        <f t="shared" si="233"/>
        <v>0</v>
      </c>
      <c r="W310" s="210">
        <f t="shared" si="245"/>
        <v>17</v>
      </c>
      <c r="X310" s="210">
        <f t="shared" si="234"/>
        <v>0</v>
      </c>
      <c r="Y310" s="210">
        <f t="shared" si="235"/>
        <v>0</v>
      </c>
      <c r="Z310" s="212" t="str">
        <f t="shared" si="236"/>
        <v/>
      </c>
      <c r="AA310" s="210" t="str">
        <f t="shared" si="237"/>
        <v/>
      </c>
      <c r="AB310" s="213"/>
      <c r="AC310" s="214" t="str">
        <f t="shared" si="238"/>
        <v/>
      </c>
      <c r="AD310" s="214" t="str">
        <f t="shared" si="239"/>
        <v/>
      </c>
      <c r="AE310" s="215" t="str">
        <f t="shared" si="240"/>
        <v/>
      </c>
      <c r="AF310" s="214" t="str">
        <f t="shared" si="241"/>
        <v/>
      </c>
      <c r="AG310" s="214" t="str">
        <f t="shared" si="242"/>
        <v/>
      </c>
      <c r="AH310" s="215" t="str">
        <f t="shared" si="243"/>
        <v/>
      </c>
      <c r="AI310" s="216">
        <f t="shared" si="201"/>
        <v>0</v>
      </c>
      <c r="AL310" s="217" t="str">
        <f>IF(OR(X310=Kedvenc!$C$43,Y310=Kedvenc!$C$43),W310,"")</f>
        <v/>
      </c>
      <c r="AM310" s="218" t="str">
        <f t="shared" si="244"/>
        <v/>
      </c>
      <c r="AP310" s="245"/>
      <c r="AQ310" s="245"/>
      <c r="AR310" s="245"/>
      <c r="AS310" s="245"/>
      <c r="AT310" s="245"/>
      <c r="AU310" s="245"/>
      <c r="AV310" s="245"/>
      <c r="AW310" s="245"/>
      <c r="AX310" s="245"/>
      <c r="AY310" s="245"/>
      <c r="BA310" s="245"/>
      <c r="BE310" s="245"/>
    </row>
    <row r="311" spans="1:57" ht="14.25" customHeight="1" x14ac:dyDescent="0.2">
      <c r="A311" s="842"/>
      <c r="E311" s="247"/>
      <c r="F311" s="248"/>
      <c r="G311" s="248"/>
      <c r="H311" s="248"/>
      <c r="I311" s="247"/>
      <c r="J311" s="172"/>
      <c r="K311" s="228"/>
      <c r="L311" s="228"/>
      <c r="M311" s="228"/>
      <c r="N311" s="228"/>
      <c r="O311" s="174"/>
      <c r="P311" s="209"/>
      <c r="Q311" s="209"/>
      <c r="R311" s="209"/>
      <c r="S311" s="209"/>
      <c r="W311" s="231"/>
      <c r="AC311" s="233"/>
      <c r="AD311" s="233"/>
      <c r="AE311" s="234"/>
      <c r="AF311" s="233"/>
      <c r="AG311" s="233"/>
      <c r="AH311" s="234"/>
      <c r="AI311" s="234"/>
      <c r="AP311" s="245"/>
      <c r="AQ311" s="245"/>
      <c r="AR311" s="245"/>
      <c r="AS311" s="245"/>
      <c r="AT311" s="245"/>
      <c r="AU311" s="245"/>
      <c r="AV311" s="245"/>
      <c r="AW311" s="245"/>
      <c r="AX311" s="245"/>
      <c r="AY311" s="245"/>
      <c r="BA311" s="245"/>
      <c r="BE311" s="245"/>
    </row>
    <row r="312" spans="1:57" ht="14.25" customHeight="1" x14ac:dyDescent="0.2">
      <c r="A312" s="842"/>
      <c r="E312" s="224"/>
      <c r="F312" s="225"/>
      <c r="G312" s="226"/>
      <c r="H312" s="209"/>
      <c r="I312" s="227"/>
      <c r="J312" s="169"/>
      <c r="K312" s="228"/>
      <c r="L312" s="225"/>
      <c r="M312" s="226"/>
      <c r="N312" s="209"/>
      <c r="O312" s="174"/>
      <c r="P312" s="209"/>
      <c r="Q312" s="209"/>
      <c r="R312" s="209"/>
      <c r="S312" s="209"/>
      <c r="W312" s="231"/>
      <c r="AC312" s="233"/>
      <c r="AD312" s="233"/>
      <c r="AE312" s="234"/>
      <c r="AF312" s="233"/>
      <c r="AG312" s="233"/>
      <c r="AH312" s="234"/>
      <c r="AI312" s="197"/>
      <c r="AP312" s="245"/>
      <c r="AQ312" s="245"/>
      <c r="AR312" s="245"/>
      <c r="AS312" s="245"/>
      <c r="AT312" s="245"/>
      <c r="AU312" s="245"/>
      <c r="AV312" s="245"/>
      <c r="AW312" s="245"/>
      <c r="AX312" s="245"/>
      <c r="AY312" s="245"/>
      <c r="BA312" s="245"/>
      <c r="BD312" s="245"/>
      <c r="BE312" s="245"/>
    </row>
    <row r="313" spans="1:57" ht="14.25" customHeight="1" x14ac:dyDescent="0.2">
      <c r="A313" s="842"/>
      <c r="B313" s="187"/>
      <c r="C313" s="269" t="str">
        <f>CONCATENATE(" ",AB315,"."," forduló  –")</f>
        <v xml:space="preserve"> 18. forduló  –</v>
      </c>
      <c r="D313" s="843">
        <f>VLOOKUP(AB315,ASZ!$AQ$59:$AS$104,2,FALSE)</f>
        <v>42263</v>
      </c>
      <c r="E313" s="843"/>
      <c r="F313" s="274"/>
      <c r="G313" s="274"/>
      <c r="H313" s="274"/>
      <c r="I313" s="270" t="str">
        <f>CONCATENATE(IF($AW$61,"pont: ","gól: "),SUM(F315:H326)," / átlag: ",TEXT(IF(COUNT(F315:H326)=0,"-",SUM(F315:H326)/COUNT(F315:H326)*2),"0,00"))</f>
        <v>gól: 27 / átlag: 5,40</v>
      </c>
      <c r="J313" s="190"/>
      <c r="K313" s="271" t="s">
        <v>285</v>
      </c>
      <c r="L313" s="192"/>
      <c r="U313" s="229"/>
      <c r="V313" s="230"/>
      <c r="W313" s="231"/>
      <c r="X313" s="231"/>
      <c r="Y313" s="231"/>
      <c r="Z313" s="232"/>
      <c r="AA313" s="231"/>
      <c r="AC313" s="197"/>
      <c r="AD313" s="197"/>
      <c r="AE313" s="197"/>
      <c r="AF313" s="197"/>
      <c r="AG313" s="197"/>
      <c r="AH313" s="197"/>
      <c r="AI313" s="197"/>
      <c r="AQ313" s="245"/>
      <c r="AR313" s="245"/>
      <c r="AS313" s="245"/>
      <c r="AT313" s="245"/>
    </row>
    <row r="314" spans="1:57" ht="9" customHeight="1" x14ac:dyDescent="0.2">
      <c r="A314" s="842"/>
      <c r="J314" s="169"/>
      <c r="K314" s="228"/>
      <c r="L314" s="225"/>
      <c r="M314" s="226"/>
      <c r="N314" s="209"/>
      <c r="O314" s="174"/>
      <c r="P314" s="209"/>
      <c r="Q314" s="209"/>
      <c r="R314" s="209"/>
      <c r="S314" s="209"/>
      <c r="AP314" s="245"/>
      <c r="AQ314" s="245"/>
      <c r="AR314" s="245"/>
      <c r="AS314" s="245"/>
      <c r="AT314" s="245"/>
      <c r="AU314" s="245"/>
      <c r="AV314" s="245"/>
      <c r="AW314" s="245"/>
      <c r="AX314" s="245"/>
      <c r="AY314" s="245"/>
      <c r="BA314" s="245"/>
      <c r="BE314" s="245"/>
    </row>
    <row r="315" spans="1:57" ht="14.25" customHeight="1" x14ac:dyDescent="0.2">
      <c r="A315" s="842"/>
      <c r="C315" s="255">
        <v>42263</v>
      </c>
      <c r="D315" s="255" t="s">
        <v>497</v>
      </c>
      <c r="E315" s="265" t="s">
        <v>485</v>
      </c>
      <c r="F315" s="272">
        <v>3</v>
      </c>
      <c r="G315" s="200" t="s">
        <v>247</v>
      </c>
      <c r="H315" s="273">
        <v>2</v>
      </c>
      <c r="I315" s="266" t="s">
        <v>491</v>
      </c>
      <c r="J315" s="207"/>
      <c r="K315" s="267"/>
      <c r="L315" s="225"/>
      <c r="M315" s="226"/>
      <c r="N315" s="209"/>
      <c r="O315" s="174"/>
      <c r="P315" s="209"/>
      <c r="Q315" s="209"/>
      <c r="R315" s="209"/>
      <c r="S315" s="209"/>
      <c r="U315" s="210" t="str">
        <f t="shared" ref="U315:U326" si="246">X315&amp;Y315</f>
        <v>BBKK&amp;H</v>
      </c>
      <c r="V315" s="211" t="b">
        <f t="shared" ref="V315:V326" si="247">AND(F315&lt;&gt;"",H315&lt;&gt;"")</f>
        <v>1</v>
      </c>
      <c r="W315" s="210">
        <f>AB315</f>
        <v>18</v>
      </c>
      <c r="X315" s="210" t="str">
        <f t="shared" ref="X315:X326" si="248">E315</f>
        <v>BBK</v>
      </c>
      <c r="Y315" s="210" t="str">
        <f t="shared" ref="Y315:Y326" si="249">I315</f>
        <v>K&amp;H</v>
      </c>
      <c r="Z315" s="212">
        <f t="shared" ref="Z315:Z326" si="250">IF(V315,F315,"")</f>
        <v>3</v>
      </c>
      <c r="AA315" s="210">
        <f t="shared" ref="AA315:AA326" si="251">IF(V315,H315,"")</f>
        <v>2</v>
      </c>
      <c r="AB315" s="213">
        <f>IF(NOT(ASZTAB!$X$71),AB299+1,AB299+COUNTIF(AB283:AB314,AB299)-1)</f>
        <v>18</v>
      </c>
      <c r="AC315" s="214" t="str">
        <f t="shared" ref="AC315:AC326" si="252">IF(Z315&gt;AA315,X315,"")</f>
        <v>BBK</v>
      </c>
      <c r="AD315" s="214" t="str">
        <f t="shared" ref="AD315:AD326" si="253">IF(AA315="","",IF(Z315=AA315,X315,""))</f>
        <v/>
      </c>
      <c r="AE315" s="215" t="str">
        <f t="shared" ref="AE315:AE326" si="254">IF(AND($AW$61,Z315=0,AA315=20),X315&amp;"ooo",IF(Z315&lt;AA315,X315,""))</f>
        <v/>
      </c>
      <c r="AF315" s="214" t="str">
        <f t="shared" ref="AF315:AF326" si="255">IF(AA315&gt;Z315,Y315,"")</f>
        <v/>
      </c>
      <c r="AG315" s="214" t="str">
        <f t="shared" ref="AG315:AG326" si="256">IF(AA315="","",IF(Z315=AA315,Y315,""))</f>
        <v/>
      </c>
      <c r="AH315" s="215" t="str">
        <f t="shared" ref="AH315:AH326" si="257">IF(AND($AW$61,Z315=20,AA315=0),Y315&amp;"ooo",IF(Z315&gt;AA315,Y315,""))</f>
        <v>K&amp;H</v>
      </c>
      <c r="AI315" s="216">
        <f t="shared" ref="AI315:AI374" si="258">C315</f>
        <v>42263</v>
      </c>
      <c r="AL315" s="217" t="str">
        <f>IF(OR(X315=Kedvenc!$C$43,Y315=Kedvenc!$C$43),W315,"")</f>
        <v/>
      </c>
      <c r="AM315" s="218" t="str">
        <f t="shared" ref="AM315:AM326" si="259">IF(AL315="","",U315)</f>
        <v/>
      </c>
      <c r="AQ315" s="245"/>
      <c r="AR315" s="245"/>
      <c r="AS315" s="245"/>
      <c r="AT315" s="245"/>
      <c r="BB315" s="285" t="str">
        <f>C315&amp;D315</f>
        <v>4226319:00 – A pálya</v>
      </c>
      <c r="BC315" s="284">
        <f>COUNTIF($BB$43:$BB$383,BB315)</f>
        <v>1</v>
      </c>
      <c r="BD315" s="512" t="str">
        <f>U315</f>
        <v>BBKK&amp;H</v>
      </c>
    </row>
    <row r="316" spans="1:57" ht="14.25" customHeight="1" x14ac:dyDescent="0.2">
      <c r="A316" s="842"/>
      <c r="C316" s="255">
        <v>42263</v>
      </c>
      <c r="D316" s="255" t="s">
        <v>498</v>
      </c>
      <c r="E316" s="265" t="s">
        <v>486</v>
      </c>
      <c r="F316" s="272">
        <v>4</v>
      </c>
      <c r="G316" s="200" t="s">
        <v>247</v>
      </c>
      <c r="H316" s="273">
        <v>0</v>
      </c>
      <c r="I316" s="266" t="s">
        <v>489</v>
      </c>
      <c r="J316" s="207"/>
      <c r="K316" s="268"/>
      <c r="L316" s="225"/>
      <c r="M316" s="226"/>
      <c r="N316" s="209"/>
      <c r="O316" s="174"/>
      <c r="U316" s="210" t="str">
        <f t="shared" si="246"/>
        <v>BHDÉlelmesek</v>
      </c>
      <c r="V316" s="211" t="b">
        <f t="shared" si="247"/>
        <v>1</v>
      </c>
      <c r="W316" s="210">
        <f t="shared" ref="W316:W326" si="260">W315</f>
        <v>18</v>
      </c>
      <c r="X316" s="210" t="str">
        <f t="shared" si="248"/>
        <v>BHD</v>
      </c>
      <c r="Y316" s="210" t="str">
        <f t="shared" si="249"/>
        <v>Élelmesek</v>
      </c>
      <c r="Z316" s="212">
        <f t="shared" si="250"/>
        <v>4</v>
      </c>
      <c r="AA316" s="210">
        <f t="shared" si="251"/>
        <v>0</v>
      </c>
      <c r="AB316" s="213"/>
      <c r="AC316" s="214" t="str">
        <f t="shared" si="252"/>
        <v>BHD</v>
      </c>
      <c r="AD316" s="214" t="str">
        <f t="shared" si="253"/>
        <v/>
      </c>
      <c r="AE316" s="215" t="str">
        <f t="shared" si="254"/>
        <v/>
      </c>
      <c r="AF316" s="214" t="str">
        <f t="shared" si="255"/>
        <v/>
      </c>
      <c r="AG316" s="214" t="str">
        <f t="shared" si="256"/>
        <v/>
      </c>
      <c r="AH316" s="215" t="str">
        <f t="shared" si="257"/>
        <v>Élelmesek</v>
      </c>
      <c r="AI316" s="216">
        <f t="shared" si="258"/>
        <v>42263</v>
      </c>
      <c r="AL316" s="217" t="str">
        <f>IF(OR(X316=Kedvenc!$C$43,Y316=Kedvenc!$C$43),W316,"")</f>
        <v/>
      </c>
      <c r="AM316" s="218" t="str">
        <f t="shared" si="259"/>
        <v/>
      </c>
      <c r="BB316" s="285" t="str">
        <f>C316&amp;D316</f>
        <v>4226319:45 – A pálya</v>
      </c>
      <c r="BC316" s="284">
        <f>COUNTIF($BB$43:$BB$383,BB316)</f>
        <v>1</v>
      </c>
      <c r="BD316" s="512" t="str">
        <f>U316</f>
        <v>BHDÉlelmesek</v>
      </c>
    </row>
    <row r="317" spans="1:57" ht="14.25" customHeight="1" x14ac:dyDescent="0.2">
      <c r="A317" s="842"/>
      <c r="C317" s="255">
        <v>42263</v>
      </c>
      <c r="D317" s="255" t="s">
        <v>499</v>
      </c>
      <c r="E317" s="265" t="s">
        <v>492</v>
      </c>
      <c r="F317" s="272">
        <v>2</v>
      </c>
      <c r="G317" s="200" t="s">
        <v>247</v>
      </c>
      <c r="H317" s="273">
        <v>3</v>
      </c>
      <c r="I317" s="266" t="s">
        <v>487</v>
      </c>
      <c r="J317" s="207"/>
      <c r="K317" s="268"/>
      <c r="L317" s="225"/>
      <c r="M317" s="226"/>
      <c r="N317" s="209"/>
      <c r="O317" s="174"/>
      <c r="U317" s="210" t="str">
        <f t="shared" si="246"/>
        <v>Royal Guard'sBőrdíszmű</v>
      </c>
      <c r="V317" s="211" t="b">
        <f t="shared" si="247"/>
        <v>1</v>
      </c>
      <c r="W317" s="210">
        <f t="shared" si="260"/>
        <v>18</v>
      </c>
      <c r="X317" s="210" t="str">
        <f t="shared" si="248"/>
        <v>Royal Guard's</v>
      </c>
      <c r="Y317" s="210" t="str">
        <f t="shared" si="249"/>
        <v>Bőrdíszmű</v>
      </c>
      <c r="Z317" s="212">
        <f t="shared" si="250"/>
        <v>2</v>
      </c>
      <c r="AA317" s="210">
        <f t="shared" si="251"/>
        <v>3</v>
      </c>
      <c r="AB317" s="213"/>
      <c r="AC317" s="214" t="str">
        <f t="shared" si="252"/>
        <v/>
      </c>
      <c r="AD317" s="214" t="str">
        <f t="shared" si="253"/>
        <v/>
      </c>
      <c r="AE317" s="215" t="str">
        <f t="shared" si="254"/>
        <v>Royal Guard's</v>
      </c>
      <c r="AF317" s="214" t="str">
        <f t="shared" si="255"/>
        <v>Bőrdíszmű</v>
      </c>
      <c r="AG317" s="214" t="str">
        <f t="shared" si="256"/>
        <v/>
      </c>
      <c r="AH317" s="215" t="str">
        <f t="shared" si="257"/>
        <v/>
      </c>
      <c r="AI317" s="216">
        <f t="shared" si="258"/>
        <v>42263</v>
      </c>
      <c r="AL317" s="217" t="str">
        <f>IF(OR(X317=Kedvenc!$C$43,Y317=Kedvenc!$C$43),W317,"")</f>
        <v/>
      </c>
      <c r="AM317" s="218" t="str">
        <f t="shared" si="259"/>
        <v/>
      </c>
      <c r="BB317" s="285" t="str">
        <f>C317&amp;D317</f>
        <v>4226320:30 – A pálya</v>
      </c>
      <c r="BC317" s="284">
        <f>COUNTIF($BB$43:$BB$383,BB317)</f>
        <v>1</v>
      </c>
      <c r="BD317" s="512" t="str">
        <f>U317</f>
        <v>Royal Guard'sBőrdíszmű</v>
      </c>
    </row>
    <row r="318" spans="1:57" ht="14.25" customHeight="1" x14ac:dyDescent="0.2">
      <c r="A318" s="842"/>
      <c r="C318" s="255">
        <v>42263</v>
      </c>
      <c r="D318" s="255" t="s">
        <v>500</v>
      </c>
      <c r="E318" s="265" t="s">
        <v>493</v>
      </c>
      <c r="F318" s="272">
        <v>1</v>
      </c>
      <c r="G318" s="200" t="s">
        <v>247</v>
      </c>
      <c r="H318" s="273">
        <v>5</v>
      </c>
      <c r="I318" s="266" t="s">
        <v>494</v>
      </c>
      <c r="J318" s="207"/>
      <c r="K318" s="268"/>
      <c r="L318" s="225"/>
      <c r="M318" s="226"/>
      <c r="N318" s="209"/>
      <c r="O318" s="174"/>
      <c r="U318" s="210" t="str">
        <f t="shared" si="246"/>
        <v>VakanaZrínyigyöngye</v>
      </c>
      <c r="V318" s="211" t="b">
        <f t="shared" si="247"/>
        <v>1</v>
      </c>
      <c r="W318" s="210">
        <f t="shared" si="260"/>
        <v>18</v>
      </c>
      <c r="X318" s="210" t="str">
        <f t="shared" si="248"/>
        <v>Vakana</v>
      </c>
      <c r="Y318" s="210" t="str">
        <f t="shared" si="249"/>
        <v>Zrínyigyöngye</v>
      </c>
      <c r="Z318" s="212">
        <f t="shared" si="250"/>
        <v>1</v>
      </c>
      <c r="AA318" s="210">
        <f t="shared" si="251"/>
        <v>5</v>
      </c>
      <c r="AB318" s="213"/>
      <c r="AC318" s="214" t="str">
        <f t="shared" si="252"/>
        <v/>
      </c>
      <c r="AD318" s="214" t="str">
        <f t="shared" si="253"/>
        <v/>
      </c>
      <c r="AE318" s="215" t="str">
        <f t="shared" si="254"/>
        <v>Vakana</v>
      </c>
      <c r="AF318" s="214" t="str">
        <f t="shared" si="255"/>
        <v>Zrínyigyöngye</v>
      </c>
      <c r="AG318" s="214" t="str">
        <f t="shared" si="256"/>
        <v/>
      </c>
      <c r="AH318" s="215" t="str">
        <f t="shared" si="257"/>
        <v/>
      </c>
      <c r="AI318" s="216">
        <f t="shared" si="258"/>
        <v>42263</v>
      </c>
      <c r="AL318" s="217" t="str">
        <f>IF(OR(X318=Kedvenc!$C$43,Y318=Kedvenc!$C$43),W318,"")</f>
        <v/>
      </c>
      <c r="AM318" s="218" t="str">
        <f t="shared" si="259"/>
        <v/>
      </c>
      <c r="AP318" s="245"/>
      <c r="AQ318" s="245"/>
      <c r="AR318" s="245"/>
      <c r="AS318" s="245"/>
      <c r="AT318" s="245"/>
      <c r="AU318" s="245"/>
      <c r="AV318" s="245"/>
      <c r="AW318" s="245"/>
      <c r="AX318" s="245"/>
      <c r="AY318" s="245"/>
      <c r="BA318" s="245"/>
      <c r="BB318" s="285" t="str">
        <f>C318&amp;D318</f>
        <v>4226319:00 – B pálya</v>
      </c>
      <c r="BC318" s="284">
        <f>COUNTIF($BB$43:$BB$383,BB318)</f>
        <v>1</v>
      </c>
      <c r="BD318" s="512" t="str">
        <f>U318</f>
        <v>VakanaZrínyigyöngye</v>
      </c>
      <c r="BE318" s="245"/>
    </row>
    <row r="319" spans="1:57" ht="14.25" customHeight="1" x14ac:dyDescent="0.2">
      <c r="A319" s="842"/>
      <c r="C319" s="255">
        <v>42263</v>
      </c>
      <c r="D319" s="255" t="s">
        <v>501</v>
      </c>
      <c r="E319" s="265" t="s">
        <v>488</v>
      </c>
      <c r="F319" s="272">
        <v>3</v>
      </c>
      <c r="G319" s="200" t="s">
        <v>247</v>
      </c>
      <c r="H319" s="273">
        <v>4</v>
      </c>
      <c r="I319" s="266" t="s">
        <v>484</v>
      </c>
      <c r="J319" s="223"/>
      <c r="K319" s="787"/>
      <c r="L319" s="225"/>
      <c r="M319" s="226"/>
      <c r="N319" s="209"/>
      <c r="O319" s="174"/>
      <c r="P319" s="209"/>
      <c r="Q319" s="209"/>
      <c r="R319" s="209"/>
      <c r="S319" s="209"/>
      <c r="U319" s="210" t="str">
        <f t="shared" si="246"/>
        <v>CarbonászBakafogó-Honvéd-Sashegy SE</v>
      </c>
      <c r="V319" s="211" t="b">
        <f t="shared" si="247"/>
        <v>1</v>
      </c>
      <c r="W319" s="210">
        <f t="shared" si="260"/>
        <v>18</v>
      </c>
      <c r="X319" s="210" t="str">
        <f t="shared" si="248"/>
        <v>Carbonász</v>
      </c>
      <c r="Y319" s="210" t="str">
        <f t="shared" si="249"/>
        <v>Bakafogó-Honvéd-Sashegy SE</v>
      </c>
      <c r="Z319" s="212">
        <f t="shared" si="250"/>
        <v>3</v>
      </c>
      <c r="AA319" s="210">
        <f t="shared" si="251"/>
        <v>4</v>
      </c>
      <c r="AB319" s="213"/>
      <c r="AC319" s="214" t="str">
        <f t="shared" si="252"/>
        <v/>
      </c>
      <c r="AD319" s="214" t="str">
        <f t="shared" si="253"/>
        <v/>
      </c>
      <c r="AE319" s="215" t="str">
        <f t="shared" si="254"/>
        <v>Carbonász</v>
      </c>
      <c r="AF319" s="214" t="str">
        <f t="shared" si="255"/>
        <v>Bakafogó-Honvéd-Sashegy SE</v>
      </c>
      <c r="AG319" s="214" t="str">
        <f t="shared" si="256"/>
        <v/>
      </c>
      <c r="AH319" s="215" t="str">
        <f t="shared" si="257"/>
        <v/>
      </c>
      <c r="AI319" s="216">
        <f t="shared" si="258"/>
        <v>42263</v>
      </c>
      <c r="AL319" s="217" t="str">
        <f>IF(OR(X319=Kedvenc!$C$43,Y319=Kedvenc!$C$43),W319,"")</f>
        <v/>
      </c>
      <c r="AM319" s="218" t="str">
        <f t="shared" si="259"/>
        <v/>
      </c>
      <c r="AP319" s="245"/>
      <c r="AQ319" s="245"/>
      <c r="AR319" s="245"/>
      <c r="AS319" s="245"/>
      <c r="AT319" s="245"/>
      <c r="AU319" s="245"/>
      <c r="AV319" s="245"/>
      <c r="AW319" s="245"/>
      <c r="AX319" s="245"/>
      <c r="AY319" s="245"/>
      <c r="BA319" s="245"/>
      <c r="BB319" s="285" t="str">
        <f>C319&amp;D319</f>
        <v>4226319:45 – B pálya</v>
      </c>
      <c r="BC319" s="284">
        <f>COUNTIF($BB$43:$BB$383,BB319)</f>
        <v>1</v>
      </c>
      <c r="BD319" s="512" t="str">
        <f>U319</f>
        <v>CarbonászBakafogó-Honvéd-Sashegy SE</v>
      </c>
      <c r="BE319" s="245"/>
    </row>
    <row r="320" spans="1:57" ht="14.25" customHeight="1" x14ac:dyDescent="0.2">
      <c r="A320" s="842"/>
      <c r="C320" s="278"/>
      <c r="D320" s="278"/>
      <c r="E320" s="275" t="s">
        <v>490</v>
      </c>
      <c r="F320" s="275"/>
      <c r="G320" s="276"/>
      <c r="H320" s="277"/>
      <c r="I320" s="277" t="s">
        <v>495</v>
      </c>
      <c r="J320" s="223"/>
      <c r="K320" s="268"/>
      <c r="L320" s="225"/>
      <c r="M320" s="226"/>
      <c r="N320" s="209"/>
      <c r="O320" s="174"/>
      <c r="P320" s="209"/>
      <c r="Q320" s="209"/>
      <c r="R320" s="209"/>
      <c r="S320" s="209"/>
      <c r="U320" s="210" t="str">
        <f t="shared" si="246"/>
        <v>Hercules-Ludovikaszabadnapos</v>
      </c>
      <c r="V320" s="211" t="b">
        <f t="shared" si="247"/>
        <v>0</v>
      </c>
      <c r="W320" s="210">
        <f t="shared" si="260"/>
        <v>18</v>
      </c>
      <c r="X320" s="210" t="str">
        <f t="shared" si="248"/>
        <v>Hercules-Ludovika</v>
      </c>
      <c r="Y320" s="210" t="str">
        <f t="shared" si="249"/>
        <v>szabadnapos</v>
      </c>
      <c r="Z320" s="212" t="str">
        <f t="shared" si="250"/>
        <v/>
      </c>
      <c r="AA320" s="210" t="str">
        <f t="shared" si="251"/>
        <v/>
      </c>
      <c r="AB320" s="213"/>
      <c r="AC320" s="214" t="str">
        <f t="shared" si="252"/>
        <v/>
      </c>
      <c r="AD320" s="214" t="str">
        <f t="shared" si="253"/>
        <v/>
      </c>
      <c r="AE320" s="215" t="str">
        <f t="shared" si="254"/>
        <v/>
      </c>
      <c r="AF320" s="214" t="str">
        <f t="shared" si="255"/>
        <v/>
      </c>
      <c r="AG320" s="214" t="str">
        <f t="shared" si="256"/>
        <v/>
      </c>
      <c r="AH320" s="215" t="str">
        <f t="shared" si="257"/>
        <v/>
      </c>
      <c r="AI320" s="750">
        <f>AI315</f>
        <v>42263</v>
      </c>
      <c r="AL320" s="217" t="str">
        <f>IF(OR(X320=Kedvenc!$C$43,Y320=Kedvenc!$C$43),W320,"")</f>
        <v/>
      </c>
      <c r="AM320" s="218" t="str">
        <f t="shared" si="259"/>
        <v/>
      </c>
      <c r="AP320" s="245"/>
      <c r="AQ320" s="245"/>
      <c r="AR320" s="245"/>
      <c r="AS320" s="245"/>
      <c r="AT320" s="245"/>
      <c r="AU320" s="245"/>
      <c r="AV320" s="245"/>
      <c r="AW320" s="245"/>
      <c r="AX320" s="245"/>
      <c r="AY320" s="245"/>
      <c r="BA320" s="245"/>
      <c r="BE320" s="245"/>
    </row>
    <row r="321" spans="1:57" ht="14.25" hidden="1" customHeight="1" x14ac:dyDescent="0.2">
      <c r="A321" s="842"/>
      <c r="C321" s="278"/>
      <c r="D321" s="278"/>
      <c r="E321" s="265"/>
      <c r="F321" s="265"/>
      <c r="H321" s="266"/>
      <c r="I321" s="266"/>
      <c r="J321" s="223"/>
      <c r="K321" s="268"/>
      <c r="L321" s="225"/>
      <c r="M321" s="226"/>
      <c r="N321" s="209"/>
      <c r="O321" s="174"/>
      <c r="P321" s="209"/>
      <c r="Q321" s="209"/>
      <c r="R321" s="209"/>
      <c r="S321" s="209"/>
      <c r="U321" s="210" t="str">
        <f t="shared" si="246"/>
        <v>00</v>
      </c>
      <c r="V321" s="211" t="b">
        <f t="shared" si="247"/>
        <v>0</v>
      </c>
      <c r="W321" s="210">
        <f t="shared" si="260"/>
        <v>18</v>
      </c>
      <c r="X321" s="210">
        <f t="shared" si="248"/>
        <v>0</v>
      </c>
      <c r="Y321" s="210">
        <f t="shared" si="249"/>
        <v>0</v>
      </c>
      <c r="Z321" s="212" t="str">
        <f t="shared" si="250"/>
        <v/>
      </c>
      <c r="AA321" s="210" t="str">
        <f t="shared" si="251"/>
        <v/>
      </c>
      <c r="AB321" s="213"/>
      <c r="AC321" s="214" t="str">
        <f t="shared" si="252"/>
        <v/>
      </c>
      <c r="AD321" s="214" t="str">
        <f t="shared" si="253"/>
        <v/>
      </c>
      <c r="AE321" s="215" t="str">
        <f t="shared" si="254"/>
        <v/>
      </c>
      <c r="AF321" s="214" t="str">
        <f t="shared" si="255"/>
        <v/>
      </c>
      <c r="AG321" s="214" t="str">
        <f t="shared" si="256"/>
        <v/>
      </c>
      <c r="AH321" s="215" t="str">
        <f t="shared" si="257"/>
        <v/>
      </c>
      <c r="AI321" s="216">
        <f t="shared" si="258"/>
        <v>0</v>
      </c>
      <c r="AL321" s="217" t="str">
        <f>IF(OR(X321=Kedvenc!$C$43,Y321=Kedvenc!$C$43),W321,"")</f>
        <v/>
      </c>
      <c r="AM321" s="218" t="str">
        <f t="shared" si="259"/>
        <v/>
      </c>
      <c r="AP321" s="245"/>
      <c r="AQ321" s="245"/>
      <c r="AR321" s="245"/>
      <c r="AS321" s="245"/>
      <c r="AT321" s="245"/>
      <c r="AU321" s="245"/>
      <c r="AV321" s="245"/>
      <c r="AW321" s="245"/>
      <c r="AX321" s="245"/>
      <c r="AY321" s="245"/>
      <c r="BA321" s="245"/>
      <c r="BE321" s="245"/>
    </row>
    <row r="322" spans="1:57" ht="14.25" hidden="1" customHeight="1" x14ac:dyDescent="0.2">
      <c r="A322" s="842"/>
      <c r="C322" s="278"/>
      <c r="D322" s="278"/>
      <c r="E322" s="265"/>
      <c r="F322" s="265"/>
      <c r="H322" s="266"/>
      <c r="I322" s="266"/>
      <c r="J322" s="223"/>
      <c r="K322" s="268"/>
      <c r="L322" s="225"/>
      <c r="M322" s="226"/>
      <c r="N322" s="209"/>
      <c r="O322" s="174"/>
      <c r="P322" s="209"/>
      <c r="Q322" s="209"/>
      <c r="R322" s="209"/>
      <c r="S322" s="209"/>
      <c r="U322" s="210" t="str">
        <f t="shared" si="246"/>
        <v>00</v>
      </c>
      <c r="V322" s="211" t="b">
        <f t="shared" si="247"/>
        <v>0</v>
      </c>
      <c r="W322" s="210">
        <f t="shared" si="260"/>
        <v>18</v>
      </c>
      <c r="X322" s="210">
        <f t="shared" si="248"/>
        <v>0</v>
      </c>
      <c r="Y322" s="210">
        <f t="shared" si="249"/>
        <v>0</v>
      </c>
      <c r="Z322" s="212" t="str">
        <f t="shared" si="250"/>
        <v/>
      </c>
      <c r="AA322" s="210" t="str">
        <f t="shared" si="251"/>
        <v/>
      </c>
      <c r="AB322" s="213"/>
      <c r="AC322" s="214" t="str">
        <f t="shared" si="252"/>
        <v/>
      </c>
      <c r="AD322" s="214" t="str">
        <f t="shared" si="253"/>
        <v/>
      </c>
      <c r="AE322" s="215" t="str">
        <f t="shared" si="254"/>
        <v/>
      </c>
      <c r="AF322" s="214" t="str">
        <f t="shared" si="255"/>
        <v/>
      </c>
      <c r="AG322" s="214" t="str">
        <f t="shared" si="256"/>
        <v/>
      </c>
      <c r="AH322" s="215" t="str">
        <f t="shared" si="257"/>
        <v/>
      </c>
      <c r="AI322" s="216">
        <f t="shared" si="258"/>
        <v>0</v>
      </c>
      <c r="AL322" s="217" t="str">
        <f>IF(OR(X322=Kedvenc!$C$43,Y322=Kedvenc!$C$43),W322,"")</f>
        <v/>
      </c>
      <c r="AM322" s="218" t="str">
        <f t="shared" si="259"/>
        <v/>
      </c>
      <c r="AP322" s="245"/>
      <c r="AQ322" s="245"/>
      <c r="AR322" s="245"/>
      <c r="AS322" s="245"/>
      <c r="AT322" s="245"/>
      <c r="AU322" s="245"/>
      <c r="AV322" s="245"/>
      <c r="AW322" s="245"/>
      <c r="AX322" s="245"/>
      <c r="AY322" s="245"/>
      <c r="BA322" s="245"/>
      <c r="BE322" s="245"/>
    </row>
    <row r="323" spans="1:57" ht="14.25" hidden="1" customHeight="1" x14ac:dyDescent="0.2">
      <c r="A323" s="842"/>
      <c r="C323" s="278"/>
      <c r="D323" s="278"/>
      <c r="E323" s="265"/>
      <c r="F323" s="265"/>
      <c r="H323" s="266"/>
      <c r="I323" s="266"/>
      <c r="J323" s="223"/>
      <c r="K323" s="268"/>
      <c r="L323" s="225"/>
      <c r="M323" s="226"/>
      <c r="N323" s="209"/>
      <c r="O323" s="174"/>
      <c r="P323" s="209"/>
      <c r="Q323" s="209"/>
      <c r="R323" s="209"/>
      <c r="S323" s="209"/>
      <c r="U323" s="210" t="str">
        <f t="shared" si="246"/>
        <v>00</v>
      </c>
      <c r="V323" s="211" t="b">
        <f t="shared" si="247"/>
        <v>0</v>
      </c>
      <c r="W323" s="210">
        <f t="shared" si="260"/>
        <v>18</v>
      </c>
      <c r="X323" s="210">
        <f t="shared" si="248"/>
        <v>0</v>
      </c>
      <c r="Y323" s="210">
        <f t="shared" si="249"/>
        <v>0</v>
      </c>
      <c r="Z323" s="212" t="str">
        <f t="shared" si="250"/>
        <v/>
      </c>
      <c r="AA323" s="210" t="str">
        <f t="shared" si="251"/>
        <v/>
      </c>
      <c r="AB323" s="213"/>
      <c r="AC323" s="214" t="str">
        <f t="shared" si="252"/>
        <v/>
      </c>
      <c r="AD323" s="214" t="str">
        <f t="shared" si="253"/>
        <v/>
      </c>
      <c r="AE323" s="215" t="str">
        <f t="shared" si="254"/>
        <v/>
      </c>
      <c r="AF323" s="214" t="str">
        <f t="shared" si="255"/>
        <v/>
      </c>
      <c r="AG323" s="214" t="str">
        <f t="shared" si="256"/>
        <v/>
      </c>
      <c r="AH323" s="215" t="str">
        <f t="shared" si="257"/>
        <v/>
      </c>
      <c r="AI323" s="216">
        <f t="shared" si="258"/>
        <v>0</v>
      </c>
      <c r="AL323" s="217" t="str">
        <f>IF(OR(X323=Kedvenc!$C$43,Y323=Kedvenc!$C$43),W323,"")</f>
        <v/>
      </c>
      <c r="AM323" s="218" t="str">
        <f t="shared" si="259"/>
        <v/>
      </c>
      <c r="AP323" s="245"/>
      <c r="AQ323" s="245"/>
      <c r="AR323" s="245"/>
      <c r="AS323" s="245"/>
      <c r="AT323" s="245"/>
      <c r="AU323" s="245"/>
      <c r="AV323" s="245"/>
      <c r="AW323" s="245"/>
      <c r="AX323" s="245"/>
      <c r="AY323" s="245"/>
      <c r="BA323" s="245"/>
      <c r="BE323" s="245"/>
    </row>
    <row r="324" spans="1:57" ht="14.25" hidden="1" customHeight="1" x14ac:dyDescent="0.2">
      <c r="A324" s="842"/>
      <c r="C324" s="278"/>
      <c r="D324" s="278"/>
      <c r="E324" s="265"/>
      <c r="F324" s="265"/>
      <c r="H324" s="266"/>
      <c r="I324" s="266"/>
      <c r="J324" s="223"/>
      <c r="K324" s="268"/>
      <c r="L324" s="225"/>
      <c r="M324" s="226"/>
      <c r="N324" s="209"/>
      <c r="O324" s="174"/>
      <c r="P324" s="209"/>
      <c r="Q324" s="209"/>
      <c r="R324" s="209"/>
      <c r="S324" s="209"/>
      <c r="U324" s="210" t="str">
        <f t="shared" si="246"/>
        <v>00</v>
      </c>
      <c r="V324" s="211" t="b">
        <f t="shared" si="247"/>
        <v>0</v>
      </c>
      <c r="W324" s="210">
        <f t="shared" si="260"/>
        <v>18</v>
      </c>
      <c r="X324" s="210">
        <f t="shared" si="248"/>
        <v>0</v>
      </c>
      <c r="Y324" s="210">
        <f t="shared" si="249"/>
        <v>0</v>
      </c>
      <c r="Z324" s="212" t="str">
        <f t="shared" si="250"/>
        <v/>
      </c>
      <c r="AA324" s="210" t="str">
        <f t="shared" si="251"/>
        <v/>
      </c>
      <c r="AB324" s="213"/>
      <c r="AC324" s="214" t="str">
        <f t="shared" si="252"/>
        <v/>
      </c>
      <c r="AD324" s="214" t="str">
        <f t="shared" si="253"/>
        <v/>
      </c>
      <c r="AE324" s="215" t="str">
        <f t="shared" si="254"/>
        <v/>
      </c>
      <c r="AF324" s="214" t="str">
        <f t="shared" si="255"/>
        <v/>
      </c>
      <c r="AG324" s="214" t="str">
        <f t="shared" si="256"/>
        <v/>
      </c>
      <c r="AH324" s="215" t="str">
        <f t="shared" si="257"/>
        <v/>
      </c>
      <c r="AI324" s="216">
        <f t="shared" si="258"/>
        <v>0</v>
      </c>
      <c r="AL324" s="217" t="str">
        <f>IF(OR(X324=Kedvenc!$C$43,Y324=Kedvenc!$C$43),W324,"")</f>
        <v/>
      </c>
      <c r="AM324" s="218" t="str">
        <f t="shared" si="259"/>
        <v/>
      </c>
      <c r="AP324" s="245"/>
      <c r="AQ324" s="245"/>
      <c r="AR324" s="245"/>
      <c r="AS324" s="245"/>
      <c r="AT324" s="245"/>
      <c r="AU324" s="245"/>
      <c r="AV324" s="245"/>
      <c r="AW324" s="245"/>
      <c r="AX324" s="245"/>
      <c r="AY324" s="245"/>
      <c r="BA324" s="245"/>
      <c r="BE324" s="245"/>
    </row>
    <row r="325" spans="1:57" ht="14.25" hidden="1" customHeight="1" x14ac:dyDescent="0.2">
      <c r="A325" s="842"/>
      <c r="C325" s="278"/>
      <c r="D325" s="278"/>
      <c r="E325" s="265"/>
      <c r="F325" s="265"/>
      <c r="H325" s="266"/>
      <c r="I325" s="266"/>
      <c r="J325" s="223"/>
      <c r="K325" s="268"/>
      <c r="L325" s="225"/>
      <c r="M325" s="226"/>
      <c r="N325" s="209"/>
      <c r="O325" s="174"/>
      <c r="P325" s="209"/>
      <c r="Q325" s="209"/>
      <c r="R325" s="209"/>
      <c r="S325" s="209"/>
      <c r="U325" s="210" t="str">
        <f t="shared" si="246"/>
        <v>00</v>
      </c>
      <c r="V325" s="211" t="b">
        <f t="shared" si="247"/>
        <v>0</v>
      </c>
      <c r="W325" s="210">
        <f t="shared" si="260"/>
        <v>18</v>
      </c>
      <c r="X325" s="210">
        <f t="shared" si="248"/>
        <v>0</v>
      </c>
      <c r="Y325" s="210">
        <f t="shared" si="249"/>
        <v>0</v>
      </c>
      <c r="Z325" s="212" t="str">
        <f t="shared" si="250"/>
        <v/>
      </c>
      <c r="AA325" s="210" t="str">
        <f t="shared" si="251"/>
        <v/>
      </c>
      <c r="AB325" s="213"/>
      <c r="AC325" s="214" t="str">
        <f t="shared" si="252"/>
        <v/>
      </c>
      <c r="AD325" s="214" t="str">
        <f t="shared" si="253"/>
        <v/>
      </c>
      <c r="AE325" s="215" t="str">
        <f t="shared" si="254"/>
        <v/>
      </c>
      <c r="AF325" s="214" t="str">
        <f t="shared" si="255"/>
        <v/>
      </c>
      <c r="AG325" s="214" t="str">
        <f t="shared" si="256"/>
        <v/>
      </c>
      <c r="AH325" s="215" t="str">
        <f t="shared" si="257"/>
        <v/>
      </c>
      <c r="AI325" s="216">
        <f t="shared" si="258"/>
        <v>0</v>
      </c>
      <c r="AL325" s="217" t="str">
        <f>IF(OR(X325=Kedvenc!$C$43,Y325=Kedvenc!$C$43),W325,"")</f>
        <v/>
      </c>
      <c r="AM325" s="218" t="str">
        <f t="shared" si="259"/>
        <v/>
      </c>
      <c r="AP325" s="245"/>
      <c r="AQ325" s="245"/>
      <c r="AR325" s="245"/>
      <c r="AS325" s="245"/>
      <c r="AT325" s="245"/>
      <c r="AU325" s="245"/>
      <c r="AV325" s="245"/>
      <c r="AW325" s="245"/>
      <c r="AX325" s="245"/>
      <c r="AY325" s="245"/>
      <c r="BA325" s="245"/>
      <c r="BE325" s="245"/>
    </row>
    <row r="326" spans="1:57" ht="14.25" hidden="1" customHeight="1" x14ac:dyDescent="0.2">
      <c r="A326" s="842"/>
      <c r="C326" s="278"/>
      <c r="D326" s="278"/>
      <c r="E326" s="265"/>
      <c r="F326" s="265"/>
      <c r="H326" s="266"/>
      <c r="I326" s="266"/>
      <c r="J326" s="169"/>
      <c r="K326" s="268"/>
      <c r="L326" s="228"/>
      <c r="M326" s="228"/>
      <c r="N326" s="228"/>
      <c r="O326" s="174"/>
      <c r="P326" s="209"/>
      <c r="Q326" s="209"/>
      <c r="R326" s="209"/>
      <c r="S326" s="209"/>
      <c r="U326" s="210" t="str">
        <f t="shared" si="246"/>
        <v>00</v>
      </c>
      <c r="V326" s="211" t="b">
        <f t="shared" si="247"/>
        <v>0</v>
      </c>
      <c r="W326" s="210">
        <f t="shared" si="260"/>
        <v>18</v>
      </c>
      <c r="X326" s="210">
        <f t="shared" si="248"/>
        <v>0</v>
      </c>
      <c r="Y326" s="210">
        <f t="shared" si="249"/>
        <v>0</v>
      </c>
      <c r="Z326" s="212" t="str">
        <f t="shared" si="250"/>
        <v/>
      </c>
      <c r="AA326" s="210" t="str">
        <f t="shared" si="251"/>
        <v/>
      </c>
      <c r="AB326" s="213"/>
      <c r="AC326" s="214" t="str">
        <f t="shared" si="252"/>
        <v/>
      </c>
      <c r="AD326" s="214" t="str">
        <f t="shared" si="253"/>
        <v/>
      </c>
      <c r="AE326" s="215" t="str">
        <f t="shared" si="254"/>
        <v/>
      </c>
      <c r="AF326" s="214" t="str">
        <f t="shared" si="255"/>
        <v/>
      </c>
      <c r="AG326" s="214" t="str">
        <f t="shared" si="256"/>
        <v/>
      </c>
      <c r="AH326" s="215" t="str">
        <f t="shared" si="257"/>
        <v/>
      </c>
      <c r="AI326" s="216">
        <f t="shared" si="258"/>
        <v>0</v>
      </c>
      <c r="AL326" s="217" t="str">
        <f>IF(OR(X326=Kedvenc!$C$43,Y326=Kedvenc!$C$43),W326,"")</f>
        <v/>
      </c>
      <c r="AM326" s="218" t="str">
        <f t="shared" si="259"/>
        <v/>
      </c>
      <c r="AP326" s="245"/>
      <c r="AQ326" s="245"/>
      <c r="AR326" s="245"/>
      <c r="AS326" s="245"/>
      <c r="AT326" s="245"/>
      <c r="AU326" s="245"/>
      <c r="AV326" s="245"/>
      <c r="AW326" s="245"/>
      <c r="AX326" s="245"/>
      <c r="AY326" s="245"/>
      <c r="BA326" s="245"/>
      <c r="BE326" s="245"/>
    </row>
    <row r="327" spans="1:57" ht="14.25" customHeight="1" x14ac:dyDescent="0.2">
      <c r="A327" s="842"/>
      <c r="E327" s="247"/>
      <c r="F327" s="248"/>
      <c r="G327" s="248"/>
      <c r="H327" s="248"/>
      <c r="I327" s="247"/>
      <c r="J327" s="172"/>
      <c r="K327" s="228"/>
      <c r="L327" s="228"/>
      <c r="M327" s="228"/>
      <c r="N327" s="228"/>
      <c r="O327" s="174"/>
      <c r="P327" s="209"/>
      <c r="Q327" s="209"/>
      <c r="R327" s="209"/>
      <c r="S327" s="209"/>
      <c r="W327" s="231"/>
      <c r="AC327" s="233"/>
      <c r="AD327" s="233"/>
      <c r="AE327" s="234"/>
      <c r="AF327" s="233"/>
      <c r="AG327" s="233"/>
      <c r="AH327" s="234"/>
      <c r="AI327" s="234"/>
      <c r="AP327" s="245"/>
      <c r="AQ327" s="245"/>
      <c r="AR327" s="245"/>
      <c r="AS327" s="245"/>
      <c r="AT327" s="245"/>
      <c r="AU327" s="245"/>
      <c r="AV327" s="245"/>
      <c r="AW327" s="245"/>
      <c r="AX327" s="245"/>
      <c r="AY327" s="245"/>
      <c r="BA327" s="245"/>
      <c r="BE327" s="245"/>
    </row>
    <row r="328" spans="1:57" ht="14.25" customHeight="1" x14ac:dyDescent="0.2">
      <c r="A328" s="842"/>
      <c r="E328" s="224"/>
      <c r="F328" s="225"/>
      <c r="G328" s="226"/>
      <c r="H328" s="209"/>
      <c r="I328" s="227"/>
      <c r="J328" s="169"/>
      <c r="K328" s="228"/>
      <c r="L328" s="225"/>
      <c r="M328" s="226"/>
      <c r="N328" s="209"/>
      <c r="O328" s="174"/>
      <c r="P328" s="209"/>
      <c r="Q328" s="209"/>
      <c r="R328" s="209"/>
      <c r="S328" s="209"/>
      <c r="W328" s="231"/>
      <c r="AC328" s="233"/>
      <c r="AD328" s="233"/>
      <c r="AE328" s="234"/>
      <c r="AF328" s="233"/>
      <c r="AG328" s="233"/>
      <c r="AH328" s="234"/>
      <c r="AI328" s="197"/>
      <c r="AP328" s="245"/>
      <c r="AQ328" s="245"/>
      <c r="AR328" s="245"/>
      <c r="AS328" s="245"/>
      <c r="AT328" s="245"/>
      <c r="AU328" s="245"/>
      <c r="AV328" s="245"/>
      <c r="AW328" s="245"/>
      <c r="AX328" s="245"/>
      <c r="AY328" s="245"/>
      <c r="BA328" s="245"/>
      <c r="BD328" s="245"/>
      <c r="BE328" s="245"/>
    </row>
    <row r="329" spans="1:57" ht="14.25" customHeight="1" x14ac:dyDescent="0.2">
      <c r="A329" s="842"/>
      <c r="B329" s="187"/>
      <c r="C329" s="269" t="str">
        <f>CONCATENATE(" ",AB331,"."," forduló  –")</f>
        <v xml:space="preserve"> 19. forduló  –</v>
      </c>
      <c r="D329" s="843">
        <f>VLOOKUP(AB331,ASZ!$AQ$59:$AS$104,2,FALSE)</f>
        <v>42270</v>
      </c>
      <c r="E329" s="843"/>
      <c r="F329" s="274"/>
      <c r="G329" s="274"/>
      <c r="H329" s="274"/>
      <c r="I329" s="270" t="str">
        <f>CONCATENATE(IF($AW$61,"pont: ","gól: "),SUM(F331:H342)," / átlag: ",TEXT(IF(COUNT(F331:H342)=0,"-",SUM(F331:H342)/COUNT(F331:H342)*2),"0,00"))</f>
        <v>gól: 25 / átlag: 5,00</v>
      </c>
      <c r="J329" s="190"/>
      <c r="K329" s="271" t="s">
        <v>285</v>
      </c>
      <c r="L329" s="192"/>
      <c r="U329" s="229"/>
      <c r="V329" s="230"/>
      <c r="W329" s="231"/>
      <c r="X329" s="231"/>
      <c r="Y329" s="231"/>
      <c r="Z329" s="232"/>
      <c r="AA329" s="231"/>
      <c r="AC329" s="197"/>
      <c r="AD329" s="197"/>
      <c r="AE329" s="197"/>
      <c r="AF329" s="197"/>
      <c r="AG329" s="197"/>
      <c r="AH329" s="197"/>
      <c r="AI329" s="197"/>
      <c r="AQ329" s="245"/>
      <c r="AR329" s="245"/>
      <c r="AS329" s="245"/>
      <c r="AT329" s="245"/>
    </row>
    <row r="330" spans="1:57" ht="9" customHeight="1" x14ac:dyDescent="0.2">
      <c r="A330" s="842"/>
      <c r="J330" s="169"/>
      <c r="K330" s="228"/>
      <c r="L330" s="225"/>
      <c r="M330" s="226"/>
      <c r="N330" s="209"/>
      <c r="O330" s="174"/>
      <c r="P330" s="209"/>
      <c r="Q330" s="209"/>
      <c r="R330" s="209"/>
      <c r="S330" s="209"/>
      <c r="AP330" s="245"/>
      <c r="AQ330" s="245"/>
      <c r="AR330" s="245"/>
      <c r="AS330" s="245"/>
      <c r="AT330" s="245"/>
      <c r="AU330" s="245"/>
      <c r="AV330" s="245"/>
      <c r="AW330" s="245"/>
      <c r="AX330" s="245"/>
      <c r="AY330" s="245"/>
      <c r="BA330" s="245"/>
      <c r="BE330" s="245"/>
    </row>
    <row r="331" spans="1:57" ht="14.25" customHeight="1" x14ac:dyDescent="0.2">
      <c r="A331" s="842"/>
      <c r="C331" s="255">
        <v>42270</v>
      </c>
      <c r="D331" s="255" t="s">
        <v>497</v>
      </c>
      <c r="E331" s="265" t="s">
        <v>489</v>
      </c>
      <c r="F331" s="272">
        <v>2</v>
      </c>
      <c r="G331" s="200" t="s">
        <v>247</v>
      </c>
      <c r="H331" s="273">
        <v>5</v>
      </c>
      <c r="I331" s="266" t="s">
        <v>494</v>
      </c>
      <c r="J331" s="207"/>
      <c r="K331" s="267"/>
      <c r="L331" s="225"/>
      <c r="M331" s="226"/>
      <c r="N331" s="209"/>
      <c r="O331" s="174"/>
      <c r="P331" s="209"/>
      <c r="Q331" s="209"/>
      <c r="R331" s="209"/>
      <c r="S331" s="209"/>
      <c r="U331" s="210" t="str">
        <f t="shared" ref="U331:U342" si="261">X331&amp;Y331</f>
        <v>ÉlelmesekZrínyigyöngye</v>
      </c>
      <c r="V331" s="211" t="b">
        <f t="shared" ref="V331:V342" si="262">AND(F331&lt;&gt;"",H331&lt;&gt;"")</f>
        <v>1</v>
      </c>
      <c r="W331" s="210">
        <f>AB331</f>
        <v>19</v>
      </c>
      <c r="X331" s="210" t="str">
        <f t="shared" ref="X331:X342" si="263">E331</f>
        <v>Élelmesek</v>
      </c>
      <c r="Y331" s="210" t="str">
        <f t="shared" ref="Y331:Y342" si="264">I331</f>
        <v>Zrínyigyöngye</v>
      </c>
      <c r="Z331" s="212">
        <f t="shared" ref="Z331:Z342" si="265">IF(V331,F331,"")</f>
        <v>2</v>
      </c>
      <c r="AA331" s="210">
        <f t="shared" ref="AA331:AA342" si="266">IF(V331,H331,"")</f>
        <v>5</v>
      </c>
      <c r="AB331" s="213">
        <f>IF(NOT(ASZTAB!$X$71),AB315+1,AB315+COUNTIF(AB299:AB330,AB315)-1)</f>
        <v>19</v>
      </c>
      <c r="AC331" s="214" t="str">
        <f t="shared" ref="AC331:AC342" si="267">IF(Z331&gt;AA331,X331,"")</f>
        <v/>
      </c>
      <c r="AD331" s="214" t="str">
        <f t="shared" ref="AD331:AD342" si="268">IF(AA331="","",IF(Z331=AA331,X331,""))</f>
        <v/>
      </c>
      <c r="AE331" s="215" t="str">
        <f t="shared" ref="AE331:AE342" si="269">IF(AND($AW$61,Z331=0,AA331=20),X331&amp;"ooo",IF(Z331&lt;AA331,X331,""))</f>
        <v>Élelmesek</v>
      </c>
      <c r="AF331" s="214" t="str">
        <f t="shared" ref="AF331:AF342" si="270">IF(AA331&gt;Z331,Y331,"")</f>
        <v>Zrínyigyöngye</v>
      </c>
      <c r="AG331" s="214" t="str">
        <f t="shared" ref="AG331:AG342" si="271">IF(AA331="","",IF(Z331=AA331,Y331,""))</f>
        <v/>
      </c>
      <c r="AH331" s="215" t="str">
        <f t="shared" ref="AH331:AH342" si="272">IF(AND($AW$61,Z331=20,AA331=0),Y331&amp;"ooo",IF(Z331&gt;AA331,Y331,""))</f>
        <v/>
      </c>
      <c r="AI331" s="216">
        <f>C331</f>
        <v>42270</v>
      </c>
      <c r="AL331" s="217" t="str">
        <f>IF(OR(X331=Kedvenc!$C$43,Y331=Kedvenc!$C$43),W331,"")</f>
        <v/>
      </c>
      <c r="AM331" s="218" t="str">
        <f t="shared" ref="AM331:AM342" si="273">IF(AL331="","",U331)</f>
        <v/>
      </c>
      <c r="AQ331" s="245"/>
      <c r="AR331" s="245"/>
      <c r="AS331" s="245"/>
      <c r="AT331" s="245"/>
      <c r="BB331" s="285" t="str">
        <f>C331&amp;D331</f>
        <v>4227019:00 – A pálya</v>
      </c>
      <c r="BC331" s="284">
        <f>COUNTIF($BB$43:$BB$383,BB331)</f>
        <v>1</v>
      </c>
      <c r="BD331" s="512" t="str">
        <f>U331</f>
        <v>ÉlelmesekZrínyigyöngye</v>
      </c>
    </row>
    <row r="332" spans="1:57" ht="14.25" customHeight="1" x14ac:dyDescent="0.2">
      <c r="A332" s="842"/>
      <c r="C332" s="255">
        <v>42270</v>
      </c>
      <c r="D332" s="255" t="s">
        <v>498</v>
      </c>
      <c r="E332" s="265" t="s">
        <v>487</v>
      </c>
      <c r="F332" s="272">
        <v>0</v>
      </c>
      <c r="G332" s="200" t="s">
        <v>247</v>
      </c>
      <c r="H332" s="273">
        <v>6</v>
      </c>
      <c r="I332" s="266" t="s">
        <v>491</v>
      </c>
      <c r="J332" s="207"/>
      <c r="K332" s="268"/>
      <c r="L332" s="225"/>
      <c r="M332" s="226"/>
      <c r="N332" s="209"/>
      <c r="O332" s="174"/>
      <c r="U332" s="210" t="str">
        <f t="shared" si="261"/>
        <v>BőrdíszműK&amp;H</v>
      </c>
      <c r="V332" s="211" t="b">
        <f t="shared" si="262"/>
        <v>1</v>
      </c>
      <c r="W332" s="210">
        <f t="shared" ref="W332:W342" si="274">W331</f>
        <v>19</v>
      </c>
      <c r="X332" s="210" t="str">
        <f t="shared" si="263"/>
        <v>Bőrdíszmű</v>
      </c>
      <c r="Y332" s="210" t="str">
        <f t="shared" si="264"/>
        <v>K&amp;H</v>
      </c>
      <c r="Z332" s="212">
        <f t="shared" si="265"/>
        <v>0</v>
      </c>
      <c r="AA332" s="210">
        <f t="shared" si="266"/>
        <v>6</v>
      </c>
      <c r="AB332" s="213"/>
      <c r="AC332" s="214" t="str">
        <f t="shared" si="267"/>
        <v/>
      </c>
      <c r="AD332" s="214" t="str">
        <f t="shared" si="268"/>
        <v/>
      </c>
      <c r="AE332" s="215" t="str">
        <f t="shared" si="269"/>
        <v>Bőrdíszmű</v>
      </c>
      <c r="AF332" s="214" t="str">
        <f t="shared" si="270"/>
        <v>K&amp;H</v>
      </c>
      <c r="AG332" s="214" t="str">
        <f t="shared" si="271"/>
        <v/>
      </c>
      <c r="AH332" s="215" t="str">
        <f t="shared" si="272"/>
        <v/>
      </c>
      <c r="AI332" s="216">
        <f t="shared" si="258"/>
        <v>42270</v>
      </c>
      <c r="AL332" s="217" t="str">
        <f>IF(OR(X332=Kedvenc!$C$43,Y332=Kedvenc!$C$43),W332,"")</f>
        <v/>
      </c>
      <c r="AM332" s="218" t="str">
        <f t="shared" si="273"/>
        <v/>
      </c>
      <c r="BB332" s="285" t="str">
        <f>C332&amp;D332</f>
        <v>4227019:45 – A pálya</v>
      </c>
      <c r="BC332" s="284">
        <f>COUNTIF($BB$43:$BB$383,BB332)</f>
        <v>1</v>
      </c>
      <c r="BD332" s="512" t="str">
        <f>U332</f>
        <v>BőrdíszműK&amp;H</v>
      </c>
    </row>
    <row r="333" spans="1:57" ht="14.25" customHeight="1" x14ac:dyDescent="0.2">
      <c r="A333" s="842"/>
      <c r="C333" s="255">
        <v>42270</v>
      </c>
      <c r="D333" s="255" t="s">
        <v>499</v>
      </c>
      <c r="E333" s="265" t="s">
        <v>490</v>
      </c>
      <c r="F333" s="272">
        <v>2</v>
      </c>
      <c r="G333" s="200" t="s">
        <v>247</v>
      </c>
      <c r="H333" s="273">
        <v>3</v>
      </c>
      <c r="I333" s="266" t="s">
        <v>493</v>
      </c>
      <c r="J333" s="207"/>
      <c r="K333" s="268"/>
      <c r="L333" s="225"/>
      <c r="M333" s="226"/>
      <c r="N333" s="209"/>
      <c r="O333" s="174"/>
      <c r="U333" s="210" t="str">
        <f t="shared" si="261"/>
        <v>Hercules-LudovikaVakana</v>
      </c>
      <c r="V333" s="211" t="b">
        <f t="shared" si="262"/>
        <v>1</v>
      </c>
      <c r="W333" s="210">
        <f t="shared" si="274"/>
        <v>19</v>
      </c>
      <c r="X333" s="210" t="str">
        <f t="shared" si="263"/>
        <v>Hercules-Ludovika</v>
      </c>
      <c r="Y333" s="210" t="str">
        <f t="shared" si="264"/>
        <v>Vakana</v>
      </c>
      <c r="Z333" s="212">
        <f t="shared" si="265"/>
        <v>2</v>
      </c>
      <c r="AA333" s="210">
        <f t="shared" si="266"/>
        <v>3</v>
      </c>
      <c r="AB333" s="213"/>
      <c r="AC333" s="214" t="str">
        <f t="shared" si="267"/>
        <v/>
      </c>
      <c r="AD333" s="214" t="str">
        <f t="shared" si="268"/>
        <v/>
      </c>
      <c r="AE333" s="215" t="str">
        <f t="shared" si="269"/>
        <v>Hercules-Ludovika</v>
      </c>
      <c r="AF333" s="214" t="str">
        <f t="shared" si="270"/>
        <v>Vakana</v>
      </c>
      <c r="AG333" s="214" t="str">
        <f t="shared" si="271"/>
        <v/>
      </c>
      <c r="AH333" s="215" t="str">
        <f t="shared" si="272"/>
        <v/>
      </c>
      <c r="AI333" s="216">
        <f t="shared" si="258"/>
        <v>42270</v>
      </c>
      <c r="AL333" s="217" t="str">
        <f>IF(OR(X333=Kedvenc!$C$43,Y333=Kedvenc!$C$43),W333,"")</f>
        <v/>
      </c>
      <c r="AM333" s="218" t="str">
        <f t="shared" si="273"/>
        <v/>
      </c>
      <c r="BB333" s="285" t="str">
        <f>C333&amp;D333</f>
        <v>4227020:30 – A pálya</v>
      </c>
      <c r="BC333" s="284">
        <f>COUNTIF($BB$43:$BB$383,BB333)</f>
        <v>1</v>
      </c>
      <c r="BD333" s="512" t="str">
        <f>U333</f>
        <v>Hercules-LudovikaVakana</v>
      </c>
    </row>
    <row r="334" spans="1:57" ht="14.25" customHeight="1" x14ac:dyDescent="0.2">
      <c r="A334" s="842"/>
      <c r="C334" s="255">
        <v>42270</v>
      </c>
      <c r="D334" s="255" t="s">
        <v>500</v>
      </c>
      <c r="E334" s="265" t="s">
        <v>484</v>
      </c>
      <c r="F334" s="272">
        <v>0</v>
      </c>
      <c r="G334" s="200" t="s">
        <v>247</v>
      </c>
      <c r="H334" s="273">
        <v>1</v>
      </c>
      <c r="I334" s="266" t="s">
        <v>485</v>
      </c>
      <c r="J334" s="207"/>
      <c r="K334" s="268"/>
      <c r="L334" s="225"/>
      <c r="M334" s="226"/>
      <c r="N334" s="209"/>
      <c r="O334" s="174"/>
      <c r="U334" s="210" t="str">
        <f t="shared" si="261"/>
        <v>Bakafogó-Honvéd-Sashegy SEBBK</v>
      </c>
      <c r="V334" s="211" t="b">
        <f t="shared" si="262"/>
        <v>1</v>
      </c>
      <c r="W334" s="210">
        <f t="shared" si="274"/>
        <v>19</v>
      </c>
      <c r="X334" s="210" t="str">
        <f t="shared" si="263"/>
        <v>Bakafogó-Honvéd-Sashegy SE</v>
      </c>
      <c r="Y334" s="210" t="str">
        <f t="shared" si="264"/>
        <v>BBK</v>
      </c>
      <c r="Z334" s="212">
        <f t="shared" si="265"/>
        <v>0</v>
      </c>
      <c r="AA334" s="210">
        <f t="shared" si="266"/>
        <v>1</v>
      </c>
      <c r="AB334" s="213"/>
      <c r="AC334" s="214" t="str">
        <f t="shared" si="267"/>
        <v/>
      </c>
      <c r="AD334" s="214" t="str">
        <f t="shared" si="268"/>
        <v/>
      </c>
      <c r="AE334" s="215" t="str">
        <f t="shared" si="269"/>
        <v>Bakafogó-Honvéd-Sashegy SE</v>
      </c>
      <c r="AF334" s="214" t="str">
        <f t="shared" si="270"/>
        <v>BBK</v>
      </c>
      <c r="AG334" s="214" t="str">
        <f t="shared" si="271"/>
        <v/>
      </c>
      <c r="AH334" s="215" t="str">
        <f t="shared" si="272"/>
        <v/>
      </c>
      <c r="AI334" s="216">
        <f t="shared" si="258"/>
        <v>42270</v>
      </c>
      <c r="AL334" s="217" t="str">
        <f>IF(OR(X334=Kedvenc!$C$43,Y334=Kedvenc!$C$43),W334,"")</f>
        <v/>
      </c>
      <c r="AM334" s="218" t="str">
        <f t="shared" si="273"/>
        <v/>
      </c>
      <c r="AP334" s="245"/>
      <c r="AQ334" s="245"/>
      <c r="AR334" s="245"/>
      <c r="AS334" s="245"/>
      <c r="AT334" s="245"/>
      <c r="AU334" s="245"/>
      <c r="AV334" s="245"/>
      <c r="AW334" s="245"/>
      <c r="AX334" s="245"/>
      <c r="AY334" s="245"/>
      <c r="BA334" s="245"/>
      <c r="BB334" s="285" t="str">
        <f>C334&amp;D334</f>
        <v>4227019:00 – B pálya</v>
      </c>
      <c r="BC334" s="284">
        <f>COUNTIF($BB$43:$BB$383,BB334)</f>
        <v>1</v>
      </c>
      <c r="BD334" s="512" t="str">
        <f>U334</f>
        <v>Bakafogó-Honvéd-Sashegy SEBBK</v>
      </c>
      <c r="BE334" s="245"/>
    </row>
    <row r="335" spans="1:57" ht="14.25" customHeight="1" x14ac:dyDescent="0.2">
      <c r="A335" s="842"/>
      <c r="C335" s="255">
        <v>42270</v>
      </c>
      <c r="D335" s="255" t="s">
        <v>501</v>
      </c>
      <c r="E335" s="265" t="s">
        <v>488</v>
      </c>
      <c r="F335" s="272">
        <v>2</v>
      </c>
      <c r="G335" s="200" t="s">
        <v>247</v>
      </c>
      <c r="H335" s="273">
        <v>4</v>
      </c>
      <c r="I335" s="266" t="s">
        <v>486</v>
      </c>
      <c r="J335" s="223"/>
      <c r="K335" s="787"/>
      <c r="L335" s="225"/>
      <c r="M335" s="226"/>
      <c r="N335" s="209"/>
      <c r="O335" s="174"/>
      <c r="P335" s="209"/>
      <c r="Q335" s="209"/>
      <c r="R335" s="209"/>
      <c r="S335" s="209"/>
      <c r="U335" s="210" t="str">
        <f t="shared" si="261"/>
        <v>CarbonászBHD</v>
      </c>
      <c r="V335" s="211" t="b">
        <f t="shared" si="262"/>
        <v>1</v>
      </c>
      <c r="W335" s="210">
        <f t="shared" si="274"/>
        <v>19</v>
      </c>
      <c r="X335" s="210" t="str">
        <f t="shared" si="263"/>
        <v>Carbonász</v>
      </c>
      <c r="Y335" s="210" t="str">
        <f t="shared" si="264"/>
        <v>BHD</v>
      </c>
      <c r="Z335" s="212">
        <f t="shared" si="265"/>
        <v>2</v>
      </c>
      <c r="AA335" s="210">
        <f t="shared" si="266"/>
        <v>4</v>
      </c>
      <c r="AB335" s="213"/>
      <c r="AC335" s="214" t="str">
        <f t="shared" si="267"/>
        <v/>
      </c>
      <c r="AD335" s="214" t="str">
        <f t="shared" si="268"/>
        <v/>
      </c>
      <c r="AE335" s="215" t="str">
        <f t="shared" si="269"/>
        <v>Carbonász</v>
      </c>
      <c r="AF335" s="214" t="str">
        <f t="shared" si="270"/>
        <v>BHD</v>
      </c>
      <c r="AG335" s="214" t="str">
        <f t="shared" si="271"/>
        <v/>
      </c>
      <c r="AH335" s="215" t="str">
        <f t="shared" si="272"/>
        <v/>
      </c>
      <c r="AI335" s="216">
        <f t="shared" si="258"/>
        <v>42270</v>
      </c>
      <c r="AL335" s="217" t="str">
        <f>IF(OR(X335=Kedvenc!$C$43,Y335=Kedvenc!$C$43),W335,"")</f>
        <v/>
      </c>
      <c r="AM335" s="218" t="str">
        <f t="shared" si="273"/>
        <v/>
      </c>
      <c r="AP335" s="245"/>
      <c r="AQ335" s="245"/>
      <c r="AR335" s="245"/>
      <c r="AS335" s="245"/>
      <c r="AT335" s="245"/>
      <c r="AU335" s="245"/>
      <c r="AV335" s="245"/>
      <c r="AW335" s="245"/>
      <c r="AX335" s="245"/>
      <c r="AY335" s="245"/>
      <c r="BA335" s="245"/>
      <c r="BB335" s="285" t="str">
        <f>C335&amp;D335</f>
        <v>4227019:45 – B pálya</v>
      </c>
      <c r="BC335" s="284">
        <f>COUNTIF($BB$43:$BB$383,BB335)</f>
        <v>1</v>
      </c>
      <c r="BD335" s="512" t="str">
        <f>U335</f>
        <v>CarbonászBHD</v>
      </c>
      <c r="BE335" s="245"/>
    </row>
    <row r="336" spans="1:57" ht="14.25" customHeight="1" x14ac:dyDescent="0.2">
      <c r="A336" s="842"/>
      <c r="C336" s="278"/>
      <c r="D336" s="278"/>
      <c r="E336" s="275" t="s">
        <v>492</v>
      </c>
      <c r="F336" s="275"/>
      <c r="G336" s="276"/>
      <c r="H336" s="277"/>
      <c r="I336" s="277" t="s">
        <v>495</v>
      </c>
      <c r="J336" s="223"/>
      <c r="K336" s="268"/>
      <c r="L336" s="225"/>
      <c r="M336" s="226"/>
      <c r="N336" s="209"/>
      <c r="O336" s="174"/>
      <c r="P336" s="209"/>
      <c r="Q336" s="209"/>
      <c r="R336" s="209"/>
      <c r="S336" s="209"/>
      <c r="U336" s="210" t="str">
        <f t="shared" si="261"/>
        <v>Royal Guard'sszabadnapos</v>
      </c>
      <c r="V336" s="211" t="b">
        <f t="shared" si="262"/>
        <v>0</v>
      </c>
      <c r="W336" s="210">
        <f t="shared" si="274"/>
        <v>19</v>
      </c>
      <c r="X336" s="210" t="str">
        <f t="shared" si="263"/>
        <v>Royal Guard's</v>
      </c>
      <c r="Y336" s="210" t="str">
        <f t="shared" si="264"/>
        <v>szabadnapos</v>
      </c>
      <c r="Z336" s="212" t="str">
        <f t="shared" si="265"/>
        <v/>
      </c>
      <c r="AA336" s="210" t="str">
        <f t="shared" si="266"/>
        <v/>
      </c>
      <c r="AB336" s="213"/>
      <c r="AC336" s="214" t="str">
        <f t="shared" si="267"/>
        <v/>
      </c>
      <c r="AD336" s="214" t="str">
        <f t="shared" si="268"/>
        <v/>
      </c>
      <c r="AE336" s="215" t="str">
        <f t="shared" si="269"/>
        <v/>
      </c>
      <c r="AF336" s="214" t="str">
        <f t="shared" si="270"/>
        <v/>
      </c>
      <c r="AG336" s="214" t="str">
        <f t="shared" si="271"/>
        <v/>
      </c>
      <c r="AH336" s="215" t="str">
        <f t="shared" si="272"/>
        <v/>
      </c>
      <c r="AI336" s="750">
        <f>AI331</f>
        <v>42270</v>
      </c>
      <c r="AL336" s="217" t="str">
        <f>IF(OR(X336=Kedvenc!$C$43,Y336=Kedvenc!$C$43),W336,"")</f>
        <v/>
      </c>
      <c r="AM336" s="218" t="str">
        <f t="shared" si="273"/>
        <v/>
      </c>
      <c r="AP336" s="245"/>
      <c r="AQ336" s="245"/>
      <c r="AR336" s="245"/>
      <c r="AS336" s="245"/>
      <c r="AT336" s="245"/>
      <c r="AU336" s="245"/>
      <c r="AV336" s="245"/>
      <c r="AW336" s="245"/>
      <c r="AX336" s="245"/>
      <c r="AY336" s="245"/>
      <c r="BA336" s="245"/>
      <c r="BE336" s="245"/>
    </row>
    <row r="337" spans="1:57" ht="14.25" hidden="1" customHeight="1" x14ac:dyDescent="0.2">
      <c r="A337" s="842"/>
      <c r="C337" s="278"/>
      <c r="D337" s="278"/>
      <c r="E337" s="265"/>
      <c r="F337" s="265"/>
      <c r="H337" s="266"/>
      <c r="I337" s="266"/>
      <c r="J337" s="223"/>
      <c r="K337" s="268"/>
      <c r="L337" s="225"/>
      <c r="M337" s="226"/>
      <c r="N337" s="209"/>
      <c r="O337" s="174"/>
      <c r="P337" s="209"/>
      <c r="Q337" s="209"/>
      <c r="R337" s="209"/>
      <c r="S337" s="209"/>
      <c r="U337" s="210" t="str">
        <f t="shared" si="261"/>
        <v>00</v>
      </c>
      <c r="V337" s="211" t="b">
        <f t="shared" si="262"/>
        <v>0</v>
      </c>
      <c r="W337" s="210">
        <f t="shared" si="274"/>
        <v>19</v>
      </c>
      <c r="X337" s="210">
        <f t="shared" si="263"/>
        <v>0</v>
      </c>
      <c r="Y337" s="210">
        <f t="shared" si="264"/>
        <v>0</v>
      </c>
      <c r="Z337" s="212" t="str">
        <f t="shared" si="265"/>
        <v/>
      </c>
      <c r="AA337" s="210" t="str">
        <f t="shared" si="266"/>
        <v/>
      </c>
      <c r="AB337" s="213"/>
      <c r="AC337" s="214" t="str">
        <f t="shared" si="267"/>
        <v/>
      </c>
      <c r="AD337" s="214" t="str">
        <f t="shared" si="268"/>
        <v/>
      </c>
      <c r="AE337" s="215" t="str">
        <f t="shared" si="269"/>
        <v/>
      </c>
      <c r="AF337" s="214" t="str">
        <f t="shared" si="270"/>
        <v/>
      </c>
      <c r="AG337" s="214" t="str">
        <f t="shared" si="271"/>
        <v/>
      </c>
      <c r="AH337" s="215" t="str">
        <f t="shared" si="272"/>
        <v/>
      </c>
      <c r="AI337" s="216">
        <f t="shared" si="258"/>
        <v>0</v>
      </c>
      <c r="AL337" s="217" t="str">
        <f>IF(OR(X337=Kedvenc!$C$43,Y337=Kedvenc!$C$43),W337,"")</f>
        <v/>
      </c>
      <c r="AM337" s="218" t="str">
        <f t="shared" si="273"/>
        <v/>
      </c>
      <c r="AP337" s="245"/>
      <c r="AQ337" s="245"/>
      <c r="AR337" s="245"/>
      <c r="AS337" s="245"/>
      <c r="AT337" s="245"/>
      <c r="AU337" s="245"/>
      <c r="AV337" s="245"/>
      <c r="AW337" s="245"/>
      <c r="AX337" s="245"/>
      <c r="AY337" s="245"/>
      <c r="BA337" s="245"/>
      <c r="BE337" s="245"/>
    </row>
    <row r="338" spans="1:57" ht="14.25" hidden="1" customHeight="1" x14ac:dyDescent="0.2">
      <c r="A338" s="842"/>
      <c r="C338" s="278"/>
      <c r="D338" s="278"/>
      <c r="E338" s="265"/>
      <c r="F338" s="265"/>
      <c r="H338" s="266"/>
      <c r="I338" s="266"/>
      <c r="J338" s="223"/>
      <c r="K338" s="268"/>
      <c r="L338" s="225"/>
      <c r="M338" s="226"/>
      <c r="N338" s="209"/>
      <c r="O338" s="174"/>
      <c r="P338" s="209"/>
      <c r="Q338" s="209"/>
      <c r="R338" s="209"/>
      <c r="S338" s="209"/>
      <c r="U338" s="210" t="str">
        <f t="shared" si="261"/>
        <v>00</v>
      </c>
      <c r="V338" s="211" t="b">
        <f t="shared" si="262"/>
        <v>0</v>
      </c>
      <c r="W338" s="210">
        <f t="shared" si="274"/>
        <v>19</v>
      </c>
      <c r="X338" s="210">
        <f t="shared" si="263"/>
        <v>0</v>
      </c>
      <c r="Y338" s="210">
        <f t="shared" si="264"/>
        <v>0</v>
      </c>
      <c r="Z338" s="212" t="str">
        <f t="shared" si="265"/>
        <v/>
      </c>
      <c r="AA338" s="210" t="str">
        <f t="shared" si="266"/>
        <v/>
      </c>
      <c r="AB338" s="213"/>
      <c r="AC338" s="214" t="str">
        <f t="shared" si="267"/>
        <v/>
      </c>
      <c r="AD338" s="214" t="str">
        <f t="shared" si="268"/>
        <v/>
      </c>
      <c r="AE338" s="215" t="str">
        <f t="shared" si="269"/>
        <v/>
      </c>
      <c r="AF338" s="214" t="str">
        <f t="shared" si="270"/>
        <v/>
      </c>
      <c r="AG338" s="214" t="str">
        <f t="shared" si="271"/>
        <v/>
      </c>
      <c r="AH338" s="215" t="str">
        <f t="shared" si="272"/>
        <v/>
      </c>
      <c r="AI338" s="216">
        <f t="shared" si="258"/>
        <v>0</v>
      </c>
      <c r="AL338" s="217" t="str">
        <f>IF(OR(X338=Kedvenc!$C$43,Y338=Kedvenc!$C$43),W338,"")</f>
        <v/>
      </c>
      <c r="AM338" s="218" t="str">
        <f t="shared" si="273"/>
        <v/>
      </c>
      <c r="AP338" s="245"/>
      <c r="AQ338" s="245"/>
      <c r="AR338" s="245"/>
      <c r="AS338" s="245"/>
      <c r="AT338" s="245"/>
      <c r="AU338" s="245"/>
      <c r="AV338" s="245"/>
      <c r="AW338" s="245"/>
      <c r="AX338" s="245"/>
      <c r="AY338" s="245"/>
      <c r="BA338" s="245"/>
      <c r="BE338" s="245"/>
    </row>
    <row r="339" spans="1:57" ht="14.25" hidden="1" customHeight="1" x14ac:dyDescent="0.2">
      <c r="A339" s="842"/>
      <c r="C339" s="278"/>
      <c r="D339" s="278"/>
      <c r="E339" s="265"/>
      <c r="F339" s="265"/>
      <c r="H339" s="266"/>
      <c r="I339" s="266"/>
      <c r="J339" s="223"/>
      <c r="K339" s="268"/>
      <c r="L339" s="225"/>
      <c r="M339" s="226"/>
      <c r="N339" s="209"/>
      <c r="O339" s="174"/>
      <c r="P339" s="209"/>
      <c r="Q339" s="209"/>
      <c r="R339" s="209"/>
      <c r="S339" s="209"/>
      <c r="U339" s="210" t="str">
        <f t="shared" si="261"/>
        <v>00</v>
      </c>
      <c r="V339" s="211" t="b">
        <f t="shared" si="262"/>
        <v>0</v>
      </c>
      <c r="W339" s="210">
        <f t="shared" si="274"/>
        <v>19</v>
      </c>
      <c r="X339" s="210">
        <f t="shared" si="263"/>
        <v>0</v>
      </c>
      <c r="Y339" s="210">
        <f t="shared" si="264"/>
        <v>0</v>
      </c>
      <c r="Z339" s="212" t="str">
        <f t="shared" si="265"/>
        <v/>
      </c>
      <c r="AA339" s="210" t="str">
        <f t="shared" si="266"/>
        <v/>
      </c>
      <c r="AB339" s="213"/>
      <c r="AC339" s="214" t="str">
        <f t="shared" si="267"/>
        <v/>
      </c>
      <c r="AD339" s="214" t="str">
        <f t="shared" si="268"/>
        <v/>
      </c>
      <c r="AE339" s="215" t="str">
        <f t="shared" si="269"/>
        <v/>
      </c>
      <c r="AF339" s="214" t="str">
        <f t="shared" si="270"/>
        <v/>
      </c>
      <c r="AG339" s="214" t="str">
        <f t="shared" si="271"/>
        <v/>
      </c>
      <c r="AH339" s="215" t="str">
        <f t="shared" si="272"/>
        <v/>
      </c>
      <c r="AI339" s="216">
        <f t="shared" si="258"/>
        <v>0</v>
      </c>
      <c r="AL339" s="217" t="str">
        <f>IF(OR(X339=Kedvenc!$C$43,Y339=Kedvenc!$C$43),W339,"")</f>
        <v/>
      </c>
      <c r="AM339" s="218" t="str">
        <f t="shared" si="273"/>
        <v/>
      </c>
      <c r="AP339" s="245"/>
      <c r="AQ339" s="245"/>
      <c r="AR339" s="245"/>
      <c r="AS339" s="245"/>
      <c r="AT339" s="245"/>
      <c r="AU339" s="245"/>
      <c r="AV339" s="245"/>
      <c r="AW339" s="245"/>
      <c r="AX339" s="245"/>
      <c r="AY339" s="245"/>
      <c r="BA339" s="245"/>
      <c r="BE339" s="245"/>
    </row>
    <row r="340" spans="1:57" ht="14.25" hidden="1" customHeight="1" x14ac:dyDescent="0.2">
      <c r="A340" s="842"/>
      <c r="C340" s="278"/>
      <c r="D340" s="278"/>
      <c r="E340" s="265"/>
      <c r="F340" s="265"/>
      <c r="H340" s="266"/>
      <c r="I340" s="266"/>
      <c r="J340" s="223"/>
      <c r="K340" s="268"/>
      <c r="L340" s="225"/>
      <c r="M340" s="226"/>
      <c r="N340" s="209"/>
      <c r="O340" s="174"/>
      <c r="P340" s="209"/>
      <c r="Q340" s="209"/>
      <c r="R340" s="209"/>
      <c r="S340" s="209"/>
      <c r="U340" s="210" t="str">
        <f t="shared" si="261"/>
        <v>00</v>
      </c>
      <c r="V340" s="211" t="b">
        <f t="shared" si="262"/>
        <v>0</v>
      </c>
      <c r="W340" s="210">
        <f t="shared" si="274"/>
        <v>19</v>
      </c>
      <c r="X340" s="210">
        <f t="shared" si="263"/>
        <v>0</v>
      </c>
      <c r="Y340" s="210">
        <f t="shared" si="264"/>
        <v>0</v>
      </c>
      <c r="Z340" s="212" t="str">
        <f t="shared" si="265"/>
        <v/>
      </c>
      <c r="AA340" s="210" t="str">
        <f t="shared" si="266"/>
        <v/>
      </c>
      <c r="AB340" s="213"/>
      <c r="AC340" s="214" t="str">
        <f t="shared" si="267"/>
        <v/>
      </c>
      <c r="AD340" s="214" t="str">
        <f t="shared" si="268"/>
        <v/>
      </c>
      <c r="AE340" s="215" t="str">
        <f t="shared" si="269"/>
        <v/>
      </c>
      <c r="AF340" s="214" t="str">
        <f t="shared" si="270"/>
        <v/>
      </c>
      <c r="AG340" s="214" t="str">
        <f t="shared" si="271"/>
        <v/>
      </c>
      <c r="AH340" s="215" t="str">
        <f t="shared" si="272"/>
        <v/>
      </c>
      <c r="AI340" s="216">
        <f t="shared" si="258"/>
        <v>0</v>
      </c>
      <c r="AL340" s="217" t="str">
        <f>IF(OR(X340=Kedvenc!$C$43,Y340=Kedvenc!$C$43),W340,"")</f>
        <v/>
      </c>
      <c r="AM340" s="218" t="str">
        <f t="shared" si="273"/>
        <v/>
      </c>
      <c r="AP340" s="245"/>
      <c r="AQ340" s="245"/>
      <c r="AR340" s="245"/>
      <c r="AS340" s="245"/>
      <c r="AT340" s="245"/>
      <c r="AU340" s="245"/>
      <c r="AV340" s="245"/>
      <c r="AW340" s="245"/>
      <c r="AX340" s="245"/>
      <c r="AY340" s="245"/>
      <c r="BA340" s="245"/>
      <c r="BE340" s="245"/>
    </row>
    <row r="341" spans="1:57" ht="14.25" hidden="1" customHeight="1" x14ac:dyDescent="0.2">
      <c r="A341" s="842"/>
      <c r="C341" s="278"/>
      <c r="D341" s="278"/>
      <c r="E341" s="265"/>
      <c r="F341" s="265"/>
      <c r="H341" s="266"/>
      <c r="I341" s="266"/>
      <c r="J341" s="223"/>
      <c r="K341" s="268"/>
      <c r="L341" s="225"/>
      <c r="M341" s="226"/>
      <c r="N341" s="209"/>
      <c r="O341" s="174"/>
      <c r="P341" s="209"/>
      <c r="Q341" s="209"/>
      <c r="R341" s="209"/>
      <c r="S341" s="209"/>
      <c r="U341" s="210" t="str">
        <f t="shared" si="261"/>
        <v>00</v>
      </c>
      <c r="V341" s="211" t="b">
        <f t="shared" si="262"/>
        <v>0</v>
      </c>
      <c r="W341" s="210">
        <f t="shared" si="274"/>
        <v>19</v>
      </c>
      <c r="X341" s="210">
        <f t="shared" si="263"/>
        <v>0</v>
      </c>
      <c r="Y341" s="210">
        <f t="shared" si="264"/>
        <v>0</v>
      </c>
      <c r="Z341" s="212" t="str">
        <f t="shared" si="265"/>
        <v/>
      </c>
      <c r="AA341" s="210" t="str">
        <f t="shared" si="266"/>
        <v/>
      </c>
      <c r="AB341" s="213"/>
      <c r="AC341" s="214" t="str">
        <f t="shared" si="267"/>
        <v/>
      </c>
      <c r="AD341" s="214" t="str">
        <f t="shared" si="268"/>
        <v/>
      </c>
      <c r="AE341" s="215" t="str">
        <f t="shared" si="269"/>
        <v/>
      </c>
      <c r="AF341" s="214" t="str">
        <f t="shared" si="270"/>
        <v/>
      </c>
      <c r="AG341" s="214" t="str">
        <f t="shared" si="271"/>
        <v/>
      </c>
      <c r="AH341" s="215" t="str">
        <f t="shared" si="272"/>
        <v/>
      </c>
      <c r="AI341" s="216">
        <f t="shared" si="258"/>
        <v>0</v>
      </c>
      <c r="AL341" s="217" t="str">
        <f>IF(OR(X341=Kedvenc!$C$43,Y341=Kedvenc!$C$43),W341,"")</f>
        <v/>
      </c>
      <c r="AM341" s="218" t="str">
        <f t="shared" si="273"/>
        <v/>
      </c>
      <c r="AP341" s="245"/>
      <c r="AQ341" s="245"/>
      <c r="AR341" s="245"/>
      <c r="AS341" s="245"/>
      <c r="AT341" s="245"/>
      <c r="AU341" s="245"/>
      <c r="AV341" s="245"/>
      <c r="AW341" s="245"/>
      <c r="AX341" s="245"/>
      <c r="AY341" s="245"/>
      <c r="BA341" s="245"/>
      <c r="BE341" s="245"/>
    </row>
    <row r="342" spans="1:57" ht="14.25" hidden="1" customHeight="1" x14ac:dyDescent="0.2">
      <c r="A342" s="842"/>
      <c r="C342" s="278"/>
      <c r="D342" s="278"/>
      <c r="E342" s="265"/>
      <c r="F342" s="265"/>
      <c r="H342" s="266"/>
      <c r="I342" s="266"/>
      <c r="J342" s="169"/>
      <c r="K342" s="268"/>
      <c r="L342" s="228"/>
      <c r="M342" s="228"/>
      <c r="N342" s="228"/>
      <c r="O342" s="174"/>
      <c r="P342" s="209"/>
      <c r="Q342" s="209"/>
      <c r="R342" s="209"/>
      <c r="S342" s="209"/>
      <c r="U342" s="210" t="str">
        <f t="shared" si="261"/>
        <v>00</v>
      </c>
      <c r="V342" s="211" t="b">
        <f t="shared" si="262"/>
        <v>0</v>
      </c>
      <c r="W342" s="210">
        <f t="shared" si="274"/>
        <v>19</v>
      </c>
      <c r="X342" s="210">
        <f t="shared" si="263"/>
        <v>0</v>
      </c>
      <c r="Y342" s="210">
        <f t="shared" si="264"/>
        <v>0</v>
      </c>
      <c r="Z342" s="212" t="str">
        <f t="shared" si="265"/>
        <v/>
      </c>
      <c r="AA342" s="210" t="str">
        <f t="shared" si="266"/>
        <v/>
      </c>
      <c r="AB342" s="213"/>
      <c r="AC342" s="214" t="str">
        <f t="shared" si="267"/>
        <v/>
      </c>
      <c r="AD342" s="214" t="str">
        <f t="shared" si="268"/>
        <v/>
      </c>
      <c r="AE342" s="215" t="str">
        <f t="shared" si="269"/>
        <v/>
      </c>
      <c r="AF342" s="214" t="str">
        <f t="shared" si="270"/>
        <v/>
      </c>
      <c r="AG342" s="214" t="str">
        <f t="shared" si="271"/>
        <v/>
      </c>
      <c r="AH342" s="215" t="str">
        <f t="shared" si="272"/>
        <v/>
      </c>
      <c r="AI342" s="216">
        <f t="shared" si="258"/>
        <v>0</v>
      </c>
      <c r="AL342" s="217" t="str">
        <f>IF(OR(X342=Kedvenc!$C$43,Y342=Kedvenc!$C$43),W342,"")</f>
        <v/>
      </c>
      <c r="AM342" s="218" t="str">
        <f t="shared" si="273"/>
        <v/>
      </c>
      <c r="AP342" s="245"/>
      <c r="AQ342" s="245"/>
      <c r="AR342" s="245"/>
      <c r="AS342" s="245"/>
      <c r="AT342" s="245"/>
      <c r="AU342" s="245"/>
      <c r="AV342" s="245"/>
      <c r="AW342" s="245"/>
      <c r="AX342" s="245"/>
      <c r="AY342" s="245"/>
      <c r="BA342" s="245"/>
      <c r="BE342" s="245"/>
    </row>
    <row r="343" spans="1:57" ht="14.25" customHeight="1" x14ac:dyDescent="0.2">
      <c r="A343" s="842"/>
      <c r="E343" s="247"/>
      <c r="F343" s="248"/>
      <c r="G343" s="248"/>
      <c r="H343" s="248"/>
      <c r="I343" s="247"/>
      <c r="J343" s="172"/>
      <c r="K343" s="228"/>
      <c r="L343" s="228"/>
      <c r="M343" s="228"/>
      <c r="N343" s="228"/>
      <c r="O343" s="174"/>
      <c r="P343" s="209"/>
      <c r="Q343" s="209"/>
      <c r="R343" s="209"/>
      <c r="S343" s="209"/>
      <c r="W343" s="231"/>
      <c r="AC343" s="233"/>
      <c r="AD343" s="233"/>
      <c r="AE343" s="234"/>
      <c r="AF343" s="233"/>
      <c r="AG343" s="233"/>
      <c r="AH343" s="234"/>
      <c r="AI343" s="234"/>
      <c r="AP343" s="245"/>
      <c r="AQ343" s="245"/>
      <c r="AR343" s="245"/>
      <c r="AS343" s="245"/>
      <c r="AT343" s="245"/>
      <c r="AU343" s="245"/>
      <c r="AV343" s="245"/>
      <c r="AW343" s="245"/>
      <c r="AX343" s="245"/>
      <c r="AY343" s="245"/>
      <c r="BA343" s="245"/>
      <c r="BE343" s="245"/>
    </row>
    <row r="344" spans="1:57" ht="14.25" customHeight="1" x14ac:dyDescent="0.2">
      <c r="A344" s="842"/>
      <c r="E344" s="224"/>
      <c r="F344" s="225"/>
      <c r="G344" s="226"/>
      <c r="H344" s="209"/>
      <c r="I344" s="227"/>
      <c r="J344" s="169"/>
      <c r="K344" s="228"/>
      <c r="L344" s="225"/>
      <c r="M344" s="226"/>
      <c r="N344" s="209"/>
      <c r="O344" s="174"/>
      <c r="P344" s="209"/>
      <c r="Q344" s="209"/>
      <c r="R344" s="209"/>
      <c r="S344" s="209"/>
      <c r="W344" s="231"/>
      <c r="AC344" s="233"/>
      <c r="AD344" s="233"/>
      <c r="AE344" s="234"/>
      <c r="AF344" s="233"/>
      <c r="AG344" s="233"/>
      <c r="AH344" s="234"/>
      <c r="AI344" s="197"/>
      <c r="AP344" s="245"/>
      <c r="AQ344" s="245"/>
      <c r="AR344" s="245"/>
      <c r="AS344" s="245"/>
      <c r="AT344" s="245"/>
      <c r="AU344" s="245"/>
      <c r="AV344" s="245"/>
      <c r="AW344" s="245"/>
      <c r="AX344" s="245"/>
      <c r="AY344" s="245"/>
      <c r="BA344" s="245"/>
      <c r="BD344" s="245"/>
      <c r="BE344" s="245"/>
    </row>
    <row r="345" spans="1:57" ht="14.25" customHeight="1" x14ac:dyDescent="0.2">
      <c r="A345" s="842"/>
      <c r="B345" s="187"/>
      <c r="C345" s="269" t="str">
        <f>CONCATENATE(" ",AB347,"."," forduló  –")</f>
        <v xml:space="preserve"> 20. forduló  –</v>
      </c>
      <c r="D345" s="843">
        <f>VLOOKUP(AB347,ASZ!$AQ$59:$AS$104,2,FALSE)</f>
        <v>42277</v>
      </c>
      <c r="E345" s="843"/>
      <c r="F345" s="274"/>
      <c r="G345" s="274"/>
      <c r="H345" s="274"/>
      <c r="I345" s="270" t="str">
        <f>CONCATENATE(IF($AW$61,"pont: ","gól: "),SUM(F347:H358)," / átlag: ",TEXT(IF(COUNT(F347:H358)=0,"-",SUM(F347:H358)/COUNT(F347:H358)*2),"0,00"))</f>
        <v>gól: 24 / átlag: 4,80</v>
      </c>
      <c r="J345" s="190"/>
      <c r="K345" s="271" t="s">
        <v>285</v>
      </c>
      <c r="L345" s="192"/>
      <c r="U345" s="229"/>
      <c r="V345" s="230"/>
      <c r="W345" s="231"/>
      <c r="X345" s="231"/>
      <c r="Y345" s="231"/>
      <c r="Z345" s="232"/>
      <c r="AA345" s="231"/>
      <c r="AC345" s="197"/>
      <c r="AD345" s="197"/>
      <c r="AE345" s="197"/>
      <c r="AF345" s="197"/>
      <c r="AG345" s="197"/>
      <c r="AH345" s="197"/>
      <c r="AI345" s="197"/>
      <c r="AQ345" s="245"/>
      <c r="AR345" s="245"/>
      <c r="AS345" s="245"/>
      <c r="AT345" s="245"/>
    </row>
    <row r="346" spans="1:57" ht="9" customHeight="1" x14ac:dyDescent="0.2">
      <c r="A346" s="842"/>
      <c r="J346" s="169"/>
      <c r="K346" s="228"/>
      <c r="L346" s="225"/>
      <c r="M346" s="226"/>
      <c r="N346" s="209"/>
      <c r="O346" s="174"/>
      <c r="P346" s="209"/>
      <c r="Q346" s="209"/>
      <c r="R346" s="209"/>
      <c r="S346" s="209"/>
      <c r="AP346" s="245"/>
      <c r="AQ346" s="245"/>
      <c r="AR346" s="245"/>
      <c r="AS346" s="245"/>
      <c r="AT346" s="245"/>
      <c r="AU346" s="245"/>
      <c r="AV346" s="245"/>
      <c r="AW346" s="245"/>
      <c r="AX346" s="245"/>
      <c r="AY346" s="245"/>
      <c r="BA346" s="245"/>
      <c r="BE346" s="245"/>
    </row>
    <row r="347" spans="1:57" ht="14.25" customHeight="1" x14ac:dyDescent="0.2">
      <c r="A347" s="842"/>
      <c r="C347" s="255">
        <v>42277</v>
      </c>
      <c r="D347" s="255" t="s">
        <v>497</v>
      </c>
      <c r="E347" s="265" t="s">
        <v>486</v>
      </c>
      <c r="F347" s="272">
        <v>5</v>
      </c>
      <c r="G347" s="200" t="s">
        <v>247</v>
      </c>
      <c r="H347" s="273">
        <v>2</v>
      </c>
      <c r="I347" s="266" t="s">
        <v>487</v>
      </c>
      <c r="J347" s="207"/>
      <c r="K347" s="267"/>
      <c r="L347" s="225"/>
      <c r="M347" s="226"/>
      <c r="N347" s="209"/>
      <c r="O347" s="174"/>
      <c r="P347" s="209"/>
      <c r="Q347" s="209"/>
      <c r="R347" s="209"/>
      <c r="S347" s="209"/>
      <c r="U347" s="210" t="str">
        <f t="shared" ref="U347:U358" si="275">X347&amp;Y347</f>
        <v>BHDBőrdíszmű</v>
      </c>
      <c r="V347" s="211" t="b">
        <f t="shared" ref="V347:V358" si="276">AND(F347&lt;&gt;"",H347&lt;&gt;"")</f>
        <v>1</v>
      </c>
      <c r="W347" s="210">
        <f>AB347</f>
        <v>20</v>
      </c>
      <c r="X347" s="210" t="str">
        <f t="shared" ref="X347:X358" si="277">E347</f>
        <v>BHD</v>
      </c>
      <c r="Y347" s="210" t="str">
        <f t="shared" ref="Y347:Y358" si="278">I347</f>
        <v>Bőrdíszmű</v>
      </c>
      <c r="Z347" s="212">
        <f t="shared" ref="Z347:Z358" si="279">IF(V347,F347,"")</f>
        <v>5</v>
      </c>
      <c r="AA347" s="210">
        <f t="shared" ref="AA347:AA358" si="280">IF(V347,H347,"")</f>
        <v>2</v>
      </c>
      <c r="AB347" s="213">
        <f>IF(NOT(ASZTAB!$X$71),AB331+1,AB331+COUNTIF(AB315:AB346,AB331)-1)</f>
        <v>20</v>
      </c>
      <c r="AC347" s="214" t="str">
        <f t="shared" ref="AC347:AC358" si="281">IF(Z347&gt;AA347,X347,"")</f>
        <v>BHD</v>
      </c>
      <c r="AD347" s="214" t="str">
        <f t="shared" ref="AD347:AD358" si="282">IF(AA347="","",IF(Z347=AA347,X347,""))</f>
        <v/>
      </c>
      <c r="AE347" s="215" t="str">
        <f t="shared" ref="AE347:AE358" si="283">IF(AND($AW$61,Z347=0,AA347=20),X347&amp;"ooo",IF(Z347&lt;AA347,X347,""))</f>
        <v/>
      </c>
      <c r="AF347" s="214" t="str">
        <f t="shared" ref="AF347:AF358" si="284">IF(AA347&gt;Z347,Y347,"")</f>
        <v/>
      </c>
      <c r="AG347" s="214" t="str">
        <f t="shared" ref="AG347:AG358" si="285">IF(AA347="","",IF(Z347=AA347,Y347,""))</f>
        <v/>
      </c>
      <c r="AH347" s="215" t="str">
        <f t="shared" ref="AH347:AH358" si="286">IF(AND($AW$61,Z347=20,AA347=0),Y347&amp;"ooo",IF(Z347&gt;AA347,Y347,""))</f>
        <v>Bőrdíszmű</v>
      </c>
      <c r="AI347" s="216">
        <f>C347</f>
        <v>42277</v>
      </c>
      <c r="AL347" s="217" t="str">
        <f>IF(OR(X347=Kedvenc!$C$43,Y347=Kedvenc!$C$43),W347,"")</f>
        <v/>
      </c>
      <c r="AM347" s="218" t="str">
        <f t="shared" ref="AM347:AM358" si="287">IF(AL347="","",U347)</f>
        <v/>
      </c>
      <c r="AQ347" s="245"/>
      <c r="AR347" s="245"/>
      <c r="AS347" s="245"/>
      <c r="AT347" s="245"/>
      <c r="BB347" s="285" t="str">
        <f>C347&amp;D347</f>
        <v>4227719:00 – A pálya</v>
      </c>
      <c r="BC347" s="284">
        <f>COUNTIF($BB$43:$BB$383,BB347)</f>
        <v>1</v>
      </c>
      <c r="BD347" s="512" t="str">
        <f>U347</f>
        <v>BHDBőrdíszmű</v>
      </c>
    </row>
    <row r="348" spans="1:57" ht="14.25" customHeight="1" x14ac:dyDescent="0.2">
      <c r="A348" s="842"/>
      <c r="C348" s="255">
        <v>42277</v>
      </c>
      <c r="D348" s="255" t="s">
        <v>498</v>
      </c>
      <c r="E348" s="265" t="s">
        <v>485</v>
      </c>
      <c r="F348" s="272">
        <v>4</v>
      </c>
      <c r="G348" s="200" t="s">
        <v>247</v>
      </c>
      <c r="H348" s="273">
        <v>2</v>
      </c>
      <c r="I348" s="266" t="s">
        <v>489</v>
      </c>
      <c r="J348" s="207"/>
      <c r="K348" s="268"/>
      <c r="L348" s="225"/>
      <c r="M348" s="226"/>
      <c r="N348" s="209"/>
      <c r="O348" s="174"/>
      <c r="U348" s="210" t="str">
        <f t="shared" si="275"/>
        <v>BBKÉlelmesek</v>
      </c>
      <c r="V348" s="211" t="b">
        <f t="shared" si="276"/>
        <v>1</v>
      </c>
      <c r="W348" s="210">
        <f t="shared" ref="W348:W358" si="288">W347</f>
        <v>20</v>
      </c>
      <c r="X348" s="210" t="str">
        <f t="shared" si="277"/>
        <v>BBK</v>
      </c>
      <c r="Y348" s="210" t="str">
        <f t="shared" si="278"/>
        <v>Élelmesek</v>
      </c>
      <c r="Z348" s="212">
        <f t="shared" si="279"/>
        <v>4</v>
      </c>
      <c r="AA348" s="210">
        <f t="shared" si="280"/>
        <v>2</v>
      </c>
      <c r="AB348" s="213"/>
      <c r="AC348" s="214" t="str">
        <f t="shared" si="281"/>
        <v>BBK</v>
      </c>
      <c r="AD348" s="214" t="str">
        <f t="shared" si="282"/>
        <v/>
      </c>
      <c r="AE348" s="215" t="str">
        <f t="shared" si="283"/>
        <v/>
      </c>
      <c r="AF348" s="214" t="str">
        <f t="shared" si="284"/>
        <v/>
      </c>
      <c r="AG348" s="214" t="str">
        <f t="shared" si="285"/>
        <v/>
      </c>
      <c r="AH348" s="215" t="str">
        <f t="shared" si="286"/>
        <v>Élelmesek</v>
      </c>
      <c r="AI348" s="216">
        <f t="shared" si="258"/>
        <v>42277</v>
      </c>
      <c r="AL348" s="217" t="str">
        <f>IF(OR(X348=Kedvenc!$C$43,Y348=Kedvenc!$C$43),W348,"")</f>
        <v/>
      </c>
      <c r="AM348" s="218" t="str">
        <f t="shared" si="287"/>
        <v/>
      </c>
      <c r="BB348" s="285" t="str">
        <f>C348&amp;D348</f>
        <v>4227719:45 – A pálya</v>
      </c>
      <c r="BC348" s="284">
        <f>COUNTIF($BB$43:$BB$383,BB348)</f>
        <v>1</v>
      </c>
      <c r="BD348" s="512" t="str">
        <f>U348</f>
        <v>BBKÉlelmesek</v>
      </c>
    </row>
    <row r="349" spans="1:57" ht="14.25" customHeight="1" x14ac:dyDescent="0.2">
      <c r="A349" s="842"/>
      <c r="C349" s="255">
        <v>42277</v>
      </c>
      <c r="D349" s="255" t="s">
        <v>499</v>
      </c>
      <c r="E349" s="265" t="s">
        <v>493</v>
      </c>
      <c r="F349" s="272">
        <v>0</v>
      </c>
      <c r="G349" s="200" t="s">
        <v>247</v>
      </c>
      <c r="H349" s="273">
        <v>3</v>
      </c>
      <c r="I349" s="266" t="s">
        <v>491</v>
      </c>
      <c r="J349" s="207"/>
      <c r="K349" s="268" t="s">
        <v>714</v>
      </c>
      <c r="L349" s="225"/>
      <c r="M349" s="226"/>
      <c r="N349" s="209"/>
      <c r="O349" s="174"/>
      <c r="U349" s="210" t="str">
        <f t="shared" si="275"/>
        <v>VakanaK&amp;H</v>
      </c>
      <c r="V349" s="211" t="b">
        <f t="shared" si="276"/>
        <v>1</v>
      </c>
      <c r="W349" s="210">
        <f t="shared" si="288"/>
        <v>20</v>
      </c>
      <c r="X349" s="210" t="str">
        <f t="shared" si="277"/>
        <v>Vakana</v>
      </c>
      <c r="Y349" s="210" t="str">
        <f t="shared" si="278"/>
        <v>K&amp;H</v>
      </c>
      <c r="Z349" s="212">
        <f t="shared" si="279"/>
        <v>0</v>
      </c>
      <c r="AA349" s="210">
        <f t="shared" si="280"/>
        <v>3</v>
      </c>
      <c r="AB349" s="213"/>
      <c r="AC349" s="214" t="str">
        <f t="shared" si="281"/>
        <v/>
      </c>
      <c r="AD349" s="214" t="str">
        <f t="shared" si="282"/>
        <v/>
      </c>
      <c r="AE349" s="215" t="str">
        <f t="shared" si="283"/>
        <v>Vakana</v>
      </c>
      <c r="AF349" s="214" t="str">
        <f t="shared" si="284"/>
        <v>K&amp;H</v>
      </c>
      <c r="AG349" s="214" t="str">
        <f t="shared" si="285"/>
        <v/>
      </c>
      <c r="AH349" s="215" t="str">
        <f t="shared" si="286"/>
        <v/>
      </c>
      <c r="AI349" s="216">
        <f t="shared" si="258"/>
        <v>42277</v>
      </c>
      <c r="AL349" s="217" t="str">
        <f>IF(OR(X349=Kedvenc!$C$43,Y349=Kedvenc!$C$43),W349,"")</f>
        <v/>
      </c>
      <c r="AM349" s="218" t="str">
        <f t="shared" si="287"/>
        <v/>
      </c>
      <c r="BB349" s="285" t="str">
        <f>C349&amp;D349</f>
        <v>4227720:30 – A pálya</v>
      </c>
      <c r="BC349" s="284">
        <f>COUNTIF($BB$43:$BB$383,BB349)</f>
        <v>1</v>
      </c>
      <c r="BD349" s="512" t="str">
        <f>U349</f>
        <v>VakanaK&amp;H</v>
      </c>
    </row>
    <row r="350" spans="1:57" ht="14.25" customHeight="1" x14ac:dyDescent="0.2">
      <c r="A350" s="842"/>
      <c r="C350" s="255">
        <v>42277</v>
      </c>
      <c r="D350" s="255" t="s">
        <v>500</v>
      </c>
      <c r="E350" s="265" t="s">
        <v>488</v>
      </c>
      <c r="F350" s="272">
        <v>0</v>
      </c>
      <c r="G350" s="200" t="s">
        <v>247</v>
      </c>
      <c r="H350" s="273">
        <v>3</v>
      </c>
      <c r="I350" s="266" t="s">
        <v>494</v>
      </c>
      <c r="J350" s="207"/>
      <c r="K350" s="268"/>
      <c r="L350" s="225"/>
      <c r="M350" s="226"/>
      <c r="N350" s="209"/>
      <c r="O350" s="174"/>
      <c r="U350" s="210" t="str">
        <f t="shared" si="275"/>
        <v>CarbonászZrínyigyöngye</v>
      </c>
      <c r="V350" s="211" t="b">
        <f t="shared" si="276"/>
        <v>1</v>
      </c>
      <c r="W350" s="210">
        <f t="shared" si="288"/>
        <v>20</v>
      </c>
      <c r="X350" s="210" t="str">
        <f t="shared" si="277"/>
        <v>Carbonász</v>
      </c>
      <c r="Y350" s="210" t="str">
        <f t="shared" si="278"/>
        <v>Zrínyigyöngye</v>
      </c>
      <c r="Z350" s="212">
        <f t="shared" si="279"/>
        <v>0</v>
      </c>
      <c r="AA350" s="210">
        <f t="shared" si="280"/>
        <v>3</v>
      </c>
      <c r="AB350" s="213"/>
      <c r="AC350" s="214" t="str">
        <f t="shared" si="281"/>
        <v/>
      </c>
      <c r="AD350" s="214" t="str">
        <f t="shared" si="282"/>
        <v/>
      </c>
      <c r="AE350" s="215" t="str">
        <f t="shared" si="283"/>
        <v>Carbonász</v>
      </c>
      <c r="AF350" s="214" t="str">
        <f t="shared" si="284"/>
        <v>Zrínyigyöngye</v>
      </c>
      <c r="AG350" s="214" t="str">
        <f t="shared" si="285"/>
        <v/>
      </c>
      <c r="AH350" s="215" t="str">
        <f t="shared" si="286"/>
        <v/>
      </c>
      <c r="AI350" s="216">
        <f t="shared" si="258"/>
        <v>42277</v>
      </c>
      <c r="AL350" s="217" t="str">
        <f>IF(OR(X350=Kedvenc!$C$43,Y350=Kedvenc!$C$43),W350,"")</f>
        <v/>
      </c>
      <c r="AM350" s="218" t="str">
        <f t="shared" si="287"/>
        <v/>
      </c>
      <c r="AP350" s="245"/>
      <c r="AQ350" s="245"/>
      <c r="AR350" s="245"/>
      <c r="AS350" s="245"/>
      <c r="AT350" s="245"/>
      <c r="AU350" s="245"/>
      <c r="AV350" s="245"/>
      <c r="AW350" s="245"/>
      <c r="AX350" s="245"/>
      <c r="AY350" s="245"/>
      <c r="BA350" s="245"/>
      <c r="BB350" s="285" t="str">
        <f>C350&amp;D350</f>
        <v>4227719:00 – B pálya</v>
      </c>
      <c r="BC350" s="284">
        <f>COUNTIF($BB$43:$BB$383,BB350)</f>
        <v>1</v>
      </c>
      <c r="BD350" s="512" t="str">
        <f>U350</f>
        <v>CarbonászZrínyigyöngye</v>
      </c>
      <c r="BE350" s="245"/>
    </row>
    <row r="351" spans="1:57" ht="14.25" customHeight="1" x14ac:dyDescent="0.2">
      <c r="A351" s="842"/>
      <c r="C351" s="255">
        <v>42277</v>
      </c>
      <c r="D351" s="255" t="s">
        <v>501</v>
      </c>
      <c r="E351" s="265" t="s">
        <v>492</v>
      </c>
      <c r="F351" s="272">
        <v>3</v>
      </c>
      <c r="G351" s="200" t="s">
        <v>247</v>
      </c>
      <c r="H351" s="273">
        <v>2</v>
      </c>
      <c r="I351" s="266" t="s">
        <v>490</v>
      </c>
      <c r="J351" s="223"/>
      <c r="K351" s="787"/>
      <c r="L351" s="225"/>
      <c r="M351" s="226"/>
      <c r="N351" s="209"/>
      <c r="O351" s="174"/>
      <c r="P351" s="209"/>
      <c r="Q351" s="209"/>
      <c r="R351" s="209"/>
      <c r="S351" s="209"/>
      <c r="U351" s="210" t="str">
        <f t="shared" si="275"/>
        <v>Royal Guard'sHercules-Ludovika</v>
      </c>
      <c r="V351" s="211" t="b">
        <f t="shared" si="276"/>
        <v>1</v>
      </c>
      <c r="W351" s="210">
        <f t="shared" si="288"/>
        <v>20</v>
      </c>
      <c r="X351" s="210" t="str">
        <f t="shared" si="277"/>
        <v>Royal Guard's</v>
      </c>
      <c r="Y351" s="210" t="str">
        <f t="shared" si="278"/>
        <v>Hercules-Ludovika</v>
      </c>
      <c r="Z351" s="212">
        <f t="shared" si="279"/>
        <v>3</v>
      </c>
      <c r="AA351" s="210">
        <f t="shared" si="280"/>
        <v>2</v>
      </c>
      <c r="AB351" s="213"/>
      <c r="AC351" s="214" t="str">
        <f t="shared" si="281"/>
        <v>Royal Guard's</v>
      </c>
      <c r="AD351" s="214" t="str">
        <f t="shared" si="282"/>
        <v/>
      </c>
      <c r="AE351" s="215" t="str">
        <f t="shared" si="283"/>
        <v/>
      </c>
      <c r="AF351" s="214" t="str">
        <f t="shared" si="284"/>
        <v/>
      </c>
      <c r="AG351" s="214" t="str">
        <f t="shared" si="285"/>
        <v/>
      </c>
      <c r="AH351" s="215" t="str">
        <f t="shared" si="286"/>
        <v>Hercules-Ludovika</v>
      </c>
      <c r="AI351" s="216">
        <f t="shared" si="258"/>
        <v>42277</v>
      </c>
      <c r="AL351" s="217" t="str">
        <f>IF(OR(X351=Kedvenc!$C$43,Y351=Kedvenc!$C$43),W351,"")</f>
        <v/>
      </c>
      <c r="AM351" s="218" t="str">
        <f t="shared" si="287"/>
        <v/>
      </c>
      <c r="AP351" s="245"/>
      <c r="AQ351" s="245"/>
      <c r="AR351" s="245"/>
      <c r="AS351" s="245"/>
      <c r="AT351" s="245"/>
      <c r="AU351" s="245"/>
      <c r="AV351" s="245"/>
      <c r="AW351" s="245"/>
      <c r="AX351" s="245"/>
      <c r="AY351" s="245"/>
      <c r="BA351" s="245"/>
      <c r="BB351" s="285" t="str">
        <f>C351&amp;D351</f>
        <v>4227719:45 – B pálya</v>
      </c>
      <c r="BC351" s="284">
        <f>COUNTIF($BB$43:$BB$383,BB351)</f>
        <v>1</v>
      </c>
      <c r="BD351" s="512" t="str">
        <f>U351</f>
        <v>Royal Guard'sHercules-Ludovika</v>
      </c>
      <c r="BE351" s="245"/>
    </row>
    <row r="352" spans="1:57" ht="14.25" customHeight="1" x14ac:dyDescent="0.2">
      <c r="A352" s="842"/>
      <c r="C352" s="278"/>
      <c r="D352" s="278"/>
      <c r="E352" s="275" t="s">
        <v>484</v>
      </c>
      <c r="F352" s="275"/>
      <c r="G352" s="276"/>
      <c r="H352" s="277"/>
      <c r="I352" s="277" t="s">
        <v>495</v>
      </c>
      <c r="J352" s="223"/>
      <c r="K352" s="268"/>
      <c r="L352" s="225"/>
      <c r="M352" s="226"/>
      <c r="N352" s="209"/>
      <c r="O352" s="174"/>
      <c r="P352" s="209"/>
      <c r="Q352" s="209"/>
      <c r="R352" s="209"/>
      <c r="S352" s="209"/>
      <c r="U352" s="210" t="str">
        <f t="shared" si="275"/>
        <v>Bakafogó-Honvéd-Sashegy SEszabadnapos</v>
      </c>
      <c r="V352" s="211" t="b">
        <f t="shared" si="276"/>
        <v>0</v>
      </c>
      <c r="W352" s="210">
        <f t="shared" si="288"/>
        <v>20</v>
      </c>
      <c r="X352" s="210" t="str">
        <f t="shared" si="277"/>
        <v>Bakafogó-Honvéd-Sashegy SE</v>
      </c>
      <c r="Y352" s="210" t="str">
        <f t="shared" si="278"/>
        <v>szabadnapos</v>
      </c>
      <c r="Z352" s="212" t="str">
        <f t="shared" si="279"/>
        <v/>
      </c>
      <c r="AA352" s="210" t="str">
        <f t="shared" si="280"/>
        <v/>
      </c>
      <c r="AB352" s="213"/>
      <c r="AC352" s="214" t="str">
        <f t="shared" si="281"/>
        <v/>
      </c>
      <c r="AD352" s="214" t="str">
        <f t="shared" si="282"/>
        <v/>
      </c>
      <c r="AE352" s="215" t="str">
        <f t="shared" si="283"/>
        <v/>
      </c>
      <c r="AF352" s="214" t="str">
        <f t="shared" si="284"/>
        <v/>
      </c>
      <c r="AG352" s="214" t="str">
        <f t="shared" si="285"/>
        <v/>
      </c>
      <c r="AH352" s="215" t="str">
        <f t="shared" si="286"/>
        <v/>
      </c>
      <c r="AI352" s="750">
        <f>AI347</f>
        <v>42277</v>
      </c>
      <c r="AL352" s="217" t="str">
        <f>IF(OR(X352=Kedvenc!$C$43,Y352=Kedvenc!$C$43),W352,"")</f>
        <v/>
      </c>
      <c r="AM352" s="218" t="str">
        <f t="shared" si="287"/>
        <v/>
      </c>
      <c r="AP352" s="245"/>
      <c r="AQ352" s="245"/>
      <c r="AR352" s="245"/>
      <c r="AS352" s="245"/>
      <c r="AT352" s="245"/>
      <c r="AU352" s="245"/>
      <c r="AV352" s="245"/>
      <c r="AW352" s="245"/>
      <c r="AX352" s="245"/>
      <c r="AY352" s="245"/>
      <c r="BA352" s="245"/>
      <c r="BE352" s="245"/>
    </row>
    <row r="353" spans="1:57" ht="14.25" hidden="1" customHeight="1" x14ac:dyDescent="0.2">
      <c r="A353" s="842"/>
      <c r="C353" s="278"/>
      <c r="D353" s="278"/>
      <c r="E353" s="265"/>
      <c r="F353" s="265"/>
      <c r="H353" s="266"/>
      <c r="I353" s="266"/>
      <c r="J353" s="223"/>
      <c r="K353" s="268"/>
      <c r="L353" s="225"/>
      <c r="M353" s="226"/>
      <c r="N353" s="209"/>
      <c r="O353" s="174"/>
      <c r="P353" s="209"/>
      <c r="Q353" s="209"/>
      <c r="R353" s="209"/>
      <c r="S353" s="209"/>
      <c r="U353" s="210" t="str">
        <f t="shared" si="275"/>
        <v>00</v>
      </c>
      <c r="V353" s="211" t="b">
        <f t="shared" si="276"/>
        <v>0</v>
      </c>
      <c r="W353" s="210">
        <f t="shared" si="288"/>
        <v>20</v>
      </c>
      <c r="X353" s="210">
        <f t="shared" si="277"/>
        <v>0</v>
      </c>
      <c r="Y353" s="210">
        <f t="shared" si="278"/>
        <v>0</v>
      </c>
      <c r="Z353" s="212" t="str">
        <f t="shared" si="279"/>
        <v/>
      </c>
      <c r="AA353" s="210" t="str">
        <f t="shared" si="280"/>
        <v/>
      </c>
      <c r="AB353" s="213"/>
      <c r="AC353" s="214" t="str">
        <f t="shared" si="281"/>
        <v/>
      </c>
      <c r="AD353" s="214" t="str">
        <f t="shared" si="282"/>
        <v/>
      </c>
      <c r="AE353" s="215" t="str">
        <f t="shared" si="283"/>
        <v/>
      </c>
      <c r="AF353" s="214" t="str">
        <f t="shared" si="284"/>
        <v/>
      </c>
      <c r="AG353" s="214" t="str">
        <f t="shared" si="285"/>
        <v/>
      </c>
      <c r="AH353" s="215" t="str">
        <f t="shared" si="286"/>
        <v/>
      </c>
      <c r="AI353" s="216">
        <f t="shared" si="258"/>
        <v>0</v>
      </c>
      <c r="AL353" s="217" t="str">
        <f>IF(OR(X353=Kedvenc!$C$43,Y353=Kedvenc!$C$43),W353,"")</f>
        <v/>
      </c>
      <c r="AM353" s="218" t="str">
        <f t="shared" si="287"/>
        <v/>
      </c>
      <c r="AP353" s="245"/>
      <c r="AQ353" s="245"/>
      <c r="AR353" s="245"/>
      <c r="AS353" s="245"/>
      <c r="AT353" s="245"/>
      <c r="AU353" s="245"/>
      <c r="AV353" s="245"/>
      <c r="AW353" s="245"/>
      <c r="AX353" s="245"/>
      <c r="AY353" s="245"/>
      <c r="BA353" s="245"/>
      <c r="BE353" s="245"/>
    </row>
    <row r="354" spans="1:57" ht="14.25" hidden="1" customHeight="1" x14ac:dyDescent="0.2">
      <c r="A354" s="842"/>
      <c r="C354" s="278"/>
      <c r="D354" s="278"/>
      <c r="E354" s="265"/>
      <c r="F354" s="265"/>
      <c r="H354" s="266"/>
      <c r="I354" s="266"/>
      <c r="J354" s="223"/>
      <c r="K354" s="268"/>
      <c r="L354" s="225"/>
      <c r="M354" s="226"/>
      <c r="N354" s="209"/>
      <c r="O354" s="174"/>
      <c r="P354" s="209"/>
      <c r="Q354" s="209"/>
      <c r="R354" s="209"/>
      <c r="S354" s="209"/>
      <c r="U354" s="210" t="str">
        <f t="shared" si="275"/>
        <v>00</v>
      </c>
      <c r="V354" s="211" t="b">
        <f t="shared" si="276"/>
        <v>0</v>
      </c>
      <c r="W354" s="210">
        <f t="shared" si="288"/>
        <v>20</v>
      </c>
      <c r="X354" s="210">
        <f t="shared" si="277"/>
        <v>0</v>
      </c>
      <c r="Y354" s="210">
        <f t="shared" si="278"/>
        <v>0</v>
      </c>
      <c r="Z354" s="212" t="str">
        <f t="shared" si="279"/>
        <v/>
      </c>
      <c r="AA354" s="210" t="str">
        <f t="shared" si="280"/>
        <v/>
      </c>
      <c r="AB354" s="213"/>
      <c r="AC354" s="214" t="str">
        <f t="shared" si="281"/>
        <v/>
      </c>
      <c r="AD354" s="214" t="str">
        <f t="shared" si="282"/>
        <v/>
      </c>
      <c r="AE354" s="215" t="str">
        <f t="shared" si="283"/>
        <v/>
      </c>
      <c r="AF354" s="214" t="str">
        <f t="shared" si="284"/>
        <v/>
      </c>
      <c r="AG354" s="214" t="str">
        <f t="shared" si="285"/>
        <v/>
      </c>
      <c r="AH354" s="215" t="str">
        <f t="shared" si="286"/>
        <v/>
      </c>
      <c r="AI354" s="216">
        <f t="shared" si="258"/>
        <v>0</v>
      </c>
      <c r="AL354" s="217" t="str">
        <f>IF(OR(X354=Kedvenc!$C$43,Y354=Kedvenc!$C$43),W354,"")</f>
        <v/>
      </c>
      <c r="AM354" s="218" t="str">
        <f t="shared" si="287"/>
        <v/>
      </c>
      <c r="AP354" s="245"/>
      <c r="AQ354" s="245"/>
      <c r="AR354" s="245"/>
      <c r="AS354" s="245"/>
      <c r="AT354" s="245"/>
      <c r="AU354" s="245"/>
      <c r="AV354" s="245"/>
      <c r="AW354" s="245"/>
      <c r="AX354" s="245"/>
      <c r="AY354" s="245"/>
      <c r="BA354" s="245"/>
      <c r="BE354" s="245"/>
    </row>
    <row r="355" spans="1:57" ht="14.25" hidden="1" customHeight="1" x14ac:dyDescent="0.2">
      <c r="A355" s="842"/>
      <c r="C355" s="278"/>
      <c r="D355" s="278"/>
      <c r="E355" s="265"/>
      <c r="F355" s="265"/>
      <c r="H355" s="266"/>
      <c r="I355" s="266"/>
      <c r="J355" s="223"/>
      <c r="K355" s="268"/>
      <c r="L355" s="225"/>
      <c r="M355" s="226"/>
      <c r="N355" s="209"/>
      <c r="O355" s="174"/>
      <c r="P355" s="209"/>
      <c r="Q355" s="209"/>
      <c r="R355" s="209"/>
      <c r="S355" s="209"/>
      <c r="U355" s="210" t="str">
        <f t="shared" si="275"/>
        <v>00</v>
      </c>
      <c r="V355" s="211" t="b">
        <f t="shared" si="276"/>
        <v>0</v>
      </c>
      <c r="W355" s="210">
        <f t="shared" si="288"/>
        <v>20</v>
      </c>
      <c r="X355" s="210">
        <f t="shared" si="277"/>
        <v>0</v>
      </c>
      <c r="Y355" s="210">
        <f t="shared" si="278"/>
        <v>0</v>
      </c>
      <c r="Z355" s="212" t="str">
        <f t="shared" si="279"/>
        <v/>
      </c>
      <c r="AA355" s="210" t="str">
        <f t="shared" si="280"/>
        <v/>
      </c>
      <c r="AB355" s="213"/>
      <c r="AC355" s="214" t="str">
        <f t="shared" si="281"/>
        <v/>
      </c>
      <c r="AD355" s="214" t="str">
        <f t="shared" si="282"/>
        <v/>
      </c>
      <c r="AE355" s="215" t="str">
        <f t="shared" si="283"/>
        <v/>
      </c>
      <c r="AF355" s="214" t="str">
        <f t="shared" si="284"/>
        <v/>
      </c>
      <c r="AG355" s="214" t="str">
        <f t="shared" si="285"/>
        <v/>
      </c>
      <c r="AH355" s="215" t="str">
        <f t="shared" si="286"/>
        <v/>
      </c>
      <c r="AI355" s="216">
        <f t="shared" si="258"/>
        <v>0</v>
      </c>
      <c r="AL355" s="217" t="str">
        <f>IF(OR(X355=Kedvenc!$C$43,Y355=Kedvenc!$C$43),W355,"")</f>
        <v/>
      </c>
      <c r="AM355" s="218" t="str">
        <f t="shared" si="287"/>
        <v/>
      </c>
      <c r="AP355" s="245"/>
      <c r="AQ355" s="245"/>
      <c r="AR355" s="245"/>
      <c r="AS355" s="245"/>
      <c r="AT355" s="245"/>
      <c r="AU355" s="245"/>
      <c r="AV355" s="245"/>
      <c r="AW355" s="245"/>
      <c r="AX355" s="245"/>
      <c r="AY355" s="245"/>
      <c r="BA355" s="245"/>
      <c r="BE355" s="245"/>
    </row>
    <row r="356" spans="1:57" ht="14.25" hidden="1" customHeight="1" x14ac:dyDescent="0.2">
      <c r="A356" s="842"/>
      <c r="C356" s="278"/>
      <c r="D356" s="278"/>
      <c r="E356" s="265"/>
      <c r="F356" s="265"/>
      <c r="H356" s="266"/>
      <c r="I356" s="266"/>
      <c r="J356" s="223"/>
      <c r="K356" s="268"/>
      <c r="L356" s="225"/>
      <c r="M356" s="226"/>
      <c r="N356" s="209"/>
      <c r="O356" s="174"/>
      <c r="P356" s="209"/>
      <c r="Q356" s="209"/>
      <c r="R356" s="209"/>
      <c r="S356" s="209"/>
      <c r="U356" s="210" t="str">
        <f t="shared" si="275"/>
        <v>00</v>
      </c>
      <c r="V356" s="211" t="b">
        <f t="shared" si="276"/>
        <v>0</v>
      </c>
      <c r="W356" s="210">
        <f t="shared" si="288"/>
        <v>20</v>
      </c>
      <c r="X356" s="210">
        <f t="shared" si="277"/>
        <v>0</v>
      </c>
      <c r="Y356" s="210">
        <f t="shared" si="278"/>
        <v>0</v>
      </c>
      <c r="Z356" s="212" t="str">
        <f t="shared" si="279"/>
        <v/>
      </c>
      <c r="AA356" s="210" t="str">
        <f t="shared" si="280"/>
        <v/>
      </c>
      <c r="AB356" s="213"/>
      <c r="AC356" s="214" t="str">
        <f t="shared" si="281"/>
        <v/>
      </c>
      <c r="AD356" s="214" t="str">
        <f t="shared" si="282"/>
        <v/>
      </c>
      <c r="AE356" s="215" t="str">
        <f t="shared" si="283"/>
        <v/>
      </c>
      <c r="AF356" s="214" t="str">
        <f t="shared" si="284"/>
        <v/>
      </c>
      <c r="AG356" s="214" t="str">
        <f t="shared" si="285"/>
        <v/>
      </c>
      <c r="AH356" s="215" t="str">
        <f t="shared" si="286"/>
        <v/>
      </c>
      <c r="AI356" s="216">
        <f t="shared" si="258"/>
        <v>0</v>
      </c>
      <c r="AL356" s="217" t="str">
        <f>IF(OR(X356=Kedvenc!$C$43,Y356=Kedvenc!$C$43),W356,"")</f>
        <v/>
      </c>
      <c r="AM356" s="218" t="str">
        <f t="shared" si="287"/>
        <v/>
      </c>
      <c r="AP356" s="245"/>
      <c r="AQ356" s="245"/>
      <c r="AR356" s="245"/>
      <c r="AS356" s="245"/>
      <c r="AT356" s="245"/>
      <c r="AU356" s="245"/>
      <c r="AV356" s="245"/>
      <c r="AW356" s="245"/>
      <c r="AX356" s="245"/>
      <c r="AY356" s="245"/>
      <c r="BA356" s="245"/>
      <c r="BE356" s="245"/>
    </row>
    <row r="357" spans="1:57" ht="14.25" hidden="1" customHeight="1" x14ac:dyDescent="0.2">
      <c r="A357" s="842"/>
      <c r="C357" s="278"/>
      <c r="D357" s="278"/>
      <c r="E357" s="265"/>
      <c r="F357" s="265"/>
      <c r="H357" s="266"/>
      <c r="I357" s="266"/>
      <c r="J357" s="223"/>
      <c r="K357" s="268"/>
      <c r="L357" s="225"/>
      <c r="M357" s="226"/>
      <c r="N357" s="209"/>
      <c r="O357" s="174"/>
      <c r="P357" s="209"/>
      <c r="Q357" s="209"/>
      <c r="R357" s="209"/>
      <c r="S357" s="209"/>
      <c r="U357" s="210" t="str">
        <f t="shared" si="275"/>
        <v>00</v>
      </c>
      <c r="V357" s="211" t="b">
        <f t="shared" si="276"/>
        <v>0</v>
      </c>
      <c r="W357" s="210">
        <f t="shared" si="288"/>
        <v>20</v>
      </c>
      <c r="X357" s="210">
        <f t="shared" si="277"/>
        <v>0</v>
      </c>
      <c r="Y357" s="210">
        <f t="shared" si="278"/>
        <v>0</v>
      </c>
      <c r="Z357" s="212" t="str">
        <f t="shared" si="279"/>
        <v/>
      </c>
      <c r="AA357" s="210" t="str">
        <f t="shared" si="280"/>
        <v/>
      </c>
      <c r="AB357" s="213"/>
      <c r="AC357" s="214" t="str">
        <f t="shared" si="281"/>
        <v/>
      </c>
      <c r="AD357" s="214" t="str">
        <f t="shared" si="282"/>
        <v/>
      </c>
      <c r="AE357" s="215" t="str">
        <f t="shared" si="283"/>
        <v/>
      </c>
      <c r="AF357" s="214" t="str">
        <f t="shared" si="284"/>
        <v/>
      </c>
      <c r="AG357" s="214" t="str">
        <f t="shared" si="285"/>
        <v/>
      </c>
      <c r="AH357" s="215" t="str">
        <f t="shared" si="286"/>
        <v/>
      </c>
      <c r="AI357" s="216">
        <f t="shared" si="258"/>
        <v>0</v>
      </c>
      <c r="AL357" s="217" t="str">
        <f>IF(OR(X357=Kedvenc!$C$43,Y357=Kedvenc!$C$43),W357,"")</f>
        <v/>
      </c>
      <c r="AM357" s="218" t="str">
        <f t="shared" si="287"/>
        <v/>
      </c>
      <c r="AP357" s="245"/>
      <c r="AQ357" s="245"/>
      <c r="AR357" s="245"/>
      <c r="AS357" s="245"/>
      <c r="AT357" s="245"/>
      <c r="AU357" s="245"/>
      <c r="AV357" s="245"/>
      <c r="AW357" s="245"/>
      <c r="AX357" s="245"/>
      <c r="AY357" s="245"/>
      <c r="BA357" s="245"/>
      <c r="BE357" s="245"/>
    </row>
    <row r="358" spans="1:57" ht="14.25" hidden="1" customHeight="1" x14ac:dyDescent="0.2">
      <c r="A358" s="842"/>
      <c r="C358" s="278"/>
      <c r="D358" s="278"/>
      <c r="E358" s="265"/>
      <c r="F358" s="265"/>
      <c r="H358" s="266"/>
      <c r="I358" s="266"/>
      <c r="J358" s="169"/>
      <c r="K358" s="268"/>
      <c r="L358" s="228"/>
      <c r="M358" s="228"/>
      <c r="N358" s="228"/>
      <c r="O358" s="174"/>
      <c r="P358" s="209"/>
      <c r="Q358" s="209"/>
      <c r="R358" s="209"/>
      <c r="S358" s="209"/>
      <c r="U358" s="210" t="str">
        <f t="shared" si="275"/>
        <v>00</v>
      </c>
      <c r="V358" s="211" t="b">
        <f t="shared" si="276"/>
        <v>0</v>
      </c>
      <c r="W358" s="210">
        <f t="shared" si="288"/>
        <v>20</v>
      </c>
      <c r="X358" s="210">
        <f t="shared" si="277"/>
        <v>0</v>
      </c>
      <c r="Y358" s="210">
        <f t="shared" si="278"/>
        <v>0</v>
      </c>
      <c r="Z358" s="212" t="str">
        <f t="shared" si="279"/>
        <v/>
      </c>
      <c r="AA358" s="210" t="str">
        <f t="shared" si="280"/>
        <v/>
      </c>
      <c r="AB358" s="213"/>
      <c r="AC358" s="214" t="str">
        <f t="shared" si="281"/>
        <v/>
      </c>
      <c r="AD358" s="214" t="str">
        <f t="shared" si="282"/>
        <v/>
      </c>
      <c r="AE358" s="215" t="str">
        <f t="shared" si="283"/>
        <v/>
      </c>
      <c r="AF358" s="214" t="str">
        <f t="shared" si="284"/>
        <v/>
      </c>
      <c r="AG358" s="214" t="str">
        <f t="shared" si="285"/>
        <v/>
      </c>
      <c r="AH358" s="215" t="str">
        <f t="shared" si="286"/>
        <v/>
      </c>
      <c r="AI358" s="216">
        <f t="shared" si="258"/>
        <v>0</v>
      </c>
      <c r="AL358" s="217" t="str">
        <f>IF(OR(X358=Kedvenc!$C$43,Y358=Kedvenc!$C$43),W358,"")</f>
        <v/>
      </c>
      <c r="AM358" s="218" t="str">
        <f t="shared" si="287"/>
        <v/>
      </c>
      <c r="AP358" s="245"/>
      <c r="AQ358" s="245"/>
      <c r="AR358" s="245"/>
      <c r="AS358" s="245"/>
      <c r="AT358" s="245"/>
      <c r="AU358" s="245"/>
      <c r="AV358" s="245"/>
      <c r="AW358" s="245"/>
      <c r="AX358" s="245"/>
      <c r="AY358" s="245"/>
      <c r="BA358" s="245"/>
      <c r="BE358" s="245"/>
    </row>
    <row r="359" spans="1:57" ht="14.25" customHeight="1" x14ac:dyDescent="0.2">
      <c r="A359" s="842"/>
      <c r="E359" s="247"/>
      <c r="F359" s="248"/>
      <c r="G359" s="248"/>
      <c r="H359" s="248"/>
      <c r="I359" s="247"/>
      <c r="J359" s="172"/>
      <c r="K359" s="228"/>
      <c r="L359" s="228"/>
      <c r="M359" s="228"/>
      <c r="N359" s="228"/>
      <c r="O359" s="174"/>
      <c r="P359" s="209"/>
      <c r="Q359" s="209"/>
      <c r="R359" s="209"/>
      <c r="S359" s="209"/>
      <c r="W359" s="231"/>
      <c r="AC359" s="233"/>
      <c r="AD359" s="233"/>
      <c r="AE359" s="234"/>
      <c r="AF359" s="233"/>
      <c r="AG359" s="233"/>
      <c r="AH359" s="234"/>
      <c r="AI359" s="234"/>
      <c r="AP359" s="245"/>
      <c r="AQ359" s="245"/>
      <c r="AR359" s="245"/>
      <c r="AS359" s="245"/>
      <c r="AT359" s="245"/>
      <c r="AU359" s="245"/>
      <c r="AV359" s="245"/>
      <c r="AW359" s="245"/>
      <c r="AX359" s="245"/>
      <c r="AY359" s="245"/>
      <c r="BA359" s="245"/>
      <c r="BE359" s="245"/>
    </row>
    <row r="360" spans="1:57" ht="14.25" customHeight="1" x14ac:dyDescent="0.2">
      <c r="A360" s="842"/>
      <c r="E360" s="224"/>
      <c r="F360" s="225"/>
      <c r="G360" s="226"/>
      <c r="H360" s="209"/>
      <c r="I360" s="227"/>
      <c r="J360" s="169"/>
      <c r="K360" s="228"/>
      <c r="L360" s="225"/>
      <c r="M360" s="226"/>
      <c r="N360" s="209"/>
      <c r="O360" s="174"/>
      <c r="P360" s="209"/>
      <c r="Q360" s="209"/>
      <c r="R360" s="209"/>
      <c r="S360" s="209"/>
      <c r="W360" s="231"/>
      <c r="AC360" s="233"/>
      <c r="AD360" s="233"/>
      <c r="AE360" s="234"/>
      <c r="AF360" s="233"/>
      <c r="AG360" s="233"/>
      <c r="AH360" s="234"/>
      <c r="AI360" s="197"/>
      <c r="AP360" s="245"/>
      <c r="AQ360" s="245"/>
      <c r="AR360" s="245"/>
      <c r="AS360" s="245"/>
      <c r="AT360" s="245"/>
      <c r="AU360" s="245"/>
      <c r="AV360" s="245"/>
      <c r="AW360" s="245"/>
      <c r="AX360" s="245"/>
      <c r="AY360" s="245"/>
      <c r="BA360" s="245"/>
      <c r="BD360" s="245"/>
      <c r="BE360" s="245"/>
    </row>
    <row r="361" spans="1:57" ht="14.25" customHeight="1" x14ac:dyDescent="0.2">
      <c r="A361" s="842"/>
      <c r="B361" s="187"/>
      <c r="C361" s="269" t="str">
        <f>CONCATENATE(" ",AB363,"."," forduló  –")</f>
        <v xml:space="preserve"> 21. forduló  –</v>
      </c>
      <c r="D361" s="843">
        <f>VLOOKUP(AB363,ASZ!$AQ$59:$AS$104,2,FALSE)</f>
        <v>42284</v>
      </c>
      <c r="E361" s="843"/>
      <c r="F361" s="274"/>
      <c r="G361" s="274"/>
      <c r="H361" s="274"/>
      <c r="I361" s="270" t="str">
        <f>CONCATENATE(IF($AW$61,"pont: ","gól: "),SUM(F363:H374)," / átlag: ",TEXT(IF(COUNT(F363:H374)=0,"-",SUM(F363:H374)/COUNT(F363:H374)*2),"0,00"))</f>
        <v>gól: 25 / átlag: 5,00</v>
      </c>
      <c r="J361" s="190"/>
      <c r="K361" s="271" t="s">
        <v>285</v>
      </c>
      <c r="L361" s="192"/>
      <c r="U361" s="229"/>
      <c r="V361" s="230"/>
      <c r="W361" s="231"/>
      <c r="X361" s="231"/>
      <c r="Y361" s="231"/>
      <c r="Z361" s="232"/>
      <c r="AA361" s="231"/>
      <c r="AC361" s="197"/>
      <c r="AD361" s="197"/>
      <c r="AE361" s="197"/>
      <c r="AF361" s="197"/>
      <c r="AG361" s="197"/>
      <c r="AH361" s="197"/>
      <c r="AI361" s="197"/>
      <c r="AQ361" s="245"/>
      <c r="AR361" s="245"/>
      <c r="AS361" s="245"/>
      <c r="AT361" s="245"/>
    </row>
    <row r="362" spans="1:57" ht="9" customHeight="1" x14ac:dyDescent="0.2">
      <c r="A362" s="842"/>
      <c r="J362" s="169"/>
      <c r="K362" s="228"/>
      <c r="L362" s="225"/>
      <c r="M362" s="226"/>
      <c r="N362" s="209"/>
      <c r="O362" s="174"/>
      <c r="P362" s="209"/>
      <c r="Q362" s="209"/>
      <c r="R362" s="209"/>
      <c r="S362" s="209"/>
      <c r="AP362" s="245"/>
      <c r="AQ362" s="245"/>
      <c r="AR362" s="245"/>
      <c r="AS362" s="245"/>
      <c r="AT362" s="245"/>
      <c r="AU362" s="245"/>
      <c r="AV362" s="245"/>
      <c r="AW362" s="245"/>
      <c r="AX362" s="245"/>
      <c r="AY362" s="245"/>
      <c r="BA362" s="245"/>
      <c r="BE362" s="245"/>
    </row>
    <row r="363" spans="1:57" ht="14.25" customHeight="1" x14ac:dyDescent="0.2">
      <c r="A363" s="842"/>
      <c r="C363" s="255">
        <v>42284</v>
      </c>
      <c r="D363" s="255" t="s">
        <v>497</v>
      </c>
      <c r="E363" s="265" t="s">
        <v>484</v>
      </c>
      <c r="F363" s="272">
        <v>0</v>
      </c>
      <c r="G363" s="200" t="s">
        <v>247</v>
      </c>
      <c r="H363" s="273">
        <v>3</v>
      </c>
      <c r="I363" s="266" t="s">
        <v>486</v>
      </c>
      <c r="J363" s="207"/>
      <c r="K363" s="267"/>
      <c r="L363" s="225"/>
      <c r="M363" s="226"/>
      <c r="N363" s="209"/>
      <c r="O363" s="174"/>
      <c r="P363" s="209"/>
      <c r="Q363" s="209"/>
      <c r="R363" s="209"/>
      <c r="S363" s="209"/>
      <c r="U363" s="210" t="str">
        <f t="shared" ref="U363:U374" si="289">X363&amp;Y363</f>
        <v>Bakafogó-Honvéd-Sashegy SEBHD</v>
      </c>
      <c r="V363" s="211" t="b">
        <f t="shared" ref="V363:V374" si="290">AND(F363&lt;&gt;"",H363&lt;&gt;"")</f>
        <v>1</v>
      </c>
      <c r="W363" s="210">
        <f>AB363</f>
        <v>21</v>
      </c>
      <c r="X363" s="210" t="str">
        <f t="shared" ref="X363:X374" si="291">E363</f>
        <v>Bakafogó-Honvéd-Sashegy SE</v>
      </c>
      <c r="Y363" s="210" t="str">
        <f t="shared" ref="Y363:Y374" si="292">I363</f>
        <v>BHD</v>
      </c>
      <c r="Z363" s="212">
        <f t="shared" ref="Z363:Z374" si="293">IF(V363,F363,"")</f>
        <v>0</v>
      </c>
      <c r="AA363" s="210">
        <f t="shared" ref="AA363:AA374" si="294">IF(V363,H363,"")</f>
        <v>3</v>
      </c>
      <c r="AB363" s="213">
        <f>IF(NOT(ASZTAB!$X$71),AB347+1,AB347+COUNTIF(AB331:AB362,AB347)-1)</f>
        <v>21</v>
      </c>
      <c r="AC363" s="214" t="str">
        <f t="shared" ref="AC363:AC374" si="295">IF(Z363&gt;AA363,X363,"")</f>
        <v/>
      </c>
      <c r="AD363" s="214" t="str">
        <f t="shared" ref="AD363:AD374" si="296">IF(AA363="","",IF(Z363=AA363,X363,""))</f>
        <v/>
      </c>
      <c r="AE363" s="215" t="str">
        <f t="shared" ref="AE363:AE374" si="297">IF(AND($AW$61,Z363=0,AA363=20),X363&amp;"ooo",IF(Z363&lt;AA363,X363,""))</f>
        <v>Bakafogó-Honvéd-Sashegy SE</v>
      </c>
      <c r="AF363" s="214" t="str">
        <f t="shared" ref="AF363:AF374" si="298">IF(AA363&gt;Z363,Y363,"")</f>
        <v>BHD</v>
      </c>
      <c r="AG363" s="214" t="str">
        <f t="shared" ref="AG363:AG374" si="299">IF(AA363="","",IF(Z363=AA363,Y363,""))</f>
        <v/>
      </c>
      <c r="AH363" s="215" t="str">
        <f t="shared" ref="AH363:AH374" si="300">IF(AND($AW$61,Z363=20,AA363=0),Y363&amp;"ooo",IF(Z363&gt;AA363,Y363,""))</f>
        <v/>
      </c>
      <c r="AI363" s="216">
        <f>C363</f>
        <v>42284</v>
      </c>
      <c r="AL363" s="217" t="str">
        <f>IF(OR(X363=Kedvenc!$C$43,Y363=Kedvenc!$C$43),W363,"")</f>
        <v/>
      </c>
      <c r="AM363" s="218" t="str">
        <f t="shared" ref="AM363:AM374" si="301">IF(AL363="","",U363)</f>
        <v/>
      </c>
      <c r="AQ363" s="245"/>
      <c r="AR363" s="245"/>
      <c r="AS363" s="245"/>
      <c r="AT363" s="245"/>
      <c r="BB363" s="285" t="str">
        <f>C363&amp;D363</f>
        <v>4228419:00 – A pálya</v>
      </c>
      <c r="BC363" s="284">
        <f>COUNTIF($BB$43:$BB$383,BB363)</f>
        <v>1</v>
      </c>
      <c r="BD363" s="512" t="str">
        <f>U363</f>
        <v>Bakafogó-Honvéd-Sashegy SEBHD</v>
      </c>
    </row>
    <row r="364" spans="1:57" ht="14.25" customHeight="1" x14ac:dyDescent="0.2">
      <c r="A364" s="842"/>
      <c r="C364" s="255">
        <v>42284</v>
      </c>
      <c r="D364" s="255" t="s">
        <v>498</v>
      </c>
      <c r="E364" s="265" t="s">
        <v>489</v>
      </c>
      <c r="F364" s="272">
        <v>2</v>
      </c>
      <c r="G364" s="200" t="s">
        <v>247</v>
      </c>
      <c r="H364" s="273">
        <v>4</v>
      </c>
      <c r="I364" s="266" t="s">
        <v>491</v>
      </c>
      <c r="J364" s="207"/>
      <c r="K364" s="268"/>
      <c r="L364" s="225"/>
      <c r="M364" s="226"/>
      <c r="N364" s="209"/>
      <c r="O364" s="174"/>
      <c r="U364" s="210" t="str">
        <f t="shared" si="289"/>
        <v>ÉlelmesekK&amp;H</v>
      </c>
      <c r="V364" s="211" t="b">
        <f t="shared" si="290"/>
        <v>1</v>
      </c>
      <c r="W364" s="210">
        <f t="shared" ref="W364:W374" si="302">W363</f>
        <v>21</v>
      </c>
      <c r="X364" s="210" t="str">
        <f t="shared" si="291"/>
        <v>Élelmesek</v>
      </c>
      <c r="Y364" s="210" t="str">
        <f t="shared" si="292"/>
        <v>K&amp;H</v>
      </c>
      <c r="Z364" s="212">
        <f t="shared" si="293"/>
        <v>2</v>
      </c>
      <c r="AA364" s="210">
        <f t="shared" si="294"/>
        <v>4</v>
      </c>
      <c r="AB364" s="213"/>
      <c r="AC364" s="214" t="str">
        <f t="shared" si="295"/>
        <v/>
      </c>
      <c r="AD364" s="214" t="str">
        <f t="shared" si="296"/>
        <v/>
      </c>
      <c r="AE364" s="215" t="str">
        <f t="shared" si="297"/>
        <v>Élelmesek</v>
      </c>
      <c r="AF364" s="214" t="str">
        <f t="shared" si="298"/>
        <v>K&amp;H</v>
      </c>
      <c r="AG364" s="214" t="str">
        <f t="shared" si="299"/>
        <v/>
      </c>
      <c r="AH364" s="215" t="str">
        <f t="shared" si="300"/>
        <v/>
      </c>
      <c r="AI364" s="216">
        <f t="shared" si="258"/>
        <v>42284</v>
      </c>
      <c r="AL364" s="217" t="str">
        <f>IF(OR(X364=Kedvenc!$C$43,Y364=Kedvenc!$C$43),W364,"")</f>
        <v/>
      </c>
      <c r="AM364" s="218" t="str">
        <f t="shared" si="301"/>
        <v/>
      </c>
      <c r="BB364" s="285" t="str">
        <f>C364&amp;D364</f>
        <v>4228419:45 – A pálya</v>
      </c>
      <c r="BC364" s="284">
        <f>COUNTIF($BB$43:$BB$383,BB364)</f>
        <v>1</v>
      </c>
      <c r="BD364" s="512" t="str">
        <f>U364</f>
        <v>ÉlelmesekK&amp;H</v>
      </c>
    </row>
    <row r="365" spans="1:57" ht="14.25" customHeight="1" x14ac:dyDescent="0.2">
      <c r="A365" s="842"/>
      <c r="C365" s="255">
        <v>42284</v>
      </c>
      <c r="D365" s="255" t="s">
        <v>499</v>
      </c>
      <c r="E365" s="265" t="s">
        <v>488</v>
      </c>
      <c r="F365" s="272">
        <v>5</v>
      </c>
      <c r="G365" s="200" t="s">
        <v>247</v>
      </c>
      <c r="H365" s="273">
        <v>2</v>
      </c>
      <c r="I365" s="266" t="s">
        <v>492</v>
      </c>
      <c r="J365" s="207"/>
      <c r="K365" s="268"/>
      <c r="L365" s="225"/>
      <c r="M365" s="226"/>
      <c r="N365" s="209"/>
      <c r="O365" s="174"/>
      <c r="U365" s="210" t="str">
        <f t="shared" si="289"/>
        <v>CarbonászRoyal Guard's</v>
      </c>
      <c r="V365" s="211" t="b">
        <f t="shared" si="290"/>
        <v>1</v>
      </c>
      <c r="W365" s="210">
        <f t="shared" si="302"/>
        <v>21</v>
      </c>
      <c r="X365" s="210" t="str">
        <f t="shared" si="291"/>
        <v>Carbonász</v>
      </c>
      <c r="Y365" s="210" t="str">
        <f t="shared" si="292"/>
        <v>Royal Guard's</v>
      </c>
      <c r="Z365" s="212">
        <f t="shared" si="293"/>
        <v>5</v>
      </c>
      <c r="AA365" s="210">
        <f t="shared" si="294"/>
        <v>2</v>
      </c>
      <c r="AB365" s="213"/>
      <c r="AC365" s="214" t="str">
        <f t="shared" si="295"/>
        <v>Carbonász</v>
      </c>
      <c r="AD365" s="214" t="str">
        <f t="shared" si="296"/>
        <v/>
      </c>
      <c r="AE365" s="215" t="str">
        <f t="shared" si="297"/>
        <v/>
      </c>
      <c r="AF365" s="214" t="str">
        <f t="shared" si="298"/>
        <v/>
      </c>
      <c r="AG365" s="214" t="str">
        <f t="shared" si="299"/>
        <v/>
      </c>
      <c r="AH365" s="215" t="str">
        <f t="shared" si="300"/>
        <v>Royal Guard's</v>
      </c>
      <c r="AI365" s="216">
        <f t="shared" si="258"/>
        <v>42284</v>
      </c>
      <c r="AL365" s="217" t="str">
        <f>IF(OR(X365=Kedvenc!$C$43,Y365=Kedvenc!$C$43),W365,"")</f>
        <v/>
      </c>
      <c r="AM365" s="218" t="str">
        <f t="shared" si="301"/>
        <v/>
      </c>
      <c r="BB365" s="285" t="str">
        <f>C365&amp;D365</f>
        <v>4228420:30 – A pálya</v>
      </c>
      <c r="BC365" s="284">
        <f>COUNTIF($BB$43:$BB$383,BB365)</f>
        <v>1</v>
      </c>
      <c r="BD365" s="512" t="str">
        <f>U365</f>
        <v>CarbonászRoyal Guard's</v>
      </c>
    </row>
    <row r="366" spans="1:57" ht="14.25" customHeight="1" x14ac:dyDescent="0.2">
      <c r="A366" s="842"/>
      <c r="C366" s="255">
        <v>42284</v>
      </c>
      <c r="D366" s="255" t="s">
        <v>500</v>
      </c>
      <c r="E366" s="265" t="s">
        <v>490</v>
      </c>
      <c r="F366" s="272">
        <v>2</v>
      </c>
      <c r="G366" s="200" t="s">
        <v>247</v>
      </c>
      <c r="H366" s="273">
        <v>5</v>
      </c>
      <c r="I366" s="266" t="s">
        <v>485</v>
      </c>
      <c r="J366" s="207"/>
      <c r="K366" s="268"/>
      <c r="L366" s="225"/>
      <c r="M366" s="226"/>
      <c r="N366" s="209"/>
      <c r="O366" s="174"/>
      <c r="U366" s="210" t="str">
        <f t="shared" si="289"/>
        <v>Hercules-LudovikaBBK</v>
      </c>
      <c r="V366" s="211" t="b">
        <f t="shared" si="290"/>
        <v>1</v>
      </c>
      <c r="W366" s="210">
        <f t="shared" si="302"/>
        <v>21</v>
      </c>
      <c r="X366" s="210" t="str">
        <f t="shared" si="291"/>
        <v>Hercules-Ludovika</v>
      </c>
      <c r="Y366" s="210" t="str">
        <f t="shared" si="292"/>
        <v>BBK</v>
      </c>
      <c r="Z366" s="212">
        <f t="shared" si="293"/>
        <v>2</v>
      </c>
      <c r="AA366" s="210">
        <f t="shared" si="294"/>
        <v>5</v>
      </c>
      <c r="AB366" s="213"/>
      <c r="AC366" s="214" t="str">
        <f t="shared" si="295"/>
        <v/>
      </c>
      <c r="AD366" s="214" t="str">
        <f t="shared" si="296"/>
        <v/>
      </c>
      <c r="AE366" s="215" t="str">
        <f t="shared" si="297"/>
        <v>Hercules-Ludovika</v>
      </c>
      <c r="AF366" s="214" t="str">
        <f t="shared" si="298"/>
        <v>BBK</v>
      </c>
      <c r="AG366" s="214" t="str">
        <f t="shared" si="299"/>
        <v/>
      </c>
      <c r="AH366" s="215" t="str">
        <f t="shared" si="300"/>
        <v/>
      </c>
      <c r="AI366" s="216">
        <f t="shared" si="258"/>
        <v>42284</v>
      </c>
      <c r="AL366" s="217" t="str">
        <f>IF(OR(X366=Kedvenc!$C$43,Y366=Kedvenc!$C$43),W366,"")</f>
        <v/>
      </c>
      <c r="AM366" s="218" t="str">
        <f t="shared" si="301"/>
        <v/>
      </c>
      <c r="AP366" s="245"/>
      <c r="AQ366" s="245"/>
      <c r="AR366" s="245"/>
      <c r="AS366" s="245"/>
      <c r="AT366" s="245"/>
      <c r="AU366" s="245"/>
      <c r="AV366" s="245"/>
      <c r="AW366" s="245"/>
      <c r="AX366" s="245"/>
      <c r="AY366" s="245"/>
      <c r="BA366" s="245"/>
      <c r="BB366" s="285" t="str">
        <f>C366&amp;D366</f>
        <v>4228419:00 – B pálya</v>
      </c>
      <c r="BC366" s="284">
        <f>COUNTIF($BB$43:$BB$383,BB366)</f>
        <v>1</v>
      </c>
      <c r="BD366" s="512" t="str">
        <f>U366</f>
        <v>Hercules-LudovikaBBK</v>
      </c>
      <c r="BE366" s="245"/>
    </row>
    <row r="367" spans="1:57" ht="14.25" customHeight="1" x14ac:dyDescent="0.2">
      <c r="A367" s="842"/>
      <c r="C367" s="255">
        <v>42284</v>
      </c>
      <c r="D367" s="255" t="s">
        <v>501</v>
      </c>
      <c r="E367" s="265" t="s">
        <v>487</v>
      </c>
      <c r="F367" s="272">
        <v>0</v>
      </c>
      <c r="G367" s="200" t="s">
        <v>247</v>
      </c>
      <c r="H367" s="273">
        <v>2</v>
      </c>
      <c r="I367" s="266" t="s">
        <v>493</v>
      </c>
      <c r="J367" s="223"/>
      <c r="K367" s="787"/>
      <c r="L367" s="225"/>
      <c r="M367" s="226"/>
      <c r="N367" s="209"/>
      <c r="O367" s="174"/>
      <c r="P367" s="209"/>
      <c r="Q367" s="209"/>
      <c r="R367" s="209"/>
      <c r="S367" s="209"/>
      <c r="U367" s="210" t="str">
        <f t="shared" si="289"/>
        <v>BőrdíszműVakana</v>
      </c>
      <c r="V367" s="211" t="b">
        <f t="shared" si="290"/>
        <v>1</v>
      </c>
      <c r="W367" s="210">
        <f t="shared" si="302"/>
        <v>21</v>
      </c>
      <c r="X367" s="210" t="str">
        <f t="shared" si="291"/>
        <v>Bőrdíszmű</v>
      </c>
      <c r="Y367" s="210" t="str">
        <f t="shared" si="292"/>
        <v>Vakana</v>
      </c>
      <c r="Z367" s="212">
        <f t="shared" si="293"/>
        <v>0</v>
      </c>
      <c r="AA367" s="210">
        <f t="shared" si="294"/>
        <v>2</v>
      </c>
      <c r="AB367" s="213"/>
      <c r="AC367" s="214" t="str">
        <f t="shared" si="295"/>
        <v/>
      </c>
      <c r="AD367" s="214" t="str">
        <f t="shared" si="296"/>
        <v/>
      </c>
      <c r="AE367" s="215" t="str">
        <f t="shared" si="297"/>
        <v>Bőrdíszmű</v>
      </c>
      <c r="AF367" s="214" t="str">
        <f t="shared" si="298"/>
        <v>Vakana</v>
      </c>
      <c r="AG367" s="214" t="str">
        <f t="shared" si="299"/>
        <v/>
      </c>
      <c r="AH367" s="215" t="str">
        <f t="shared" si="300"/>
        <v/>
      </c>
      <c r="AI367" s="216">
        <f t="shared" si="258"/>
        <v>42284</v>
      </c>
      <c r="AL367" s="217" t="str">
        <f>IF(OR(X367=Kedvenc!$C$43,Y367=Kedvenc!$C$43),W367,"")</f>
        <v/>
      </c>
      <c r="AM367" s="218" t="str">
        <f t="shared" si="301"/>
        <v/>
      </c>
      <c r="AP367" s="245"/>
      <c r="AQ367" s="245"/>
      <c r="AR367" s="245"/>
      <c r="AS367" s="245"/>
      <c r="AT367" s="245"/>
      <c r="AU367" s="245"/>
      <c r="AV367" s="245"/>
      <c r="AW367" s="245"/>
      <c r="AX367" s="245"/>
      <c r="AY367" s="245"/>
      <c r="BA367" s="245"/>
      <c r="BB367" s="285" t="str">
        <f>C367&amp;D367</f>
        <v>4228419:45 – B pálya</v>
      </c>
      <c r="BC367" s="284">
        <f>COUNTIF($BB$43:$BB$383,BB367)</f>
        <v>1</v>
      </c>
      <c r="BD367" s="512" t="str">
        <f>U367</f>
        <v>BőrdíszműVakana</v>
      </c>
      <c r="BE367" s="245"/>
    </row>
    <row r="368" spans="1:57" ht="14.25" customHeight="1" x14ac:dyDescent="0.2">
      <c r="A368" s="842"/>
      <c r="C368" s="278"/>
      <c r="D368" s="278"/>
      <c r="E368" s="275" t="s">
        <v>494</v>
      </c>
      <c r="F368" s="275"/>
      <c r="G368" s="276"/>
      <c r="H368" s="277"/>
      <c r="I368" s="277" t="s">
        <v>495</v>
      </c>
      <c r="J368" s="223"/>
      <c r="K368" s="268"/>
      <c r="L368" s="225"/>
      <c r="M368" s="226"/>
      <c r="N368" s="209"/>
      <c r="O368" s="174"/>
      <c r="P368" s="209"/>
      <c r="Q368" s="209"/>
      <c r="R368" s="209"/>
      <c r="S368" s="209"/>
      <c r="U368" s="210" t="str">
        <f t="shared" si="289"/>
        <v>Zrínyigyöngyeszabadnapos</v>
      </c>
      <c r="V368" s="211" t="b">
        <f t="shared" si="290"/>
        <v>0</v>
      </c>
      <c r="W368" s="210">
        <f t="shared" si="302"/>
        <v>21</v>
      </c>
      <c r="X368" s="210" t="str">
        <f t="shared" si="291"/>
        <v>Zrínyigyöngye</v>
      </c>
      <c r="Y368" s="210" t="str">
        <f t="shared" si="292"/>
        <v>szabadnapos</v>
      </c>
      <c r="Z368" s="212" t="str">
        <f t="shared" si="293"/>
        <v/>
      </c>
      <c r="AA368" s="210" t="str">
        <f t="shared" si="294"/>
        <v/>
      </c>
      <c r="AB368" s="213"/>
      <c r="AC368" s="214" t="str">
        <f t="shared" si="295"/>
        <v/>
      </c>
      <c r="AD368" s="214" t="str">
        <f t="shared" si="296"/>
        <v/>
      </c>
      <c r="AE368" s="215" t="str">
        <f t="shared" si="297"/>
        <v/>
      </c>
      <c r="AF368" s="214" t="str">
        <f t="shared" si="298"/>
        <v/>
      </c>
      <c r="AG368" s="214" t="str">
        <f t="shared" si="299"/>
        <v/>
      </c>
      <c r="AH368" s="215" t="str">
        <f t="shared" si="300"/>
        <v/>
      </c>
      <c r="AI368" s="750">
        <f>AI363</f>
        <v>42284</v>
      </c>
      <c r="AL368" s="217" t="str">
        <f>IF(OR(X368=Kedvenc!$C$43,Y368=Kedvenc!$C$43),W368,"")</f>
        <v/>
      </c>
      <c r="AM368" s="218" t="str">
        <f t="shared" si="301"/>
        <v/>
      </c>
      <c r="AP368" s="245"/>
      <c r="AQ368" s="245"/>
      <c r="AR368" s="245"/>
      <c r="AS368" s="245"/>
      <c r="AT368" s="245"/>
      <c r="AU368" s="245"/>
      <c r="AV368" s="245"/>
      <c r="AW368" s="245"/>
      <c r="AX368" s="245"/>
      <c r="AY368" s="245"/>
      <c r="BA368" s="245"/>
      <c r="BE368" s="245"/>
    </row>
    <row r="369" spans="1:57" ht="14.25" hidden="1" customHeight="1" x14ac:dyDescent="0.2">
      <c r="A369" s="842"/>
      <c r="C369" s="278"/>
      <c r="D369" s="278"/>
      <c r="E369" s="265"/>
      <c r="F369" s="265"/>
      <c r="H369" s="266"/>
      <c r="I369" s="266"/>
      <c r="J369" s="223"/>
      <c r="K369" s="268"/>
      <c r="L369" s="225"/>
      <c r="M369" s="226"/>
      <c r="N369" s="209"/>
      <c r="O369" s="174"/>
      <c r="P369" s="209"/>
      <c r="Q369" s="209"/>
      <c r="R369" s="209"/>
      <c r="S369" s="209"/>
      <c r="U369" s="210" t="str">
        <f t="shared" si="289"/>
        <v>00</v>
      </c>
      <c r="V369" s="211" t="b">
        <f t="shared" si="290"/>
        <v>0</v>
      </c>
      <c r="W369" s="210">
        <f t="shared" si="302"/>
        <v>21</v>
      </c>
      <c r="X369" s="210">
        <f t="shared" si="291"/>
        <v>0</v>
      </c>
      <c r="Y369" s="210">
        <f t="shared" si="292"/>
        <v>0</v>
      </c>
      <c r="Z369" s="212" t="str">
        <f t="shared" si="293"/>
        <v/>
      </c>
      <c r="AA369" s="210" t="str">
        <f t="shared" si="294"/>
        <v/>
      </c>
      <c r="AB369" s="213"/>
      <c r="AC369" s="214" t="str">
        <f t="shared" si="295"/>
        <v/>
      </c>
      <c r="AD369" s="214" t="str">
        <f t="shared" si="296"/>
        <v/>
      </c>
      <c r="AE369" s="215" t="str">
        <f t="shared" si="297"/>
        <v/>
      </c>
      <c r="AF369" s="214" t="str">
        <f t="shared" si="298"/>
        <v/>
      </c>
      <c r="AG369" s="214" t="str">
        <f t="shared" si="299"/>
        <v/>
      </c>
      <c r="AH369" s="215" t="str">
        <f t="shared" si="300"/>
        <v/>
      </c>
      <c r="AI369" s="216">
        <f t="shared" si="258"/>
        <v>0</v>
      </c>
      <c r="AL369" s="217" t="str">
        <f>IF(OR(X369=Kedvenc!$C$43,Y369=Kedvenc!$C$43),W369,"")</f>
        <v/>
      </c>
      <c r="AM369" s="218" t="str">
        <f t="shared" si="301"/>
        <v/>
      </c>
      <c r="AP369" s="245"/>
      <c r="AQ369" s="245"/>
      <c r="AR369" s="245"/>
      <c r="AS369" s="245"/>
      <c r="AT369" s="245"/>
      <c r="AU369" s="245"/>
      <c r="AV369" s="245"/>
      <c r="AW369" s="245"/>
      <c r="AX369" s="245"/>
      <c r="AY369" s="245"/>
      <c r="BA369" s="245"/>
      <c r="BE369" s="245"/>
    </row>
    <row r="370" spans="1:57" ht="14.25" hidden="1" customHeight="1" x14ac:dyDescent="0.2">
      <c r="A370" s="842"/>
      <c r="C370" s="278"/>
      <c r="D370" s="278"/>
      <c r="E370" s="265"/>
      <c r="F370" s="265"/>
      <c r="H370" s="266"/>
      <c r="I370" s="266"/>
      <c r="J370" s="223"/>
      <c r="K370" s="268"/>
      <c r="L370" s="225"/>
      <c r="M370" s="226"/>
      <c r="N370" s="209"/>
      <c r="O370" s="174"/>
      <c r="P370" s="209"/>
      <c r="Q370" s="209"/>
      <c r="R370" s="209"/>
      <c r="S370" s="209"/>
      <c r="U370" s="210" t="str">
        <f t="shared" si="289"/>
        <v>00</v>
      </c>
      <c r="V370" s="211" t="b">
        <f t="shared" si="290"/>
        <v>0</v>
      </c>
      <c r="W370" s="210">
        <f t="shared" si="302"/>
        <v>21</v>
      </c>
      <c r="X370" s="210">
        <f t="shared" si="291"/>
        <v>0</v>
      </c>
      <c r="Y370" s="210">
        <f t="shared" si="292"/>
        <v>0</v>
      </c>
      <c r="Z370" s="212" t="str">
        <f t="shared" si="293"/>
        <v/>
      </c>
      <c r="AA370" s="210" t="str">
        <f t="shared" si="294"/>
        <v/>
      </c>
      <c r="AB370" s="213"/>
      <c r="AC370" s="214" t="str">
        <f t="shared" si="295"/>
        <v/>
      </c>
      <c r="AD370" s="214" t="str">
        <f t="shared" si="296"/>
        <v/>
      </c>
      <c r="AE370" s="215" t="str">
        <f t="shared" si="297"/>
        <v/>
      </c>
      <c r="AF370" s="214" t="str">
        <f t="shared" si="298"/>
        <v/>
      </c>
      <c r="AG370" s="214" t="str">
        <f t="shared" si="299"/>
        <v/>
      </c>
      <c r="AH370" s="215" t="str">
        <f t="shared" si="300"/>
        <v/>
      </c>
      <c r="AI370" s="216">
        <f t="shared" si="258"/>
        <v>0</v>
      </c>
      <c r="AL370" s="217" t="str">
        <f>IF(OR(X370=Kedvenc!$C$43,Y370=Kedvenc!$C$43),W370,"")</f>
        <v/>
      </c>
      <c r="AM370" s="218" t="str">
        <f t="shared" si="301"/>
        <v/>
      </c>
      <c r="AP370" s="245"/>
      <c r="AQ370" s="245"/>
      <c r="AR370" s="245"/>
      <c r="AS370" s="245"/>
      <c r="AT370" s="245"/>
      <c r="AU370" s="245"/>
      <c r="AV370" s="245"/>
      <c r="AW370" s="245"/>
      <c r="AX370" s="245"/>
      <c r="AY370" s="245"/>
      <c r="BA370" s="245"/>
      <c r="BE370" s="245"/>
    </row>
    <row r="371" spans="1:57" ht="14.25" hidden="1" customHeight="1" x14ac:dyDescent="0.2">
      <c r="A371" s="842"/>
      <c r="C371" s="278"/>
      <c r="D371" s="278"/>
      <c r="E371" s="265"/>
      <c r="F371" s="265"/>
      <c r="H371" s="266"/>
      <c r="I371" s="266"/>
      <c r="J371" s="223"/>
      <c r="K371" s="268"/>
      <c r="L371" s="225"/>
      <c r="M371" s="226"/>
      <c r="N371" s="209"/>
      <c r="O371" s="174"/>
      <c r="P371" s="209"/>
      <c r="Q371" s="209"/>
      <c r="R371" s="209"/>
      <c r="S371" s="209"/>
      <c r="U371" s="210" t="str">
        <f t="shared" si="289"/>
        <v>00</v>
      </c>
      <c r="V371" s="211" t="b">
        <f t="shared" si="290"/>
        <v>0</v>
      </c>
      <c r="W371" s="210">
        <f t="shared" si="302"/>
        <v>21</v>
      </c>
      <c r="X371" s="210">
        <f t="shared" si="291"/>
        <v>0</v>
      </c>
      <c r="Y371" s="210">
        <f t="shared" si="292"/>
        <v>0</v>
      </c>
      <c r="Z371" s="212" t="str">
        <f t="shared" si="293"/>
        <v/>
      </c>
      <c r="AA371" s="210" t="str">
        <f t="shared" si="294"/>
        <v/>
      </c>
      <c r="AB371" s="213"/>
      <c r="AC371" s="214" t="str">
        <f t="shared" si="295"/>
        <v/>
      </c>
      <c r="AD371" s="214" t="str">
        <f t="shared" si="296"/>
        <v/>
      </c>
      <c r="AE371" s="215" t="str">
        <f t="shared" si="297"/>
        <v/>
      </c>
      <c r="AF371" s="214" t="str">
        <f t="shared" si="298"/>
        <v/>
      </c>
      <c r="AG371" s="214" t="str">
        <f t="shared" si="299"/>
        <v/>
      </c>
      <c r="AH371" s="215" t="str">
        <f t="shared" si="300"/>
        <v/>
      </c>
      <c r="AI371" s="216">
        <f t="shared" si="258"/>
        <v>0</v>
      </c>
      <c r="AL371" s="217" t="str">
        <f>IF(OR(X371=Kedvenc!$C$43,Y371=Kedvenc!$C$43),W371,"")</f>
        <v/>
      </c>
      <c r="AM371" s="218" t="str">
        <f t="shared" si="301"/>
        <v/>
      </c>
      <c r="AP371" s="245"/>
      <c r="AQ371" s="245"/>
      <c r="AR371" s="245"/>
      <c r="AS371" s="245"/>
      <c r="AT371" s="245"/>
      <c r="AU371" s="245"/>
      <c r="AV371" s="245"/>
      <c r="AW371" s="245"/>
      <c r="AX371" s="245"/>
      <c r="AY371" s="245"/>
      <c r="BA371" s="245"/>
      <c r="BE371" s="245"/>
    </row>
    <row r="372" spans="1:57" ht="14.25" hidden="1" customHeight="1" x14ac:dyDescent="0.2">
      <c r="A372" s="842"/>
      <c r="C372" s="278"/>
      <c r="D372" s="278"/>
      <c r="E372" s="265"/>
      <c r="F372" s="265"/>
      <c r="H372" s="266"/>
      <c r="I372" s="266"/>
      <c r="J372" s="223"/>
      <c r="K372" s="268"/>
      <c r="L372" s="225"/>
      <c r="M372" s="226"/>
      <c r="N372" s="209"/>
      <c r="O372" s="174"/>
      <c r="P372" s="209"/>
      <c r="Q372" s="209"/>
      <c r="R372" s="209"/>
      <c r="S372" s="209"/>
      <c r="U372" s="210" t="str">
        <f t="shared" si="289"/>
        <v>00</v>
      </c>
      <c r="V372" s="211" t="b">
        <f t="shared" si="290"/>
        <v>0</v>
      </c>
      <c r="W372" s="210">
        <f t="shared" si="302"/>
        <v>21</v>
      </c>
      <c r="X372" s="210">
        <f t="shared" si="291"/>
        <v>0</v>
      </c>
      <c r="Y372" s="210">
        <f t="shared" si="292"/>
        <v>0</v>
      </c>
      <c r="Z372" s="212" t="str">
        <f t="shared" si="293"/>
        <v/>
      </c>
      <c r="AA372" s="210" t="str">
        <f t="shared" si="294"/>
        <v/>
      </c>
      <c r="AB372" s="213"/>
      <c r="AC372" s="214" t="str">
        <f t="shared" si="295"/>
        <v/>
      </c>
      <c r="AD372" s="214" t="str">
        <f t="shared" si="296"/>
        <v/>
      </c>
      <c r="AE372" s="215" t="str">
        <f t="shared" si="297"/>
        <v/>
      </c>
      <c r="AF372" s="214" t="str">
        <f t="shared" si="298"/>
        <v/>
      </c>
      <c r="AG372" s="214" t="str">
        <f t="shared" si="299"/>
        <v/>
      </c>
      <c r="AH372" s="215" t="str">
        <f t="shared" si="300"/>
        <v/>
      </c>
      <c r="AI372" s="216">
        <f t="shared" si="258"/>
        <v>0</v>
      </c>
      <c r="AL372" s="217" t="str">
        <f>IF(OR(X372=Kedvenc!$C$43,Y372=Kedvenc!$C$43),W372,"")</f>
        <v/>
      </c>
      <c r="AM372" s="218" t="str">
        <f t="shared" si="301"/>
        <v/>
      </c>
      <c r="AP372" s="245"/>
      <c r="AQ372" s="245"/>
      <c r="AR372" s="245"/>
      <c r="AS372" s="245"/>
      <c r="AT372" s="245"/>
      <c r="AU372" s="245"/>
      <c r="AV372" s="245"/>
      <c r="AW372" s="245"/>
      <c r="AX372" s="245"/>
      <c r="AY372" s="245"/>
      <c r="BA372" s="245"/>
      <c r="BE372" s="245"/>
    </row>
    <row r="373" spans="1:57" ht="14.25" hidden="1" customHeight="1" x14ac:dyDescent="0.2">
      <c r="A373" s="842"/>
      <c r="C373" s="278"/>
      <c r="D373" s="278"/>
      <c r="E373" s="265"/>
      <c r="F373" s="265"/>
      <c r="H373" s="266"/>
      <c r="I373" s="266"/>
      <c r="J373" s="223"/>
      <c r="K373" s="268"/>
      <c r="L373" s="225"/>
      <c r="M373" s="226"/>
      <c r="N373" s="209"/>
      <c r="O373" s="174"/>
      <c r="P373" s="209"/>
      <c r="Q373" s="209"/>
      <c r="R373" s="209"/>
      <c r="S373" s="209"/>
      <c r="U373" s="210" t="str">
        <f t="shared" si="289"/>
        <v>00</v>
      </c>
      <c r="V373" s="211" t="b">
        <f t="shared" si="290"/>
        <v>0</v>
      </c>
      <c r="W373" s="210">
        <f t="shared" si="302"/>
        <v>21</v>
      </c>
      <c r="X373" s="210">
        <f t="shared" si="291"/>
        <v>0</v>
      </c>
      <c r="Y373" s="210">
        <f t="shared" si="292"/>
        <v>0</v>
      </c>
      <c r="Z373" s="212" t="str">
        <f t="shared" si="293"/>
        <v/>
      </c>
      <c r="AA373" s="210" t="str">
        <f t="shared" si="294"/>
        <v/>
      </c>
      <c r="AB373" s="213"/>
      <c r="AC373" s="214" t="str">
        <f t="shared" si="295"/>
        <v/>
      </c>
      <c r="AD373" s="214" t="str">
        <f t="shared" si="296"/>
        <v/>
      </c>
      <c r="AE373" s="215" t="str">
        <f t="shared" si="297"/>
        <v/>
      </c>
      <c r="AF373" s="214" t="str">
        <f t="shared" si="298"/>
        <v/>
      </c>
      <c r="AG373" s="214" t="str">
        <f t="shared" si="299"/>
        <v/>
      </c>
      <c r="AH373" s="215" t="str">
        <f t="shared" si="300"/>
        <v/>
      </c>
      <c r="AI373" s="216">
        <f t="shared" si="258"/>
        <v>0</v>
      </c>
      <c r="AL373" s="217" t="str">
        <f>IF(OR(X373=Kedvenc!$C$43,Y373=Kedvenc!$C$43),W373,"")</f>
        <v/>
      </c>
      <c r="AM373" s="218" t="str">
        <f t="shared" si="301"/>
        <v/>
      </c>
      <c r="AP373" s="245"/>
      <c r="AQ373" s="245"/>
      <c r="AR373" s="245"/>
      <c r="AS373" s="245"/>
      <c r="AT373" s="245"/>
      <c r="AU373" s="245"/>
      <c r="AV373" s="245"/>
      <c r="AW373" s="245"/>
      <c r="AX373" s="245"/>
      <c r="AY373" s="245"/>
      <c r="BA373" s="245"/>
      <c r="BE373" s="245"/>
    </row>
    <row r="374" spans="1:57" ht="14.25" hidden="1" customHeight="1" x14ac:dyDescent="0.2">
      <c r="A374" s="842"/>
      <c r="C374" s="278"/>
      <c r="D374" s="278"/>
      <c r="E374" s="265"/>
      <c r="F374" s="265"/>
      <c r="H374" s="266"/>
      <c r="I374" s="266"/>
      <c r="J374" s="169"/>
      <c r="K374" s="268"/>
      <c r="L374" s="228"/>
      <c r="M374" s="228"/>
      <c r="N374" s="228"/>
      <c r="O374" s="174"/>
      <c r="P374" s="209"/>
      <c r="Q374" s="209"/>
      <c r="R374" s="209"/>
      <c r="S374" s="209"/>
      <c r="U374" s="210" t="str">
        <f t="shared" si="289"/>
        <v>00</v>
      </c>
      <c r="V374" s="211" t="b">
        <f t="shared" si="290"/>
        <v>0</v>
      </c>
      <c r="W374" s="210">
        <f t="shared" si="302"/>
        <v>21</v>
      </c>
      <c r="X374" s="210">
        <f t="shared" si="291"/>
        <v>0</v>
      </c>
      <c r="Y374" s="210">
        <f t="shared" si="292"/>
        <v>0</v>
      </c>
      <c r="Z374" s="212" t="str">
        <f t="shared" si="293"/>
        <v/>
      </c>
      <c r="AA374" s="210" t="str">
        <f t="shared" si="294"/>
        <v/>
      </c>
      <c r="AB374" s="213"/>
      <c r="AC374" s="214" t="str">
        <f t="shared" si="295"/>
        <v/>
      </c>
      <c r="AD374" s="214" t="str">
        <f t="shared" si="296"/>
        <v/>
      </c>
      <c r="AE374" s="215" t="str">
        <f t="shared" si="297"/>
        <v/>
      </c>
      <c r="AF374" s="214" t="str">
        <f t="shared" si="298"/>
        <v/>
      </c>
      <c r="AG374" s="214" t="str">
        <f t="shared" si="299"/>
        <v/>
      </c>
      <c r="AH374" s="215" t="str">
        <f t="shared" si="300"/>
        <v/>
      </c>
      <c r="AI374" s="216">
        <f t="shared" si="258"/>
        <v>0</v>
      </c>
      <c r="AL374" s="217" t="str">
        <f>IF(OR(X374=Kedvenc!$C$43,Y374=Kedvenc!$C$43),W374,"")</f>
        <v/>
      </c>
      <c r="AM374" s="218" t="str">
        <f t="shared" si="301"/>
        <v/>
      </c>
      <c r="AP374" s="245"/>
      <c r="AQ374" s="245"/>
      <c r="AR374" s="245"/>
      <c r="AS374" s="245"/>
      <c r="AT374" s="245"/>
      <c r="AU374" s="245"/>
      <c r="AV374" s="245"/>
      <c r="AW374" s="245"/>
      <c r="AX374" s="245"/>
      <c r="AY374" s="245"/>
      <c r="BA374" s="245"/>
      <c r="BE374" s="245"/>
    </row>
    <row r="375" spans="1:57" ht="14.25" customHeight="1" x14ac:dyDescent="0.2">
      <c r="A375" s="842"/>
      <c r="E375" s="247"/>
      <c r="F375" s="248"/>
      <c r="G375" s="248"/>
      <c r="H375" s="248"/>
      <c r="I375" s="247"/>
      <c r="J375" s="172"/>
      <c r="K375" s="228"/>
      <c r="L375" s="228"/>
      <c r="M375" s="228"/>
      <c r="N375" s="228"/>
      <c r="O375" s="174"/>
      <c r="P375" s="209"/>
      <c r="Q375" s="209"/>
      <c r="R375" s="209"/>
      <c r="S375" s="209"/>
      <c r="W375" s="231"/>
      <c r="AC375" s="233"/>
      <c r="AD375" s="233"/>
      <c r="AE375" s="234"/>
      <c r="AF375" s="233"/>
      <c r="AG375" s="233"/>
      <c r="AH375" s="234"/>
      <c r="AI375" s="234"/>
      <c r="AP375" s="245"/>
      <c r="AQ375" s="245"/>
      <c r="AR375" s="245"/>
      <c r="AS375" s="245"/>
      <c r="AT375" s="245"/>
      <c r="AU375" s="245"/>
      <c r="AV375" s="245"/>
      <c r="AW375" s="245"/>
      <c r="AX375" s="245"/>
      <c r="AY375" s="245"/>
      <c r="BA375" s="245"/>
      <c r="BE375" s="245"/>
    </row>
    <row r="376" spans="1:57" ht="14.25" customHeight="1" x14ac:dyDescent="0.2">
      <c r="A376" s="842"/>
      <c r="E376" s="224"/>
      <c r="F376" s="225"/>
      <c r="G376" s="226"/>
      <c r="H376" s="209"/>
      <c r="I376" s="227"/>
      <c r="J376" s="169"/>
      <c r="K376" s="228"/>
      <c r="L376" s="225"/>
      <c r="M376" s="226"/>
      <c r="N376" s="209"/>
      <c r="O376" s="174"/>
      <c r="P376" s="209"/>
      <c r="Q376" s="209"/>
      <c r="R376" s="209"/>
      <c r="S376" s="209"/>
      <c r="W376" s="231"/>
      <c r="AC376" s="233"/>
      <c r="AD376" s="233"/>
      <c r="AE376" s="234"/>
      <c r="AF376" s="233"/>
      <c r="AG376" s="233"/>
      <c r="AH376" s="234"/>
      <c r="AI376" s="197"/>
      <c r="AP376" s="245"/>
      <c r="AQ376" s="245"/>
      <c r="AR376" s="245"/>
      <c r="AS376" s="245"/>
      <c r="AT376" s="245"/>
      <c r="AU376" s="245"/>
      <c r="AV376" s="245"/>
      <c r="AW376" s="245"/>
      <c r="AX376" s="245"/>
      <c r="AY376" s="245"/>
      <c r="BA376" s="245"/>
      <c r="BD376" s="245"/>
      <c r="BE376" s="245"/>
    </row>
    <row r="377" spans="1:57" ht="14.25" customHeight="1" x14ac:dyDescent="0.2">
      <c r="A377" s="842"/>
      <c r="B377" s="187"/>
      <c r="C377" s="269" t="str">
        <f>CONCATENATE(" ",AB379,"."," forduló  –")</f>
        <v xml:space="preserve"> 22. forduló  –</v>
      </c>
      <c r="D377" s="843">
        <f>VLOOKUP(AB379,ASZ!$AQ$59:$AS$104,2,FALSE)</f>
        <v>42291</v>
      </c>
      <c r="E377" s="843"/>
      <c r="F377" s="274"/>
      <c r="G377" s="274"/>
      <c r="H377" s="274"/>
      <c r="I377" s="270" t="str">
        <f>CONCATENATE(IF($AW$61,"pont: ","gól: "),SUM(F379:H390)," / átlag: ",TEXT(IF(COUNT(F379:H390)=0,"-",SUM(F379:H390)/COUNT(F379:H390)*2),"0,00"))</f>
        <v>gól: 19 / átlag: 3,80</v>
      </c>
      <c r="J377" s="190"/>
      <c r="K377" s="271" t="s">
        <v>285</v>
      </c>
      <c r="L377" s="192"/>
      <c r="U377" s="229"/>
      <c r="V377" s="230"/>
      <c r="W377" s="231"/>
      <c r="X377" s="231"/>
      <c r="Y377" s="231"/>
      <c r="Z377" s="232"/>
      <c r="AA377" s="231"/>
      <c r="AC377" s="197"/>
      <c r="AD377" s="197"/>
      <c r="AE377" s="197"/>
      <c r="AF377" s="197"/>
      <c r="AG377" s="197"/>
      <c r="AH377" s="197"/>
      <c r="AI377" s="197"/>
      <c r="AQ377" s="245"/>
      <c r="AR377" s="245"/>
      <c r="AS377" s="245"/>
      <c r="AT377" s="245"/>
    </row>
    <row r="378" spans="1:57" ht="9" customHeight="1" x14ac:dyDescent="0.2">
      <c r="A378" s="842"/>
      <c r="J378" s="169"/>
      <c r="K378" s="228"/>
      <c r="L378" s="225"/>
      <c r="M378" s="226"/>
      <c r="N378" s="209"/>
      <c r="O378" s="174"/>
      <c r="P378" s="209"/>
      <c r="Q378" s="209"/>
      <c r="R378" s="209"/>
      <c r="S378" s="209"/>
      <c r="AP378" s="245"/>
      <c r="AQ378" s="245"/>
      <c r="AR378" s="245"/>
      <c r="AS378" s="245"/>
      <c r="AT378" s="245"/>
      <c r="AU378" s="245"/>
      <c r="AV378" s="245"/>
      <c r="AW378" s="245"/>
      <c r="AX378" s="245"/>
      <c r="AY378" s="245"/>
      <c r="BA378" s="245"/>
      <c r="BE378" s="245"/>
    </row>
    <row r="379" spans="1:57" ht="14.25" customHeight="1" x14ac:dyDescent="0.2">
      <c r="A379" s="842"/>
      <c r="C379" s="255">
        <v>42291</v>
      </c>
      <c r="D379" s="255" t="s">
        <v>497</v>
      </c>
      <c r="E379" s="265" t="s">
        <v>494</v>
      </c>
      <c r="F379" s="272">
        <v>1</v>
      </c>
      <c r="G379" s="200" t="s">
        <v>247</v>
      </c>
      <c r="H379" s="273">
        <v>5</v>
      </c>
      <c r="I379" s="266" t="s">
        <v>491</v>
      </c>
      <c r="J379" s="207"/>
      <c r="K379" s="267"/>
      <c r="L379" s="225"/>
      <c r="M379" s="226"/>
      <c r="N379" s="209"/>
      <c r="O379" s="174"/>
      <c r="P379" s="209"/>
      <c r="Q379" s="209"/>
      <c r="R379" s="209"/>
      <c r="S379" s="209"/>
      <c r="U379" s="210" t="str">
        <f t="shared" ref="U379:U390" si="303">X379&amp;Y379</f>
        <v>ZrínyigyöngyeK&amp;H</v>
      </c>
      <c r="V379" s="211" t="b">
        <f t="shared" ref="V379:V390" si="304">AND(F379&lt;&gt;"",H379&lt;&gt;"")</f>
        <v>1</v>
      </c>
      <c r="W379" s="210">
        <f>AB379</f>
        <v>22</v>
      </c>
      <c r="X379" s="210" t="str">
        <f t="shared" ref="X379:X390" si="305">E379</f>
        <v>Zrínyigyöngye</v>
      </c>
      <c r="Y379" s="210" t="str">
        <f t="shared" ref="Y379:Y390" si="306">I379</f>
        <v>K&amp;H</v>
      </c>
      <c r="Z379" s="212">
        <f t="shared" ref="Z379:Z390" si="307">IF(V379,F379,"")</f>
        <v>1</v>
      </c>
      <c r="AA379" s="210">
        <f t="shared" ref="AA379:AA390" si="308">IF(V379,H379,"")</f>
        <v>5</v>
      </c>
      <c r="AB379" s="213">
        <f>IF(NOT(ASZTAB!$X$71),AB363+1,AB363+COUNTIF(AB347:AB378,AB363)-1)</f>
        <v>22</v>
      </c>
      <c r="AC379" s="214" t="str">
        <f t="shared" ref="AC379:AC390" si="309">IF(Z379&gt;AA379,X379,"")</f>
        <v/>
      </c>
      <c r="AD379" s="214" t="str">
        <f t="shared" ref="AD379:AD390" si="310">IF(AA379="","",IF(Z379=AA379,X379,""))</f>
        <v/>
      </c>
      <c r="AE379" s="215" t="str">
        <f t="shared" ref="AE379:AE390" si="311">IF(AND($AW$61,Z379=0,AA379=20),X379&amp;"ooo",IF(Z379&lt;AA379,X379,""))</f>
        <v>Zrínyigyöngye</v>
      </c>
      <c r="AF379" s="214" t="str">
        <f t="shared" ref="AF379:AF390" si="312">IF(AA379&gt;Z379,Y379,"")</f>
        <v>K&amp;H</v>
      </c>
      <c r="AG379" s="214" t="str">
        <f t="shared" ref="AG379:AG390" si="313">IF(AA379="","",IF(Z379=AA379,Y379,""))</f>
        <v/>
      </c>
      <c r="AH379" s="215" t="str">
        <f t="shared" ref="AH379:AH390" si="314">IF(AND($AW$61,Z379=20,AA379=0),Y379&amp;"ooo",IF(Z379&gt;AA379,Y379,""))</f>
        <v/>
      </c>
      <c r="AI379" s="216">
        <f t="shared" ref="AI379:AI390" si="315">C379</f>
        <v>42291</v>
      </c>
      <c r="AL379" s="217" t="str">
        <f>IF(OR(X379=Kedvenc!$C$43,Y379=Kedvenc!$C$43),W379,"")</f>
        <v/>
      </c>
      <c r="AM379" s="218" t="str">
        <f t="shared" ref="AM379:AM390" si="316">IF(AL379="","",U379)</f>
        <v/>
      </c>
      <c r="AQ379" s="245"/>
      <c r="AR379" s="245"/>
      <c r="AS379" s="245"/>
      <c r="AT379" s="245"/>
      <c r="BB379" s="285" t="str">
        <f>C379&amp;D379</f>
        <v>4229119:00 – A pálya</v>
      </c>
      <c r="BC379" s="284">
        <f>COUNTIF($BB$43:$BB$383,BB379)</f>
        <v>1</v>
      </c>
      <c r="BD379" s="512" t="str">
        <f>U379</f>
        <v>ZrínyigyöngyeK&amp;H</v>
      </c>
    </row>
    <row r="380" spans="1:57" ht="14.25" customHeight="1" x14ac:dyDescent="0.2">
      <c r="A380" s="842"/>
      <c r="C380" s="255">
        <v>42291</v>
      </c>
      <c r="D380" s="255" t="s">
        <v>498</v>
      </c>
      <c r="E380" s="265" t="s">
        <v>493</v>
      </c>
      <c r="F380" s="272">
        <v>3</v>
      </c>
      <c r="G380" s="200" t="s">
        <v>247</v>
      </c>
      <c r="H380" s="273">
        <v>1</v>
      </c>
      <c r="I380" s="266" t="s">
        <v>489</v>
      </c>
      <c r="J380" s="207"/>
      <c r="K380" s="268"/>
      <c r="L380" s="225"/>
      <c r="M380" s="226"/>
      <c r="N380" s="209"/>
      <c r="O380" s="174"/>
      <c r="U380" s="210" t="str">
        <f t="shared" si="303"/>
        <v>VakanaÉlelmesek</v>
      </c>
      <c r="V380" s="211" t="b">
        <f t="shared" si="304"/>
        <v>1</v>
      </c>
      <c r="W380" s="210">
        <f t="shared" ref="W380:W390" si="317">W379</f>
        <v>22</v>
      </c>
      <c r="X380" s="210" t="str">
        <f t="shared" si="305"/>
        <v>Vakana</v>
      </c>
      <c r="Y380" s="210" t="str">
        <f t="shared" si="306"/>
        <v>Élelmesek</v>
      </c>
      <c r="Z380" s="212">
        <f t="shared" si="307"/>
        <v>3</v>
      </c>
      <c r="AA380" s="210">
        <f t="shared" si="308"/>
        <v>1</v>
      </c>
      <c r="AB380" s="213"/>
      <c r="AC380" s="214" t="str">
        <f t="shared" si="309"/>
        <v>Vakana</v>
      </c>
      <c r="AD380" s="214" t="str">
        <f t="shared" si="310"/>
        <v/>
      </c>
      <c r="AE380" s="215" t="str">
        <f t="shared" si="311"/>
        <v/>
      </c>
      <c r="AF380" s="214" t="str">
        <f t="shared" si="312"/>
        <v/>
      </c>
      <c r="AG380" s="214" t="str">
        <f t="shared" si="313"/>
        <v/>
      </c>
      <c r="AH380" s="215" t="str">
        <f t="shared" si="314"/>
        <v>Élelmesek</v>
      </c>
      <c r="AI380" s="216">
        <f t="shared" si="315"/>
        <v>42291</v>
      </c>
      <c r="AL380" s="217" t="str">
        <f>IF(OR(X380=Kedvenc!$C$43,Y380=Kedvenc!$C$43),W380,"")</f>
        <v/>
      </c>
      <c r="AM380" s="218" t="str">
        <f t="shared" si="316"/>
        <v/>
      </c>
      <c r="BB380" s="285" t="str">
        <f>C380&amp;D380</f>
        <v>4229119:45 – A pálya</v>
      </c>
      <c r="BC380" s="284">
        <f>COUNTIF($BB$43:$BB$383,BB380)</f>
        <v>1</v>
      </c>
      <c r="BD380" s="512" t="str">
        <f>U380</f>
        <v>VakanaÉlelmesek</v>
      </c>
    </row>
    <row r="381" spans="1:57" ht="14.25" customHeight="1" x14ac:dyDescent="0.2">
      <c r="A381" s="842"/>
      <c r="C381" s="255">
        <v>42291</v>
      </c>
      <c r="D381" s="255" t="s">
        <v>499</v>
      </c>
      <c r="E381" s="265" t="s">
        <v>485</v>
      </c>
      <c r="F381" s="272">
        <v>0</v>
      </c>
      <c r="G381" s="200" t="s">
        <v>247</v>
      </c>
      <c r="H381" s="273">
        <v>2</v>
      </c>
      <c r="I381" s="266" t="s">
        <v>487</v>
      </c>
      <c r="J381" s="207"/>
      <c r="K381" s="268" t="s">
        <v>721</v>
      </c>
      <c r="L381" s="225"/>
      <c r="M381" s="226"/>
      <c r="N381" s="209"/>
      <c r="O381" s="174"/>
      <c r="U381" s="210" t="str">
        <f t="shared" si="303"/>
        <v>BBKBőrdíszmű</v>
      </c>
      <c r="V381" s="211" t="b">
        <f t="shared" si="304"/>
        <v>1</v>
      </c>
      <c r="W381" s="210">
        <f t="shared" si="317"/>
        <v>22</v>
      </c>
      <c r="X381" s="210" t="str">
        <f t="shared" si="305"/>
        <v>BBK</v>
      </c>
      <c r="Y381" s="210" t="str">
        <f t="shared" si="306"/>
        <v>Bőrdíszmű</v>
      </c>
      <c r="Z381" s="212">
        <f t="shared" si="307"/>
        <v>0</v>
      </c>
      <c r="AA381" s="210">
        <f t="shared" si="308"/>
        <v>2</v>
      </c>
      <c r="AB381" s="213"/>
      <c r="AC381" s="214" t="str">
        <f t="shared" si="309"/>
        <v/>
      </c>
      <c r="AD381" s="214" t="str">
        <f t="shared" si="310"/>
        <v/>
      </c>
      <c r="AE381" s="215" t="str">
        <f t="shared" si="311"/>
        <v>BBK</v>
      </c>
      <c r="AF381" s="214" t="str">
        <f t="shared" si="312"/>
        <v>Bőrdíszmű</v>
      </c>
      <c r="AG381" s="214" t="str">
        <f t="shared" si="313"/>
        <v/>
      </c>
      <c r="AH381" s="215" t="str">
        <f t="shared" si="314"/>
        <v/>
      </c>
      <c r="AI381" s="216">
        <f t="shared" si="315"/>
        <v>42291</v>
      </c>
      <c r="AL381" s="217" t="str">
        <f>IF(OR(X381=Kedvenc!$C$43,Y381=Kedvenc!$C$43),W381,"")</f>
        <v/>
      </c>
      <c r="AM381" s="218" t="str">
        <f t="shared" si="316"/>
        <v/>
      </c>
      <c r="BB381" s="285" t="str">
        <f>C381&amp;D381</f>
        <v>4229120:30 – A pálya</v>
      </c>
      <c r="BC381" s="284">
        <f>COUNTIF($BB$43:$BB$383,BB381)</f>
        <v>1</v>
      </c>
      <c r="BD381" s="512" t="str">
        <f>U381</f>
        <v>BBKBőrdíszmű</v>
      </c>
    </row>
    <row r="382" spans="1:57" ht="14.25" customHeight="1" x14ac:dyDescent="0.2">
      <c r="A382" s="842"/>
      <c r="C382" s="255">
        <v>42291</v>
      </c>
      <c r="D382" s="255" t="s">
        <v>500</v>
      </c>
      <c r="E382" s="265" t="s">
        <v>486</v>
      </c>
      <c r="F382" s="272">
        <v>3</v>
      </c>
      <c r="G382" s="200" t="s">
        <v>247</v>
      </c>
      <c r="H382" s="273">
        <v>0</v>
      </c>
      <c r="I382" s="266" t="s">
        <v>490</v>
      </c>
      <c r="J382" s="207"/>
      <c r="K382" s="268" t="s">
        <v>715</v>
      </c>
      <c r="L382" s="225"/>
      <c r="M382" s="226"/>
      <c r="N382" s="209"/>
      <c r="O382" s="174"/>
      <c r="U382" s="210" t="str">
        <f t="shared" si="303"/>
        <v>BHDHercules-Ludovika</v>
      </c>
      <c r="V382" s="211" t="b">
        <f t="shared" si="304"/>
        <v>1</v>
      </c>
      <c r="W382" s="210">
        <f t="shared" si="317"/>
        <v>22</v>
      </c>
      <c r="X382" s="210" t="str">
        <f t="shared" si="305"/>
        <v>BHD</v>
      </c>
      <c r="Y382" s="210" t="str">
        <f t="shared" si="306"/>
        <v>Hercules-Ludovika</v>
      </c>
      <c r="Z382" s="212">
        <f t="shared" si="307"/>
        <v>3</v>
      </c>
      <c r="AA382" s="210">
        <f t="shared" si="308"/>
        <v>0</v>
      </c>
      <c r="AB382" s="213"/>
      <c r="AC382" s="214" t="str">
        <f t="shared" si="309"/>
        <v>BHD</v>
      </c>
      <c r="AD382" s="214" t="str">
        <f t="shared" si="310"/>
        <v/>
      </c>
      <c r="AE382" s="215" t="str">
        <f t="shared" si="311"/>
        <v/>
      </c>
      <c r="AF382" s="214" t="str">
        <f t="shared" si="312"/>
        <v/>
      </c>
      <c r="AG382" s="214" t="str">
        <f t="shared" si="313"/>
        <v/>
      </c>
      <c r="AH382" s="215" t="str">
        <f t="shared" si="314"/>
        <v>Hercules-Ludovika</v>
      </c>
      <c r="AI382" s="216">
        <f t="shared" si="315"/>
        <v>42291</v>
      </c>
      <c r="AL382" s="217" t="str">
        <f>IF(OR(X382=Kedvenc!$C$43,Y382=Kedvenc!$C$43),W382,"")</f>
        <v/>
      </c>
      <c r="AM382" s="218" t="str">
        <f t="shared" si="316"/>
        <v/>
      </c>
      <c r="AP382" s="245"/>
      <c r="AQ382" s="245"/>
      <c r="AR382" s="245"/>
      <c r="AS382" s="245"/>
      <c r="AT382" s="245"/>
      <c r="AU382" s="245"/>
      <c r="AV382" s="245"/>
      <c r="AW382" s="245"/>
      <c r="AX382" s="245"/>
      <c r="AY382" s="245"/>
      <c r="BA382" s="245"/>
      <c r="BB382" s="285" t="str">
        <f>C382&amp;D382</f>
        <v>4229119:00 – B pálya</v>
      </c>
      <c r="BC382" s="284">
        <f>COUNTIF($BB$43:$BB$383,BB382)</f>
        <v>1</v>
      </c>
      <c r="BD382" s="512" t="str">
        <f>U382</f>
        <v>BHDHercules-Ludovika</v>
      </c>
      <c r="BE382" s="245"/>
    </row>
    <row r="383" spans="1:57" ht="14.25" customHeight="1" x14ac:dyDescent="0.2">
      <c r="A383" s="842"/>
      <c r="C383" s="255">
        <v>42291</v>
      </c>
      <c r="D383" s="255" t="s">
        <v>501</v>
      </c>
      <c r="E383" s="265" t="s">
        <v>492</v>
      </c>
      <c r="F383" s="272">
        <v>3</v>
      </c>
      <c r="G383" s="200" t="s">
        <v>247</v>
      </c>
      <c r="H383" s="273">
        <v>1</v>
      </c>
      <c r="I383" s="266" t="s">
        <v>484</v>
      </c>
      <c r="J383" s="223"/>
      <c r="K383" s="787"/>
      <c r="L383" s="225"/>
      <c r="M383" s="226"/>
      <c r="N383" s="209"/>
      <c r="O383" s="174"/>
      <c r="P383" s="209"/>
      <c r="Q383" s="209"/>
      <c r="R383" s="209"/>
      <c r="S383" s="209"/>
      <c r="U383" s="210" t="str">
        <f t="shared" si="303"/>
        <v>Royal Guard'sBakafogó-Honvéd-Sashegy SE</v>
      </c>
      <c r="V383" s="211" t="b">
        <f t="shared" si="304"/>
        <v>1</v>
      </c>
      <c r="W383" s="210">
        <f t="shared" si="317"/>
        <v>22</v>
      </c>
      <c r="X383" s="210" t="str">
        <f t="shared" si="305"/>
        <v>Royal Guard's</v>
      </c>
      <c r="Y383" s="210" t="str">
        <f t="shared" si="306"/>
        <v>Bakafogó-Honvéd-Sashegy SE</v>
      </c>
      <c r="Z383" s="212">
        <f t="shared" si="307"/>
        <v>3</v>
      </c>
      <c r="AA383" s="210">
        <f t="shared" si="308"/>
        <v>1</v>
      </c>
      <c r="AB383" s="213"/>
      <c r="AC383" s="214" t="str">
        <f t="shared" si="309"/>
        <v>Royal Guard's</v>
      </c>
      <c r="AD383" s="214" t="str">
        <f t="shared" si="310"/>
        <v/>
      </c>
      <c r="AE383" s="215" t="str">
        <f t="shared" si="311"/>
        <v/>
      </c>
      <c r="AF383" s="214" t="str">
        <f t="shared" si="312"/>
        <v/>
      </c>
      <c r="AG383" s="214" t="str">
        <f t="shared" si="313"/>
        <v/>
      </c>
      <c r="AH383" s="215" t="str">
        <f t="shared" si="314"/>
        <v>Bakafogó-Honvéd-Sashegy SE</v>
      </c>
      <c r="AI383" s="216">
        <f t="shared" si="315"/>
        <v>42291</v>
      </c>
      <c r="AL383" s="217" t="str">
        <f>IF(OR(X383=Kedvenc!$C$43,Y383=Kedvenc!$C$43),W383,"")</f>
        <v/>
      </c>
      <c r="AM383" s="218" t="str">
        <f t="shared" si="316"/>
        <v/>
      </c>
      <c r="AP383" s="245"/>
      <c r="AQ383" s="245"/>
      <c r="AR383" s="245"/>
      <c r="AS383" s="245"/>
      <c r="AT383" s="245"/>
      <c r="AU383" s="245"/>
      <c r="AV383" s="245"/>
      <c r="AW383" s="245"/>
      <c r="AX383" s="245"/>
      <c r="AY383" s="245"/>
      <c r="BA383" s="245"/>
      <c r="BB383" s="285" t="str">
        <f>C383&amp;D383</f>
        <v>4229119:45 – B pálya</v>
      </c>
      <c r="BC383" s="284">
        <f>COUNTIF($BB$43:$BB$383,BB383)</f>
        <v>1</v>
      </c>
      <c r="BD383" s="512" t="str">
        <f>U383</f>
        <v>Royal Guard'sBakafogó-Honvéd-Sashegy SE</v>
      </c>
      <c r="BE383" s="245"/>
    </row>
    <row r="384" spans="1:57" ht="14.25" customHeight="1" x14ac:dyDescent="0.2">
      <c r="A384" s="842"/>
      <c r="C384" s="278"/>
      <c r="D384" s="278"/>
      <c r="E384" s="275" t="s">
        <v>488</v>
      </c>
      <c r="F384" s="275"/>
      <c r="G384" s="276"/>
      <c r="H384" s="277"/>
      <c r="I384" s="277" t="s">
        <v>495</v>
      </c>
      <c r="J384" s="223"/>
      <c r="K384" s="268"/>
      <c r="L384" s="225"/>
      <c r="M384" s="226"/>
      <c r="N384" s="209"/>
      <c r="O384" s="174"/>
      <c r="P384" s="209"/>
      <c r="Q384" s="209"/>
      <c r="R384" s="209"/>
      <c r="S384" s="209"/>
      <c r="U384" s="210" t="str">
        <f t="shared" si="303"/>
        <v>Carbonászszabadnapos</v>
      </c>
      <c r="V384" s="211" t="b">
        <f t="shared" si="304"/>
        <v>0</v>
      </c>
      <c r="W384" s="210">
        <f t="shared" si="317"/>
        <v>22</v>
      </c>
      <c r="X384" s="210" t="str">
        <f t="shared" si="305"/>
        <v>Carbonász</v>
      </c>
      <c r="Y384" s="210" t="str">
        <f t="shared" si="306"/>
        <v>szabadnapos</v>
      </c>
      <c r="Z384" s="212" t="str">
        <f t="shared" si="307"/>
        <v/>
      </c>
      <c r="AA384" s="210" t="str">
        <f t="shared" si="308"/>
        <v/>
      </c>
      <c r="AB384" s="213"/>
      <c r="AC384" s="214" t="str">
        <f t="shared" si="309"/>
        <v/>
      </c>
      <c r="AD384" s="214" t="str">
        <f t="shared" si="310"/>
        <v/>
      </c>
      <c r="AE384" s="215" t="str">
        <f t="shared" si="311"/>
        <v/>
      </c>
      <c r="AF384" s="214" t="str">
        <f t="shared" si="312"/>
        <v/>
      </c>
      <c r="AG384" s="214" t="str">
        <f t="shared" si="313"/>
        <v/>
      </c>
      <c r="AH384" s="215" t="str">
        <f t="shared" si="314"/>
        <v/>
      </c>
      <c r="AI384" s="750">
        <f>AI379</f>
        <v>42291</v>
      </c>
      <c r="AL384" s="217" t="str">
        <f>IF(OR(X384=Kedvenc!$C$43,Y384=Kedvenc!$C$43),W384,"")</f>
        <v/>
      </c>
      <c r="AM384" s="218" t="str">
        <f t="shared" si="316"/>
        <v/>
      </c>
      <c r="AP384" s="245"/>
      <c r="AQ384" s="245"/>
      <c r="AR384" s="245"/>
      <c r="AS384" s="245"/>
      <c r="AT384" s="245"/>
      <c r="AU384" s="245"/>
      <c r="AV384" s="245"/>
      <c r="AW384" s="245"/>
      <c r="AX384" s="245"/>
      <c r="AY384" s="245"/>
      <c r="BA384" s="245"/>
      <c r="BB384" s="245"/>
      <c r="BC384" s="245"/>
      <c r="BD384" s="245"/>
      <c r="BE384" s="245"/>
    </row>
    <row r="385" spans="1:57" ht="14.25" hidden="1" customHeight="1" x14ac:dyDescent="0.2">
      <c r="A385" s="842"/>
      <c r="C385" s="278"/>
      <c r="D385" s="278"/>
      <c r="E385" s="265"/>
      <c r="F385" s="265"/>
      <c r="H385" s="266"/>
      <c r="I385" s="266"/>
      <c r="J385" s="223"/>
      <c r="K385" s="268"/>
      <c r="L385" s="225"/>
      <c r="M385" s="226"/>
      <c r="N385" s="209"/>
      <c r="O385" s="174"/>
      <c r="P385" s="209"/>
      <c r="Q385" s="209"/>
      <c r="R385" s="209"/>
      <c r="S385" s="209"/>
      <c r="U385" s="210" t="str">
        <f t="shared" si="303"/>
        <v>00</v>
      </c>
      <c r="V385" s="211" t="b">
        <f t="shared" si="304"/>
        <v>0</v>
      </c>
      <c r="W385" s="210">
        <f t="shared" si="317"/>
        <v>22</v>
      </c>
      <c r="X385" s="210">
        <f t="shared" si="305"/>
        <v>0</v>
      </c>
      <c r="Y385" s="210">
        <f t="shared" si="306"/>
        <v>0</v>
      </c>
      <c r="Z385" s="212" t="str">
        <f t="shared" si="307"/>
        <v/>
      </c>
      <c r="AA385" s="210" t="str">
        <f t="shared" si="308"/>
        <v/>
      </c>
      <c r="AB385" s="213"/>
      <c r="AC385" s="214" t="str">
        <f t="shared" si="309"/>
        <v/>
      </c>
      <c r="AD385" s="214" t="str">
        <f t="shared" si="310"/>
        <v/>
      </c>
      <c r="AE385" s="215" t="str">
        <f t="shared" si="311"/>
        <v/>
      </c>
      <c r="AF385" s="214" t="str">
        <f t="shared" si="312"/>
        <v/>
      </c>
      <c r="AG385" s="214" t="str">
        <f t="shared" si="313"/>
        <v/>
      </c>
      <c r="AH385" s="215" t="str">
        <f t="shared" si="314"/>
        <v/>
      </c>
      <c r="AI385" s="216">
        <f t="shared" si="315"/>
        <v>0</v>
      </c>
      <c r="AL385" s="217" t="str">
        <f>IF(OR(X385=Kedvenc!$C$43,Y385=Kedvenc!$C$43),W385,"")</f>
        <v/>
      </c>
      <c r="AM385" s="218" t="str">
        <f t="shared" si="316"/>
        <v/>
      </c>
      <c r="AP385" s="245"/>
      <c r="AQ385" s="245"/>
      <c r="AR385" s="245"/>
      <c r="AS385" s="245"/>
      <c r="AT385" s="245"/>
      <c r="AU385" s="245"/>
      <c r="AV385" s="245"/>
      <c r="AW385" s="245"/>
      <c r="AX385" s="245"/>
      <c r="AY385" s="245"/>
      <c r="BA385" s="245"/>
      <c r="BB385" s="245"/>
      <c r="BC385" s="245"/>
      <c r="BD385" s="245"/>
      <c r="BE385" s="245"/>
    </row>
    <row r="386" spans="1:57" ht="14.25" hidden="1" customHeight="1" x14ac:dyDescent="0.2">
      <c r="A386" s="842"/>
      <c r="C386" s="278"/>
      <c r="D386" s="278"/>
      <c r="E386" s="265"/>
      <c r="F386" s="265"/>
      <c r="H386" s="266"/>
      <c r="I386" s="266"/>
      <c r="J386" s="223"/>
      <c r="K386" s="268"/>
      <c r="L386" s="225"/>
      <c r="M386" s="226"/>
      <c r="N386" s="209"/>
      <c r="O386" s="174"/>
      <c r="P386" s="209"/>
      <c r="Q386" s="209"/>
      <c r="R386" s="209"/>
      <c r="S386" s="209"/>
      <c r="U386" s="210" t="str">
        <f t="shared" si="303"/>
        <v>00</v>
      </c>
      <c r="V386" s="211" t="b">
        <f t="shared" si="304"/>
        <v>0</v>
      </c>
      <c r="W386" s="210">
        <f t="shared" si="317"/>
        <v>22</v>
      </c>
      <c r="X386" s="210">
        <f t="shared" si="305"/>
        <v>0</v>
      </c>
      <c r="Y386" s="210">
        <f t="shared" si="306"/>
        <v>0</v>
      </c>
      <c r="Z386" s="212" t="str">
        <f t="shared" si="307"/>
        <v/>
      </c>
      <c r="AA386" s="210" t="str">
        <f t="shared" si="308"/>
        <v/>
      </c>
      <c r="AB386" s="213"/>
      <c r="AC386" s="214" t="str">
        <f t="shared" si="309"/>
        <v/>
      </c>
      <c r="AD386" s="214" t="str">
        <f t="shared" si="310"/>
        <v/>
      </c>
      <c r="AE386" s="215" t="str">
        <f t="shared" si="311"/>
        <v/>
      </c>
      <c r="AF386" s="214" t="str">
        <f t="shared" si="312"/>
        <v/>
      </c>
      <c r="AG386" s="214" t="str">
        <f t="shared" si="313"/>
        <v/>
      </c>
      <c r="AH386" s="215" t="str">
        <f t="shared" si="314"/>
        <v/>
      </c>
      <c r="AI386" s="216">
        <f t="shared" si="315"/>
        <v>0</v>
      </c>
      <c r="AL386" s="217" t="str">
        <f>IF(OR(X386=Kedvenc!$C$43,Y386=Kedvenc!$C$43),W386,"")</f>
        <v/>
      </c>
      <c r="AM386" s="218" t="str">
        <f t="shared" si="316"/>
        <v/>
      </c>
      <c r="AP386" s="245"/>
      <c r="AQ386" s="245"/>
      <c r="AR386" s="245"/>
      <c r="AS386" s="245"/>
      <c r="AT386" s="245"/>
      <c r="AU386" s="245"/>
      <c r="AV386" s="245"/>
      <c r="AW386" s="245"/>
      <c r="AX386" s="245"/>
      <c r="AY386" s="245"/>
      <c r="BA386" s="245"/>
      <c r="BB386" s="245"/>
      <c r="BC386" s="245"/>
      <c r="BD386" s="245"/>
      <c r="BE386" s="245"/>
    </row>
    <row r="387" spans="1:57" ht="14.25" hidden="1" customHeight="1" x14ac:dyDescent="0.2">
      <c r="A387" s="842"/>
      <c r="C387" s="278"/>
      <c r="D387" s="278"/>
      <c r="E387" s="265"/>
      <c r="F387" s="265"/>
      <c r="H387" s="266"/>
      <c r="I387" s="266"/>
      <c r="J387" s="223"/>
      <c r="K387" s="268"/>
      <c r="L387" s="225"/>
      <c r="M387" s="226"/>
      <c r="N387" s="209"/>
      <c r="O387" s="174"/>
      <c r="P387" s="209"/>
      <c r="Q387" s="209"/>
      <c r="R387" s="209"/>
      <c r="S387" s="209"/>
      <c r="U387" s="210" t="str">
        <f t="shared" si="303"/>
        <v>00</v>
      </c>
      <c r="V387" s="211" t="b">
        <f t="shared" si="304"/>
        <v>0</v>
      </c>
      <c r="W387" s="210">
        <f t="shared" si="317"/>
        <v>22</v>
      </c>
      <c r="X387" s="210">
        <f t="shared" si="305"/>
        <v>0</v>
      </c>
      <c r="Y387" s="210">
        <f t="shared" si="306"/>
        <v>0</v>
      </c>
      <c r="Z387" s="212" t="str">
        <f t="shared" si="307"/>
        <v/>
      </c>
      <c r="AA387" s="210" t="str">
        <f t="shared" si="308"/>
        <v/>
      </c>
      <c r="AB387" s="213"/>
      <c r="AC387" s="214" t="str">
        <f t="shared" si="309"/>
        <v/>
      </c>
      <c r="AD387" s="214" t="str">
        <f t="shared" si="310"/>
        <v/>
      </c>
      <c r="AE387" s="215" t="str">
        <f t="shared" si="311"/>
        <v/>
      </c>
      <c r="AF387" s="214" t="str">
        <f t="shared" si="312"/>
        <v/>
      </c>
      <c r="AG387" s="214" t="str">
        <f t="shared" si="313"/>
        <v/>
      </c>
      <c r="AH387" s="215" t="str">
        <f t="shared" si="314"/>
        <v/>
      </c>
      <c r="AI387" s="216">
        <f t="shared" si="315"/>
        <v>0</v>
      </c>
      <c r="AL387" s="217" t="str">
        <f>IF(OR(X387=Kedvenc!$C$43,Y387=Kedvenc!$C$43),W387,"")</f>
        <v/>
      </c>
      <c r="AM387" s="218" t="str">
        <f t="shared" si="316"/>
        <v/>
      </c>
      <c r="AP387" s="245"/>
      <c r="AQ387" s="245"/>
      <c r="AR387" s="245"/>
      <c r="AS387" s="245"/>
      <c r="AT387" s="245"/>
      <c r="AU387" s="245"/>
      <c r="AV387" s="245"/>
      <c r="AW387" s="245"/>
      <c r="AX387" s="245"/>
      <c r="AY387" s="245"/>
      <c r="BA387" s="245"/>
      <c r="BB387" s="245"/>
      <c r="BC387" s="245"/>
      <c r="BD387" s="245"/>
      <c r="BE387" s="245"/>
    </row>
    <row r="388" spans="1:57" ht="14.25" hidden="1" customHeight="1" x14ac:dyDescent="0.2">
      <c r="A388" s="842"/>
      <c r="C388" s="278"/>
      <c r="D388" s="278"/>
      <c r="E388" s="265"/>
      <c r="F388" s="265"/>
      <c r="H388" s="266"/>
      <c r="I388" s="266"/>
      <c r="J388" s="223"/>
      <c r="K388" s="268"/>
      <c r="L388" s="225"/>
      <c r="M388" s="226"/>
      <c r="N388" s="209"/>
      <c r="O388" s="174"/>
      <c r="P388" s="209"/>
      <c r="Q388" s="209"/>
      <c r="R388" s="209"/>
      <c r="S388" s="209"/>
      <c r="U388" s="210" t="str">
        <f t="shared" si="303"/>
        <v>00</v>
      </c>
      <c r="V388" s="211" t="b">
        <f t="shared" si="304"/>
        <v>0</v>
      </c>
      <c r="W388" s="210">
        <f t="shared" si="317"/>
        <v>22</v>
      </c>
      <c r="X388" s="210">
        <f t="shared" si="305"/>
        <v>0</v>
      </c>
      <c r="Y388" s="210">
        <f t="shared" si="306"/>
        <v>0</v>
      </c>
      <c r="Z388" s="212" t="str">
        <f t="shared" si="307"/>
        <v/>
      </c>
      <c r="AA388" s="210" t="str">
        <f t="shared" si="308"/>
        <v/>
      </c>
      <c r="AB388" s="213"/>
      <c r="AC388" s="214" t="str">
        <f t="shared" si="309"/>
        <v/>
      </c>
      <c r="AD388" s="214" t="str">
        <f t="shared" si="310"/>
        <v/>
      </c>
      <c r="AE388" s="215" t="str">
        <f t="shared" si="311"/>
        <v/>
      </c>
      <c r="AF388" s="214" t="str">
        <f t="shared" si="312"/>
        <v/>
      </c>
      <c r="AG388" s="214" t="str">
        <f t="shared" si="313"/>
        <v/>
      </c>
      <c r="AH388" s="215" t="str">
        <f t="shared" si="314"/>
        <v/>
      </c>
      <c r="AI388" s="216">
        <f t="shared" si="315"/>
        <v>0</v>
      </c>
      <c r="AL388" s="217" t="str">
        <f>IF(OR(X388=Kedvenc!$C$43,Y388=Kedvenc!$C$43),W388,"")</f>
        <v/>
      </c>
      <c r="AM388" s="218" t="str">
        <f t="shared" si="316"/>
        <v/>
      </c>
      <c r="AP388" s="245"/>
      <c r="AQ388" s="245"/>
      <c r="AR388" s="245"/>
      <c r="AS388" s="245"/>
      <c r="AT388" s="245"/>
      <c r="AU388" s="245"/>
      <c r="AV388" s="245"/>
      <c r="AW388" s="245"/>
      <c r="AX388" s="245"/>
      <c r="AY388" s="245"/>
      <c r="BA388" s="245"/>
      <c r="BB388" s="245"/>
      <c r="BC388" s="245"/>
      <c r="BD388" s="245"/>
      <c r="BE388" s="245"/>
    </row>
    <row r="389" spans="1:57" ht="14.25" hidden="1" customHeight="1" x14ac:dyDescent="0.2">
      <c r="A389" s="842"/>
      <c r="C389" s="278"/>
      <c r="D389" s="278"/>
      <c r="E389" s="265"/>
      <c r="F389" s="265"/>
      <c r="H389" s="266"/>
      <c r="I389" s="266"/>
      <c r="J389" s="223"/>
      <c r="K389" s="268"/>
      <c r="L389" s="225"/>
      <c r="M389" s="226"/>
      <c r="N389" s="209"/>
      <c r="O389" s="174"/>
      <c r="P389" s="209"/>
      <c r="Q389" s="209"/>
      <c r="R389" s="209"/>
      <c r="S389" s="209"/>
      <c r="U389" s="210" t="str">
        <f t="shared" si="303"/>
        <v>00</v>
      </c>
      <c r="V389" s="211" t="b">
        <f t="shared" si="304"/>
        <v>0</v>
      </c>
      <c r="W389" s="210">
        <f t="shared" si="317"/>
        <v>22</v>
      </c>
      <c r="X389" s="210">
        <f t="shared" si="305"/>
        <v>0</v>
      </c>
      <c r="Y389" s="210">
        <f t="shared" si="306"/>
        <v>0</v>
      </c>
      <c r="Z389" s="212" t="str">
        <f t="shared" si="307"/>
        <v/>
      </c>
      <c r="AA389" s="210" t="str">
        <f t="shared" si="308"/>
        <v/>
      </c>
      <c r="AB389" s="213"/>
      <c r="AC389" s="214" t="str">
        <f t="shared" si="309"/>
        <v/>
      </c>
      <c r="AD389" s="214" t="str">
        <f t="shared" si="310"/>
        <v/>
      </c>
      <c r="AE389" s="215" t="str">
        <f t="shared" si="311"/>
        <v/>
      </c>
      <c r="AF389" s="214" t="str">
        <f t="shared" si="312"/>
        <v/>
      </c>
      <c r="AG389" s="214" t="str">
        <f t="shared" si="313"/>
        <v/>
      </c>
      <c r="AH389" s="215" t="str">
        <f t="shared" si="314"/>
        <v/>
      </c>
      <c r="AI389" s="216">
        <f t="shared" si="315"/>
        <v>0</v>
      </c>
      <c r="AL389" s="217" t="str">
        <f>IF(OR(X389=Kedvenc!$C$43,Y389=Kedvenc!$C$43),W389,"")</f>
        <v/>
      </c>
      <c r="AM389" s="218" t="str">
        <f t="shared" si="316"/>
        <v/>
      </c>
      <c r="AP389" s="245"/>
      <c r="AQ389" s="245"/>
      <c r="AR389" s="245"/>
      <c r="AS389" s="245"/>
      <c r="AT389" s="245"/>
      <c r="AU389" s="245"/>
      <c r="AV389" s="245"/>
      <c r="AW389" s="245"/>
      <c r="AX389" s="245"/>
      <c r="AY389" s="245"/>
      <c r="BA389" s="245"/>
      <c r="BB389" s="245"/>
      <c r="BC389" s="245"/>
      <c r="BD389" s="245"/>
      <c r="BE389" s="245"/>
    </row>
    <row r="390" spans="1:57" ht="14.25" hidden="1" customHeight="1" x14ac:dyDescent="0.2">
      <c r="A390" s="842"/>
      <c r="C390" s="278"/>
      <c r="D390" s="278"/>
      <c r="E390" s="265"/>
      <c r="F390" s="265"/>
      <c r="H390" s="266"/>
      <c r="I390" s="266"/>
      <c r="J390" s="169"/>
      <c r="K390" s="268"/>
      <c r="L390" s="228"/>
      <c r="M390" s="228"/>
      <c r="N390" s="228"/>
      <c r="O390" s="174"/>
      <c r="P390" s="209"/>
      <c r="Q390" s="209"/>
      <c r="R390" s="209"/>
      <c r="S390" s="209"/>
      <c r="U390" s="210" t="str">
        <f t="shared" si="303"/>
        <v>00</v>
      </c>
      <c r="V390" s="211" t="b">
        <f t="shared" si="304"/>
        <v>0</v>
      </c>
      <c r="W390" s="210">
        <f t="shared" si="317"/>
        <v>22</v>
      </c>
      <c r="X390" s="210">
        <f t="shared" si="305"/>
        <v>0</v>
      </c>
      <c r="Y390" s="210">
        <f t="shared" si="306"/>
        <v>0</v>
      </c>
      <c r="Z390" s="212" t="str">
        <f t="shared" si="307"/>
        <v/>
      </c>
      <c r="AA390" s="210" t="str">
        <f t="shared" si="308"/>
        <v/>
      </c>
      <c r="AB390" s="213"/>
      <c r="AC390" s="214" t="str">
        <f t="shared" si="309"/>
        <v/>
      </c>
      <c r="AD390" s="214" t="str">
        <f t="shared" si="310"/>
        <v/>
      </c>
      <c r="AE390" s="215" t="str">
        <f t="shared" si="311"/>
        <v/>
      </c>
      <c r="AF390" s="214" t="str">
        <f t="shared" si="312"/>
        <v/>
      </c>
      <c r="AG390" s="214" t="str">
        <f t="shared" si="313"/>
        <v/>
      </c>
      <c r="AH390" s="215" t="str">
        <f t="shared" si="314"/>
        <v/>
      </c>
      <c r="AI390" s="216">
        <f t="shared" si="315"/>
        <v>0</v>
      </c>
      <c r="AL390" s="217" t="str">
        <f>IF(OR(X390=Kedvenc!$C$43,Y390=Kedvenc!$C$43),W390,"")</f>
        <v/>
      </c>
      <c r="AM390" s="218" t="str">
        <f t="shared" si="316"/>
        <v/>
      </c>
      <c r="AP390" s="245"/>
      <c r="AQ390" s="245"/>
      <c r="AR390" s="245"/>
      <c r="AS390" s="245"/>
      <c r="AT390" s="245"/>
      <c r="AU390" s="245"/>
      <c r="AV390" s="245"/>
      <c r="AW390" s="245"/>
      <c r="AX390" s="245"/>
      <c r="AY390" s="245"/>
      <c r="BA390" s="245"/>
      <c r="BB390" s="245"/>
      <c r="BC390" s="245"/>
      <c r="BD390" s="245"/>
      <c r="BE390" s="245"/>
    </row>
    <row r="391" spans="1:57" ht="14.25" customHeight="1" x14ac:dyDescent="0.2">
      <c r="A391" s="842"/>
      <c r="E391" s="247"/>
      <c r="F391" s="248"/>
      <c r="G391" s="248"/>
      <c r="H391" s="248"/>
      <c r="I391" s="247"/>
      <c r="J391" s="172"/>
      <c r="K391" s="228"/>
      <c r="L391" s="228"/>
      <c r="M391" s="228"/>
      <c r="N391" s="228"/>
      <c r="O391" s="174"/>
      <c r="P391" s="209"/>
      <c r="Q391" s="209"/>
      <c r="R391" s="209"/>
      <c r="S391" s="209"/>
      <c r="W391" s="231"/>
      <c r="AC391" s="233"/>
      <c r="AD391" s="233"/>
      <c r="AE391" s="234"/>
      <c r="AF391" s="233"/>
      <c r="AG391" s="233"/>
      <c r="AH391" s="234"/>
      <c r="AI391" s="234"/>
      <c r="AP391" s="245"/>
      <c r="AQ391" s="245"/>
      <c r="AR391" s="245"/>
      <c r="AS391" s="245"/>
      <c r="AT391" s="245"/>
      <c r="AU391" s="245"/>
      <c r="AV391" s="245"/>
      <c r="AW391" s="245"/>
      <c r="AX391" s="245"/>
      <c r="AY391" s="245"/>
      <c r="BA391" s="245"/>
      <c r="BB391" s="245"/>
      <c r="BC391" s="245"/>
      <c r="BD391" s="245"/>
      <c r="BE391" s="245"/>
    </row>
    <row r="392" spans="1:57" ht="14.25" hidden="1" customHeight="1" x14ac:dyDescent="0.2">
      <c r="A392" s="842"/>
      <c r="E392" s="224"/>
      <c r="F392" s="225"/>
      <c r="G392" s="226"/>
      <c r="H392" s="209"/>
      <c r="I392" s="227"/>
      <c r="J392" s="169"/>
      <c r="K392" s="228"/>
      <c r="L392" s="225"/>
      <c r="M392" s="226"/>
      <c r="N392" s="209"/>
      <c r="O392" s="174"/>
      <c r="P392" s="209"/>
      <c r="Q392" s="209"/>
      <c r="R392" s="209"/>
      <c r="S392" s="209"/>
      <c r="W392" s="231"/>
      <c r="AC392" s="233"/>
      <c r="AD392" s="233"/>
      <c r="AE392" s="234"/>
      <c r="AF392" s="233"/>
      <c r="AG392" s="233"/>
      <c r="AH392" s="234"/>
      <c r="AI392" s="197"/>
      <c r="AP392" s="245"/>
      <c r="AQ392" s="245"/>
      <c r="AR392" s="245"/>
      <c r="AS392" s="245"/>
      <c r="AT392" s="245"/>
      <c r="AU392" s="245"/>
      <c r="AV392" s="245"/>
      <c r="AW392" s="245"/>
      <c r="AX392" s="245"/>
      <c r="AY392" s="245"/>
      <c r="BA392" s="245"/>
      <c r="BB392" s="245"/>
      <c r="BC392" s="245"/>
      <c r="BD392" s="245"/>
      <c r="BE392" s="245"/>
    </row>
    <row r="393" spans="1:57" ht="14.25" hidden="1" customHeight="1" x14ac:dyDescent="0.2">
      <c r="A393" s="842"/>
      <c r="B393" s="187"/>
      <c r="C393" s="188"/>
      <c r="D393" s="188"/>
      <c r="E393" s="844"/>
      <c r="F393" s="844"/>
      <c r="G393" s="844"/>
      <c r="H393" s="844"/>
      <c r="I393" s="189"/>
      <c r="J393" s="190"/>
      <c r="K393" s="191"/>
      <c r="L393" s="192"/>
      <c r="U393" s="229"/>
      <c r="V393" s="230"/>
      <c r="W393" s="231"/>
      <c r="X393" s="231"/>
      <c r="Y393" s="231"/>
      <c r="Z393" s="232"/>
      <c r="AA393" s="231"/>
      <c r="AC393" s="197"/>
      <c r="AD393" s="197"/>
      <c r="AE393" s="197"/>
      <c r="AF393" s="197"/>
      <c r="AG393" s="197"/>
      <c r="AH393" s="197"/>
      <c r="AI393" s="197"/>
      <c r="AQ393" s="245"/>
      <c r="AR393" s="245"/>
      <c r="AS393" s="245"/>
      <c r="AT393" s="245"/>
    </row>
    <row r="394" spans="1:57" ht="9" hidden="1" customHeight="1" x14ac:dyDescent="0.2">
      <c r="A394" s="842"/>
      <c r="J394" s="169"/>
      <c r="K394" s="228"/>
      <c r="L394" s="225"/>
      <c r="M394" s="226"/>
      <c r="N394" s="209"/>
      <c r="O394" s="174"/>
      <c r="P394" s="209"/>
      <c r="Q394" s="209"/>
      <c r="R394" s="209"/>
      <c r="S394" s="209"/>
      <c r="AP394" s="245"/>
      <c r="AQ394" s="245"/>
      <c r="AR394" s="245"/>
      <c r="AS394" s="245"/>
      <c r="AT394" s="245"/>
      <c r="AU394" s="245"/>
      <c r="AV394" s="245"/>
      <c r="AW394" s="245"/>
      <c r="AX394" s="245"/>
      <c r="AY394" s="245"/>
      <c r="BA394" s="245"/>
      <c r="BB394" s="245"/>
      <c r="BC394" s="245"/>
      <c r="BD394" s="245"/>
      <c r="BE394" s="245"/>
    </row>
    <row r="395" spans="1:57" ht="14.25" hidden="1" customHeight="1" x14ac:dyDescent="0.2">
      <c r="A395" s="842"/>
      <c r="C395" s="279"/>
      <c r="D395" s="279"/>
      <c r="E395" s="199"/>
      <c r="I395" s="201"/>
      <c r="J395" s="207"/>
      <c r="K395" s="280"/>
      <c r="L395" s="225"/>
      <c r="M395" s="226"/>
      <c r="N395" s="209"/>
      <c r="O395" s="174"/>
      <c r="P395" s="209"/>
      <c r="Q395" s="209"/>
      <c r="R395" s="209"/>
      <c r="S395" s="209"/>
      <c r="U395" s="210"/>
      <c r="V395" s="211"/>
      <c r="W395" s="210"/>
      <c r="X395" s="210"/>
      <c r="Y395" s="210"/>
      <c r="Z395" s="212"/>
      <c r="AA395" s="210"/>
      <c r="AB395" s="213"/>
      <c r="AC395" s="214"/>
      <c r="AD395" s="214"/>
      <c r="AE395" s="215"/>
      <c r="AF395" s="214"/>
      <c r="AG395" s="214"/>
      <c r="AH395" s="215"/>
      <c r="AI395" s="216"/>
      <c r="AL395" s="217"/>
      <c r="AM395" s="218"/>
      <c r="AQ395" s="245"/>
      <c r="AR395" s="245"/>
      <c r="AS395" s="245"/>
      <c r="AT395" s="245"/>
    </row>
    <row r="396" spans="1:57" ht="14.25" hidden="1" customHeight="1" x14ac:dyDescent="0.2">
      <c r="A396" s="842"/>
      <c r="C396" s="279"/>
      <c r="D396" s="279"/>
      <c r="E396" s="199"/>
      <c r="I396" s="201"/>
      <c r="J396" s="207"/>
      <c r="K396" s="281"/>
      <c r="L396" s="225"/>
      <c r="M396" s="226"/>
      <c r="N396" s="209"/>
      <c r="O396" s="174"/>
      <c r="U396" s="210"/>
      <c r="V396" s="211"/>
      <c r="W396" s="210"/>
      <c r="X396" s="210"/>
      <c r="Y396" s="210"/>
      <c r="Z396" s="212"/>
      <c r="AA396" s="210"/>
      <c r="AB396" s="213"/>
      <c r="AC396" s="214"/>
      <c r="AD396" s="214"/>
      <c r="AE396" s="215"/>
      <c r="AF396" s="214"/>
      <c r="AG396" s="214"/>
      <c r="AH396" s="215"/>
      <c r="AI396" s="216"/>
      <c r="AL396" s="217"/>
      <c r="AM396" s="218"/>
    </row>
    <row r="397" spans="1:57" ht="14.25" hidden="1" customHeight="1" x14ac:dyDescent="0.2">
      <c r="A397" s="842"/>
      <c r="C397" s="279"/>
      <c r="D397" s="279"/>
      <c r="E397" s="199"/>
      <c r="I397" s="201"/>
      <c r="J397" s="207"/>
      <c r="K397" s="281"/>
      <c r="L397" s="225"/>
      <c r="M397" s="226"/>
      <c r="N397" s="209"/>
      <c r="O397" s="174"/>
      <c r="U397" s="210"/>
      <c r="V397" s="211"/>
      <c r="W397" s="210"/>
      <c r="X397" s="210"/>
      <c r="Y397" s="210"/>
      <c r="Z397" s="212"/>
      <c r="AA397" s="210"/>
      <c r="AB397" s="213"/>
      <c r="AC397" s="214"/>
      <c r="AD397" s="214"/>
      <c r="AE397" s="215"/>
      <c r="AF397" s="214"/>
      <c r="AG397" s="214"/>
      <c r="AH397" s="215"/>
      <c r="AI397" s="216"/>
      <c r="AL397" s="217"/>
      <c r="AM397" s="218"/>
    </row>
    <row r="398" spans="1:57" ht="14.25" hidden="1" customHeight="1" x14ac:dyDescent="0.2">
      <c r="A398" s="842"/>
      <c r="C398" s="279"/>
      <c r="D398" s="279"/>
      <c r="E398" s="199"/>
      <c r="I398" s="201"/>
      <c r="J398" s="207"/>
      <c r="K398" s="281"/>
      <c r="L398" s="225"/>
      <c r="M398" s="226"/>
      <c r="N398" s="209"/>
      <c r="O398" s="174"/>
      <c r="U398" s="210"/>
      <c r="V398" s="211"/>
      <c r="W398" s="210"/>
      <c r="X398" s="210"/>
      <c r="Y398" s="210"/>
      <c r="Z398" s="212"/>
      <c r="AA398" s="210"/>
      <c r="AB398" s="213"/>
      <c r="AC398" s="214"/>
      <c r="AD398" s="214"/>
      <c r="AE398" s="215"/>
      <c r="AF398" s="214"/>
      <c r="AG398" s="214"/>
      <c r="AH398" s="215"/>
      <c r="AI398" s="216"/>
      <c r="AL398" s="217"/>
      <c r="AM398" s="218"/>
      <c r="AP398" s="245"/>
      <c r="AQ398" s="245"/>
      <c r="AR398" s="245"/>
      <c r="AS398" s="245"/>
      <c r="AT398" s="245"/>
      <c r="AU398" s="245"/>
      <c r="AV398" s="245"/>
      <c r="AW398" s="245"/>
      <c r="AX398" s="245"/>
      <c r="AY398" s="245"/>
      <c r="BA398" s="245"/>
      <c r="BB398" s="245"/>
      <c r="BC398" s="245"/>
      <c r="BD398" s="245"/>
      <c r="BE398" s="245"/>
    </row>
    <row r="399" spans="1:57" ht="14.25" hidden="1" customHeight="1" x14ac:dyDescent="0.2">
      <c r="A399" s="842"/>
      <c r="C399" s="279"/>
      <c r="D399" s="279"/>
      <c r="E399" s="199"/>
      <c r="I399" s="201"/>
      <c r="J399" s="223"/>
      <c r="K399" s="281"/>
      <c r="L399" s="225"/>
      <c r="M399" s="226"/>
      <c r="N399" s="209"/>
      <c r="O399" s="174"/>
      <c r="P399" s="209"/>
      <c r="Q399" s="209"/>
      <c r="R399" s="209"/>
      <c r="S399" s="209"/>
      <c r="U399" s="210"/>
      <c r="V399" s="211"/>
      <c r="W399" s="210"/>
      <c r="X399" s="210"/>
      <c r="Y399" s="210"/>
      <c r="Z399" s="212"/>
      <c r="AA399" s="210"/>
      <c r="AB399" s="213"/>
      <c r="AC399" s="214"/>
      <c r="AD399" s="214"/>
      <c r="AE399" s="215"/>
      <c r="AF399" s="214"/>
      <c r="AG399" s="214"/>
      <c r="AH399" s="215"/>
      <c r="AI399" s="216"/>
      <c r="AL399" s="217"/>
      <c r="AM399" s="218"/>
      <c r="AP399" s="245"/>
      <c r="AQ399" s="245"/>
      <c r="AR399" s="245"/>
      <c r="AS399" s="245"/>
      <c r="AT399" s="245"/>
      <c r="AU399" s="245"/>
      <c r="AV399" s="245"/>
      <c r="AW399" s="245"/>
      <c r="AX399" s="245"/>
      <c r="AY399" s="245"/>
      <c r="BA399" s="245"/>
      <c r="BB399" s="245"/>
      <c r="BC399" s="245"/>
      <c r="BD399" s="245"/>
      <c r="BE399" s="245"/>
    </row>
    <row r="400" spans="1:57" ht="14.25" hidden="1" customHeight="1" x14ac:dyDescent="0.2">
      <c r="A400" s="842"/>
      <c r="C400" s="279"/>
      <c r="D400" s="279"/>
      <c r="E400" s="199"/>
      <c r="I400" s="201"/>
      <c r="J400" s="223"/>
      <c r="K400" s="281"/>
      <c r="L400" s="225"/>
      <c r="M400" s="226"/>
      <c r="N400" s="209"/>
      <c r="O400" s="174"/>
      <c r="P400" s="209"/>
      <c r="Q400" s="209"/>
      <c r="R400" s="209"/>
      <c r="S400" s="209"/>
      <c r="U400" s="210"/>
      <c r="V400" s="211"/>
      <c r="W400" s="210"/>
      <c r="X400" s="210"/>
      <c r="Y400" s="210"/>
      <c r="Z400" s="212"/>
      <c r="AA400" s="210"/>
      <c r="AB400" s="213"/>
      <c r="AC400" s="214"/>
      <c r="AD400" s="214"/>
      <c r="AE400" s="215"/>
      <c r="AF400" s="214"/>
      <c r="AG400" s="214"/>
      <c r="AH400" s="215"/>
      <c r="AI400" s="216"/>
      <c r="AL400" s="217"/>
      <c r="AM400" s="218"/>
      <c r="AP400" s="245"/>
      <c r="AQ400" s="245"/>
      <c r="AR400" s="245"/>
      <c r="AS400" s="245"/>
      <c r="AT400" s="245"/>
      <c r="AU400" s="245"/>
      <c r="AV400" s="245"/>
      <c r="AW400" s="245"/>
      <c r="AX400" s="245"/>
      <c r="AY400" s="245"/>
      <c r="BA400" s="245"/>
      <c r="BB400" s="245"/>
      <c r="BC400" s="245"/>
      <c r="BD400" s="245"/>
      <c r="BE400" s="245"/>
    </row>
    <row r="401" spans="1:57" ht="14.25" hidden="1" customHeight="1" x14ac:dyDescent="0.2">
      <c r="A401" s="842"/>
      <c r="C401" s="279"/>
      <c r="D401" s="279"/>
      <c r="E401" s="199"/>
      <c r="I401" s="201"/>
      <c r="J401" s="223"/>
      <c r="K401" s="282"/>
      <c r="L401" s="225"/>
      <c r="M401" s="226"/>
      <c r="N401" s="209"/>
      <c r="O401" s="174"/>
      <c r="P401" s="209"/>
      <c r="Q401" s="209"/>
      <c r="R401" s="209"/>
      <c r="S401" s="209"/>
      <c r="U401" s="210"/>
      <c r="V401" s="211"/>
      <c r="W401" s="210"/>
      <c r="X401" s="210"/>
      <c r="Y401" s="210"/>
      <c r="Z401" s="212"/>
      <c r="AA401" s="210"/>
      <c r="AB401" s="213"/>
      <c r="AC401" s="214"/>
      <c r="AD401" s="214"/>
      <c r="AE401" s="215"/>
      <c r="AF401" s="214"/>
      <c r="AG401" s="214"/>
      <c r="AH401" s="215"/>
      <c r="AI401" s="216"/>
      <c r="AL401" s="217"/>
      <c r="AM401" s="218"/>
      <c r="AP401" s="245"/>
      <c r="AQ401" s="245"/>
      <c r="AR401" s="245"/>
      <c r="AS401" s="245"/>
      <c r="AT401" s="245"/>
      <c r="AU401" s="245"/>
      <c r="AV401" s="245"/>
      <c r="AW401" s="245"/>
      <c r="AX401" s="245"/>
      <c r="AY401" s="245"/>
      <c r="BA401" s="245"/>
      <c r="BB401" s="245"/>
      <c r="BC401" s="245"/>
      <c r="BD401" s="245"/>
      <c r="BE401" s="245"/>
    </row>
    <row r="402" spans="1:57" ht="14.25" hidden="1" customHeight="1" x14ac:dyDescent="0.2">
      <c r="A402" s="842"/>
      <c r="C402" s="279"/>
      <c r="D402" s="279"/>
      <c r="E402" s="199"/>
      <c r="I402" s="201"/>
      <c r="J402" s="223"/>
      <c r="K402" s="281"/>
      <c r="L402" s="225"/>
      <c r="M402" s="226"/>
      <c r="N402" s="209"/>
      <c r="O402" s="174"/>
      <c r="P402" s="209"/>
      <c r="Q402" s="209"/>
      <c r="R402" s="209"/>
      <c r="S402" s="209"/>
      <c r="U402" s="210"/>
      <c r="V402" s="211"/>
      <c r="W402" s="210"/>
      <c r="X402" s="210"/>
      <c r="Y402" s="210"/>
      <c r="Z402" s="212"/>
      <c r="AA402" s="210"/>
      <c r="AB402" s="213"/>
      <c r="AC402" s="214"/>
      <c r="AD402" s="214"/>
      <c r="AE402" s="215"/>
      <c r="AF402" s="214"/>
      <c r="AG402" s="214"/>
      <c r="AH402" s="215"/>
      <c r="AI402" s="216"/>
      <c r="AL402" s="217"/>
      <c r="AM402" s="218"/>
      <c r="AP402" s="245"/>
      <c r="AQ402" s="245"/>
      <c r="AR402" s="245"/>
      <c r="AS402" s="245"/>
      <c r="AT402" s="245"/>
      <c r="AU402" s="245"/>
      <c r="AV402" s="245"/>
      <c r="AW402" s="245"/>
      <c r="AX402" s="245"/>
      <c r="AY402" s="245"/>
      <c r="BA402" s="245"/>
      <c r="BB402" s="245"/>
      <c r="BC402" s="245"/>
      <c r="BD402" s="245"/>
      <c r="BE402" s="245"/>
    </row>
    <row r="403" spans="1:57" ht="14.25" hidden="1" customHeight="1" x14ac:dyDescent="0.2">
      <c r="A403" s="842"/>
      <c r="C403" s="279"/>
      <c r="D403" s="279"/>
      <c r="E403" s="199"/>
      <c r="I403" s="201"/>
      <c r="J403" s="223"/>
      <c r="K403" s="281"/>
      <c r="L403" s="225"/>
      <c r="M403" s="226"/>
      <c r="N403" s="209"/>
      <c r="O403" s="174"/>
      <c r="P403" s="209"/>
      <c r="Q403" s="209"/>
      <c r="R403" s="209"/>
      <c r="S403" s="209"/>
      <c r="U403" s="210"/>
      <c r="V403" s="211"/>
      <c r="W403" s="210"/>
      <c r="X403" s="210"/>
      <c r="Y403" s="210"/>
      <c r="Z403" s="212"/>
      <c r="AA403" s="210"/>
      <c r="AB403" s="213"/>
      <c r="AC403" s="214"/>
      <c r="AD403" s="214"/>
      <c r="AE403" s="215"/>
      <c r="AF403" s="214"/>
      <c r="AG403" s="214"/>
      <c r="AH403" s="215"/>
      <c r="AI403" s="216"/>
      <c r="AL403" s="217"/>
      <c r="AM403" s="218"/>
      <c r="AP403" s="245"/>
      <c r="AQ403" s="245"/>
      <c r="AR403" s="245"/>
      <c r="AS403" s="245"/>
      <c r="AT403" s="245"/>
      <c r="AU403" s="245"/>
      <c r="AV403" s="245"/>
      <c r="AW403" s="245"/>
      <c r="AX403" s="245"/>
      <c r="AY403" s="245"/>
      <c r="BA403" s="245"/>
      <c r="BB403" s="245"/>
      <c r="BC403" s="245"/>
      <c r="BD403" s="245"/>
      <c r="BE403" s="245"/>
    </row>
    <row r="404" spans="1:57" ht="14.25" hidden="1" customHeight="1" x14ac:dyDescent="0.2">
      <c r="A404" s="842"/>
      <c r="C404" s="279"/>
      <c r="D404" s="279"/>
      <c r="E404" s="199"/>
      <c r="I404" s="201"/>
      <c r="J404" s="223"/>
      <c r="K404" s="281"/>
      <c r="L404" s="225"/>
      <c r="M404" s="226"/>
      <c r="N404" s="209"/>
      <c r="O404" s="174"/>
      <c r="P404" s="209"/>
      <c r="Q404" s="209"/>
      <c r="R404" s="209"/>
      <c r="S404" s="209"/>
      <c r="U404" s="210"/>
      <c r="V404" s="211"/>
      <c r="W404" s="210"/>
      <c r="X404" s="210"/>
      <c r="Y404" s="210"/>
      <c r="Z404" s="212"/>
      <c r="AA404" s="210"/>
      <c r="AB404" s="213"/>
      <c r="AC404" s="214"/>
      <c r="AD404" s="214"/>
      <c r="AE404" s="215"/>
      <c r="AF404" s="214"/>
      <c r="AG404" s="214"/>
      <c r="AH404" s="215"/>
      <c r="AI404" s="216"/>
      <c r="AL404" s="217"/>
      <c r="AM404" s="218"/>
      <c r="AP404" s="245"/>
      <c r="AQ404" s="245"/>
      <c r="AR404" s="245"/>
      <c r="AS404" s="245"/>
      <c r="AT404" s="245"/>
      <c r="AU404" s="245"/>
      <c r="AV404" s="245"/>
      <c r="AW404" s="245"/>
      <c r="AX404" s="245"/>
      <c r="AY404" s="245"/>
      <c r="BA404" s="245"/>
      <c r="BB404" s="245"/>
      <c r="BC404" s="245"/>
      <c r="BD404" s="245"/>
      <c r="BE404" s="245"/>
    </row>
    <row r="405" spans="1:57" ht="14.25" hidden="1" customHeight="1" x14ac:dyDescent="0.2">
      <c r="A405" s="842"/>
      <c r="C405" s="279"/>
      <c r="D405" s="279"/>
      <c r="E405" s="199"/>
      <c r="I405" s="201"/>
      <c r="J405" s="223"/>
      <c r="K405" s="281"/>
      <c r="L405" s="225"/>
      <c r="M405" s="226"/>
      <c r="N405" s="209"/>
      <c r="O405" s="174"/>
      <c r="P405" s="209"/>
      <c r="Q405" s="209"/>
      <c r="R405" s="209"/>
      <c r="S405" s="209"/>
      <c r="U405" s="210"/>
      <c r="V405" s="211"/>
      <c r="W405" s="210"/>
      <c r="X405" s="210"/>
      <c r="Y405" s="210"/>
      <c r="Z405" s="212"/>
      <c r="AA405" s="210"/>
      <c r="AB405" s="213"/>
      <c r="AC405" s="214"/>
      <c r="AD405" s="214"/>
      <c r="AE405" s="215"/>
      <c r="AF405" s="214"/>
      <c r="AG405" s="214"/>
      <c r="AH405" s="215"/>
      <c r="AI405" s="216"/>
      <c r="AL405" s="217"/>
      <c r="AM405" s="218"/>
      <c r="AP405" s="245"/>
      <c r="AQ405" s="245"/>
      <c r="AR405" s="245"/>
      <c r="AS405" s="245"/>
      <c r="AT405" s="245"/>
      <c r="AU405" s="245"/>
      <c r="AV405" s="245"/>
      <c r="AW405" s="245"/>
      <c r="AX405" s="245"/>
      <c r="AY405" s="245"/>
      <c r="BA405" s="245"/>
      <c r="BB405" s="245"/>
      <c r="BC405" s="245"/>
      <c r="BD405" s="245"/>
      <c r="BE405" s="245"/>
    </row>
    <row r="406" spans="1:57" ht="14.25" hidden="1" customHeight="1" x14ac:dyDescent="0.2">
      <c r="A406" s="842"/>
      <c r="C406" s="279"/>
      <c r="D406" s="279"/>
      <c r="E406" s="199"/>
      <c r="I406" s="201"/>
      <c r="J406" s="169"/>
      <c r="K406" s="281"/>
      <c r="L406" s="228"/>
      <c r="M406" s="228"/>
      <c r="N406" s="228"/>
      <c r="O406" s="174"/>
      <c r="P406" s="209"/>
      <c r="Q406" s="209"/>
      <c r="R406" s="209"/>
      <c r="S406" s="209"/>
      <c r="U406" s="210"/>
      <c r="V406" s="211"/>
      <c r="W406" s="210"/>
      <c r="X406" s="210"/>
      <c r="Y406" s="210"/>
      <c r="Z406" s="212"/>
      <c r="AA406" s="210"/>
      <c r="AB406" s="213"/>
      <c r="AC406" s="214"/>
      <c r="AD406" s="214"/>
      <c r="AE406" s="215"/>
      <c r="AF406" s="214"/>
      <c r="AG406" s="214"/>
      <c r="AH406" s="215"/>
      <c r="AI406" s="216"/>
      <c r="AL406" s="217"/>
      <c r="AM406" s="218"/>
      <c r="AP406" s="245"/>
      <c r="AQ406" s="245"/>
      <c r="AR406" s="245"/>
      <c r="AS406" s="245"/>
      <c r="AT406" s="245"/>
      <c r="AU406" s="245"/>
      <c r="AV406" s="245"/>
      <c r="AW406" s="245"/>
      <c r="AX406" s="245"/>
      <c r="AY406" s="245"/>
      <c r="BA406" s="245"/>
      <c r="BB406" s="245"/>
      <c r="BC406" s="245"/>
      <c r="BD406" s="245"/>
      <c r="BE406" s="245"/>
    </row>
    <row r="407" spans="1:57" ht="14.25" hidden="1" customHeight="1" x14ac:dyDescent="0.2">
      <c r="A407" s="842"/>
      <c r="E407" s="247"/>
      <c r="F407" s="248"/>
      <c r="G407" s="248"/>
      <c r="H407" s="248"/>
      <c r="I407" s="247"/>
      <c r="J407" s="172"/>
      <c r="K407" s="228"/>
      <c r="L407" s="228"/>
      <c r="M407" s="228"/>
      <c r="N407" s="228"/>
      <c r="O407" s="174"/>
      <c r="P407" s="209"/>
      <c r="Q407" s="209"/>
      <c r="R407" s="209"/>
      <c r="S407" s="209"/>
      <c r="W407" s="231"/>
      <c r="AC407" s="233"/>
      <c r="AD407" s="233"/>
      <c r="AE407" s="234"/>
      <c r="AF407" s="233"/>
      <c r="AG407" s="233"/>
      <c r="AH407" s="234"/>
      <c r="AI407" s="234"/>
      <c r="AP407" s="245"/>
      <c r="AQ407" s="245"/>
      <c r="AR407" s="245"/>
      <c r="AS407" s="245"/>
      <c r="AT407" s="245"/>
      <c r="AU407" s="245"/>
      <c r="AV407" s="245"/>
      <c r="AW407" s="245"/>
      <c r="AX407" s="245"/>
      <c r="AY407" s="245"/>
      <c r="BA407" s="245"/>
      <c r="BB407" s="245"/>
      <c r="BC407" s="245"/>
      <c r="BD407" s="245"/>
      <c r="BE407" s="245"/>
    </row>
    <row r="408" spans="1:57" ht="14.25" hidden="1" customHeight="1" x14ac:dyDescent="0.2">
      <c r="A408" s="842"/>
      <c r="E408" s="224"/>
      <c r="F408" s="225"/>
      <c r="G408" s="226"/>
      <c r="H408" s="209"/>
      <c r="I408" s="227"/>
      <c r="J408" s="169"/>
      <c r="K408" s="228"/>
      <c r="L408" s="225"/>
      <c r="M408" s="226"/>
      <c r="N408" s="209"/>
      <c r="O408" s="174"/>
      <c r="P408" s="209"/>
      <c r="Q408" s="209"/>
      <c r="R408" s="209"/>
      <c r="S408" s="209"/>
      <c r="W408" s="231"/>
      <c r="AC408" s="233"/>
      <c r="AD408" s="233"/>
      <c r="AE408" s="234"/>
      <c r="AF408" s="233"/>
      <c r="AG408" s="233"/>
      <c r="AH408" s="234"/>
      <c r="AI408" s="197"/>
      <c r="AP408" s="245"/>
      <c r="AQ408" s="245"/>
      <c r="AR408" s="245"/>
      <c r="AS408" s="245"/>
      <c r="AT408" s="245"/>
      <c r="AU408" s="245"/>
      <c r="AV408" s="245"/>
      <c r="AW408" s="245"/>
      <c r="AX408" s="245"/>
      <c r="AY408" s="245"/>
      <c r="BA408" s="245"/>
      <c r="BB408" s="245"/>
      <c r="BC408" s="245"/>
      <c r="BD408" s="245"/>
      <c r="BE408" s="245"/>
    </row>
    <row r="409" spans="1:57" ht="14.25" hidden="1" customHeight="1" x14ac:dyDescent="0.2">
      <c r="A409" s="842"/>
      <c r="B409" s="187"/>
      <c r="C409" s="188"/>
      <c r="D409" s="188"/>
      <c r="E409" s="844"/>
      <c r="F409" s="844"/>
      <c r="G409" s="844"/>
      <c r="H409" s="844"/>
      <c r="I409" s="189"/>
      <c r="J409" s="190"/>
      <c r="K409" s="191"/>
      <c r="L409" s="192"/>
      <c r="U409" s="229"/>
      <c r="V409" s="230"/>
      <c r="W409" s="231"/>
      <c r="X409" s="231"/>
      <c r="Y409" s="231"/>
      <c r="Z409" s="232"/>
      <c r="AA409" s="231"/>
      <c r="AC409" s="197"/>
      <c r="AD409" s="197"/>
      <c r="AE409" s="197"/>
      <c r="AF409" s="197"/>
      <c r="AG409" s="197"/>
      <c r="AH409" s="197"/>
      <c r="AI409" s="197"/>
      <c r="AQ409" s="245"/>
      <c r="AR409" s="245"/>
      <c r="AS409" s="245"/>
      <c r="AT409" s="245"/>
    </row>
    <row r="410" spans="1:57" ht="9" hidden="1" customHeight="1" x14ac:dyDescent="0.2">
      <c r="A410" s="842"/>
      <c r="J410" s="169"/>
      <c r="K410" s="228"/>
      <c r="L410" s="225"/>
      <c r="M410" s="226"/>
      <c r="N410" s="209"/>
      <c r="O410" s="174"/>
      <c r="P410" s="209"/>
      <c r="Q410" s="209"/>
      <c r="R410" s="209"/>
      <c r="S410" s="209"/>
      <c r="AP410" s="245"/>
      <c r="AQ410" s="245"/>
      <c r="AR410" s="245"/>
      <c r="AS410" s="245"/>
      <c r="AT410" s="245"/>
      <c r="AU410" s="245"/>
      <c r="AV410" s="245"/>
      <c r="AW410" s="245"/>
      <c r="AX410" s="245"/>
      <c r="AY410" s="245"/>
      <c r="BA410" s="245"/>
      <c r="BB410" s="245"/>
      <c r="BC410" s="245"/>
      <c r="BD410" s="245"/>
      <c r="BE410" s="245"/>
    </row>
    <row r="411" spans="1:57" ht="14.25" hidden="1" customHeight="1" x14ac:dyDescent="0.2">
      <c r="A411" s="842"/>
      <c r="C411" s="279"/>
      <c r="D411" s="279"/>
      <c r="E411" s="199"/>
      <c r="I411" s="201"/>
      <c r="J411" s="207"/>
      <c r="K411" s="280"/>
      <c r="L411" s="225"/>
      <c r="M411" s="226"/>
      <c r="N411" s="209"/>
      <c r="O411" s="174"/>
      <c r="P411" s="209"/>
      <c r="Q411" s="209"/>
      <c r="R411" s="209"/>
      <c r="S411" s="209"/>
      <c r="U411" s="210"/>
      <c r="V411" s="211"/>
      <c r="W411" s="210"/>
      <c r="X411" s="210"/>
      <c r="Y411" s="210"/>
      <c r="Z411" s="212"/>
      <c r="AA411" s="210"/>
      <c r="AB411" s="213"/>
      <c r="AC411" s="214"/>
      <c r="AD411" s="214"/>
      <c r="AE411" s="215"/>
      <c r="AF411" s="214"/>
      <c r="AG411" s="214"/>
      <c r="AH411" s="215"/>
      <c r="AI411" s="216"/>
      <c r="AL411" s="217"/>
      <c r="AM411" s="218"/>
      <c r="AQ411" s="245"/>
      <c r="AR411" s="245"/>
      <c r="AS411" s="245"/>
      <c r="AT411" s="245"/>
    </row>
    <row r="412" spans="1:57" ht="14.25" hidden="1" customHeight="1" x14ac:dyDescent="0.2">
      <c r="A412" s="842"/>
      <c r="C412" s="279"/>
      <c r="D412" s="279"/>
      <c r="E412" s="199"/>
      <c r="I412" s="201"/>
      <c r="J412" s="207"/>
      <c r="K412" s="281"/>
      <c r="L412" s="225"/>
      <c r="M412" s="226"/>
      <c r="N412" s="209"/>
      <c r="O412" s="174"/>
      <c r="U412" s="210"/>
      <c r="V412" s="211"/>
      <c r="W412" s="210"/>
      <c r="X412" s="210"/>
      <c r="Y412" s="210"/>
      <c r="Z412" s="212"/>
      <c r="AA412" s="210"/>
      <c r="AB412" s="213"/>
      <c r="AC412" s="214"/>
      <c r="AD412" s="214"/>
      <c r="AE412" s="215"/>
      <c r="AF412" s="214"/>
      <c r="AG412" s="214"/>
      <c r="AH412" s="215"/>
      <c r="AI412" s="216"/>
      <c r="AL412" s="217"/>
      <c r="AM412" s="218"/>
    </row>
    <row r="413" spans="1:57" ht="14.25" hidden="1" customHeight="1" x14ac:dyDescent="0.2">
      <c r="A413" s="842"/>
      <c r="C413" s="279"/>
      <c r="D413" s="279"/>
      <c r="E413" s="199"/>
      <c r="I413" s="201"/>
      <c r="J413" s="207"/>
      <c r="K413" s="281"/>
      <c r="L413" s="225"/>
      <c r="M413" s="226"/>
      <c r="N413" s="209"/>
      <c r="O413" s="174"/>
      <c r="U413" s="210"/>
      <c r="V413" s="211"/>
      <c r="W413" s="210"/>
      <c r="X413" s="210"/>
      <c r="Y413" s="210"/>
      <c r="Z413" s="212"/>
      <c r="AA413" s="210"/>
      <c r="AB413" s="213"/>
      <c r="AC413" s="214"/>
      <c r="AD413" s="214"/>
      <c r="AE413" s="215"/>
      <c r="AF413" s="214"/>
      <c r="AG413" s="214"/>
      <c r="AH413" s="215"/>
      <c r="AI413" s="216"/>
      <c r="AL413" s="217"/>
      <c r="AM413" s="218"/>
    </row>
    <row r="414" spans="1:57" ht="14.25" hidden="1" customHeight="1" x14ac:dyDescent="0.2">
      <c r="A414" s="842"/>
      <c r="C414" s="279"/>
      <c r="D414" s="279"/>
      <c r="E414" s="199"/>
      <c r="I414" s="201"/>
      <c r="J414" s="207"/>
      <c r="K414" s="281"/>
      <c r="L414" s="225"/>
      <c r="M414" s="226"/>
      <c r="N414" s="209"/>
      <c r="O414" s="174"/>
      <c r="U414" s="210"/>
      <c r="V414" s="211"/>
      <c r="W414" s="210"/>
      <c r="X414" s="210"/>
      <c r="Y414" s="210"/>
      <c r="Z414" s="212"/>
      <c r="AA414" s="210"/>
      <c r="AB414" s="213"/>
      <c r="AC414" s="214"/>
      <c r="AD414" s="214"/>
      <c r="AE414" s="215"/>
      <c r="AF414" s="214"/>
      <c r="AG414" s="214"/>
      <c r="AH414" s="215"/>
      <c r="AI414" s="216"/>
      <c r="AL414" s="217"/>
      <c r="AM414" s="218"/>
      <c r="AP414" s="245"/>
      <c r="AQ414" s="245"/>
      <c r="AR414" s="245"/>
      <c r="AS414" s="245"/>
      <c r="AT414" s="245"/>
      <c r="AU414" s="245"/>
      <c r="AV414" s="245"/>
      <c r="AW414" s="245"/>
      <c r="AX414" s="245"/>
      <c r="AY414" s="245"/>
      <c r="BA414" s="245"/>
      <c r="BB414" s="245"/>
      <c r="BC414" s="245"/>
      <c r="BD414" s="245"/>
      <c r="BE414" s="245"/>
    </row>
    <row r="415" spans="1:57" ht="14.25" hidden="1" customHeight="1" x14ac:dyDescent="0.2">
      <c r="A415" s="842"/>
      <c r="C415" s="279"/>
      <c r="D415" s="279"/>
      <c r="E415" s="199"/>
      <c r="I415" s="201"/>
      <c r="J415" s="223"/>
      <c r="K415" s="281"/>
      <c r="L415" s="225"/>
      <c r="M415" s="226"/>
      <c r="N415" s="209"/>
      <c r="O415" s="174"/>
      <c r="P415" s="209"/>
      <c r="Q415" s="209"/>
      <c r="R415" s="209"/>
      <c r="S415" s="209"/>
      <c r="U415" s="210"/>
      <c r="V415" s="211"/>
      <c r="W415" s="210"/>
      <c r="X415" s="210"/>
      <c r="Y415" s="210"/>
      <c r="Z415" s="212"/>
      <c r="AA415" s="210"/>
      <c r="AB415" s="213"/>
      <c r="AC415" s="214"/>
      <c r="AD415" s="214"/>
      <c r="AE415" s="215"/>
      <c r="AF415" s="214"/>
      <c r="AG415" s="214"/>
      <c r="AH415" s="215"/>
      <c r="AI415" s="216"/>
      <c r="AL415" s="217"/>
      <c r="AM415" s="218"/>
      <c r="AP415" s="245"/>
      <c r="AQ415" s="245"/>
      <c r="AR415" s="245"/>
      <c r="AS415" s="245"/>
      <c r="AT415" s="245"/>
      <c r="AU415" s="245"/>
      <c r="AV415" s="245"/>
      <c r="AW415" s="245"/>
      <c r="AX415" s="245"/>
      <c r="AY415" s="245"/>
      <c r="BA415" s="245"/>
      <c r="BB415" s="245"/>
      <c r="BC415" s="245"/>
      <c r="BD415" s="245"/>
      <c r="BE415" s="245"/>
    </row>
    <row r="416" spans="1:57" ht="14.25" hidden="1" customHeight="1" x14ac:dyDescent="0.2">
      <c r="A416" s="842"/>
      <c r="C416" s="279"/>
      <c r="D416" s="279"/>
      <c r="E416" s="199"/>
      <c r="I416" s="201"/>
      <c r="J416" s="223"/>
      <c r="K416" s="281"/>
      <c r="L416" s="225"/>
      <c r="M416" s="226"/>
      <c r="N416" s="209"/>
      <c r="O416" s="174"/>
      <c r="P416" s="209"/>
      <c r="Q416" s="209"/>
      <c r="R416" s="209"/>
      <c r="S416" s="209"/>
      <c r="U416" s="210"/>
      <c r="V416" s="211"/>
      <c r="W416" s="210"/>
      <c r="X416" s="210"/>
      <c r="Y416" s="210"/>
      <c r="Z416" s="212"/>
      <c r="AA416" s="210"/>
      <c r="AB416" s="213"/>
      <c r="AC416" s="214"/>
      <c r="AD416" s="214"/>
      <c r="AE416" s="215"/>
      <c r="AF416" s="214"/>
      <c r="AG416" s="214"/>
      <c r="AH416" s="215"/>
      <c r="AI416" s="216"/>
      <c r="AL416" s="217"/>
      <c r="AM416" s="218"/>
      <c r="AP416" s="245"/>
      <c r="AQ416" s="245"/>
      <c r="AR416" s="245"/>
      <c r="AS416" s="245"/>
      <c r="AT416" s="245"/>
      <c r="AU416" s="245"/>
      <c r="AV416" s="245"/>
      <c r="AW416" s="245"/>
      <c r="AX416" s="245"/>
      <c r="AY416" s="245"/>
      <c r="BA416" s="245"/>
      <c r="BB416" s="245"/>
      <c r="BC416" s="245"/>
      <c r="BD416" s="245"/>
      <c r="BE416" s="245"/>
    </row>
    <row r="417" spans="1:57" ht="14.25" hidden="1" customHeight="1" x14ac:dyDescent="0.2">
      <c r="A417" s="842"/>
      <c r="C417" s="279"/>
      <c r="D417" s="279"/>
      <c r="E417" s="199"/>
      <c r="I417" s="201"/>
      <c r="J417" s="223"/>
      <c r="K417" s="282"/>
      <c r="L417" s="225"/>
      <c r="M417" s="226"/>
      <c r="N417" s="209"/>
      <c r="O417" s="174"/>
      <c r="P417" s="209"/>
      <c r="Q417" s="209"/>
      <c r="R417" s="209"/>
      <c r="S417" s="209"/>
      <c r="U417" s="210"/>
      <c r="V417" s="211"/>
      <c r="W417" s="210"/>
      <c r="X417" s="210"/>
      <c r="Y417" s="210"/>
      <c r="Z417" s="212"/>
      <c r="AA417" s="210"/>
      <c r="AB417" s="213"/>
      <c r="AC417" s="214"/>
      <c r="AD417" s="214"/>
      <c r="AE417" s="215"/>
      <c r="AF417" s="214"/>
      <c r="AG417" s="214"/>
      <c r="AH417" s="215"/>
      <c r="AI417" s="216"/>
      <c r="AL417" s="217"/>
      <c r="AM417" s="218"/>
      <c r="AP417" s="245"/>
      <c r="AQ417" s="245"/>
      <c r="AR417" s="245"/>
      <c r="AS417" s="245"/>
      <c r="AT417" s="245"/>
      <c r="AU417" s="245"/>
      <c r="AV417" s="245"/>
      <c r="AW417" s="245"/>
      <c r="AX417" s="245"/>
      <c r="AY417" s="245"/>
      <c r="BA417" s="245"/>
      <c r="BB417" s="245"/>
      <c r="BC417" s="245"/>
      <c r="BD417" s="245"/>
      <c r="BE417" s="245"/>
    </row>
    <row r="418" spans="1:57" ht="14.25" hidden="1" customHeight="1" x14ac:dyDescent="0.2">
      <c r="A418" s="842"/>
      <c r="C418" s="279"/>
      <c r="D418" s="279"/>
      <c r="E418" s="199"/>
      <c r="I418" s="201"/>
      <c r="J418" s="223"/>
      <c r="K418" s="281"/>
      <c r="L418" s="225"/>
      <c r="M418" s="226"/>
      <c r="N418" s="209"/>
      <c r="O418" s="174"/>
      <c r="P418" s="209"/>
      <c r="Q418" s="209"/>
      <c r="R418" s="209"/>
      <c r="S418" s="209"/>
      <c r="U418" s="210"/>
      <c r="V418" s="211"/>
      <c r="W418" s="210"/>
      <c r="X418" s="210"/>
      <c r="Y418" s="210"/>
      <c r="Z418" s="212"/>
      <c r="AA418" s="210"/>
      <c r="AB418" s="213"/>
      <c r="AC418" s="214"/>
      <c r="AD418" s="214"/>
      <c r="AE418" s="215"/>
      <c r="AF418" s="214"/>
      <c r="AG418" s="214"/>
      <c r="AH418" s="215"/>
      <c r="AI418" s="216"/>
      <c r="AL418" s="217"/>
      <c r="AM418" s="218"/>
      <c r="AP418" s="245"/>
      <c r="AQ418" s="245"/>
      <c r="AR418" s="245"/>
      <c r="AS418" s="245"/>
      <c r="AT418" s="245"/>
      <c r="AU418" s="245"/>
      <c r="AV418" s="245"/>
      <c r="AW418" s="245"/>
      <c r="AX418" s="245"/>
      <c r="AY418" s="245"/>
      <c r="BA418" s="245"/>
      <c r="BB418" s="245"/>
      <c r="BC418" s="245"/>
      <c r="BD418" s="245"/>
      <c r="BE418" s="245"/>
    </row>
    <row r="419" spans="1:57" ht="14.25" hidden="1" customHeight="1" x14ac:dyDescent="0.2">
      <c r="A419" s="842"/>
      <c r="C419" s="279"/>
      <c r="D419" s="279"/>
      <c r="E419" s="199"/>
      <c r="I419" s="201"/>
      <c r="J419" s="223"/>
      <c r="K419" s="281"/>
      <c r="L419" s="225"/>
      <c r="M419" s="226"/>
      <c r="N419" s="209"/>
      <c r="O419" s="174"/>
      <c r="P419" s="209"/>
      <c r="Q419" s="209"/>
      <c r="R419" s="209"/>
      <c r="S419" s="209"/>
      <c r="U419" s="210"/>
      <c r="V419" s="211"/>
      <c r="W419" s="210"/>
      <c r="X419" s="210"/>
      <c r="Y419" s="210"/>
      <c r="Z419" s="212"/>
      <c r="AA419" s="210"/>
      <c r="AB419" s="213"/>
      <c r="AC419" s="214"/>
      <c r="AD419" s="214"/>
      <c r="AE419" s="215"/>
      <c r="AF419" s="214"/>
      <c r="AG419" s="214"/>
      <c r="AH419" s="215"/>
      <c r="AI419" s="216"/>
      <c r="AL419" s="217"/>
      <c r="AM419" s="218"/>
      <c r="AP419" s="245"/>
      <c r="AQ419" s="245"/>
      <c r="AR419" s="245"/>
      <c r="AS419" s="245"/>
      <c r="AT419" s="245"/>
      <c r="AU419" s="245"/>
      <c r="AV419" s="245"/>
      <c r="AW419" s="245"/>
      <c r="AX419" s="245"/>
      <c r="AY419" s="245"/>
      <c r="BA419" s="245"/>
      <c r="BB419" s="245"/>
      <c r="BC419" s="245"/>
      <c r="BD419" s="245"/>
      <c r="BE419" s="245"/>
    </row>
    <row r="420" spans="1:57" ht="14.25" hidden="1" customHeight="1" x14ac:dyDescent="0.2">
      <c r="A420" s="842"/>
      <c r="C420" s="279"/>
      <c r="D420" s="279"/>
      <c r="E420" s="199"/>
      <c r="I420" s="201"/>
      <c r="J420" s="223"/>
      <c r="K420" s="281"/>
      <c r="L420" s="225"/>
      <c r="M420" s="226"/>
      <c r="N420" s="209"/>
      <c r="O420" s="174"/>
      <c r="P420" s="209"/>
      <c r="Q420" s="209"/>
      <c r="R420" s="209"/>
      <c r="S420" s="209"/>
      <c r="U420" s="210"/>
      <c r="V420" s="211"/>
      <c r="W420" s="210"/>
      <c r="X420" s="210"/>
      <c r="Y420" s="210"/>
      <c r="Z420" s="212"/>
      <c r="AA420" s="210"/>
      <c r="AB420" s="213"/>
      <c r="AC420" s="214"/>
      <c r="AD420" s="214"/>
      <c r="AE420" s="215"/>
      <c r="AF420" s="214"/>
      <c r="AG420" s="214"/>
      <c r="AH420" s="215"/>
      <c r="AI420" s="216"/>
      <c r="AL420" s="217"/>
      <c r="AM420" s="218"/>
      <c r="AP420" s="245"/>
      <c r="AQ420" s="245"/>
      <c r="AR420" s="245"/>
      <c r="AS420" s="245"/>
      <c r="AT420" s="245"/>
      <c r="AU420" s="245"/>
      <c r="AV420" s="245"/>
      <c r="AW420" s="245"/>
      <c r="AX420" s="245"/>
      <c r="AY420" s="245"/>
      <c r="BA420" s="245"/>
      <c r="BB420" s="245"/>
      <c r="BC420" s="245"/>
      <c r="BD420" s="245"/>
      <c r="BE420" s="245"/>
    </row>
    <row r="421" spans="1:57" ht="14.25" hidden="1" customHeight="1" x14ac:dyDescent="0.2">
      <c r="A421" s="842"/>
      <c r="C421" s="279"/>
      <c r="D421" s="279"/>
      <c r="E421" s="199"/>
      <c r="I421" s="201"/>
      <c r="J421" s="223"/>
      <c r="K421" s="281"/>
      <c r="L421" s="225"/>
      <c r="M421" s="226"/>
      <c r="N421" s="209"/>
      <c r="O421" s="174"/>
      <c r="P421" s="209"/>
      <c r="Q421" s="209"/>
      <c r="R421" s="209"/>
      <c r="S421" s="209"/>
      <c r="U421" s="210"/>
      <c r="V421" s="211"/>
      <c r="W421" s="210"/>
      <c r="X421" s="210"/>
      <c r="Y421" s="210"/>
      <c r="Z421" s="212"/>
      <c r="AA421" s="210"/>
      <c r="AB421" s="213"/>
      <c r="AC421" s="214"/>
      <c r="AD421" s="214"/>
      <c r="AE421" s="215"/>
      <c r="AF421" s="214"/>
      <c r="AG421" s="214"/>
      <c r="AH421" s="215"/>
      <c r="AI421" s="216"/>
      <c r="AL421" s="217"/>
      <c r="AM421" s="218"/>
      <c r="AP421" s="245"/>
      <c r="AQ421" s="245"/>
      <c r="AR421" s="245"/>
      <c r="AS421" s="245"/>
      <c r="AT421" s="245"/>
      <c r="AU421" s="245"/>
      <c r="AV421" s="245"/>
      <c r="AW421" s="245"/>
      <c r="AX421" s="245"/>
      <c r="AY421" s="245"/>
      <c r="BA421" s="245"/>
      <c r="BB421" s="245"/>
      <c r="BC421" s="245"/>
      <c r="BD421" s="245"/>
      <c r="BE421" s="245"/>
    </row>
    <row r="422" spans="1:57" ht="14.25" hidden="1" customHeight="1" x14ac:dyDescent="0.2">
      <c r="A422" s="842"/>
      <c r="C422" s="279"/>
      <c r="D422" s="279"/>
      <c r="E422" s="199"/>
      <c r="I422" s="201"/>
      <c r="J422" s="169"/>
      <c r="K422" s="281"/>
      <c r="L422" s="228"/>
      <c r="M422" s="228"/>
      <c r="N422" s="228"/>
      <c r="O422" s="174"/>
      <c r="P422" s="209"/>
      <c r="Q422" s="209"/>
      <c r="R422" s="209"/>
      <c r="S422" s="209"/>
      <c r="U422" s="210"/>
      <c r="V422" s="211"/>
      <c r="W422" s="210"/>
      <c r="X422" s="210"/>
      <c r="Y422" s="210"/>
      <c r="Z422" s="212"/>
      <c r="AA422" s="210"/>
      <c r="AB422" s="213"/>
      <c r="AC422" s="214"/>
      <c r="AD422" s="214"/>
      <c r="AE422" s="215"/>
      <c r="AF422" s="214"/>
      <c r="AG422" s="214"/>
      <c r="AH422" s="215"/>
      <c r="AI422" s="216"/>
      <c r="AL422" s="217"/>
      <c r="AM422" s="218"/>
      <c r="AP422" s="245"/>
      <c r="AQ422" s="245"/>
      <c r="AR422" s="245"/>
      <c r="AS422" s="245"/>
      <c r="AT422" s="245"/>
      <c r="AU422" s="245"/>
      <c r="AV422" s="245"/>
      <c r="AW422" s="245"/>
      <c r="AX422" s="245"/>
      <c r="AY422" s="245"/>
      <c r="BA422" s="245"/>
      <c r="BB422" s="245"/>
      <c r="BC422" s="245"/>
      <c r="BD422" s="245"/>
      <c r="BE422" s="245"/>
    </row>
    <row r="423" spans="1:57" ht="14.25" hidden="1" customHeight="1" x14ac:dyDescent="0.2">
      <c r="A423" s="842"/>
      <c r="E423" s="247"/>
      <c r="F423" s="248"/>
      <c r="G423" s="248"/>
      <c r="H423" s="248"/>
      <c r="I423" s="247"/>
      <c r="J423" s="172"/>
      <c r="K423" s="228"/>
      <c r="L423" s="228"/>
      <c r="M423" s="228"/>
      <c r="N423" s="228"/>
      <c r="O423" s="174"/>
      <c r="P423" s="209"/>
      <c r="Q423" s="209"/>
      <c r="R423" s="209"/>
      <c r="S423" s="209"/>
      <c r="W423" s="231"/>
      <c r="AC423" s="233"/>
      <c r="AD423" s="233"/>
      <c r="AE423" s="234"/>
      <c r="AF423" s="233"/>
      <c r="AG423" s="233"/>
      <c r="AH423" s="234"/>
      <c r="AI423" s="234"/>
      <c r="AP423" s="245"/>
      <c r="AQ423" s="245"/>
      <c r="AR423" s="245"/>
      <c r="AS423" s="245"/>
      <c r="AT423" s="245"/>
      <c r="AU423" s="245"/>
      <c r="AV423" s="245"/>
      <c r="AW423" s="245"/>
      <c r="AX423" s="245"/>
      <c r="AY423" s="245"/>
      <c r="BA423" s="245"/>
      <c r="BB423" s="245"/>
      <c r="BC423" s="245"/>
      <c r="BD423" s="245"/>
      <c r="BE423" s="245"/>
    </row>
    <row r="424" spans="1:57" ht="14.25" hidden="1" customHeight="1" x14ac:dyDescent="0.2">
      <c r="A424" s="842"/>
      <c r="E424" s="224"/>
      <c r="F424" s="225"/>
      <c r="G424" s="226"/>
      <c r="H424" s="209"/>
      <c r="I424" s="227"/>
      <c r="J424" s="169"/>
      <c r="K424" s="228"/>
      <c r="L424" s="225"/>
      <c r="M424" s="226"/>
      <c r="N424" s="209"/>
      <c r="O424" s="174"/>
      <c r="P424" s="209"/>
      <c r="Q424" s="209"/>
      <c r="R424" s="209"/>
      <c r="S424" s="209"/>
      <c r="W424" s="231"/>
      <c r="AC424" s="233"/>
      <c r="AD424" s="233"/>
      <c r="AE424" s="234"/>
      <c r="AF424" s="233"/>
      <c r="AG424" s="233"/>
      <c r="AH424" s="234"/>
      <c r="AI424" s="197"/>
      <c r="AP424" s="245"/>
      <c r="AQ424" s="245"/>
      <c r="AR424" s="245"/>
      <c r="AS424" s="245"/>
      <c r="AT424" s="245"/>
      <c r="AU424" s="245"/>
      <c r="AV424" s="245"/>
      <c r="AW424" s="245"/>
      <c r="AX424" s="245"/>
      <c r="AY424" s="245"/>
      <c r="BA424" s="245"/>
      <c r="BB424" s="245"/>
      <c r="BC424" s="245"/>
      <c r="BD424" s="245"/>
      <c r="BE424" s="245"/>
    </row>
    <row r="425" spans="1:57" ht="14.25" hidden="1" customHeight="1" x14ac:dyDescent="0.2">
      <c r="A425" s="842"/>
      <c r="B425" s="187"/>
      <c r="C425" s="188"/>
      <c r="D425" s="188"/>
      <c r="E425" s="844"/>
      <c r="F425" s="844"/>
      <c r="G425" s="844"/>
      <c r="H425" s="844"/>
      <c r="I425" s="189"/>
      <c r="J425" s="190"/>
      <c r="K425" s="191"/>
      <c r="L425" s="192"/>
      <c r="U425" s="229"/>
      <c r="V425" s="230"/>
      <c r="W425" s="231"/>
      <c r="X425" s="231"/>
      <c r="Y425" s="231"/>
      <c r="Z425" s="232"/>
      <c r="AA425" s="231"/>
      <c r="AC425" s="197"/>
      <c r="AD425" s="197"/>
      <c r="AE425" s="197"/>
      <c r="AF425" s="197"/>
      <c r="AG425" s="197"/>
      <c r="AH425" s="197"/>
      <c r="AI425" s="197"/>
      <c r="AQ425" s="245"/>
      <c r="AR425" s="245"/>
      <c r="AS425" s="245"/>
      <c r="AT425" s="245"/>
    </row>
    <row r="426" spans="1:57" ht="9" hidden="1" customHeight="1" x14ac:dyDescent="0.2">
      <c r="A426" s="842"/>
      <c r="J426" s="169"/>
      <c r="K426" s="228"/>
      <c r="L426" s="225"/>
      <c r="M426" s="226"/>
      <c r="N426" s="209"/>
      <c r="O426" s="174"/>
      <c r="P426" s="209"/>
      <c r="Q426" s="209"/>
      <c r="R426" s="209"/>
      <c r="S426" s="209"/>
      <c r="AP426" s="245"/>
      <c r="AQ426" s="245"/>
      <c r="AR426" s="245"/>
      <c r="AS426" s="245"/>
      <c r="AT426" s="245"/>
      <c r="AU426" s="245"/>
      <c r="AV426" s="245"/>
      <c r="AW426" s="245"/>
      <c r="AX426" s="245"/>
      <c r="AY426" s="245"/>
      <c r="BA426" s="245"/>
      <c r="BB426" s="245"/>
      <c r="BC426" s="245"/>
      <c r="BD426" s="245"/>
      <c r="BE426" s="245"/>
    </row>
    <row r="427" spans="1:57" ht="14.25" hidden="1" customHeight="1" x14ac:dyDescent="0.2">
      <c r="A427" s="842"/>
      <c r="C427" s="279"/>
      <c r="D427" s="279"/>
      <c r="E427" s="199"/>
      <c r="I427" s="201"/>
      <c r="J427" s="207"/>
      <c r="K427" s="280"/>
      <c r="L427" s="225"/>
      <c r="M427" s="226"/>
      <c r="N427" s="209"/>
      <c r="O427" s="174"/>
      <c r="P427" s="209"/>
      <c r="Q427" s="209"/>
      <c r="R427" s="209"/>
      <c r="S427" s="209"/>
      <c r="U427" s="210"/>
      <c r="V427" s="211"/>
      <c r="W427" s="210"/>
      <c r="X427" s="210"/>
      <c r="Y427" s="210"/>
      <c r="Z427" s="212"/>
      <c r="AA427" s="210"/>
      <c r="AB427" s="213"/>
      <c r="AC427" s="214"/>
      <c r="AD427" s="214"/>
      <c r="AE427" s="215"/>
      <c r="AF427" s="214"/>
      <c r="AG427" s="214"/>
      <c r="AH427" s="215"/>
      <c r="AI427" s="216"/>
      <c r="AL427" s="217"/>
      <c r="AM427" s="218"/>
      <c r="AQ427" s="245"/>
      <c r="AR427" s="245"/>
      <c r="AS427" s="245"/>
      <c r="AT427" s="245"/>
    </row>
    <row r="428" spans="1:57" ht="14.25" hidden="1" customHeight="1" x14ac:dyDescent="0.2">
      <c r="A428" s="842"/>
      <c r="C428" s="279"/>
      <c r="D428" s="279"/>
      <c r="E428" s="199"/>
      <c r="I428" s="201"/>
      <c r="J428" s="207"/>
      <c r="K428" s="281"/>
      <c r="L428" s="225"/>
      <c r="M428" s="226"/>
      <c r="N428" s="209"/>
      <c r="O428" s="174"/>
      <c r="U428" s="210"/>
      <c r="V428" s="211"/>
      <c r="W428" s="210"/>
      <c r="X428" s="210"/>
      <c r="Y428" s="210"/>
      <c r="Z428" s="212"/>
      <c r="AA428" s="210"/>
      <c r="AB428" s="213"/>
      <c r="AC428" s="214"/>
      <c r="AD428" s="214"/>
      <c r="AE428" s="215"/>
      <c r="AF428" s="214"/>
      <c r="AG428" s="214"/>
      <c r="AH428" s="215"/>
      <c r="AI428" s="216"/>
      <c r="AL428" s="217"/>
      <c r="AM428" s="218"/>
    </row>
    <row r="429" spans="1:57" ht="14.25" hidden="1" customHeight="1" x14ac:dyDescent="0.2">
      <c r="A429" s="842"/>
      <c r="C429" s="279"/>
      <c r="D429" s="279"/>
      <c r="E429" s="199"/>
      <c r="I429" s="201"/>
      <c r="J429" s="207"/>
      <c r="K429" s="281"/>
      <c r="L429" s="225"/>
      <c r="M429" s="226"/>
      <c r="N429" s="209"/>
      <c r="O429" s="174"/>
      <c r="U429" s="210"/>
      <c r="V429" s="211"/>
      <c r="W429" s="210"/>
      <c r="X429" s="210"/>
      <c r="Y429" s="210"/>
      <c r="Z429" s="212"/>
      <c r="AA429" s="210"/>
      <c r="AB429" s="213"/>
      <c r="AC429" s="214"/>
      <c r="AD429" s="214"/>
      <c r="AE429" s="215"/>
      <c r="AF429" s="214"/>
      <c r="AG429" s="214"/>
      <c r="AH429" s="215"/>
      <c r="AI429" s="216"/>
      <c r="AL429" s="217"/>
      <c r="AM429" s="218"/>
    </row>
    <row r="430" spans="1:57" ht="14.25" hidden="1" customHeight="1" x14ac:dyDescent="0.2">
      <c r="A430" s="842"/>
      <c r="C430" s="279"/>
      <c r="D430" s="279"/>
      <c r="E430" s="199"/>
      <c r="I430" s="201"/>
      <c r="J430" s="207"/>
      <c r="K430" s="281"/>
      <c r="L430" s="225"/>
      <c r="M430" s="226"/>
      <c r="N430" s="209"/>
      <c r="O430" s="174"/>
      <c r="U430" s="210"/>
      <c r="V430" s="211"/>
      <c r="W430" s="210"/>
      <c r="X430" s="210"/>
      <c r="Y430" s="210"/>
      <c r="Z430" s="212"/>
      <c r="AA430" s="210"/>
      <c r="AB430" s="213"/>
      <c r="AC430" s="214"/>
      <c r="AD430" s="214"/>
      <c r="AE430" s="215"/>
      <c r="AF430" s="214"/>
      <c r="AG430" s="214"/>
      <c r="AH430" s="215"/>
      <c r="AI430" s="216"/>
      <c r="AL430" s="217"/>
      <c r="AM430" s="218"/>
      <c r="AP430" s="245"/>
      <c r="AQ430" s="245"/>
      <c r="AR430" s="245"/>
      <c r="AS430" s="245"/>
      <c r="AT430" s="245"/>
      <c r="AU430" s="245"/>
      <c r="AV430" s="245"/>
      <c r="AW430" s="245"/>
      <c r="AX430" s="245"/>
      <c r="AY430" s="245"/>
      <c r="BA430" s="245"/>
      <c r="BB430" s="245"/>
      <c r="BC430" s="245"/>
      <c r="BD430" s="245"/>
      <c r="BE430" s="245"/>
    </row>
    <row r="431" spans="1:57" ht="14.25" hidden="1" customHeight="1" x14ac:dyDescent="0.2">
      <c r="A431" s="842"/>
      <c r="C431" s="279"/>
      <c r="D431" s="279"/>
      <c r="E431" s="199"/>
      <c r="I431" s="201"/>
      <c r="J431" s="223"/>
      <c r="K431" s="281"/>
      <c r="L431" s="225"/>
      <c r="M431" s="226"/>
      <c r="N431" s="209"/>
      <c r="O431" s="174"/>
      <c r="P431" s="209"/>
      <c r="Q431" s="209"/>
      <c r="R431" s="209"/>
      <c r="S431" s="209"/>
      <c r="U431" s="210"/>
      <c r="V431" s="211"/>
      <c r="W431" s="210"/>
      <c r="X431" s="210"/>
      <c r="Y431" s="210"/>
      <c r="Z431" s="212"/>
      <c r="AA431" s="210"/>
      <c r="AB431" s="213"/>
      <c r="AC431" s="214"/>
      <c r="AD431" s="214"/>
      <c r="AE431" s="215"/>
      <c r="AF431" s="214"/>
      <c r="AG431" s="214"/>
      <c r="AH431" s="215"/>
      <c r="AI431" s="216"/>
      <c r="AL431" s="217"/>
      <c r="AM431" s="218"/>
      <c r="AP431" s="245"/>
      <c r="AQ431" s="245"/>
      <c r="AR431" s="245"/>
      <c r="AS431" s="245"/>
      <c r="AT431" s="245"/>
      <c r="AU431" s="245"/>
      <c r="AV431" s="245"/>
      <c r="AW431" s="245"/>
      <c r="AX431" s="245"/>
      <c r="AY431" s="245"/>
      <c r="BA431" s="245"/>
      <c r="BB431" s="245"/>
      <c r="BC431" s="245"/>
      <c r="BD431" s="245"/>
      <c r="BE431" s="245"/>
    </row>
    <row r="432" spans="1:57" ht="14.25" hidden="1" customHeight="1" x14ac:dyDescent="0.2">
      <c r="A432" s="842"/>
      <c r="C432" s="279"/>
      <c r="D432" s="279"/>
      <c r="E432" s="199"/>
      <c r="I432" s="201"/>
      <c r="J432" s="223"/>
      <c r="K432" s="281"/>
      <c r="L432" s="225"/>
      <c r="M432" s="226"/>
      <c r="N432" s="209"/>
      <c r="O432" s="174"/>
      <c r="P432" s="209"/>
      <c r="Q432" s="209"/>
      <c r="R432" s="209"/>
      <c r="S432" s="209"/>
      <c r="U432" s="210"/>
      <c r="V432" s="211"/>
      <c r="W432" s="210"/>
      <c r="X432" s="210"/>
      <c r="Y432" s="210"/>
      <c r="Z432" s="212"/>
      <c r="AA432" s="210"/>
      <c r="AB432" s="213"/>
      <c r="AC432" s="214"/>
      <c r="AD432" s="214"/>
      <c r="AE432" s="215"/>
      <c r="AF432" s="214"/>
      <c r="AG432" s="214"/>
      <c r="AH432" s="215"/>
      <c r="AI432" s="216"/>
      <c r="AL432" s="217"/>
      <c r="AM432" s="218"/>
      <c r="AP432" s="245"/>
      <c r="AQ432" s="245"/>
      <c r="AR432" s="245"/>
      <c r="AS432" s="245"/>
      <c r="AT432" s="245"/>
      <c r="AU432" s="245"/>
      <c r="AV432" s="245"/>
      <c r="AW432" s="245"/>
      <c r="AX432" s="245"/>
      <c r="AY432" s="245"/>
      <c r="BA432" s="245"/>
      <c r="BB432" s="245"/>
      <c r="BC432" s="245"/>
      <c r="BD432" s="245"/>
      <c r="BE432" s="245"/>
    </row>
    <row r="433" spans="1:57" ht="14.25" hidden="1" customHeight="1" x14ac:dyDescent="0.2">
      <c r="A433" s="842"/>
      <c r="C433" s="279"/>
      <c r="D433" s="279"/>
      <c r="E433" s="199"/>
      <c r="I433" s="201"/>
      <c r="J433" s="223"/>
      <c r="K433" s="282"/>
      <c r="L433" s="225"/>
      <c r="M433" s="226"/>
      <c r="N433" s="209"/>
      <c r="O433" s="174"/>
      <c r="P433" s="209"/>
      <c r="Q433" s="209"/>
      <c r="R433" s="209"/>
      <c r="S433" s="209"/>
      <c r="U433" s="210"/>
      <c r="V433" s="211"/>
      <c r="W433" s="210"/>
      <c r="X433" s="210"/>
      <c r="Y433" s="210"/>
      <c r="Z433" s="212"/>
      <c r="AA433" s="210"/>
      <c r="AB433" s="213"/>
      <c r="AC433" s="214"/>
      <c r="AD433" s="214"/>
      <c r="AE433" s="215"/>
      <c r="AF433" s="214"/>
      <c r="AG433" s="214"/>
      <c r="AH433" s="215"/>
      <c r="AI433" s="216"/>
      <c r="AL433" s="217"/>
      <c r="AM433" s="218"/>
      <c r="AP433" s="245"/>
      <c r="AQ433" s="245"/>
      <c r="AR433" s="245"/>
      <c r="AS433" s="245"/>
      <c r="AT433" s="245"/>
      <c r="AU433" s="245"/>
      <c r="AV433" s="245"/>
      <c r="AW433" s="245"/>
      <c r="AX433" s="245"/>
      <c r="AY433" s="245"/>
      <c r="BA433" s="245"/>
      <c r="BB433" s="245"/>
      <c r="BC433" s="245"/>
      <c r="BD433" s="245"/>
      <c r="BE433" s="245"/>
    </row>
    <row r="434" spans="1:57" ht="14.25" hidden="1" customHeight="1" x14ac:dyDescent="0.2">
      <c r="A434" s="842"/>
      <c r="C434" s="279"/>
      <c r="D434" s="279"/>
      <c r="E434" s="199"/>
      <c r="I434" s="201"/>
      <c r="J434" s="223"/>
      <c r="K434" s="281"/>
      <c r="L434" s="225"/>
      <c r="M434" s="226"/>
      <c r="N434" s="209"/>
      <c r="O434" s="174"/>
      <c r="P434" s="209"/>
      <c r="Q434" s="209"/>
      <c r="R434" s="209"/>
      <c r="S434" s="209"/>
      <c r="U434" s="210"/>
      <c r="V434" s="211"/>
      <c r="W434" s="210"/>
      <c r="X434" s="210"/>
      <c r="Y434" s="210"/>
      <c r="Z434" s="212"/>
      <c r="AA434" s="210"/>
      <c r="AB434" s="213"/>
      <c r="AC434" s="214"/>
      <c r="AD434" s="214"/>
      <c r="AE434" s="215"/>
      <c r="AF434" s="214"/>
      <c r="AG434" s="214"/>
      <c r="AH434" s="215"/>
      <c r="AI434" s="216"/>
      <c r="AL434" s="217"/>
      <c r="AM434" s="218"/>
      <c r="AP434" s="245"/>
      <c r="AQ434" s="245"/>
      <c r="AR434" s="245"/>
      <c r="AS434" s="245"/>
      <c r="AT434" s="245"/>
      <c r="AU434" s="245"/>
      <c r="AV434" s="245"/>
      <c r="AW434" s="245"/>
      <c r="AX434" s="245"/>
      <c r="AY434" s="245"/>
      <c r="BA434" s="245"/>
      <c r="BB434" s="245"/>
      <c r="BC434" s="245"/>
      <c r="BD434" s="245"/>
      <c r="BE434" s="245"/>
    </row>
    <row r="435" spans="1:57" ht="14.25" hidden="1" customHeight="1" x14ac:dyDescent="0.2">
      <c r="A435" s="842"/>
      <c r="C435" s="279"/>
      <c r="D435" s="279"/>
      <c r="E435" s="199"/>
      <c r="I435" s="201"/>
      <c r="J435" s="223"/>
      <c r="K435" s="281"/>
      <c r="L435" s="225"/>
      <c r="M435" s="226"/>
      <c r="N435" s="209"/>
      <c r="O435" s="174"/>
      <c r="P435" s="209"/>
      <c r="Q435" s="209"/>
      <c r="R435" s="209"/>
      <c r="S435" s="209"/>
      <c r="U435" s="210"/>
      <c r="V435" s="211"/>
      <c r="W435" s="210"/>
      <c r="X435" s="210"/>
      <c r="Y435" s="210"/>
      <c r="Z435" s="212"/>
      <c r="AA435" s="210"/>
      <c r="AB435" s="213"/>
      <c r="AC435" s="214"/>
      <c r="AD435" s="214"/>
      <c r="AE435" s="215"/>
      <c r="AF435" s="214"/>
      <c r="AG435" s="214"/>
      <c r="AH435" s="215"/>
      <c r="AI435" s="216"/>
      <c r="AL435" s="217"/>
      <c r="AM435" s="218"/>
      <c r="AP435" s="245"/>
      <c r="AQ435" s="245"/>
      <c r="AR435" s="245"/>
      <c r="AS435" s="245"/>
      <c r="AT435" s="245"/>
      <c r="AU435" s="245"/>
      <c r="AV435" s="245"/>
      <c r="AW435" s="245"/>
      <c r="AX435" s="245"/>
      <c r="AY435" s="245"/>
      <c r="BA435" s="245"/>
      <c r="BB435" s="245"/>
      <c r="BC435" s="245"/>
      <c r="BD435" s="245"/>
      <c r="BE435" s="245"/>
    </row>
    <row r="436" spans="1:57" ht="14.25" hidden="1" customHeight="1" x14ac:dyDescent="0.2">
      <c r="A436" s="842"/>
      <c r="C436" s="279"/>
      <c r="D436" s="279"/>
      <c r="E436" s="199"/>
      <c r="I436" s="201"/>
      <c r="J436" s="223"/>
      <c r="K436" s="281"/>
      <c r="L436" s="225"/>
      <c r="M436" s="226"/>
      <c r="N436" s="209"/>
      <c r="O436" s="174"/>
      <c r="P436" s="209"/>
      <c r="Q436" s="209"/>
      <c r="R436" s="209"/>
      <c r="S436" s="209"/>
      <c r="U436" s="210"/>
      <c r="V436" s="211"/>
      <c r="W436" s="210"/>
      <c r="X436" s="210"/>
      <c r="Y436" s="210"/>
      <c r="Z436" s="212"/>
      <c r="AA436" s="210"/>
      <c r="AB436" s="213"/>
      <c r="AC436" s="214"/>
      <c r="AD436" s="214"/>
      <c r="AE436" s="215"/>
      <c r="AF436" s="214"/>
      <c r="AG436" s="214"/>
      <c r="AH436" s="215"/>
      <c r="AI436" s="216"/>
      <c r="AL436" s="217"/>
      <c r="AM436" s="218"/>
      <c r="AP436" s="245"/>
      <c r="AQ436" s="245"/>
      <c r="AR436" s="245"/>
      <c r="AS436" s="245"/>
      <c r="AT436" s="245"/>
      <c r="AU436" s="245"/>
      <c r="AV436" s="245"/>
      <c r="AW436" s="245"/>
      <c r="AX436" s="245"/>
      <c r="AY436" s="245"/>
      <c r="BA436" s="245"/>
      <c r="BB436" s="245"/>
      <c r="BC436" s="245"/>
      <c r="BD436" s="245"/>
      <c r="BE436" s="245"/>
    </row>
    <row r="437" spans="1:57" ht="14.25" hidden="1" customHeight="1" x14ac:dyDescent="0.2">
      <c r="A437" s="842"/>
      <c r="C437" s="279"/>
      <c r="D437" s="279"/>
      <c r="E437" s="199"/>
      <c r="I437" s="201"/>
      <c r="J437" s="223"/>
      <c r="K437" s="281"/>
      <c r="L437" s="225"/>
      <c r="M437" s="226"/>
      <c r="N437" s="209"/>
      <c r="O437" s="174"/>
      <c r="P437" s="209"/>
      <c r="Q437" s="209"/>
      <c r="R437" s="209"/>
      <c r="S437" s="209"/>
      <c r="U437" s="210"/>
      <c r="V437" s="211"/>
      <c r="W437" s="210"/>
      <c r="X437" s="210"/>
      <c r="Y437" s="210"/>
      <c r="Z437" s="212"/>
      <c r="AA437" s="210"/>
      <c r="AB437" s="213"/>
      <c r="AC437" s="214"/>
      <c r="AD437" s="214"/>
      <c r="AE437" s="215"/>
      <c r="AF437" s="214"/>
      <c r="AG437" s="214"/>
      <c r="AH437" s="215"/>
      <c r="AI437" s="216"/>
      <c r="AL437" s="217"/>
      <c r="AM437" s="218"/>
      <c r="AP437" s="245"/>
      <c r="AQ437" s="245"/>
      <c r="AR437" s="245"/>
      <c r="AS437" s="245"/>
      <c r="AT437" s="245"/>
      <c r="AU437" s="245"/>
      <c r="AV437" s="245"/>
      <c r="AW437" s="245"/>
      <c r="AX437" s="245"/>
      <c r="AY437" s="245"/>
      <c r="BA437" s="245"/>
      <c r="BB437" s="245"/>
      <c r="BC437" s="245"/>
      <c r="BD437" s="245"/>
      <c r="BE437" s="245"/>
    </row>
    <row r="438" spans="1:57" ht="14.25" hidden="1" customHeight="1" x14ac:dyDescent="0.2">
      <c r="A438" s="842"/>
      <c r="C438" s="279"/>
      <c r="D438" s="279"/>
      <c r="E438" s="199"/>
      <c r="I438" s="201"/>
      <c r="J438" s="169"/>
      <c r="K438" s="281"/>
      <c r="L438" s="228"/>
      <c r="M438" s="228"/>
      <c r="N438" s="228"/>
      <c r="O438" s="174"/>
      <c r="P438" s="209"/>
      <c r="Q438" s="209"/>
      <c r="R438" s="209"/>
      <c r="S438" s="209"/>
      <c r="U438" s="210"/>
      <c r="V438" s="211"/>
      <c r="W438" s="210"/>
      <c r="X438" s="210"/>
      <c r="Y438" s="210"/>
      <c r="Z438" s="212"/>
      <c r="AA438" s="210"/>
      <c r="AB438" s="213"/>
      <c r="AC438" s="214"/>
      <c r="AD438" s="214"/>
      <c r="AE438" s="215"/>
      <c r="AF438" s="214"/>
      <c r="AG438" s="214"/>
      <c r="AH438" s="215"/>
      <c r="AI438" s="216"/>
      <c r="AL438" s="217"/>
      <c r="AM438" s="218"/>
      <c r="AP438" s="245"/>
      <c r="AQ438" s="245"/>
      <c r="AR438" s="245"/>
      <c r="AS438" s="245"/>
      <c r="AT438" s="245"/>
      <c r="AU438" s="245"/>
      <c r="AV438" s="245"/>
      <c r="AW438" s="245"/>
      <c r="AX438" s="245"/>
      <c r="AY438" s="245"/>
      <c r="BA438" s="245"/>
      <c r="BB438" s="245"/>
      <c r="BC438" s="245"/>
      <c r="BD438" s="245"/>
      <c r="BE438" s="245"/>
    </row>
    <row r="439" spans="1:57" ht="14.25" hidden="1" customHeight="1" x14ac:dyDescent="0.2">
      <c r="A439" s="842"/>
      <c r="E439" s="247"/>
      <c r="F439" s="248"/>
      <c r="G439" s="248"/>
      <c r="H439" s="248"/>
      <c r="I439" s="247"/>
      <c r="J439" s="172"/>
      <c r="K439" s="228"/>
      <c r="L439" s="228"/>
      <c r="M439" s="228"/>
      <c r="N439" s="228"/>
      <c r="O439" s="174"/>
      <c r="P439" s="209"/>
      <c r="Q439" s="209"/>
      <c r="R439" s="209"/>
      <c r="S439" s="209"/>
      <c r="W439" s="231"/>
      <c r="AC439" s="233"/>
      <c r="AD439" s="233"/>
      <c r="AE439" s="234"/>
      <c r="AF439" s="233"/>
      <c r="AG439" s="233"/>
      <c r="AH439" s="234"/>
      <c r="AI439" s="234"/>
      <c r="AP439" s="245"/>
      <c r="AQ439" s="245"/>
      <c r="AR439" s="245"/>
      <c r="AS439" s="245"/>
      <c r="AT439" s="245"/>
      <c r="AU439" s="245"/>
      <c r="AV439" s="245"/>
      <c r="AW439" s="245"/>
      <c r="AX439" s="245"/>
      <c r="AY439" s="245"/>
      <c r="BA439" s="245"/>
      <c r="BB439" s="245"/>
      <c r="BC439" s="245"/>
      <c r="BD439" s="245"/>
      <c r="BE439" s="245"/>
    </row>
    <row r="440" spans="1:57" ht="14.25" hidden="1" customHeight="1" x14ac:dyDescent="0.2">
      <c r="A440" s="842"/>
      <c r="E440" s="224"/>
      <c r="F440" s="225"/>
      <c r="G440" s="226"/>
      <c r="H440" s="209"/>
      <c r="I440" s="227"/>
      <c r="J440" s="169"/>
      <c r="K440" s="228"/>
      <c r="L440" s="225"/>
      <c r="M440" s="226"/>
      <c r="N440" s="209"/>
      <c r="O440" s="174"/>
      <c r="P440" s="209"/>
      <c r="Q440" s="209"/>
      <c r="R440" s="209"/>
      <c r="S440" s="209"/>
      <c r="W440" s="231"/>
      <c r="AC440" s="233"/>
      <c r="AD440" s="233"/>
      <c r="AE440" s="234"/>
      <c r="AF440" s="233"/>
      <c r="AG440" s="233"/>
      <c r="AH440" s="234"/>
      <c r="AI440" s="197"/>
      <c r="AP440" s="245"/>
      <c r="AQ440" s="245"/>
      <c r="AR440" s="245"/>
      <c r="AS440" s="245"/>
      <c r="AT440" s="245"/>
      <c r="AU440" s="245"/>
      <c r="AV440" s="245"/>
      <c r="AW440" s="245"/>
      <c r="AX440" s="245"/>
      <c r="AY440" s="245"/>
      <c r="BA440" s="245"/>
      <c r="BB440" s="245"/>
      <c r="BC440" s="245"/>
      <c r="BD440" s="245"/>
      <c r="BE440" s="245"/>
    </row>
    <row r="441" spans="1:57" ht="14.25" hidden="1" customHeight="1" x14ac:dyDescent="0.2">
      <c r="A441" s="842"/>
      <c r="B441" s="187"/>
      <c r="C441" s="188"/>
      <c r="D441" s="188"/>
      <c r="E441" s="844"/>
      <c r="F441" s="844"/>
      <c r="G441" s="844"/>
      <c r="H441" s="844"/>
      <c r="I441" s="189"/>
      <c r="J441" s="190"/>
      <c r="K441" s="191"/>
      <c r="L441" s="192"/>
      <c r="U441" s="229"/>
      <c r="V441" s="230"/>
      <c r="W441" s="231"/>
      <c r="X441" s="231"/>
      <c r="Y441" s="231"/>
      <c r="Z441" s="232"/>
      <c r="AA441" s="231"/>
      <c r="AC441" s="197"/>
      <c r="AD441" s="197"/>
      <c r="AE441" s="197"/>
      <c r="AF441" s="197"/>
      <c r="AG441" s="197"/>
      <c r="AH441" s="197"/>
      <c r="AI441" s="197"/>
      <c r="AQ441" s="245"/>
      <c r="AR441" s="245"/>
      <c r="AS441" s="245"/>
      <c r="AT441" s="245"/>
    </row>
    <row r="442" spans="1:57" ht="9" hidden="1" customHeight="1" x14ac:dyDescent="0.2">
      <c r="A442" s="842"/>
      <c r="J442" s="169"/>
      <c r="K442" s="228"/>
      <c r="L442" s="225"/>
      <c r="M442" s="226"/>
      <c r="N442" s="209"/>
      <c r="O442" s="174"/>
      <c r="P442" s="209"/>
      <c r="Q442" s="209"/>
      <c r="R442" s="209"/>
      <c r="S442" s="209"/>
      <c r="AP442" s="245"/>
      <c r="AQ442" s="245"/>
      <c r="AR442" s="245"/>
      <c r="AS442" s="245"/>
      <c r="AT442" s="245"/>
      <c r="AU442" s="245"/>
      <c r="AV442" s="245"/>
      <c r="AW442" s="245"/>
      <c r="AX442" s="245"/>
      <c r="AY442" s="245"/>
      <c r="BA442" s="245"/>
      <c r="BB442" s="245"/>
      <c r="BC442" s="245"/>
      <c r="BD442" s="245"/>
      <c r="BE442" s="245"/>
    </row>
    <row r="443" spans="1:57" ht="14.25" hidden="1" customHeight="1" x14ac:dyDescent="0.2">
      <c r="A443" s="842"/>
      <c r="C443" s="279"/>
      <c r="D443" s="279"/>
      <c r="E443" s="199"/>
      <c r="I443" s="201"/>
      <c r="J443" s="207"/>
      <c r="K443" s="280"/>
      <c r="L443" s="225"/>
      <c r="M443" s="226"/>
      <c r="N443" s="209"/>
      <c r="O443" s="174"/>
      <c r="P443" s="209"/>
      <c r="Q443" s="209"/>
      <c r="R443" s="209"/>
      <c r="S443" s="209"/>
      <c r="U443" s="210"/>
      <c r="V443" s="211"/>
      <c r="W443" s="210"/>
      <c r="X443" s="210"/>
      <c r="Y443" s="210"/>
      <c r="Z443" s="212"/>
      <c r="AA443" s="210"/>
      <c r="AB443" s="213"/>
      <c r="AC443" s="214"/>
      <c r="AD443" s="214"/>
      <c r="AE443" s="215"/>
      <c r="AF443" s="214"/>
      <c r="AG443" s="214"/>
      <c r="AH443" s="215"/>
      <c r="AI443" s="216"/>
      <c r="AL443" s="217"/>
      <c r="AM443" s="218"/>
      <c r="AQ443" s="245"/>
      <c r="AR443" s="245"/>
      <c r="AS443" s="245"/>
      <c r="AT443" s="245"/>
    </row>
    <row r="444" spans="1:57" ht="14.25" hidden="1" customHeight="1" x14ac:dyDescent="0.2">
      <c r="A444" s="842"/>
      <c r="C444" s="279"/>
      <c r="D444" s="279"/>
      <c r="E444" s="199"/>
      <c r="I444" s="201"/>
      <c r="J444" s="207"/>
      <c r="K444" s="281"/>
      <c r="L444" s="225"/>
      <c r="M444" s="226"/>
      <c r="N444" s="209"/>
      <c r="O444" s="174"/>
      <c r="U444" s="210"/>
      <c r="V444" s="211"/>
      <c r="W444" s="210"/>
      <c r="X444" s="210"/>
      <c r="Y444" s="210"/>
      <c r="Z444" s="212"/>
      <c r="AA444" s="210"/>
      <c r="AB444" s="213"/>
      <c r="AC444" s="214"/>
      <c r="AD444" s="214"/>
      <c r="AE444" s="215"/>
      <c r="AF444" s="214"/>
      <c r="AG444" s="214"/>
      <c r="AH444" s="215"/>
      <c r="AI444" s="216"/>
      <c r="AL444" s="217"/>
      <c r="AM444" s="218"/>
    </row>
    <row r="445" spans="1:57" ht="14.25" hidden="1" customHeight="1" x14ac:dyDescent="0.2">
      <c r="A445" s="842"/>
      <c r="C445" s="279"/>
      <c r="D445" s="279"/>
      <c r="E445" s="199"/>
      <c r="I445" s="201"/>
      <c r="J445" s="207"/>
      <c r="K445" s="281"/>
      <c r="L445" s="225"/>
      <c r="M445" s="226"/>
      <c r="N445" s="209"/>
      <c r="O445" s="174"/>
      <c r="U445" s="210"/>
      <c r="V445" s="211"/>
      <c r="W445" s="210"/>
      <c r="X445" s="210"/>
      <c r="Y445" s="210"/>
      <c r="Z445" s="212"/>
      <c r="AA445" s="210"/>
      <c r="AB445" s="213"/>
      <c r="AC445" s="214"/>
      <c r="AD445" s="214"/>
      <c r="AE445" s="215"/>
      <c r="AF445" s="214"/>
      <c r="AG445" s="214"/>
      <c r="AH445" s="215"/>
      <c r="AI445" s="216"/>
      <c r="AL445" s="217"/>
      <c r="AM445" s="218"/>
    </row>
    <row r="446" spans="1:57" ht="14.25" hidden="1" customHeight="1" x14ac:dyDescent="0.2">
      <c r="A446" s="842"/>
      <c r="C446" s="279"/>
      <c r="D446" s="279"/>
      <c r="E446" s="199"/>
      <c r="I446" s="201"/>
      <c r="J446" s="207"/>
      <c r="K446" s="281"/>
      <c r="L446" s="225"/>
      <c r="M446" s="226"/>
      <c r="N446" s="209"/>
      <c r="O446" s="174"/>
      <c r="U446" s="210"/>
      <c r="V446" s="211"/>
      <c r="W446" s="210"/>
      <c r="X446" s="210"/>
      <c r="Y446" s="210"/>
      <c r="Z446" s="212"/>
      <c r="AA446" s="210"/>
      <c r="AB446" s="213"/>
      <c r="AC446" s="214"/>
      <c r="AD446" s="214"/>
      <c r="AE446" s="215"/>
      <c r="AF446" s="214"/>
      <c r="AG446" s="214"/>
      <c r="AH446" s="215"/>
      <c r="AI446" s="216"/>
      <c r="AL446" s="217"/>
      <c r="AM446" s="218"/>
      <c r="AP446" s="245"/>
      <c r="AQ446" s="245"/>
      <c r="AR446" s="245"/>
      <c r="AS446" s="245"/>
      <c r="AT446" s="245"/>
      <c r="AU446" s="245"/>
      <c r="AV446" s="245"/>
      <c r="AW446" s="245"/>
      <c r="AX446" s="245"/>
      <c r="AY446" s="245"/>
      <c r="BA446" s="245"/>
      <c r="BB446" s="245"/>
      <c r="BC446" s="245"/>
      <c r="BD446" s="245"/>
      <c r="BE446" s="245"/>
    </row>
    <row r="447" spans="1:57" ht="14.25" hidden="1" customHeight="1" x14ac:dyDescent="0.2">
      <c r="A447" s="842"/>
      <c r="C447" s="279"/>
      <c r="D447" s="279"/>
      <c r="E447" s="199"/>
      <c r="I447" s="201"/>
      <c r="J447" s="223"/>
      <c r="K447" s="281"/>
      <c r="L447" s="225"/>
      <c r="M447" s="226"/>
      <c r="N447" s="209"/>
      <c r="O447" s="174"/>
      <c r="P447" s="209"/>
      <c r="Q447" s="209"/>
      <c r="R447" s="209"/>
      <c r="S447" s="209"/>
      <c r="U447" s="210"/>
      <c r="V447" s="211"/>
      <c r="W447" s="210"/>
      <c r="X447" s="210"/>
      <c r="Y447" s="210"/>
      <c r="Z447" s="212"/>
      <c r="AA447" s="210"/>
      <c r="AB447" s="213"/>
      <c r="AC447" s="214"/>
      <c r="AD447" s="214"/>
      <c r="AE447" s="215"/>
      <c r="AF447" s="214"/>
      <c r="AG447" s="214"/>
      <c r="AH447" s="215"/>
      <c r="AI447" s="216"/>
      <c r="AL447" s="217"/>
      <c r="AM447" s="218"/>
      <c r="AP447" s="245"/>
      <c r="AQ447" s="245"/>
      <c r="AR447" s="245"/>
      <c r="AS447" s="245"/>
      <c r="AT447" s="245"/>
      <c r="AU447" s="245"/>
      <c r="AV447" s="245"/>
      <c r="AW447" s="245"/>
      <c r="AX447" s="245"/>
      <c r="AY447" s="245"/>
      <c r="BA447" s="245"/>
      <c r="BB447" s="245"/>
      <c r="BC447" s="245"/>
      <c r="BD447" s="245"/>
      <c r="BE447" s="245"/>
    </row>
    <row r="448" spans="1:57" ht="14.25" hidden="1" customHeight="1" x14ac:dyDescent="0.2">
      <c r="A448" s="842"/>
      <c r="C448" s="279"/>
      <c r="D448" s="279"/>
      <c r="E448" s="199"/>
      <c r="I448" s="201"/>
      <c r="J448" s="223"/>
      <c r="K448" s="281"/>
      <c r="L448" s="225"/>
      <c r="M448" s="226"/>
      <c r="N448" s="209"/>
      <c r="O448" s="174"/>
      <c r="P448" s="209"/>
      <c r="Q448" s="209"/>
      <c r="R448" s="209"/>
      <c r="S448" s="209"/>
      <c r="U448" s="210"/>
      <c r="V448" s="211"/>
      <c r="W448" s="210"/>
      <c r="X448" s="210"/>
      <c r="Y448" s="210"/>
      <c r="Z448" s="212"/>
      <c r="AA448" s="210"/>
      <c r="AB448" s="213"/>
      <c r="AC448" s="214"/>
      <c r="AD448" s="214"/>
      <c r="AE448" s="215"/>
      <c r="AF448" s="214"/>
      <c r="AG448" s="214"/>
      <c r="AH448" s="215"/>
      <c r="AI448" s="216"/>
      <c r="AL448" s="217"/>
      <c r="AM448" s="218"/>
      <c r="AP448" s="245"/>
      <c r="AQ448" s="245"/>
      <c r="AR448" s="245"/>
      <c r="AS448" s="245"/>
      <c r="AT448" s="245"/>
      <c r="AU448" s="245"/>
      <c r="AV448" s="245"/>
      <c r="AW448" s="245"/>
      <c r="AX448" s="245"/>
      <c r="AY448" s="245"/>
      <c r="BA448" s="245"/>
      <c r="BB448" s="245"/>
      <c r="BC448" s="245"/>
      <c r="BD448" s="245"/>
      <c r="BE448" s="245"/>
    </row>
    <row r="449" spans="1:57" ht="14.25" hidden="1" customHeight="1" x14ac:dyDescent="0.2">
      <c r="A449" s="842"/>
      <c r="C449" s="279"/>
      <c r="D449" s="279"/>
      <c r="E449" s="199"/>
      <c r="I449" s="201"/>
      <c r="J449" s="223"/>
      <c r="K449" s="282"/>
      <c r="L449" s="225"/>
      <c r="M449" s="226"/>
      <c r="N449" s="209"/>
      <c r="O449" s="174"/>
      <c r="P449" s="209"/>
      <c r="Q449" s="209"/>
      <c r="R449" s="209"/>
      <c r="S449" s="209"/>
      <c r="U449" s="210"/>
      <c r="V449" s="211"/>
      <c r="W449" s="210"/>
      <c r="X449" s="210"/>
      <c r="Y449" s="210"/>
      <c r="Z449" s="212"/>
      <c r="AA449" s="210"/>
      <c r="AB449" s="213"/>
      <c r="AC449" s="214"/>
      <c r="AD449" s="214"/>
      <c r="AE449" s="215"/>
      <c r="AF449" s="214"/>
      <c r="AG449" s="214"/>
      <c r="AH449" s="215"/>
      <c r="AI449" s="216"/>
      <c r="AL449" s="217"/>
      <c r="AM449" s="218"/>
      <c r="AP449" s="245"/>
      <c r="AQ449" s="245"/>
      <c r="AR449" s="245"/>
      <c r="AS449" s="245"/>
      <c r="AT449" s="245"/>
      <c r="AU449" s="245"/>
      <c r="AV449" s="245"/>
      <c r="AW449" s="245"/>
      <c r="AX449" s="245"/>
      <c r="AY449" s="245"/>
      <c r="BA449" s="245"/>
      <c r="BB449" s="245"/>
      <c r="BC449" s="245"/>
      <c r="BD449" s="245"/>
      <c r="BE449" s="245"/>
    </row>
    <row r="450" spans="1:57" ht="14.25" hidden="1" customHeight="1" x14ac:dyDescent="0.2">
      <c r="A450" s="842"/>
      <c r="C450" s="279"/>
      <c r="D450" s="279"/>
      <c r="E450" s="199"/>
      <c r="I450" s="201"/>
      <c r="J450" s="223"/>
      <c r="K450" s="281"/>
      <c r="L450" s="225"/>
      <c r="M450" s="226"/>
      <c r="N450" s="209"/>
      <c r="O450" s="174"/>
      <c r="P450" s="209"/>
      <c r="Q450" s="209"/>
      <c r="R450" s="209"/>
      <c r="S450" s="209"/>
      <c r="U450" s="210"/>
      <c r="V450" s="211"/>
      <c r="W450" s="210"/>
      <c r="X450" s="210"/>
      <c r="Y450" s="210"/>
      <c r="Z450" s="212"/>
      <c r="AA450" s="210"/>
      <c r="AB450" s="213"/>
      <c r="AC450" s="214"/>
      <c r="AD450" s="214"/>
      <c r="AE450" s="215"/>
      <c r="AF450" s="214"/>
      <c r="AG450" s="214"/>
      <c r="AH450" s="215"/>
      <c r="AI450" s="216"/>
      <c r="AL450" s="217"/>
      <c r="AM450" s="218"/>
      <c r="AP450" s="245"/>
      <c r="AQ450" s="245"/>
      <c r="AR450" s="245"/>
      <c r="AS450" s="245"/>
      <c r="AT450" s="245"/>
      <c r="AU450" s="245"/>
      <c r="AV450" s="245"/>
      <c r="AW450" s="245"/>
      <c r="AX450" s="245"/>
      <c r="AY450" s="245"/>
      <c r="BA450" s="245"/>
      <c r="BB450" s="245"/>
      <c r="BC450" s="245"/>
      <c r="BD450" s="245"/>
      <c r="BE450" s="245"/>
    </row>
    <row r="451" spans="1:57" ht="14.25" hidden="1" customHeight="1" x14ac:dyDescent="0.2">
      <c r="A451" s="842"/>
      <c r="C451" s="279"/>
      <c r="D451" s="279"/>
      <c r="E451" s="199"/>
      <c r="I451" s="201"/>
      <c r="J451" s="223"/>
      <c r="K451" s="281"/>
      <c r="L451" s="225"/>
      <c r="M451" s="226"/>
      <c r="N451" s="209"/>
      <c r="O451" s="174"/>
      <c r="P451" s="209"/>
      <c r="Q451" s="209"/>
      <c r="R451" s="209"/>
      <c r="S451" s="209"/>
      <c r="U451" s="210"/>
      <c r="V451" s="211"/>
      <c r="W451" s="210"/>
      <c r="X451" s="210"/>
      <c r="Y451" s="210"/>
      <c r="Z451" s="212"/>
      <c r="AA451" s="210"/>
      <c r="AB451" s="213"/>
      <c r="AC451" s="214"/>
      <c r="AD451" s="214"/>
      <c r="AE451" s="215"/>
      <c r="AF451" s="214"/>
      <c r="AG451" s="214"/>
      <c r="AH451" s="215"/>
      <c r="AI451" s="216"/>
      <c r="AL451" s="217"/>
      <c r="AM451" s="218"/>
      <c r="AP451" s="245"/>
      <c r="AQ451" s="245"/>
      <c r="AR451" s="245"/>
      <c r="AS451" s="245"/>
      <c r="AT451" s="245"/>
      <c r="AU451" s="245"/>
      <c r="AV451" s="245"/>
      <c r="AW451" s="245"/>
      <c r="AX451" s="245"/>
      <c r="AY451" s="245"/>
      <c r="BA451" s="245"/>
      <c r="BB451" s="245"/>
      <c r="BC451" s="245"/>
      <c r="BD451" s="245"/>
      <c r="BE451" s="245"/>
    </row>
    <row r="452" spans="1:57" ht="14.25" hidden="1" customHeight="1" x14ac:dyDescent="0.2">
      <c r="A452" s="842"/>
      <c r="C452" s="279"/>
      <c r="D452" s="279"/>
      <c r="E452" s="199"/>
      <c r="I452" s="201"/>
      <c r="J452" s="223"/>
      <c r="K452" s="281"/>
      <c r="L452" s="225"/>
      <c r="M452" s="226"/>
      <c r="N452" s="209"/>
      <c r="O452" s="174"/>
      <c r="P452" s="209"/>
      <c r="Q452" s="209"/>
      <c r="R452" s="209"/>
      <c r="S452" s="209"/>
      <c r="U452" s="210"/>
      <c r="V452" s="211"/>
      <c r="W452" s="210"/>
      <c r="X452" s="210"/>
      <c r="Y452" s="210"/>
      <c r="Z452" s="212"/>
      <c r="AA452" s="210"/>
      <c r="AB452" s="213"/>
      <c r="AC452" s="214"/>
      <c r="AD452" s="214"/>
      <c r="AE452" s="215"/>
      <c r="AF452" s="214"/>
      <c r="AG452" s="214"/>
      <c r="AH452" s="215"/>
      <c r="AI452" s="216"/>
      <c r="AL452" s="217"/>
      <c r="AM452" s="218"/>
      <c r="AP452" s="245"/>
      <c r="AQ452" s="245"/>
      <c r="AR452" s="245"/>
      <c r="AS452" s="245"/>
      <c r="AT452" s="245"/>
      <c r="AU452" s="245"/>
      <c r="AV452" s="245"/>
      <c r="AW452" s="245"/>
      <c r="AX452" s="245"/>
      <c r="AY452" s="245"/>
      <c r="BA452" s="245"/>
      <c r="BB452" s="245"/>
      <c r="BC452" s="245"/>
      <c r="BD452" s="245"/>
      <c r="BE452" s="245"/>
    </row>
    <row r="453" spans="1:57" ht="14.25" hidden="1" customHeight="1" x14ac:dyDescent="0.2">
      <c r="A453" s="842"/>
      <c r="C453" s="279"/>
      <c r="D453" s="279"/>
      <c r="E453" s="199"/>
      <c r="I453" s="201"/>
      <c r="J453" s="223"/>
      <c r="K453" s="281"/>
      <c r="L453" s="225"/>
      <c r="M453" s="226"/>
      <c r="N453" s="209"/>
      <c r="O453" s="174"/>
      <c r="P453" s="209"/>
      <c r="Q453" s="209"/>
      <c r="R453" s="209"/>
      <c r="S453" s="209"/>
      <c r="U453" s="210"/>
      <c r="V453" s="211"/>
      <c r="W453" s="210"/>
      <c r="X453" s="210"/>
      <c r="Y453" s="210"/>
      <c r="Z453" s="212"/>
      <c r="AA453" s="210"/>
      <c r="AB453" s="213"/>
      <c r="AC453" s="214"/>
      <c r="AD453" s="214"/>
      <c r="AE453" s="215"/>
      <c r="AF453" s="214"/>
      <c r="AG453" s="214"/>
      <c r="AH453" s="215"/>
      <c r="AI453" s="216"/>
      <c r="AL453" s="217"/>
      <c r="AM453" s="218"/>
      <c r="AP453" s="245"/>
      <c r="AQ453" s="245"/>
      <c r="AR453" s="245"/>
      <c r="AS453" s="245"/>
      <c r="AT453" s="245"/>
      <c r="AU453" s="245"/>
      <c r="AV453" s="245"/>
      <c r="AW453" s="245"/>
      <c r="AX453" s="245"/>
      <c r="AY453" s="245"/>
      <c r="BA453" s="245"/>
      <c r="BB453" s="245"/>
      <c r="BC453" s="245"/>
      <c r="BD453" s="245"/>
      <c r="BE453" s="245"/>
    </row>
    <row r="454" spans="1:57" ht="14.25" hidden="1" customHeight="1" x14ac:dyDescent="0.2">
      <c r="A454" s="842"/>
      <c r="C454" s="279"/>
      <c r="D454" s="279"/>
      <c r="E454" s="199"/>
      <c r="I454" s="201"/>
      <c r="J454" s="169"/>
      <c r="K454" s="281"/>
      <c r="L454" s="228"/>
      <c r="M454" s="228"/>
      <c r="N454" s="228"/>
      <c r="O454" s="174"/>
      <c r="P454" s="209"/>
      <c r="Q454" s="209"/>
      <c r="R454" s="209"/>
      <c r="S454" s="209"/>
      <c r="U454" s="210"/>
      <c r="V454" s="211"/>
      <c r="W454" s="210"/>
      <c r="X454" s="210"/>
      <c r="Y454" s="210"/>
      <c r="Z454" s="212"/>
      <c r="AA454" s="210"/>
      <c r="AB454" s="213"/>
      <c r="AC454" s="214"/>
      <c r="AD454" s="214"/>
      <c r="AE454" s="215"/>
      <c r="AF454" s="214"/>
      <c r="AG454" s="214"/>
      <c r="AH454" s="215"/>
      <c r="AI454" s="216"/>
      <c r="AL454" s="217"/>
      <c r="AM454" s="218"/>
      <c r="AP454" s="245"/>
      <c r="AQ454" s="245"/>
      <c r="AR454" s="245"/>
      <c r="AS454" s="245"/>
      <c r="AT454" s="245"/>
      <c r="AU454" s="245"/>
      <c r="AV454" s="245"/>
      <c r="AW454" s="245"/>
      <c r="AX454" s="245"/>
      <c r="AY454" s="245"/>
      <c r="BA454" s="245"/>
      <c r="BB454" s="245"/>
      <c r="BC454" s="245"/>
      <c r="BD454" s="245"/>
      <c r="BE454" s="245"/>
    </row>
    <row r="455" spans="1:57" ht="14.25" hidden="1" customHeight="1" x14ac:dyDescent="0.2">
      <c r="A455" s="842"/>
      <c r="E455" s="247"/>
      <c r="F455" s="248"/>
      <c r="G455" s="248"/>
      <c r="H455" s="248"/>
      <c r="I455" s="247"/>
      <c r="J455" s="172"/>
      <c r="K455" s="228"/>
      <c r="L455" s="228"/>
      <c r="M455" s="228"/>
      <c r="N455" s="228"/>
      <c r="O455" s="174"/>
      <c r="P455" s="209"/>
      <c r="Q455" s="209"/>
      <c r="R455" s="209"/>
      <c r="S455" s="209"/>
      <c r="W455" s="231"/>
      <c r="AC455" s="233"/>
      <c r="AD455" s="233"/>
      <c r="AE455" s="234"/>
      <c r="AF455" s="233"/>
      <c r="AG455" s="233"/>
      <c r="AH455" s="234"/>
      <c r="AI455" s="234"/>
      <c r="AP455" s="245"/>
      <c r="AQ455" s="245"/>
      <c r="AR455" s="245"/>
      <c r="AS455" s="245"/>
      <c r="AT455" s="245"/>
      <c r="AU455" s="245"/>
      <c r="AV455" s="245"/>
      <c r="AW455" s="245"/>
      <c r="AX455" s="245"/>
      <c r="AY455" s="245"/>
      <c r="BA455" s="245"/>
      <c r="BB455" s="245"/>
      <c r="BC455" s="245"/>
      <c r="BD455" s="245"/>
      <c r="BE455" s="245"/>
    </row>
    <row r="456" spans="1:57" ht="14.25" hidden="1" customHeight="1" x14ac:dyDescent="0.2">
      <c r="A456" s="842"/>
      <c r="E456" s="224"/>
      <c r="F456" s="225"/>
      <c r="G456" s="226"/>
      <c r="H456" s="209"/>
      <c r="I456" s="227"/>
      <c r="J456" s="169"/>
      <c r="K456" s="228"/>
      <c r="L456" s="225"/>
      <c r="M456" s="226"/>
      <c r="N456" s="209"/>
      <c r="O456" s="174"/>
      <c r="P456" s="209"/>
      <c r="Q456" s="209"/>
      <c r="R456" s="209"/>
      <c r="S456" s="209"/>
      <c r="W456" s="231"/>
      <c r="AC456" s="233"/>
      <c r="AD456" s="233"/>
      <c r="AE456" s="234"/>
      <c r="AF456" s="233"/>
      <c r="AG456" s="233"/>
      <c r="AH456" s="234"/>
      <c r="AI456" s="197"/>
      <c r="AP456" s="245"/>
      <c r="AQ456" s="245"/>
      <c r="AR456" s="245"/>
      <c r="AS456" s="245"/>
      <c r="AT456" s="245"/>
      <c r="AU456" s="245"/>
      <c r="AV456" s="245"/>
      <c r="AW456" s="245"/>
      <c r="AX456" s="245"/>
      <c r="AY456" s="245"/>
      <c r="BA456" s="245"/>
      <c r="BB456" s="245"/>
      <c r="BC456" s="245"/>
      <c r="BD456" s="245"/>
      <c r="BE456" s="245"/>
    </row>
    <row r="457" spans="1:57" ht="14.25" hidden="1" customHeight="1" x14ac:dyDescent="0.2">
      <c r="A457" s="842"/>
      <c r="B457" s="187"/>
      <c r="C457" s="188"/>
      <c r="D457" s="188"/>
      <c r="E457" s="844"/>
      <c r="F457" s="844"/>
      <c r="G457" s="844"/>
      <c r="H457" s="844"/>
      <c r="I457" s="189"/>
      <c r="J457" s="190"/>
      <c r="K457" s="191"/>
      <c r="L457" s="192"/>
      <c r="U457" s="229"/>
      <c r="V457" s="230"/>
      <c r="W457" s="231"/>
      <c r="X457" s="231"/>
      <c r="Y457" s="231"/>
      <c r="Z457" s="232"/>
      <c r="AA457" s="231"/>
      <c r="AC457" s="197"/>
      <c r="AD457" s="197"/>
      <c r="AE457" s="197"/>
      <c r="AF457" s="197"/>
      <c r="AG457" s="197"/>
      <c r="AH457" s="197"/>
      <c r="AI457" s="197"/>
      <c r="AQ457" s="245"/>
      <c r="AR457" s="245"/>
      <c r="AS457" s="245"/>
      <c r="AT457" s="245"/>
    </row>
    <row r="458" spans="1:57" ht="9" hidden="1" customHeight="1" x14ac:dyDescent="0.2">
      <c r="A458" s="842"/>
      <c r="J458" s="169"/>
      <c r="K458" s="228"/>
      <c r="L458" s="225"/>
      <c r="M458" s="226"/>
      <c r="N458" s="209"/>
      <c r="O458" s="174"/>
      <c r="P458" s="209"/>
      <c r="Q458" s="209"/>
      <c r="R458" s="209"/>
      <c r="S458" s="209"/>
      <c r="AP458" s="245"/>
      <c r="AQ458" s="245"/>
      <c r="AR458" s="245"/>
      <c r="AS458" s="245"/>
      <c r="AT458" s="245"/>
      <c r="AU458" s="245"/>
      <c r="AV458" s="245"/>
      <c r="AW458" s="245"/>
      <c r="AX458" s="245"/>
      <c r="AY458" s="245"/>
      <c r="BA458" s="245"/>
      <c r="BB458" s="245"/>
      <c r="BC458" s="245"/>
      <c r="BD458" s="245"/>
      <c r="BE458" s="245"/>
    </row>
    <row r="459" spans="1:57" ht="14.25" hidden="1" customHeight="1" x14ac:dyDescent="0.2">
      <c r="A459" s="842"/>
      <c r="C459" s="279"/>
      <c r="D459" s="279"/>
      <c r="E459" s="199"/>
      <c r="I459" s="201"/>
      <c r="J459" s="207"/>
      <c r="K459" s="280"/>
      <c r="L459" s="225"/>
      <c r="M459" s="226"/>
      <c r="N459" s="209"/>
      <c r="O459" s="174"/>
      <c r="P459" s="209"/>
      <c r="Q459" s="209"/>
      <c r="R459" s="209"/>
      <c r="S459" s="209"/>
      <c r="U459" s="210"/>
      <c r="V459" s="211"/>
      <c r="W459" s="210"/>
      <c r="X459" s="210"/>
      <c r="Y459" s="210"/>
      <c r="Z459" s="212"/>
      <c r="AA459" s="210"/>
      <c r="AB459" s="213"/>
      <c r="AC459" s="214"/>
      <c r="AD459" s="214"/>
      <c r="AE459" s="215"/>
      <c r="AF459" s="214"/>
      <c r="AG459" s="214"/>
      <c r="AH459" s="215"/>
      <c r="AI459" s="216"/>
      <c r="AL459" s="217"/>
      <c r="AM459" s="218"/>
      <c r="AQ459" s="245"/>
      <c r="AR459" s="245"/>
      <c r="AS459" s="245"/>
      <c r="AT459" s="245"/>
    </row>
    <row r="460" spans="1:57" ht="14.25" hidden="1" customHeight="1" x14ac:dyDescent="0.2">
      <c r="A460" s="842"/>
      <c r="C460" s="279"/>
      <c r="D460" s="279"/>
      <c r="E460" s="199"/>
      <c r="I460" s="201"/>
      <c r="J460" s="207"/>
      <c r="K460" s="281"/>
      <c r="L460" s="225"/>
      <c r="M460" s="226"/>
      <c r="N460" s="209"/>
      <c r="O460" s="174"/>
      <c r="U460" s="210"/>
      <c r="V460" s="211"/>
      <c r="W460" s="210"/>
      <c r="X460" s="210"/>
      <c r="Y460" s="210"/>
      <c r="Z460" s="212"/>
      <c r="AA460" s="210"/>
      <c r="AB460" s="213"/>
      <c r="AC460" s="214"/>
      <c r="AD460" s="214"/>
      <c r="AE460" s="215"/>
      <c r="AF460" s="214"/>
      <c r="AG460" s="214"/>
      <c r="AH460" s="215"/>
      <c r="AI460" s="216"/>
      <c r="AL460" s="217"/>
      <c r="AM460" s="218"/>
    </row>
    <row r="461" spans="1:57" ht="14.25" hidden="1" customHeight="1" x14ac:dyDescent="0.2">
      <c r="A461" s="842"/>
      <c r="C461" s="279"/>
      <c r="D461" s="279"/>
      <c r="E461" s="199"/>
      <c r="I461" s="201"/>
      <c r="J461" s="207"/>
      <c r="K461" s="281"/>
      <c r="L461" s="225"/>
      <c r="M461" s="226"/>
      <c r="N461" s="209"/>
      <c r="O461" s="174"/>
      <c r="U461" s="210"/>
      <c r="V461" s="211"/>
      <c r="W461" s="210"/>
      <c r="X461" s="210"/>
      <c r="Y461" s="210"/>
      <c r="Z461" s="212"/>
      <c r="AA461" s="210"/>
      <c r="AB461" s="213"/>
      <c r="AC461" s="214"/>
      <c r="AD461" s="214"/>
      <c r="AE461" s="215"/>
      <c r="AF461" s="214"/>
      <c r="AG461" s="214"/>
      <c r="AH461" s="215"/>
      <c r="AI461" s="216"/>
      <c r="AL461" s="217"/>
      <c r="AM461" s="218"/>
    </row>
    <row r="462" spans="1:57" ht="14.25" hidden="1" customHeight="1" x14ac:dyDescent="0.2">
      <c r="A462" s="842"/>
      <c r="C462" s="279"/>
      <c r="D462" s="279"/>
      <c r="E462" s="199"/>
      <c r="I462" s="201"/>
      <c r="J462" s="207"/>
      <c r="K462" s="281"/>
      <c r="L462" s="225"/>
      <c r="M462" s="226"/>
      <c r="N462" s="209"/>
      <c r="O462" s="174"/>
      <c r="U462" s="210"/>
      <c r="V462" s="211"/>
      <c r="W462" s="210"/>
      <c r="X462" s="210"/>
      <c r="Y462" s="210"/>
      <c r="Z462" s="212"/>
      <c r="AA462" s="210"/>
      <c r="AB462" s="213"/>
      <c r="AC462" s="214"/>
      <c r="AD462" s="214"/>
      <c r="AE462" s="215"/>
      <c r="AF462" s="214"/>
      <c r="AG462" s="214"/>
      <c r="AH462" s="215"/>
      <c r="AI462" s="216"/>
      <c r="AL462" s="217"/>
      <c r="AM462" s="218"/>
      <c r="AP462" s="245"/>
      <c r="AQ462" s="245"/>
      <c r="AR462" s="245"/>
      <c r="AS462" s="245"/>
      <c r="AT462" s="245"/>
      <c r="AU462" s="245"/>
      <c r="AV462" s="245"/>
      <c r="AW462" s="245"/>
      <c r="AX462" s="245"/>
      <c r="AY462" s="245"/>
      <c r="BA462" s="245"/>
      <c r="BB462" s="245"/>
      <c r="BC462" s="245"/>
      <c r="BD462" s="245"/>
      <c r="BE462" s="245"/>
    </row>
    <row r="463" spans="1:57" ht="14.25" hidden="1" customHeight="1" x14ac:dyDescent="0.2">
      <c r="A463" s="842"/>
      <c r="C463" s="279"/>
      <c r="D463" s="279"/>
      <c r="E463" s="199"/>
      <c r="I463" s="201"/>
      <c r="J463" s="223"/>
      <c r="K463" s="281"/>
      <c r="L463" s="225"/>
      <c r="M463" s="226"/>
      <c r="N463" s="209"/>
      <c r="O463" s="174"/>
      <c r="P463" s="209"/>
      <c r="Q463" s="209"/>
      <c r="R463" s="209"/>
      <c r="S463" s="209"/>
      <c r="U463" s="210"/>
      <c r="V463" s="211"/>
      <c r="W463" s="210"/>
      <c r="X463" s="210"/>
      <c r="Y463" s="210"/>
      <c r="Z463" s="212"/>
      <c r="AA463" s="210"/>
      <c r="AB463" s="213"/>
      <c r="AC463" s="214"/>
      <c r="AD463" s="214"/>
      <c r="AE463" s="215"/>
      <c r="AF463" s="214"/>
      <c r="AG463" s="214"/>
      <c r="AH463" s="215"/>
      <c r="AI463" s="216"/>
      <c r="AL463" s="217"/>
      <c r="AM463" s="218"/>
      <c r="AP463" s="245"/>
      <c r="AQ463" s="245"/>
      <c r="AR463" s="245"/>
      <c r="AS463" s="245"/>
      <c r="AT463" s="245"/>
      <c r="AU463" s="245"/>
      <c r="AV463" s="245"/>
      <c r="AW463" s="245"/>
      <c r="AX463" s="245"/>
      <c r="AY463" s="245"/>
      <c r="BA463" s="245"/>
      <c r="BB463" s="245"/>
      <c r="BC463" s="245"/>
      <c r="BD463" s="245"/>
      <c r="BE463" s="245"/>
    </row>
    <row r="464" spans="1:57" ht="14.25" hidden="1" customHeight="1" x14ac:dyDescent="0.2">
      <c r="A464" s="842"/>
      <c r="C464" s="279"/>
      <c r="D464" s="279"/>
      <c r="E464" s="199"/>
      <c r="I464" s="201"/>
      <c r="J464" s="223"/>
      <c r="K464" s="281"/>
      <c r="L464" s="225"/>
      <c r="M464" s="226"/>
      <c r="N464" s="209"/>
      <c r="O464" s="174"/>
      <c r="P464" s="209"/>
      <c r="Q464" s="209"/>
      <c r="R464" s="209"/>
      <c r="S464" s="209"/>
      <c r="U464" s="210"/>
      <c r="V464" s="211"/>
      <c r="W464" s="210"/>
      <c r="X464" s="210"/>
      <c r="Y464" s="210"/>
      <c r="Z464" s="212"/>
      <c r="AA464" s="210"/>
      <c r="AB464" s="213"/>
      <c r="AC464" s="214"/>
      <c r="AD464" s="214"/>
      <c r="AE464" s="215"/>
      <c r="AF464" s="214"/>
      <c r="AG464" s="214"/>
      <c r="AH464" s="215"/>
      <c r="AI464" s="216"/>
      <c r="AL464" s="217"/>
      <c r="AM464" s="218"/>
      <c r="AP464" s="245"/>
      <c r="AQ464" s="245"/>
      <c r="AR464" s="245"/>
      <c r="AS464" s="245"/>
      <c r="AT464" s="245"/>
      <c r="AU464" s="245"/>
      <c r="AV464" s="245"/>
      <c r="AW464" s="245"/>
      <c r="AX464" s="245"/>
      <c r="AY464" s="245"/>
      <c r="BA464" s="245"/>
      <c r="BB464" s="245"/>
      <c r="BC464" s="245"/>
      <c r="BD464" s="245"/>
      <c r="BE464" s="245"/>
    </row>
    <row r="465" spans="1:57" ht="14.25" hidden="1" customHeight="1" x14ac:dyDescent="0.2">
      <c r="A465" s="842"/>
      <c r="C465" s="279"/>
      <c r="D465" s="279"/>
      <c r="E465" s="199"/>
      <c r="I465" s="201"/>
      <c r="J465" s="223"/>
      <c r="K465" s="282"/>
      <c r="L465" s="225"/>
      <c r="M465" s="226"/>
      <c r="N465" s="209"/>
      <c r="O465" s="174"/>
      <c r="P465" s="209"/>
      <c r="Q465" s="209"/>
      <c r="R465" s="209"/>
      <c r="S465" s="209"/>
      <c r="U465" s="210"/>
      <c r="V465" s="211"/>
      <c r="W465" s="210"/>
      <c r="X465" s="210"/>
      <c r="Y465" s="210"/>
      <c r="Z465" s="212"/>
      <c r="AA465" s="210"/>
      <c r="AB465" s="213"/>
      <c r="AC465" s="214"/>
      <c r="AD465" s="214"/>
      <c r="AE465" s="215"/>
      <c r="AF465" s="214"/>
      <c r="AG465" s="214"/>
      <c r="AH465" s="215"/>
      <c r="AI465" s="216"/>
      <c r="AL465" s="217"/>
      <c r="AM465" s="218"/>
      <c r="AP465" s="245"/>
      <c r="AQ465" s="245"/>
      <c r="AR465" s="245"/>
      <c r="AS465" s="245"/>
      <c r="AT465" s="245"/>
      <c r="AU465" s="245"/>
      <c r="AV465" s="245"/>
      <c r="AW465" s="245"/>
      <c r="AX465" s="245"/>
      <c r="AY465" s="245"/>
      <c r="BA465" s="245"/>
      <c r="BB465" s="245"/>
      <c r="BC465" s="245"/>
      <c r="BD465" s="245"/>
      <c r="BE465" s="245"/>
    </row>
    <row r="466" spans="1:57" ht="14.25" hidden="1" customHeight="1" x14ac:dyDescent="0.2">
      <c r="A466" s="842"/>
      <c r="C466" s="279"/>
      <c r="D466" s="279"/>
      <c r="E466" s="199"/>
      <c r="I466" s="201"/>
      <c r="J466" s="223"/>
      <c r="K466" s="281"/>
      <c r="L466" s="225"/>
      <c r="M466" s="226"/>
      <c r="N466" s="209"/>
      <c r="O466" s="174"/>
      <c r="P466" s="209"/>
      <c r="Q466" s="209"/>
      <c r="R466" s="209"/>
      <c r="S466" s="209"/>
      <c r="U466" s="210"/>
      <c r="V466" s="211"/>
      <c r="W466" s="210"/>
      <c r="X466" s="210"/>
      <c r="Y466" s="210"/>
      <c r="Z466" s="212"/>
      <c r="AA466" s="210"/>
      <c r="AB466" s="213"/>
      <c r="AC466" s="214"/>
      <c r="AD466" s="214"/>
      <c r="AE466" s="215"/>
      <c r="AF466" s="214"/>
      <c r="AG466" s="214"/>
      <c r="AH466" s="215"/>
      <c r="AI466" s="216"/>
      <c r="AL466" s="217"/>
      <c r="AM466" s="218"/>
      <c r="AP466" s="245"/>
      <c r="AQ466" s="245"/>
      <c r="AR466" s="245"/>
      <c r="AS466" s="245"/>
      <c r="AT466" s="245"/>
      <c r="AU466" s="245"/>
      <c r="AV466" s="245"/>
      <c r="AW466" s="245"/>
      <c r="AX466" s="245"/>
      <c r="AY466" s="245"/>
      <c r="BA466" s="245"/>
      <c r="BB466" s="245"/>
      <c r="BC466" s="245"/>
      <c r="BD466" s="245"/>
      <c r="BE466" s="245"/>
    </row>
    <row r="467" spans="1:57" ht="14.25" hidden="1" customHeight="1" x14ac:dyDescent="0.2">
      <c r="A467" s="842"/>
      <c r="C467" s="279"/>
      <c r="D467" s="279"/>
      <c r="E467" s="199"/>
      <c r="I467" s="201"/>
      <c r="J467" s="223"/>
      <c r="K467" s="281"/>
      <c r="L467" s="225"/>
      <c r="M467" s="226"/>
      <c r="N467" s="209"/>
      <c r="O467" s="174"/>
      <c r="P467" s="209"/>
      <c r="Q467" s="209"/>
      <c r="R467" s="209"/>
      <c r="S467" s="209"/>
      <c r="U467" s="210"/>
      <c r="V467" s="211"/>
      <c r="W467" s="210"/>
      <c r="X467" s="210"/>
      <c r="Y467" s="210"/>
      <c r="Z467" s="212"/>
      <c r="AA467" s="210"/>
      <c r="AB467" s="213"/>
      <c r="AC467" s="214"/>
      <c r="AD467" s="214"/>
      <c r="AE467" s="215"/>
      <c r="AF467" s="214"/>
      <c r="AG467" s="214"/>
      <c r="AH467" s="215"/>
      <c r="AI467" s="216"/>
      <c r="AL467" s="217"/>
      <c r="AM467" s="218"/>
      <c r="AP467" s="245"/>
      <c r="AQ467" s="245"/>
      <c r="AR467" s="245"/>
      <c r="AS467" s="245"/>
      <c r="AT467" s="245"/>
      <c r="AU467" s="245"/>
      <c r="AV467" s="245"/>
      <c r="AW467" s="245"/>
      <c r="AX467" s="245"/>
      <c r="AY467" s="245"/>
      <c r="BA467" s="245"/>
      <c r="BB467" s="245"/>
      <c r="BC467" s="245"/>
      <c r="BD467" s="245"/>
      <c r="BE467" s="245"/>
    </row>
    <row r="468" spans="1:57" ht="14.25" hidden="1" customHeight="1" x14ac:dyDescent="0.2">
      <c r="A468" s="842"/>
      <c r="C468" s="279"/>
      <c r="D468" s="279"/>
      <c r="E468" s="199"/>
      <c r="I468" s="201"/>
      <c r="J468" s="223"/>
      <c r="K468" s="281"/>
      <c r="L468" s="225"/>
      <c r="M468" s="226"/>
      <c r="N468" s="209"/>
      <c r="O468" s="174"/>
      <c r="P468" s="209"/>
      <c r="Q468" s="209"/>
      <c r="R468" s="209"/>
      <c r="S468" s="209"/>
      <c r="U468" s="210"/>
      <c r="V468" s="211"/>
      <c r="W468" s="210"/>
      <c r="X468" s="210"/>
      <c r="Y468" s="210"/>
      <c r="Z468" s="212"/>
      <c r="AA468" s="210"/>
      <c r="AB468" s="213"/>
      <c r="AC468" s="214"/>
      <c r="AD468" s="214"/>
      <c r="AE468" s="215"/>
      <c r="AF468" s="214"/>
      <c r="AG468" s="214"/>
      <c r="AH468" s="215"/>
      <c r="AI468" s="216"/>
      <c r="AL468" s="217"/>
      <c r="AM468" s="218"/>
      <c r="AP468" s="245"/>
      <c r="AQ468" s="245"/>
      <c r="AR468" s="245"/>
      <c r="AS468" s="245"/>
      <c r="AT468" s="245"/>
      <c r="AU468" s="245"/>
      <c r="AV468" s="245"/>
      <c r="AW468" s="245"/>
      <c r="AX468" s="245"/>
      <c r="AY468" s="245"/>
      <c r="BA468" s="245"/>
      <c r="BB468" s="245"/>
      <c r="BC468" s="245"/>
      <c r="BD468" s="245"/>
      <c r="BE468" s="245"/>
    </row>
    <row r="469" spans="1:57" ht="14.25" hidden="1" customHeight="1" x14ac:dyDescent="0.2">
      <c r="A469" s="842"/>
      <c r="C469" s="279"/>
      <c r="D469" s="279"/>
      <c r="E469" s="199"/>
      <c r="I469" s="201"/>
      <c r="J469" s="223"/>
      <c r="K469" s="281"/>
      <c r="L469" s="225"/>
      <c r="M469" s="226"/>
      <c r="N469" s="209"/>
      <c r="O469" s="174"/>
      <c r="P469" s="209"/>
      <c r="Q469" s="209"/>
      <c r="R469" s="209"/>
      <c r="S469" s="209"/>
      <c r="U469" s="210"/>
      <c r="V469" s="211"/>
      <c r="W469" s="210"/>
      <c r="X469" s="210"/>
      <c r="Y469" s="210"/>
      <c r="Z469" s="212"/>
      <c r="AA469" s="210"/>
      <c r="AB469" s="213"/>
      <c r="AC469" s="214"/>
      <c r="AD469" s="214"/>
      <c r="AE469" s="215"/>
      <c r="AF469" s="214"/>
      <c r="AG469" s="214"/>
      <c r="AH469" s="215"/>
      <c r="AI469" s="216"/>
      <c r="AL469" s="217"/>
      <c r="AM469" s="218"/>
      <c r="AP469" s="245"/>
      <c r="AQ469" s="245"/>
      <c r="AR469" s="245"/>
      <c r="AS469" s="245"/>
      <c r="AT469" s="245"/>
      <c r="AU469" s="245"/>
      <c r="AV469" s="245"/>
      <c r="AW469" s="245"/>
      <c r="AX469" s="245"/>
      <c r="AY469" s="245"/>
      <c r="BA469" s="245"/>
      <c r="BB469" s="245"/>
      <c r="BC469" s="245"/>
      <c r="BD469" s="245"/>
      <c r="BE469" s="245"/>
    </row>
    <row r="470" spans="1:57" ht="14.25" hidden="1" customHeight="1" x14ac:dyDescent="0.2">
      <c r="A470" s="842"/>
      <c r="C470" s="279"/>
      <c r="D470" s="279"/>
      <c r="E470" s="199"/>
      <c r="I470" s="201"/>
      <c r="J470" s="169"/>
      <c r="K470" s="281"/>
      <c r="L470" s="228"/>
      <c r="M470" s="228"/>
      <c r="N470" s="228"/>
      <c r="O470" s="174"/>
      <c r="P470" s="209"/>
      <c r="Q470" s="209"/>
      <c r="R470" s="209"/>
      <c r="S470" s="209"/>
      <c r="U470" s="210"/>
      <c r="V470" s="211"/>
      <c r="W470" s="210"/>
      <c r="X470" s="210"/>
      <c r="Y470" s="210"/>
      <c r="Z470" s="212"/>
      <c r="AA470" s="210"/>
      <c r="AB470" s="213"/>
      <c r="AC470" s="214"/>
      <c r="AD470" s="214"/>
      <c r="AE470" s="215"/>
      <c r="AF470" s="214"/>
      <c r="AG470" s="214"/>
      <c r="AH470" s="215"/>
      <c r="AI470" s="216"/>
      <c r="AL470" s="217"/>
      <c r="AM470" s="218"/>
      <c r="AP470" s="245"/>
      <c r="AQ470" s="245"/>
      <c r="AR470" s="245"/>
      <c r="AS470" s="245"/>
      <c r="AT470" s="245"/>
      <c r="AU470" s="245"/>
      <c r="AV470" s="245"/>
      <c r="AW470" s="245"/>
      <c r="AX470" s="245"/>
      <c r="AY470" s="245"/>
      <c r="BA470" s="245"/>
      <c r="BB470" s="245"/>
      <c r="BC470" s="245"/>
      <c r="BD470" s="245"/>
      <c r="BE470" s="245"/>
    </row>
    <row r="471" spans="1:57" ht="14.25" hidden="1" customHeight="1" x14ac:dyDescent="0.2">
      <c r="A471" s="842"/>
      <c r="E471" s="247"/>
      <c r="F471" s="248"/>
      <c r="G471" s="248"/>
      <c r="H471" s="248"/>
      <c r="I471" s="247"/>
      <c r="J471" s="172"/>
      <c r="K471" s="228"/>
      <c r="L471" s="228"/>
      <c r="M471" s="228"/>
      <c r="N471" s="228"/>
      <c r="O471" s="174"/>
      <c r="P471" s="209"/>
      <c r="Q471" s="209"/>
      <c r="R471" s="209"/>
      <c r="S471" s="209"/>
      <c r="W471" s="231"/>
      <c r="AC471" s="233"/>
      <c r="AD471" s="233"/>
      <c r="AE471" s="234"/>
      <c r="AF471" s="233"/>
      <c r="AG471" s="233"/>
      <c r="AH471" s="234"/>
      <c r="AI471" s="234"/>
      <c r="AP471" s="245"/>
      <c r="AQ471" s="245"/>
      <c r="AR471" s="245"/>
      <c r="AS471" s="245"/>
      <c r="AT471" s="245"/>
      <c r="AU471" s="245"/>
      <c r="AV471" s="245"/>
      <c r="AW471" s="245"/>
      <c r="AX471" s="245"/>
      <c r="AY471" s="245"/>
      <c r="BA471" s="245"/>
      <c r="BB471" s="245"/>
      <c r="BC471" s="245"/>
      <c r="BD471" s="245"/>
      <c r="BE471" s="245"/>
    </row>
    <row r="472" spans="1:57" ht="14.25" hidden="1" customHeight="1" x14ac:dyDescent="0.2">
      <c r="A472" s="842"/>
      <c r="E472" s="224"/>
      <c r="F472" s="225"/>
      <c r="G472" s="226"/>
      <c r="H472" s="209"/>
      <c r="I472" s="227"/>
      <c r="J472" s="169"/>
      <c r="K472" s="228"/>
      <c r="L472" s="225"/>
      <c r="M472" s="226"/>
      <c r="N472" s="209"/>
      <c r="O472" s="174"/>
      <c r="P472" s="209"/>
      <c r="Q472" s="209"/>
      <c r="R472" s="209"/>
      <c r="S472" s="209"/>
      <c r="W472" s="231"/>
      <c r="AC472" s="233"/>
      <c r="AD472" s="233"/>
      <c r="AE472" s="234"/>
      <c r="AF472" s="233"/>
      <c r="AG472" s="233"/>
      <c r="AH472" s="234"/>
      <c r="AI472" s="197"/>
      <c r="AP472" s="245"/>
      <c r="AQ472" s="245"/>
      <c r="AR472" s="245"/>
      <c r="AS472" s="245"/>
      <c r="AT472" s="245"/>
      <c r="AU472" s="245"/>
      <c r="AV472" s="245"/>
      <c r="AW472" s="245"/>
      <c r="AX472" s="245"/>
      <c r="AY472" s="245"/>
      <c r="BA472" s="245"/>
      <c r="BB472" s="245"/>
      <c r="BC472" s="245"/>
      <c r="BD472" s="245"/>
      <c r="BE472" s="245"/>
    </row>
    <row r="473" spans="1:57" ht="14.25" hidden="1" customHeight="1" x14ac:dyDescent="0.2">
      <c r="A473" s="842"/>
      <c r="B473" s="187"/>
      <c r="C473" s="188"/>
      <c r="D473" s="188"/>
      <c r="E473" s="844"/>
      <c r="F473" s="844"/>
      <c r="G473" s="844"/>
      <c r="H473" s="844"/>
      <c r="I473" s="189"/>
      <c r="J473" s="190"/>
      <c r="K473" s="191"/>
      <c r="L473" s="192"/>
      <c r="U473" s="229"/>
      <c r="V473" s="230"/>
      <c r="W473" s="231"/>
      <c r="X473" s="231"/>
      <c r="Y473" s="231"/>
      <c r="Z473" s="232"/>
      <c r="AA473" s="231"/>
      <c r="AC473" s="197"/>
      <c r="AD473" s="197"/>
      <c r="AE473" s="197"/>
      <c r="AF473" s="197"/>
      <c r="AG473" s="197"/>
      <c r="AH473" s="197"/>
      <c r="AI473" s="197"/>
      <c r="AQ473" s="245"/>
      <c r="AR473" s="245"/>
      <c r="AS473" s="245"/>
      <c r="AT473" s="245"/>
    </row>
    <row r="474" spans="1:57" ht="9" hidden="1" customHeight="1" x14ac:dyDescent="0.2">
      <c r="A474" s="842"/>
      <c r="J474" s="169"/>
      <c r="K474" s="228"/>
      <c r="L474" s="225"/>
      <c r="M474" s="226"/>
      <c r="N474" s="209"/>
      <c r="O474" s="174"/>
      <c r="P474" s="209"/>
      <c r="Q474" s="209"/>
      <c r="R474" s="209"/>
      <c r="S474" s="209"/>
      <c r="AP474" s="245"/>
      <c r="AQ474" s="245"/>
      <c r="AR474" s="245"/>
      <c r="AS474" s="245"/>
      <c r="AT474" s="245"/>
      <c r="AU474" s="245"/>
      <c r="AV474" s="245"/>
      <c r="AW474" s="245"/>
      <c r="AX474" s="245"/>
      <c r="AY474" s="245"/>
      <c r="BA474" s="245"/>
      <c r="BB474" s="245"/>
      <c r="BC474" s="245"/>
      <c r="BD474" s="245"/>
      <c r="BE474" s="245"/>
    </row>
    <row r="475" spans="1:57" ht="14.25" hidden="1" customHeight="1" x14ac:dyDescent="0.2">
      <c r="A475" s="842"/>
      <c r="C475" s="279"/>
      <c r="D475" s="279"/>
      <c r="E475" s="199"/>
      <c r="I475" s="201"/>
      <c r="J475" s="207"/>
      <c r="K475" s="280"/>
      <c r="L475" s="225"/>
      <c r="M475" s="226"/>
      <c r="N475" s="209"/>
      <c r="O475" s="174"/>
      <c r="P475" s="209"/>
      <c r="Q475" s="209"/>
      <c r="R475" s="209"/>
      <c r="S475" s="209"/>
      <c r="U475" s="210"/>
      <c r="V475" s="211"/>
      <c r="W475" s="210"/>
      <c r="X475" s="210"/>
      <c r="Y475" s="210"/>
      <c r="Z475" s="212"/>
      <c r="AA475" s="210"/>
      <c r="AB475" s="213"/>
      <c r="AC475" s="214"/>
      <c r="AD475" s="214"/>
      <c r="AE475" s="215"/>
      <c r="AF475" s="214"/>
      <c r="AG475" s="214"/>
      <c r="AH475" s="215"/>
      <c r="AI475" s="216"/>
      <c r="AL475" s="217"/>
      <c r="AM475" s="218"/>
      <c r="AQ475" s="245"/>
      <c r="AR475" s="245"/>
      <c r="AS475" s="245"/>
      <c r="AT475" s="245"/>
    </row>
    <row r="476" spans="1:57" ht="14.25" hidden="1" customHeight="1" x14ac:dyDescent="0.2">
      <c r="A476" s="842"/>
      <c r="C476" s="279"/>
      <c r="D476" s="279"/>
      <c r="E476" s="199"/>
      <c r="I476" s="201"/>
      <c r="J476" s="207"/>
      <c r="K476" s="281"/>
      <c r="L476" s="225"/>
      <c r="M476" s="226"/>
      <c r="N476" s="209"/>
      <c r="O476" s="174"/>
      <c r="U476" s="210"/>
      <c r="V476" s="211"/>
      <c r="W476" s="210"/>
      <c r="X476" s="210"/>
      <c r="Y476" s="210"/>
      <c r="Z476" s="212"/>
      <c r="AA476" s="210"/>
      <c r="AB476" s="213"/>
      <c r="AC476" s="214"/>
      <c r="AD476" s="214"/>
      <c r="AE476" s="215"/>
      <c r="AF476" s="214"/>
      <c r="AG476" s="214"/>
      <c r="AH476" s="215"/>
      <c r="AI476" s="216"/>
      <c r="AL476" s="217"/>
      <c r="AM476" s="218"/>
    </row>
    <row r="477" spans="1:57" ht="14.25" hidden="1" customHeight="1" x14ac:dyDescent="0.2">
      <c r="A477" s="842"/>
      <c r="C477" s="279"/>
      <c r="D477" s="279"/>
      <c r="E477" s="199"/>
      <c r="I477" s="201"/>
      <c r="J477" s="207"/>
      <c r="K477" s="281"/>
      <c r="L477" s="225"/>
      <c r="M477" s="226"/>
      <c r="N477" s="209"/>
      <c r="O477" s="174"/>
      <c r="U477" s="210"/>
      <c r="V477" s="211"/>
      <c r="W477" s="210"/>
      <c r="X477" s="210"/>
      <c r="Y477" s="210"/>
      <c r="Z477" s="212"/>
      <c r="AA477" s="210"/>
      <c r="AB477" s="213"/>
      <c r="AC477" s="214"/>
      <c r="AD477" s="214"/>
      <c r="AE477" s="215"/>
      <c r="AF477" s="214"/>
      <c r="AG477" s="214"/>
      <c r="AH477" s="215"/>
      <c r="AI477" s="216"/>
      <c r="AL477" s="217"/>
      <c r="AM477" s="218"/>
    </row>
    <row r="478" spans="1:57" ht="14.25" hidden="1" customHeight="1" x14ac:dyDescent="0.2">
      <c r="A478" s="842"/>
      <c r="C478" s="279"/>
      <c r="D478" s="279"/>
      <c r="E478" s="199"/>
      <c r="I478" s="201"/>
      <c r="J478" s="207"/>
      <c r="K478" s="281"/>
      <c r="L478" s="225"/>
      <c r="M478" s="226"/>
      <c r="N478" s="209"/>
      <c r="O478" s="174"/>
      <c r="U478" s="210"/>
      <c r="V478" s="211"/>
      <c r="W478" s="210"/>
      <c r="X478" s="210"/>
      <c r="Y478" s="210"/>
      <c r="Z478" s="212"/>
      <c r="AA478" s="210"/>
      <c r="AB478" s="213"/>
      <c r="AC478" s="214"/>
      <c r="AD478" s="214"/>
      <c r="AE478" s="215"/>
      <c r="AF478" s="214"/>
      <c r="AG478" s="214"/>
      <c r="AH478" s="215"/>
      <c r="AI478" s="216"/>
      <c r="AL478" s="217"/>
      <c r="AM478" s="218"/>
      <c r="AP478" s="245"/>
      <c r="AQ478" s="245"/>
      <c r="AR478" s="245"/>
      <c r="AS478" s="245"/>
      <c r="AT478" s="245"/>
      <c r="AU478" s="245"/>
      <c r="AV478" s="245"/>
      <c r="AW478" s="245"/>
      <c r="AX478" s="245"/>
      <c r="AY478" s="245"/>
      <c r="BA478" s="245"/>
      <c r="BB478" s="245"/>
      <c r="BC478" s="245"/>
      <c r="BD478" s="245"/>
      <c r="BE478" s="245"/>
    </row>
    <row r="479" spans="1:57" ht="14.25" hidden="1" customHeight="1" x14ac:dyDescent="0.2">
      <c r="A479" s="842"/>
      <c r="C479" s="279"/>
      <c r="D479" s="279"/>
      <c r="E479" s="199"/>
      <c r="I479" s="201"/>
      <c r="J479" s="223"/>
      <c r="K479" s="281"/>
      <c r="L479" s="225"/>
      <c r="M479" s="226"/>
      <c r="N479" s="209"/>
      <c r="O479" s="174"/>
      <c r="P479" s="209"/>
      <c r="Q479" s="209"/>
      <c r="R479" s="209"/>
      <c r="S479" s="209"/>
      <c r="U479" s="210"/>
      <c r="V479" s="211"/>
      <c r="W479" s="210"/>
      <c r="X479" s="210"/>
      <c r="Y479" s="210"/>
      <c r="Z479" s="212"/>
      <c r="AA479" s="210"/>
      <c r="AB479" s="213"/>
      <c r="AC479" s="214"/>
      <c r="AD479" s="214"/>
      <c r="AE479" s="215"/>
      <c r="AF479" s="214"/>
      <c r="AG479" s="214"/>
      <c r="AH479" s="215"/>
      <c r="AI479" s="216"/>
      <c r="AL479" s="217"/>
      <c r="AM479" s="218"/>
      <c r="AP479" s="245"/>
      <c r="AQ479" s="245"/>
      <c r="AR479" s="245"/>
      <c r="AS479" s="245"/>
      <c r="AT479" s="245"/>
      <c r="AU479" s="245"/>
      <c r="AV479" s="245"/>
      <c r="AW479" s="245"/>
      <c r="AX479" s="245"/>
      <c r="AY479" s="245"/>
      <c r="BA479" s="245"/>
      <c r="BB479" s="245"/>
      <c r="BC479" s="245"/>
      <c r="BD479" s="245"/>
      <c r="BE479" s="245"/>
    </row>
    <row r="480" spans="1:57" ht="14.25" hidden="1" customHeight="1" x14ac:dyDescent="0.2">
      <c r="A480" s="842"/>
      <c r="C480" s="279"/>
      <c r="D480" s="279"/>
      <c r="E480" s="199"/>
      <c r="I480" s="201"/>
      <c r="J480" s="223"/>
      <c r="K480" s="281"/>
      <c r="L480" s="225"/>
      <c r="M480" s="226"/>
      <c r="N480" s="209"/>
      <c r="O480" s="174"/>
      <c r="P480" s="209"/>
      <c r="Q480" s="209"/>
      <c r="R480" s="209"/>
      <c r="S480" s="209"/>
      <c r="U480" s="210"/>
      <c r="V480" s="211"/>
      <c r="W480" s="210"/>
      <c r="X480" s="210"/>
      <c r="Y480" s="210"/>
      <c r="Z480" s="212"/>
      <c r="AA480" s="210"/>
      <c r="AB480" s="213"/>
      <c r="AC480" s="214"/>
      <c r="AD480" s="214"/>
      <c r="AE480" s="215"/>
      <c r="AF480" s="214"/>
      <c r="AG480" s="214"/>
      <c r="AH480" s="215"/>
      <c r="AI480" s="216"/>
      <c r="AL480" s="217"/>
      <c r="AM480" s="218"/>
      <c r="AP480" s="245"/>
      <c r="AQ480" s="245"/>
      <c r="AR480" s="245"/>
      <c r="AS480" s="245"/>
      <c r="AT480" s="245"/>
      <c r="AU480" s="245"/>
      <c r="AV480" s="245"/>
      <c r="AW480" s="245"/>
      <c r="AX480" s="245"/>
      <c r="AY480" s="245"/>
      <c r="BA480" s="245"/>
      <c r="BB480" s="245"/>
      <c r="BC480" s="245"/>
      <c r="BD480" s="245"/>
      <c r="BE480" s="245"/>
    </row>
    <row r="481" spans="1:57" ht="14.25" hidden="1" customHeight="1" x14ac:dyDescent="0.2">
      <c r="A481" s="842"/>
      <c r="C481" s="279"/>
      <c r="D481" s="279"/>
      <c r="E481" s="199"/>
      <c r="I481" s="201"/>
      <c r="J481" s="223"/>
      <c r="K481" s="282"/>
      <c r="L481" s="225"/>
      <c r="M481" s="226"/>
      <c r="N481" s="209"/>
      <c r="O481" s="174"/>
      <c r="P481" s="209"/>
      <c r="Q481" s="209"/>
      <c r="R481" s="209"/>
      <c r="S481" s="209"/>
      <c r="U481" s="210"/>
      <c r="V481" s="211"/>
      <c r="W481" s="210"/>
      <c r="X481" s="210"/>
      <c r="Y481" s="210"/>
      <c r="Z481" s="212"/>
      <c r="AA481" s="210"/>
      <c r="AB481" s="213"/>
      <c r="AC481" s="214"/>
      <c r="AD481" s="214"/>
      <c r="AE481" s="215"/>
      <c r="AF481" s="214"/>
      <c r="AG481" s="214"/>
      <c r="AH481" s="215"/>
      <c r="AI481" s="216"/>
      <c r="AL481" s="217"/>
      <c r="AM481" s="218"/>
      <c r="AP481" s="245"/>
      <c r="AQ481" s="245"/>
      <c r="AR481" s="245"/>
      <c r="AS481" s="245"/>
      <c r="AT481" s="245"/>
      <c r="AU481" s="245"/>
      <c r="AV481" s="245"/>
      <c r="AW481" s="245"/>
      <c r="AX481" s="245"/>
      <c r="AY481" s="245"/>
      <c r="BA481" s="245"/>
      <c r="BB481" s="245"/>
      <c r="BC481" s="245"/>
      <c r="BD481" s="245"/>
      <c r="BE481" s="245"/>
    </row>
    <row r="482" spans="1:57" ht="14.25" hidden="1" customHeight="1" x14ac:dyDescent="0.2">
      <c r="A482" s="842"/>
      <c r="C482" s="279"/>
      <c r="D482" s="279"/>
      <c r="E482" s="199"/>
      <c r="I482" s="201"/>
      <c r="J482" s="223"/>
      <c r="K482" s="281"/>
      <c r="L482" s="225"/>
      <c r="M482" s="226"/>
      <c r="N482" s="209"/>
      <c r="O482" s="174"/>
      <c r="P482" s="209"/>
      <c r="Q482" s="209"/>
      <c r="R482" s="209"/>
      <c r="S482" s="209"/>
      <c r="U482" s="210"/>
      <c r="V482" s="211"/>
      <c r="W482" s="210"/>
      <c r="X482" s="210"/>
      <c r="Y482" s="210"/>
      <c r="Z482" s="212"/>
      <c r="AA482" s="210"/>
      <c r="AB482" s="213"/>
      <c r="AC482" s="214"/>
      <c r="AD482" s="214"/>
      <c r="AE482" s="215"/>
      <c r="AF482" s="214"/>
      <c r="AG482" s="214"/>
      <c r="AH482" s="215"/>
      <c r="AI482" s="216"/>
      <c r="AL482" s="217"/>
      <c r="AM482" s="218"/>
      <c r="AP482" s="245"/>
      <c r="AQ482" s="245"/>
      <c r="AR482" s="245"/>
      <c r="AS482" s="245"/>
      <c r="AT482" s="245"/>
      <c r="AU482" s="245"/>
      <c r="AV482" s="245"/>
      <c r="AW482" s="245"/>
      <c r="AX482" s="245"/>
      <c r="AY482" s="245"/>
      <c r="BA482" s="245"/>
      <c r="BB482" s="245"/>
      <c r="BC482" s="245"/>
      <c r="BD482" s="245"/>
      <c r="BE482" s="245"/>
    </row>
    <row r="483" spans="1:57" ht="14.25" hidden="1" customHeight="1" x14ac:dyDescent="0.2">
      <c r="A483" s="842"/>
      <c r="C483" s="279"/>
      <c r="D483" s="279"/>
      <c r="E483" s="199"/>
      <c r="I483" s="201"/>
      <c r="J483" s="223"/>
      <c r="K483" s="281"/>
      <c r="L483" s="225"/>
      <c r="M483" s="226"/>
      <c r="N483" s="209"/>
      <c r="O483" s="174"/>
      <c r="P483" s="209"/>
      <c r="Q483" s="209"/>
      <c r="R483" s="209"/>
      <c r="S483" s="209"/>
      <c r="U483" s="210"/>
      <c r="V483" s="211"/>
      <c r="W483" s="210"/>
      <c r="X483" s="210"/>
      <c r="Y483" s="210"/>
      <c r="Z483" s="212"/>
      <c r="AA483" s="210"/>
      <c r="AB483" s="213"/>
      <c r="AC483" s="214"/>
      <c r="AD483" s="214"/>
      <c r="AE483" s="215"/>
      <c r="AF483" s="214"/>
      <c r="AG483" s="214"/>
      <c r="AH483" s="215"/>
      <c r="AI483" s="216"/>
      <c r="AL483" s="217"/>
      <c r="AM483" s="218"/>
      <c r="AP483" s="245"/>
      <c r="AQ483" s="245"/>
      <c r="AR483" s="245"/>
      <c r="AS483" s="245"/>
      <c r="AT483" s="245"/>
      <c r="AU483" s="245"/>
      <c r="AV483" s="245"/>
      <c r="AW483" s="245"/>
      <c r="AX483" s="245"/>
      <c r="AY483" s="245"/>
      <c r="BA483" s="245"/>
      <c r="BB483" s="245"/>
      <c r="BC483" s="245"/>
      <c r="BD483" s="245"/>
      <c r="BE483" s="245"/>
    </row>
    <row r="484" spans="1:57" ht="14.25" hidden="1" customHeight="1" x14ac:dyDescent="0.2">
      <c r="A484" s="842"/>
      <c r="C484" s="279"/>
      <c r="D484" s="279"/>
      <c r="E484" s="199"/>
      <c r="I484" s="201"/>
      <c r="J484" s="223"/>
      <c r="K484" s="281"/>
      <c r="L484" s="225"/>
      <c r="M484" s="226"/>
      <c r="N484" s="209"/>
      <c r="O484" s="174"/>
      <c r="P484" s="209"/>
      <c r="Q484" s="209"/>
      <c r="R484" s="209"/>
      <c r="S484" s="209"/>
      <c r="U484" s="210"/>
      <c r="V484" s="211"/>
      <c r="W484" s="210"/>
      <c r="X484" s="210"/>
      <c r="Y484" s="210"/>
      <c r="Z484" s="212"/>
      <c r="AA484" s="210"/>
      <c r="AB484" s="213"/>
      <c r="AC484" s="214"/>
      <c r="AD484" s="214"/>
      <c r="AE484" s="215"/>
      <c r="AF484" s="214"/>
      <c r="AG484" s="214"/>
      <c r="AH484" s="215"/>
      <c r="AI484" s="216"/>
      <c r="AL484" s="217"/>
      <c r="AM484" s="218"/>
      <c r="AP484" s="245"/>
      <c r="AQ484" s="245"/>
      <c r="AR484" s="245"/>
      <c r="AS484" s="245"/>
      <c r="AT484" s="245"/>
      <c r="AU484" s="245"/>
      <c r="AV484" s="245"/>
      <c r="AW484" s="245"/>
      <c r="AX484" s="245"/>
      <c r="AY484" s="245"/>
      <c r="BA484" s="245"/>
      <c r="BB484" s="245"/>
      <c r="BC484" s="245"/>
      <c r="BD484" s="245"/>
      <c r="BE484" s="245"/>
    </row>
    <row r="485" spans="1:57" ht="14.25" hidden="1" customHeight="1" x14ac:dyDescent="0.2">
      <c r="A485" s="842"/>
      <c r="C485" s="279"/>
      <c r="D485" s="279"/>
      <c r="E485" s="199"/>
      <c r="I485" s="201"/>
      <c r="J485" s="223"/>
      <c r="K485" s="281"/>
      <c r="L485" s="225"/>
      <c r="M485" s="226"/>
      <c r="N485" s="209"/>
      <c r="O485" s="174"/>
      <c r="P485" s="209"/>
      <c r="Q485" s="209"/>
      <c r="R485" s="209"/>
      <c r="S485" s="209"/>
      <c r="U485" s="210"/>
      <c r="V485" s="211"/>
      <c r="W485" s="210"/>
      <c r="X485" s="210"/>
      <c r="Y485" s="210"/>
      <c r="Z485" s="212"/>
      <c r="AA485" s="210"/>
      <c r="AB485" s="213"/>
      <c r="AC485" s="214"/>
      <c r="AD485" s="214"/>
      <c r="AE485" s="215"/>
      <c r="AF485" s="214"/>
      <c r="AG485" s="214"/>
      <c r="AH485" s="215"/>
      <c r="AI485" s="216"/>
      <c r="AL485" s="217"/>
      <c r="AM485" s="218"/>
      <c r="AP485" s="245"/>
      <c r="AQ485" s="245"/>
      <c r="AR485" s="245"/>
      <c r="AS485" s="245"/>
      <c r="AT485" s="245"/>
      <c r="AU485" s="245"/>
      <c r="AV485" s="245"/>
      <c r="AW485" s="245"/>
      <c r="AX485" s="245"/>
      <c r="AY485" s="245"/>
      <c r="BA485" s="245"/>
      <c r="BB485" s="245"/>
      <c r="BC485" s="245"/>
      <c r="BD485" s="245"/>
      <c r="BE485" s="245"/>
    </row>
    <row r="486" spans="1:57" ht="14.25" hidden="1" customHeight="1" x14ac:dyDescent="0.2">
      <c r="A486" s="842"/>
      <c r="C486" s="279"/>
      <c r="D486" s="279"/>
      <c r="E486" s="199"/>
      <c r="I486" s="201"/>
      <c r="J486" s="169"/>
      <c r="K486" s="281"/>
      <c r="L486" s="228"/>
      <c r="M486" s="228"/>
      <c r="N486" s="228"/>
      <c r="O486" s="174"/>
      <c r="P486" s="209"/>
      <c r="Q486" s="209"/>
      <c r="R486" s="209"/>
      <c r="S486" s="209"/>
      <c r="U486" s="210"/>
      <c r="V486" s="211"/>
      <c r="W486" s="210"/>
      <c r="X486" s="210"/>
      <c r="Y486" s="210"/>
      <c r="Z486" s="212"/>
      <c r="AA486" s="210"/>
      <c r="AB486" s="213"/>
      <c r="AC486" s="214"/>
      <c r="AD486" s="214"/>
      <c r="AE486" s="215"/>
      <c r="AF486" s="214"/>
      <c r="AG486" s="214"/>
      <c r="AH486" s="215"/>
      <c r="AI486" s="216"/>
      <c r="AL486" s="217"/>
      <c r="AM486" s="218"/>
      <c r="AP486" s="245"/>
      <c r="AQ486" s="245"/>
      <c r="AR486" s="245"/>
      <c r="AS486" s="245"/>
      <c r="AT486" s="245"/>
      <c r="AU486" s="245"/>
      <c r="AV486" s="245"/>
      <c r="AW486" s="245"/>
      <c r="AX486" s="245"/>
      <c r="AY486" s="245"/>
      <c r="BA486" s="245"/>
      <c r="BB486" s="245"/>
      <c r="BC486" s="245"/>
      <c r="BD486" s="245"/>
      <c r="BE486" s="245"/>
    </row>
    <row r="487" spans="1:57" ht="14.25" hidden="1" customHeight="1" x14ac:dyDescent="0.2">
      <c r="A487" s="842"/>
      <c r="E487" s="247"/>
      <c r="F487" s="248"/>
      <c r="G487" s="248"/>
      <c r="H487" s="248"/>
      <c r="I487" s="247"/>
      <c r="J487" s="172"/>
      <c r="K487" s="228"/>
      <c r="L487" s="228"/>
      <c r="M487" s="228"/>
      <c r="N487" s="228"/>
      <c r="O487" s="174"/>
      <c r="P487" s="209"/>
      <c r="Q487" s="209"/>
      <c r="R487" s="209"/>
      <c r="S487" s="209"/>
      <c r="W487" s="231"/>
      <c r="AC487" s="233"/>
      <c r="AD487" s="233"/>
      <c r="AE487" s="234"/>
      <c r="AF487" s="233"/>
      <c r="AG487" s="233"/>
      <c r="AH487" s="234"/>
      <c r="AI487" s="234"/>
      <c r="AP487" s="245"/>
      <c r="AQ487" s="245"/>
      <c r="AR487" s="245"/>
      <c r="AS487" s="245"/>
      <c r="AT487" s="245"/>
      <c r="AU487" s="245"/>
      <c r="AV487" s="245"/>
      <c r="AW487" s="245"/>
      <c r="AX487" s="245"/>
      <c r="AY487" s="245"/>
      <c r="BA487" s="245"/>
      <c r="BB487" s="245"/>
      <c r="BC487" s="245"/>
      <c r="BD487" s="245"/>
      <c r="BE487" s="245"/>
    </row>
    <row r="488" spans="1:57" ht="14.25" hidden="1" customHeight="1" x14ac:dyDescent="0.2">
      <c r="A488" s="842"/>
      <c r="E488" s="224"/>
      <c r="F488" s="225"/>
      <c r="G488" s="226"/>
      <c r="H488" s="209"/>
      <c r="I488" s="227"/>
      <c r="J488" s="169"/>
      <c r="K488" s="228"/>
      <c r="L488" s="225"/>
      <c r="M488" s="226"/>
      <c r="N488" s="209"/>
      <c r="O488" s="174"/>
      <c r="P488" s="209"/>
      <c r="Q488" s="209"/>
      <c r="R488" s="209"/>
      <c r="S488" s="209"/>
      <c r="W488" s="231"/>
      <c r="AC488" s="233"/>
      <c r="AD488" s="233"/>
      <c r="AE488" s="234"/>
      <c r="AF488" s="233"/>
      <c r="AG488" s="233"/>
      <c r="AH488" s="234"/>
      <c r="AI488" s="197"/>
      <c r="AP488" s="245"/>
      <c r="AQ488" s="245"/>
      <c r="AR488" s="245"/>
      <c r="AS488" s="245"/>
      <c r="AT488" s="245"/>
      <c r="AU488" s="245"/>
      <c r="AV488" s="245"/>
      <c r="AW488" s="245"/>
      <c r="AX488" s="245"/>
      <c r="AY488" s="245"/>
      <c r="BA488" s="245"/>
      <c r="BB488" s="245"/>
      <c r="BC488" s="245"/>
      <c r="BD488" s="245"/>
      <c r="BE488" s="245"/>
    </row>
    <row r="489" spans="1:57" ht="14.25" hidden="1" customHeight="1" x14ac:dyDescent="0.2">
      <c r="A489" s="842"/>
      <c r="B489" s="187"/>
      <c r="C489" s="188"/>
      <c r="D489" s="188"/>
      <c r="E489" s="844"/>
      <c r="F489" s="844"/>
      <c r="G489" s="844"/>
      <c r="H489" s="844"/>
      <c r="I489" s="189"/>
      <c r="J489" s="190"/>
      <c r="K489" s="191"/>
      <c r="L489" s="192"/>
      <c r="U489" s="229"/>
      <c r="V489" s="230"/>
      <c r="W489" s="231"/>
      <c r="X489" s="231"/>
      <c r="Y489" s="231"/>
      <c r="Z489" s="232"/>
      <c r="AA489" s="231"/>
      <c r="AC489" s="197"/>
      <c r="AD489" s="197"/>
      <c r="AE489" s="197"/>
      <c r="AF489" s="197"/>
      <c r="AG489" s="197"/>
      <c r="AH489" s="197"/>
      <c r="AI489" s="197"/>
      <c r="AQ489" s="245"/>
      <c r="AR489" s="245"/>
      <c r="AS489" s="245"/>
      <c r="AT489" s="245"/>
    </row>
    <row r="490" spans="1:57" ht="9" hidden="1" customHeight="1" x14ac:dyDescent="0.2">
      <c r="A490" s="842"/>
      <c r="J490" s="169"/>
      <c r="K490" s="228"/>
      <c r="L490" s="225"/>
      <c r="M490" s="226"/>
      <c r="N490" s="209"/>
      <c r="O490" s="174"/>
      <c r="P490" s="209"/>
      <c r="Q490" s="209"/>
      <c r="R490" s="209"/>
      <c r="S490" s="209"/>
      <c r="AP490" s="245"/>
      <c r="AQ490" s="245"/>
      <c r="AR490" s="245"/>
      <c r="AS490" s="245"/>
      <c r="AT490" s="245"/>
      <c r="AU490" s="245"/>
      <c r="AV490" s="245"/>
      <c r="AW490" s="245"/>
      <c r="AX490" s="245"/>
      <c r="AY490" s="245"/>
      <c r="BA490" s="245"/>
      <c r="BB490" s="245"/>
      <c r="BC490" s="245"/>
      <c r="BD490" s="245"/>
      <c r="BE490" s="245"/>
    </row>
    <row r="491" spans="1:57" ht="14.25" hidden="1" customHeight="1" x14ac:dyDescent="0.2">
      <c r="A491" s="842"/>
      <c r="C491" s="279"/>
      <c r="D491" s="279"/>
      <c r="E491" s="199"/>
      <c r="I491" s="201"/>
      <c r="J491" s="207"/>
      <c r="K491" s="280"/>
      <c r="L491" s="225"/>
      <c r="M491" s="226"/>
      <c r="N491" s="209"/>
      <c r="O491" s="174"/>
      <c r="P491" s="209"/>
      <c r="Q491" s="209"/>
      <c r="R491" s="209"/>
      <c r="S491" s="209"/>
      <c r="U491" s="210"/>
      <c r="V491" s="211"/>
      <c r="W491" s="210"/>
      <c r="X491" s="210"/>
      <c r="Y491" s="210"/>
      <c r="Z491" s="212"/>
      <c r="AA491" s="210"/>
      <c r="AB491" s="213"/>
      <c r="AC491" s="214"/>
      <c r="AD491" s="214"/>
      <c r="AE491" s="215"/>
      <c r="AF491" s="214"/>
      <c r="AG491" s="214"/>
      <c r="AH491" s="215"/>
      <c r="AI491" s="216"/>
      <c r="AL491" s="217"/>
      <c r="AM491" s="218"/>
      <c r="AQ491" s="245"/>
      <c r="AR491" s="245"/>
      <c r="AS491" s="245"/>
      <c r="AT491" s="245"/>
    </row>
    <row r="492" spans="1:57" ht="14.25" hidden="1" customHeight="1" x14ac:dyDescent="0.2">
      <c r="A492" s="842"/>
      <c r="C492" s="279"/>
      <c r="D492" s="279"/>
      <c r="E492" s="199"/>
      <c r="I492" s="201"/>
      <c r="J492" s="207"/>
      <c r="K492" s="281"/>
      <c r="L492" s="225"/>
      <c r="M492" s="226"/>
      <c r="N492" s="209"/>
      <c r="O492" s="174"/>
      <c r="U492" s="210"/>
      <c r="V492" s="211"/>
      <c r="W492" s="210"/>
      <c r="X492" s="210"/>
      <c r="Y492" s="210"/>
      <c r="Z492" s="212"/>
      <c r="AA492" s="210"/>
      <c r="AB492" s="213"/>
      <c r="AC492" s="214"/>
      <c r="AD492" s="214"/>
      <c r="AE492" s="215"/>
      <c r="AF492" s="214"/>
      <c r="AG492" s="214"/>
      <c r="AH492" s="215"/>
      <c r="AI492" s="216"/>
      <c r="AL492" s="217"/>
      <c r="AM492" s="218"/>
    </row>
    <row r="493" spans="1:57" ht="14.25" hidden="1" customHeight="1" x14ac:dyDescent="0.2">
      <c r="A493" s="842"/>
      <c r="C493" s="279"/>
      <c r="D493" s="279"/>
      <c r="E493" s="199"/>
      <c r="I493" s="201"/>
      <c r="J493" s="207"/>
      <c r="K493" s="281"/>
      <c r="L493" s="225"/>
      <c r="M493" s="226"/>
      <c r="N493" s="209"/>
      <c r="O493" s="174"/>
      <c r="U493" s="210"/>
      <c r="V493" s="211"/>
      <c r="W493" s="210"/>
      <c r="X493" s="210"/>
      <c r="Y493" s="210"/>
      <c r="Z493" s="212"/>
      <c r="AA493" s="210"/>
      <c r="AB493" s="213"/>
      <c r="AC493" s="214"/>
      <c r="AD493" s="214"/>
      <c r="AE493" s="215"/>
      <c r="AF493" s="214"/>
      <c r="AG493" s="214"/>
      <c r="AH493" s="215"/>
      <c r="AI493" s="216"/>
      <c r="AL493" s="217"/>
      <c r="AM493" s="218"/>
    </row>
    <row r="494" spans="1:57" ht="14.25" hidden="1" customHeight="1" x14ac:dyDescent="0.2">
      <c r="A494" s="842"/>
      <c r="C494" s="279"/>
      <c r="D494" s="279"/>
      <c r="E494" s="199"/>
      <c r="I494" s="201"/>
      <c r="J494" s="207"/>
      <c r="K494" s="281"/>
      <c r="L494" s="225"/>
      <c r="M494" s="226"/>
      <c r="N494" s="209"/>
      <c r="O494" s="174"/>
      <c r="U494" s="210"/>
      <c r="V494" s="211"/>
      <c r="W494" s="210"/>
      <c r="X494" s="210"/>
      <c r="Y494" s="210"/>
      <c r="Z494" s="212"/>
      <c r="AA494" s="210"/>
      <c r="AB494" s="213"/>
      <c r="AC494" s="214"/>
      <c r="AD494" s="214"/>
      <c r="AE494" s="215"/>
      <c r="AF494" s="214"/>
      <c r="AG494" s="214"/>
      <c r="AH494" s="215"/>
      <c r="AI494" s="216"/>
      <c r="AL494" s="217"/>
      <c r="AM494" s="218"/>
      <c r="AP494" s="245"/>
      <c r="AQ494" s="245"/>
      <c r="AR494" s="245"/>
      <c r="AS494" s="245"/>
      <c r="AT494" s="245"/>
      <c r="AU494" s="245"/>
      <c r="AV494" s="245"/>
      <c r="AW494" s="245"/>
      <c r="AX494" s="245"/>
      <c r="AY494" s="245"/>
      <c r="BA494" s="245"/>
      <c r="BB494" s="245"/>
      <c r="BC494" s="245"/>
      <c r="BD494" s="245"/>
      <c r="BE494" s="245"/>
    </row>
    <row r="495" spans="1:57" ht="14.25" hidden="1" customHeight="1" x14ac:dyDescent="0.2">
      <c r="A495" s="842"/>
      <c r="C495" s="279"/>
      <c r="D495" s="279"/>
      <c r="E495" s="199"/>
      <c r="I495" s="201"/>
      <c r="J495" s="223"/>
      <c r="K495" s="281"/>
      <c r="L495" s="225"/>
      <c r="M495" s="226"/>
      <c r="N495" s="209"/>
      <c r="O495" s="174"/>
      <c r="P495" s="209"/>
      <c r="Q495" s="209"/>
      <c r="R495" s="209"/>
      <c r="S495" s="209"/>
      <c r="U495" s="210"/>
      <c r="V495" s="211"/>
      <c r="W495" s="210"/>
      <c r="X495" s="210"/>
      <c r="Y495" s="210"/>
      <c r="Z495" s="212"/>
      <c r="AA495" s="210"/>
      <c r="AB495" s="213"/>
      <c r="AC495" s="214"/>
      <c r="AD495" s="214"/>
      <c r="AE495" s="215"/>
      <c r="AF495" s="214"/>
      <c r="AG495" s="214"/>
      <c r="AH495" s="215"/>
      <c r="AI495" s="216"/>
      <c r="AL495" s="217"/>
      <c r="AM495" s="218"/>
      <c r="AP495" s="245"/>
      <c r="AQ495" s="245"/>
      <c r="AR495" s="245"/>
      <c r="AS495" s="245"/>
      <c r="AT495" s="245"/>
      <c r="AU495" s="245"/>
      <c r="AV495" s="245"/>
      <c r="AW495" s="245"/>
      <c r="AX495" s="245"/>
      <c r="AY495" s="245"/>
      <c r="BA495" s="245"/>
      <c r="BB495" s="245"/>
      <c r="BC495" s="245"/>
      <c r="BD495" s="245"/>
      <c r="BE495" s="245"/>
    </row>
    <row r="496" spans="1:57" ht="14.25" hidden="1" customHeight="1" x14ac:dyDescent="0.2">
      <c r="A496" s="842"/>
      <c r="C496" s="279"/>
      <c r="D496" s="279"/>
      <c r="E496" s="199"/>
      <c r="I496" s="201"/>
      <c r="J496" s="223"/>
      <c r="K496" s="281"/>
      <c r="L496" s="225"/>
      <c r="M496" s="226"/>
      <c r="N496" s="209"/>
      <c r="O496" s="174"/>
      <c r="P496" s="209"/>
      <c r="Q496" s="209"/>
      <c r="R496" s="209"/>
      <c r="S496" s="209"/>
      <c r="U496" s="210"/>
      <c r="V496" s="211"/>
      <c r="W496" s="210"/>
      <c r="X496" s="210"/>
      <c r="Y496" s="210"/>
      <c r="Z496" s="212"/>
      <c r="AA496" s="210"/>
      <c r="AB496" s="213"/>
      <c r="AC496" s="214"/>
      <c r="AD496" s="214"/>
      <c r="AE496" s="215"/>
      <c r="AF496" s="214"/>
      <c r="AG496" s="214"/>
      <c r="AH496" s="215"/>
      <c r="AI496" s="216"/>
      <c r="AL496" s="217"/>
      <c r="AM496" s="218"/>
      <c r="AP496" s="245"/>
      <c r="AQ496" s="245"/>
      <c r="AR496" s="245"/>
      <c r="AS496" s="245"/>
      <c r="AT496" s="245"/>
      <c r="AU496" s="245"/>
      <c r="AV496" s="245"/>
      <c r="AW496" s="245"/>
      <c r="AX496" s="245"/>
      <c r="AY496" s="245"/>
      <c r="BA496" s="245"/>
      <c r="BB496" s="245"/>
      <c r="BC496" s="245"/>
      <c r="BD496" s="245"/>
      <c r="BE496" s="245"/>
    </row>
    <row r="497" spans="1:57" ht="14.25" hidden="1" customHeight="1" x14ac:dyDescent="0.2">
      <c r="A497" s="842"/>
      <c r="C497" s="279"/>
      <c r="D497" s="279"/>
      <c r="E497" s="199"/>
      <c r="I497" s="201"/>
      <c r="J497" s="223"/>
      <c r="K497" s="282"/>
      <c r="L497" s="225"/>
      <c r="M497" s="226"/>
      <c r="N497" s="209"/>
      <c r="O497" s="174"/>
      <c r="P497" s="209"/>
      <c r="Q497" s="209"/>
      <c r="R497" s="209"/>
      <c r="S497" s="209"/>
      <c r="U497" s="210"/>
      <c r="V497" s="211"/>
      <c r="W497" s="210"/>
      <c r="X497" s="210"/>
      <c r="Y497" s="210"/>
      <c r="Z497" s="212"/>
      <c r="AA497" s="210"/>
      <c r="AB497" s="213"/>
      <c r="AC497" s="214"/>
      <c r="AD497" s="214"/>
      <c r="AE497" s="215"/>
      <c r="AF497" s="214"/>
      <c r="AG497" s="214"/>
      <c r="AH497" s="215"/>
      <c r="AI497" s="216"/>
      <c r="AL497" s="217"/>
      <c r="AM497" s="218"/>
      <c r="AP497" s="245"/>
      <c r="AQ497" s="245"/>
      <c r="AR497" s="245"/>
      <c r="AS497" s="245"/>
      <c r="AT497" s="245"/>
      <c r="AU497" s="245"/>
      <c r="AV497" s="245"/>
      <c r="AW497" s="245"/>
      <c r="AX497" s="245"/>
      <c r="AY497" s="245"/>
      <c r="BA497" s="245"/>
      <c r="BB497" s="245"/>
      <c r="BC497" s="245"/>
      <c r="BD497" s="245"/>
      <c r="BE497" s="245"/>
    </row>
    <row r="498" spans="1:57" ht="14.25" hidden="1" customHeight="1" x14ac:dyDescent="0.2">
      <c r="A498" s="842"/>
      <c r="C498" s="279"/>
      <c r="D498" s="279"/>
      <c r="E498" s="199"/>
      <c r="I498" s="201"/>
      <c r="J498" s="223"/>
      <c r="K498" s="281"/>
      <c r="L498" s="225"/>
      <c r="M498" s="226"/>
      <c r="N498" s="209"/>
      <c r="O498" s="174"/>
      <c r="P498" s="209"/>
      <c r="Q498" s="209"/>
      <c r="R498" s="209"/>
      <c r="S498" s="209"/>
      <c r="U498" s="210"/>
      <c r="V498" s="211"/>
      <c r="W498" s="210"/>
      <c r="X498" s="210"/>
      <c r="Y498" s="210"/>
      <c r="Z498" s="212"/>
      <c r="AA498" s="210"/>
      <c r="AB498" s="213"/>
      <c r="AC498" s="214"/>
      <c r="AD498" s="214"/>
      <c r="AE498" s="215"/>
      <c r="AF498" s="214"/>
      <c r="AG498" s="214"/>
      <c r="AH498" s="215"/>
      <c r="AI498" s="216"/>
      <c r="AL498" s="217"/>
      <c r="AM498" s="218"/>
      <c r="AP498" s="245"/>
      <c r="AQ498" s="245"/>
      <c r="AR498" s="245"/>
      <c r="AS498" s="245"/>
      <c r="AT498" s="245"/>
      <c r="AU498" s="245"/>
      <c r="AV498" s="245"/>
      <c r="AW498" s="245"/>
      <c r="AX498" s="245"/>
      <c r="AY498" s="245"/>
      <c r="BA498" s="245"/>
      <c r="BB498" s="245"/>
      <c r="BC498" s="245"/>
      <c r="BD498" s="245"/>
      <c r="BE498" s="245"/>
    </row>
    <row r="499" spans="1:57" ht="14.25" hidden="1" customHeight="1" x14ac:dyDescent="0.2">
      <c r="A499" s="842"/>
      <c r="C499" s="279"/>
      <c r="D499" s="279"/>
      <c r="E499" s="199"/>
      <c r="I499" s="201"/>
      <c r="J499" s="223"/>
      <c r="K499" s="281"/>
      <c r="L499" s="225"/>
      <c r="M499" s="226"/>
      <c r="N499" s="209"/>
      <c r="O499" s="174"/>
      <c r="P499" s="209"/>
      <c r="Q499" s="209"/>
      <c r="R499" s="209"/>
      <c r="S499" s="209"/>
      <c r="U499" s="210"/>
      <c r="V499" s="211"/>
      <c r="W499" s="210"/>
      <c r="X499" s="210"/>
      <c r="Y499" s="210"/>
      <c r="Z499" s="212"/>
      <c r="AA499" s="210"/>
      <c r="AB499" s="213"/>
      <c r="AC499" s="214"/>
      <c r="AD499" s="214"/>
      <c r="AE499" s="215"/>
      <c r="AF499" s="214"/>
      <c r="AG499" s="214"/>
      <c r="AH499" s="215"/>
      <c r="AI499" s="216"/>
      <c r="AL499" s="217"/>
      <c r="AM499" s="218"/>
      <c r="AP499" s="245"/>
      <c r="AQ499" s="245"/>
      <c r="AR499" s="245"/>
      <c r="AS499" s="245"/>
      <c r="AT499" s="245"/>
      <c r="AU499" s="245"/>
      <c r="AV499" s="245"/>
      <c r="AW499" s="245"/>
      <c r="AX499" s="245"/>
      <c r="AY499" s="245"/>
      <c r="BA499" s="245"/>
      <c r="BB499" s="245"/>
      <c r="BC499" s="245"/>
      <c r="BD499" s="245"/>
      <c r="BE499" s="245"/>
    </row>
    <row r="500" spans="1:57" ht="14.25" hidden="1" customHeight="1" x14ac:dyDescent="0.2">
      <c r="A500" s="842"/>
      <c r="C500" s="279"/>
      <c r="D500" s="279"/>
      <c r="E500" s="199"/>
      <c r="I500" s="201"/>
      <c r="J500" s="223"/>
      <c r="K500" s="281"/>
      <c r="L500" s="225"/>
      <c r="M500" s="226"/>
      <c r="N500" s="209"/>
      <c r="O500" s="174"/>
      <c r="P500" s="209"/>
      <c r="Q500" s="209"/>
      <c r="R500" s="209"/>
      <c r="S500" s="209"/>
      <c r="U500" s="210"/>
      <c r="V500" s="211"/>
      <c r="W500" s="210"/>
      <c r="X500" s="210"/>
      <c r="Y500" s="210"/>
      <c r="Z500" s="212"/>
      <c r="AA500" s="210"/>
      <c r="AB500" s="213"/>
      <c r="AC500" s="214"/>
      <c r="AD500" s="214"/>
      <c r="AE500" s="215"/>
      <c r="AF500" s="214"/>
      <c r="AG500" s="214"/>
      <c r="AH500" s="215"/>
      <c r="AI500" s="216"/>
      <c r="AL500" s="217"/>
      <c r="AM500" s="218"/>
      <c r="AP500" s="245"/>
      <c r="AQ500" s="245"/>
      <c r="AR500" s="245"/>
      <c r="AS500" s="245"/>
      <c r="AT500" s="245"/>
      <c r="AU500" s="245"/>
      <c r="AV500" s="245"/>
      <c r="AW500" s="245"/>
      <c r="AX500" s="245"/>
      <c r="AY500" s="245"/>
      <c r="BA500" s="245"/>
      <c r="BB500" s="245"/>
      <c r="BC500" s="245"/>
      <c r="BD500" s="245"/>
      <c r="BE500" s="245"/>
    </row>
    <row r="501" spans="1:57" ht="14.25" hidden="1" customHeight="1" x14ac:dyDescent="0.2">
      <c r="A501" s="842"/>
      <c r="C501" s="279"/>
      <c r="D501" s="279"/>
      <c r="E501" s="199"/>
      <c r="I501" s="201"/>
      <c r="J501" s="223"/>
      <c r="K501" s="281"/>
      <c r="L501" s="225"/>
      <c r="M501" s="226"/>
      <c r="N501" s="209"/>
      <c r="O501" s="174"/>
      <c r="P501" s="209"/>
      <c r="Q501" s="209"/>
      <c r="R501" s="209"/>
      <c r="S501" s="209"/>
      <c r="U501" s="210"/>
      <c r="V501" s="211"/>
      <c r="W501" s="210"/>
      <c r="X501" s="210"/>
      <c r="Y501" s="210"/>
      <c r="Z501" s="212"/>
      <c r="AA501" s="210"/>
      <c r="AB501" s="213"/>
      <c r="AC501" s="214"/>
      <c r="AD501" s="214"/>
      <c r="AE501" s="215"/>
      <c r="AF501" s="214"/>
      <c r="AG501" s="214"/>
      <c r="AH501" s="215"/>
      <c r="AI501" s="216"/>
      <c r="AL501" s="217"/>
      <c r="AM501" s="218"/>
      <c r="AP501" s="245"/>
      <c r="AQ501" s="245"/>
      <c r="AR501" s="245"/>
      <c r="AS501" s="245"/>
      <c r="AT501" s="245"/>
      <c r="AU501" s="245"/>
      <c r="AV501" s="245"/>
      <c r="AW501" s="245"/>
      <c r="AX501" s="245"/>
      <c r="AY501" s="245"/>
      <c r="BA501" s="245"/>
      <c r="BB501" s="245"/>
      <c r="BC501" s="245"/>
      <c r="BD501" s="245"/>
      <c r="BE501" s="245"/>
    </row>
    <row r="502" spans="1:57" ht="14.25" hidden="1" customHeight="1" x14ac:dyDescent="0.2">
      <c r="A502" s="842"/>
      <c r="C502" s="279"/>
      <c r="D502" s="279"/>
      <c r="E502" s="199"/>
      <c r="I502" s="201"/>
      <c r="J502" s="169"/>
      <c r="K502" s="281"/>
      <c r="L502" s="228"/>
      <c r="M502" s="228"/>
      <c r="N502" s="228"/>
      <c r="O502" s="174"/>
      <c r="P502" s="209"/>
      <c r="Q502" s="209"/>
      <c r="R502" s="209"/>
      <c r="S502" s="209"/>
      <c r="U502" s="210"/>
      <c r="V502" s="211"/>
      <c r="W502" s="210"/>
      <c r="X502" s="210"/>
      <c r="Y502" s="210"/>
      <c r="Z502" s="212"/>
      <c r="AA502" s="210"/>
      <c r="AB502" s="213"/>
      <c r="AC502" s="214"/>
      <c r="AD502" s="214"/>
      <c r="AE502" s="215"/>
      <c r="AF502" s="214"/>
      <c r="AG502" s="214"/>
      <c r="AH502" s="215"/>
      <c r="AI502" s="216"/>
      <c r="AL502" s="217"/>
      <c r="AM502" s="218"/>
      <c r="AP502" s="245"/>
      <c r="AQ502" s="245"/>
      <c r="AR502" s="245"/>
      <c r="AS502" s="245"/>
      <c r="AT502" s="245"/>
      <c r="AU502" s="245"/>
      <c r="AV502" s="245"/>
      <c r="AW502" s="245"/>
      <c r="AX502" s="245"/>
      <c r="AY502" s="245"/>
      <c r="BA502" s="245"/>
      <c r="BB502" s="245"/>
      <c r="BC502" s="245"/>
      <c r="BD502" s="245"/>
      <c r="BE502" s="245"/>
    </row>
    <row r="503" spans="1:57" ht="14.25" hidden="1" customHeight="1" x14ac:dyDescent="0.2">
      <c r="A503" s="842"/>
      <c r="E503" s="247"/>
      <c r="F503" s="248"/>
      <c r="G503" s="248"/>
      <c r="H503" s="248"/>
      <c r="I503" s="247"/>
      <c r="J503" s="172"/>
      <c r="K503" s="228"/>
      <c r="L503" s="228"/>
      <c r="M503" s="228"/>
      <c r="N503" s="228"/>
      <c r="O503" s="174"/>
      <c r="P503" s="209"/>
      <c r="Q503" s="209"/>
      <c r="R503" s="209"/>
      <c r="S503" s="209"/>
      <c r="W503" s="231"/>
      <c r="AC503" s="233"/>
      <c r="AD503" s="233"/>
      <c r="AE503" s="234"/>
      <c r="AF503" s="233"/>
      <c r="AG503" s="233"/>
      <c r="AH503" s="234"/>
      <c r="AI503" s="234"/>
      <c r="AP503" s="245"/>
      <c r="AQ503" s="245"/>
      <c r="AR503" s="245"/>
      <c r="AS503" s="245"/>
      <c r="AT503" s="245"/>
      <c r="AU503" s="245"/>
      <c r="AV503" s="245"/>
      <c r="AW503" s="245"/>
      <c r="AX503" s="245"/>
      <c r="AY503" s="245"/>
      <c r="BA503" s="245"/>
      <c r="BB503" s="245"/>
      <c r="BC503" s="245"/>
      <c r="BD503" s="245"/>
      <c r="BE503" s="245"/>
    </row>
    <row r="504" spans="1:57" ht="14.25" hidden="1" customHeight="1" x14ac:dyDescent="0.2">
      <c r="A504" s="842"/>
      <c r="E504" s="224"/>
      <c r="F504" s="225"/>
      <c r="G504" s="226"/>
      <c r="H504" s="209"/>
      <c r="I504" s="227"/>
      <c r="J504" s="169"/>
      <c r="K504" s="228"/>
      <c r="L504" s="225"/>
      <c r="M504" s="226"/>
      <c r="N504" s="209"/>
      <c r="O504" s="174"/>
      <c r="P504" s="209"/>
      <c r="Q504" s="209"/>
      <c r="R504" s="209"/>
      <c r="S504" s="209"/>
      <c r="W504" s="231"/>
      <c r="AC504" s="233"/>
      <c r="AD504" s="233"/>
      <c r="AE504" s="234"/>
      <c r="AF504" s="233"/>
      <c r="AG504" s="233"/>
      <c r="AH504" s="234"/>
      <c r="AI504" s="197"/>
      <c r="AP504" s="245"/>
      <c r="AQ504" s="245"/>
      <c r="AR504" s="245"/>
      <c r="AS504" s="245"/>
      <c r="AT504" s="245"/>
      <c r="AU504" s="245"/>
      <c r="AV504" s="245"/>
      <c r="AW504" s="245"/>
      <c r="AX504" s="245"/>
      <c r="AY504" s="245"/>
      <c r="BA504" s="245"/>
      <c r="BB504" s="245"/>
      <c r="BC504" s="245"/>
      <c r="BD504" s="245"/>
      <c r="BE504" s="245"/>
    </row>
    <row r="505" spans="1:57" ht="14.25" hidden="1" customHeight="1" x14ac:dyDescent="0.2">
      <c r="A505" s="842"/>
      <c r="B505" s="187"/>
      <c r="C505" s="188"/>
      <c r="D505" s="188"/>
      <c r="E505" s="844"/>
      <c r="F505" s="844"/>
      <c r="G505" s="844"/>
      <c r="H505" s="844"/>
      <c r="I505" s="189"/>
      <c r="J505" s="190"/>
      <c r="K505" s="191"/>
      <c r="L505" s="192"/>
      <c r="U505" s="229"/>
      <c r="V505" s="230"/>
      <c r="W505" s="231"/>
      <c r="X505" s="231"/>
      <c r="Y505" s="231"/>
      <c r="Z505" s="232"/>
      <c r="AA505" s="231"/>
      <c r="AC505" s="197"/>
      <c r="AD505" s="197"/>
      <c r="AE505" s="197"/>
      <c r="AF505" s="197"/>
      <c r="AG505" s="197"/>
      <c r="AH505" s="197"/>
      <c r="AI505" s="197"/>
      <c r="AQ505" s="245"/>
      <c r="AR505" s="245"/>
      <c r="AS505" s="245"/>
      <c r="AT505" s="245"/>
    </row>
    <row r="506" spans="1:57" ht="9" hidden="1" customHeight="1" x14ac:dyDescent="0.2">
      <c r="A506" s="842"/>
      <c r="J506" s="169"/>
      <c r="K506" s="228"/>
      <c r="L506" s="225"/>
      <c r="M506" s="226"/>
      <c r="N506" s="209"/>
      <c r="O506" s="174"/>
      <c r="P506" s="209"/>
      <c r="Q506" s="209"/>
      <c r="R506" s="209"/>
      <c r="S506" s="209"/>
      <c r="AP506" s="245"/>
      <c r="AQ506" s="245"/>
      <c r="AR506" s="245"/>
      <c r="AS506" s="245"/>
      <c r="AT506" s="245"/>
      <c r="AU506" s="245"/>
      <c r="AV506" s="245"/>
      <c r="AW506" s="245"/>
      <c r="AX506" s="245"/>
      <c r="AY506" s="245"/>
      <c r="BA506" s="245"/>
      <c r="BB506" s="245"/>
      <c r="BC506" s="245"/>
      <c r="BD506" s="245"/>
      <c r="BE506" s="245"/>
    </row>
    <row r="507" spans="1:57" ht="14.25" hidden="1" customHeight="1" x14ac:dyDescent="0.2">
      <c r="A507" s="842"/>
      <c r="C507" s="279"/>
      <c r="D507" s="279"/>
      <c r="E507" s="199"/>
      <c r="I507" s="201"/>
      <c r="J507" s="207"/>
      <c r="K507" s="280"/>
      <c r="L507" s="225"/>
      <c r="M507" s="226"/>
      <c r="N507" s="209"/>
      <c r="O507" s="174"/>
      <c r="P507" s="209"/>
      <c r="Q507" s="209"/>
      <c r="R507" s="209"/>
      <c r="S507" s="209"/>
      <c r="U507" s="210"/>
      <c r="V507" s="211"/>
      <c r="W507" s="210"/>
      <c r="X507" s="210"/>
      <c r="Y507" s="210"/>
      <c r="Z507" s="212"/>
      <c r="AA507" s="210"/>
      <c r="AB507" s="213"/>
      <c r="AC507" s="214"/>
      <c r="AD507" s="214"/>
      <c r="AE507" s="215"/>
      <c r="AF507" s="214"/>
      <c r="AG507" s="214"/>
      <c r="AH507" s="215"/>
      <c r="AI507" s="216"/>
      <c r="AL507" s="217"/>
      <c r="AM507" s="218"/>
      <c r="AQ507" s="245"/>
      <c r="AR507" s="245"/>
      <c r="AS507" s="245"/>
      <c r="AT507" s="245"/>
    </row>
    <row r="508" spans="1:57" ht="14.25" hidden="1" customHeight="1" x14ac:dyDescent="0.2">
      <c r="A508" s="842"/>
      <c r="C508" s="279"/>
      <c r="D508" s="279"/>
      <c r="E508" s="199"/>
      <c r="I508" s="201"/>
      <c r="J508" s="207"/>
      <c r="K508" s="281"/>
      <c r="L508" s="225"/>
      <c r="M508" s="226"/>
      <c r="N508" s="209"/>
      <c r="O508" s="174"/>
      <c r="U508" s="210"/>
      <c r="V508" s="211"/>
      <c r="W508" s="210"/>
      <c r="X508" s="210"/>
      <c r="Y508" s="210"/>
      <c r="Z508" s="212"/>
      <c r="AA508" s="210"/>
      <c r="AB508" s="213"/>
      <c r="AC508" s="214"/>
      <c r="AD508" s="214"/>
      <c r="AE508" s="215"/>
      <c r="AF508" s="214"/>
      <c r="AG508" s="214"/>
      <c r="AH508" s="215"/>
      <c r="AI508" s="216"/>
      <c r="AL508" s="217"/>
      <c r="AM508" s="218"/>
    </row>
    <row r="509" spans="1:57" ht="14.25" hidden="1" customHeight="1" x14ac:dyDescent="0.2">
      <c r="A509" s="842"/>
      <c r="C509" s="279"/>
      <c r="D509" s="279"/>
      <c r="E509" s="199"/>
      <c r="I509" s="201"/>
      <c r="J509" s="207"/>
      <c r="K509" s="281"/>
      <c r="L509" s="225"/>
      <c r="M509" s="226"/>
      <c r="N509" s="209"/>
      <c r="O509" s="174"/>
      <c r="U509" s="210"/>
      <c r="V509" s="211"/>
      <c r="W509" s="210"/>
      <c r="X509" s="210"/>
      <c r="Y509" s="210"/>
      <c r="Z509" s="212"/>
      <c r="AA509" s="210"/>
      <c r="AB509" s="213"/>
      <c r="AC509" s="214"/>
      <c r="AD509" s="214"/>
      <c r="AE509" s="215"/>
      <c r="AF509" s="214"/>
      <c r="AG509" s="214"/>
      <c r="AH509" s="215"/>
      <c r="AI509" s="216"/>
      <c r="AL509" s="217"/>
      <c r="AM509" s="218"/>
    </row>
    <row r="510" spans="1:57" ht="14.25" hidden="1" customHeight="1" x14ac:dyDescent="0.2">
      <c r="A510" s="842"/>
      <c r="C510" s="279"/>
      <c r="D510" s="279"/>
      <c r="E510" s="199"/>
      <c r="I510" s="201"/>
      <c r="J510" s="207"/>
      <c r="K510" s="281"/>
      <c r="L510" s="225"/>
      <c r="M510" s="226"/>
      <c r="N510" s="209"/>
      <c r="O510" s="174"/>
      <c r="U510" s="210"/>
      <c r="V510" s="211"/>
      <c r="W510" s="210"/>
      <c r="X510" s="210"/>
      <c r="Y510" s="210"/>
      <c r="Z510" s="212"/>
      <c r="AA510" s="210"/>
      <c r="AB510" s="213"/>
      <c r="AC510" s="214"/>
      <c r="AD510" s="214"/>
      <c r="AE510" s="215"/>
      <c r="AF510" s="214"/>
      <c r="AG510" s="214"/>
      <c r="AH510" s="215"/>
      <c r="AI510" s="216"/>
      <c r="AL510" s="217"/>
      <c r="AM510" s="218"/>
      <c r="AP510" s="245"/>
      <c r="AQ510" s="245"/>
      <c r="AR510" s="245"/>
      <c r="AS510" s="245"/>
      <c r="AT510" s="245"/>
      <c r="AU510" s="245"/>
      <c r="AV510" s="245"/>
      <c r="AW510" s="245"/>
      <c r="AX510" s="245"/>
      <c r="AY510" s="245"/>
      <c r="BA510" s="245"/>
      <c r="BB510" s="245"/>
      <c r="BC510" s="245"/>
      <c r="BD510" s="245"/>
      <c r="BE510" s="245"/>
    </row>
    <row r="511" spans="1:57" ht="14.25" hidden="1" customHeight="1" x14ac:dyDescent="0.2">
      <c r="A511" s="842"/>
      <c r="C511" s="279"/>
      <c r="D511" s="279"/>
      <c r="E511" s="199"/>
      <c r="I511" s="201"/>
      <c r="J511" s="223"/>
      <c r="K511" s="281"/>
      <c r="L511" s="225"/>
      <c r="M511" s="226"/>
      <c r="N511" s="209"/>
      <c r="O511" s="174"/>
      <c r="P511" s="209"/>
      <c r="Q511" s="209"/>
      <c r="R511" s="209"/>
      <c r="S511" s="209"/>
      <c r="U511" s="210"/>
      <c r="V511" s="211"/>
      <c r="W511" s="210"/>
      <c r="X511" s="210"/>
      <c r="Y511" s="210"/>
      <c r="Z511" s="212"/>
      <c r="AA511" s="210"/>
      <c r="AB511" s="213"/>
      <c r="AC511" s="214"/>
      <c r="AD511" s="214"/>
      <c r="AE511" s="215"/>
      <c r="AF511" s="214"/>
      <c r="AG511" s="214"/>
      <c r="AH511" s="215"/>
      <c r="AI511" s="216"/>
      <c r="AL511" s="217"/>
      <c r="AM511" s="218"/>
      <c r="AP511" s="245"/>
      <c r="AQ511" s="245"/>
      <c r="AR511" s="245"/>
      <c r="AS511" s="245"/>
      <c r="AT511" s="245"/>
      <c r="AU511" s="245"/>
      <c r="AV511" s="245"/>
      <c r="AW511" s="245"/>
      <c r="AX511" s="245"/>
      <c r="AY511" s="245"/>
      <c r="BA511" s="245"/>
      <c r="BB511" s="245"/>
      <c r="BC511" s="245"/>
      <c r="BD511" s="245"/>
      <c r="BE511" s="245"/>
    </row>
    <row r="512" spans="1:57" ht="14.25" hidden="1" customHeight="1" x14ac:dyDescent="0.2">
      <c r="A512" s="842"/>
      <c r="C512" s="279"/>
      <c r="D512" s="279"/>
      <c r="E512" s="199"/>
      <c r="I512" s="201"/>
      <c r="J512" s="223"/>
      <c r="K512" s="281"/>
      <c r="L512" s="225"/>
      <c r="M512" s="226"/>
      <c r="N512" s="209"/>
      <c r="O512" s="174"/>
      <c r="P512" s="209"/>
      <c r="Q512" s="209"/>
      <c r="R512" s="209"/>
      <c r="S512" s="209"/>
      <c r="U512" s="210"/>
      <c r="V512" s="211"/>
      <c r="W512" s="210"/>
      <c r="X512" s="210"/>
      <c r="Y512" s="210"/>
      <c r="Z512" s="212"/>
      <c r="AA512" s="210"/>
      <c r="AB512" s="213"/>
      <c r="AC512" s="214"/>
      <c r="AD512" s="214"/>
      <c r="AE512" s="215"/>
      <c r="AF512" s="214"/>
      <c r="AG512" s="214"/>
      <c r="AH512" s="215"/>
      <c r="AI512" s="216"/>
      <c r="AL512" s="217"/>
      <c r="AM512" s="218"/>
      <c r="AP512" s="245"/>
      <c r="AQ512" s="245"/>
      <c r="AR512" s="245"/>
      <c r="AS512" s="245"/>
      <c r="AT512" s="245"/>
      <c r="AU512" s="245"/>
      <c r="AV512" s="245"/>
      <c r="AW512" s="245"/>
      <c r="AX512" s="245"/>
      <c r="AY512" s="245"/>
      <c r="BA512" s="245"/>
      <c r="BB512" s="245"/>
      <c r="BC512" s="245"/>
      <c r="BD512" s="245"/>
      <c r="BE512" s="245"/>
    </row>
    <row r="513" spans="1:57" ht="14.25" hidden="1" customHeight="1" x14ac:dyDescent="0.2">
      <c r="A513" s="842"/>
      <c r="C513" s="279"/>
      <c r="D513" s="279"/>
      <c r="E513" s="199"/>
      <c r="I513" s="201"/>
      <c r="J513" s="223"/>
      <c r="K513" s="282"/>
      <c r="L513" s="225"/>
      <c r="M513" s="226"/>
      <c r="N513" s="209"/>
      <c r="O513" s="174"/>
      <c r="P513" s="209"/>
      <c r="Q513" s="209"/>
      <c r="R513" s="209"/>
      <c r="S513" s="209"/>
      <c r="U513" s="210"/>
      <c r="V513" s="211"/>
      <c r="W513" s="210"/>
      <c r="X513" s="210"/>
      <c r="Y513" s="210"/>
      <c r="Z513" s="212"/>
      <c r="AA513" s="210"/>
      <c r="AB513" s="213"/>
      <c r="AC513" s="214"/>
      <c r="AD513" s="214"/>
      <c r="AE513" s="215"/>
      <c r="AF513" s="214"/>
      <c r="AG513" s="214"/>
      <c r="AH513" s="215"/>
      <c r="AI513" s="216"/>
      <c r="AL513" s="217"/>
      <c r="AM513" s="218"/>
      <c r="AP513" s="245"/>
      <c r="AQ513" s="245"/>
      <c r="AR513" s="245"/>
      <c r="AS513" s="245"/>
      <c r="AT513" s="245"/>
      <c r="AU513" s="245"/>
      <c r="AV513" s="245"/>
      <c r="AW513" s="245"/>
      <c r="AX513" s="245"/>
      <c r="AY513" s="245"/>
      <c r="BA513" s="245"/>
      <c r="BB513" s="245"/>
      <c r="BC513" s="245"/>
      <c r="BD513" s="245"/>
      <c r="BE513" s="245"/>
    </row>
    <row r="514" spans="1:57" ht="14.25" hidden="1" customHeight="1" x14ac:dyDescent="0.2">
      <c r="A514" s="842"/>
      <c r="C514" s="279"/>
      <c r="D514" s="279"/>
      <c r="E514" s="199"/>
      <c r="I514" s="201"/>
      <c r="J514" s="223"/>
      <c r="K514" s="281"/>
      <c r="L514" s="225"/>
      <c r="M514" s="226"/>
      <c r="N514" s="209"/>
      <c r="O514" s="174"/>
      <c r="P514" s="209"/>
      <c r="Q514" s="209"/>
      <c r="R514" s="209"/>
      <c r="S514" s="209"/>
      <c r="U514" s="210"/>
      <c r="V514" s="211"/>
      <c r="W514" s="210"/>
      <c r="X514" s="210"/>
      <c r="Y514" s="210"/>
      <c r="Z514" s="212"/>
      <c r="AA514" s="210"/>
      <c r="AB514" s="213"/>
      <c r="AC514" s="214"/>
      <c r="AD514" s="214"/>
      <c r="AE514" s="215"/>
      <c r="AF514" s="214"/>
      <c r="AG514" s="214"/>
      <c r="AH514" s="215"/>
      <c r="AI514" s="216"/>
      <c r="AL514" s="217"/>
      <c r="AM514" s="218"/>
      <c r="AP514" s="245"/>
      <c r="AQ514" s="245"/>
      <c r="AR514" s="245"/>
      <c r="AS514" s="245"/>
      <c r="AT514" s="245"/>
      <c r="AU514" s="245"/>
      <c r="AV514" s="245"/>
      <c r="AW514" s="245"/>
      <c r="AX514" s="245"/>
      <c r="AY514" s="245"/>
      <c r="BA514" s="245"/>
      <c r="BB514" s="245"/>
      <c r="BC514" s="245"/>
      <c r="BD514" s="245"/>
      <c r="BE514" s="245"/>
    </row>
    <row r="515" spans="1:57" ht="14.25" hidden="1" customHeight="1" x14ac:dyDescent="0.2">
      <c r="A515" s="842"/>
      <c r="C515" s="279"/>
      <c r="D515" s="279"/>
      <c r="E515" s="199"/>
      <c r="I515" s="201"/>
      <c r="J515" s="223"/>
      <c r="K515" s="281"/>
      <c r="L515" s="225"/>
      <c r="M515" s="226"/>
      <c r="N515" s="209"/>
      <c r="O515" s="174"/>
      <c r="P515" s="209"/>
      <c r="Q515" s="209"/>
      <c r="R515" s="209"/>
      <c r="S515" s="209"/>
      <c r="U515" s="210"/>
      <c r="V515" s="211"/>
      <c r="W515" s="210"/>
      <c r="X515" s="210"/>
      <c r="Y515" s="210"/>
      <c r="Z515" s="212"/>
      <c r="AA515" s="210"/>
      <c r="AB515" s="213"/>
      <c r="AC515" s="214"/>
      <c r="AD515" s="214"/>
      <c r="AE515" s="215"/>
      <c r="AF515" s="214"/>
      <c r="AG515" s="214"/>
      <c r="AH515" s="215"/>
      <c r="AI515" s="216"/>
      <c r="AL515" s="217"/>
      <c r="AM515" s="218"/>
      <c r="AP515" s="245"/>
      <c r="AQ515" s="245"/>
      <c r="AR515" s="245"/>
      <c r="AS515" s="245"/>
      <c r="AT515" s="245"/>
      <c r="AU515" s="245"/>
      <c r="AV515" s="245"/>
      <c r="AW515" s="245"/>
      <c r="AX515" s="245"/>
      <c r="AY515" s="245"/>
      <c r="BA515" s="245"/>
      <c r="BB515" s="245"/>
      <c r="BC515" s="245"/>
      <c r="BD515" s="245"/>
      <c r="BE515" s="245"/>
    </row>
    <row r="516" spans="1:57" ht="14.25" hidden="1" customHeight="1" x14ac:dyDescent="0.2">
      <c r="A516" s="842"/>
      <c r="C516" s="279"/>
      <c r="D516" s="279"/>
      <c r="E516" s="199"/>
      <c r="I516" s="201"/>
      <c r="J516" s="223"/>
      <c r="K516" s="281"/>
      <c r="L516" s="225"/>
      <c r="M516" s="226"/>
      <c r="N516" s="209"/>
      <c r="O516" s="174"/>
      <c r="P516" s="209"/>
      <c r="Q516" s="209"/>
      <c r="R516" s="209"/>
      <c r="S516" s="209"/>
      <c r="U516" s="210"/>
      <c r="V516" s="211"/>
      <c r="W516" s="210"/>
      <c r="X516" s="210"/>
      <c r="Y516" s="210"/>
      <c r="Z516" s="212"/>
      <c r="AA516" s="210"/>
      <c r="AB516" s="213"/>
      <c r="AC516" s="214"/>
      <c r="AD516" s="214"/>
      <c r="AE516" s="215"/>
      <c r="AF516" s="214"/>
      <c r="AG516" s="214"/>
      <c r="AH516" s="215"/>
      <c r="AI516" s="216"/>
      <c r="AL516" s="217"/>
      <c r="AM516" s="218"/>
      <c r="AP516" s="245"/>
      <c r="AQ516" s="245"/>
      <c r="AR516" s="245"/>
      <c r="AS516" s="245"/>
      <c r="AT516" s="245"/>
      <c r="AU516" s="245"/>
      <c r="AV516" s="245"/>
      <c r="AW516" s="245"/>
      <c r="AX516" s="245"/>
      <c r="AY516" s="245"/>
      <c r="BA516" s="245"/>
      <c r="BB516" s="245"/>
      <c r="BC516" s="245"/>
      <c r="BD516" s="245"/>
      <c r="BE516" s="245"/>
    </row>
    <row r="517" spans="1:57" ht="14.25" hidden="1" customHeight="1" x14ac:dyDescent="0.2">
      <c r="A517" s="842"/>
      <c r="C517" s="279"/>
      <c r="D517" s="279"/>
      <c r="E517" s="199"/>
      <c r="I517" s="201"/>
      <c r="J517" s="223"/>
      <c r="K517" s="281"/>
      <c r="L517" s="225"/>
      <c r="M517" s="226"/>
      <c r="N517" s="209"/>
      <c r="O517" s="174"/>
      <c r="P517" s="209"/>
      <c r="Q517" s="209"/>
      <c r="R517" s="209"/>
      <c r="S517" s="209"/>
      <c r="U517" s="210"/>
      <c r="V517" s="211"/>
      <c r="W517" s="210"/>
      <c r="X517" s="210"/>
      <c r="Y517" s="210"/>
      <c r="Z517" s="212"/>
      <c r="AA517" s="210"/>
      <c r="AB517" s="213"/>
      <c r="AC517" s="214"/>
      <c r="AD517" s="214"/>
      <c r="AE517" s="215"/>
      <c r="AF517" s="214"/>
      <c r="AG517" s="214"/>
      <c r="AH517" s="215"/>
      <c r="AI517" s="216"/>
      <c r="AL517" s="217"/>
      <c r="AM517" s="218"/>
      <c r="AP517" s="245"/>
      <c r="AQ517" s="245"/>
      <c r="AR517" s="245"/>
      <c r="AS517" s="245"/>
      <c r="AT517" s="245"/>
      <c r="AU517" s="245"/>
      <c r="AV517" s="245"/>
      <c r="AW517" s="245"/>
      <c r="AX517" s="245"/>
      <c r="AY517" s="245"/>
      <c r="BA517" s="245"/>
      <c r="BB517" s="245"/>
      <c r="BC517" s="245"/>
      <c r="BD517" s="245"/>
      <c r="BE517" s="245"/>
    </row>
    <row r="518" spans="1:57" ht="14.25" hidden="1" customHeight="1" x14ac:dyDescent="0.2">
      <c r="A518" s="842"/>
      <c r="C518" s="279"/>
      <c r="D518" s="279"/>
      <c r="E518" s="199"/>
      <c r="I518" s="201"/>
      <c r="J518" s="169"/>
      <c r="K518" s="281"/>
      <c r="L518" s="228"/>
      <c r="M518" s="228"/>
      <c r="N518" s="228"/>
      <c r="O518" s="174"/>
      <c r="P518" s="209"/>
      <c r="Q518" s="209"/>
      <c r="R518" s="209"/>
      <c r="S518" s="209"/>
      <c r="U518" s="210"/>
      <c r="V518" s="211"/>
      <c r="W518" s="210"/>
      <c r="X518" s="210"/>
      <c r="Y518" s="210"/>
      <c r="Z518" s="212"/>
      <c r="AA518" s="210"/>
      <c r="AB518" s="213"/>
      <c r="AC518" s="214"/>
      <c r="AD518" s="214"/>
      <c r="AE518" s="215"/>
      <c r="AF518" s="214"/>
      <c r="AG518" s="214"/>
      <c r="AH518" s="215"/>
      <c r="AI518" s="216"/>
      <c r="AL518" s="217"/>
      <c r="AM518" s="218"/>
      <c r="AP518" s="245"/>
      <c r="AQ518" s="245"/>
      <c r="AR518" s="245"/>
      <c r="AS518" s="245"/>
      <c r="AT518" s="245"/>
      <c r="AU518" s="245"/>
      <c r="AV518" s="245"/>
      <c r="AW518" s="245"/>
      <c r="AX518" s="245"/>
      <c r="AY518" s="245"/>
      <c r="BA518" s="245"/>
      <c r="BB518" s="245"/>
      <c r="BC518" s="245"/>
      <c r="BD518" s="245"/>
      <c r="BE518" s="245"/>
    </row>
    <row r="519" spans="1:57" ht="14.25" hidden="1" customHeight="1" x14ac:dyDescent="0.2">
      <c r="A519" s="842"/>
      <c r="E519" s="247"/>
      <c r="F519" s="248"/>
      <c r="G519" s="248"/>
      <c r="H519" s="248"/>
      <c r="I519" s="247"/>
      <c r="J519" s="172"/>
      <c r="K519" s="228"/>
      <c r="L519" s="228"/>
      <c r="M519" s="228"/>
      <c r="N519" s="228"/>
      <c r="O519" s="174"/>
      <c r="P519" s="209"/>
      <c r="Q519" s="209"/>
      <c r="R519" s="209"/>
      <c r="S519" s="209"/>
      <c r="W519" s="231"/>
      <c r="AC519" s="233"/>
      <c r="AD519" s="233"/>
      <c r="AE519" s="234"/>
      <c r="AF519" s="233"/>
      <c r="AG519" s="233"/>
      <c r="AH519" s="234"/>
      <c r="AI519" s="234"/>
      <c r="AP519" s="245"/>
      <c r="AQ519" s="245"/>
      <c r="AR519" s="245"/>
      <c r="AS519" s="245"/>
      <c r="AT519" s="245"/>
      <c r="AU519" s="245"/>
      <c r="AV519" s="245"/>
      <c r="AW519" s="245"/>
      <c r="AX519" s="245"/>
      <c r="AY519" s="245"/>
      <c r="BA519" s="245"/>
      <c r="BB519" s="245"/>
      <c r="BC519" s="245"/>
      <c r="BD519" s="245"/>
      <c r="BE519" s="245"/>
    </row>
    <row r="520" spans="1:57" ht="14.25" hidden="1" customHeight="1" x14ac:dyDescent="0.2">
      <c r="A520" s="842"/>
      <c r="E520" s="224"/>
      <c r="F520" s="225"/>
      <c r="G520" s="226"/>
      <c r="H520" s="209"/>
      <c r="I520" s="227"/>
      <c r="J520" s="169"/>
      <c r="K520" s="228"/>
      <c r="L520" s="225"/>
      <c r="M520" s="226"/>
      <c r="N520" s="209"/>
      <c r="O520" s="174"/>
      <c r="P520" s="209"/>
      <c r="Q520" s="209"/>
      <c r="R520" s="209"/>
      <c r="S520" s="209"/>
      <c r="W520" s="231"/>
      <c r="AC520" s="233"/>
      <c r="AD520" s="233"/>
      <c r="AE520" s="234"/>
      <c r="AF520" s="233"/>
      <c r="AG520" s="233"/>
      <c r="AH520" s="234"/>
      <c r="AI520" s="197"/>
      <c r="AP520" s="245"/>
      <c r="AQ520" s="245"/>
      <c r="AR520" s="245"/>
      <c r="AS520" s="245"/>
      <c r="AT520" s="245"/>
      <c r="AU520" s="245"/>
      <c r="AV520" s="245"/>
      <c r="AW520" s="245"/>
      <c r="AX520" s="245"/>
      <c r="AY520" s="245"/>
      <c r="BA520" s="245"/>
      <c r="BB520" s="245"/>
      <c r="BC520" s="245"/>
      <c r="BD520" s="245"/>
      <c r="BE520" s="245"/>
    </row>
    <row r="521" spans="1:57" ht="14.25" hidden="1" customHeight="1" x14ac:dyDescent="0.2">
      <c r="A521" s="842"/>
      <c r="B521" s="187"/>
      <c r="C521" s="188"/>
      <c r="D521" s="188"/>
      <c r="E521" s="844"/>
      <c r="F521" s="844"/>
      <c r="G521" s="844"/>
      <c r="H521" s="844"/>
      <c r="I521" s="189"/>
      <c r="J521" s="190"/>
      <c r="K521" s="191"/>
      <c r="L521" s="192"/>
      <c r="U521" s="229"/>
      <c r="V521" s="230"/>
      <c r="W521" s="231"/>
      <c r="X521" s="231"/>
      <c r="Y521" s="231"/>
      <c r="Z521" s="232"/>
      <c r="AA521" s="231"/>
      <c r="AC521" s="197"/>
      <c r="AD521" s="197"/>
      <c r="AE521" s="197"/>
      <c r="AF521" s="197"/>
      <c r="AG521" s="197"/>
      <c r="AH521" s="197"/>
      <c r="AI521" s="197"/>
      <c r="AQ521" s="245"/>
      <c r="AR521" s="245"/>
      <c r="AS521" s="245"/>
      <c r="AT521" s="245"/>
    </row>
    <row r="522" spans="1:57" ht="9" hidden="1" customHeight="1" x14ac:dyDescent="0.2">
      <c r="A522" s="842"/>
      <c r="J522" s="169"/>
      <c r="K522" s="228"/>
      <c r="L522" s="225"/>
      <c r="M522" s="226"/>
      <c r="N522" s="209"/>
      <c r="O522" s="174"/>
      <c r="P522" s="209"/>
      <c r="Q522" s="209"/>
      <c r="R522" s="209"/>
      <c r="S522" s="209"/>
      <c r="AP522" s="245"/>
      <c r="AQ522" s="245"/>
      <c r="AR522" s="245"/>
      <c r="AS522" s="245"/>
      <c r="AT522" s="245"/>
      <c r="AU522" s="245"/>
      <c r="AV522" s="245"/>
      <c r="AW522" s="245"/>
      <c r="AX522" s="245"/>
      <c r="AY522" s="245"/>
      <c r="BA522" s="245"/>
      <c r="BB522" s="245"/>
      <c r="BC522" s="245"/>
      <c r="BD522" s="245"/>
      <c r="BE522" s="245"/>
    </row>
    <row r="523" spans="1:57" ht="14.25" hidden="1" customHeight="1" x14ac:dyDescent="0.2">
      <c r="A523" s="842"/>
      <c r="C523" s="279"/>
      <c r="D523" s="279"/>
      <c r="E523" s="199"/>
      <c r="I523" s="201"/>
      <c r="J523" s="207"/>
      <c r="K523" s="280"/>
      <c r="L523" s="225"/>
      <c r="M523" s="226"/>
      <c r="N523" s="209"/>
      <c r="O523" s="174"/>
      <c r="P523" s="209"/>
      <c r="Q523" s="209"/>
      <c r="R523" s="209"/>
      <c r="S523" s="209"/>
      <c r="U523" s="210"/>
      <c r="V523" s="211"/>
      <c r="W523" s="210"/>
      <c r="X523" s="210"/>
      <c r="Y523" s="210"/>
      <c r="Z523" s="212"/>
      <c r="AA523" s="210"/>
      <c r="AB523" s="213"/>
      <c r="AC523" s="214"/>
      <c r="AD523" s="214"/>
      <c r="AE523" s="215"/>
      <c r="AF523" s="214"/>
      <c r="AG523" s="214"/>
      <c r="AH523" s="215"/>
      <c r="AI523" s="216"/>
      <c r="AL523" s="217"/>
      <c r="AM523" s="218"/>
      <c r="AQ523" s="245"/>
      <c r="AR523" s="245"/>
      <c r="AS523" s="245"/>
      <c r="AT523" s="245"/>
    </row>
    <row r="524" spans="1:57" ht="14.25" hidden="1" customHeight="1" x14ac:dyDescent="0.2">
      <c r="A524" s="842"/>
      <c r="C524" s="279"/>
      <c r="D524" s="279"/>
      <c r="E524" s="199"/>
      <c r="I524" s="201"/>
      <c r="J524" s="207"/>
      <c r="K524" s="281"/>
      <c r="L524" s="225"/>
      <c r="M524" s="226"/>
      <c r="N524" s="209"/>
      <c r="O524" s="174"/>
      <c r="U524" s="210"/>
      <c r="V524" s="211"/>
      <c r="W524" s="210"/>
      <c r="X524" s="210"/>
      <c r="Y524" s="210"/>
      <c r="Z524" s="212"/>
      <c r="AA524" s="210"/>
      <c r="AB524" s="213"/>
      <c r="AC524" s="214"/>
      <c r="AD524" s="214"/>
      <c r="AE524" s="215"/>
      <c r="AF524" s="214"/>
      <c r="AG524" s="214"/>
      <c r="AH524" s="215"/>
      <c r="AI524" s="216"/>
      <c r="AL524" s="217"/>
      <c r="AM524" s="218"/>
    </row>
    <row r="525" spans="1:57" ht="14.25" hidden="1" customHeight="1" x14ac:dyDescent="0.2">
      <c r="A525" s="842"/>
      <c r="C525" s="279"/>
      <c r="D525" s="279"/>
      <c r="E525" s="199"/>
      <c r="I525" s="201"/>
      <c r="J525" s="207"/>
      <c r="K525" s="281"/>
      <c r="L525" s="225"/>
      <c r="M525" s="226"/>
      <c r="N525" s="209"/>
      <c r="O525" s="174"/>
      <c r="U525" s="210"/>
      <c r="V525" s="211"/>
      <c r="W525" s="210"/>
      <c r="X525" s="210"/>
      <c r="Y525" s="210"/>
      <c r="Z525" s="212"/>
      <c r="AA525" s="210"/>
      <c r="AB525" s="213"/>
      <c r="AC525" s="214"/>
      <c r="AD525" s="214"/>
      <c r="AE525" s="215"/>
      <c r="AF525" s="214"/>
      <c r="AG525" s="214"/>
      <c r="AH525" s="215"/>
      <c r="AI525" s="216"/>
      <c r="AL525" s="217"/>
      <c r="AM525" s="218"/>
    </row>
    <row r="526" spans="1:57" ht="14.25" hidden="1" customHeight="1" x14ac:dyDescent="0.2">
      <c r="A526" s="842"/>
      <c r="C526" s="279"/>
      <c r="D526" s="279"/>
      <c r="E526" s="199"/>
      <c r="I526" s="201"/>
      <c r="J526" s="207"/>
      <c r="K526" s="281"/>
      <c r="L526" s="225"/>
      <c r="M526" s="226"/>
      <c r="N526" s="209"/>
      <c r="O526" s="174"/>
      <c r="U526" s="210"/>
      <c r="V526" s="211"/>
      <c r="W526" s="210"/>
      <c r="X526" s="210"/>
      <c r="Y526" s="210"/>
      <c r="Z526" s="212"/>
      <c r="AA526" s="210"/>
      <c r="AB526" s="213"/>
      <c r="AC526" s="214"/>
      <c r="AD526" s="214"/>
      <c r="AE526" s="215"/>
      <c r="AF526" s="214"/>
      <c r="AG526" s="214"/>
      <c r="AH526" s="215"/>
      <c r="AI526" s="216"/>
      <c r="AL526" s="217"/>
      <c r="AM526" s="218"/>
      <c r="AP526" s="245"/>
      <c r="AQ526" s="245"/>
      <c r="AR526" s="245"/>
      <c r="AS526" s="245"/>
      <c r="AT526" s="245"/>
      <c r="AU526" s="245"/>
      <c r="AV526" s="245"/>
      <c r="AW526" s="245"/>
      <c r="AX526" s="245"/>
      <c r="AY526" s="245"/>
      <c r="BA526" s="245"/>
      <c r="BB526" s="245"/>
      <c r="BC526" s="245"/>
      <c r="BD526" s="245"/>
      <c r="BE526" s="245"/>
    </row>
    <row r="527" spans="1:57" ht="14.25" hidden="1" customHeight="1" x14ac:dyDescent="0.2">
      <c r="A527" s="842"/>
      <c r="C527" s="279"/>
      <c r="D527" s="279"/>
      <c r="E527" s="199"/>
      <c r="I527" s="201"/>
      <c r="J527" s="223"/>
      <c r="K527" s="281"/>
      <c r="L527" s="225"/>
      <c r="M527" s="226"/>
      <c r="N527" s="209"/>
      <c r="O527" s="174"/>
      <c r="P527" s="209"/>
      <c r="Q527" s="209"/>
      <c r="R527" s="209"/>
      <c r="S527" s="209"/>
      <c r="U527" s="210"/>
      <c r="V527" s="211"/>
      <c r="W527" s="210"/>
      <c r="X527" s="210"/>
      <c r="Y527" s="210"/>
      <c r="Z527" s="212"/>
      <c r="AA527" s="210"/>
      <c r="AB527" s="213"/>
      <c r="AC527" s="214"/>
      <c r="AD527" s="214"/>
      <c r="AE527" s="215"/>
      <c r="AF527" s="214"/>
      <c r="AG527" s="214"/>
      <c r="AH527" s="215"/>
      <c r="AI527" s="216"/>
      <c r="AL527" s="217"/>
      <c r="AM527" s="218"/>
      <c r="AP527" s="245"/>
      <c r="AQ527" s="245"/>
      <c r="AR527" s="245"/>
      <c r="AS527" s="245"/>
      <c r="AT527" s="245"/>
      <c r="AU527" s="245"/>
      <c r="AV527" s="245"/>
      <c r="AW527" s="245"/>
      <c r="AX527" s="245"/>
      <c r="AY527" s="245"/>
      <c r="BA527" s="245"/>
      <c r="BB527" s="245"/>
      <c r="BC527" s="245"/>
      <c r="BD527" s="245"/>
      <c r="BE527" s="245"/>
    </row>
    <row r="528" spans="1:57" ht="14.25" hidden="1" customHeight="1" x14ac:dyDescent="0.2">
      <c r="A528" s="842"/>
      <c r="C528" s="279"/>
      <c r="D528" s="279"/>
      <c r="E528" s="199"/>
      <c r="I528" s="201"/>
      <c r="J528" s="223"/>
      <c r="K528" s="281"/>
      <c r="L528" s="225"/>
      <c r="M528" s="226"/>
      <c r="N528" s="209"/>
      <c r="O528" s="174"/>
      <c r="P528" s="209"/>
      <c r="Q528" s="209"/>
      <c r="R528" s="209"/>
      <c r="S528" s="209"/>
      <c r="U528" s="210"/>
      <c r="V528" s="211"/>
      <c r="W528" s="210"/>
      <c r="X528" s="210"/>
      <c r="Y528" s="210"/>
      <c r="Z528" s="212"/>
      <c r="AA528" s="210"/>
      <c r="AB528" s="213"/>
      <c r="AC528" s="214"/>
      <c r="AD528" s="214"/>
      <c r="AE528" s="215"/>
      <c r="AF528" s="214"/>
      <c r="AG528" s="214"/>
      <c r="AH528" s="215"/>
      <c r="AI528" s="216"/>
      <c r="AL528" s="217"/>
      <c r="AM528" s="218"/>
      <c r="AP528" s="245"/>
      <c r="AQ528" s="245"/>
      <c r="AR528" s="245"/>
      <c r="AS528" s="245"/>
      <c r="AT528" s="245"/>
      <c r="AU528" s="245"/>
      <c r="AV528" s="245"/>
      <c r="AW528" s="245"/>
      <c r="AX528" s="245"/>
      <c r="AY528" s="245"/>
      <c r="BA528" s="245"/>
      <c r="BB528" s="245"/>
      <c r="BC528" s="245"/>
      <c r="BD528" s="245"/>
      <c r="BE528" s="245"/>
    </row>
    <row r="529" spans="1:57" ht="14.25" hidden="1" customHeight="1" x14ac:dyDescent="0.2">
      <c r="A529" s="842"/>
      <c r="C529" s="279"/>
      <c r="D529" s="279"/>
      <c r="E529" s="199"/>
      <c r="I529" s="201"/>
      <c r="J529" s="223"/>
      <c r="K529" s="282"/>
      <c r="L529" s="225"/>
      <c r="M529" s="226"/>
      <c r="N529" s="209"/>
      <c r="O529" s="174"/>
      <c r="P529" s="209"/>
      <c r="Q529" s="209"/>
      <c r="R529" s="209"/>
      <c r="S529" s="209"/>
      <c r="U529" s="210"/>
      <c r="V529" s="211"/>
      <c r="W529" s="210"/>
      <c r="X529" s="210"/>
      <c r="Y529" s="210"/>
      <c r="Z529" s="212"/>
      <c r="AA529" s="210"/>
      <c r="AB529" s="213"/>
      <c r="AC529" s="214"/>
      <c r="AD529" s="214"/>
      <c r="AE529" s="215"/>
      <c r="AF529" s="214"/>
      <c r="AG529" s="214"/>
      <c r="AH529" s="215"/>
      <c r="AI529" s="216"/>
      <c r="AL529" s="217"/>
      <c r="AM529" s="218"/>
      <c r="AP529" s="245"/>
      <c r="AQ529" s="245"/>
      <c r="AR529" s="245"/>
      <c r="AS529" s="245"/>
      <c r="AT529" s="245"/>
      <c r="AU529" s="245"/>
      <c r="AV529" s="245"/>
      <c r="AW529" s="245"/>
      <c r="AX529" s="245"/>
      <c r="AY529" s="245"/>
      <c r="BA529" s="245"/>
      <c r="BB529" s="245"/>
      <c r="BC529" s="245"/>
      <c r="BD529" s="245"/>
      <c r="BE529" s="245"/>
    </row>
    <row r="530" spans="1:57" ht="14.25" hidden="1" customHeight="1" x14ac:dyDescent="0.2">
      <c r="A530" s="842"/>
      <c r="C530" s="279"/>
      <c r="D530" s="279"/>
      <c r="E530" s="199"/>
      <c r="I530" s="201"/>
      <c r="J530" s="223"/>
      <c r="K530" s="281"/>
      <c r="L530" s="225"/>
      <c r="M530" s="226"/>
      <c r="N530" s="209"/>
      <c r="O530" s="174"/>
      <c r="P530" s="209"/>
      <c r="Q530" s="209"/>
      <c r="R530" s="209"/>
      <c r="S530" s="209"/>
      <c r="U530" s="210"/>
      <c r="V530" s="211"/>
      <c r="W530" s="210"/>
      <c r="X530" s="210"/>
      <c r="Y530" s="210"/>
      <c r="Z530" s="212"/>
      <c r="AA530" s="210"/>
      <c r="AB530" s="213"/>
      <c r="AC530" s="214"/>
      <c r="AD530" s="214"/>
      <c r="AE530" s="215"/>
      <c r="AF530" s="214"/>
      <c r="AG530" s="214"/>
      <c r="AH530" s="215"/>
      <c r="AI530" s="216"/>
      <c r="AL530" s="217"/>
      <c r="AM530" s="218"/>
      <c r="AP530" s="245"/>
      <c r="AQ530" s="245"/>
      <c r="AR530" s="245"/>
      <c r="AS530" s="245"/>
      <c r="AT530" s="245"/>
      <c r="AU530" s="245"/>
      <c r="AV530" s="245"/>
      <c r="AW530" s="245"/>
      <c r="AX530" s="245"/>
      <c r="AY530" s="245"/>
      <c r="BA530" s="245"/>
      <c r="BB530" s="245"/>
      <c r="BC530" s="245"/>
      <c r="BD530" s="245"/>
      <c r="BE530" s="245"/>
    </row>
    <row r="531" spans="1:57" ht="14.25" hidden="1" customHeight="1" x14ac:dyDescent="0.2">
      <c r="A531" s="842"/>
      <c r="C531" s="279"/>
      <c r="D531" s="279"/>
      <c r="E531" s="199"/>
      <c r="I531" s="201"/>
      <c r="J531" s="223"/>
      <c r="K531" s="281"/>
      <c r="L531" s="225"/>
      <c r="M531" s="226"/>
      <c r="N531" s="209"/>
      <c r="O531" s="174"/>
      <c r="P531" s="209"/>
      <c r="Q531" s="209"/>
      <c r="R531" s="209"/>
      <c r="S531" s="209"/>
      <c r="U531" s="210"/>
      <c r="V531" s="211"/>
      <c r="W531" s="210"/>
      <c r="X531" s="210"/>
      <c r="Y531" s="210"/>
      <c r="Z531" s="212"/>
      <c r="AA531" s="210"/>
      <c r="AB531" s="213"/>
      <c r="AC531" s="214"/>
      <c r="AD531" s="214"/>
      <c r="AE531" s="215"/>
      <c r="AF531" s="214"/>
      <c r="AG531" s="214"/>
      <c r="AH531" s="215"/>
      <c r="AI531" s="216"/>
      <c r="AL531" s="217"/>
      <c r="AM531" s="218"/>
      <c r="AP531" s="245"/>
      <c r="AQ531" s="245"/>
      <c r="AR531" s="245"/>
      <c r="AS531" s="245"/>
      <c r="AT531" s="245"/>
      <c r="AU531" s="245"/>
      <c r="AV531" s="245"/>
      <c r="AW531" s="245"/>
      <c r="AX531" s="245"/>
      <c r="AY531" s="245"/>
      <c r="BA531" s="245"/>
      <c r="BB531" s="245"/>
      <c r="BC531" s="245"/>
      <c r="BD531" s="245"/>
      <c r="BE531" s="245"/>
    </row>
    <row r="532" spans="1:57" ht="14.25" hidden="1" customHeight="1" x14ac:dyDescent="0.2">
      <c r="A532" s="842"/>
      <c r="C532" s="279"/>
      <c r="D532" s="279"/>
      <c r="E532" s="199"/>
      <c r="I532" s="201"/>
      <c r="J532" s="223"/>
      <c r="K532" s="281"/>
      <c r="L532" s="225"/>
      <c r="M532" s="226"/>
      <c r="N532" s="209"/>
      <c r="O532" s="174"/>
      <c r="P532" s="209"/>
      <c r="Q532" s="209"/>
      <c r="R532" s="209"/>
      <c r="S532" s="209"/>
      <c r="U532" s="210"/>
      <c r="V532" s="211"/>
      <c r="W532" s="210"/>
      <c r="X532" s="210"/>
      <c r="Y532" s="210"/>
      <c r="Z532" s="212"/>
      <c r="AA532" s="210"/>
      <c r="AB532" s="213"/>
      <c r="AC532" s="214"/>
      <c r="AD532" s="214"/>
      <c r="AE532" s="215"/>
      <c r="AF532" s="214"/>
      <c r="AG532" s="214"/>
      <c r="AH532" s="215"/>
      <c r="AI532" s="216"/>
      <c r="AL532" s="217"/>
      <c r="AM532" s="218"/>
      <c r="AP532" s="245"/>
      <c r="AQ532" s="245"/>
      <c r="AR532" s="245"/>
      <c r="AS532" s="245"/>
      <c r="AT532" s="245"/>
      <c r="AU532" s="245"/>
      <c r="AV532" s="245"/>
      <c r="AW532" s="245"/>
      <c r="AX532" s="245"/>
      <c r="AY532" s="245"/>
      <c r="BA532" s="245"/>
      <c r="BB532" s="245"/>
      <c r="BC532" s="245"/>
      <c r="BD532" s="245"/>
      <c r="BE532" s="245"/>
    </row>
    <row r="533" spans="1:57" ht="14.25" hidden="1" customHeight="1" x14ac:dyDescent="0.2">
      <c r="A533" s="842"/>
      <c r="C533" s="279"/>
      <c r="D533" s="279"/>
      <c r="E533" s="199"/>
      <c r="I533" s="201"/>
      <c r="J533" s="223"/>
      <c r="K533" s="281"/>
      <c r="L533" s="225"/>
      <c r="M533" s="226"/>
      <c r="N533" s="209"/>
      <c r="O533" s="174"/>
      <c r="P533" s="209"/>
      <c r="Q533" s="209"/>
      <c r="R533" s="209"/>
      <c r="S533" s="209"/>
      <c r="U533" s="210"/>
      <c r="V533" s="211"/>
      <c r="W533" s="210"/>
      <c r="X533" s="210"/>
      <c r="Y533" s="210"/>
      <c r="Z533" s="212"/>
      <c r="AA533" s="210"/>
      <c r="AB533" s="213"/>
      <c r="AC533" s="214"/>
      <c r="AD533" s="214"/>
      <c r="AE533" s="215"/>
      <c r="AF533" s="214"/>
      <c r="AG533" s="214"/>
      <c r="AH533" s="215"/>
      <c r="AI533" s="216"/>
      <c r="AL533" s="217"/>
      <c r="AM533" s="218"/>
      <c r="AP533" s="245"/>
      <c r="AQ533" s="245"/>
      <c r="AR533" s="245"/>
      <c r="AS533" s="245"/>
      <c r="AT533" s="245"/>
      <c r="AU533" s="245"/>
      <c r="AV533" s="245"/>
      <c r="AW533" s="245"/>
      <c r="AX533" s="245"/>
      <c r="AY533" s="245"/>
      <c r="BA533" s="245"/>
      <c r="BB533" s="245"/>
      <c r="BC533" s="245"/>
      <c r="BD533" s="245"/>
      <c r="BE533" s="245"/>
    </row>
    <row r="534" spans="1:57" ht="14.25" hidden="1" customHeight="1" x14ac:dyDescent="0.2">
      <c r="A534" s="842"/>
      <c r="C534" s="279"/>
      <c r="D534" s="279"/>
      <c r="E534" s="199"/>
      <c r="I534" s="201"/>
      <c r="J534" s="169"/>
      <c r="K534" s="281"/>
      <c r="L534" s="228"/>
      <c r="M534" s="228"/>
      <c r="N534" s="228"/>
      <c r="O534" s="174"/>
      <c r="P534" s="209"/>
      <c r="Q534" s="209"/>
      <c r="R534" s="209"/>
      <c r="S534" s="209"/>
      <c r="U534" s="210"/>
      <c r="V534" s="211"/>
      <c r="W534" s="210"/>
      <c r="X534" s="210"/>
      <c r="Y534" s="210"/>
      <c r="Z534" s="212"/>
      <c r="AA534" s="210"/>
      <c r="AB534" s="213"/>
      <c r="AC534" s="214"/>
      <c r="AD534" s="214"/>
      <c r="AE534" s="215"/>
      <c r="AF534" s="214"/>
      <c r="AG534" s="214"/>
      <c r="AH534" s="215"/>
      <c r="AI534" s="216"/>
      <c r="AL534" s="217"/>
      <c r="AM534" s="218"/>
      <c r="AP534" s="245"/>
      <c r="AQ534" s="245"/>
      <c r="AR534" s="245"/>
      <c r="AS534" s="245"/>
      <c r="AT534" s="245"/>
      <c r="AU534" s="245"/>
      <c r="AV534" s="245"/>
      <c r="AW534" s="245"/>
      <c r="AX534" s="245"/>
      <c r="AY534" s="245"/>
      <c r="BA534" s="245"/>
      <c r="BB534" s="245"/>
      <c r="BC534" s="245"/>
      <c r="BD534" s="245"/>
      <c r="BE534" s="245"/>
    </row>
    <row r="535" spans="1:57" ht="14.25" hidden="1" customHeight="1" x14ac:dyDescent="0.2">
      <c r="A535" s="842"/>
      <c r="E535" s="247"/>
      <c r="F535" s="248"/>
      <c r="G535" s="248"/>
      <c r="H535" s="248"/>
      <c r="I535" s="247"/>
      <c r="J535" s="172"/>
      <c r="K535" s="228"/>
      <c r="L535" s="228"/>
      <c r="M535" s="228"/>
      <c r="N535" s="228"/>
      <c r="O535" s="174"/>
      <c r="P535" s="209"/>
      <c r="Q535" s="209"/>
      <c r="R535" s="209"/>
      <c r="S535" s="209"/>
      <c r="W535" s="231"/>
      <c r="AC535" s="233"/>
      <c r="AD535" s="233"/>
      <c r="AE535" s="234"/>
      <c r="AF535" s="233"/>
      <c r="AG535" s="233"/>
      <c r="AH535" s="234"/>
      <c r="AI535" s="234"/>
      <c r="AP535" s="245"/>
      <c r="AQ535" s="245"/>
      <c r="AR535" s="245"/>
      <c r="AS535" s="245"/>
      <c r="AT535" s="245"/>
      <c r="AU535" s="245"/>
      <c r="AV535" s="245"/>
      <c r="AW535" s="245"/>
      <c r="AX535" s="245"/>
      <c r="AY535" s="245"/>
      <c r="BA535" s="245"/>
      <c r="BB535" s="245"/>
      <c r="BC535" s="245"/>
      <c r="BD535" s="245"/>
      <c r="BE535" s="245"/>
    </row>
    <row r="536" spans="1:57" ht="14.25" hidden="1" customHeight="1" x14ac:dyDescent="0.2">
      <c r="A536" s="842"/>
      <c r="E536" s="224"/>
      <c r="F536" s="225"/>
      <c r="G536" s="226"/>
      <c r="H536" s="209"/>
      <c r="I536" s="227"/>
      <c r="J536" s="169"/>
      <c r="K536" s="228"/>
      <c r="L536" s="225"/>
      <c r="M536" s="226"/>
      <c r="N536" s="209"/>
      <c r="O536" s="174"/>
      <c r="P536" s="209"/>
      <c r="Q536" s="209"/>
      <c r="R536" s="209"/>
      <c r="S536" s="209"/>
      <c r="W536" s="231"/>
      <c r="AC536" s="233"/>
      <c r="AD536" s="233"/>
      <c r="AE536" s="234"/>
      <c r="AF536" s="233"/>
      <c r="AG536" s="233"/>
      <c r="AH536" s="234"/>
      <c r="AI536" s="197"/>
      <c r="AP536" s="245"/>
      <c r="AQ536" s="245"/>
      <c r="AR536" s="245"/>
      <c r="AS536" s="245"/>
      <c r="AT536" s="245"/>
      <c r="AU536" s="245"/>
      <c r="AV536" s="245"/>
      <c r="AW536" s="245"/>
      <c r="AX536" s="245"/>
      <c r="AY536" s="245"/>
      <c r="BA536" s="245"/>
      <c r="BB536" s="245"/>
      <c r="BC536" s="245"/>
      <c r="BD536" s="245"/>
      <c r="BE536" s="245"/>
    </row>
    <row r="537" spans="1:57" ht="14.25" hidden="1" customHeight="1" x14ac:dyDescent="0.2">
      <c r="A537" s="842"/>
      <c r="B537" s="187"/>
      <c r="C537" s="188"/>
      <c r="D537" s="188"/>
      <c r="E537" s="844"/>
      <c r="F537" s="844"/>
      <c r="G537" s="844"/>
      <c r="H537" s="844"/>
      <c r="I537" s="189"/>
      <c r="J537" s="190"/>
      <c r="K537" s="191"/>
      <c r="L537" s="192"/>
      <c r="U537" s="229"/>
      <c r="V537" s="230"/>
      <c r="W537" s="231"/>
      <c r="X537" s="231"/>
      <c r="Y537" s="231"/>
      <c r="Z537" s="232"/>
      <c r="AA537" s="231"/>
      <c r="AC537" s="197"/>
      <c r="AD537" s="197"/>
      <c r="AE537" s="197"/>
      <c r="AF537" s="197"/>
      <c r="AG537" s="197"/>
      <c r="AH537" s="197"/>
      <c r="AI537" s="197"/>
      <c r="AQ537" s="245"/>
      <c r="AR537" s="245"/>
      <c r="AS537" s="245"/>
      <c r="AT537" s="245"/>
    </row>
    <row r="538" spans="1:57" ht="9" hidden="1" customHeight="1" x14ac:dyDescent="0.2">
      <c r="A538" s="842"/>
      <c r="J538" s="169"/>
      <c r="K538" s="228"/>
      <c r="L538" s="225"/>
      <c r="M538" s="226"/>
      <c r="N538" s="209"/>
      <c r="O538" s="174"/>
      <c r="P538" s="209"/>
      <c r="Q538" s="209"/>
      <c r="R538" s="209"/>
      <c r="S538" s="209"/>
      <c r="AP538" s="245"/>
      <c r="AQ538" s="245"/>
      <c r="AR538" s="245"/>
      <c r="AS538" s="245"/>
      <c r="AT538" s="245"/>
      <c r="AU538" s="245"/>
      <c r="AV538" s="245"/>
      <c r="AW538" s="245"/>
      <c r="AX538" s="245"/>
      <c r="AY538" s="245"/>
      <c r="BA538" s="245"/>
      <c r="BB538" s="245"/>
      <c r="BC538" s="245"/>
      <c r="BD538" s="245"/>
      <c r="BE538" s="245"/>
    </row>
    <row r="539" spans="1:57" ht="14.25" hidden="1" customHeight="1" x14ac:dyDescent="0.2">
      <c r="A539" s="842"/>
      <c r="C539" s="279"/>
      <c r="D539" s="279"/>
      <c r="E539" s="199"/>
      <c r="I539" s="201"/>
      <c r="J539" s="207"/>
      <c r="K539" s="280"/>
      <c r="L539" s="225"/>
      <c r="M539" s="226"/>
      <c r="N539" s="209"/>
      <c r="O539" s="174"/>
      <c r="P539" s="209"/>
      <c r="Q539" s="209"/>
      <c r="R539" s="209"/>
      <c r="S539" s="209"/>
      <c r="U539" s="210"/>
      <c r="V539" s="211"/>
      <c r="W539" s="210"/>
      <c r="X539" s="210"/>
      <c r="Y539" s="210"/>
      <c r="Z539" s="212"/>
      <c r="AA539" s="210"/>
      <c r="AB539" s="213"/>
      <c r="AC539" s="214"/>
      <c r="AD539" s="214"/>
      <c r="AE539" s="215"/>
      <c r="AF539" s="214"/>
      <c r="AG539" s="214"/>
      <c r="AH539" s="215"/>
      <c r="AI539" s="216"/>
      <c r="AL539" s="217"/>
      <c r="AM539" s="218"/>
      <c r="AQ539" s="245"/>
      <c r="AR539" s="245"/>
      <c r="AS539" s="245"/>
      <c r="AT539" s="245"/>
    </row>
    <row r="540" spans="1:57" ht="14.25" hidden="1" customHeight="1" x14ac:dyDescent="0.2">
      <c r="A540" s="842"/>
      <c r="C540" s="279"/>
      <c r="D540" s="279"/>
      <c r="E540" s="199"/>
      <c r="I540" s="201"/>
      <c r="J540" s="207"/>
      <c r="K540" s="281"/>
      <c r="L540" s="225"/>
      <c r="M540" s="226"/>
      <c r="N540" s="209"/>
      <c r="O540" s="174"/>
      <c r="U540" s="210"/>
      <c r="V540" s="211"/>
      <c r="W540" s="210"/>
      <c r="X540" s="210"/>
      <c r="Y540" s="210"/>
      <c r="Z540" s="212"/>
      <c r="AA540" s="210"/>
      <c r="AB540" s="213"/>
      <c r="AC540" s="214"/>
      <c r="AD540" s="214"/>
      <c r="AE540" s="215"/>
      <c r="AF540" s="214"/>
      <c r="AG540" s="214"/>
      <c r="AH540" s="215"/>
      <c r="AI540" s="216"/>
      <c r="AL540" s="217"/>
      <c r="AM540" s="218"/>
    </row>
    <row r="541" spans="1:57" ht="14.25" hidden="1" customHeight="1" x14ac:dyDescent="0.2">
      <c r="A541" s="842"/>
      <c r="C541" s="279"/>
      <c r="D541" s="279"/>
      <c r="E541" s="199"/>
      <c r="I541" s="201"/>
      <c r="J541" s="207"/>
      <c r="K541" s="281"/>
      <c r="L541" s="225"/>
      <c r="M541" s="226"/>
      <c r="N541" s="209"/>
      <c r="O541" s="174"/>
      <c r="U541" s="210"/>
      <c r="V541" s="211"/>
      <c r="W541" s="210"/>
      <c r="X541" s="210"/>
      <c r="Y541" s="210"/>
      <c r="Z541" s="212"/>
      <c r="AA541" s="210"/>
      <c r="AB541" s="213"/>
      <c r="AC541" s="214"/>
      <c r="AD541" s="214"/>
      <c r="AE541" s="215"/>
      <c r="AF541" s="214"/>
      <c r="AG541" s="214"/>
      <c r="AH541" s="215"/>
      <c r="AI541" s="216"/>
      <c r="AL541" s="217"/>
      <c r="AM541" s="218"/>
    </row>
    <row r="542" spans="1:57" ht="14.25" hidden="1" customHeight="1" x14ac:dyDescent="0.2">
      <c r="A542" s="842"/>
      <c r="C542" s="279"/>
      <c r="D542" s="279"/>
      <c r="E542" s="199"/>
      <c r="I542" s="201"/>
      <c r="J542" s="207"/>
      <c r="K542" s="281"/>
      <c r="L542" s="225"/>
      <c r="M542" s="226"/>
      <c r="N542" s="209"/>
      <c r="O542" s="174"/>
      <c r="U542" s="210"/>
      <c r="V542" s="211"/>
      <c r="W542" s="210"/>
      <c r="X542" s="210"/>
      <c r="Y542" s="210"/>
      <c r="Z542" s="212"/>
      <c r="AA542" s="210"/>
      <c r="AB542" s="213"/>
      <c r="AC542" s="214"/>
      <c r="AD542" s="214"/>
      <c r="AE542" s="215"/>
      <c r="AF542" s="214"/>
      <c r="AG542" s="214"/>
      <c r="AH542" s="215"/>
      <c r="AI542" s="216"/>
      <c r="AL542" s="217"/>
      <c r="AM542" s="218"/>
      <c r="AP542" s="245"/>
      <c r="AQ542" s="245"/>
      <c r="AR542" s="245"/>
      <c r="AS542" s="245"/>
      <c r="AT542" s="245"/>
      <c r="AU542" s="245"/>
      <c r="AV542" s="245"/>
      <c r="AW542" s="245"/>
      <c r="AX542" s="245"/>
      <c r="AY542" s="245"/>
      <c r="BA542" s="245"/>
      <c r="BB542" s="245"/>
      <c r="BC542" s="245"/>
      <c r="BD542" s="245"/>
      <c r="BE542" s="245"/>
    </row>
    <row r="543" spans="1:57" ht="14.25" hidden="1" customHeight="1" x14ac:dyDescent="0.2">
      <c r="A543" s="842"/>
      <c r="C543" s="279"/>
      <c r="D543" s="279"/>
      <c r="E543" s="199"/>
      <c r="I543" s="201"/>
      <c r="J543" s="223"/>
      <c r="K543" s="281"/>
      <c r="L543" s="225"/>
      <c r="M543" s="226"/>
      <c r="N543" s="209"/>
      <c r="O543" s="174"/>
      <c r="P543" s="209"/>
      <c r="Q543" s="209"/>
      <c r="R543" s="209"/>
      <c r="S543" s="209"/>
      <c r="U543" s="210"/>
      <c r="V543" s="211"/>
      <c r="W543" s="210"/>
      <c r="X543" s="210"/>
      <c r="Y543" s="210"/>
      <c r="Z543" s="212"/>
      <c r="AA543" s="210"/>
      <c r="AB543" s="213"/>
      <c r="AC543" s="214"/>
      <c r="AD543" s="214"/>
      <c r="AE543" s="215"/>
      <c r="AF543" s="214"/>
      <c r="AG543" s="214"/>
      <c r="AH543" s="215"/>
      <c r="AI543" s="216"/>
      <c r="AL543" s="217"/>
      <c r="AM543" s="218"/>
      <c r="AP543" s="245"/>
      <c r="AQ543" s="245"/>
      <c r="AR543" s="245"/>
      <c r="AS543" s="245"/>
      <c r="AT543" s="245"/>
      <c r="AU543" s="245"/>
      <c r="AV543" s="245"/>
      <c r="AW543" s="245"/>
      <c r="AX543" s="245"/>
      <c r="AY543" s="245"/>
      <c r="BA543" s="245"/>
      <c r="BB543" s="245"/>
      <c r="BC543" s="245"/>
      <c r="BD543" s="245"/>
      <c r="BE543" s="245"/>
    </row>
    <row r="544" spans="1:57" ht="14.25" hidden="1" customHeight="1" x14ac:dyDescent="0.2">
      <c r="A544" s="842"/>
      <c r="C544" s="279"/>
      <c r="D544" s="279"/>
      <c r="E544" s="199"/>
      <c r="I544" s="201"/>
      <c r="J544" s="223"/>
      <c r="K544" s="281"/>
      <c r="L544" s="225"/>
      <c r="M544" s="226"/>
      <c r="N544" s="209"/>
      <c r="O544" s="174"/>
      <c r="P544" s="209"/>
      <c r="Q544" s="209"/>
      <c r="R544" s="209"/>
      <c r="S544" s="209"/>
      <c r="U544" s="210"/>
      <c r="V544" s="211"/>
      <c r="W544" s="210"/>
      <c r="X544" s="210"/>
      <c r="Y544" s="210"/>
      <c r="Z544" s="212"/>
      <c r="AA544" s="210"/>
      <c r="AB544" s="213"/>
      <c r="AC544" s="214"/>
      <c r="AD544" s="214"/>
      <c r="AE544" s="215"/>
      <c r="AF544" s="214"/>
      <c r="AG544" s="214"/>
      <c r="AH544" s="215"/>
      <c r="AI544" s="216"/>
      <c r="AL544" s="217"/>
      <c r="AM544" s="218"/>
      <c r="AP544" s="245"/>
      <c r="AQ544" s="245"/>
      <c r="AR544" s="245"/>
      <c r="AS544" s="245"/>
      <c r="AT544" s="245"/>
      <c r="AU544" s="245"/>
      <c r="AV544" s="245"/>
      <c r="AW544" s="245"/>
      <c r="AX544" s="245"/>
      <c r="AY544" s="245"/>
      <c r="BA544" s="245"/>
      <c r="BB544" s="245"/>
      <c r="BC544" s="245"/>
      <c r="BD544" s="245"/>
      <c r="BE544" s="245"/>
    </row>
    <row r="545" spans="1:57" ht="14.25" hidden="1" customHeight="1" x14ac:dyDescent="0.2">
      <c r="A545" s="842"/>
      <c r="C545" s="279"/>
      <c r="D545" s="279"/>
      <c r="E545" s="199"/>
      <c r="I545" s="201"/>
      <c r="J545" s="223"/>
      <c r="K545" s="282"/>
      <c r="L545" s="225"/>
      <c r="M545" s="226"/>
      <c r="N545" s="209"/>
      <c r="O545" s="174"/>
      <c r="P545" s="209"/>
      <c r="Q545" s="209"/>
      <c r="R545" s="209"/>
      <c r="S545" s="209"/>
      <c r="U545" s="210"/>
      <c r="V545" s="211"/>
      <c r="W545" s="210"/>
      <c r="X545" s="210"/>
      <c r="Y545" s="210"/>
      <c r="Z545" s="212"/>
      <c r="AA545" s="210"/>
      <c r="AB545" s="213"/>
      <c r="AC545" s="214"/>
      <c r="AD545" s="214"/>
      <c r="AE545" s="215"/>
      <c r="AF545" s="214"/>
      <c r="AG545" s="214"/>
      <c r="AH545" s="215"/>
      <c r="AI545" s="216"/>
      <c r="AL545" s="217"/>
      <c r="AM545" s="218"/>
      <c r="AP545" s="245"/>
      <c r="AQ545" s="245"/>
      <c r="AR545" s="245"/>
      <c r="AS545" s="245"/>
      <c r="AT545" s="245"/>
      <c r="AU545" s="245"/>
      <c r="AV545" s="245"/>
      <c r="AW545" s="245"/>
      <c r="AX545" s="245"/>
      <c r="AY545" s="245"/>
      <c r="BA545" s="245"/>
      <c r="BB545" s="245"/>
      <c r="BC545" s="245"/>
      <c r="BD545" s="245"/>
      <c r="BE545" s="245"/>
    </row>
    <row r="546" spans="1:57" ht="14.25" hidden="1" customHeight="1" x14ac:dyDescent="0.2">
      <c r="A546" s="842"/>
      <c r="C546" s="279"/>
      <c r="D546" s="279"/>
      <c r="E546" s="199"/>
      <c r="I546" s="201"/>
      <c r="J546" s="223"/>
      <c r="K546" s="281"/>
      <c r="L546" s="225"/>
      <c r="M546" s="226"/>
      <c r="N546" s="209"/>
      <c r="O546" s="174"/>
      <c r="P546" s="209"/>
      <c r="Q546" s="209"/>
      <c r="R546" s="209"/>
      <c r="S546" s="209"/>
      <c r="U546" s="210"/>
      <c r="V546" s="211"/>
      <c r="W546" s="210"/>
      <c r="X546" s="210"/>
      <c r="Y546" s="210"/>
      <c r="Z546" s="212"/>
      <c r="AA546" s="210"/>
      <c r="AB546" s="213"/>
      <c r="AC546" s="214"/>
      <c r="AD546" s="214"/>
      <c r="AE546" s="215"/>
      <c r="AF546" s="214"/>
      <c r="AG546" s="214"/>
      <c r="AH546" s="215"/>
      <c r="AI546" s="216"/>
      <c r="AL546" s="217"/>
      <c r="AM546" s="218"/>
      <c r="AP546" s="245"/>
      <c r="AQ546" s="245"/>
      <c r="AR546" s="245"/>
      <c r="AS546" s="245"/>
      <c r="AT546" s="245"/>
      <c r="AU546" s="245"/>
      <c r="AV546" s="245"/>
      <c r="AW546" s="245"/>
      <c r="AX546" s="245"/>
      <c r="AY546" s="245"/>
      <c r="BA546" s="245"/>
      <c r="BB546" s="245"/>
      <c r="BC546" s="245"/>
      <c r="BD546" s="245"/>
      <c r="BE546" s="245"/>
    </row>
    <row r="547" spans="1:57" ht="14.25" hidden="1" customHeight="1" x14ac:dyDescent="0.2">
      <c r="A547" s="842"/>
      <c r="C547" s="279"/>
      <c r="D547" s="279"/>
      <c r="E547" s="199"/>
      <c r="I547" s="201"/>
      <c r="J547" s="223"/>
      <c r="K547" s="281"/>
      <c r="L547" s="225"/>
      <c r="M547" s="226"/>
      <c r="N547" s="209"/>
      <c r="O547" s="174"/>
      <c r="P547" s="209"/>
      <c r="Q547" s="209"/>
      <c r="R547" s="209"/>
      <c r="S547" s="209"/>
      <c r="U547" s="210"/>
      <c r="V547" s="211"/>
      <c r="W547" s="210"/>
      <c r="X547" s="210"/>
      <c r="Y547" s="210"/>
      <c r="Z547" s="212"/>
      <c r="AA547" s="210"/>
      <c r="AB547" s="213"/>
      <c r="AC547" s="214"/>
      <c r="AD547" s="214"/>
      <c r="AE547" s="215"/>
      <c r="AF547" s="214"/>
      <c r="AG547" s="214"/>
      <c r="AH547" s="215"/>
      <c r="AI547" s="216"/>
      <c r="AL547" s="217"/>
      <c r="AM547" s="218"/>
      <c r="AP547" s="245"/>
      <c r="AQ547" s="245"/>
      <c r="AR547" s="245"/>
      <c r="AS547" s="245"/>
      <c r="AT547" s="245"/>
      <c r="AU547" s="245"/>
      <c r="AV547" s="245"/>
      <c r="AW547" s="245"/>
      <c r="AX547" s="245"/>
      <c r="AY547" s="245"/>
      <c r="BA547" s="245"/>
      <c r="BB547" s="245"/>
      <c r="BC547" s="245"/>
      <c r="BD547" s="245"/>
      <c r="BE547" s="245"/>
    </row>
    <row r="548" spans="1:57" ht="14.25" hidden="1" customHeight="1" x14ac:dyDescent="0.2">
      <c r="A548" s="842"/>
      <c r="C548" s="279"/>
      <c r="D548" s="279"/>
      <c r="E548" s="199"/>
      <c r="I548" s="201"/>
      <c r="J548" s="223"/>
      <c r="K548" s="281"/>
      <c r="L548" s="225"/>
      <c r="M548" s="226"/>
      <c r="N548" s="209"/>
      <c r="O548" s="174"/>
      <c r="P548" s="209"/>
      <c r="Q548" s="209"/>
      <c r="R548" s="209"/>
      <c r="S548" s="209"/>
      <c r="U548" s="210"/>
      <c r="V548" s="211"/>
      <c r="W548" s="210"/>
      <c r="X548" s="210"/>
      <c r="Y548" s="210"/>
      <c r="Z548" s="212"/>
      <c r="AA548" s="210"/>
      <c r="AB548" s="213"/>
      <c r="AC548" s="214"/>
      <c r="AD548" s="214"/>
      <c r="AE548" s="215"/>
      <c r="AF548" s="214"/>
      <c r="AG548" s="214"/>
      <c r="AH548" s="215"/>
      <c r="AI548" s="216"/>
      <c r="AL548" s="217"/>
      <c r="AM548" s="218"/>
      <c r="AP548" s="245"/>
      <c r="AQ548" s="245"/>
      <c r="AR548" s="245"/>
      <c r="AS548" s="245"/>
      <c r="AT548" s="245"/>
      <c r="AU548" s="245"/>
      <c r="AV548" s="245"/>
      <c r="AW548" s="245"/>
      <c r="AX548" s="245"/>
      <c r="AY548" s="245"/>
      <c r="BA548" s="245"/>
      <c r="BB548" s="245"/>
      <c r="BC548" s="245"/>
      <c r="BD548" s="245"/>
      <c r="BE548" s="245"/>
    </row>
    <row r="549" spans="1:57" ht="14.25" hidden="1" customHeight="1" x14ac:dyDescent="0.2">
      <c r="A549" s="842"/>
      <c r="C549" s="279"/>
      <c r="D549" s="279"/>
      <c r="E549" s="199"/>
      <c r="I549" s="201"/>
      <c r="J549" s="223"/>
      <c r="K549" s="281"/>
      <c r="L549" s="225"/>
      <c r="M549" s="226"/>
      <c r="N549" s="209"/>
      <c r="O549" s="174"/>
      <c r="P549" s="209"/>
      <c r="Q549" s="209"/>
      <c r="R549" s="209"/>
      <c r="S549" s="209"/>
      <c r="U549" s="210"/>
      <c r="V549" s="211"/>
      <c r="W549" s="210"/>
      <c r="X549" s="210"/>
      <c r="Y549" s="210"/>
      <c r="Z549" s="212"/>
      <c r="AA549" s="210"/>
      <c r="AB549" s="213"/>
      <c r="AC549" s="214"/>
      <c r="AD549" s="214"/>
      <c r="AE549" s="215"/>
      <c r="AF549" s="214"/>
      <c r="AG549" s="214"/>
      <c r="AH549" s="215"/>
      <c r="AI549" s="216"/>
      <c r="AL549" s="217"/>
      <c r="AM549" s="218"/>
      <c r="AP549" s="245"/>
      <c r="AQ549" s="245"/>
      <c r="AR549" s="245"/>
      <c r="AS549" s="245"/>
      <c r="AT549" s="245"/>
      <c r="AU549" s="245"/>
      <c r="AV549" s="245"/>
      <c r="AW549" s="245"/>
      <c r="AX549" s="245"/>
      <c r="AY549" s="245"/>
      <c r="BA549" s="245"/>
      <c r="BB549" s="245"/>
      <c r="BC549" s="245"/>
      <c r="BD549" s="245"/>
      <c r="BE549" s="245"/>
    </row>
    <row r="550" spans="1:57" ht="14.25" hidden="1" customHeight="1" x14ac:dyDescent="0.2">
      <c r="A550" s="842"/>
      <c r="C550" s="279"/>
      <c r="D550" s="279"/>
      <c r="E550" s="199"/>
      <c r="I550" s="201"/>
      <c r="J550" s="169"/>
      <c r="K550" s="281"/>
      <c r="L550" s="228"/>
      <c r="M550" s="228"/>
      <c r="N550" s="228"/>
      <c r="O550" s="174"/>
      <c r="P550" s="209"/>
      <c r="Q550" s="209"/>
      <c r="R550" s="209"/>
      <c r="S550" s="209"/>
      <c r="U550" s="210"/>
      <c r="V550" s="211"/>
      <c r="W550" s="210"/>
      <c r="X550" s="210"/>
      <c r="Y550" s="210"/>
      <c r="Z550" s="212"/>
      <c r="AA550" s="210"/>
      <c r="AB550" s="213"/>
      <c r="AC550" s="214"/>
      <c r="AD550" s="214"/>
      <c r="AE550" s="215"/>
      <c r="AF550" s="214"/>
      <c r="AG550" s="214"/>
      <c r="AH550" s="215"/>
      <c r="AI550" s="216"/>
      <c r="AL550" s="217"/>
      <c r="AM550" s="218"/>
      <c r="AP550" s="245"/>
      <c r="AQ550" s="245"/>
      <c r="AR550" s="245"/>
      <c r="AS550" s="245"/>
      <c r="AT550" s="245"/>
      <c r="AU550" s="245"/>
      <c r="AV550" s="245"/>
      <c r="AW550" s="245"/>
      <c r="AX550" s="245"/>
      <c r="AY550" s="245"/>
      <c r="BA550" s="245"/>
      <c r="BB550" s="245"/>
      <c r="BC550" s="245"/>
      <c r="BD550" s="245"/>
      <c r="BE550" s="245"/>
    </row>
    <row r="551" spans="1:57" ht="14.25" hidden="1" customHeight="1" x14ac:dyDescent="0.2">
      <c r="A551" s="842"/>
      <c r="E551" s="247"/>
      <c r="F551" s="248"/>
      <c r="G551" s="248"/>
      <c r="H551" s="248"/>
      <c r="I551" s="247"/>
      <c r="J551" s="172"/>
      <c r="K551" s="228"/>
      <c r="L551" s="228"/>
      <c r="M551" s="228"/>
      <c r="N551" s="228"/>
      <c r="O551" s="174"/>
      <c r="P551" s="209"/>
      <c r="Q551" s="209"/>
      <c r="R551" s="209"/>
      <c r="S551" s="209"/>
      <c r="W551" s="231"/>
      <c r="AC551" s="233"/>
      <c r="AD551" s="233"/>
      <c r="AE551" s="234"/>
      <c r="AF551" s="233"/>
      <c r="AG551" s="233"/>
      <c r="AH551" s="234"/>
      <c r="AI551" s="234"/>
      <c r="AP551" s="245"/>
      <c r="AQ551" s="245"/>
      <c r="AR551" s="245"/>
      <c r="AS551" s="245"/>
      <c r="AT551" s="245"/>
      <c r="AU551" s="245"/>
      <c r="AV551" s="245"/>
      <c r="AW551" s="245"/>
      <c r="AX551" s="245"/>
      <c r="AY551" s="245"/>
      <c r="BA551" s="245"/>
      <c r="BB551" s="245"/>
      <c r="BC551" s="245"/>
      <c r="BD551" s="245"/>
      <c r="BE551" s="245"/>
    </row>
    <row r="552" spans="1:57" ht="14.25" hidden="1" customHeight="1" x14ac:dyDescent="0.2">
      <c r="A552" s="842"/>
      <c r="E552" s="224"/>
      <c r="F552" s="225"/>
      <c r="G552" s="226"/>
      <c r="H552" s="209"/>
      <c r="I552" s="227"/>
      <c r="J552" s="169"/>
      <c r="K552" s="228"/>
      <c r="L552" s="225"/>
      <c r="M552" s="226"/>
      <c r="N552" s="209"/>
      <c r="O552" s="174"/>
      <c r="P552" s="209"/>
      <c r="Q552" s="209"/>
      <c r="R552" s="209"/>
      <c r="S552" s="209"/>
      <c r="W552" s="231"/>
      <c r="AC552" s="233"/>
      <c r="AD552" s="233"/>
      <c r="AE552" s="234"/>
      <c r="AF552" s="233"/>
      <c r="AG552" s="233"/>
      <c r="AH552" s="234"/>
      <c r="AI552" s="197"/>
      <c r="AP552" s="245"/>
      <c r="AQ552" s="245"/>
      <c r="AR552" s="245"/>
      <c r="AS552" s="245"/>
      <c r="AT552" s="245"/>
      <c r="AU552" s="245"/>
      <c r="AV552" s="245"/>
      <c r="AW552" s="245"/>
      <c r="AX552" s="245"/>
      <c r="AY552" s="245"/>
      <c r="BA552" s="245"/>
      <c r="BB552" s="245"/>
      <c r="BC552" s="245"/>
      <c r="BD552" s="245"/>
      <c r="BE552" s="245"/>
    </row>
    <row r="553" spans="1:57" ht="14.25" hidden="1" customHeight="1" x14ac:dyDescent="0.2">
      <c r="A553" s="842"/>
      <c r="B553" s="187"/>
      <c r="C553" s="188"/>
      <c r="D553" s="188"/>
      <c r="E553" s="844"/>
      <c r="F553" s="844"/>
      <c r="G553" s="844"/>
      <c r="H553" s="844"/>
      <c r="I553" s="189"/>
      <c r="J553" s="190"/>
      <c r="K553" s="191"/>
      <c r="L553" s="192"/>
      <c r="U553" s="229"/>
      <c r="V553" s="230"/>
      <c r="W553" s="231"/>
      <c r="X553" s="231"/>
      <c r="Y553" s="231"/>
      <c r="Z553" s="232"/>
      <c r="AA553" s="231"/>
      <c r="AC553" s="197"/>
      <c r="AD553" s="197"/>
      <c r="AE553" s="197"/>
      <c r="AF553" s="197"/>
      <c r="AG553" s="197"/>
      <c r="AH553" s="197"/>
      <c r="AI553" s="197"/>
      <c r="AQ553" s="245"/>
      <c r="AR553" s="245"/>
      <c r="AS553" s="245"/>
      <c r="AT553" s="245"/>
    </row>
    <row r="554" spans="1:57" ht="9" hidden="1" customHeight="1" x14ac:dyDescent="0.2">
      <c r="A554" s="842"/>
      <c r="J554" s="169"/>
      <c r="K554" s="228"/>
      <c r="L554" s="225"/>
      <c r="M554" s="226"/>
      <c r="N554" s="209"/>
      <c r="O554" s="174"/>
      <c r="P554" s="209"/>
      <c r="Q554" s="209"/>
      <c r="R554" s="209"/>
      <c r="S554" s="209"/>
      <c r="AP554" s="245"/>
      <c r="AQ554" s="245"/>
      <c r="AR554" s="245"/>
      <c r="AS554" s="245"/>
      <c r="AT554" s="245"/>
      <c r="AU554" s="245"/>
      <c r="AV554" s="245"/>
      <c r="AW554" s="245"/>
      <c r="AX554" s="245"/>
      <c r="AY554" s="245"/>
      <c r="BA554" s="245"/>
      <c r="BB554" s="245"/>
      <c r="BC554" s="245"/>
      <c r="BD554" s="245"/>
      <c r="BE554" s="245"/>
    </row>
    <row r="555" spans="1:57" ht="14.25" hidden="1" customHeight="1" x14ac:dyDescent="0.2">
      <c r="A555" s="842"/>
      <c r="C555" s="279"/>
      <c r="D555" s="279"/>
      <c r="E555" s="199"/>
      <c r="I555" s="201"/>
      <c r="J555" s="207"/>
      <c r="K555" s="280"/>
      <c r="L555" s="225"/>
      <c r="M555" s="226"/>
      <c r="N555" s="209"/>
      <c r="O555" s="174"/>
      <c r="P555" s="209"/>
      <c r="Q555" s="209"/>
      <c r="R555" s="209"/>
      <c r="S555" s="209"/>
      <c r="U555" s="210"/>
      <c r="V555" s="211"/>
      <c r="W555" s="210"/>
      <c r="X555" s="210"/>
      <c r="Y555" s="210"/>
      <c r="Z555" s="212"/>
      <c r="AA555" s="210"/>
      <c r="AB555" s="213"/>
      <c r="AC555" s="214"/>
      <c r="AD555" s="214"/>
      <c r="AE555" s="215"/>
      <c r="AF555" s="214"/>
      <c r="AG555" s="214"/>
      <c r="AH555" s="215"/>
      <c r="AI555" s="216"/>
      <c r="AL555" s="217"/>
      <c r="AM555" s="218"/>
      <c r="AQ555" s="245"/>
      <c r="AR555" s="245"/>
      <c r="AS555" s="245"/>
      <c r="AT555" s="245"/>
    </row>
    <row r="556" spans="1:57" ht="14.25" hidden="1" customHeight="1" x14ac:dyDescent="0.2">
      <c r="A556" s="842"/>
      <c r="C556" s="279"/>
      <c r="D556" s="279"/>
      <c r="E556" s="199"/>
      <c r="I556" s="201"/>
      <c r="J556" s="207"/>
      <c r="K556" s="281"/>
      <c r="L556" s="225"/>
      <c r="M556" s="226"/>
      <c r="N556" s="209"/>
      <c r="O556" s="174"/>
      <c r="U556" s="210"/>
      <c r="V556" s="211"/>
      <c r="W556" s="210"/>
      <c r="X556" s="210"/>
      <c r="Y556" s="210"/>
      <c r="Z556" s="212"/>
      <c r="AA556" s="210"/>
      <c r="AB556" s="213"/>
      <c r="AC556" s="214"/>
      <c r="AD556" s="214"/>
      <c r="AE556" s="215"/>
      <c r="AF556" s="214"/>
      <c r="AG556" s="214"/>
      <c r="AH556" s="215"/>
      <c r="AI556" s="216"/>
      <c r="AL556" s="217"/>
      <c r="AM556" s="218"/>
    </row>
    <row r="557" spans="1:57" ht="14.25" hidden="1" customHeight="1" x14ac:dyDescent="0.2">
      <c r="A557" s="842"/>
      <c r="C557" s="279"/>
      <c r="D557" s="279"/>
      <c r="E557" s="199"/>
      <c r="I557" s="201"/>
      <c r="J557" s="207"/>
      <c r="K557" s="281"/>
      <c r="L557" s="225"/>
      <c r="M557" s="226"/>
      <c r="N557" s="209"/>
      <c r="O557" s="174"/>
      <c r="U557" s="210"/>
      <c r="V557" s="211"/>
      <c r="W557" s="210"/>
      <c r="X557" s="210"/>
      <c r="Y557" s="210"/>
      <c r="Z557" s="212"/>
      <c r="AA557" s="210"/>
      <c r="AB557" s="213"/>
      <c r="AC557" s="214"/>
      <c r="AD557" s="214"/>
      <c r="AE557" s="215"/>
      <c r="AF557" s="214"/>
      <c r="AG557" s="214"/>
      <c r="AH557" s="215"/>
      <c r="AI557" s="216"/>
      <c r="AL557" s="217"/>
      <c r="AM557" s="218"/>
    </row>
    <row r="558" spans="1:57" ht="14.25" hidden="1" customHeight="1" x14ac:dyDescent="0.2">
      <c r="A558" s="842"/>
      <c r="C558" s="279"/>
      <c r="D558" s="279"/>
      <c r="E558" s="199"/>
      <c r="I558" s="201"/>
      <c r="J558" s="207"/>
      <c r="K558" s="281"/>
      <c r="L558" s="225"/>
      <c r="M558" s="226"/>
      <c r="N558" s="209"/>
      <c r="O558" s="174"/>
      <c r="U558" s="210"/>
      <c r="V558" s="211"/>
      <c r="W558" s="210"/>
      <c r="X558" s="210"/>
      <c r="Y558" s="210"/>
      <c r="Z558" s="212"/>
      <c r="AA558" s="210"/>
      <c r="AB558" s="213"/>
      <c r="AC558" s="214"/>
      <c r="AD558" s="214"/>
      <c r="AE558" s="215"/>
      <c r="AF558" s="214"/>
      <c r="AG558" s="214"/>
      <c r="AH558" s="215"/>
      <c r="AI558" s="216"/>
      <c r="AL558" s="217"/>
      <c r="AM558" s="218"/>
      <c r="AP558" s="245"/>
      <c r="AQ558" s="245"/>
      <c r="AR558" s="245"/>
      <c r="AS558" s="245"/>
      <c r="AT558" s="245"/>
      <c r="AU558" s="245"/>
      <c r="AV558" s="245"/>
      <c r="AW558" s="245"/>
      <c r="AX558" s="245"/>
      <c r="AY558" s="245"/>
      <c r="BA558" s="245"/>
      <c r="BB558" s="245"/>
      <c r="BC558" s="245"/>
      <c r="BD558" s="245"/>
      <c r="BE558" s="245"/>
    </row>
    <row r="559" spans="1:57" ht="14.25" hidden="1" customHeight="1" x14ac:dyDescent="0.2">
      <c r="A559" s="842"/>
      <c r="C559" s="279"/>
      <c r="D559" s="279"/>
      <c r="E559" s="199"/>
      <c r="I559" s="201"/>
      <c r="J559" s="223"/>
      <c r="K559" s="281"/>
      <c r="L559" s="225"/>
      <c r="M559" s="226"/>
      <c r="N559" s="209"/>
      <c r="O559" s="174"/>
      <c r="P559" s="209"/>
      <c r="Q559" s="209"/>
      <c r="R559" s="209"/>
      <c r="S559" s="209"/>
      <c r="U559" s="210"/>
      <c r="V559" s="211"/>
      <c r="W559" s="210"/>
      <c r="X559" s="210"/>
      <c r="Y559" s="210"/>
      <c r="Z559" s="212"/>
      <c r="AA559" s="210"/>
      <c r="AB559" s="213"/>
      <c r="AC559" s="214"/>
      <c r="AD559" s="214"/>
      <c r="AE559" s="215"/>
      <c r="AF559" s="214"/>
      <c r="AG559" s="214"/>
      <c r="AH559" s="215"/>
      <c r="AI559" s="216"/>
      <c r="AL559" s="217"/>
      <c r="AM559" s="218"/>
      <c r="AP559" s="245"/>
      <c r="AQ559" s="245"/>
      <c r="AR559" s="245"/>
      <c r="AS559" s="245"/>
      <c r="AT559" s="245"/>
      <c r="AU559" s="245"/>
      <c r="AV559" s="245"/>
      <c r="AW559" s="245"/>
      <c r="AX559" s="245"/>
      <c r="AY559" s="245"/>
      <c r="BA559" s="245"/>
      <c r="BB559" s="245"/>
      <c r="BC559" s="245"/>
      <c r="BD559" s="245"/>
      <c r="BE559" s="245"/>
    </row>
    <row r="560" spans="1:57" ht="14.25" hidden="1" customHeight="1" x14ac:dyDescent="0.2">
      <c r="A560" s="842"/>
      <c r="C560" s="279"/>
      <c r="D560" s="279"/>
      <c r="E560" s="199"/>
      <c r="I560" s="201"/>
      <c r="J560" s="223"/>
      <c r="K560" s="281"/>
      <c r="L560" s="225"/>
      <c r="M560" s="226"/>
      <c r="N560" s="209"/>
      <c r="O560" s="174"/>
      <c r="P560" s="209"/>
      <c r="Q560" s="209"/>
      <c r="R560" s="209"/>
      <c r="S560" s="209"/>
      <c r="U560" s="210"/>
      <c r="V560" s="211"/>
      <c r="W560" s="210"/>
      <c r="X560" s="210"/>
      <c r="Y560" s="210"/>
      <c r="Z560" s="212"/>
      <c r="AA560" s="210"/>
      <c r="AB560" s="213"/>
      <c r="AC560" s="214"/>
      <c r="AD560" s="214"/>
      <c r="AE560" s="215"/>
      <c r="AF560" s="214"/>
      <c r="AG560" s="214"/>
      <c r="AH560" s="215"/>
      <c r="AI560" s="216"/>
      <c r="AL560" s="217"/>
      <c r="AM560" s="218"/>
      <c r="AP560" s="245"/>
      <c r="AQ560" s="245"/>
      <c r="AR560" s="245"/>
      <c r="AS560" s="245"/>
      <c r="AT560" s="245"/>
      <c r="AU560" s="245"/>
      <c r="AV560" s="245"/>
      <c r="AW560" s="245"/>
      <c r="AX560" s="245"/>
      <c r="AY560" s="245"/>
      <c r="BA560" s="245"/>
      <c r="BB560" s="245"/>
      <c r="BC560" s="245"/>
      <c r="BD560" s="245"/>
      <c r="BE560" s="245"/>
    </row>
    <row r="561" spans="1:57" ht="14.25" hidden="1" customHeight="1" x14ac:dyDescent="0.2">
      <c r="A561" s="842"/>
      <c r="C561" s="279"/>
      <c r="D561" s="279"/>
      <c r="E561" s="199"/>
      <c r="I561" s="201"/>
      <c r="J561" s="223"/>
      <c r="K561" s="282"/>
      <c r="L561" s="225"/>
      <c r="M561" s="226"/>
      <c r="N561" s="209"/>
      <c r="O561" s="174"/>
      <c r="P561" s="209"/>
      <c r="Q561" s="209"/>
      <c r="R561" s="209"/>
      <c r="S561" s="209"/>
      <c r="U561" s="210"/>
      <c r="V561" s="211"/>
      <c r="W561" s="210"/>
      <c r="X561" s="210"/>
      <c r="Y561" s="210"/>
      <c r="Z561" s="212"/>
      <c r="AA561" s="210"/>
      <c r="AB561" s="213"/>
      <c r="AC561" s="214"/>
      <c r="AD561" s="214"/>
      <c r="AE561" s="215"/>
      <c r="AF561" s="214"/>
      <c r="AG561" s="214"/>
      <c r="AH561" s="215"/>
      <c r="AI561" s="216"/>
      <c r="AL561" s="217"/>
      <c r="AM561" s="218"/>
      <c r="AP561" s="245"/>
      <c r="AQ561" s="245"/>
      <c r="AR561" s="245"/>
      <c r="AS561" s="245"/>
      <c r="AT561" s="245"/>
      <c r="AU561" s="245"/>
      <c r="AV561" s="245"/>
      <c r="AW561" s="245"/>
      <c r="AX561" s="245"/>
      <c r="AY561" s="245"/>
      <c r="BA561" s="245"/>
      <c r="BB561" s="245"/>
      <c r="BC561" s="245"/>
      <c r="BD561" s="245"/>
      <c r="BE561" s="245"/>
    </row>
    <row r="562" spans="1:57" ht="14.25" hidden="1" customHeight="1" x14ac:dyDescent="0.2">
      <c r="A562" s="842"/>
      <c r="C562" s="279"/>
      <c r="D562" s="279"/>
      <c r="E562" s="199"/>
      <c r="I562" s="201"/>
      <c r="J562" s="223"/>
      <c r="K562" s="281"/>
      <c r="L562" s="225"/>
      <c r="M562" s="226"/>
      <c r="N562" s="209"/>
      <c r="O562" s="174"/>
      <c r="P562" s="209"/>
      <c r="Q562" s="209"/>
      <c r="R562" s="209"/>
      <c r="S562" s="209"/>
      <c r="U562" s="210"/>
      <c r="V562" s="211"/>
      <c r="W562" s="210"/>
      <c r="X562" s="210"/>
      <c r="Y562" s="210"/>
      <c r="Z562" s="212"/>
      <c r="AA562" s="210"/>
      <c r="AB562" s="213"/>
      <c r="AC562" s="214"/>
      <c r="AD562" s="214"/>
      <c r="AE562" s="215"/>
      <c r="AF562" s="214"/>
      <c r="AG562" s="214"/>
      <c r="AH562" s="215"/>
      <c r="AI562" s="216"/>
      <c r="AL562" s="217"/>
      <c r="AM562" s="218"/>
      <c r="AP562" s="245"/>
      <c r="AQ562" s="245"/>
      <c r="AR562" s="245"/>
      <c r="AS562" s="245"/>
      <c r="AT562" s="245"/>
      <c r="AU562" s="245"/>
      <c r="AV562" s="245"/>
      <c r="AW562" s="245"/>
      <c r="AX562" s="245"/>
      <c r="AY562" s="245"/>
      <c r="BA562" s="245"/>
      <c r="BB562" s="245"/>
      <c r="BC562" s="245"/>
      <c r="BD562" s="245"/>
      <c r="BE562" s="245"/>
    </row>
    <row r="563" spans="1:57" ht="14.25" hidden="1" customHeight="1" x14ac:dyDescent="0.2">
      <c r="A563" s="842"/>
      <c r="C563" s="279"/>
      <c r="D563" s="279"/>
      <c r="E563" s="199"/>
      <c r="I563" s="201"/>
      <c r="J563" s="223"/>
      <c r="K563" s="281"/>
      <c r="L563" s="225"/>
      <c r="M563" s="226"/>
      <c r="N563" s="209"/>
      <c r="O563" s="174"/>
      <c r="P563" s="209"/>
      <c r="Q563" s="209"/>
      <c r="R563" s="209"/>
      <c r="S563" s="209"/>
      <c r="U563" s="210"/>
      <c r="V563" s="211"/>
      <c r="W563" s="210"/>
      <c r="X563" s="210"/>
      <c r="Y563" s="210"/>
      <c r="Z563" s="212"/>
      <c r="AA563" s="210"/>
      <c r="AB563" s="213"/>
      <c r="AC563" s="214"/>
      <c r="AD563" s="214"/>
      <c r="AE563" s="215"/>
      <c r="AF563" s="214"/>
      <c r="AG563" s="214"/>
      <c r="AH563" s="215"/>
      <c r="AI563" s="216"/>
      <c r="AL563" s="217"/>
      <c r="AM563" s="218"/>
      <c r="AP563" s="245"/>
      <c r="AQ563" s="245"/>
      <c r="AR563" s="245"/>
      <c r="AS563" s="245"/>
      <c r="AT563" s="245"/>
      <c r="AU563" s="245"/>
      <c r="AV563" s="245"/>
      <c r="AW563" s="245"/>
      <c r="AX563" s="245"/>
      <c r="AY563" s="245"/>
      <c r="BA563" s="245"/>
      <c r="BB563" s="245"/>
      <c r="BC563" s="245"/>
      <c r="BD563" s="245"/>
      <c r="BE563" s="245"/>
    </row>
    <row r="564" spans="1:57" ht="14.25" hidden="1" customHeight="1" x14ac:dyDescent="0.2">
      <c r="A564" s="842"/>
      <c r="C564" s="279"/>
      <c r="D564" s="279"/>
      <c r="E564" s="199"/>
      <c r="I564" s="201"/>
      <c r="J564" s="223"/>
      <c r="K564" s="281"/>
      <c r="L564" s="225"/>
      <c r="M564" s="226"/>
      <c r="N564" s="209"/>
      <c r="O564" s="174"/>
      <c r="P564" s="209"/>
      <c r="Q564" s="209"/>
      <c r="R564" s="209"/>
      <c r="S564" s="209"/>
      <c r="U564" s="210"/>
      <c r="V564" s="211"/>
      <c r="W564" s="210"/>
      <c r="X564" s="210"/>
      <c r="Y564" s="210"/>
      <c r="Z564" s="212"/>
      <c r="AA564" s="210"/>
      <c r="AB564" s="213"/>
      <c r="AC564" s="214"/>
      <c r="AD564" s="214"/>
      <c r="AE564" s="215"/>
      <c r="AF564" s="214"/>
      <c r="AG564" s="214"/>
      <c r="AH564" s="215"/>
      <c r="AI564" s="216"/>
      <c r="AL564" s="217"/>
      <c r="AM564" s="218"/>
      <c r="AP564" s="245"/>
      <c r="AQ564" s="245"/>
      <c r="AR564" s="245"/>
      <c r="AS564" s="245"/>
      <c r="AT564" s="245"/>
      <c r="AU564" s="245"/>
      <c r="AV564" s="245"/>
      <c r="AW564" s="245"/>
      <c r="AX564" s="245"/>
      <c r="AY564" s="245"/>
      <c r="BA564" s="245"/>
      <c r="BB564" s="245"/>
      <c r="BC564" s="245"/>
      <c r="BD564" s="245"/>
      <c r="BE564" s="245"/>
    </row>
    <row r="565" spans="1:57" ht="14.25" hidden="1" customHeight="1" x14ac:dyDescent="0.2">
      <c r="A565" s="842"/>
      <c r="C565" s="279"/>
      <c r="D565" s="279"/>
      <c r="E565" s="199"/>
      <c r="I565" s="201"/>
      <c r="J565" s="223"/>
      <c r="K565" s="281"/>
      <c r="L565" s="225"/>
      <c r="M565" s="226"/>
      <c r="N565" s="209"/>
      <c r="O565" s="174"/>
      <c r="P565" s="209"/>
      <c r="Q565" s="209"/>
      <c r="R565" s="209"/>
      <c r="S565" s="209"/>
      <c r="U565" s="210"/>
      <c r="V565" s="211"/>
      <c r="W565" s="210"/>
      <c r="X565" s="210"/>
      <c r="Y565" s="210"/>
      <c r="Z565" s="212"/>
      <c r="AA565" s="210"/>
      <c r="AB565" s="213"/>
      <c r="AC565" s="214"/>
      <c r="AD565" s="214"/>
      <c r="AE565" s="215"/>
      <c r="AF565" s="214"/>
      <c r="AG565" s="214"/>
      <c r="AH565" s="215"/>
      <c r="AI565" s="216"/>
      <c r="AL565" s="217"/>
      <c r="AM565" s="218"/>
      <c r="AP565" s="245"/>
      <c r="AQ565" s="245"/>
      <c r="AR565" s="245"/>
      <c r="AS565" s="245"/>
      <c r="AT565" s="245"/>
      <c r="AU565" s="245"/>
      <c r="AV565" s="245"/>
      <c r="AW565" s="245"/>
      <c r="AX565" s="245"/>
      <c r="AY565" s="245"/>
      <c r="BA565" s="245"/>
      <c r="BB565" s="245"/>
      <c r="BC565" s="245"/>
      <c r="BD565" s="245"/>
      <c r="BE565" s="245"/>
    </row>
    <row r="566" spans="1:57" ht="14.25" hidden="1" customHeight="1" x14ac:dyDescent="0.2">
      <c r="A566" s="842"/>
      <c r="C566" s="279"/>
      <c r="D566" s="279"/>
      <c r="E566" s="199"/>
      <c r="I566" s="201"/>
      <c r="J566" s="169"/>
      <c r="K566" s="281"/>
      <c r="L566" s="228"/>
      <c r="M566" s="228"/>
      <c r="N566" s="228"/>
      <c r="O566" s="174"/>
      <c r="P566" s="209"/>
      <c r="Q566" s="209"/>
      <c r="R566" s="209"/>
      <c r="S566" s="209"/>
      <c r="U566" s="210"/>
      <c r="V566" s="211"/>
      <c r="W566" s="210"/>
      <c r="X566" s="210"/>
      <c r="Y566" s="210"/>
      <c r="Z566" s="212"/>
      <c r="AA566" s="210"/>
      <c r="AB566" s="213"/>
      <c r="AC566" s="214"/>
      <c r="AD566" s="214"/>
      <c r="AE566" s="215"/>
      <c r="AF566" s="214"/>
      <c r="AG566" s="214"/>
      <c r="AH566" s="215"/>
      <c r="AI566" s="216"/>
      <c r="AL566" s="217"/>
      <c r="AM566" s="218"/>
      <c r="AP566" s="245"/>
      <c r="AQ566" s="245"/>
      <c r="AR566" s="245"/>
      <c r="AS566" s="245"/>
      <c r="AT566" s="245"/>
      <c r="AU566" s="245"/>
      <c r="AV566" s="245"/>
      <c r="AW566" s="245"/>
      <c r="AX566" s="245"/>
      <c r="AY566" s="245"/>
      <c r="BA566" s="245"/>
      <c r="BB566" s="245"/>
      <c r="BC566" s="245"/>
      <c r="BD566" s="245"/>
      <c r="BE566" s="245"/>
    </row>
    <row r="567" spans="1:57" ht="14.25" hidden="1" customHeight="1" x14ac:dyDescent="0.2">
      <c r="A567" s="842"/>
      <c r="E567" s="247"/>
      <c r="F567" s="248"/>
      <c r="G567" s="248"/>
      <c r="H567" s="248"/>
      <c r="I567" s="247"/>
      <c r="J567" s="172"/>
      <c r="K567" s="228"/>
      <c r="L567" s="228"/>
      <c r="M567" s="228"/>
      <c r="N567" s="228"/>
      <c r="O567" s="174"/>
      <c r="P567" s="209"/>
      <c r="Q567" s="209"/>
      <c r="R567" s="209"/>
      <c r="S567" s="209"/>
      <c r="W567" s="231"/>
      <c r="AC567" s="233"/>
      <c r="AD567" s="233"/>
      <c r="AE567" s="234"/>
      <c r="AF567" s="233"/>
      <c r="AG567" s="233"/>
      <c r="AH567" s="234"/>
      <c r="AI567" s="234"/>
      <c r="AP567" s="245"/>
      <c r="AQ567" s="245"/>
      <c r="AR567" s="245"/>
      <c r="AS567" s="245"/>
      <c r="AT567" s="245"/>
      <c r="AU567" s="245"/>
      <c r="AV567" s="245"/>
      <c r="AW567" s="245"/>
      <c r="AX567" s="245"/>
      <c r="AY567" s="245"/>
      <c r="BA567" s="245"/>
      <c r="BB567" s="245"/>
      <c r="BC567" s="245"/>
      <c r="BD567" s="245"/>
      <c r="BE567" s="245"/>
    </row>
    <row r="568" spans="1:57" ht="14.25" hidden="1" customHeight="1" x14ac:dyDescent="0.2">
      <c r="A568" s="842"/>
      <c r="E568" s="224"/>
      <c r="F568" s="225"/>
      <c r="G568" s="226"/>
      <c r="H568" s="209"/>
      <c r="I568" s="227"/>
      <c r="J568" s="169"/>
      <c r="K568" s="228"/>
      <c r="L568" s="225"/>
      <c r="M568" s="226"/>
      <c r="N568" s="209"/>
      <c r="O568" s="174"/>
      <c r="P568" s="209"/>
      <c r="Q568" s="209"/>
      <c r="R568" s="209"/>
      <c r="S568" s="209"/>
      <c r="W568" s="231"/>
      <c r="AC568" s="233"/>
      <c r="AD568" s="233"/>
      <c r="AE568" s="234"/>
      <c r="AF568" s="233"/>
      <c r="AG568" s="233"/>
      <c r="AH568" s="234"/>
      <c r="AI568" s="197"/>
      <c r="AP568" s="245"/>
      <c r="AQ568" s="245"/>
      <c r="AR568" s="245"/>
      <c r="AS568" s="245"/>
      <c r="AT568" s="245"/>
      <c r="AU568" s="245"/>
      <c r="AV568" s="245"/>
      <c r="AW568" s="245"/>
      <c r="AX568" s="245"/>
      <c r="AY568" s="245"/>
      <c r="BA568" s="245"/>
      <c r="BB568" s="245"/>
      <c r="BC568" s="245"/>
      <c r="BD568" s="245"/>
      <c r="BE568" s="245"/>
    </row>
    <row r="569" spans="1:57" ht="14.25" hidden="1" customHeight="1" x14ac:dyDescent="0.2">
      <c r="A569" s="842"/>
      <c r="B569" s="187"/>
      <c r="C569" s="188"/>
      <c r="D569" s="188"/>
      <c r="E569" s="844"/>
      <c r="F569" s="844"/>
      <c r="G569" s="844"/>
      <c r="H569" s="844"/>
      <c r="I569" s="189"/>
      <c r="J569" s="190"/>
      <c r="K569" s="191"/>
      <c r="L569" s="192"/>
      <c r="U569" s="229"/>
      <c r="V569" s="230"/>
      <c r="W569" s="231"/>
      <c r="X569" s="231"/>
      <c r="Y569" s="231"/>
      <c r="Z569" s="232"/>
      <c r="AA569" s="231"/>
      <c r="AC569" s="197"/>
      <c r="AD569" s="197"/>
      <c r="AE569" s="197"/>
      <c r="AF569" s="197"/>
      <c r="AG569" s="197"/>
      <c r="AH569" s="197"/>
      <c r="AI569" s="197"/>
      <c r="AQ569" s="245"/>
      <c r="AR569" s="245"/>
      <c r="AS569" s="245"/>
      <c r="AT569" s="245"/>
    </row>
    <row r="570" spans="1:57" ht="9" hidden="1" customHeight="1" x14ac:dyDescent="0.2">
      <c r="A570" s="842"/>
      <c r="J570" s="169"/>
      <c r="K570" s="228"/>
      <c r="L570" s="225"/>
      <c r="M570" s="226"/>
      <c r="N570" s="209"/>
      <c r="O570" s="174"/>
      <c r="P570" s="209"/>
      <c r="Q570" s="209"/>
      <c r="R570" s="209"/>
      <c r="S570" s="209"/>
      <c r="AP570" s="245"/>
      <c r="AQ570" s="245"/>
      <c r="AR570" s="245"/>
      <c r="AS570" s="245"/>
      <c r="AT570" s="245"/>
      <c r="AU570" s="245"/>
      <c r="AV570" s="245"/>
      <c r="AW570" s="245"/>
      <c r="AX570" s="245"/>
      <c r="AY570" s="245"/>
      <c r="BA570" s="245"/>
      <c r="BB570" s="245"/>
      <c r="BC570" s="245"/>
      <c r="BD570" s="245"/>
      <c r="BE570" s="245"/>
    </row>
    <row r="571" spans="1:57" ht="14.25" hidden="1" customHeight="1" x14ac:dyDescent="0.2">
      <c r="A571" s="842"/>
      <c r="C571" s="279"/>
      <c r="D571" s="279"/>
      <c r="E571" s="199"/>
      <c r="I571" s="201"/>
      <c r="J571" s="207"/>
      <c r="K571" s="280"/>
      <c r="L571" s="225"/>
      <c r="M571" s="226"/>
      <c r="N571" s="209"/>
      <c r="O571" s="174"/>
      <c r="P571" s="209"/>
      <c r="Q571" s="209"/>
      <c r="R571" s="209"/>
      <c r="S571" s="209"/>
      <c r="U571" s="210"/>
      <c r="V571" s="211"/>
      <c r="W571" s="210"/>
      <c r="X571" s="210"/>
      <c r="Y571" s="210"/>
      <c r="Z571" s="212"/>
      <c r="AA571" s="210"/>
      <c r="AB571" s="213"/>
      <c r="AC571" s="214"/>
      <c r="AD571" s="214"/>
      <c r="AE571" s="215"/>
      <c r="AF571" s="214"/>
      <c r="AG571" s="214"/>
      <c r="AH571" s="215"/>
      <c r="AI571" s="216"/>
      <c r="AL571" s="217"/>
      <c r="AM571" s="218"/>
      <c r="AQ571" s="245"/>
      <c r="AR571" s="245"/>
      <c r="AS571" s="245"/>
      <c r="AT571" s="245"/>
    </row>
    <row r="572" spans="1:57" ht="14.25" hidden="1" customHeight="1" x14ac:dyDescent="0.2">
      <c r="A572" s="842"/>
      <c r="C572" s="279"/>
      <c r="D572" s="279"/>
      <c r="E572" s="199"/>
      <c r="I572" s="201"/>
      <c r="J572" s="207"/>
      <c r="K572" s="281"/>
      <c r="L572" s="225"/>
      <c r="M572" s="226"/>
      <c r="N572" s="209"/>
      <c r="O572" s="174"/>
      <c r="U572" s="210"/>
      <c r="V572" s="211"/>
      <c r="W572" s="210"/>
      <c r="X572" s="210"/>
      <c r="Y572" s="210"/>
      <c r="Z572" s="212"/>
      <c r="AA572" s="210"/>
      <c r="AB572" s="213"/>
      <c r="AC572" s="214"/>
      <c r="AD572" s="214"/>
      <c r="AE572" s="215"/>
      <c r="AF572" s="214"/>
      <c r="AG572" s="214"/>
      <c r="AH572" s="215"/>
      <c r="AI572" s="216"/>
      <c r="AL572" s="217"/>
      <c r="AM572" s="218"/>
    </row>
    <row r="573" spans="1:57" ht="14.25" hidden="1" customHeight="1" x14ac:dyDescent="0.2">
      <c r="A573" s="842"/>
      <c r="C573" s="279"/>
      <c r="D573" s="279"/>
      <c r="E573" s="199"/>
      <c r="I573" s="201"/>
      <c r="J573" s="207"/>
      <c r="K573" s="281"/>
      <c r="L573" s="225"/>
      <c r="M573" s="226"/>
      <c r="N573" s="209"/>
      <c r="O573" s="174"/>
      <c r="U573" s="210"/>
      <c r="V573" s="211"/>
      <c r="W573" s="210"/>
      <c r="X573" s="210"/>
      <c r="Y573" s="210"/>
      <c r="Z573" s="212"/>
      <c r="AA573" s="210"/>
      <c r="AB573" s="213"/>
      <c r="AC573" s="214"/>
      <c r="AD573" s="214"/>
      <c r="AE573" s="215"/>
      <c r="AF573" s="214"/>
      <c r="AG573" s="214"/>
      <c r="AH573" s="215"/>
      <c r="AI573" s="216"/>
      <c r="AL573" s="217"/>
      <c r="AM573" s="218"/>
    </row>
    <row r="574" spans="1:57" ht="14.25" hidden="1" customHeight="1" x14ac:dyDescent="0.2">
      <c r="A574" s="842"/>
      <c r="C574" s="279"/>
      <c r="D574" s="279"/>
      <c r="E574" s="199"/>
      <c r="I574" s="201"/>
      <c r="J574" s="207"/>
      <c r="K574" s="281"/>
      <c r="L574" s="225"/>
      <c r="M574" s="226"/>
      <c r="N574" s="209"/>
      <c r="O574" s="174"/>
      <c r="U574" s="210"/>
      <c r="V574" s="211"/>
      <c r="W574" s="210"/>
      <c r="X574" s="210"/>
      <c r="Y574" s="210"/>
      <c r="Z574" s="212"/>
      <c r="AA574" s="210"/>
      <c r="AB574" s="213"/>
      <c r="AC574" s="214"/>
      <c r="AD574" s="214"/>
      <c r="AE574" s="215"/>
      <c r="AF574" s="214"/>
      <c r="AG574" s="214"/>
      <c r="AH574" s="215"/>
      <c r="AI574" s="216"/>
      <c r="AL574" s="217"/>
      <c r="AM574" s="218"/>
      <c r="AP574" s="245"/>
      <c r="AQ574" s="245"/>
      <c r="AR574" s="245"/>
      <c r="AS574" s="245"/>
      <c r="AT574" s="245"/>
      <c r="AU574" s="245"/>
      <c r="AV574" s="245"/>
      <c r="AW574" s="245"/>
      <c r="AX574" s="245"/>
      <c r="AY574" s="245"/>
      <c r="BA574" s="245"/>
      <c r="BB574" s="245"/>
      <c r="BC574" s="245"/>
      <c r="BD574" s="245"/>
      <c r="BE574" s="245"/>
    </row>
    <row r="575" spans="1:57" ht="14.25" hidden="1" customHeight="1" x14ac:dyDescent="0.2">
      <c r="A575" s="842"/>
      <c r="C575" s="279"/>
      <c r="D575" s="279"/>
      <c r="E575" s="199"/>
      <c r="I575" s="201"/>
      <c r="J575" s="223"/>
      <c r="K575" s="281"/>
      <c r="L575" s="225"/>
      <c r="M575" s="226"/>
      <c r="N575" s="209"/>
      <c r="O575" s="174"/>
      <c r="P575" s="209"/>
      <c r="Q575" s="209"/>
      <c r="R575" s="209"/>
      <c r="S575" s="209"/>
      <c r="U575" s="210"/>
      <c r="V575" s="211"/>
      <c r="W575" s="210"/>
      <c r="X575" s="210"/>
      <c r="Y575" s="210"/>
      <c r="Z575" s="212"/>
      <c r="AA575" s="210"/>
      <c r="AB575" s="213"/>
      <c r="AC575" s="214"/>
      <c r="AD575" s="214"/>
      <c r="AE575" s="215"/>
      <c r="AF575" s="214"/>
      <c r="AG575" s="214"/>
      <c r="AH575" s="215"/>
      <c r="AI575" s="216"/>
      <c r="AL575" s="217"/>
      <c r="AM575" s="218"/>
      <c r="AP575" s="245"/>
      <c r="AQ575" s="245"/>
      <c r="AR575" s="245"/>
      <c r="AS575" s="245"/>
      <c r="AT575" s="245"/>
      <c r="AU575" s="245"/>
      <c r="AV575" s="245"/>
      <c r="AW575" s="245"/>
      <c r="AX575" s="245"/>
      <c r="AY575" s="245"/>
      <c r="BA575" s="245"/>
      <c r="BB575" s="245"/>
      <c r="BC575" s="245"/>
      <c r="BD575" s="245"/>
      <c r="BE575" s="245"/>
    </row>
    <row r="576" spans="1:57" ht="14.25" hidden="1" customHeight="1" x14ac:dyDescent="0.2">
      <c r="A576" s="842"/>
      <c r="C576" s="279"/>
      <c r="D576" s="279"/>
      <c r="E576" s="199"/>
      <c r="I576" s="201"/>
      <c r="J576" s="223"/>
      <c r="K576" s="281"/>
      <c r="L576" s="225"/>
      <c r="M576" s="226"/>
      <c r="N576" s="209"/>
      <c r="O576" s="174"/>
      <c r="P576" s="209"/>
      <c r="Q576" s="209"/>
      <c r="R576" s="209"/>
      <c r="S576" s="209"/>
      <c r="U576" s="210"/>
      <c r="V576" s="211"/>
      <c r="W576" s="210"/>
      <c r="X576" s="210"/>
      <c r="Y576" s="210"/>
      <c r="Z576" s="212"/>
      <c r="AA576" s="210"/>
      <c r="AB576" s="213"/>
      <c r="AC576" s="214"/>
      <c r="AD576" s="214"/>
      <c r="AE576" s="215"/>
      <c r="AF576" s="214"/>
      <c r="AG576" s="214"/>
      <c r="AH576" s="215"/>
      <c r="AI576" s="216"/>
      <c r="AL576" s="217"/>
      <c r="AM576" s="218"/>
      <c r="AP576" s="245"/>
      <c r="AQ576" s="245"/>
      <c r="AR576" s="245"/>
      <c r="AS576" s="245"/>
      <c r="AT576" s="245"/>
      <c r="AU576" s="245"/>
      <c r="AV576" s="245"/>
      <c r="AW576" s="245"/>
      <c r="AX576" s="245"/>
      <c r="AY576" s="245"/>
      <c r="BA576" s="245"/>
      <c r="BB576" s="245"/>
      <c r="BC576" s="245"/>
      <c r="BD576" s="245"/>
      <c r="BE576" s="245"/>
    </row>
    <row r="577" spans="1:57" ht="14.25" hidden="1" customHeight="1" x14ac:dyDescent="0.2">
      <c r="A577" s="842"/>
      <c r="C577" s="279"/>
      <c r="D577" s="279"/>
      <c r="E577" s="199"/>
      <c r="I577" s="201"/>
      <c r="J577" s="223"/>
      <c r="K577" s="282"/>
      <c r="L577" s="225"/>
      <c r="M577" s="226"/>
      <c r="N577" s="209"/>
      <c r="O577" s="174"/>
      <c r="P577" s="209"/>
      <c r="Q577" s="209"/>
      <c r="R577" s="209"/>
      <c r="S577" s="209"/>
      <c r="U577" s="210"/>
      <c r="V577" s="211"/>
      <c r="W577" s="210"/>
      <c r="X577" s="210"/>
      <c r="Y577" s="210"/>
      <c r="Z577" s="212"/>
      <c r="AA577" s="210"/>
      <c r="AB577" s="213"/>
      <c r="AC577" s="214"/>
      <c r="AD577" s="214"/>
      <c r="AE577" s="215"/>
      <c r="AF577" s="214"/>
      <c r="AG577" s="214"/>
      <c r="AH577" s="215"/>
      <c r="AI577" s="216"/>
      <c r="AL577" s="217"/>
      <c r="AM577" s="218"/>
      <c r="AP577" s="245"/>
      <c r="AQ577" s="245"/>
      <c r="AR577" s="245"/>
      <c r="AS577" s="245"/>
      <c r="AT577" s="245"/>
      <c r="AU577" s="245"/>
      <c r="AV577" s="245"/>
      <c r="AW577" s="245"/>
      <c r="AX577" s="245"/>
      <c r="AY577" s="245"/>
      <c r="BA577" s="245"/>
      <c r="BB577" s="245"/>
      <c r="BC577" s="245"/>
      <c r="BD577" s="245"/>
      <c r="BE577" s="245"/>
    </row>
    <row r="578" spans="1:57" ht="14.25" hidden="1" customHeight="1" x14ac:dyDescent="0.2">
      <c r="A578" s="842"/>
      <c r="C578" s="279"/>
      <c r="D578" s="279"/>
      <c r="E578" s="199"/>
      <c r="I578" s="201"/>
      <c r="J578" s="223"/>
      <c r="K578" s="281"/>
      <c r="L578" s="225"/>
      <c r="M578" s="226"/>
      <c r="N578" s="209"/>
      <c r="O578" s="174"/>
      <c r="P578" s="209"/>
      <c r="Q578" s="209"/>
      <c r="R578" s="209"/>
      <c r="S578" s="209"/>
      <c r="U578" s="210"/>
      <c r="V578" s="211"/>
      <c r="W578" s="210"/>
      <c r="X578" s="210"/>
      <c r="Y578" s="210"/>
      <c r="Z578" s="212"/>
      <c r="AA578" s="210"/>
      <c r="AB578" s="213"/>
      <c r="AC578" s="214"/>
      <c r="AD578" s="214"/>
      <c r="AE578" s="215"/>
      <c r="AF578" s="214"/>
      <c r="AG578" s="214"/>
      <c r="AH578" s="215"/>
      <c r="AI578" s="216"/>
      <c r="AL578" s="217"/>
      <c r="AM578" s="218"/>
      <c r="AP578" s="245"/>
      <c r="AQ578" s="245"/>
      <c r="AR578" s="245"/>
      <c r="AS578" s="245"/>
      <c r="AT578" s="245"/>
      <c r="AU578" s="245"/>
      <c r="AV578" s="245"/>
      <c r="AW578" s="245"/>
      <c r="AX578" s="245"/>
      <c r="AY578" s="245"/>
      <c r="BA578" s="245"/>
      <c r="BB578" s="245"/>
      <c r="BC578" s="245"/>
      <c r="BD578" s="245"/>
      <c r="BE578" s="245"/>
    </row>
    <row r="579" spans="1:57" ht="14.25" hidden="1" customHeight="1" x14ac:dyDescent="0.2">
      <c r="A579" s="842"/>
      <c r="C579" s="279"/>
      <c r="D579" s="279"/>
      <c r="E579" s="199"/>
      <c r="I579" s="201"/>
      <c r="J579" s="223"/>
      <c r="K579" s="281"/>
      <c r="L579" s="225"/>
      <c r="M579" s="226"/>
      <c r="N579" s="209"/>
      <c r="O579" s="174"/>
      <c r="P579" s="209"/>
      <c r="Q579" s="209"/>
      <c r="R579" s="209"/>
      <c r="S579" s="209"/>
      <c r="U579" s="210"/>
      <c r="V579" s="211"/>
      <c r="W579" s="210"/>
      <c r="X579" s="210"/>
      <c r="Y579" s="210"/>
      <c r="Z579" s="212"/>
      <c r="AA579" s="210"/>
      <c r="AB579" s="213"/>
      <c r="AC579" s="214"/>
      <c r="AD579" s="214"/>
      <c r="AE579" s="215"/>
      <c r="AF579" s="214"/>
      <c r="AG579" s="214"/>
      <c r="AH579" s="215"/>
      <c r="AI579" s="216"/>
      <c r="AL579" s="217"/>
      <c r="AM579" s="218"/>
      <c r="AP579" s="245"/>
      <c r="AQ579" s="245"/>
      <c r="AR579" s="245"/>
      <c r="AS579" s="245"/>
      <c r="AT579" s="245"/>
      <c r="AU579" s="245"/>
      <c r="AV579" s="245"/>
      <c r="AW579" s="245"/>
      <c r="AX579" s="245"/>
      <c r="AY579" s="245"/>
      <c r="BA579" s="245"/>
      <c r="BB579" s="245"/>
      <c r="BC579" s="245"/>
      <c r="BD579" s="245"/>
      <c r="BE579" s="245"/>
    </row>
    <row r="580" spans="1:57" ht="14.25" hidden="1" customHeight="1" x14ac:dyDescent="0.2">
      <c r="A580" s="842"/>
      <c r="C580" s="279"/>
      <c r="D580" s="279"/>
      <c r="E580" s="199"/>
      <c r="I580" s="201"/>
      <c r="J580" s="223"/>
      <c r="K580" s="281"/>
      <c r="L580" s="225"/>
      <c r="M580" s="226"/>
      <c r="N580" s="209"/>
      <c r="O580" s="174"/>
      <c r="P580" s="209"/>
      <c r="Q580" s="209"/>
      <c r="R580" s="209"/>
      <c r="S580" s="209"/>
      <c r="U580" s="210"/>
      <c r="V580" s="211"/>
      <c r="W580" s="210"/>
      <c r="X580" s="210"/>
      <c r="Y580" s="210"/>
      <c r="Z580" s="212"/>
      <c r="AA580" s="210"/>
      <c r="AB580" s="213"/>
      <c r="AC580" s="214"/>
      <c r="AD580" s="214"/>
      <c r="AE580" s="215"/>
      <c r="AF580" s="214"/>
      <c r="AG580" s="214"/>
      <c r="AH580" s="215"/>
      <c r="AI580" s="216"/>
      <c r="AL580" s="217"/>
      <c r="AM580" s="218"/>
      <c r="AP580" s="245"/>
      <c r="AQ580" s="245"/>
      <c r="AR580" s="245"/>
      <c r="AS580" s="245"/>
      <c r="AT580" s="245"/>
      <c r="AU580" s="245"/>
      <c r="AV580" s="245"/>
      <c r="AW580" s="245"/>
      <c r="AX580" s="245"/>
      <c r="AY580" s="245"/>
      <c r="BA580" s="245"/>
      <c r="BB580" s="245"/>
      <c r="BC580" s="245"/>
      <c r="BD580" s="245"/>
      <c r="BE580" s="245"/>
    </row>
    <row r="581" spans="1:57" ht="14.25" hidden="1" customHeight="1" x14ac:dyDescent="0.2">
      <c r="A581" s="842"/>
      <c r="C581" s="279"/>
      <c r="D581" s="279"/>
      <c r="E581" s="199"/>
      <c r="I581" s="201"/>
      <c r="J581" s="223"/>
      <c r="K581" s="281"/>
      <c r="L581" s="225"/>
      <c r="M581" s="226"/>
      <c r="N581" s="209"/>
      <c r="O581" s="174"/>
      <c r="P581" s="209"/>
      <c r="Q581" s="209"/>
      <c r="R581" s="209"/>
      <c r="S581" s="209"/>
      <c r="U581" s="210"/>
      <c r="V581" s="211"/>
      <c r="W581" s="210"/>
      <c r="X581" s="210"/>
      <c r="Y581" s="210"/>
      <c r="Z581" s="212"/>
      <c r="AA581" s="210"/>
      <c r="AB581" s="213"/>
      <c r="AC581" s="214"/>
      <c r="AD581" s="214"/>
      <c r="AE581" s="215"/>
      <c r="AF581" s="214"/>
      <c r="AG581" s="214"/>
      <c r="AH581" s="215"/>
      <c r="AI581" s="216"/>
      <c r="AL581" s="217"/>
      <c r="AM581" s="218"/>
      <c r="AP581" s="245"/>
      <c r="AQ581" s="245"/>
      <c r="AR581" s="245"/>
      <c r="AS581" s="245"/>
      <c r="AT581" s="245"/>
      <c r="AU581" s="245"/>
      <c r="AV581" s="245"/>
      <c r="AW581" s="245"/>
      <c r="AX581" s="245"/>
      <c r="AY581" s="245"/>
      <c r="BA581" s="245"/>
      <c r="BB581" s="245"/>
      <c r="BC581" s="245"/>
      <c r="BD581" s="245"/>
      <c r="BE581" s="245"/>
    </row>
    <row r="582" spans="1:57" ht="14.25" hidden="1" customHeight="1" x14ac:dyDescent="0.2">
      <c r="A582" s="842"/>
      <c r="C582" s="279"/>
      <c r="D582" s="279"/>
      <c r="E582" s="199"/>
      <c r="I582" s="201"/>
      <c r="J582" s="169"/>
      <c r="K582" s="281"/>
      <c r="L582" s="228"/>
      <c r="M582" s="228"/>
      <c r="N582" s="228"/>
      <c r="O582" s="174"/>
      <c r="P582" s="209"/>
      <c r="Q582" s="209"/>
      <c r="R582" s="209"/>
      <c r="S582" s="209"/>
      <c r="U582" s="210"/>
      <c r="V582" s="211"/>
      <c r="W582" s="210"/>
      <c r="X582" s="210"/>
      <c r="Y582" s="210"/>
      <c r="Z582" s="212"/>
      <c r="AA582" s="210"/>
      <c r="AB582" s="213"/>
      <c r="AC582" s="214"/>
      <c r="AD582" s="214"/>
      <c r="AE582" s="215"/>
      <c r="AF582" s="214"/>
      <c r="AG582" s="214"/>
      <c r="AH582" s="215"/>
      <c r="AI582" s="216"/>
      <c r="AL582" s="217"/>
      <c r="AM582" s="218"/>
      <c r="AP582" s="245"/>
      <c r="AQ582" s="245"/>
      <c r="AR582" s="245"/>
      <c r="AS582" s="245"/>
      <c r="AT582" s="245"/>
      <c r="AU582" s="245"/>
      <c r="AV582" s="245"/>
      <c r="AW582" s="245"/>
      <c r="AX582" s="245"/>
      <c r="AY582" s="245"/>
      <c r="BA582" s="245"/>
      <c r="BB582" s="245"/>
      <c r="BC582" s="245"/>
      <c r="BD582" s="245"/>
      <c r="BE582" s="245"/>
    </row>
    <row r="583" spans="1:57" ht="14.25" hidden="1" customHeight="1" x14ac:dyDescent="0.2">
      <c r="A583" s="842"/>
      <c r="E583" s="247"/>
      <c r="F583" s="248"/>
      <c r="G583" s="248"/>
      <c r="H583" s="248"/>
      <c r="I583" s="247"/>
      <c r="J583" s="172"/>
      <c r="K583" s="228"/>
      <c r="L583" s="228"/>
      <c r="M583" s="228"/>
      <c r="N583" s="228"/>
      <c r="O583" s="174"/>
      <c r="P583" s="209"/>
      <c r="Q583" s="209"/>
      <c r="R583" s="209"/>
      <c r="S583" s="209"/>
      <c r="W583" s="231"/>
      <c r="AC583" s="233"/>
      <c r="AD583" s="233"/>
      <c r="AE583" s="234"/>
      <c r="AF583" s="233"/>
      <c r="AG583" s="233"/>
      <c r="AH583" s="234"/>
      <c r="AI583" s="234"/>
      <c r="AP583" s="245"/>
      <c r="AQ583" s="245"/>
      <c r="AR583" s="245"/>
      <c r="AS583" s="245"/>
      <c r="AT583" s="245"/>
      <c r="AU583" s="245"/>
      <c r="AV583" s="245"/>
      <c r="AW583" s="245"/>
      <c r="AX583" s="245"/>
      <c r="AY583" s="245"/>
      <c r="BA583" s="245"/>
      <c r="BB583" s="245"/>
      <c r="BC583" s="245"/>
      <c r="BD583" s="245"/>
      <c r="BE583" s="245"/>
    </row>
    <row r="584" spans="1:57" ht="14.25" hidden="1" customHeight="1" x14ac:dyDescent="0.2">
      <c r="A584" s="842"/>
      <c r="E584" s="224"/>
      <c r="F584" s="225"/>
      <c r="G584" s="226"/>
      <c r="H584" s="209"/>
      <c r="I584" s="227"/>
      <c r="J584" s="169"/>
      <c r="K584" s="228"/>
      <c r="L584" s="225"/>
      <c r="M584" s="226"/>
      <c r="N584" s="209"/>
      <c r="O584" s="174"/>
      <c r="P584" s="209"/>
      <c r="Q584" s="209"/>
      <c r="R584" s="209"/>
      <c r="S584" s="209"/>
      <c r="W584" s="231"/>
      <c r="AC584" s="233"/>
      <c r="AD584" s="233"/>
      <c r="AE584" s="234"/>
      <c r="AF584" s="233"/>
      <c r="AG584" s="233"/>
      <c r="AH584" s="234"/>
      <c r="AI584" s="197"/>
      <c r="AP584" s="245"/>
      <c r="AQ584" s="245"/>
      <c r="AR584" s="245"/>
      <c r="AS584" s="245"/>
      <c r="AT584" s="245"/>
      <c r="AU584" s="245"/>
      <c r="AV584" s="245"/>
      <c r="AW584" s="245"/>
      <c r="AX584" s="245"/>
      <c r="AY584" s="245"/>
      <c r="BA584" s="245"/>
      <c r="BB584" s="245"/>
      <c r="BC584" s="245"/>
      <c r="BD584" s="245"/>
      <c r="BE584" s="245"/>
    </row>
    <row r="585" spans="1:57" ht="14.25" hidden="1" customHeight="1" x14ac:dyDescent="0.2">
      <c r="A585" s="842"/>
      <c r="B585" s="187"/>
      <c r="C585" s="188"/>
      <c r="D585" s="188"/>
      <c r="E585" s="844"/>
      <c r="F585" s="844"/>
      <c r="G585" s="844"/>
      <c r="H585" s="844"/>
      <c r="I585" s="189"/>
      <c r="J585" s="190"/>
      <c r="K585" s="191"/>
      <c r="L585" s="192"/>
      <c r="U585" s="229"/>
      <c r="V585" s="230"/>
      <c r="W585" s="231"/>
      <c r="X585" s="231"/>
      <c r="Y585" s="231"/>
      <c r="Z585" s="232"/>
      <c r="AA585" s="231"/>
      <c r="AC585" s="197"/>
      <c r="AD585" s="197"/>
      <c r="AE585" s="197"/>
      <c r="AF585" s="197"/>
      <c r="AG585" s="197"/>
      <c r="AH585" s="197"/>
      <c r="AI585" s="197"/>
      <c r="AQ585" s="245"/>
      <c r="AR585" s="245"/>
      <c r="AS585" s="245"/>
      <c r="AT585" s="245"/>
    </row>
    <row r="586" spans="1:57" ht="9" hidden="1" customHeight="1" x14ac:dyDescent="0.2">
      <c r="A586" s="842"/>
      <c r="J586" s="169"/>
      <c r="K586" s="228"/>
      <c r="L586" s="225"/>
      <c r="M586" s="226"/>
      <c r="N586" s="209"/>
      <c r="O586" s="174"/>
      <c r="P586" s="209"/>
      <c r="Q586" s="209"/>
      <c r="R586" s="209"/>
      <c r="S586" s="209"/>
      <c r="AP586" s="245"/>
      <c r="AQ586" s="245"/>
      <c r="AR586" s="245"/>
      <c r="AS586" s="245"/>
      <c r="AT586" s="245"/>
      <c r="AU586" s="245"/>
      <c r="AV586" s="245"/>
      <c r="AW586" s="245"/>
      <c r="AX586" s="245"/>
      <c r="AY586" s="245"/>
      <c r="BA586" s="245"/>
      <c r="BB586" s="245"/>
      <c r="BC586" s="245"/>
      <c r="BD586" s="245"/>
      <c r="BE586" s="245"/>
    </row>
    <row r="587" spans="1:57" ht="14.25" hidden="1" customHeight="1" x14ac:dyDescent="0.2">
      <c r="A587" s="842"/>
      <c r="C587" s="279"/>
      <c r="D587" s="279"/>
      <c r="E587" s="199"/>
      <c r="I587" s="201"/>
      <c r="J587" s="207"/>
      <c r="K587" s="280"/>
      <c r="L587" s="225"/>
      <c r="M587" s="226"/>
      <c r="N587" s="209"/>
      <c r="O587" s="174"/>
      <c r="P587" s="209"/>
      <c r="Q587" s="209"/>
      <c r="R587" s="209"/>
      <c r="S587" s="209"/>
      <c r="U587" s="210"/>
      <c r="V587" s="211"/>
      <c r="W587" s="210"/>
      <c r="X587" s="210"/>
      <c r="Y587" s="210"/>
      <c r="Z587" s="212"/>
      <c r="AA587" s="210"/>
      <c r="AB587" s="213"/>
      <c r="AC587" s="214"/>
      <c r="AD587" s="214"/>
      <c r="AE587" s="215"/>
      <c r="AF587" s="214"/>
      <c r="AG587" s="214"/>
      <c r="AH587" s="215"/>
      <c r="AI587" s="216"/>
      <c r="AL587" s="217"/>
      <c r="AM587" s="218"/>
      <c r="AQ587" s="245"/>
      <c r="AR587" s="245"/>
      <c r="AS587" s="245"/>
      <c r="AT587" s="245"/>
    </row>
    <row r="588" spans="1:57" ht="14.25" hidden="1" customHeight="1" x14ac:dyDescent="0.2">
      <c r="A588" s="842"/>
      <c r="C588" s="279"/>
      <c r="D588" s="279"/>
      <c r="E588" s="199"/>
      <c r="I588" s="201"/>
      <c r="J588" s="207"/>
      <c r="K588" s="281"/>
      <c r="L588" s="225"/>
      <c r="M588" s="226"/>
      <c r="N588" s="209"/>
      <c r="O588" s="174"/>
      <c r="U588" s="210"/>
      <c r="V588" s="211"/>
      <c r="W588" s="210"/>
      <c r="X588" s="210"/>
      <c r="Y588" s="210"/>
      <c r="Z588" s="212"/>
      <c r="AA588" s="210"/>
      <c r="AB588" s="213"/>
      <c r="AC588" s="214"/>
      <c r="AD588" s="214"/>
      <c r="AE588" s="215"/>
      <c r="AF588" s="214"/>
      <c r="AG588" s="214"/>
      <c r="AH588" s="215"/>
      <c r="AI588" s="216"/>
      <c r="AL588" s="217"/>
      <c r="AM588" s="218"/>
    </row>
    <row r="589" spans="1:57" ht="14.25" hidden="1" customHeight="1" x14ac:dyDescent="0.2">
      <c r="A589" s="842"/>
      <c r="C589" s="279"/>
      <c r="D589" s="279"/>
      <c r="E589" s="199"/>
      <c r="I589" s="201"/>
      <c r="J589" s="207"/>
      <c r="K589" s="281"/>
      <c r="L589" s="225"/>
      <c r="M589" s="226"/>
      <c r="N589" s="209"/>
      <c r="O589" s="174"/>
      <c r="U589" s="210"/>
      <c r="V589" s="211"/>
      <c r="W589" s="210"/>
      <c r="X589" s="210"/>
      <c r="Y589" s="210"/>
      <c r="Z589" s="212"/>
      <c r="AA589" s="210"/>
      <c r="AB589" s="213"/>
      <c r="AC589" s="214"/>
      <c r="AD589" s="214"/>
      <c r="AE589" s="215"/>
      <c r="AF589" s="214"/>
      <c r="AG589" s="214"/>
      <c r="AH589" s="215"/>
      <c r="AI589" s="216"/>
      <c r="AL589" s="217"/>
      <c r="AM589" s="218"/>
    </row>
    <row r="590" spans="1:57" ht="14.25" hidden="1" customHeight="1" x14ac:dyDescent="0.2">
      <c r="A590" s="842"/>
      <c r="C590" s="279"/>
      <c r="D590" s="279"/>
      <c r="E590" s="199"/>
      <c r="I590" s="201"/>
      <c r="J590" s="207"/>
      <c r="K590" s="281"/>
      <c r="L590" s="225"/>
      <c r="M590" s="226"/>
      <c r="N590" s="209"/>
      <c r="O590" s="174"/>
      <c r="U590" s="210"/>
      <c r="V590" s="211"/>
      <c r="W590" s="210"/>
      <c r="X590" s="210"/>
      <c r="Y590" s="210"/>
      <c r="Z590" s="212"/>
      <c r="AA590" s="210"/>
      <c r="AB590" s="213"/>
      <c r="AC590" s="214"/>
      <c r="AD590" s="214"/>
      <c r="AE590" s="215"/>
      <c r="AF590" s="214"/>
      <c r="AG590" s="214"/>
      <c r="AH590" s="215"/>
      <c r="AI590" s="216"/>
      <c r="AL590" s="217"/>
      <c r="AM590" s="218"/>
      <c r="AP590" s="245"/>
      <c r="AQ590" s="245"/>
      <c r="AR590" s="245"/>
      <c r="AS590" s="245"/>
      <c r="AT590" s="245"/>
      <c r="AU590" s="245"/>
      <c r="AV590" s="245"/>
      <c r="AW590" s="245"/>
      <c r="AX590" s="245"/>
      <c r="AY590" s="245"/>
      <c r="BA590" s="245"/>
      <c r="BB590" s="245"/>
      <c r="BC590" s="245"/>
      <c r="BD590" s="245"/>
      <c r="BE590" s="245"/>
    </row>
    <row r="591" spans="1:57" ht="14.25" hidden="1" customHeight="1" x14ac:dyDescent="0.2">
      <c r="A591" s="842"/>
      <c r="C591" s="279"/>
      <c r="D591" s="279"/>
      <c r="E591" s="199"/>
      <c r="I591" s="201"/>
      <c r="J591" s="223"/>
      <c r="K591" s="281"/>
      <c r="L591" s="225"/>
      <c r="M591" s="226"/>
      <c r="N591" s="209"/>
      <c r="O591" s="174"/>
      <c r="P591" s="209"/>
      <c r="Q591" s="209"/>
      <c r="R591" s="209"/>
      <c r="S591" s="209"/>
      <c r="U591" s="210"/>
      <c r="V591" s="211"/>
      <c r="W591" s="210"/>
      <c r="X591" s="210"/>
      <c r="Y591" s="210"/>
      <c r="Z591" s="212"/>
      <c r="AA591" s="210"/>
      <c r="AB591" s="213"/>
      <c r="AC591" s="214"/>
      <c r="AD591" s="214"/>
      <c r="AE591" s="215"/>
      <c r="AF591" s="214"/>
      <c r="AG591" s="214"/>
      <c r="AH591" s="215"/>
      <c r="AI591" s="216"/>
      <c r="AL591" s="217"/>
      <c r="AM591" s="218"/>
      <c r="AP591" s="245"/>
      <c r="AQ591" s="245"/>
      <c r="AR591" s="245"/>
      <c r="AS591" s="245"/>
      <c r="AT591" s="245"/>
      <c r="AU591" s="245"/>
      <c r="AV591" s="245"/>
      <c r="AW591" s="245"/>
      <c r="AX591" s="245"/>
      <c r="AY591" s="245"/>
      <c r="BA591" s="245"/>
      <c r="BB591" s="245"/>
      <c r="BC591" s="245"/>
      <c r="BD591" s="245"/>
      <c r="BE591" s="245"/>
    </row>
    <row r="592" spans="1:57" ht="14.25" hidden="1" customHeight="1" x14ac:dyDescent="0.2">
      <c r="A592" s="842"/>
      <c r="C592" s="279"/>
      <c r="D592" s="279"/>
      <c r="E592" s="199"/>
      <c r="I592" s="201"/>
      <c r="J592" s="223"/>
      <c r="K592" s="281"/>
      <c r="L592" s="225"/>
      <c r="M592" s="226"/>
      <c r="N592" s="209"/>
      <c r="O592" s="174"/>
      <c r="P592" s="209"/>
      <c r="Q592" s="209"/>
      <c r="R592" s="209"/>
      <c r="S592" s="209"/>
      <c r="U592" s="210"/>
      <c r="V592" s="211"/>
      <c r="W592" s="210"/>
      <c r="X592" s="210"/>
      <c r="Y592" s="210"/>
      <c r="Z592" s="212"/>
      <c r="AA592" s="210"/>
      <c r="AB592" s="213"/>
      <c r="AC592" s="214"/>
      <c r="AD592" s="214"/>
      <c r="AE592" s="215"/>
      <c r="AF592" s="214"/>
      <c r="AG592" s="214"/>
      <c r="AH592" s="215"/>
      <c r="AI592" s="216"/>
      <c r="AL592" s="217"/>
      <c r="AM592" s="218"/>
      <c r="AP592" s="245"/>
      <c r="AQ592" s="245"/>
      <c r="AR592" s="245"/>
      <c r="AS592" s="245"/>
      <c r="AT592" s="245"/>
      <c r="AU592" s="245"/>
      <c r="AV592" s="245"/>
      <c r="AW592" s="245"/>
      <c r="AX592" s="245"/>
      <c r="AY592" s="245"/>
      <c r="BA592" s="245"/>
      <c r="BB592" s="245"/>
      <c r="BC592" s="245"/>
      <c r="BD592" s="245"/>
      <c r="BE592" s="245"/>
    </row>
    <row r="593" spans="1:57" ht="14.25" hidden="1" customHeight="1" x14ac:dyDescent="0.2">
      <c r="A593" s="842"/>
      <c r="C593" s="279"/>
      <c r="D593" s="279"/>
      <c r="E593" s="199"/>
      <c r="I593" s="201"/>
      <c r="J593" s="223"/>
      <c r="K593" s="282"/>
      <c r="L593" s="225"/>
      <c r="M593" s="226"/>
      <c r="N593" s="209"/>
      <c r="O593" s="174"/>
      <c r="P593" s="209"/>
      <c r="Q593" s="209"/>
      <c r="R593" s="209"/>
      <c r="S593" s="209"/>
      <c r="U593" s="210"/>
      <c r="V593" s="211"/>
      <c r="W593" s="210"/>
      <c r="X593" s="210"/>
      <c r="Y593" s="210"/>
      <c r="Z593" s="212"/>
      <c r="AA593" s="210"/>
      <c r="AB593" s="213"/>
      <c r="AC593" s="214"/>
      <c r="AD593" s="214"/>
      <c r="AE593" s="215"/>
      <c r="AF593" s="214"/>
      <c r="AG593" s="214"/>
      <c r="AH593" s="215"/>
      <c r="AI593" s="216"/>
      <c r="AL593" s="217"/>
      <c r="AM593" s="218"/>
      <c r="AP593" s="245"/>
      <c r="AQ593" s="245"/>
      <c r="AR593" s="245"/>
      <c r="AS593" s="245"/>
      <c r="AT593" s="245"/>
      <c r="AU593" s="245"/>
      <c r="AV593" s="245"/>
      <c r="AW593" s="245"/>
      <c r="AX593" s="245"/>
      <c r="AY593" s="245"/>
      <c r="BA593" s="245"/>
      <c r="BB593" s="245"/>
      <c r="BC593" s="245"/>
      <c r="BD593" s="245"/>
      <c r="BE593" s="245"/>
    </row>
    <row r="594" spans="1:57" ht="14.25" hidden="1" customHeight="1" x14ac:dyDescent="0.2">
      <c r="A594" s="842"/>
      <c r="C594" s="279"/>
      <c r="D594" s="279"/>
      <c r="E594" s="199"/>
      <c r="I594" s="201"/>
      <c r="J594" s="223"/>
      <c r="K594" s="281"/>
      <c r="L594" s="225"/>
      <c r="M594" s="226"/>
      <c r="N594" s="209"/>
      <c r="O594" s="174"/>
      <c r="P594" s="209"/>
      <c r="Q594" s="209"/>
      <c r="R594" s="209"/>
      <c r="S594" s="209"/>
      <c r="U594" s="210"/>
      <c r="V594" s="211"/>
      <c r="W594" s="210"/>
      <c r="X594" s="210"/>
      <c r="Y594" s="210"/>
      <c r="Z594" s="212"/>
      <c r="AA594" s="210"/>
      <c r="AB594" s="213"/>
      <c r="AC594" s="214"/>
      <c r="AD594" s="214"/>
      <c r="AE594" s="215"/>
      <c r="AF594" s="214"/>
      <c r="AG594" s="214"/>
      <c r="AH594" s="215"/>
      <c r="AI594" s="216"/>
      <c r="AL594" s="217"/>
      <c r="AM594" s="218"/>
      <c r="AP594" s="245"/>
      <c r="AQ594" s="245"/>
      <c r="AR594" s="245"/>
      <c r="AS594" s="245"/>
      <c r="AT594" s="245"/>
      <c r="AU594" s="245"/>
      <c r="AV594" s="245"/>
      <c r="AW594" s="245"/>
      <c r="AX594" s="245"/>
      <c r="AY594" s="245"/>
      <c r="BA594" s="245"/>
      <c r="BB594" s="245"/>
      <c r="BC594" s="245"/>
      <c r="BD594" s="245"/>
      <c r="BE594" s="245"/>
    </row>
    <row r="595" spans="1:57" ht="14.25" hidden="1" customHeight="1" x14ac:dyDescent="0.2">
      <c r="A595" s="842"/>
      <c r="C595" s="279"/>
      <c r="D595" s="279"/>
      <c r="E595" s="199"/>
      <c r="I595" s="201"/>
      <c r="J595" s="223"/>
      <c r="K595" s="281"/>
      <c r="L595" s="225"/>
      <c r="M595" s="226"/>
      <c r="N595" s="209"/>
      <c r="O595" s="174"/>
      <c r="P595" s="209"/>
      <c r="Q595" s="209"/>
      <c r="R595" s="209"/>
      <c r="S595" s="209"/>
      <c r="U595" s="210"/>
      <c r="V595" s="211"/>
      <c r="W595" s="210"/>
      <c r="X595" s="210"/>
      <c r="Y595" s="210"/>
      <c r="Z595" s="212"/>
      <c r="AA595" s="210"/>
      <c r="AB595" s="213"/>
      <c r="AC595" s="214"/>
      <c r="AD595" s="214"/>
      <c r="AE595" s="215"/>
      <c r="AF595" s="214"/>
      <c r="AG595" s="214"/>
      <c r="AH595" s="215"/>
      <c r="AI595" s="216"/>
      <c r="AL595" s="217"/>
      <c r="AM595" s="218"/>
      <c r="AP595" s="245"/>
      <c r="AQ595" s="245"/>
      <c r="AR595" s="245"/>
      <c r="AS595" s="245"/>
      <c r="AT595" s="245"/>
      <c r="AU595" s="245"/>
      <c r="AV595" s="245"/>
      <c r="AW595" s="245"/>
      <c r="AX595" s="245"/>
      <c r="AY595" s="245"/>
      <c r="BA595" s="245"/>
      <c r="BB595" s="245"/>
      <c r="BC595" s="245"/>
      <c r="BD595" s="245"/>
      <c r="BE595" s="245"/>
    </row>
    <row r="596" spans="1:57" ht="14.25" hidden="1" customHeight="1" x14ac:dyDescent="0.2">
      <c r="A596" s="842"/>
      <c r="C596" s="279"/>
      <c r="D596" s="279"/>
      <c r="E596" s="199"/>
      <c r="I596" s="201"/>
      <c r="J596" s="223"/>
      <c r="K596" s="281"/>
      <c r="L596" s="225"/>
      <c r="M596" s="226"/>
      <c r="N596" s="209"/>
      <c r="O596" s="174"/>
      <c r="P596" s="209"/>
      <c r="Q596" s="209"/>
      <c r="R596" s="209"/>
      <c r="S596" s="209"/>
      <c r="U596" s="210"/>
      <c r="V596" s="211"/>
      <c r="W596" s="210"/>
      <c r="X596" s="210"/>
      <c r="Y596" s="210"/>
      <c r="Z596" s="212"/>
      <c r="AA596" s="210"/>
      <c r="AB596" s="213"/>
      <c r="AC596" s="214"/>
      <c r="AD596" s="214"/>
      <c r="AE596" s="215"/>
      <c r="AF596" s="214"/>
      <c r="AG596" s="214"/>
      <c r="AH596" s="215"/>
      <c r="AI596" s="216"/>
      <c r="AL596" s="217"/>
      <c r="AM596" s="218"/>
      <c r="AP596" s="245"/>
      <c r="AQ596" s="245"/>
      <c r="AR596" s="245"/>
      <c r="AS596" s="245"/>
      <c r="AT596" s="245"/>
      <c r="AU596" s="245"/>
      <c r="AV596" s="245"/>
      <c r="AW596" s="245"/>
      <c r="AX596" s="245"/>
      <c r="AY596" s="245"/>
      <c r="BA596" s="245"/>
      <c r="BB596" s="245"/>
      <c r="BC596" s="245"/>
      <c r="BD596" s="245"/>
      <c r="BE596" s="245"/>
    </row>
    <row r="597" spans="1:57" ht="14.25" hidden="1" customHeight="1" x14ac:dyDescent="0.2">
      <c r="A597" s="842"/>
      <c r="C597" s="279"/>
      <c r="D597" s="279"/>
      <c r="E597" s="199"/>
      <c r="I597" s="201"/>
      <c r="J597" s="223"/>
      <c r="K597" s="281"/>
      <c r="L597" s="225"/>
      <c r="M597" s="226"/>
      <c r="N597" s="209"/>
      <c r="O597" s="174"/>
      <c r="P597" s="209"/>
      <c r="Q597" s="209"/>
      <c r="R597" s="209"/>
      <c r="S597" s="209"/>
      <c r="U597" s="210"/>
      <c r="V597" s="211"/>
      <c r="W597" s="210"/>
      <c r="X597" s="210"/>
      <c r="Y597" s="210"/>
      <c r="Z597" s="212"/>
      <c r="AA597" s="210"/>
      <c r="AB597" s="213"/>
      <c r="AC597" s="214"/>
      <c r="AD597" s="214"/>
      <c r="AE597" s="215"/>
      <c r="AF597" s="214"/>
      <c r="AG597" s="214"/>
      <c r="AH597" s="215"/>
      <c r="AI597" s="216"/>
      <c r="AL597" s="217"/>
      <c r="AM597" s="218"/>
      <c r="AP597" s="245"/>
      <c r="AQ597" s="245"/>
      <c r="AR597" s="245"/>
      <c r="AS597" s="245"/>
      <c r="AT597" s="245"/>
      <c r="AU597" s="245"/>
      <c r="AV597" s="245"/>
      <c r="AW597" s="245"/>
      <c r="AX597" s="245"/>
      <c r="AY597" s="245"/>
      <c r="BA597" s="245"/>
      <c r="BB597" s="245"/>
      <c r="BC597" s="245"/>
      <c r="BD597" s="245"/>
      <c r="BE597" s="245"/>
    </row>
    <row r="598" spans="1:57" ht="14.25" hidden="1" customHeight="1" x14ac:dyDescent="0.2">
      <c r="A598" s="842"/>
      <c r="C598" s="279"/>
      <c r="D598" s="279"/>
      <c r="E598" s="199"/>
      <c r="I598" s="201"/>
      <c r="J598" s="169"/>
      <c r="K598" s="281"/>
      <c r="L598" s="228"/>
      <c r="M598" s="228"/>
      <c r="N598" s="228"/>
      <c r="O598" s="174"/>
      <c r="P598" s="209"/>
      <c r="Q598" s="209"/>
      <c r="R598" s="209"/>
      <c r="S598" s="209"/>
      <c r="U598" s="210"/>
      <c r="V598" s="211"/>
      <c r="W598" s="210"/>
      <c r="X598" s="210"/>
      <c r="Y598" s="210"/>
      <c r="Z598" s="212"/>
      <c r="AA598" s="210"/>
      <c r="AB598" s="213"/>
      <c r="AC598" s="214"/>
      <c r="AD598" s="214"/>
      <c r="AE598" s="215"/>
      <c r="AF598" s="214"/>
      <c r="AG598" s="214"/>
      <c r="AH598" s="215"/>
      <c r="AI598" s="216"/>
      <c r="AL598" s="217"/>
      <c r="AM598" s="218"/>
      <c r="AP598" s="245"/>
      <c r="AQ598" s="245"/>
      <c r="AR598" s="245"/>
      <c r="AS598" s="245"/>
      <c r="AT598" s="245"/>
      <c r="AU598" s="245"/>
      <c r="AV598" s="245"/>
      <c r="AW598" s="245"/>
      <c r="AX598" s="245"/>
      <c r="AY598" s="245"/>
      <c r="BA598" s="245"/>
      <c r="BB598" s="245"/>
      <c r="BC598" s="245"/>
      <c r="BD598" s="245"/>
      <c r="BE598" s="245"/>
    </row>
    <row r="599" spans="1:57" ht="14.25" hidden="1" customHeight="1" x14ac:dyDescent="0.2">
      <c r="A599" s="842"/>
      <c r="E599" s="247"/>
      <c r="F599" s="248"/>
      <c r="G599" s="248"/>
      <c r="H599" s="248"/>
      <c r="I599" s="247"/>
      <c r="J599" s="172"/>
      <c r="K599" s="228"/>
      <c r="L599" s="228"/>
      <c r="M599" s="228"/>
      <c r="N599" s="228"/>
      <c r="O599" s="174"/>
      <c r="P599" s="209"/>
      <c r="Q599" s="209"/>
      <c r="R599" s="209"/>
      <c r="S599" s="209"/>
      <c r="W599" s="231"/>
      <c r="AC599" s="233"/>
      <c r="AD599" s="233"/>
      <c r="AE599" s="234"/>
      <c r="AF599" s="233"/>
      <c r="AG599" s="233"/>
      <c r="AH599" s="234"/>
      <c r="AI599" s="234"/>
      <c r="AP599" s="245"/>
      <c r="AQ599" s="245"/>
      <c r="AR599" s="245"/>
      <c r="AS599" s="245"/>
      <c r="AT599" s="245"/>
      <c r="AU599" s="245"/>
      <c r="AV599" s="245"/>
      <c r="AW599" s="245"/>
      <c r="AX599" s="245"/>
      <c r="AY599" s="245"/>
      <c r="BA599" s="245"/>
      <c r="BB599" s="245"/>
      <c r="BC599" s="245"/>
      <c r="BD599" s="245"/>
      <c r="BE599" s="245"/>
    </row>
    <row r="600" spans="1:57" ht="14.25" hidden="1" customHeight="1" x14ac:dyDescent="0.2">
      <c r="A600" s="842"/>
      <c r="E600" s="224"/>
      <c r="F600" s="225"/>
      <c r="G600" s="226"/>
      <c r="H600" s="209"/>
      <c r="I600" s="227"/>
      <c r="J600" s="169"/>
      <c r="K600" s="228"/>
      <c r="L600" s="225"/>
      <c r="M600" s="226"/>
      <c r="N600" s="209"/>
      <c r="O600" s="174"/>
      <c r="P600" s="209"/>
      <c r="Q600" s="209"/>
      <c r="R600" s="209"/>
      <c r="S600" s="209"/>
      <c r="W600" s="231"/>
      <c r="AC600" s="233"/>
      <c r="AD600" s="233"/>
      <c r="AE600" s="234"/>
      <c r="AF600" s="233"/>
      <c r="AG600" s="233"/>
      <c r="AH600" s="234"/>
      <c r="AI600" s="197"/>
      <c r="AP600" s="245"/>
      <c r="AQ600" s="245"/>
      <c r="AR600" s="245"/>
      <c r="AS600" s="245"/>
      <c r="AT600" s="245"/>
      <c r="AU600" s="245"/>
      <c r="AV600" s="245"/>
      <c r="AW600" s="245"/>
      <c r="AX600" s="245"/>
      <c r="AY600" s="245"/>
      <c r="BA600" s="245"/>
      <c r="BB600" s="245"/>
      <c r="BC600" s="245"/>
      <c r="BD600" s="245"/>
      <c r="BE600" s="245"/>
    </row>
    <row r="601" spans="1:57" ht="14.25" hidden="1" customHeight="1" x14ac:dyDescent="0.2">
      <c r="A601" s="842"/>
      <c r="B601" s="187"/>
      <c r="C601" s="188"/>
      <c r="D601" s="188"/>
      <c r="E601" s="844"/>
      <c r="F601" s="844"/>
      <c r="G601" s="844"/>
      <c r="H601" s="844"/>
      <c r="I601" s="189"/>
      <c r="J601" s="190"/>
      <c r="K601" s="191"/>
      <c r="L601" s="192"/>
      <c r="U601" s="229"/>
      <c r="V601" s="230"/>
      <c r="W601" s="231"/>
      <c r="X601" s="231"/>
      <c r="Y601" s="231"/>
      <c r="Z601" s="232"/>
      <c r="AA601" s="231"/>
      <c r="AC601" s="197"/>
      <c r="AD601" s="197"/>
      <c r="AE601" s="197"/>
      <c r="AF601" s="197"/>
      <c r="AG601" s="197"/>
      <c r="AH601" s="197"/>
      <c r="AI601" s="197"/>
      <c r="AQ601" s="245"/>
      <c r="AR601" s="245"/>
      <c r="AS601" s="245"/>
      <c r="AT601" s="245"/>
    </row>
    <row r="602" spans="1:57" ht="9" hidden="1" customHeight="1" x14ac:dyDescent="0.2">
      <c r="A602" s="842"/>
      <c r="J602" s="169"/>
      <c r="K602" s="228"/>
      <c r="L602" s="225"/>
      <c r="M602" s="226"/>
      <c r="N602" s="209"/>
      <c r="O602" s="174"/>
      <c r="P602" s="209"/>
      <c r="Q602" s="209"/>
      <c r="R602" s="209"/>
      <c r="S602" s="209"/>
      <c r="AP602" s="245"/>
      <c r="AQ602" s="245"/>
      <c r="AR602" s="245"/>
      <c r="AS602" s="245"/>
      <c r="AT602" s="245"/>
      <c r="AU602" s="245"/>
      <c r="AV602" s="245"/>
      <c r="AW602" s="245"/>
      <c r="AX602" s="245"/>
      <c r="AY602" s="245"/>
      <c r="BA602" s="245"/>
      <c r="BB602" s="245"/>
      <c r="BC602" s="245"/>
      <c r="BD602" s="245"/>
      <c r="BE602" s="245"/>
    </row>
    <row r="603" spans="1:57" ht="14.25" hidden="1" customHeight="1" x14ac:dyDescent="0.2">
      <c r="A603" s="842"/>
      <c r="C603" s="279"/>
      <c r="D603" s="279"/>
      <c r="E603" s="199"/>
      <c r="I603" s="201"/>
      <c r="J603" s="207"/>
      <c r="K603" s="280"/>
      <c r="L603" s="225"/>
      <c r="M603" s="226"/>
      <c r="N603" s="209"/>
      <c r="O603" s="174"/>
      <c r="P603" s="209"/>
      <c r="Q603" s="209"/>
      <c r="R603" s="209"/>
      <c r="S603" s="209"/>
      <c r="U603" s="210"/>
      <c r="V603" s="211"/>
      <c r="W603" s="210"/>
      <c r="X603" s="210"/>
      <c r="Y603" s="210"/>
      <c r="Z603" s="212"/>
      <c r="AA603" s="210"/>
      <c r="AB603" s="213"/>
      <c r="AC603" s="214"/>
      <c r="AD603" s="214"/>
      <c r="AE603" s="215"/>
      <c r="AF603" s="214"/>
      <c r="AG603" s="214"/>
      <c r="AH603" s="215"/>
      <c r="AI603" s="216"/>
      <c r="AL603" s="217"/>
      <c r="AM603" s="218"/>
      <c r="AQ603" s="245"/>
      <c r="AR603" s="245"/>
      <c r="AS603" s="245"/>
      <c r="AT603" s="245"/>
    </row>
    <row r="604" spans="1:57" ht="14.25" hidden="1" customHeight="1" x14ac:dyDescent="0.2">
      <c r="A604" s="842"/>
      <c r="C604" s="279"/>
      <c r="D604" s="279"/>
      <c r="E604" s="199"/>
      <c r="I604" s="201"/>
      <c r="J604" s="207"/>
      <c r="K604" s="281"/>
      <c r="L604" s="225"/>
      <c r="M604" s="226"/>
      <c r="N604" s="209"/>
      <c r="O604" s="174"/>
      <c r="U604" s="210"/>
      <c r="V604" s="211"/>
      <c r="W604" s="210"/>
      <c r="X604" s="210"/>
      <c r="Y604" s="210"/>
      <c r="Z604" s="212"/>
      <c r="AA604" s="210"/>
      <c r="AB604" s="213"/>
      <c r="AC604" s="214"/>
      <c r="AD604" s="214"/>
      <c r="AE604" s="215"/>
      <c r="AF604" s="214"/>
      <c r="AG604" s="214"/>
      <c r="AH604" s="215"/>
      <c r="AI604" s="216"/>
      <c r="AL604" s="217"/>
      <c r="AM604" s="218"/>
    </row>
    <row r="605" spans="1:57" ht="14.25" hidden="1" customHeight="1" x14ac:dyDescent="0.2">
      <c r="A605" s="842"/>
      <c r="C605" s="279"/>
      <c r="D605" s="279"/>
      <c r="E605" s="199"/>
      <c r="I605" s="201"/>
      <c r="J605" s="207"/>
      <c r="K605" s="281"/>
      <c r="L605" s="225"/>
      <c r="M605" s="226"/>
      <c r="N605" s="209"/>
      <c r="O605" s="174"/>
      <c r="U605" s="210"/>
      <c r="V605" s="211"/>
      <c r="W605" s="210"/>
      <c r="X605" s="210"/>
      <c r="Y605" s="210"/>
      <c r="Z605" s="212"/>
      <c r="AA605" s="210"/>
      <c r="AB605" s="213"/>
      <c r="AC605" s="214"/>
      <c r="AD605" s="214"/>
      <c r="AE605" s="215"/>
      <c r="AF605" s="214"/>
      <c r="AG605" s="214"/>
      <c r="AH605" s="215"/>
      <c r="AI605" s="216"/>
      <c r="AL605" s="217"/>
      <c r="AM605" s="218"/>
    </row>
    <row r="606" spans="1:57" ht="14.25" hidden="1" customHeight="1" x14ac:dyDescent="0.2">
      <c r="A606" s="842"/>
      <c r="C606" s="279"/>
      <c r="D606" s="279"/>
      <c r="E606" s="199"/>
      <c r="I606" s="201"/>
      <c r="J606" s="207"/>
      <c r="K606" s="281"/>
      <c r="L606" s="225"/>
      <c r="M606" s="226"/>
      <c r="N606" s="209"/>
      <c r="O606" s="174"/>
      <c r="U606" s="210"/>
      <c r="V606" s="211"/>
      <c r="W606" s="210"/>
      <c r="X606" s="210"/>
      <c r="Y606" s="210"/>
      <c r="Z606" s="212"/>
      <c r="AA606" s="210"/>
      <c r="AB606" s="213"/>
      <c r="AC606" s="214"/>
      <c r="AD606" s="214"/>
      <c r="AE606" s="215"/>
      <c r="AF606" s="214"/>
      <c r="AG606" s="214"/>
      <c r="AH606" s="215"/>
      <c r="AI606" s="216"/>
      <c r="AL606" s="217"/>
      <c r="AM606" s="218"/>
      <c r="AP606" s="245"/>
      <c r="AQ606" s="245"/>
      <c r="AR606" s="245"/>
      <c r="AS606" s="245"/>
      <c r="AT606" s="245"/>
      <c r="AU606" s="245"/>
      <c r="AV606" s="245"/>
      <c r="AW606" s="245"/>
      <c r="AX606" s="245"/>
      <c r="AY606" s="245"/>
      <c r="BA606" s="245"/>
      <c r="BB606" s="245"/>
      <c r="BC606" s="245"/>
      <c r="BD606" s="245"/>
      <c r="BE606" s="245"/>
    </row>
    <row r="607" spans="1:57" ht="14.25" hidden="1" customHeight="1" x14ac:dyDescent="0.2">
      <c r="A607" s="842"/>
      <c r="C607" s="279"/>
      <c r="D607" s="279"/>
      <c r="E607" s="199"/>
      <c r="I607" s="201"/>
      <c r="J607" s="223"/>
      <c r="K607" s="281"/>
      <c r="L607" s="225"/>
      <c r="M607" s="226"/>
      <c r="N607" s="209"/>
      <c r="O607" s="174"/>
      <c r="P607" s="209"/>
      <c r="Q607" s="209"/>
      <c r="R607" s="209"/>
      <c r="S607" s="209"/>
      <c r="U607" s="210"/>
      <c r="V607" s="211"/>
      <c r="W607" s="210"/>
      <c r="X607" s="210"/>
      <c r="Y607" s="210"/>
      <c r="Z607" s="212"/>
      <c r="AA607" s="210"/>
      <c r="AB607" s="213"/>
      <c r="AC607" s="214"/>
      <c r="AD607" s="214"/>
      <c r="AE607" s="215"/>
      <c r="AF607" s="214"/>
      <c r="AG607" s="214"/>
      <c r="AH607" s="215"/>
      <c r="AI607" s="216"/>
      <c r="AL607" s="217"/>
      <c r="AM607" s="218"/>
      <c r="AP607" s="245"/>
      <c r="AQ607" s="245"/>
      <c r="AR607" s="245"/>
      <c r="AS607" s="245"/>
      <c r="AT607" s="245"/>
      <c r="AU607" s="245"/>
      <c r="AV607" s="245"/>
      <c r="AW607" s="245"/>
      <c r="AX607" s="245"/>
      <c r="AY607" s="245"/>
      <c r="BA607" s="245"/>
      <c r="BB607" s="245"/>
      <c r="BC607" s="245"/>
      <c r="BD607" s="245"/>
      <c r="BE607" s="245"/>
    </row>
    <row r="608" spans="1:57" ht="14.25" hidden="1" customHeight="1" x14ac:dyDescent="0.2">
      <c r="A608" s="842"/>
      <c r="C608" s="279"/>
      <c r="D608" s="279"/>
      <c r="E608" s="199"/>
      <c r="I608" s="201"/>
      <c r="J608" s="223"/>
      <c r="K608" s="281"/>
      <c r="L608" s="225"/>
      <c r="M608" s="226"/>
      <c r="N608" s="209"/>
      <c r="O608" s="174"/>
      <c r="P608" s="209"/>
      <c r="Q608" s="209"/>
      <c r="R608" s="209"/>
      <c r="S608" s="209"/>
      <c r="U608" s="210"/>
      <c r="V608" s="211"/>
      <c r="W608" s="210"/>
      <c r="X608" s="210"/>
      <c r="Y608" s="210"/>
      <c r="Z608" s="212"/>
      <c r="AA608" s="210"/>
      <c r="AB608" s="213"/>
      <c r="AC608" s="214"/>
      <c r="AD608" s="214"/>
      <c r="AE608" s="215"/>
      <c r="AF608" s="214"/>
      <c r="AG608" s="214"/>
      <c r="AH608" s="215"/>
      <c r="AI608" s="216"/>
      <c r="AL608" s="217"/>
      <c r="AM608" s="218"/>
      <c r="AP608" s="245"/>
      <c r="AQ608" s="245"/>
      <c r="AR608" s="245"/>
      <c r="AS608" s="245"/>
      <c r="AT608" s="245"/>
      <c r="AU608" s="245"/>
      <c r="AV608" s="245"/>
      <c r="AW608" s="245"/>
      <c r="AX608" s="245"/>
      <c r="AY608" s="245"/>
      <c r="BA608" s="245"/>
      <c r="BB608" s="245"/>
      <c r="BC608" s="245"/>
      <c r="BD608" s="245"/>
      <c r="BE608" s="245"/>
    </row>
    <row r="609" spans="1:57" ht="14.25" hidden="1" customHeight="1" x14ac:dyDescent="0.2">
      <c r="A609" s="842"/>
      <c r="C609" s="279"/>
      <c r="D609" s="279"/>
      <c r="E609" s="199"/>
      <c r="I609" s="201"/>
      <c r="J609" s="223"/>
      <c r="K609" s="282"/>
      <c r="L609" s="225"/>
      <c r="M609" s="226"/>
      <c r="N609" s="209"/>
      <c r="O609" s="174"/>
      <c r="P609" s="209"/>
      <c r="Q609" s="209"/>
      <c r="R609" s="209"/>
      <c r="S609" s="209"/>
      <c r="U609" s="210"/>
      <c r="V609" s="211"/>
      <c r="W609" s="210"/>
      <c r="X609" s="210"/>
      <c r="Y609" s="210"/>
      <c r="Z609" s="212"/>
      <c r="AA609" s="210"/>
      <c r="AB609" s="213"/>
      <c r="AC609" s="214"/>
      <c r="AD609" s="214"/>
      <c r="AE609" s="215"/>
      <c r="AF609" s="214"/>
      <c r="AG609" s="214"/>
      <c r="AH609" s="215"/>
      <c r="AI609" s="216"/>
      <c r="AL609" s="217"/>
      <c r="AM609" s="218"/>
      <c r="AP609" s="245"/>
      <c r="AQ609" s="245"/>
      <c r="AR609" s="245"/>
      <c r="AS609" s="245"/>
      <c r="AT609" s="245"/>
      <c r="AU609" s="245"/>
      <c r="AV609" s="245"/>
      <c r="AW609" s="245"/>
      <c r="AX609" s="245"/>
      <c r="AY609" s="245"/>
      <c r="BA609" s="245"/>
      <c r="BB609" s="245"/>
      <c r="BC609" s="245"/>
      <c r="BD609" s="245"/>
      <c r="BE609" s="245"/>
    </row>
    <row r="610" spans="1:57" ht="14.25" hidden="1" customHeight="1" x14ac:dyDescent="0.2">
      <c r="A610" s="842"/>
      <c r="C610" s="279"/>
      <c r="D610" s="279"/>
      <c r="E610" s="199"/>
      <c r="I610" s="201"/>
      <c r="J610" s="223"/>
      <c r="K610" s="281"/>
      <c r="L610" s="225"/>
      <c r="M610" s="226"/>
      <c r="N610" s="209"/>
      <c r="O610" s="174"/>
      <c r="P610" s="209"/>
      <c r="Q610" s="209"/>
      <c r="R610" s="209"/>
      <c r="S610" s="209"/>
      <c r="U610" s="210"/>
      <c r="V610" s="211"/>
      <c r="W610" s="210"/>
      <c r="X610" s="210"/>
      <c r="Y610" s="210"/>
      <c r="Z610" s="212"/>
      <c r="AA610" s="210"/>
      <c r="AB610" s="213"/>
      <c r="AC610" s="214"/>
      <c r="AD610" s="214"/>
      <c r="AE610" s="215"/>
      <c r="AF610" s="214"/>
      <c r="AG610" s="214"/>
      <c r="AH610" s="215"/>
      <c r="AI610" s="216"/>
      <c r="AL610" s="217"/>
      <c r="AM610" s="218"/>
      <c r="AP610" s="245"/>
      <c r="AQ610" s="245"/>
      <c r="AR610" s="245"/>
      <c r="AS610" s="245"/>
      <c r="AT610" s="245"/>
      <c r="AU610" s="245"/>
      <c r="AV610" s="245"/>
      <c r="AW610" s="245"/>
      <c r="AX610" s="245"/>
      <c r="AY610" s="245"/>
      <c r="BA610" s="245"/>
      <c r="BB610" s="245"/>
      <c r="BC610" s="245"/>
      <c r="BD610" s="245"/>
      <c r="BE610" s="245"/>
    </row>
    <row r="611" spans="1:57" ht="14.25" hidden="1" customHeight="1" x14ac:dyDescent="0.2">
      <c r="A611" s="842"/>
      <c r="C611" s="279"/>
      <c r="D611" s="279"/>
      <c r="E611" s="199"/>
      <c r="I611" s="201"/>
      <c r="J611" s="223"/>
      <c r="K611" s="281"/>
      <c r="L611" s="225"/>
      <c r="M611" s="226"/>
      <c r="N611" s="209"/>
      <c r="O611" s="174"/>
      <c r="P611" s="209"/>
      <c r="Q611" s="209"/>
      <c r="R611" s="209"/>
      <c r="S611" s="209"/>
      <c r="U611" s="210"/>
      <c r="V611" s="211"/>
      <c r="W611" s="210"/>
      <c r="X611" s="210"/>
      <c r="Y611" s="210"/>
      <c r="Z611" s="212"/>
      <c r="AA611" s="210"/>
      <c r="AB611" s="213"/>
      <c r="AC611" s="214"/>
      <c r="AD611" s="214"/>
      <c r="AE611" s="215"/>
      <c r="AF611" s="214"/>
      <c r="AG611" s="214"/>
      <c r="AH611" s="215"/>
      <c r="AI611" s="216"/>
      <c r="AL611" s="217"/>
      <c r="AM611" s="218"/>
      <c r="AP611" s="245"/>
      <c r="AQ611" s="245"/>
      <c r="AR611" s="245"/>
      <c r="AS611" s="245"/>
      <c r="AT611" s="245"/>
      <c r="AU611" s="245"/>
      <c r="AV611" s="245"/>
      <c r="AW611" s="245"/>
      <c r="AX611" s="245"/>
      <c r="AY611" s="245"/>
      <c r="BA611" s="245"/>
      <c r="BB611" s="245"/>
      <c r="BC611" s="245"/>
      <c r="BD611" s="245"/>
      <c r="BE611" s="245"/>
    </row>
    <row r="612" spans="1:57" ht="14.25" hidden="1" customHeight="1" x14ac:dyDescent="0.2">
      <c r="A612" s="842"/>
      <c r="C612" s="279"/>
      <c r="D612" s="279"/>
      <c r="E612" s="199"/>
      <c r="I612" s="201"/>
      <c r="J612" s="223"/>
      <c r="K612" s="281"/>
      <c r="L612" s="225"/>
      <c r="M612" s="226"/>
      <c r="N612" s="209"/>
      <c r="O612" s="174"/>
      <c r="P612" s="209"/>
      <c r="Q612" s="209"/>
      <c r="R612" s="209"/>
      <c r="S612" s="209"/>
      <c r="U612" s="210"/>
      <c r="V612" s="211"/>
      <c r="W612" s="210"/>
      <c r="X612" s="210"/>
      <c r="Y612" s="210"/>
      <c r="Z612" s="212"/>
      <c r="AA612" s="210"/>
      <c r="AB612" s="213"/>
      <c r="AC612" s="214"/>
      <c r="AD612" s="214"/>
      <c r="AE612" s="215"/>
      <c r="AF612" s="214"/>
      <c r="AG612" s="214"/>
      <c r="AH612" s="215"/>
      <c r="AI612" s="216"/>
      <c r="AL612" s="217"/>
      <c r="AM612" s="218"/>
      <c r="AP612" s="245"/>
      <c r="AQ612" s="245"/>
      <c r="AR612" s="245"/>
      <c r="AS612" s="245"/>
      <c r="AT612" s="245"/>
      <c r="AU612" s="245"/>
      <c r="AV612" s="245"/>
      <c r="AW612" s="245"/>
      <c r="AX612" s="245"/>
      <c r="AY612" s="245"/>
      <c r="BA612" s="245"/>
      <c r="BB612" s="245"/>
      <c r="BC612" s="245"/>
      <c r="BD612" s="245"/>
      <c r="BE612" s="245"/>
    </row>
    <row r="613" spans="1:57" ht="14.25" hidden="1" customHeight="1" x14ac:dyDescent="0.2">
      <c r="A613" s="842"/>
      <c r="C613" s="279"/>
      <c r="D613" s="279"/>
      <c r="E613" s="199"/>
      <c r="I613" s="201"/>
      <c r="J613" s="223"/>
      <c r="K613" s="281"/>
      <c r="L613" s="225"/>
      <c r="M613" s="226"/>
      <c r="N613" s="209"/>
      <c r="O613" s="174"/>
      <c r="P613" s="209"/>
      <c r="Q613" s="209"/>
      <c r="R613" s="209"/>
      <c r="S613" s="209"/>
      <c r="U613" s="210"/>
      <c r="V613" s="211"/>
      <c r="W613" s="210"/>
      <c r="X613" s="210"/>
      <c r="Y613" s="210"/>
      <c r="Z613" s="212"/>
      <c r="AA613" s="210"/>
      <c r="AB613" s="213"/>
      <c r="AC613" s="214"/>
      <c r="AD613" s="214"/>
      <c r="AE613" s="215"/>
      <c r="AF613" s="214"/>
      <c r="AG613" s="214"/>
      <c r="AH613" s="215"/>
      <c r="AI613" s="216"/>
      <c r="AL613" s="217"/>
      <c r="AM613" s="218"/>
      <c r="AP613" s="245"/>
      <c r="AQ613" s="245"/>
      <c r="AR613" s="245"/>
      <c r="AS613" s="245"/>
      <c r="AT613" s="245"/>
      <c r="AU613" s="245"/>
      <c r="AV613" s="245"/>
      <c r="AW613" s="245"/>
      <c r="AX613" s="245"/>
      <c r="AY613" s="245"/>
      <c r="BA613" s="245"/>
      <c r="BB613" s="245"/>
      <c r="BC613" s="245"/>
      <c r="BD613" s="245"/>
      <c r="BE613" s="245"/>
    </row>
    <row r="614" spans="1:57" ht="14.25" hidden="1" customHeight="1" x14ac:dyDescent="0.2">
      <c r="A614" s="842"/>
      <c r="C614" s="279"/>
      <c r="D614" s="279"/>
      <c r="E614" s="199"/>
      <c r="I614" s="201"/>
      <c r="J614" s="169"/>
      <c r="K614" s="281"/>
      <c r="L614" s="228"/>
      <c r="M614" s="228"/>
      <c r="N614" s="228"/>
      <c r="O614" s="174"/>
      <c r="P614" s="209"/>
      <c r="Q614" s="209"/>
      <c r="R614" s="209"/>
      <c r="S614" s="209"/>
      <c r="U614" s="210"/>
      <c r="V614" s="211"/>
      <c r="W614" s="210"/>
      <c r="X614" s="210"/>
      <c r="Y614" s="210"/>
      <c r="Z614" s="212"/>
      <c r="AA614" s="210"/>
      <c r="AB614" s="213"/>
      <c r="AC614" s="214"/>
      <c r="AD614" s="214"/>
      <c r="AE614" s="215"/>
      <c r="AF614" s="214"/>
      <c r="AG614" s="214"/>
      <c r="AH614" s="215"/>
      <c r="AI614" s="216"/>
      <c r="AL614" s="217"/>
      <c r="AM614" s="218"/>
      <c r="AP614" s="245"/>
      <c r="AQ614" s="245"/>
      <c r="AR614" s="245"/>
      <c r="AS614" s="245"/>
      <c r="AT614" s="245"/>
      <c r="AU614" s="245"/>
      <c r="AV614" s="245"/>
      <c r="AW614" s="245"/>
      <c r="AX614" s="245"/>
      <c r="AY614" s="245"/>
      <c r="BA614" s="245"/>
      <c r="BB614" s="245"/>
      <c r="BC614" s="245"/>
      <c r="BD614" s="245"/>
      <c r="BE614" s="245"/>
    </row>
    <row r="615" spans="1:57" ht="14.25" hidden="1" customHeight="1" x14ac:dyDescent="0.2">
      <c r="A615" s="842"/>
      <c r="E615" s="247"/>
      <c r="F615" s="248"/>
      <c r="G615" s="248"/>
      <c r="H615" s="248"/>
      <c r="I615" s="247"/>
      <c r="J615" s="172"/>
      <c r="K615" s="228"/>
      <c r="L615" s="228"/>
      <c r="M615" s="228"/>
      <c r="N615" s="228"/>
      <c r="O615" s="174"/>
      <c r="P615" s="209"/>
      <c r="Q615" s="209"/>
      <c r="R615" s="209"/>
      <c r="S615" s="209"/>
      <c r="W615" s="231"/>
      <c r="AC615" s="233"/>
      <c r="AD615" s="233"/>
      <c r="AE615" s="234"/>
      <c r="AF615" s="233"/>
      <c r="AG615" s="233"/>
      <c r="AH615" s="234"/>
      <c r="AI615" s="234"/>
      <c r="AP615" s="245"/>
      <c r="AQ615" s="245"/>
      <c r="AR615" s="245"/>
      <c r="AS615" s="245"/>
      <c r="AT615" s="245"/>
      <c r="AU615" s="245"/>
      <c r="AV615" s="245"/>
      <c r="AW615" s="245"/>
      <c r="AX615" s="245"/>
      <c r="AY615" s="245"/>
      <c r="BA615" s="245"/>
      <c r="BB615" s="245"/>
      <c r="BC615" s="245"/>
      <c r="BD615" s="245"/>
      <c r="BE615" s="245"/>
    </row>
    <row r="616" spans="1:57" ht="14.25" hidden="1" customHeight="1" x14ac:dyDescent="0.2">
      <c r="A616" s="842"/>
      <c r="E616" s="224"/>
      <c r="F616" s="225"/>
      <c r="G616" s="226"/>
      <c r="H616" s="209"/>
      <c r="I616" s="227"/>
      <c r="J616" s="169"/>
      <c r="K616" s="228"/>
      <c r="L616" s="225"/>
      <c r="M616" s="226"/>
      <c r="N616" s="209"/>
      <c r="O616" s="174"/>
      <c r="P616" s="209"/>
      <c r="Q616" s="209"/>
      <c r="R616" s="209"/>
      <c r="S616" s="209"/>
      <c r="W616" s="231"/>
      <c r="AC616" s="233"/>
      <c r="AD616" s="233"/>
      <c r="AE616" s="234"/>
      <c r="AF616" s="233"/>
      <c r="AG616" s="233"/>
      <c r="AH616" s="234"/>
      <c r="AI616" s="197"/>
      <c r="AP616" s="245"/>
      <c r="AQ616" s="245"/>
      <c r="AR616" s="245"/>
      <c r="AS616" s="245"/>
      <c r="AT616" s="245"/>
      <c r="AU616" s="245"/>
      <c r="AV616" s="245"/>
      <c r="AW616" s="245"/>
      <c r="AX616" s="245"/>
      <c r="AY616" s="245"/>
      <c r="BA616" s="245"/>
      <c r="BB616" s="245"/>
      <c r="BC616" s="245"/>
      <c r="BD616" s="245"/>
      <c r="BE616" s="245"/>
    </row>
    <row r="617" spans="1:57" ht="14.25" hidden="1" customHeight="1" x14ac:dyDescent="0.2">
      <c r="A617" s="842"/>
      <c r="B617" s="187"/>
      <c r="C617" s="188"/>
      <c r="D617" s="188"/>
      <c r="E617" s="844"/>
      <c r="F617" s="844"/>
      <c r="G617" s="844"/>
      <c r="H617" s="844"/>
      <c r="I617" s="189"/>
      <c r="J617" s="190"/>
      <c r="K617" s="191"/>
      <c r="L617" s="192"/>
      <c r="U617" s="229"/>
      <c r="V617" s="230"/>
      <c r="W617" s="231"/>
      <c r="X617" s="231"/>
      <c r="Y617" s="231"/>
      <c r="Z617" s="232"/>
      <c r="AA617" s="231"/>
      <c r="AC617" s="197"/>
      <c r="AD617" s="197"/>
      <c r="AE617" s="197"/>
      <c r="AF617" s="197"/>
      <c r="AG617" s="197"/>
      <c r="AH617" s="197"/>
      <c r="AI617" s="197"/>
      <c r="AQ617" s="245"/>
      <c r="AR617" s="245"/>
      <c r="AS617" s="245"/>
      <c r="AT617" s="245"/>
    </row>
    <row r="618" spans="1:57" ht="9" hidden="1" customHeight="1" x14ac:dyDescent="0.2">
      <c r="A618" s="842"/>
      <c r="J618" s="169"/>
      <c r="K618" s="228"/>
      <c r="L618" s="225"/>
      <c r="M618" s="226"/>
      <c r="N618" s="209"/>
      <c r="O618" s="174"/>
      <c r="P618" s="209"/>
      <c r="Q618" s="209"/>
      <c r="R618" s="209"/>
      <c r="S618" s="209"/>
      <c r="AP618" s="245"/>
      <c r="AQ618" s="245"/>
      <c r="AR618" s="245"/>
      <c r="AS618" s="245"/>
      <c r="AT618" s="245"/>
      <c r="AU618" s="245"/>
      <c r="AV618" s="245"/>
      <c r="AW618" s="245"/>
      <c r="AX618" s="245"/>
      <c r="AY618" s="245"/>
      <c r="BA618" s="245"/>
      <c r="BB618" s="245"/>
      <c r="BC618" s="245"/>
      <c r="BD618" s="245"/>
      <c r="BE618" s="245"/>
    </row>
    <row r="619" spans="1:57" ht="14.25" hidden="1" customHeight="1" x14ac:dyDescent="0.2">
      <c r="A619" s="842"/>
      <c r="C619" s="279"/>
      <c r="D619" s="279"/>
      <c r="E619" s="199"/>
      <c r="I619" s="201"/>
      <c r="J619" s="207"/>
      <c r="K619" s="280"/>
      <c r="L619" s="225"/>
      <c r="M619" s="226"/>
      <c r="N619" s="209"/>
      <c r="O619" s="174"/>
      <c r="P619" s="209"/>
      <c r="Q619" s="209"/>
      <c r="R619" s="209"/>
      <c r="S619" s="209"/>
      <c r="U619" s="210"/>
      <c r="V619" s="211"/>
      <c r="W619" s="210"/>
      <c r="X619" s="210"/>
      <c r="Y619" s="210"/>
      <c r="Z619" s="212"/>
      <c r="AA619" s="210"/>
      <c r="AB619" s="213"/>
      <c r="AC619" s="214"/>
      <c r="AD619" s="214"/>
      <c r="AE619" s="215"/>
      <c r="AF619" s="214"/>
      <c r="AG619" s="214"/>
      <c r="AH619" s="215"/>
      <c r="AI619" s="216"/>
      <c r="AL619" s="217"/>
      <c r="AM619" s="218"/>
      <c r="AQ619" s="245"/>
      <c r="AR619" s="245"/>
      <c r="AS619" s="245"/>
      <c r="AT619" s="245"/>
    </row>
    <row r="620" spans="1:57" ht="14.25" hidden="1" customHeight="1" x14ac:dyDescent="0.2">
      <c r="A620" s="842"/>
      <c r="C620" s="279"/>
      <c r="D620" s="279"/>
      <c r="E620" s="199"/>
      <c r="I620" s="201"/>
      <c r="J620" s="207"/>
      <c r="K620" s="281"/>
      <c r="L620" s="225"/>
      <c r="M620" s="226"/>
      <c r="N620" s="209"/>
      <c r="O620" s="174"/>
      <c r="U620" s="210"/>
      <c r="V620" s="211"/>
      <c r="W620" s="210"/>
      <c r="X620" s="210"/>
      <c r="Y620" s="210"/>
      <c r="Z620" s="212"/>
      <c r="AA620" s="210"/>
      <c r="AB620" s="213"/>
      <c r="AC620" s="214"/>
      <c r="AD620" s="214"/>
      <c r="AE620" s="215"/>
      <c r="AF620" s="214"/>
      <c r="AG620" s="214"/>
      <c r="AH620" s="215"/>
      <c r="AI620" s="216"/>
      <c r="AL620" s="217"/>
      <c r="AM620" s="218"/>
    </row>
    <row r="621" spans="1:57" ht="14.25" hidden="1" customHeight="1" x14ac:dyDescent="0.2">
      <c r="A621" s="842"/>
      <c r="C621" s="279"/>
      <c r="D621" s="279"/>
      <c r="E621" s="199"/>
      <c r="I621" s="201"/>
      <c r="J621" s="207"/>
      <c r="K621" s="281"/>
      <c r="L621" s="225"/>
      <c r="M621" s="226"/>
      <c r="N621" s="209"/>
      <c r="O621" s="174"/>
      <c r="U621" s="210"/>
      <c r="V621" s="211"/>
      <c r="W621" s="210"/>
      <c r="X621" s="210"/>
      <c r="Y621" s="210"/>
      <c r="Z621" s="212"/>
      <c r="AA621" s="210"/>
      <c r="AB621" s="213"/>
      <c r="AC621" s="214"/>
      <c r="AD621" s="214"/>
      <c r="AE621" s="215"/>
      <c r="AF621" s="214"/>
      <c r="AG621" s="214"/>
      <c r="AH621" s="215"/>
      <c r="AI621" s="216"/>
      <c r="AL621" s="217"/>
      <c r="AM621" s="218"/>
    </row>
    <row r="622" spans="1:57" ht="14.25" hidden="1" customHeight="1" x14ac:dyDescent="0.2">
      <c r="A622" s="842"/>
      <c r="C622" s="279"/>
      <c r="D622" s="279"/>
      <c r="E622" s="199"/>
      <c r="I622" s="201"/>
      <c r="J622" s="207"/>
      <c r="K622" s="281"/>
      <c r="L622" s="225"/>
      <c r="M622" s="226"/>
      <c r="N622" s="209"/>
      <c r="O622" s="174"/>
      <c r="U622" s="210"/>
      <c r="V622" s="211"/>
      <c r="W622" s="210"/>
      <c r="X622" s="210"/>
      <c r="Y622" s="210"/>
      <c r="Z622" s="212"/>
      <c r="AA622" s="210"/>
      <c r="AB622" s="213"/>
      <c r="AC622" s="214"/>
      <c r="AD622" s="214"/>
      <c r="AE622" s="215"/>
      <c r="AF622" s="214"/>
      <c r="AG622" s="214"/>
      <c r="AH622" s="215"/>
      <c r="AI622" s="216"/>
      <c r="AL622" s="217"/>
      <c r="AM622" s="218"/>
      <c r="AP622" s="245"/>
      <c r="AQ622" s="245"/>
      <c r="AR622" s="245"/>
      <c r="AS622" s="245"/>
      <c r="AT622" s="245"/>
      <c r="AU622" s="245"/>
      <c r="AV622" s="245"/>
      <c r="AW622" s="245"/>
      <c r="AX622" s="245"/>
      <c r="AY622" s="245"/>
      <c r="BA622" s="245"/>
      <c r="BB622" s="245"/>
      <c r="BC622" s="245"/>
      <c r="BD622" s="245"/>
      <c r="BE622" s="245"/>
    </row>
    <row r="623" spans="1:57" ht="14.25" hidden="1" customHeight="1" x14ac:dyDescent="0.2">
      <c r="A623" s="842"/>
      <c r="C623" s="279"/>
      <c r="D623" s="279"/>
      <c r="E623" s="199"/>
      <c r="I623" s="201"/>
      <c r="J623" s="223"/>
      <c r="K623" s="281"/>
      <c r="L623" s="225"/>
      <c r="M623" s="226"/>
      <c r="N623" s="209"/>
      <c r="O623" s="174"/>
      <c r="P623" s="209"/>
      <c r="Q623" s="209"/>
      <c r="R623" s="209"/>
      <c r="S623" s="209"/>
      <c r="U623" s="210"/>
      <c r="V623" s="211"/>
      <c r="W623" s="210"/>
      <c r="X623" s="210"/>
      <c r="Y623" s="210"/>
      <c r="Z623" s="212"/>
      <c r="AA623" s="210"/>
      <c r="AB623" s="213"/>
      <c r="AC623" s="214"/>
      <c r="AD623" s="214"/>
      <c r="AE623" s="215"/>
      <c r="AF623" s="214"/>
      <c r="AG623" s="214"/>
      <c r="AH623" s="215"/>
      <c r="AI623" s="216"/>
      <c r="AL623" s="217"/>
      <c r="AM623" s="218"/>
      <c r="AP623" s="245"/>
      <c r="AQ623" s="245"/>
      <c r="AR623" s="245"/>
      <c r="AS623" s="245"/>
      <c r="AT623" s="245"/>
      <c r="AU623" s="245"/>
      <c r="AV623" s="245"/>
      <c r="AW623" s="245"/>
      <c r="AX623" s="245"/>
      <c r="AY623" s="245"/>
      <c r="BA623" s="245"/>
      <c r="BB623" s="245"/>
      <c r="BC623" s="245"/>
      <c r="BD623" s="245"/>
      <c r="BE623" s="245"/>
    </row>
    <row r="624" spans="1:57" ht="14.25" hidden="1" customHeight="1" x14ac:dyDescent="0.2">
      <c r="A624" s="842"/>
      <c r="C624" s="279"/>
      <c r="D624" s="279"/>
      <c r="E624" s="199"/>
      <c r="I624" s="201"/>
      <c r="J624" s="223"/>
      <c r="K624" s="281"/>
      <c r="L624" s="225"/>
      <c r="M624" s="226"/>
      <c r="N624" s="209"/>
      <c r="O624" s="174"/>
      <c r="P624" s="209"/>
      <c r="Q624" s="209"/>
      <c r="R624" s="209"/>
      <c r="S624" s="209"/>
      <c r="U624" s="210"/>
      <c r="V624" s="211"/>
      <c r="W624" s="210"/>
      <c r="X624" s="210"/>
      <c r="Y624" s="210"/>
      <c r="Z624" s="212"/>
      <c r="AA624" s="210"/>
      <c r="AB624" s="213"/>
      <c r="AC624" s="214"/>
      <c r="AD624" s="214"/>
      <c r="AE624" s="215"/>
      <c r="AF624" s="214"/>
      <c r="AG624" s="214"/>
      <c r="AH624" s="215"/>
      <c r="AI624" s="216"/>
      <c r="AL624" s="217"/>
      <c r="AM624" s="218"/>
      <c r="AP624" s="245"/>
      <c r="AQ624" s="245"/>
      <c r="AR624" s="245"/>
      <c r="AS624" s="245"/>
      <c r="AT624" s="245"/>
      <c r="AU624" s="245"/>
      <c r="AV624" s="245"/>
      <c r="AW624" s="245"/>
      <c r="AX624" s="245"/>
      <c r="AY624" s="245"/>
      <c r="BA624" s="245"/>
      <c r="BB624" s="245"/>
      <c r="BC624" s="245"/>
      <c r="BD624" s="245"/>
      <c r="BE624" s="245"/>
    </row>
    <row r="625" spans="1:57" ht="14.25" hidden="1" customHeight="1" x14ac:dyDescent="0.2">
      <c r="A625" s="842"/>
      <c r="C625" s="279"/>
      <c r="D625" s="279"/>
      <c r="E625" s="199"/>
      <c r="I625" s="201"/>
      <c r="J625" s="223"/>
      <c r="K625" s="282"/>
      <c r="L625" s="225"/>
      <c r="M625" s="226"/>
      <c r="N625" s="209"/>
      <c r="O625" s="174"/>
      <c r="P625" s="209"/>
      <c r="Q625" s="209"/>
      <c r="R625" s="209"/>
      <c r="S625" s="209"/>
      <c r="U625" s="210"/>
      <c r="V625" s="211"/>
      <c r="W625" s="210"/>
      <c r="X625" s="210"/>
      <c r="Y625" s="210"/>
      <c r="Z625" s="212"/>
      <c r="AA625" s="210"/>
      <c r="AB625" s="213"/>
      <c r="AC625" s="214"/>
      <c r="AD625" s="214"/>
      <c r="AE625" s="215"/>
      <c r="AF625" s="214"/>
      <c r="AG625" s="214"/>
      <c r="AH625" s="215"/>
      <c r="AI625" s="216"/>
      <c r="AL625" s="217"/>
      <c r="AM625" s="218"/>
      <c r="AP625" s="245"/>
      <c r="AQ625" s="245"/>
      <c r="AR625" s="245"/>
      <c r="AS625" s="245"/>
      <c r="AT625" s="245"/>
      <c r="AU625" s="245"/>
      <c r="AV625" s="245"/>
      <c r="AW625" s="245"/>
      <c r="AX625" s="245"/>
      <c r="AY625" s="245"/>
      <c r="BA625" s="245"/>
      <c r="BB625" s="245"/>
      <c r="BC625" s="245"/>
      <c r="BD625" s="245"/>
      <c r="BE625" s="245"/>
    </row>
    <row r="626" spans="1:57" ht="14.25" hidden="1" customHeight="1" x14ac:dyDescent="0.2">
      <c r="A626" s="842"/>
      <c r="C626" s="279"/>
      <c r="D626" s="279"/>
      <c r="E626" s="199"/>
      <c r="I626" s="201"/>
      <c r="J626" s="223"/>
      <c r="K626" s="281"/>
      <c r="L626" s="225"/>
      <c r="M626" s="226"/>
      <c r="N626" s="209"/>
      <c r="O626" s="174"/>
      <c r="P626" s="209"/>
      <c r="Q626" s="209"/>
      <c r="R626" s="209"/>
      <c r="S626" s="209"/>
      <c r="U626" s="210"/>
      <c r="V626" s="211"/>
      <c r="W626" s="210"/>
      <c r="X626" s="210"/>
      <c r="Y626" s="210"/>
      <c r="Z626" s="212"/>
      <c r="AA626" s="210"/>
      <c r="AB626" s="213"/>
      <c r="AC626" s="214"/>
      <c r="AD626" s="214"/>
      <c r="AE626" s="215"/>
      <c r="AF626" s="214"/>
      <c r="AG626" s="214"/>
      <c r="AH626" s="215"/>
      <c r="AI626" s="216"/>
      <c r="AL626" s="217"/>
      <c r="AM626" s="218"/>
      <c r="AP626" s="245"/>
      <c r="AQ626" s="245"/>
      <c r="AR626" s="245"/>
      <c r="AS626" s="245"/>
      <c r="AT626" s="245"/>
      <c r="AU626" s="245"/>
      <c r="AV626" s="245"/>
      <c r="AW626" s="245"/>
      <c r="AX626" s="245"/>
      <c r="AY626" s="245"/>
      <c r="BA626" s="245"/>
      <c r="BB626" s="245"/>
      <c r="BC626" s="245"/>
      <c r="BD626" s="245"/>
      <c r="BE626" s="245"/>
    </row>
    <row r="627" spans="1:57" ht="14.25" hidden="1" customHeight="1" x14ac:dyDescent="0.2">
      <c r="A627" s="842"/>
      <c r="C627" s="279"/>
      <c r="D627" s="279"/>
      <c r="E627" s="199"/>
      <c r="I627" s="201"/>
      <c r="J627" s="223"/>
      <c r="K627" s="281"/>
      <c r="L627" s="225"/>
      <c r="M627" s="226"/>
      <c r="N627" s="209"/>
      <c r="O627" s="174"/>
      <c r="P627" s="209"/>
      <c r="Q627" s="209"/>
      <c r="R627" s="209"/>
      <c r="S627" s="209"/>
      <c r="U627" s="210"/>
      <c r="V627" s="211"/>
      <c r="W627" s="210"/>
      <c r="X627" s="210"/>
      <c r="Y627" s="210"/>
      <c r="Z627" s="212"/>
      <c r="AA627" s="210"/>
      <c r="AB627" s="213"/>
      <c r="AC627" s="214"/>
      <c r="AD627" s="214"/>
      <c r="AE627" s="215"/>
      <c r="AF627" s="214"/>
      <c r="AG627" s="214"/>
      <c r="AH627" s="215"/>
      <c r="AI627" s="216"/>
      <c r="AL627" s="217"/>
      <c r="AM627" s="218"/>
      <c r="AP627" s="245"/>
      <c r="AQ627" s="245"/>
      <c r="AR627" s="245"/>
      <c r="AS627" s="245"/>
      <c r="AT627" s="245"/>
      <c r="AU627" s="245"/>
      <c r="AV627" s="245"/>
      <c r="AW627" s="245"/>
      <c r="AX627" s="245"/>
      <c r="AY627" s="245"/>
      <c r="BA627" s="245"/>
      <c r="BB627" s="245"/>
      <c r="BC627" s="245"/>
      <c r="BD627" s="245"/>
      <c r="BE627" s="245"/>
    </row>
    <row r="628" spans="1:57" ht="14.25" hidden="1" customHeight="1" x14ac:dyDescent="0.2">
      <c r="A628" s="842"/>
      <c r="C628" s="279"/>
      <c r="D628" s="279"/>
      <c r="E628" s="199"/>
      <c r="I628" s="201"/>
      <c r="J628" s="223"/>
      <c r="K628" s="281"/>
      <c r="L628" s="225"/>
      <c r="M628" s="226"/>
      <c r="N628" s="209"/>
      <c r="O628" s="174"/>
      <c r="P628" s="209"/>
      <c r="Q628" s="209"/>
      <c r="R628" s="209"/>
      <c r="S628" s="209"/>
      <c r="U628" s="210"/>
      <c r="V628" s="211"/>
      <c r="W628" s="210"/>
      <c r="X628" s="210"/>
      <c r="Y628" s="210"/>
      <c r="Z628" s="212"/>
      <c r="AA628" s="210"/>
      <c r="AB628" s="213"/>
      <c r="AC628" s="214"/>
      <c r="AD628" s="214"/>
      <c r="AE628" s="215"/>
      <c r="AF628" s="214"/>
      <c r="AG628" s="214"/>
      <c r="AH628" s="215"/>
      <c r="AI628" s="216"/>
      <c r="AL628" s="217"/>
      <c r="AM628" s="218"/>
      <c r="AP628" s="245"/>
      <c r="AQ628" s="245"/>
      <c r="AR628" s="245"/>
      <c r="AS628" s="245"/>
      <c r="AT628" s="245"/>
      <c r="AU628" s="245"/>
      <c r="AV628" s="245"/>
      <c r="AW628" s="245"/>
      <c r="AX628" s="245"/>
      <c r="AY628" s="245"/>
      <c r="BA628" s="245"/>
      <c r="BB628" s="245"/>
      <c r="BC628" s="245"/>
      <c r="BD628" s="245"/>
      <c r="BE628" s="245"/>
    </row>
    <row r="629" spans="1:57" ht="14.25" hidden="1" customHeight="1" x14ac:dyDescent="0.2">
      <c r="A629" s="842"/>
      <c r="C629" s="279"/>
      <c r="D629" s="279"/>
      <c r="E629" s="199"/>
      <c r="I629" s="201"/>
      <c r="J629" s="223"/>
      <c r="K629" s="281"/>
      <c r="L629" s="225"/>
      <c r="M629" s="226"/>
      <c r="N629" s="209"/>
      <c r="O629" s="174"/>
      <c r="P629" s="209"/>
      <c r="Q629" s="209"/>
      <c r="R629" s="209"/>
      <c r="S629" s="209"/>
      <c r="U629" s="210"/>
      <c r="V629" s="211"/>
      <c r="W629" s="210"/>
      <c r="X629" s="210"/>
      <c r="Y629" s="210"/>
      <c r="Z629" s="212"/>
      <c r="AA629" s="210"/>
      <c r="AB629" s="213"/>
      <c r="AC629" s="214"/>
      <c r="AD629" s="214"/>
      <c r="AE629" s="215"/>
      <c r="AF629" s="214"/>
      <c r="AG629" s="214"/>
      <c r="AH629" s="215"/>
      <c r="AI629" s="216"/>
      <c r="AL629" s="217"/>
      <c r="AM629" s="218"/>
      <c r="AP629" s="245"/>
      <c r="AQ629" s="245"/>
      <c r="AR629" s="245"/>
      <c r="AS629" s="245"/>
      <c r="AT629" s="245"/>
      <c r="AU629" s="245"/>
      <c r="AV629" s="245"/>
      <c r="AW629" s="245"/>
      <c r="AX629" s="245"/>
      <c r="AY629" s="245"/>
      <c r="BA629" s="245"/>
      <c r="BB629" s="245"/>
      <c r="BC629" s="245"/>
      <c r="BD629" s="245"/>
      <c r="BE629" s="245"/>
    </row>
    <row r="630" spans="1:57" ht="14.25" hidden="1" customHeight="1" x14ac:dyDescent="0.2">
      <c r="A630" s="842"/>
      <c r="C630" s="279"/>
      <c r="D630" s="279"/>
      <c r="E630" s="199"/>
      <c r="I630" s="201"/>
      <c r="J630" s="169"/>
      <c r="K630" s="281"/>
      <c r="L630" s="228"/>
      <c r="M630" s="228"/>
      <c r="N630" s="228"/>
      <c r="O630" s="174"/>
      <c r="P630" s="209"/>
      <c r="Q630" s="209"/>
      <c r="R630" s="209"/>
      <c r="S630" s="209"/>
      <c r="U630" s="210"/>
      <c r="V630" s="211"/>
      <c r="W630" s="210"/>
      <c r="X630" s="210"/>
      <c r="Y630" s="210"/>
      <c r="Z630" s="212"/>
      <c r="AA630" s="210"/>
      <c r="AB630" s="213"/>
      <c r="AC630" s="214"/>
      <c r="AD630" s="214"/>
      <c r="AE630" s="215"/>
      <c r="AF630" s="214"/>
      <c r="AG630" s="214"/>
      <c r="AH630" s="215"/>
      <c r="AI630" s="216"/>
      <c r="AL630" s="217"/>
      <c r="AM630" s="218"/>
      <c r="AP630" s="245"/>
      <c r="AQ630" s="245"/>
      <c r="AR630" s="245"/>
      <c r="AS630" s="245"/>
      <c r="AT630" s="245"/>
      <c r="AU630" s="245"/>
      <c r="AV630" s="245"/>
      <c r="AW630" s="245"/>
      <c r="AX630" s="245"/>
      <c r="AY630" s="245"/>
      <c r="BA630" s="245"/>
      <c r="BB630" s="245"/>
      <c r="BC630" s="245"/>
      <c r="BD630" s="245"/>
      <c r="BE630" s="245"/>
    </row>
    <row r="631" spans="1:57" ht="14.25" hidden="1" customHeight="1" x14ac:dyDescent="0.2">
      <c r="A631" s="842"/>
      <c r="E631" s="247"/>
      <c r="F631" s="248"/>
      <c r="G631" s="248"/>
      <c r="H631" s="248"/>
      <c r="I631" s="247"/>
      <c r="J631" s="172"/>
      <c r="K631" s="228"/>
      <c r="L631" s="228"/>
      <c r="M631" s="228"/>
      <c r="N631" s="228"/>
      <c r="O631" s="174"/>
      <c r="P631" s="209"/>
      <c r="Q631" s="209"/>
      <c r="R631" s="209"/>
      <c r="S631" s="209"/>
      <c r="W631" s="231"/>
      <c r="AC631" s="233"/>
      <c r="AD631" s="233"/>
      <c r="AE631" s="234"/>
      <c r="AF631" s="233"/>
      <c r="AG631" s="233"/>
      <c r="AH631" s="234"/>
      <c r="AI631" s="234"/>
      <c r="AP631" s="245"/>
      <c r="AQ631" s="245"/>
      <c r="AR631" s="245"/>
      <c r="AS631" s="245"/>
      <c r="AT631" s="245"/>
      <c r="AU631" s="245"/>
      <c r="AV631" s="245"/>
      <c r="AW631" s="245"/>
      <c r="AX631" s="245"/>
      <c r="AY631" s="245"/>
      <c r="BA631" s="245"/>
      <c r="BB631" s="245"/>
      <c r="BC631" s="245"/>
      <c r="BD631" s="245"/>
      <c r="BE631" s="245"/>
    </row>
    <row r="632" spans="1:57" ht="14.25" hidden="1" customHeight="1" x14ac:dyDescent="0.2">
      <c r="A632" s="842"/>
      <c r="E632" s="224"/>
      <c r="F632" s="225"/>
      <c r="G632" s="226"/>
      <c r="H632" s="209"/>
      <c r="I632" s="227"/>
      <c r="J632" s="169"/>
      <c r="K632" s="228"/>
      <c r="L632" s="225"/>
      <c r="M632" s="226"/>
      <c r="N632" s="209"/>
      <c r="O632" s="174"/>
      <c r="P632" s="209"/>
      <c r="Q632" s="209"/>
      <c r="R632" s="209"/>
      <c r="S632" s="209"/>
      <c r="W632" s="231"/>
      <c r="AC632" s="233"/>
      <c r="AD632" s="233"/>
      <c r="AE632" s="234"/>
      <c r="AF632" s="233"/>
      <c r="AG632" s="233"/>
      <c r="AH632" s="234"/>
      <c r="AI632" s="197"/>
      <c r="AP632" s="245"/>
      <c r="AQ632" s="245"/>
      <c r="AR632" s="245"/>
      <c r="AS632" s="245"/>
      <c r="AT632" s="245"/>
      <c r="AU632" s="245"/>
      <c r="AV632" s="245"/>
      <c r="AW632" s="245"/>
      <c r="AX632" s="245"/>
      <c r="AY632" s="245"/>
      <c r="BA632" s="245"/>
      <c r="BB632" s="245"/>
      <c r="BC632" s="245"/>
      <c r="BD632" s="245"/>
      <c r="BE632" s="245"/>
    </row>
    <row r="633" spans="1:57" ht="14.25" hidden="1" customHeight="1" x14ac:dyDescent="0.2">
      <c r="A633" s="842"/>
      <c r="B633" s="187"/>
      <c r="C633" s="188"/>
      <c r="D633" s="188"/>
      <c r="E633" s="844"/>
      <c r="F633" s="844"/>
      <c r="G633" s="844"/>
      <c r="H633" s="844"/>
      <c r="I633" s="189"/>
      <c r="J633" s="190"/>
      <c r="K633" s="191"/>
      <c r="L633" s="192"/>
      <c r="U633" s="229"/>
      <c r="V633" s="230"/>
      <c r="W633" s="231"/>
      <c r="X633" s="231"/>
      <c r="Y633" s="231"/>
      <c r="Z633" s="232"/>
      <c r="AA633" s="231"/>
      <c r="AC633" s="197"/>
      <c r="AD633" s="197"/>
      <c r="AE633" s="197"/>
      <c r="AF633" s="197"/>
      <c r="AG633" s="197"/>
      <c r="AH633" s="197"/>
      <c r="AI633" s="197"/>
      <c r="AQ633" s="245"/>
      <c r="AR633" s="245"/>
      <c r="AS633" s="245"/>
      <c r="AT633" s="245"/>
    </row>
    <row r="634" spans="1:57" ht="9" hidden="1" customHeight="1" x14ac:dyDescent="0.2">
      <c r="A634" s="842"/>
      <c r="J634" s="169"/>
      <c r="K634" s="228"/>
      <c r="L634" s="225"/>
      <c r="M634" s="226"/>
      <c r="N634" s="209"/>
      <c r="O634" s="174"/>
      <c r="P634" s="209"/>
      <c r="Q634" s="209"/>
      <c r="R634" s="209"/>
      <c r="S634" s="209"/>
      <c r="AP634" s="245"/>
      <c r="AQ634" s="245"/>
      <c r="AR634" s="245"/>
      <c r="AS634" s="245"/>
      <c r="AT634" s="245"/>
      <c r="AU634" s="245"/>
      <c r="AV634" s="245"/>
      <c r="AW634" s="245"/>
      <c r="AX634" s="245"/>
      <c r="AY634" s="245"/>
      <c r="BA634" s="245"/>
      <c r="BB634" s="245"/>
      <c r="BC634" s="245"/>
      <c r="BD634" s="245"/>
      <c r="BE634" s="245"/>
    </row>
    <row r="635" spans="1:57" ht="14.25" hidden="1" customHeight="1" x14ac:dyDescent="0.2">
      <c r="A635" s="842"/>
      <c r="C635" s="279"/>
      <c r="D635" s="279"/>
      <c r="E635" s="199"/>
      <c r="I635" s="201"/>
      <c r="J635" s="207"/>
      <c r="K635" s="280"/>
      <c r="L635" s="225"/>
      <c r="M635" s="226"/>
      <c r="N635" s="209"/>
      <c r="O635" s="174"/>
      <c r="P635" s="209"/>
      <c r="Q635" s="209"/>
      <c r="R635" s="209"/>
      <c r="S635" s="209"/>
      <c r="U635" s="210"/>
      <c r="V635" s="211"/>
      <c r="W635" s="210"/>
      <c r="X635" s="210"/>
      <c r="Y635" s="210"/>
      <c r="Z635" s="212"/>
      <c r="AA635" s="210"/>
      <c r="AB635" s="213"/>
      <c r="AC635" s="214"/>
      <c r="AD635" s="214"/>
      <c r="AE635" s="215"/>
      <c r="AF635" s="214"/>
      <c r="AG635" s="214"/>
      <c r="AH635" s="215"/>
      <c r="AI635" s="216"/>
      <c r="AL635" s="217"/>
      <c r="AM635" s="218"/>
      <c r="AQ635" s="245"/>
      <c r="AR635" s="245"/>
      <c r="AS635" s="245"/>
      <c r="AT635" s="245"/>
    </row>
    <row r="636" spans="1:57" ht="14.25" hidden="1" customHeight="1" x14ac:dyDescent="0.2">
      <c r="A636" s="842"/>
      <c r="C636" s="279"/>
      <c r="D636" s="279"/>
      <c r="E636" s="199"/>
      <c r="I636" s="201"/>
      <c r="J636" s="207"/>
      <c r="K636" s="281"/>
      <c r="L636" s="225"/>
      <c r="M636" s="226"/>
      <c r="N636" s="209"/>
      <c r="O636" s="174"/>
      <c r="U636" s="210"/>
      <c r="V636" s="211"/>
      <c r="W636" s="210"/>
      <c r="X636" s="210"/>
      <c r="Y636" s="210"/>
      <c r="Z636" s="212"/>
      <c r="AA636" s="210"/>
      <c r="AB636" s="213"/>
      <c r="AC636" s="214"/>
      <c r="AD636" s="214"/>
      <c r="AE636" s="215"/>
      <c r="AF636" s="214"/>
      <c r="AG636" s="214"/>
      <c r="AH636" s="215"/>
      <c r="AI636" s="216"/>
      <c r="AL636" s="217"/>
      <c r="AM636" s="218"/>
    </row>
    <row r="637" spans="1:57" ht="14.25" hidden="1" customHeight="1" x14ac:dyDescent="0.2">
      <c r="A637" s="842"/>
      <c r="C637" s="279"/>
      <c r="D637" s="279"/>
      <c r="E637" s="199"/>
      <c r="I637" s="201"/>
      <c r="J637" s="207"/>
      <c r="K637" s="281"/>
      <c r="L637" s="225"/>
      <c r="M637" s="226"/>
      <c r="N637" s="209"/>
      <c r="O637" s="174"/>
      <c r="U637" s="210"/>
      <c r="V637" s="211"/>
      <c r="W637" s="210"/>
      <c r="X637" s="210"/>
      <c r="Y637" s="210"/>
      <c r="Z637" s="212"/>
      <c r="AA637" s="210"/>
      <c r="AB637" s="213"/>
      <c r="AC637" s="214"/>
      <c r="AD637" s="214"/>
      <c r="AE637" s="215"/>
      <c r="AF637" s="214"/>
      <c r="AG637" s="214"/>
      <c r="AH637" s="215"/>
      <c r="AI637" s="216"/>
      <c r="AL637" s="217"/>
      <c r="AM637" s="218"/>
    </row>
    <row r="638" spans="1:57" ht="14.25" hidden="1" customHeight="1" x14ac:dyDescent="0.2">
      <c r="A638" s="842"/>
      <c r="C638" s="279"/>
      <c r="D638" s="279"/>
      <c r="E638" s="199"/>
      <c r="I638" s="201"/>
      <c r="J638" s="207"/>
      <c r="K638" s="281"/>
      <c r="L638" s="225"/>
      <c r="M638" s="226"/>
      <c r="N638" s="209"/>
      <c r="O638" s="174"/>
      <c r="U638" s="210"/>
      <c r="V638" s="211"/>
      <c r="W638" s="210"/>
      <c r="X638" s="210"/>
      <c r="Y638" s="210"/>
      <c r="Z638" s="212"/>
      <c r="AA638" s="210"/>
      <c r="AB638" s="213"/>
      <c r="AC638" s="214"/>
      <c r="AD638" s="214"/>
      <c r="AE638" s="215"/>
      <c r="AF638" s="214"/>
      <c r="AG638" s="214"/>
      <c r="AH638" s="215"/>
      <c r="AI638" s="216"/>
      <c r="AL638" s="217"/>
      <c r="AM638" s="218"/>
      <c r="AP638" s="245"/>
      <c r="AQ638" s="245"/>
      <c r="AR638" s="245"/>
      <c r="AS638" s="245"/>
      <c r="AT638" s="245"/>
      <c r="AU638" s="245"/>
      <c r="AV638" s="245"/>
      <c r="AW638" s="245"/>
      <c r="AX638" s="245"/>
      <c r="AY638" s="245"/>
      <c r="BA638" s="245"/>
      <c r="BB638" s="245"/>
      <c r="BC638" s="245"/>
      <c r="BD638" s="245"/>
      <c r="BE638" s="245"/>
    </row>
    <row r="639" spans="1:57" ht="14.25" hidden="1" customHeight="1" x14ac:dyDescent="0.2">
      <c r="A639" s="842"/>
      <c r="C639" s="279"/>
      <c r="D639" s="279"/>
      <c r="E639" s="199"/>
      <c r="I639" s="201"/>
      <c r="J639" s="223"/>
      <c r="K639" s="281"/>
      <c r="L639" s="225"/>
      <c r="M639" s="226"/>
      <c r="N639" s="209"/>
      <c r="O639" s="174"/>
      <c r="P639" s="209"/>
      <c r="Q639" s="209"/>
      <c r="R639" s="209"/>
      <c r="S639" s="209"/>
      <c r="U639" s="210"/>
      <c r="V639" s="211"/>
      <c r="W639" s="210"/>
      <c r="X639" s="210"/>
      <c r="Y639" s="210"/>
      <c r="Z639" s="212"/>
      <c r="AA639" s="210"/>
      <c r="AB639" s="213"/>
      <c r="AC639" s="214"/>
      <c r="AD639" s="214"/>
      <c r="AE639" s="215"/>
      <c r="AF639" s="214"/>
      <c r="AG639" s="214"/>
      <c r="AH639" s="215"/>
      <c r="AI639" s="216"/>
      <c r="AL639" s="217"/>
      <c r="AM639" s="218"/>
      <c r="AP639" s="245"/>
      <c r="AQ639" s="245"/>
      <c r="AR639" s="245"/>
      <c r="AS639" s="245"/>
      <c r="AT639" s="245"/>
      <c r="AU639" s="245"/>
      <c r="AV639" s="245"/>
      <c r="AW639" s="245"/>
      <c r="AX639" s="245"/>
      <c r="AY639" s="245"/>
      <c r="BA639" s="245"/>
      <c r="BB639" s="245"/>
      <c r="BC639" s="245"/>
      <c r="BD639" s="245"/>
      <c r="BE639" s="245"/>
    </row>
    <row r="640" spans="1:57" ht="14.25" hidden="1" customHeight="1" x14ac:dyDescent="0.2">
      <c r="A640" s="842"/>
      <c r="C640" s="279"/>
      <c r="D640" s="279"/>
      <c r="E640" s="199"/>
      <c r="I640" s="201"/>
      <c r="J640" s="223"/>
      <c r="K640" s="281"/>
      <c r="L640" s="225"/>
      <c r="M640" s="226"/>
      <c r="N640" s="209"/>
      <c r="O640" s="174"/>
      <c r="P640" s="209"/>
      <c r="Q640" s="209"/>
      <c r="R640" s="209"/>
      <c r="S640" s="209"/>
      <c r="U640" s="210"/>
      <c r="V640" s="211"/>
      <c r="W640" s="210"/>
      <c r="X640" s="210"/>
      <c r="Y640" s="210"/>
      <c r="Z640" s="212"/>
      <c r="AA640" s="210"/>
      <c r="AB640" s="213"/>
      <c r="AC640" s="214"/>
      <c r="AD640" s="214"/>
      <c r="AE640" s="215"/>
      <c r="AF640" s="214"/>
      <c r="AG640" s="214"/>
      <c r="AH640" s="215"/>
      <c r="AI640" s="216"/>
      <c r="AL640" s="217"/>
      <c r="AM640" s="218"/>
      <c r="AP640" s="245"/>
      <c r="AQ640" s="245"/>
      <c r="AR640" s="245"/>
      <c r="AS640" s="245"/>
      <c r="AT640" s="245"/>
      <c r="AU640" s="245"/>
      <c r="AV640" s="245"/>
      <c r="AW640" s="245"/>
      <c r="AX640" s="245"/>
      <c r="AY640" s="245"/>
      <c r="BA640" s="245"/>
      <c r="BB640" s="245"/>
      <c r="BC640" s="245"/>
      <c r="BD640" s="245"/>
      <c r="BE640" s="245"/>
    </row>
    <row r="641" spans="1:57" ht="14.25" hidden="1" customHeight="1" x14ac:dyDescent="0.2">
      <c r="A641" s="842"/>
      <c r="C641" s="279"/>
      <c r="D641" s="279"/>
      <c r="E641" s="199"/>
      <c r="I641" s="201"/>
      <c r="J641" s="223"/>
      <c r="K641" s="282"/>
      <c r="L641" s="225"/>
      <c r="M641" s="226"/>
      <c r="N641" s="209"/>
      <c r="O641" s="174"/>
      <c r="P641" s="209"/>
      <c r="Q641" s="209"/>
      <c r="R641" s="209"/>
      <c r="S641" s="209"/>
      <c r="U641" s="210"/>
      <c r="V641" s="211"/>
      <c r="W641" s="210"/>
      <c r="X641" s="210"/>
      <c r="Y641" s="210"/>
      <c r="Z641" s="212"/>
      <c r="AA641" s="210"/>
      <c r="AB641" s="213"/>
      <c r="AC641" s="214"/>
      <c r="AD641" s="214"/>
      <c r="AE641" s="215"/>
      <c r="AF641" s="214"/>
      <c r="AG641" s="214"/>
      <c r="AH641" s="215"/>
      <c r="AI641" s="216"/>
      <c r="AL641" s="217"/>
      <c r="AM641" s="218"/>
      <c r="AP641" s="245"/>
      <c r="AQ641" s="245"/>
      <c r="AR641" s="245"/>
      <c r="AS641" s="245"/>
      <c r="AT641" s="245"/>
      <c r="AU641" s="245"/>
      <c r="AV641" s="245"/>
      <c r="AW641" s="245"/>
      <c r="AX641" s="245"/>
      <c r="AY641" s="245"/>
      <c r="BA641" s="245"/>
      <c r="BB641" s="245"/>
      <c r="BC641" s="245"/>
      <c r="BD641" s="245"/>
      <c r="BE641" s="245"/>
    </row>
    <row r="642" spans="1:57" ht="14.25" hidden="1" customHeight="1" x14ac:dyDescent="0.2">
      <c r="A642" s="842"/>
      <c r="C642" s="279"/>
      <c r="D642" s="279"/>
      <c r="E642" s="199"/>
      <c r="I642" s="201"/>
      <c r="J642" s="223"/>
      <c r="K642" s="281"/>
      <c r="L642" s="225"/>
      <c r="M642" s="226"/>
      <c r="N642" s="209"/>
      <c r="O642" s="174"/>
      <c r="P642" s="209"/>
      <c r="Q642" s="209"/>
      <c r="R642" s="209"/>
      <c r="S642" s="209"/>
      <c r="U642" s="210"/>
      <c r="V642" s="211"/>
      <c r="W642" s="210"/>
      <c r="X642" s="210"/>
      <c r="Y642" s="210"/>
      <c r="Z642" s="212"/>
      <c r="AA642" s="210"/>
      <c r="AB642" s="213"/>
      <c r="AC642" s="214"/>
      <c r="AD642" s="214"/>
      <c r="AE642" s="215"/>
      <c r="AF642" s="214"/>
      <c r="AG642" s="214"/>
      <c r="AH642" s="215"/>
      <c r="AI642" s="216"/>
      <c r="AL642" s="217"/>
      <c r="AM642" s="218"/>
      <c r="AP642" s="245"/>
      <c r="AQ642" s="245"/>
      <c r="AR642" s="245"/>
      <c r="AS642" s="245"/>
      <c r="AT642" s="245"/>
      <c r="AU642" s="245"/>
      <c r="AV642" s="245"/>
      <c r="AW642" s="245"/>
      <c r="AX642" s="245"/>
      <c r="AY642" s="245"/>
      <c r="BA642" s="245"/>
      <c r="BB642" s="245"/>
      <c r="BC642" s="245"/>
      <c r="BD642" s="245"/>
      <c r="BE642" s="245"/>
    </row>
    <row r="643" spans="1:57" ht="14.25" hidden="1" customHeight="1" x14ac:dyDescent="0.2">
      <c r="A643" s="842"/>
      <c r="C643" s="279"/>
      <c r="D643" s="279"/>
      <c r="E643" s="199"/>
      <c r="I643" s="201"/>
      <c r="J643" s="223"/>
      <c r="K643" s="281"/>
      <c r="L643" s="225"/>
      <c r="M643" s="226"/>
      <c r="N643" s="209"/>
      <c r="O643" s="174"/>
      <c r="P643" s="209"/>
      <c r="Q643" s="209"/>
      <c r="R643" s="209"/>
      <c r="S643" s="209"/>
      <c r="U643" s="210"/>
      <c r="V643" s="211"/>
      <c r="W643" s="210"/>
      <c r="X643" s="210"/>
      <c r="Y643" s="210"/>
      <c r="Z643" s="212"/>
      <c r="AA643" s="210"/>
      <c r="AB643" s="213"/>
      <c r="AC643" s="214"/>
      <c r="AD643" s="214"/>
      <c r="AE643" s="215"/>
      <c r="AF643" s="214"/>
      <c r="AG643" s="214"/>
      <c r="AH643" s="215"/>
      <c r="AI643" s="216"/>
      <c r="AL643" s="217"/>
      <c r="AM643" s="218"/>
      <c r="AP643" s="245"/>
      <c r="AQ643" s="245"/>
      <c r="AR643" s="245"/>
      <c r="AS643" s="245"/>
      <c r="AT643" s="245"/>
      <c r="AU643" s="245"/>
      <c r="AV643" s="245"/>
      <c r="AW643" s="245"/>
      <c r="AX643" s="245"/>
      <c r="AY643" s="245"/>
      <c r="BA643" s="245"/>
      <c r="BB643" s="245"/>
      <c r="BC643" s="245"/>
      <c r="BD643" s="245"/>
      <c r="BE643" s="245"/>
    </row>
    <row r="644" spans="1:57" ht="14.25" hidden="1" customHeight="1" x14ac:dyDescent="0.2">
      <c r="A644" s="842"/>
      <c r="C644" s="279"/>
      <c r="D644" s="279"/>
      <c r="E644" s="199"/>
      <c r="I644" s="201"/>
      <c r="J644" s="223"/>
      <c r="K644" s="281"/>
      <c r="L644" s="225"/>
      <c r="M644" s="226"/>
      <c r="N644" s="209"/>
      <c r="O644" s="174"/>
      <c r="P644" s="209"/>
      <c r="Q644" s="209"/>
      <c r="R644" s="209"/>
      <c r="S644" s="209"/>
      <c r="U644" s="210"/>
      <c r="V644" s="211"/>
      <c r="W644" s="210"/>
      <c r="X644" s="210"/>
      <c r="Y644" s="210"/>
      <c r="Z644" s="212"/>
      <c r="AA644" s="210"/>
      <c r="AB644" s="213"/>
      <c r="AC644" s="214"/>
      <c r="AD644" s="214"/>
      <c r="AE644" s="215"/>
      <c r="AF644" s="214"/>
      <c r="AG644" s="214"/>
      <c r="AH644" s="215"/>
      <c r="AI644" s="216"/>
      <c r="AL644" s="217"/>
      <c r="AM644" s="218"/>
      <c r="AP644" s="245"/>
      <c r="AQ644" s="245"/>
      <c r="AR644" s="245"/>
      <c r="AS644" s="245"/>
      <c r="AT644" s="245"/>
      <c r="AU644" s="245"/>
      <c r="AV644" s="245"/>
      <c r="AW644" s="245"/>
      <c r="AX644" s="245"/>
      <c r="AY644" s="245"/>
      <c r="BA644" s="245"/>
      <c r="BB644" s="245"/>
      <c r="BC644" s="245"/>
      <c r="BD644" s="245"/>
      <c r="BE644" s="245"/>
    </row>
    <row r="645" spans="1:57" ht="14.25" hidden="1" customHeight="1" x14ac:dyDescent="0.2">
      <c r="A645" s="842"/>
      <c r="C645" s="279"/>
      <c r="D645" s="279"/>
      <c r="E645" s="199"/>
      <c r="I645" s="201"/>
      <c r="J645" s="223"/>
      <c r="K645" s="281"/>
      <c r="L645" s="225"/>
      <c r="M645" s="226"/>
      <c r="N645" s="209"/>
      <c r="O645" s="174"/>
      <c r="P645" s="209"/>
      <c r="Q645" s="209"/>
      <c r="R645" s="209"/>
      <c r="S645" s="209"/>
      <c r="U645" s="210"/>
      <c r="V645" s="211"/>
      <c r="W645" s="210"/>
      <c r="X645" s="210"/>
      <c r="Y645" s="210"/>
      <c r="Z645" s="212"/>
      <c r="AA645" s="210"/>
      <c r="AB645" s="213"/>
      <c r="AC645" s="214"/>
      <c r="AD645" s="214"/>
      <c r="AE645" s="215"/>
      <c r="AF645" s="214"/>
      <c r="AG645" s="214"/>
      <c r="AH645" s="215"/>
      <c r="AI645" s="216"/>
      <c r="AL645" s="217"/>
      <c r="AM645" s="218"/>
      <c r="AP645" s="245"/>
      <c r="AQ645" s="245"/>
      <c r="AR645" s="245"/>
      <c r="AS645" s="245"/>
      <c r="AT645" s="245"/>
      <c r="AU645" s="245"/>
      <c r="AV645" s="245"/>
      <c r="AW645" s="245"/>
      <c r="AX645" s="245"/>
      <c r="AY645" s="245"/>
      <c r="BA645" s="245"/>
      <c r="BB645" s="245"/>
      <c r="BC645" s="245"/>
      <c r="BD645" s="245"/>
      <c r="BE645" s="245"/>
    </row>
    <row r="646" spans="1:57" ht="14.25" hidden="1" customHeight="1" x14ac:dyDescent="0.2">
      <c r="A646" s="842"/>
      <c r="C646" s="279"/>
      <c r="D646" s="279"/>
      <c r="E646" s="199"/>
      <c r="I646" s="201"/>
      <c r="J646" s="169"/>
      <c r="K646" s="281"/>
      <c r="L646" s="228"/>
      <c r="M646" s="228"/>
      <c r="N646" s="228"/>
      <c r="O646" s="174"/>
      <c r="P646" s="209"/>
      <c r="Q646" s="209"/>
      <c r="R646" s="209"/>
      <c r="S646" s="209"/>
      <c r="U646" s="210"/>
      <c r="V646" s="211"/>
      <c r="W646" s="210"/>
      <c r="X646" s="210"/>
      <c r="Y646" s="210"/>
      <c r="Z646" s="212"/>
      <c r="AA646" s="210"/>
      <c r="AB646" s="213"/>
      <c r="AC646" s="214"/>
      <c r="AD646" s="214"/>
      <c r="AE646" s="215"/>
      <c r="AF646" s="214"/>
      <c r="AG646" s="214"/>
      <c r="AH646" s="215"/>
      <c r="AI646" s="216"/>
      <c r="AL646" s="217"/>
      <c r="AM646" s="218"/>
      <c r="AP646" s="245"/>
      <c r="AQ646" s="245"/>
      <c r="AR646" s="245"/>
      <c r="AS646" s="245"/>
      <c r="AT646" s="245"/>
      <c r="AU646" s="245"/>
      <c r="AV646" s="245"/>
      <c r="AW646" s="245"/>
      <c r="AX646" s="245"/>
      <c r="AY646" s="245"/>
      <c r="BA646" s="245"/>
      <c r="BB646" s="245"/>
      <c r="BC646" s="245"/>
      <c r="BD646" s="245"/>
      <c r="BE646" s="245"/>
    </row>
    <row r="647" spans="1:57" ht="14.25" hidden="1" customHeight="1" x14ac:dyDescent="0.2">
      <c r="A647" s="842"/>
      <c r="E647" s="247"/>
      <c r="F647" s="248"/>
      <c r="G647" s="248"/>
      <c r="H647" s="248"/>
      <c r="I647" s="247"/>
      <c r="J647" s="172"/>
      <c r="K647" s="228"/>
      <c r="L647" s="228"/>
      <c r="M647" s="228"/>
      <c r="N647" s="228"/>
      <c r="O647" s="174"/>
      <c r="P647" s="209"/>
      <c r="Q647" s="209"/>
      <c r="R647" s="209"/>
      <c r="S647" s="209"/>
      <c r="W647" s="231"/>
      <c r="AC647" s="233"/>
      <c r="AD647" s="233"/>
      <c r="AE647" s="234"/>
      <c r="AF647" s="233"/>
      <c r="AG647" s="233"/>
      <c r="AH647" s="234"/>
      <c r="AI647" s="234"/>
      <c r="AP647" s="245"/>
      <c r="AQ647" s="245"/>
      <c r="AR647" s="245"/>
      <c r="AS647" s="245"/>
      <c r="AT647" s="245"/>
      <c r="AU647" s="245"/>
      <c r="AV647" s="245"/>
      <c r="AW647" s="245"/>
      <c r="AX647" s="245"/>
      <c r="AY647" s="245"/>
      <c r="BA647" s="245"/>
      <c r="BB647" s="245"/>
      <c r="BC647" s="245"/>
      <c r="BD647" s="245"/>
      <c r="BE647" s="245"/>
    </row>
    <row r="648" spans="1:57" ht="14.25" hidden="1" customHeight="1" x14ac:dyDescent="0.2">
      <c r="A648" s="842"/>
      <c r="E648" s="224"/>
      <c r="F648" s="225"/>
      <c r="G648" s="226"/>
      <c r="H648" s="209"/>
      <c r="I648" s="227"/>
      <c r="J648" s="169"/>
      <c r="K648" s="228"/>
      <c r="L648" s="225"/>
      <c r="M648" s="226"/>
      <c r="N648" s="209"/>
      <c r="O648" s="174"/>
      <c r="P648" s="209"/>
      <c r="Q648" s="209"/>
      <c r="R648" s="209"/>
      <c r="S648" s="209"/>
      <c r="W648" s="231"/>
      <c r="AC648" s="233"/>
      <c r="AD648" s="233"/>
      <c r="AE648" s="234"/>
      <c r="AF648" s="233"/>
      <c r="AG648" s="233"/>
      <c r="AH648" s="234"/>
      <c r="AI648" s="197"/>
      <c r="AP648" s="245"/>
      <c r="AQ648" s="245"/>
      <c r="AR648" s="245"/>
      <c r="AS648" s="245"/>
      <c r="AT648" s="245"/>
      <c r="AU648" s="245"/>
      <c r="AV648" s="245"/>
      <c r="AW648" s="245"/>
      <c r="AX648" s="245"/>
      <c r="AY648" s="245"/>
      <c r="BA648" s="245"/>
      <c r="BB648" s="245"/>
      <c r="BC648" s="245"/>
      <c r="BD648" s="245"/>
      <c r="BE648" s="245"/>
    </row>
    <row r="649" spans="1:57" ht="14.25" hidden="1" customHeight="1" x14ac:dyDescent="0.2">
      <c r="A649" s="842"/>
      <c r="B649" s="187"/>
      <c r="C649" s="188"/>
      <c r="D649" s="188"/>
      <c r="E649" s="844"/>
      <c r="F649" s="844"/>
      <c r="G649" s="844"/>
      <c r="H649" s="844"/>
      <c r="I649" s="189"/>
      <c r="J649" s="190"/>
      <c r="K649" s="191"/>
      <c r="L649" s="192"/>
      <c r="U649" s="229"/>
      <c r="V649" s="230"/>
      <c r="W649" s="231"/>
      <c r="X649" s="231"/>
      <c r="Y649" s="231"/>
      <c r="Z649" s="232"/>
      <c r="AA649" s="231"/>
      <c r="AC649" s="197"/>
      <c r="AD649" s="197"/>
      <c r="AE649" s="197"/>
      <c r="AF649" s="197"/>
      <c r="AG649" s="197"/>
      <c r="AH649" s="197"/>
      <c r="AI649" s="197"/>
      <c r="AQ649" s="245"/>
      <c r="AR649" s="245"/>
      <c r="AS649" s="245"/>
      <c r="AT649" s="245"/>
    </row>
    <row r="650" spans="1:57" ht="9" hidden="1" customHeight="1" x14ac:dyDescent="0.2">
      <c r="A650" s="842"/>
      <c r="J650" s="169"/>
      <c r="K650" s="228"/>
      <c r="L650" s="225"/>
      <c r="M650" s="226"/>
      <c r="N650" s="209"/>
      <c r="O650" s="174"/>
      <c r="P650" s="209"/>
      <c r="Q650" s="209"/>
      <c r="R650" s="209"/>
      <c r="S650" s="209"/>
      <c r="AP650" s="245"/>
      <c r="AQ650" s="245"/>
      <c r="AR650" s="245"/>
      <c r="AS650" s="245"/>
      <c r="AT650" s="245"/>
      <c r="AU650" s="245"/>
      <c r="AV650" s="245"/>
      <c r="AW650" s="245"/>
      <c r="AX650" s="245"/>
      <c r="AY650" s="245"/>
      <c r="BA650" s="245"/>
      <c r="BB650" s="245"/>
      <c r="BC650" s="245"/>
      <c r="BD650" s="245"/>
      <c r="BE650" s="245"/>
    </row>
    <row r="651" spans="1:57" ht="14.25" hidden="1" customHeight="1" x14ac:dyDescent="0.2">
      <c r="A651" s="842"/>
      <c r="C651" s="279"/>
      <c r="D651" s="279"/>
      <c r="E651" s="199"/>
      <c r="I651" s="201"/>
      <c r="J651" s="207"/>
      <c r="K651" s="280"/>
      <c r="L651" s="225"/>
      <c r="M651" s="226"/>
      <c r="N651" s="209"/>
      <c r="O651" s="174"/>
      <c r="P651" s="209"/>
      <c r="Q651" s="209"/>
      <c r="R651" s="209"/>
      <c r="S651" s="209"/>
      <c r="U651" s="210"/>
      <c r="V651" s="211"/>
      <c r="W651" s="210"/>
      <c r="X651" s="210"/>
      <c r="Y651" s="210"/>
      <c r="Z651" s="212"/>
      <c r="AA651" s="210"/>
      <c r="AB651" s="213"/>
      <c r="AC651" s="214"/>
      <c r="AD651" s="214"/>
      <c r="AE651" s="215"/>
      <c r="AF651" s="214"/>
      <c r="AG651" s="214"/>
      <c r="AH651" s="215"/>
      <c r="AI651" s="216"/>
      <c r="AL651" s="217"/>
      <c r="AM651" s="218"/>
      <c r="AQ651" s="245"/>
      <c r="AR651" s="245"/>
      <c r="AS651" s="245"/>
      <c r="AT651" s="245"/>
    </row>
    <row r="652" spans="1:57" ht="14.25" hidden="1" customHeight="1" x14ac:dyDescent="0.2">
      <c r="A652" s="842"/>
      <c r="C652" s="279"/>
      <c r="D652" s="279"/>
      <c r="E652" s="199"/>
      <c r="I652" s="201"/>
      <c r="J652" s="207"/>
      <c r="K652" s="281"/>
      <c r="L652" s="225"/>
      <c r="M652" s="226"/>
      <c r="N652" s="209"/>
      <c r="O652" s="174"/>
      <c r="U652" s="210"/>
      <c r="V652" s="211"/>
      <c r="W652" s="210"/>
      <c r="X652" s="210"/>
      <c r="Y652" s="210"/>
      <c r="Z652" s="212"/>
      <c r="AA652" s="210"/>
      <c r="AB652" s="213"/>
      <c r="AC652" s="214"/>
      <c r="AD652" s="214"/>
      <c r="AE652" s="215"/>
      <c r="AF652" s="214"/>
      <c r="AG652" s="214"/>
      <c r="AH652" s="215"/>
      <c r="AI652" s="216"/>
      <c r="AL652" s="217"/>
      <c r="AM652" s="218"/>
    </row>
    <row r="653" spans="1:57" ht="14.25" hidden="1" customHeight="1" x14ac:dyDescent="0.2">
      <c r="A653" s="842"/>
      <c r="C653" s="279"/>
      <c r="D653" s="279"/>
      <c r="E653" s="199"/>
      <c r="I653" s="201"/>
      <c r="J653" s="207"/>
      <c r="K653" s="281"/>
      <c r="L653" s="225"/>
      <c r="M653" s="226"/>
      <c r="N653" s="209"/>
      <c r="O653" s="174"/>
      <c r="U653" s="210"/>
      <c r="V653" s="211"/>
      <c r="W653" s="210"/>
      <c r="X653" s="210"/>
      <c r="Y653" s="210"/>
      <c r="Z653" s="212"/>
      <c r="AA653" s="210"/>
      <c r="AB653" s="213"/>
      <c r="AC653" s="214"/>
      <c r="AD653" s="214"/>
      <c r="AE653" s="215"/>
      <c r="AF653" s="214"/>
      <c r="AG653" s="214"/>
      <c r="AH653" s="215"/>
      <c r="AI653" s="216"/>
      <c r="AL653" s="217"/>
      <c r="AM653" s="218"/>
    </row>
    <row r="654" spans="1:57" ht="14.25" hidden="1" customHeight="1" x14ac:dyDescent="0.2">
      <c r="A654" s="842"/>
      <c r="C654" s="279"/>
      <c r="D654" s="279"/>
      <c r="E654" s="199"/>
      <c r="I654" s="201"/>
      <c r="J654" s="207"/>
      <c r="K654" s="281"/>
      <c r="L654" s="225"/>
      <c r="M654" s="226"/>
      <c r="N654" s="209"/>
      <c r="O654" s="174"/>
      <c r="U654" s="210"/>
      <c r="V654" s="211"/>
      <c r="W654" s="210"/>
      <c r="X654" s="210"/>
      <c r="Y654" s="210"/>
      <c r="Z654" s="212"/>
      <c r="AA654" s="210"/>
      <c r="AB654" s="213"/>
      <c r="AC654" s="214"/>
      <c r="AD654" s="214"/>
      <c r="AE654" s="215"/>
      <c r="AF654" s="214"/>
      <c r="AG654" s="214"/>
      <c r="AH654" s="215"/>
      <c r="AI654" s="216"/>
      <c r="AL654" s="217"/>
      <c r="AM654" s="218"/>
      <c r="AP654" s="245"/>
      <c r="AQ654" s="245"/>
      <c r="AR654" s="245"/>
      <c r="AS654" s="245"/>
      <c r="AT654" s="245"/>
      <c r="AU654" s="245"/>
      <c r="AV654" s="245"/>
      <c r="AW654" s="245"/>
      <c r="AX654" s="245"/>
      <c r="AY654" s="245"/>
      <c r="BA654" s="245"/>
      <c r="BB654" s="245"/>
      <c r="BC654" s="245"/>
      <c r="BD654" s="245"/>
      <c r="BE654" s="245"/>
    </row>
    <row r="655" spans="1:57" ht="14.25" hidden="1" customHeight="1" x14ac:dyDescent="0.2">
      <c r="A655" s="842"/>
      <c r="C655" s="279"/>
      <c r="D655" s="279"/>
      <c r="E655" s="199"/>
      <c r="I655" s="201"/>
      <c r="J655" s="223"/>
      <c r="K655" s="281"/>
      <c r="L655" s="225"/>
      <c r="M655" s="226"/>
      <c r="N655" s="209"/>
      <c r="O655" s="174"/>
      <c r="P655" s="209"/>
      <c r="Q655" s="209"/>
      <c r="R655" s="209"/>
      <c r="S655" s="209"/>
      <c r="U655" s="210"/>
      <c r="V655" s="211"/>
      <c r="W655" s="210"/>
      <c r="X655" s="210"/>
      <c r="Y655" s="210"/>
      <c r="Z655" s="212"/>
      <c r="AA655" s="210"/>
      <c r="AB655" s="213"/>
      <c r="AC655" s="214"/>
      <c r="AD655" s="214"/>
      <c r="AE655" s="215"/>
      <c r="AF655" s="214"/>
      <c r="AG655" s="214"/>
      <c r="AH655" s="215"/>
      <c r="AI655" s="216"/>
      <c r="AL655" s="217"/>
      <c r="AM655" s="218"/>
      <c r="AP655" s="245"/>
      <c r="AQ655" s="245"/>
      <c r="AR655" s="245"/>
      <c r="AS655" s="245"/>
      <c r="AT655" s="245"/>
      <c r="AU655" s="245"/>
      <c r="AV655" s="245"/>
      <c r="AW655" s="245"/>
      <c r="AX655" s="245"/>
      <c r="AY655" s="245"/>
      <c r="BA655" s="245"/>
      <c r="BB655" s="245"/>
      <c r="BC655" s="245"/>
      <c r="BD655" s="245"/>
      <c r="BE655" s="245"/>
    </row>
    <row r="656" spans="1:57" ht="14.25" hidden="1" customHeight="1" x14ac:dyDescent="0.2">
      <c r="A656" s="842"/>
      <c r="C656" s="279"/>
      <c r="D656" s="279"/>
      <c r="E656" s="199"/>
      <c r="I656" s="201"/>
      <c r="J656" s="223"/>
      <c r="K656" s="281"/>
      <c r="L656" s="225"/>
      <c r="M656" s="226"/>
      <c r="N656" s="209"/>
      <c r="O656" s="174"/>
      <c r="P656" s="209"/>
      <c r="Q656" s="209"/>
      <c r="R656" s="209"/>
      <c r="S656" s="209"/>
      <c r="U656" s="210"/>
      <c r="V656" s="211"/>
      <c r="W656" s="210"/>
      <c r="X656" s="210"/>
      <c r="Y656" s="210"/>
      <c r="Z656" s="212"/>
      <c r="AA656" s="210"/>
      <c r="AB656" s="213"/>
      <c r="AC656" s="214"/>
      <c r="AD656" s="214"/>
      <c r="AE656" s="215"/>
      <c r="AF656" s="214"/>
      <c r="AG656" s="214"/>
      <c r="AH656" s="215"/>
      <c r="AI656" s="216"/>
      <c r="AL656" s="217"/>
      <c r="AM656" s="218"/>
      <c r="AP656" s="245"/>
      <c r="AQ656" s="245"/>
      <c r="AR656" s="245"/>
      <c r="AS656" s="245"/>
      <c r="AT656" s="245"/>
      <c r="AU656" s="245"/>
      <c r="AV656" s="245"/>
      <c r="AW656" s="245"/>
      <c r="AX656" s="245"/>
      <c r="AY656" s="245"/>
      <c r="BA656" s="245"/>
      <c r="BB656" s="245"/>
      <c r="BC656" s="245"/>
      <c r="BD656" s="245"/>
      <c r="BE656" s="245"/>
    </row>
    <row r="657" spans="1:57" ht="14.25" hidden="1" customHeight="1" x14ac:dyDescent="0.2">
      <c r="A657" s="842"/>
      <c r="C657" s="279"/>
      <c r="D657" s="279"/>
      <c r="E657" s="199"/>
      <c r="I657" s="201"/>
      <c r="J657" s="223"/>
      <c r="K657" s="282"/>
      <c r="L657" s="225"/>
      <c r="M657" s="226"/>
      <c r="N657" s="209"/>
      <c r="O657" s="174"/>
      <c r="P657" s="209"/>
      <c r="Q657" s="209"/>
      <c r="R657" s="209"/>
      <c r="S657" s="209"/>
      <c r="U657" s="210"/>
      <c r="V657" s="211"/>
      <c r="W657" s="210"/>
      <c r="X657" s="210"/>
      <c r="Y657" s="210"/>
      <c r="Z657" s="212"/>
      <c r="AA657" s="210"/>
      <c r="AB657" s="213"/>
      <c r="AC657" s="214"/>
      <c r="AD657" s="214"/>
      <c r="AE657" s="215"/>
      <c r="AF657" s="214"/>
      <c r="AG657" s="214"/>
      <c r="AH657" s="215"/>
      <c r="AI657" s="216"/>
      <c r="AL657" s="217"/>
      <c r="AM657" s="218"/>
      <c r="AP657" s="245"/>
      <c r="AQ657" s="245"/>
      <c r="AR657" s="245"/>
      <c r="AS657" s="245"/>
      <c r="AT657" s="245"/>
      <c r="AU657" s="245"/>
      <c r="AV657" s="245"/>
      <c r="AW657" s="245"/>
      <c r="AX657" s="245"/>
      <c r="AY657" s="245"/>
      <c r="BA657" s="245"/>
      <c r="BB657" s="245"/>
      <c r="BC657" s="245"/>
      <c r="BD657" s="245"/>
      <c r="BE657" s="245"/>
    </row>
    <row r="658" spans="1:57" ht="14.25" hidden="1" customHeight="1" x14ac:dyDescent="0.2">
      <c r="A658" s="842"/>
      <c r="C658" s="279"/>
      <c r="D658" s="279"/>
      <c r="E658" s="199"/>
      <c r="I658" s="201"/>
      <c r="J658" s="223"/>
      <c r="K658" s="281"/>
      <c r="L658" s="225"/>
      <c r="M658" s="226"/>
      <c r="N658" s="209"/>
      <c r="O658" s="174"/>
      <c r="P658" s="209"/>
      <c r="Q658" s="209"/>
      <c r="R658" s="209"/>
      <c r="S658" s="209"/>
      <c r="U658" s="210"/>
      <c r="V658" s="211"/>
      <c r="W658" s="210"/>
      <c r="X658" s="210"/>
      <c r="Y658" s="210"/>
      <c r="Z658" s="212"/>
      <c r="AA658" s="210"/>
      <c r="AB658" s="213"/>
      <c r="AC658" s="214"/>
      <c r="AD658" s="214"/>
      <c r="AE658" s="215"/>
      <c r="AF658" s="214"/>
      <c r="AG658" s="214"/>
      <c r="AH658" s="215"/>
      <c r="AI658" s="216"/>
      <c r="AL658" s="217"/>
      <c r="AM658" s="218"/>
      <c r="AP658" s="245"/>
      <c r="AQ658" s="245"/>
      <c r="AR658" s="245"/>
      <c r="AS658" s="245"/>
      <c r="AT658" s="245"/>
      <c r="AU658" s="245"/>
      <c r="AV658" s="245"/>
      <c r="AW658" s="245"/>
      <c r="AX658" s="245"/>
      <c r="AY658" s="245"/>
      <c r="BA658" s="245"/>
      <c r="BB658" s="245"/>
      <c r="BC658" s="245"/>
      <c r="BD658" s="245"/>
      <c r="BE658" s="245"/>
    </row>
    <row r="659" spans="1:57" ht="14.25" hidden="1" customHeight="1" x14ac:dyDescent="0.2">
      <c r="A659" s="842"/>
      <c r="C659" s="279"/>
      <c r="D659" s="279"/>
      <c r="E659" s="199"/>
      <c r="I659" s="201"/>
      <c r="J659" s="223"/>
      <c r="K659" s="281"/>
      <c r="L659" s="225"/>
      <c r="M659" s="226"/>
      <c r="N659" s="209"/>
      <c r="O659" s="174"/>
      <c r="P659" s="209"/>
      <c r="Q659" s="209"/>
      <c r="R659" s="209"/>
      <c r="S659" s="209"/>
      <c r="U659" s="210"/>
      <c r="V659" s="211"/>
      <c r="W659" s="210"/>
      <c r="X659" s="210"/>
      <c r="Y659" s="210"/>
      <c r="Z659" s="212"/>
      <c r="AA659" s="210"/>
      <c r="AB659" s="213"/>
      <c r="AC659" s="214"/>
      <c r="AD659" s="214"/>
      <c r="AE659" s="215"/>
      <c r="AF659" s="214"/>
      <c r="AG659" s="214"/>
      <c r="AH659" s="215"/>
      <c r="AI659" s="216"/>
      <c r="AL659" s="217"/>
      <c r="AM659" s="218"/>
      <c r="AP659" s="245"/>
      <c r="AQ659" s="245"/>
      <c r="AR659" s="245"/>
      <c r="AS659" s="245"/>
      <c r="AT659" s="245"/>
      <c r="AU659" s="245"/>
      <c r="AV659" s="245"/>
      <c r="AW659" s="245"/>
      <c r="AX659" s="245"/>
      <c r="AY659" s="245"/>
      <c r="BA659" s="245"/>
      <c r="BB659" s="245"/>
      <c r="BC659" s="245"/>
      <c r="BD659" s="245"/>
      <c r="BE659" s="245"/>
    </row>
    <row r="660" spans="1:57" ht="14.25" hidden="1" customHeight="1" x14ac:dyDescent="0.2">
      <c r="A660" s="842"/>
      <c r="C660" s="279"/>
      <c r="D660" s="279"/>
      <c r="E660" s="199"/>
      <c r="I660" s="201"/>
      <c r="J660" s="223"/>
      <c r="K660" s="281"/>
      <c r="L660" s="225"/>
      <c r="M660" s="226"/>
      <c r="N660" s="209"/>
      <c r="O660" s="174"/>
      <c r="P660" s="209"/>
      <c r="Q660" s="209"/>
      <c r="R660" s="209"/>
      <c r="S660" s="209"/>
      <c r="U660" s="210"/>
      <c r="V660" s="211"/>
      <c r="W660" s="210"/>
      <c r="X660" s="210"/>
      <c r="Y660" s="210"/>
      <c r="Z660" s="212"/>
      <c r="AA660" s="210"/>
      <c r="AB660" s="213"/>
      <c r="AC660" s="214"/>
      <c r="AD660" s="214"/>
      <c r="AE660" s="215"/>
      <c r="AF660" s="214"/>
      <c r="AG660" s="214"/>
      <c r="AH660" s="215"/>
      <c r="AI660" s="216"/>
      <c r="AL660" s="217"/>
      <c r="AM660" s="218"/>
      <c r="AP660" s="245"/>
      <c r="AQ660" s="245"/>
      <c r="AR660" s="245"/>
      <c r="AS660" s="245"/>
      <c r="AT660" s="245"/>
      <c r="AU660" s="245"/>
      <c r="AV660" s="245"/>
      <c r="AW660" s="245"/>
      <c r="AX660" s="245"/>
      <c r="AY660" s="245"/>
      <c r="BA660" s="245"/>
      <c r="BB660" s="245"/>
      <c r="BC660" s="245"/>
      <c r="BD660" s="245"/>
      <c r="BE660" s="245"/>
    </row>
    <row r="661" spans="1:57" ht="14.25" hidden="1" customHeight="1" x14ac:dyDescent="0.2">
      <c r="A661" s="842"/>
      <c r="C661" s="279"/>
      <c r="D661" s="279"/>
      <c r="E661" s="199"/>
      <c r="I661" s="201"/>
      <c r="J661" s="223"/>
      <c r="K661" s="281"/>
      <c r="L661" s="225"/>
      <c r="M661" s="226"/>
      <c r="N661" s="209"/>
      <c r="O661" s="174"/>
      <c r="P661" s="209"/>
      <c r="Q661" s="209"/>
      <c r="R661" s="209"/>
      <c r="S661" s="209"/>
      <c r="U661" s="210"/>
      <c r="V661" s="211"/>
      <c r="W661" s="210"/>
      <c r="X661" s="210"/>
      <c r="Y661" s="210"/>
      <c r="Z661" s="212"/>
      <c r="AA661" s="210"/>
      <c r="AB661" s="213"/>
      <c r="AC661" s="214"/>
      <c r="AD661" s="214"/>
      <c r="AE661" s="215"/>
      <c r="AF661" s="214"/>
      <c r="AG661" s="214"/>
      <c r="AH661" s="215"/>
      <c r="AI661" s="216"/>
      <c r="AL661" s="217"/>
      <c r="AM661" s="218"/>
      <c r="AP661" s="245"/>
      <c r="AQ661" s="245"/>
      <c r="AR661" s="245"/>
      <c r="AS661" s="245"/>
      <c r="AT661" s="245"/>
      <c r="AU661" s="245"/>
      <c r="AV661" s="245"/>
      <c r="AW661" s="245"/>
      <c r="AX661" s="245"/>
      <c r="AY661" s="245"/>
      <c r="BA661" s="245"/>
      <c r="BB661" s="245"/>
      <c r="BC661" s="245"/>
      <c r="BD661" s="245"/>
      <c r="BE661" s="245"/>
    </row>
    <row r="662" spans="1:57" ht="14.25" hidden="1" customHeight="1" x14ac:dyDescent="0.2">
      <c r="A662" s="842"/>
      <c r="C662" s="279"/>
      <c r="D662" s="279"/>
      <c r="E662" s="199"/>
      <c r="I662" s="201"/>
      <c r="J662" s="169"/>
      <c r="K662" s="281"/>
      <c r="L662" s="228"/>
      <c r="M662" s="228"/>
      <c r="N662" s="228"/>
      <c r="O662" s="174"/>
      <c r="P662" s="209"/>
      <c r="Q662" s="209"/>
      <c r="R662" s="209"/>
      <c r="S662" s="209"/>
      <c r="U662" s="210"/>
      <c r="V662" s="211"/>
      <c r="W662" s="210"/>
      <c r="X662" s="210"/>
      <c r="Y662" s="210"/>
      <c r="Z662" s="212"/>
      <c r="AA662" s="210"/>
      <c r="AB662" s="213"/>
      <c r="AC662" s="214"/>
      <c r="AD662" s="214"/>
      <c r="AE662" s="215"/>
      <c r="AF662" s="214"/>
      <c r="AG662" s="214"/>
      <c r="AH662" s="215"/>
      <c r="AI662" s="216"/>
      <c r="AL662" s="217"/>
      <c r="AM662" s="218"/>
      <c r="AP662" s="245"/>
      <c r="AQ662" s="245"/>
      <c r="AR662" s="245"/>
      <c r="AS662" s="245"/>
      <c r="AT662" s="245"/>
      <c r="AU662" s="245"/>
      <c r="AV662" s="245"/>
      <c r="AW662" s="245"/>
      <c r="AX662" s="245"/>
      <c r="AY662" s="245"/>
      <c r="BA662" s="245"/>
      <c r="BB662" s="245"/>
      <c r="BC662" s="245"/>
      <c r="BD662" s="245"/>
      <c r="BE662" s="245"/>
    </row>
    <row r="663" spans="1:57" ht="14.25" hidden="1" customHeight="1" x14ac:dyDescent="0.2">
      <c r="A663" s="842"/>
      <c r="E663" s="247"/>
      <c r="F663" s="248"/>
      <c r="G663" s="248"/>
      <c r="H663" s="248"/>
      <c r="I663" s="247"/>
      <c r="J663" s="172"/>
      <c r="K663" s="228"/>
      <c r="L663" s="228"/>
      <c r="M663" s="228"/>
      <c r="N663" s="228"/>
      <c r="O663" s="174"/>
      <c r="P663" s="209"/>
      <c r="Q663" s="209"/>
      <c r="R663" s="209"/>
      <c r="S663" s="209"/>
      <c r="W663" s="231"/>
      <c r="AC663" s="233"/>
      <c r="AD663" s="233"/>
      <c r="AE663" s="234"/>
      <c r="AF663" s="233"/>
      <c r="AG663" s="233"/>
      <c r="AH663" s="234"/>
      <c r="AI663" s="234"/>
      <c r="AP663" s="245"/>
      <c r="AQ663" s="245"/>
      <c r="AR663" s="245"/>
      <c r="AS663" s="245"/>
      <c r="AT663" s="245"/>
      <c r="AU663" s="245"/>
      <c r="AV663" s="245"/>
      <c r="AW663" s="245"/>
      <c r="AX663" s="245"/>
      <c r="AY663" s="245"/>
      <c r="BA663" s="245"/>
      <c r="BB663" s="245"/>
      <c r="BC663" s="245"/>
      <c r="BD663" s="245"/>
      <c r="BE663" s="245"/>
    </row>
    <row r="664" spans="1:57" ht="14.25" hidden="1" customHeight="1" x14ac:dyDescent="0.2">
      <c r="A664" s="842"/>
      <c r="E664" s="224"/>
      <c r="F664" s="225"/>
      <c r="G664" s="226"/>
      <c r="H664" s="209"/>
      <c r="I664" s="227"/>
      <c r="J664" s="169"/>
      <c r="K664" s="228"/>
      <c r="L664" s="225"/>
      <c r="M664" s="226"/>
      <c r="N664" s="209"/>
      <c r="O664" s="174"/>
      <c r="P664" s="209"/>
      <c r="Q664" s="209"/>
      <c r="R664" s="209"/>
      <c r="S664" s="209"/>
      <c r="W664" s="231"/>
      <c r="AC664" s="233"/>
      <c r="AD664" s="233"/>
      <c r="AE664" s="234"/>
      <c r="AF664" s="233"/>
      <c r="AG664" s="233"/>
      <c r="AH664" s="234"/>
      <c r="AI664" s="197"/>
      <c r="AP664" s="245"/>
      <c r="AQ664" s="245"/>
      <c r="AR664" s="245"/>
      <c r="AS664" s="245"/>
      <c r="AT664" s="245"/>
      <c r="AU664" s="245"/>
      <c r="AV664" s="245"/>
      <c r="AW664" s="245"/>
      <c r="AX664" s="245"/>
      <c r="AY664" s="245"/>
      <c r="BA664" s="245"/>
      <c r="BB664" s="245"/>
      <c r="BC664" s="245"/>
      <c r="BD664" s="245"/>
      <c r="BE664" s="245"/>
    </row>
    <row r="665" spans="1:57" ht="14.25" hidden="1" customHeight="1" x14ac:dyDescent="0.2">
      <c r="A665" s="842"/>
      <c r="B665" s="187"/>
      <c r="C665" s="188"/>
      <c r="D665" s="188"/>
      <c r="E665" s="844"/>
      <c r="F665" s="844"/>
      <c r="G665" s="844"/>
      <c r="H665" s="844"/>
      <c r="I665" s="189"/>
      <c r="J665" s="190"/>
      <c r="K665" s="191"/>
      <c r="L665" s="192"/>
      <c r="U665" s="229"/>
      <c r="V665" s="230"/>
      <c r="W665" s="231"/>
      <c r="X665" s="231"/>
      <c r="Y665" s="231"/>
      <c r="Z665" s="232"/>
      <c r="AA665" s="231"/>
      <c r="AC665" s="197"/>
      <c r="AD665" s="197"/>
      <c r="AE665" s="197"/>
      <c r="AF665" s="197"/>
      <c r="AG665" s="197"/>
      <c r="AH665" s="197"/>
      <c r="AI665" s="197"/>
      <c r="AQ665" s="245"/>
      <c r="AR665" s="245"/>
      <c r="AS665" s="245"/>
      <c r="AT665" s="245"/>
    </row>
    <row r="666" spans="1:57" ht="9" hidden="1" customHeight="1" x14ac:dyDescent="0.2">
      <c r="A666" s="842"/>
      <c r="J666" s="169"/>
      <c r="K666" s="228"/>
      <c r="L666" s="225"/>
      <c r="M666" s="226"/>
      <c r="N666" s="209"/>
      <c r="O666" s="174"/>
      <c r="P666" s="209"/>
      <c r="Q666" s="209"/>
      <c r="R666" s="209"/>
      <c r="S666" s="209"/>
      <c r="AP666" s="245"/>
      <c r="AQ666" s="245"/>
      <c r="AR666" s="245"/>
      <c r="AS666" s="245"/>
      <c r="AT666" s="245"/>
      <c r="AU666" s="245"/>
      <c r="AV666" s="245"/>
      <c r="AW666" s="245"/>
      <c r="AX666" s="245"/>
      <c r="AY666" s="245"/>
      <c r="BA666" s="245"/>
      <c r="BB666" s="245"/>
      <c r="BC666" s="245"/>
      <c r="BD666" s="245"/>
      <c r="BE666" s="245"/>
    </row>
    <row r="667" spans="1:57" ht="14.25" hidden="1" customHeight="1" x14ac:dyDescent="0.2">
      <c r="A667" s="842"/>
      <c r="C667" s="279"/>
      <c r="D667" s="279"/>
      <c r="E667" s="199"/>
      <c r="I667" s="201"/>
      <c r="J667" s="207"/>
      <c r="K667" s="280"/>
      <c r="L667" s="225"/>
      <c r="M667" s="226"/>
      <c r="N667" s="209"/>
      <c r="O667" s="174"/>
      <c r="P667" s="209"/>
      <c r="Q667" s="209"/>
      <c r="R667" s="209"/>
      <c r="S667" s="209"/>
      <c r="U667" s="210"/>
      <c r="V667" s="211"/>
      <c r="W667" s="210"/>
      <c r="X667" s="210"/>
      <c r="Y667" s="210"/>
      <c r="Z667" s="212"/>
      <c r="AA667" s="210"/>
      <c r="AB667" s="213"/>
      <c r="AC667" s="214"/>
      <c r="AD667" s="214"/>
      <c r="AE667" s="215"/>
      <c r="AF667" s="214"/>
      <c r="AG667" s="214"/>
      <c r="AH667" s="215"/>
      <c r="AI667" s="216"/>
      <c r="AL667" s="217"/>
      <c r="AM667" s="218"/>
      <c r="AQ667" s="245"/>
      <c r="AR667" s="245"/>
      <c r="AS667" s="245"/>
      <c r="AT667" s="245"/>
    </row>
    <row r="668" spans="1:57" ht="14.25" hidden="1" customHeight="1" x14ac:dyDescent="0.2">
      <c r="A668" s="842"/>
      <c r="C668" s="279"/>
      <c r="D668" s="279"/>
      <c r="E668" s="199"/>
      <c r="I668" s="201"/>
      <c r="J668" s="207"/>
      <c r="K668" s="281"/>
      <c r="L668" s="225"/>
      <c r="M668" s="226"/>
      <c r="N668" s="209"/>
      <c r="O668" s="174"/>
      <c r="U668" s="210"/>
      <c r="V668" s="211"/>
      <c r="W668" s="210"/>
      <c r="X668" s="210"/>
      <c r="Y668" s="210"/>
      <c r="Z668" s="212"/>
      <c r="AA668" s="210"/>
      <c r="AB668" s="213"/>
      <c r="AC668" s="214"/>
      <c r="AD668" s="214"/>
      <c r="AE668" s="215"/>
      <c r="AF668" s="214"/>
      <c r="AG668" s="214"/>
      <c r="AH668" s="215"/>
      <c r="AI668" s="216"/>
      <c r="AL668" s="217"/>
      <c r="AM668" s="218"/>
    </row>
    <row r="669" spans="1:57" ht="14.25" hidden="1" customHeight="1" x14ac:dyDescent="0.2">
      <c r="A669" s="842"/>
      <c r="C669" s="279"/>
      <c r="D669" s="279"/>
      <c r="E669" s="199"/>
      <c r="I669" s="201"/>
      <c r="J669" s="207"/>
      <c r="K669" s="281"/>
      <c r="L669" s="225"/>
      <c r="M669" s="226"/>
      <c r="N669" s="209"/>
      <c r="O669" s="174"/>
      <c r="U669" s="210"/>
      <c r="V669" s="211"/>
      <c r="W669" s="210"/>
      <c r="X669" s="210"/>
      <c r="Y669" s="210"/>
      <c r="Z669" s="212"/>
      <c r="AA669" s="210"/>
      <c r="AB669" s="213"/>
      <c r="AC669" s="214"/>
      <c r="AD669" s="214"/>
      <c r="AE669" s="215"/>
      <c r="AF669" s="214"/>
      <c r="AG669" s="214"/>
      <c r="AH669" s="215"/>
      <c r="AI669" s="216"/>
      <c r="AL669" s="217"/>
      <c r="AM669" s="218"/>
    </row>
    <row r="670" spans="1:57" ht="14.25" hidden="1" customHeight="1" x14ac:dyDescent="0.2">
      <c r="A670" s="842"/>
      <c r="C670" s="279"/>
      <c r="D670" s="279"/>
      <c r="E670" s="199"/>
      <c r="I670" s="201"/>
      <c r="J670" s="207"/>
      <c r="K670" s="281"/>
      <c r="L670" s="225"/>
      <c r="M670" s="226"/>
      <c r="N670" s="209"/>
      <c r="O670" s="174"/>
      <c r="U670" s="210"/>
      <c r="V670" s="211"/>
      <c r="W670" s="210"/>
      <c r="X670" s="210"/>
      <c r="Y670" s="210"/>
      <c r="Z670" s="212"/>
      <c r="AA670" s="210"/>
      <c r="AB670" s="213"/>
      <c r="AC670" s="214"/>
      <c r="AD670" s="214"/>
      <c r="AE670" s="215"/>
      <c r="AF670" s="214"/>
      <c r="AG670" s="214"/>
      <c r="AH670" s="215"/>
      <c r="AI670" s="216"/>
      <c r="AL670" s="217"/>
      <c r="AM670" s="218"/>
      <c r="AP670" s="245"/>
      <c r="AQ670" s="245"/>
      <c r="AR670" s="245"/>
      <c r="AS670" s="245"/>
      <c r="AT670" s="245"/>
      <c r="AU670" s="245"/>
      <c r="AV670" s="245"/>
      <c r="AW670" s="245"/>
      <c r="AX670" s="245"/>
      <c r="AY670" s="245"/>
      <c r="BA670" s="245"/>
      <c r="BB670" s="245"/>
      <c r="BC670" s="245"/>
      <c r="BD670" s="245"/>
      <c r="BE670" s="245"/>
    </row>
    <row r="671" spans="1:57" ht="14.25" hidden="1" customHeight="1" x14ac:dyDescent="0.2">
      <c r="A671" s="842"/>
      <c r="C671" s="279"/>
      <c r="D671" s="279"/>
      <c r="E671" s="199"/>
      <c r="I671" s="201"/>
      <c r="J671" s="223"/>
      <c r="K671" s="281"/>
      <c r="L671" s="225"/>
      <c r="M671" s="226"/>
      <c r="N671" s="209"/>
      <c r="O671" s="174"/>
      <c r="P671" s="209"/>
      <c r="Q671" s="209"/>
      <c r="R671" s="209"/>
      <c r="S671" s="209"/>
      <c r="U671" s="210"/>
      <c r="V671" s="211"/>
      <c r="W671" s="210"/>
      <c r="X671" s="210"/>
      <c r="Y671" s="210"/>
      <c r="Z671" s="212"/>
      <c r="AA671" s="210"/>
      <c r="AB671" s="213"/>
      <c r="AC671" s="214"/>
      <c r="AD671" s="214"/>
      <c r="AE671" s="215"/>
      <c r="AF671" s="214"/>
      <c r="AG671" s="214"/>
      <c r="AH671" s="215"/>
      <c r="AI671" s="216"/>
      <c r="AL671" s="217"/>
      <c r="AM671" s="218"/>
      <c r="AP671" s="245"/>
      <c r="AQ671" s="245"/>
      <c r="AR671" s="245"/>
      <c r="AS671" s="245"/>
      <c r="AT671" s="245"/>
      <c r="AU671" s="245"/>
      <c r="AV671" s="245"/>
      <c r="AW671" s="245"/>
      <c r="AX671" s="245"/>
      <c r="AY671" s="245"/>
      <c r="BA671" s="245"/>
      <c r="BB671" s="245"/>
      <c r="BC671" s="245"/>
      <c r="BD671" s="245"/>
      <c r="BE671" s="245"/>
    </row>
    <row r="672" spans="1:57" ht="14.25" hidden="1" customHeight="1" x14ac:dyDescent="0.2">
      <c r="A672" s="842"/>
      <c r="C672" s="279"/>
      <c r="D672" s="279"/>
      <c r="E672" s="199"/>
      <c r="I672" s="201"/>
      <c r="J672" s="223"/>
      <c r="K672" s="281"/>
      <c r="L672" s="225"/>
      <c r="M672" s="226"/>
      <c r="N672" s="209"/>
      <c r="O672" s="174"/>
      <c r="P672" s="209"/>
      <c r="Q672" s="209"/>
      <c r="R672" s="209"/>
      <c r="S672" s="209"/>
      <c r="U672" s="210"/>
      <c r="V672" s="211"/>
      <c r="W672" s="210"/>
      <c r="X672" s="210"/>
      <c r="Y672" s="210"/>
      <c r="Z672" s="212"/>
      <c r="AA672" s="210"/>
      <c r="AB672" s="213"/>
      <c r="AC672" s="214"/>
      <c r="AD672" s="214"/>
      <c r="AE672" s="215"/>
      <c r="AF672" s="214"/>
      <c r="AG672" s="214"/>
      <c r="AH672" s="215"/>
      <c r="AI672" s="216"/>
      <c r="AL672" s="217"/>
      <c r="AM672" s="218"/>
      <c r="AP672" s="245"/>
      <c r="AQ672" s="245"/>
      <c r="AR672" s="245"/>
      <c r="AS672" s="245"/>
      <c r="AT672" s="245"/>
      <c r="AU672" s="245"/>
      <c r="AV672" s="245"/>
      <c r="AW672" s="245"/>
      <c r="AX672" s="245"/>
      <c r="AY672" s="245"/>
      <c r="BA672" s="245"/>
      <c r="BB672" s="245"/>
      <c r="BC672" s="245"/>
      <c r="BD672" s="245"/>
      <c r="BE672" s="245"/>
    </row>
    <row r="673" spans="1:57" ht="14.25" hidden="1" customHeight="1" x14ac:dyDescent="0.2">
      <c r="A673" s="842"/>
      <c r="C673" s="279"/>
      <c r="D673" s="279"/>
      <c r="E673" s="199"/>
      <c r="I673" s="201"/>
      <c r="J673" s="223"/>
      <c r="K673" s="282"/>
      <c r="L673" s="225"/>
      <c r="M673" s="226"/>
      <c r="N673" s="209"/>
      <c r="O673" s="174"/>
      <c r="P673" s="209"/>
      <c r="Q673" s="209"/>
      <c r="R673" s="209"/>
      <c r="S673" s="209"/>
      <c r="U673" s="210"/>
      <c r="V673" s="211"/>
      <c r="W673" s="210"/>
      <c r="X673" s="210"/>
      <c r="Y673" s="210"/>
      <c r="Z673" s="212"/>
      <c r="AA673" s="210"/>
      <c r="AB673" s="213"/>
      <c r="AC673" s="214"/>
      <c r="AD673" s="214"/>
      <c r="AE673" s="215"/>
      <c r="AF673" s="214"/>
      <c r="AG673" s="214"/>
      <c r="AH673" s="215"/>
      <c r="AI673" s="216"/>
      <c r="AL673" s="217"/>
      <c r="AM673" s="218"/>
      <c r="AP673" s="245"/>
      <c r="AQ673" s="245"/>
      <c r="AR673" s="245"/>
      <c r="AS673" s="245"/>
      <c r="AT673" s="245"/>
      <c r="AU673" s="245"/>
      <c r="AV673" s="245"/>
      <c r="AW673" s="245"/>
      <c r="AX673" s="245"/>
      <c r="AY673" s="245"/>
      <c r="BA673" s="245"/>
      <c r="BB673" s="245"/>
      <c r="BC673" s="245"/>
      <c r="BD673" s="245"/>
      <c r="BE673" s="245"/>
    </row>
    <row r="674" spans="1:57" ht="14.25" hidden="1" customHeight="1" x14ac:dyDescent="0.2">
      <c r="A674" s="842"/>
      <c r="C674" s="279"/>
      <c r="D674" s="279"/>
      <c r="E674" s="199"/>
      <c r="I674" s="201"/>
      <c r="J674" s="223"/>
      <c r="K674" s="281"/>
      <c r="L674" s="225"/>
      <c r="M674" s="226"/>
      <c r="N674" s="209"/>
      <c r="O674" s="174"/>
      <c r="P674" s="209"/>
      <c r="Q674" s="209"/>
      <c r="R674" s="209"/>
      <c r="S674" s="209"/>
      <c r="U674" s="210"/>
      <c r="V674" s="211"/>
      <c r="W674" s="210"/>
      <c r="X674" s="210"/>
      <c r="Y674" s="210"/>
      <c r="Z674" s="212"/>
      <c r="AA674" s="210"/>
      <c r="AB674" s="213"/>
      <c r="AC674" s="214"/>
      <c r="AD674" s="214"/>
      <c r="AE674" s="215"/>
      <c r="AF674" s="214"/>
      <c r="AG674" s="214"/>
      <c r="AH674" s="215"/>
      <c r="AI674" s="216"/>
      <c r="AL674" s="217"/>
      <c r="AM674" s="218"/>
      <c r="AP674" s="245"/>
      <c r="AQ674" s="245"/>
      <c r="AR674" s="245"/>
      <c r="AS674" s="245"/>
      <c r="AT674" s="245"/>
      <c r="AU674" s="245"/>
      <c r="AV674" s="245"/>
      <c r="AW674" s="245"/>
      <c r="AX674" s="245"/>
      <c r="AY674" s="245"/>
      <c r="BA674" s="245"/>
      <c r="BB674" s="245"/>
      <c r="BC674" s="245"/>
      <c r="BD674" s="245"/>
      <c r="BE674" s="245"/>
    </row>
    <row r="675" spans="1:57" ht="14.25" hidden="1" customHeight="1" x14ac:dyDescent="0.2">
      <c r="A675" s="842"/>
      <c r="C675" s="279"/>
      <c r="D675" s="279"/>
      <c r="E675" s="199"/>
      <c r="I675" s="201"/>
      <c r="J675" s="223"/>
      <c r="K675" s="281"/>
      <c r="L675" s="225"/>
      <c r="M675" s="226"/>
      <c r="N675" s="209"/>
      <c r="O675" s="174"/>
      <c r="P675" s="209"/>
      <c r="Q675" s="209"/>
      <c r="R675" s="209"/>
      <c r="S675" s="209"/>
      <c r="U675" s="210"/>
      <c r="V675" s="211"/>
      <c r="W675" s="210"/>
      <c r="X675" s="210"/>
      <c r="Y675" s="210"/>
      <c r="Z675" s="212"/>
      <c r="AA675" s="210"/>
      <c r="AB675" s="213"/>
      <c r="AC675" s="214"/>
      <c r="AD675" s="214"/>
      <c r="AE675" s="215"/>
      <c r="AF675" s="214"/>
      <c r="AG675" s="214"/>
      <c r="AH675" s="215"/>
      <c r="AI675" s="216"/>
      <c r="AL675" s="217"/>
      <c r="AM675" s="218"/>
      <c r="AP675" s="245"/>
      <c r="AQ675" s="245"/>
      <c r="AR675" s="245"/>
      <c r="AS675" s="245"/>
      <c r="AT675" s="245"/>
      <c r="AU675" s="245"/>
      <c r="AV675" s="245"/>
      <c r="AW675" s="245"/>
      <c r="AX675" s="245"/>
      <c r="AY675" s="245"/>
      <c r="BA675" s="245"/>
      <c r="BB675" s="245"/>
      <c r="BC675" s="245"/>
      <c r="BD675" s="245"/>
      <c r="BE675" s="245"/>
    </row>
    <row r="676" spans="1:57" ht="14.25" hidden="1" customHeight="1" x14ac:dyDescent="0.2">
      <c r="A676" s="842"/>
      <c r="C676" s="279"/>
      <c r="D676" s="279"/>
      <c r="E676" s="199"/>
      <c r="I676" s="201"/>
      <c r="J676" s="223"/>
      <c r="K676" s="281"/>
      <c r="L676" s="225"/>
      <c r="M676" s="226"/>
      <c r="N676" s="209"/>
      <c r="O676" s="174"/>
      <c r="P676" s="209"/>
      <c r="Q676" s="209"/>
      <c r="R676" s="209"/>
      <c r="S676" s="209"/>
      <c r="U676" s="210"/>
      <c r="V676" s="211"/>
      <c r="W676" s="210"/>
      <c r="X676" s="210"/>
      <c r="Y676" s="210"/>
      <c r="Z676" s="212"/>
      <c r="AA676" s="210"/>
      <c r="AB676" s="213"/>
      <c r="AC676" s="214"/>
      <c r="AD676" s="214"/>
      <c r="AE676" s="215"/>
      <c r="AF676" s="214"/>
      <c r="AG676" s="214"/>
      <c r="AH676" s="215"/>
      <c r="AI676" s="216"/>
      <c r="AL676" s="217"/>
      <c r="AM676" s="218"/>
      <c r="AP676" s="245"/>
      <c r="AQ676" s="245"/>
      <c r="AR676" s="245"/>
      <c r="AS676" s="245"/>
      <c r="AT676" s="245"/>
      <c r="AU676" s="245"/>
      <c r="AV676" s="245"/>
      <c r="AW676" s="245"/>
      <c r="AX676" s="245"/>
      <c r="AY676" s="245"/>
      <c r="BA676" s="245"/>
      <c r="BB676" s="245"/>
      <c r="BC676" s="245"/>
      <c r="BD676" s="245"/>
      <c r="BE676" s="245"/>
    </row>
    <row r="677" spans="1:57" ht="14.25" hidden="1" customHeight="1" x14ac:dyDescent="0.2">
      <c r="A677" s="842"/>
      <c r="C677" s="279"/>
      <c r="D677" s="279"/>
      <c r="E677" s="199"/>
      <c r="I677" s="201"/>
      <c r="J677" s="223"/>
      <c r="K677" s="281"/>
      <c r="L677" s="225"/>
      <c r="M677" s="226"/>
      <c r="N677" s="209"/>
      <c r="O677" s="174"/>
      <c r="P677" s="209"/>
      <c r="Q677" s="209"/>
      <c r="R677" s="209"/>
      <c r="S677" s="209"/>
      <c r="U677" s="210"/>
      <c r="V677" s="211"/>
      <c r="W677" s="210"/>
      <c r="X677" s="210"/>
      <c r="Y677" s="210"/>
      <c r="Z677" s="212"/>
      <c r="AA677" s="210"/>
      <c r="AB677" s="213"/>
      <c r="AC677" s="214"/>
      <c r="AD677" s="214"/>
      <c r="AE677" s="215"/>
      <c r="AF677" s="214"/>
      <c r="AG677" s="214"/>
      <c r="AH677" s="215"/>
      <c r="AI677" s="216"/>
      <c r="AL677" s="217"/>
      <c r="AM677" s="218"/>
      <c r="AP677" s="245"/>
      <c r="AQ677" s="245"/>
      <c r="AR677" s="245"/>
      <c r="AS677" s="245"/>
      <c r="AT677" s="245"/>
      <c r="AU677" s="245"/>
      <c r="AV677" s="245"/>
      <c r="AW677" s="245"/>
      <c r="AX677" s="245"/>
      <c r="AY677" s="245"/>
      <c r="BA677" s="245"/>
      <c r="BB677" s="245"/>
      <c r="BC677" s="245"/>
      <c r="BD677" s="245"/>
      <c r="BE677" s="245"/>
    </row>
    <row r="678" spans="1:57" ht="14.25" hidden="1" customHeight="1" x14ac:dyDescent="0.2">
      <c r="A678" s="842"/>
      <c r="C678" s="279"/>
      <c r="D678" s="279"/>
      <c r="E678" s="199"/>
      <c r="I678" s="201"/>
      <c r="J678" s="169"/>
      <c r="K678" s="281"/>
      <c r="L678" s="228"/>
      <c r="M678" s="228"/>
      <c r="N678" s="228"/>
      <c r="O678" s="174"/>
      <c r="P678" s="209"/>
      <c r="Q678" s="209"/>
      <c r="R678" s="209"/>
      <c r="S678" s="209"/>
      <c r="U678" s="210"/>
      <c r="V678" s="211"/>
      <c r="W678" s="210"/>
      <c r="X678" s="210"/>
      <c r="Y678" s="210"/>
      <c r="Z678" s="212"/>
      <c r="AA678" s="210"/>
      <c r="AB678" s="213"/>
      <c r="AC678" s="214"/>
      <c r="AD678" s="214"/>
      <c r="AE678" s="215"/>
      <c r="AF678" s="214"/>
      <c r="AG678" s="214"/>
      <c r="AH678" s="215"/>
      <c r="AI678" s="216"/>
      <c r="AL678" s="217"/>
      <c r="AM678" s="218"/>
      <c r="AP678" s="245"/>
      <c r="AQ678" s="245"/>
      <c r="AR678" s="245"/>
      <c r="AS678" s="245"/>
      <c r="AT678" s="245"/>
      <c r="AU678" s="245"/>
      <c r="AV678" s="245"/>
      <c r="AW678" s="245"/>
      <c r="AX678" s="245"/>
      <c r="AY678" s="245"/>
      <c r="BA678" s="245"/>
      <c r="BB678" s="245"/>
      <c r="BC678" s="245"/>
      <c r="BD678" s="245"/>
      <c r="BE678" s="245"/>
    </row>
    <row r="679" spans="1:57" ht="14.25" hidden="1" customHeight="1" x14ac:dyDescent="0.2">
      <c r="A679" s="842"/>
      <c r="E679" s="247"/>
      <c r="F679" s="248"/>
      <c r="G679" s="248"/>
      <c r="H679" s="248"/>
      <c r="I679" s="247"/>
      <c r="J679" s="172"/>
      <c r="K679" s="228"/>
      <c r="L679" s="228"/>
      <c r="M679" s="228"/>
      <c r="N679" s="228"/>
      <c r="O679" s="174"/>
      <c r="P679" s="209"/>
      <c r="Q679" s="209"/>
      <c r="R679" s="209"/>
      <c r="S679" s="209"/>
      <c r="W679" s="231"/>
      <c r="AC679" s="233"/>
      <c r="AD679" s="233"/>
      <c r="AE679" s="234"/>
      <c r="AF679" s="233"/>
      <c r="AG679" s="233"/>
      <c r="AH679" s="234"/>
      <c r="AI679" s="234"/>
      <c r="AP679" s="245"/>
      <c r="AQ679" s="245"/>
      <c r="AR679" s="245"/>
      <c r="AS679" s="245"/>
      <c r="AT679" s="245"/>
      <c r="AU679" s="245"/>
      <c r="AV679" s="245"/>
      <c r="AW679" s="245"/>
      <c r="AX679" s="245"/>
      <c r="AY679" s="245"/>
      <c r="BA679" s="245"/>
      <c r="BB679" s="245"/>
      <c r="BC679" s="245"/>
      <c r="BD679" s="245"/>
      <c r="BE679" s="245"/>
    </row>
    <row r="680" spans="1:57" ht="14.25" hidden="1" customHeight="1" x14ac:dyDescent="0.2">
      <c r="A680" s="842"/>
      <c r="E680" s="224"/>
      <c r="F680" s="225"/>
      <c r="G680" s="226"/>
      <c r="H680" s="209"/>
      <c r="I680" s="227"/>
      <c r="J680" s="169"/>
      <c r="K680" s="228"/>
      <c r="L680" s="225"/>
      <c r="M680" s="226"/>
      <c r="N680" s="209"/>
      <c r="O680" s="174"/>
      <c r="P680" s="209"/>
      <c r="Q680" s="209"/>
      <c r="R680" s="209"/>
      <c r="S680" s="209"/>
      <c r="W680" s="231"/>
      <c r="AC680" s="233"/>
      <c r="AD680" s="233"/>
      <c r="AE680" s="234"/>
      <c r="AF680" s="233"/>
      <c r="AG680" s="233"/>
      <c r="AH680" s="234"/>
      <c r="AI680" s="197"/>
      <c r="AP680" s="245"/>
      <c r="AQ680" s="245"/>
      <c r="AR680" s="245"/>
      <c r="AS680" s="245"/>
      <c r="AT680" s="245"/>
      <c r="AU680" s="245"/>
      <c r="AV680" s="245"/>
      <c r="AW680" s="245"/>
      <c r="AX680" s="245"/>
      <c r="AY680" s="245"/>
      <c r="BA680" s="245"/>
      <c r="BB680" s="245"/>
      <c r="BC680" s="245"/>
      <c r="BD680" s="245"/>
      <c r="BE680" s="245"/>
    </row>
    <row r="681" spans="1:57" ht="14.25" hidden="1" customHeight="1" x14ac:dyDescent="0.2">
      <c r="A681" s="842"/>
      <c r="B681" s="187"/>
      <c r="C681" s="188"/>
      <c r="D681" s="188"/>
      <c r="E681" s="844"/>
      <c r="F681" s="844"/>
      <c r="G681" s="844"/>
      <c r="H681" s="844"/>
      <c r="I681" s="189"/>
      <c r="J681" s="190"/>
      <c r="K681" s="191"/>
      <c r="L681" s="192"/>
      <c r="U681" s="229"/>
      <c r="V681" s="230"/>
      <c r="W681" s="231"/>
      <c r="X681" s="231"/>
      <c r="Y681" s="231"/>
      <c r="Z681" s="232"/>
      <c r="AA681" s="231"/>
      <c r="AC681" s="197"/>
      <c r="AD681" s="197"/>
      <c r="AE681" s="197"/>
      <c r="AF681" s="197"/>
      <c r="AG681" s="197"/>
      <c r="AH681" s="197"/>
      <c r="AI681" s="197"/>
      <c r="AQ681" s="245"/>
      <c r="AR681" s="245"/>
      <c r="AS681" s="245"/>
      <c r="AT681" s="245"/>
    </row>
    <row r="682" spans="1:57" ht="9" hidden="1" customHeight="1" x14ac:dyDescent="0.2">
      <c r="A682" s="842"/>
      <c r="J682" s="169"/>
      <c r="K682" s="228"/>
      <c r="L682" s="225"/>
      <c r="M682" s="226"/>
      <c r="N682" s="209"/>
      <c r="O682" s="174"/>
      <c r="P682" s="209"/>
      <c r="Q682" s="209"/>
      <c r="R682" s="209"/>
      <c r="S682" s="209"/>
      <c r="AP682" s="245"/>
      <c r="AQ682" s="245"/>
      <c r="AR682" s="245"/>
      <c r="AS682" s="245"/>
      <c r="AT682" s="245"/>
      <c r="AU682" s="245"/>
      <c r="AV682" s="245"/>
      <c r="AW682" s="245"/>
      <c r="AX682" s="245"/>
      <c r="AY682" s="245"/>
      <c r="BA682" s="245"/>
      <c r="BB682" s="245"/>
      <c r="BC682" s="245"/>
      <c r="BD682" s="245"/>
      <c r="BE682" s="245"/>
    </row>
    <row r="683" spans="1:57" ht="14.25" hidden="1" customHeight="1" x14ac:dyDescent="0.2">
      <c r="A683" s="842"/>
      <c r="C683" s="279"/>
      <c r="D683" s="279"/>
      <c r="E683" s="199"/>
      <c r="I683" s="201"/>
      <c r="J683" s="207"/>
      <c r="K683" s="280"/>
      <c r="L683" s="225"/>
      <c r="M683" s="226"/>
      <c r="N683" s="209"/>
      <c r="O683" s="174"/>
      <c r="P683" s="209"/>
      <c r="Q683" s="209"/>
      <c r="R683" s="209"/>
      <c r="S683" s="209"/>
      <c r="U683" s="210"/>
      <c r="V683" s="211"/>
      <c r="W683" s="210"/>
      <c r="X683" s="210"/>
      <c r="Y683" s="210"/>
      <c r="Z683" s="212"/>
      <c r="AA683" s="210"/>
      <c r="AB683" s="213"/>
      <c r="AC683" s="214"/>
      <c r="AD683" s="214"/>
      <c r="AE683" s="215"/>
      <c r="AF683" s="214"/>
      <c r="AG683" s="214"/>
      <c r="AH683" s="215"/>
      <c r="AI683" s="216"/>
      <c r="AL683" s="217"/>
      <c r="AM683" s="218"/>
      <c r="AQ683" s="245"/>
      <c r="AR683" s="245"/>
      <c r="AS683" s="245"/>
      <c r="AT683" s="245"/>
    </row>
    <row r="684" spans="1:57" ht="14.25" hidden="1" customHeight="1" x14ac:dyDescent="0.2">
      <c r="A684" s="842"/>
      <c r="C684" s="279"/>
      <c r="D684" s="279"/>
      <c r="E684" s="199"/>
      <c r="I684" s="201"/>
      <c r="J684" s="207"/>
      <c r="K684" s="281"/>
      <c r="L684" s="225"/>
      <c r="M684" s="226"/>
      <c r="N684" s="209"/>
      <c r="O684" s="174"/>
      <c r="U684" s="210"/>
      <c r="V684" s="211"/>
      <c r="W684" s="210"/>
      <c r="X684" s="210"/>
      <c r="Y684" s="210"/>
      <c r="Z684" s="212"/>
      <c r="AA684" s="210"/>
      <c r="AB684" s="213"/>
      <c r="AC684" s="214"/>
      <c r="AD684" s="214"/>
      <c r="AE684" s="215"/>
      <c r="AF684" s="214"/>
      <c r="AG684" s="214"/>
      <c r="AH684" s="215"/>
      <c r="AI684" s="216"/>
      <c r="AL684" s="217"/>
      <c r="AM684" s="218"/>
    </row>
    <row r="685" spans="1:57" ht="14.25" hidden="1" customHeight="1" x14ac:dyDescent="0.2">
      <c r="A685" s="842"/>
      <c r="C685" s="279"/>
      <c r="D685" s="279"/>
      <c r="E685" s="199"/>
      <c r="I685" s="201"/>
      <c r="J685" s="207"/>
      <c r="K685" s="281"/>
      <c r="L685" s="225"/>
      <c r="M685" s="226"/>
      <c r="N685" s="209"/>
      <c r="O685" s="174"/>
      <c r="U685" s="210"/>
      <c r="V685" s="211"/>
      <c r="W685" s="210"/>
      <c r="X685" s="210"/>
      <c r="Y685" s="210"/>
      <c r="Z685" s="212"/>
      <c r="AA685" s="210"/>
      <c r="AB685" s="213"/>
      <c r="AC685" s="214"/>
      <c r="AD685" s="214"/>
      <c r="AE685" s="215"/>
      <c r="AF685" s="214"/>
      <c r="AG685" s="214"/>
      <c r="AH685" s="215"/>
      <c r="AI685" s="216"/>
      <c r="AL685" s="217"/>
      <c r="AM685" s="218"/>
    </row>
    <row r="686" spans="1:57" ht="14.25" hidden="1" customHeight="1" x14ac:dyDescent="0.2">
      <c r="A686" s="842"/>
      <c r="C686" s="279"/>
      <c r="D686" s="279"/>
      <c r="E686" s="199"/>
      <c r="I686" s="201"/>
      <c r="J686" s="207"/>
      <c r="K686" s="281"/>
      <c r="L686" s="225"/>
      <c r="M686" s="226"/>
      <c r="N686" s="209"/>
      <c r="O686" s="174"/>
      <c r="U686" s="210"/>
      <c r="V686" s="211"/>
      <c r="W686" s="210"/>
      <c r="X686" s="210"/>
      <c r="Y686" s="210"/>
      <c r="Z686" s="212"/>
      <c r="AA686" s="210"/>
      <c r="AB686" s="213"/>
      <c r="AC686" s="214"/>
      <c r="AD686" s="214"/>
      <c r="AE686" s="215"/>
      <c r="AF686" s="214"/>
      <c r="AG686" s="214"/>
      <c r="AH686" s="215"/>
      <c r="AI686" s="216"/>
      <c r="AL686" s="217"/>
      <c r="AM686" s="218"/>
      <c r="AP686" s="245"/>
      <c r="AQ686" s="245"/>
      <c r="AR686" s="245"/>
      <c r="AS686" s="245"/>
      <c r="AT686" s="245"/>
      <c r="AU686" s="245"/>
      <c r="AV686" s="245"/>
      <c r="AW686" s="245"/>
      <c r="AX686" s="245"/>
      <c r="AY686" s="245"/>
      <c r="BA686" s="245"/>
      <c r="BB686" s="245"/>
      <c r="BC686" s="245"/>
      <c r="BD686" s="245"/>
      <c r="BE686" s="245"/>
    </row>
    <row r="687" spans="1:57" ht="14.25" hidden="1" customHeight="1" x14ac:dyDescent="0.2">
      <c r="A687" s="842"/>
      <c r="C687" s="279"/>
      <c r="D687" s="279"/>
      <c r="E687" s="199"/>
      <c r="I687" s="201"/>
      <c r="J687" s="223"/>
      <c r="K687" s="281"/>
      <c r="L687" s="225"/>
      <c r="M687" s="226"/>
      <c r="N687" s="209"/>
      <c r="O687" s="174"/>
      <c r="P687" s="209"/>
      <c r="Q687" s="209"/>
      <c r="R687" s="209"/>
      <c r="S687" s="209"/>
      <c r="U687" s="210"/>
      <c r="V687" s="211"/>
      <c r="W687" s="210"/>
      <c r="X687" s="210"/>
      <c r="Y687" s="210"/>
      <c r="Z687" s="212"/>
      <c r="AA687" s="210"/>
      <c r="AB687" s="213"/>
      <c r="AC687" s="214"/>
      <c r="AD687" s="214"/>
      <c r="AE687" s="215"/>
      <c r="AF687" s="214"/>
      <c r="AG687" s="214"/>
      <c r="AH687" s="215"/>
      <c r="AI687" s="216"/>
      <c r="AL687" s="217"/>
      <c r="AM687" s="218"/>
      <c r="AP687" s="245"/>
      <c r="AQ687" s="245"/>
      <c r="AR687" s="245"/>
      <c r="AS687" s="245"/>
      <c r="AT687" s="245"/>
      <c r="AU687" s="245"/>
      <c r="AV687" s="245"/>
      <c r="AW687" s="245"/>
      <c r="AX687" s="245"/>
      <c r="AY687" s="245"/>
      <c r="BA687" s="245"/>
      <c r="BB687" s="245"/>
      <c r="BC687" s="245"/>
      <c r="BD687" s="245"/>
      <c r="BE687" s="245"/>
    </row>
    <row r="688" spans="1:57" ht="14.25" hidden="1" customHeight="1" x14ac:dyDescent="0.2">
      <c r="A688" s="842"/>
      <c r="C688" s="279"/>
      <c r="D688" s="279"/>
      <c r="E688" s="199"/>
      <c r="I688" s="201"/>
      <c r="J688" s="223"/>
      <c r="K688" s="281"/>
      <c r="L688" s="225"/>
      <c r="M688" s="226"/>
      <c r="N688" s="209"/>
      <c r="O688" s="174"/>
      <c r="P688" s="209"/>
      <c r="Q688" s="209"/>
      <c r="R688" s="209"/>
      <c r="S688" s="209"/>
      <c r="U688" s="210"/>
      <c r="V688" s="211"/>
      <c r="W688" s="210"/>
      <c r="X688" s="210"/>
      <c r="Y688" s="210"/>
      <c r="Z688" s="212"/>
      <c r="AA688" s="210"/>
      <c r="AB688" s="213"/>
      <c r="AC688" s="214"/>
      <c r="AD688" s="214"/>
      <c r="AE688" s="215"/>
      <c r="AF688" s="214"/>
      <c r="AG688" s="214"/>
      <c r="AH688" s="215"/>
      <c r="AI688" s="216"/>
      <c r="AL688" s="217"/>
      <c r="AM688" s="218"/>
      <c r="AP688" s="245"/>
      <c r="AQ688" s="245"/>
      <c r="AR688" s="245"/>
      <c r="AS688" s="245"/>
      <c r="AT688" s="245"/>
      <c r="AU688" s="245"/>
      <c r="AV688" s="245"/>
      <c r="AW688" s="245"/>
      <c r="AX688" s="245"/>
      <c r="AY688" s="245"/>
      <c r="BA688" s="245"/>
      <c r="BB688" s="245"/>
      <c r="BC688" s="245"/>
      <c r="BD688" s="245"/>
      <c r="BE688" s="245"/>
    </row>
    <row r="689" spans="1:57" ht="14.25" hidden="1" customHeight="1" x14ac:dyDescent="0.2">
      <c r="A689" s="842"/>
      <c r="C689" s="279"/>
      <c r="D689" s="279"/>
      <c r="E689" s="199"/>
      <c r="I689" s="201"/>
      <c r="J689" s="223"/>
      <c r="K689" s="282"/>
      <c r="L689" s="225"/>
      <c r="M689" s="226"/>
      <c r="N689" s="209"/>
      <c r="O689" s="174"/>
      <c r="P689" s="209"/>
      <c r="Q689" s="209"/>
      <c r="R689" s="209"/>
      <c r="S689" s="209"/>
      <c r="U689" s="210"/>
      <c r="V689" s="211"/>
      <c r="W689" s="210"/>
      <c r="X689" s="210"/>
      <c r="Y689" s="210"/>
      <c r="Z689" s="212"/>
      <c r="AA689" s="210"/>
      <c r="AB689" s="213"/>
      <c r="AC689" s="214"/>
      <c r="AD689" s="214"/>
      <c r="AE689" s="215"/>
      <c r="AF689" s="214"/>
      <c r="AG689" s="214"/>
      <c r="AH689" s="215"/>
      <c r="AI689" s="216"/>
      <c r="AL689" s="217"/>
      <c r="AM689" s="218"/>
      <c r="AP689" s="245"/>
      <c r="AQ689" s="245"/>
      <c r="AR689" s="245"/>
      <c r="AS689" s="245"/>
      <c r="AT689" s="245"/>
      <c r="AU689" s="245"/>
      <c r="AV689" s="245"/>
      <c r="AW689" s="245"/>
      <c r="AX689" s="245"/>
      <c r="AY689" s="245"/>
      <c r="BA689" s="245"/>
      <c r="BB689" s="245"/>
      <c r="BC689" s="245"/>
      <c r="BD689" s="245"/>
      <c r="BE689" s="245"/>
    </row>
    <row r="690" spans="1:57" ht="14.25" hidden="1" customHeight="1" x14ac:dyDescent="0.2">
      <c r="A690" s="842"/>
      <c r="C690" s="279"/>
      <c r="D690" s="279"/>
      <c r="E690" s="199"/>
      <c r="I690" s="201"/>
      <c r="J690" s="223"/>
      <c r="K690" s="281"/>
      <c r="L690" s="225"/>
      <c r="M690" s="226"/>
      <c r="N690" s="209"/>
      <c r="O690" s="174"/>
      <c r="P690" s="209"/>
      <c r="Q690" s="209"/>
      <c r="R690" s="209"/>
      <c r="S690" s="209"/>
      <c r="U690" s="210"/>
      <c r="V690" s="211"/>
      <c r="W690" s="210"/>
      <c r="X690" s="210"/>
      <c r="Y690" s="210"/>
      <c r="Z690" s="212"/>
      <c r="AA690" s="210"/>
      <c r="AB690" s="213"/>
      <c r="AC690" s="214"/>
      <c r="AD690" s="214"/>
      <c r="AE690" s="215"/>
      <c r="AF690" s="214"/>
      <c r="AG690" s="214"/>
      <c r="AH690" s="215"/>
      <c r="AI690" s="216"/>
      <c r="AL690" s="217"/>
      <c r="AM690" s="218"/>
      <c r="AP690" s="245"/>
      <c r="AQ690" s="245"/>
      <c r="AR690" s="245"/>
      <c r="AS690" s="245"/>
      <c r="AT690" s="245"/>
      <c r="AU690" s="245"/>
      <c r="AV690" s="245"/>
      <c r="AW690" s="245"/>
      <c r="AX690" s="245"/>
      <c r="AY690" s="245"/>
      <c r="BA690" s="245"/>
      <c r="BB690" s="245"/>
      <c r="BC690" s="245"/>
      <c r="BD690" s="245"/>
      <c r="BE690" s="245"/>
    </row>
    <row r="691" spans="1:57" ht="14.25" hidden="1" customHeight="1" x14ac:dyDescent="0.2">
      <c r="A691" s="842"/>
      <c r="C691" s="279"/>
      <c r="D691" s="279"/>
      <c r="E691" s="199"/>
      <c r="I691" s="201"/>
      <c r="J691" s="223"/>
      <c r="K691" s="281"/>
      <c r="L691" s="225"/>
      <c r="M691" s="226"/>
      <c r="N691" s="209"/>
      <c r="O691" s="174"/>
      <c r="P691" s="209"/>
      <c r="Q691" s="209"/>
      <c r="R691" s="209"/>
      <c r="S691" s="209"/>
      <c r="U691" s="210"/>
      <c r="V691" s="211"/>
      <c r="W691" s="210"/>
      <c r="X691" s="210"/>
      <c r="Y691" s="210"/>
      <c r="Z691" s="212"/>
      <c r="AA691" s="210"/>
      <c r="AB691" s="213"/>
      <c r="AC691" s="214"/>
      <c r="AD691" s="214"/>
      <c r="AE691" s="215"/>
      <c r="AF691" s="214"/>
      <c r="AG691" s="214"/>
      <c r="AH691" s="215"/>
      <c r="AI691" s="216"/>
      <c r="AL691" s="217"/>
      <c r="AM691" s="218"/>
      <c r="AP691" s="245"/>
      <c r="AQ691" s="245"/>
      <c r="AR691" s="245"/>
      <c r="AS691" s="245"/>
      <c r="AT691" s="245"/>
      <c r="AU691" s="245"/>
      <c r="AV691" s="245"/>
      <c r="AW691" s="245"/>
      <c r="AX691" s="245"/>
      <c r="AY691" s="245"/>
      <c r="BA691" s="245"/>
      <c r="BB691" s="245"/>
      <c r="BC691" s="245"/>
      <c r="BD691" s="245"/>
      <c r="BE691" s="245"/>
    </row>
    <row r="692" spans="1:57" ht="14.25" hidden="1" customHeight="1" x14ac:dyDescent="0.2">
      <c r="A692" s="842"/>
      <c r="C692" s="279"/>
      <c r="D692" s="279"/>
      <c r="E692" s="199"/>
      <c r="I692" s="201"/>
      <c r="J692" s="223"/>
      <c r="K692" s="281"/>
      <c r="L692" s="225"/>
      <c r="M692" s="226"/>
      <c r="N692" s="209"/>
      <c r="O692" s="174"/>
      <c r="P692" s="209"/>
      <c r="Q692" s="209"/>
      <c r="R692" s="209"/>
      <c r="S692" s="209"/>
      <c r="U692" s="210"/>
      <c r="V692" s="211"/>
      <c r="W692" s="210"/>
      <c r="X692" s="210"/>
      <c r="Y692" s="210"/>
      <c r="Z692" s="212"/>
      <c r="AA692" s="210"/>
      <c r="AB692" s="213"/>
      <c r="AC692" s="214"/>
      <c r="AD692" s="214"/>
      <c r="AE692" s="215"/>
      <c r="AF692" s="214"/>
      <c r="AG692" s="214"/>
      <c r="AH692" s="215"/>
      <c r="AI692" s="216"/>
      <c r="AL692" s="217"/>
      <c r="AM692" s="218"/>
      <c r="AP692" s="245"/>
      <c r="AQ692" s="245"/>
      <c r="AR692" s="245"/>
      <c r="AS692" s="245"/>
      <c r="AT692" s="245"/>
      <c r="AU692" s="245"/>
      <c r="AV692" s="245"/>
      <c r="AW692" s="245"/>
      <c r="AX692" s="245"/>
      <c r="AY692" s="245"/>
      <c r="BA692" s="245"/>
      <c r="BB692" s="245"/>
      <c r="BC692" s="245"/>
      <c r="BD692" s="245"/>
      <c r="BE692" s="245"/>
    </row>
    <row r="693" spans="1:57" ht="14.25" hidden="1" customHeight="1" x14ac:dyDescent="0.2">
      <c r="A693" s="842"/>
      <c r="C693" s="279"/>
      <c r="D693" s="279"/>
      <c r="E693" s="199"/>
      <c r="I693" s="201"/>
      <c r="J693" s="223"/>
      <c r="K693" s="281"/>
      <c r="L693" s="225"/>
      <c r="M693" s="226"/>
      <c r="N693" s="209"/>
      <c r="O693" s="174"/>
      <c r="P693" s="209"/>
      <c r="Q693" s="209"/>
      <c r="R693" s="209"/>
      <c r="S693" s="209"/>
      <c r="U693" s="210"/>
      <c r="V693" s="211"/>
      <c r="W693" s="210"/>
      <c r="X693" s="210"/>
      <c r="Y693" s="210"/>
      <c r="Z693" s="212"/>
      <c r="AA693" s="210"/>
      <c r="AB693" s="213"/>
      <c r="AC693" s="214"/>
      <c r="AD693" s="214"/>
      <c r="AE693" s="215"/>
      <c r="AF693" s="214"/>
      <c r="AG693" s="214"/>
      <c r="AH693" s="215"/>
      <c r="AI693" s="216"/>
      <c r="AL693" s="217"/>
      <c r="AM693" s="218"/>
      <c r="AP693" s="245"/>
      <c r="AQ693" s="245"/>
      <c r="AR693" s="245"/>
      <c r="AS693" s="245"/>
      <c r="AT693" s="245"/>
      <c r="AU693" s="245"/>
      <c r="AV693" s="245"/>
      <c r="AW693" s="245"/>
      <c r="AX693" s="245"/>
      <c r="AY693" s="245"/>
      <c r="BA693" s="245"/>
      <c r="BB693" s="245"/>
      <c r="BC693" s="245"/>
      <c r="BD693" s="245"/>
      <c r="BE693" s="245"/>
    </row>
    <row r="694" spans="1:57" ht="14.25" hidden="1" customHeight="1" x14ac:dyDescent="0.2">
      <c r="A694" s="842"/>
      <c r="C694" s="279"/>
      <c r="D694" s="279"/>
      <c r="E694" s="199"/>
      <c r="I694" s="201"/>
      <c r="J694" s="169"/>
      <c r="K694" s="281"/>
      <c r="L694" s="228"/>
      <c r="M694" s="228"/>
      <c r="N694" s="228"/>
      <c r="O694" s="174"/>
      <c r="P694" s="209"/>
      <c r="Q694" s="209"/>
      <c r="R694" s="209"/>
      <c r="S694" s="209"/>
      <c r="U694" s="210"/>
      <c r="V694" s="211"/>
      <c r="W694" s="210"/>
      <c r="X694" s="210"/>
      <c r="Y694" s="210"/>
      <c r="Z694" s="212"/>
      <c r="AA694" s="210"/>
      <c r="AB694" s="213"/>
      <c r="AC694" s="214"/>
      <c r="AD694" s="214"/>
      <c r="AE694" s="215"/>
      <c r="AF694" s="214"/>
      <c r="AG694" s="214"/>
      <c r="AH694" s="215"/>
      <c r="AI694" s="216"/>
      <c r="AL694" s="217"/>
      <c r="AM694" s="218"/>
      <c r="AP694" s="245"/>
      <c r="AQ694" s="245"/>
      <c r="AR694" s="245"/>
      <c r="AS694" s="245"/>
      <c r="AT694" s="245"/>
      <c r="AU694" s="245"/>
      <c r="AV694" s="245"/>
      <c r="AW694" s="245"/>
      <c r="AX694" s="245"/>
      <c r="AY694" s="245"/>
      <c r="BA694" s="245"/>
      <c r="BB694" s="245"/>
      <c r="BC694" s="245"/>
      <c r="BD694" s="245"/>
      <c r="BE694" s="245"/>
    </row>
    <row r="695" spans="1:57" ht="14.25" hidden="1" customHeight="1" x14ac:dyDescent="0.2">
      <c r="A695" s="842"/>
      <c r="E695" s="247"/>
      <c r="F695" s="248"/>
      <c r="G695" s="248"/>
      <c r="H695" s="248"/>
      <c r="I695" s="247"/>
      <c r="J695" s="172"/>
      <c r="K695" s="228"/>
      <c r="L695" s="228"/>
      <c r="M695" s="228"/>
      <c r="N695" s="228"/>
      <c r="O695" s="174"/>
      <c r="P695" s="209"/>
      <c r="Q695" s="209"/>
      <c r="R695" s="209"/>
      <c r="S695" s="209"/>
      <c r="W695" s="231"/>
      <c r="AC695" s="233"/>
      <c r="AD695" s="233"/>
      <c r="AE695" s="234"/>
      <c r="AF695" s="233"/>
      <c r="AG695" s="233"/>
      <c r="AH695" s="234"/>
      <c r="AI695" s="234"/>
      <c r="AP695" s="245"/>
      <c r="AQ695" s="245"/>
      <c r="AR695" s="245"/>
      <c r="AS695" s="245"/>
      <c r="AT695" s="245"/>
      <c r="AU695" s="245"/>
      <c r="AV695" s="245"/>
      <c r="AW695" s="245"/>
      <c r="AX695" s="245"/>
      <c r="AY695" s="245"/>
      <c r="BA695" s="245"/>
      <c r="BB695" s="245"/>
      <c r="BC695" s="245"/>
      <c r="BD695" s="245"/>
      <c r="BE695" s="245"/>
    </row>
    <row r="696" spans="1:57" ht="14.25" hidden="1" customHeight="1" x14ac:dyDescent="0.2">
      <c r="A696" s="842"/>
      <c r="E696" s="224"/>
      <c r="F696" s="225"/>
      <c r="G696" s="226"/>
      <c r="H696" s="209"/>
      <c r="I696" s="227"/>
      <c r="J696" s="169"/>
      <c r="K696" s="228"/>
      <c r="L696" s="225"/>
      <c r="M696" s="226"/>
      <c r="N696" s="209"/>
      <c r="O696" s="174"/>
      <c r="P696" s="209"/>
      <c r="Q696" s="209"/>
      <c r="R696" s="209"/>
      <c r="S696" s="209"/>
      <c r="W696" s="231"/>
      <c r="AC696" s="233"/>
      <c r="AD696" s="233"/>
      <c r="AE696" s="234"/>
      <c r="AF696" s="233"/>
      <c r="AG696" s="233"/>
      <c r="AH696" s="234"/>
      <c r="AI696" s="197"/>
      <c r="AP696" s="245"/>
      <c r="AQ696" s="245"/>
      <c r="AR696" s="245"/>
      <c r="AS696" s="245"/>
      <c r="AT696" s="245"/>
      <c r="AU696" s="245"/>
      <c r="AV696" s="245"/>
      <c r="AW696" s="245"/>
      <c r="AX696" s="245"/>
      <c r="AY696" s="245"/>
      <c r="BA696" s="245"/>
      <c r="BB696" s="245"/>
      <c r="BC696" s="245"/>
      <c r="BD696" s="245"/>
      <c r="BE696" s="245"/>
    </row>
    <row r="697" spans="1:57" ht="14.25" hidden="1" customHeight="1" x14ac:dyDescent="0.2">
      <c r="A697" s="842"/>
      <c r="B697" s="187"/>
      <c r="C697" s="188"/>
      <c r="D697" s="188"/>
      <c r="E697" s="844"/>
      <c r="F697" s="844"/>
      <c r="G697" s="844"/>
      <c r="H697" s="844"/>
      <c r="I697" s="189"/>
      <c r="J697" s="190"/>
      <c r="K697" s="191"/>
      <c r="L697" s="192"/>
      <c r="U697" s="229"/>
      <c r="V697" s="230"/>
      <c r="W697" s="231"/>
      <c r="X697" s="231"/>
      <c r="Y697" s="231"/>
      <c r="Z697" s="232"/>
      <c r="AA697" s="231"/>
      <c r="AC697" s="197"/>
      <c r="AD697" s="197"/>
      <c r="AE697" s="197"/>
      <c r="AF697" s="197"/>
      <c r="AG697" s="197"/>
      <c r="AH697" s="197"/>
      <c r="AI697" s="197"/>
      <c r="AQ697" s="245"/>
      <c r="AR697" s="245"/>
      <c r="AS697" s="245"/>
      <c r="AT697" s="245"/>
    </row>
    <row r="698" spans="1:57" ht="9" hidden="1" customHeight="1" x14ac:dyDescent="0.2">
      <c r="A698" s="842"/>
      <c r="J698" s="169"/>
      <c r="K698" s="228"/>
      <c r="L698" s="225"/>
      <c r="M698" s="226"/>
      <c r="N698" s="209"/>
      <c r="O698" s="174"/>
      <c r="P698" s="209"/>
      <c r="Q698" s="209"/>
      <c r="R698" s="209"/>
      <c r="S698" s="209"/>
      <c r="AP698" s="245"/>
      <c r="AQ698" s="245"/>
      <c r="AR698" s="245"/>
      <c r="AS698" s="245"/>
      <c r="AT698" s="245"/>
      <c r="AU698" s="245"/>
      <c r="AV698" s="245"/>
      <c r="AW698" s="245"/>
      <c r="AX698" s="245"/>
      <c r="AY698" s="245"/>
      <c r="BA698" s="245"/>
      <c r="BB698" s="245"/>
      <c r="BC698" s="245"/>
      <c r="BD698" s="245"/>
      <c r="BE698" s="245"/>
    </row>
    <row r="699" spans="1:57" ht="14.25" hidden="1" customHeight="1" x14ac:dyDescent="0.2">
      <c r="A699" s="842"/>
      <c r="C699" s="279"/>
      <c r="D699" s="279"/>
      <c r="E699" s="199"/>
      <c r="I699" s="201"/>
      <c r="J699" s="207"/>
      <c r="K699" s="280"/>
      <c r="L699" s="225"/>
      <c r="M699" s="226"/>
      <c r="N699" s="209"/>
      <c r="O699" s="174"/>
      <c r="P699" s="209"/>
      <c r="Q699" s="209"/>
      <c r="R699" s="209"/>
      <c r="S699" s="209"/>
      <c r="U699" s="210"/>
      <c r="V699" s="211"/>
      <c r="W699" s="210"/>
      <c r="X699" s="210"/>
      <c r="Y699" s="210"/>
      <c r="Z699" s="212"/>
      <c r="AA699" s="210"/>
      <c r="AB699" s="213"/>
      <c r="AC699" s="214"/>
      <c r="AD699" s="214"/>
      <c r="AE699" s="215"/>
      <c r="AF699" s="214"/>
      <c r="AG699" s="214"/>
      <c r="AH699" s="215"/>
      <c r="AI699" s="216"/>
      <c r="AL699" s="217"/>
      <c r="AM699" s="218"/>
      <c r="AQ699" s="245"/>
      <c r="AR699" s="245"/>
      <c r="AS699" s="245"/>
      <c r="AT699" s="245"/>
    </row>
    <row r="700" spans="1:57" ht="14.25" hidden="1" customHeight="1" x14ac:dyDescent="0.2">
      <c r="A700" s="842"/>
      <c r="C700" s="279"/>
      <c r="D700" s="279"/>
      <c r="E700" s="199"/>
      <c r="I700" s="201"/>
      <c r="J700" s="207"/>
      <c r="K700" s="281"/>
      <c r="L700" s="225"/>
      <c r="M700" s="226"/>
      <c r="N700" s="209"/>
      <c r="O700" s="174"/>
      <c r="U700" s="210"/>
      <c r="V700" s="211"/>
      <c r="W700" s="210"/>
      <c r="X700" s="210"/>
      <c r="Y700" s="210"/>
      <c r="Z700" s="212"/>
      <c r="AA700" s="210"/>
      <c r="AB700" s="213"/>
      <c r="AC700" s="214"/>
      <c r="AD700" s="214"/>
      <c r="AE700" s="215"/>
      <c r="AF700" s="214"/>
      <c r="AG700" s="214"/>
      <c r="AH700" s="215"/>
      <c r="AI700" s="216"/>
      <c r="AL700" s="217"/>
      <c r="AM700" s="218"/>
    </row>
    <row r="701" spans="1:57" ht="14.25" hidden="1" customHeight="1" x14ac:dyDescent="0.2">
      <c r="A701" s="842"/>
      <c r="C701" s="279"/>
      <c r="D701" s="279"/>
      <c r="E701" s="199"/>
      <c r="I701" s="201"/>
      <c r="J701" s="207"/>
      <c r="K701" s="281"/>
      <c r="L701" s="225"/>
      <c r="M701" s="226"/>
      <c r="N701" s="209"/>
      <c r="O701" s="174"/>
      <c r="U701" s="210"/>
      <c r="V701" s="211"/>
      <c r="W701" s="210"/>
      <c r="X701" s="210"/>
      <c r="Y701" s="210"/>
      <c r="Z701" s="212"/>
      <c r="AA701" s="210"/>
      <c r="AB701" s="213"/>
      <c r="AC701" s="214"/>
      <c r="AD701" s="214"/>
      <c r="AE701" s="215"/>
      <c r="AF701" s="214"/>
      <c r="AG701" s="214"/>
      <c r="AH701" s="215"/>
      <c r="AI701" s="216"/>
      <c r="AL701" s="217"/>
      <c r="AM701" s="218"/>
    </row>
    <row r="702" spans="1:57" ht="14.25" hidden="1" customHeight="1" x14ac:dyDescent="0.2">
      <c r="A702" s="842"/>
      <c r="C702" s="279"/>
      <c r="D702" s="279"/>
      <c r="E702" s="199"/>
      <c r="I702" s="201"/>
      <c r="J702" s="207"/>
      <c r="K702" s="281"/>
      <c r="L702" s="225"/>
      <c r="M702" s="226"/>
      <c r="N702" s="209"/>
      <c r="O702" s="174"/>
      <c r="U702" s="210"/>
      <c r="V702" s="211"/>
      <c r="W702" s="210"/>
      <c r="X702" s="210"/>
      <c r="Y702" s="210"/>
      <c r="Z702" s="212"/>
      <c r="AA702" s="210"/>
      <c r="AB702" s="213"/>
      <c r="AC702" s="214"/>
      <c r="AD702" s="214"/>
      <c r="AE702" s="215"/>
      <c r="AF702" s="214"/>
      <c r="AG702" s="214"/>
      <c r="AH702" s="215"/>
      <c r="AI702" s="216"/>
      <c r="AL702" s="217"/>
      <c r="AM702" s="218"/>
      <c r="AP702" s="245"/>
      <c r="AQ702" s="245"/>
      <c r="AR702" s="245"/>
      <c r="AS702" s="245"/>
      <c r="AT702" s="245"/>
      <c r="AU702" s="245"/>
      <c r="AV702" s="245"/>
      <c r="AW702" s="245"/>
      <c r="AX702" s="245"/>
      <c r="AY702" s="245"/>
      <c r="BA702" s="245"/>
      <c r="BB702" s="245"/>
      <c r="BC702" s="245"/>
      <c r="BD702" s="245"/>
      <c r="BE702" s="245"/>
    </row>
    <row r="703" spans="1:57" ht="14.25" hidden="1" customHeight="1" x14ac:dyDescent="0.2">
      <c r="A703" s="842"/>
      <c r="C703" s="279"/>
      <c r="D703" s="279"/>
      <c r="E703" s="199"/>
      <c r="I703" s="201"/>
      <c r="J703" s="223"/>
      <c r="K703" s="281"/>
      <c r="L703" s="225"/>
      <c r="M703" s="226"/>
      <c r="N703" s="209"/>
      <c r="O703" s="174"/>
      <c r="P703" s="209"/>
      <c r="Q703" s="209"/>
      <c r="R703" s="209"/>
      <c r="S703" s="209"/>
      <c r="U703" s="210"/>
      <c r="V703" s="211"/>
      <c r="W703" s="210"/>
      <c r="X703" s="210"/>
      <c r="Y703" s="210"/>
      <c r="Z703" s="212"/>
      <c r="AA703" s="210"/>
      <c r="AB703" s="213"/>
      <c r="AC703" s="214"/>
      <c r="AD703" s="214"/>
      <c r="AE703" s="215"/>
      <c r="AF703" s="214"/>
      <c r="AG703" s="214"/>
      <c r="AH703" s="215"/>
      <c r="AI703" s="216"/>
      <c r="AL703" s="217"/>
      <c r="AM703" s="218"/>
      <c r="AP703" s="245"/>
      <c r="AQ703" s="245"/>
      <c r="AR703" s="245"/>
      <c r="AS703" s="245"/>
      <c r="AT703" s="245"/>
      <c r="AU703" s="245"/>
      <c r="AV703" s="245"/>
      <c r="AW703" s="245"/>
      <c r="AX703" s="245"/>
      <c r="AY703" s="245"/>
      <c r="BA703" s="245"/>
      <c r="BB703" s="245"/>
      <c r="BC703" s="245"/>
      <c r="BD703" s="245"/>
      <c r="BE703" s="245"/>
    </row>
    <row r="704" spans="1:57" ht="14.25" hidden="1" customHeight="1" x14ac:dyDescent="0.2">
      <c r="A704" s="842"/>
      <c r="C704" s="279"/>
      <c r="D704" s="279"/>
      <c r="E704" s="199"/>
      <c r="I704" s="201"/>
      <c r="J704" s="223"/>
      <c r="K704" s="281"/>
      <c r="L704" s="225"/>
      <c r="M704" s="226"/>
      <c r="N704" s="209"/>
      <c r="O704" s="174"/>
      <c r="P704" s="209"/>
      <c r="Q704" s="209"/>
      <c r="R704" s="209"/>
      <c r="S704" s="209"/>
      <c r="U704" s="210"/>
      <c r="V704" s="211"/>
      <c r="W704" s="210"/>
      <c r="X704" s="210"/>
      <c r="Y704" s="210"/>
      <c r="Z704" s="212"/>
      <c r="AA704" s="210"/>
      <c r="AB704" s="213"/>
      <c r="AC704" s="214"/>
      <c r="AD704" s="214"/>
      <c r="AE704" s="215"/>
      <c r="AF704" s="214"/>
      <c r="AG704" s="214"/>
      <c r="AH704" s="215"/>
      <c r="AI704" s="216"/>
      <c r="AL704" s="217"/>
      <c r="AM704" s="218"/>
      <c r="AP704" s="245"/>
      <c r="AQ704" s="245"/>
      <c r="AR704" s="245"/>
      <c r="AS704" s="245"/>
      <c r="AT704" s="245"/>
      <c r="AU704" s="245"/>
      <c r="AV704" s="245"/>
      <c r="AW704" s="245"/>
      <c r="AX704" s="245"/>
      <c r="AY704" s="245"/>
      <c r="BA704" s="245"/>
      <c r="BB704" s="245"/>
      <c r="BC704" s="245"/>
      <c r="BD704" s="245"/>
      <c r="BE704" s="245"/>
    </row>
    <row r="705" spans="1:57" ht="14.25" hidden="1" customHeight="1" x14ac:dyDescent="0.2">
      <c r="A705" s="842"/>
      <c r="C705" s="279"/>
      <c r="D705" s="279"/>
      <c r="E705" s="199"/>
      <c r="I705" s="201"/>
      <c r="J705" s="223"/>
      <c r="K705" s="282"/>
      <c r="L705" s="225"/>
      <c r="M705" s="226"/>
      <c r="N705" s="209"/>
      <c r="O705" s="174"/>
      <c r="P705" s="209"/>
      <c r="Q705" s="209"/>
      <c r="R705" s="209"/>
      <c r="S705" s="209"/>
      <c r="U705" s="210"/>
      <c r="V705" s="211"/>
      <c r="W705" s="210"/>
      <c r="X705" s="210"/>
      <c r="Y705" s="210"/>
      <c r="Z705" s="212"/>
      <c r="AA705" s="210"/>
      <c r="AB705" s="213"/>
      <c r="AC705" s="214"/>
      <c r="AD705" s="214"/>
      <c r="AE705" s="215"/>
      <c r="AF705" s="214"/>
      <c r="AG705" s="214"/>
      <c r="AH705" s="215"/>
      <c r="AI705" s="216"/>
      <c r="AL705" s="217"/>
      <c r="AM705" s="218"/>
      <c r="AP705" s="245"/>
      <c r="AQ705" s="245"/>
      <c r="AR705" s="245"/>
      <c r="AS705" s="245"/>
      <c r="AT705" s="245"/>
      <c r="AU705" s="245"/>
      <c r="AV705" s="245"/>
      <c r="AW705" s="245"/>
      <c r="AX705" s="245"/>
      <c r="AY705" s="245"/>
      <c r="BA705" s="245"/>
      <c r="BB705" s="245"/>
      <c r="BC705" s="245"/>
      <c r="BD705" s="245"/>
      <c r="BE705" s="245"/>
    </row>
    <row r="706" spans="1:57" ht="14.25" hidden="1" customHeight="1" x14ac:dyDescent="0.2">
      <c r="A706" s="842"/>
      <c r="C706" s="279"/>
      <c r="D706" s="279"/>
      <c r="E706" s="199"/>
      <c r="I706" s="201"/>
      <c r="J706" s="223"/>
      <c r="K706" s="281"/>
      <c r="L706" s="225"/>
      <c r="M706" s="226"/>
      <c r="N706" s="209"/>
      <c r="O706" s="174"/>
      <c r="P706" s="209"/>
      <c r="Q706" s="209"/>
      <c r="R706" s="209"/>
      <c r="S706" s="209"/>
      <c r="U706" s="210"/>
      <c r="V706" s="211"/>
      <c r="W706" s="210"/>
      <c r="X706" s="210"/>
      <c r="Y706" s="210"/>
      <c r="Z706" s="212"/>
      <c r="AA706" s="210"/>
      <c r="AB706" s="213"/>
      <c r="AC706" s="214"/>
      <c r="AD706" s="214"/>
      <c r="AE706" s="215"/>
      <c r="AF706" s="214"/>
      <c r="AG706" s="214"/>
      <c r="AH706" s="215"/>
      <c r="AI706" s="216"/>
      <c r="AL706" s="217"/>
      <c r="AM706" s="218"/>
      <c r="AP706" s="245"/>
      <c r="AQ706" s="245"/>
      <c r="AR706" s="245"/>
      <c r="AS706" s="245"/>
      <c r="AT706" s="245"/>
      <c r="AU706" s="245"/>
      <c r="AV706" s="245"/>
      <c r="AW706" s="245"/>
      <c r="AX706" s="245"/>
      <c r="AY706" s="245"/>
      <c r="BA706" s="245"/>
      <c r="BB706" s="245"/>
      <c r="BC706" s="245"/>
      <c r="BD706" s="245"/>
      <c r="BE706" s="245"/>
    </row>
    <row r="707" spans="1:57" ht="14.25" hidden="1" customHeight="1" x14ac:dyDescent="0.2">
      <c r="A707" s="842"/>
      <c r="C707" s="279"/>
      <c r="D707" s="279"/>
      <c r="E707" s="199"/>
      <c r="I707" s="201"/>
      <c r="J707" s="223"/>
      <c r="K707" s="281"/>
      <c r="L707" s="225"/>
      <c r="M707" s="226"/>
      <c r="N707" s="209"/>
      <c r="O707" s="174"/>
      <c r="P707" s="209"/>
      <c r="Q707" s="209"/>
      <c r="R707" s="209"/>
      <c r="S707" s="209"/>
      <c r="U707" s="210"/>
      <c r="V707" s="211"/>
      <c r="W707" s="210"/>
      <c r="X707" s="210"/>
      <c r="Y707" s="210"/>
      <c r="Z707" s="212"/>
      <c r="AA707" s="210"/>
      <c r="AB707" s="213"/>
      <c r="AC707" s="214"/>
      <c r="AD707" s="214"/>
      <c r="AE707" s="215"/>
      <c r="AF707" s="214"/>
      <c r="AG707" s="214"/>
      <c r="AH707" s="215"/>
      <c r="AI707" s="216"/>
      <c r="AL707" s="217"/>
      <c r="AM707" s="218"/>
      <c r="AP707" s="245"/>
      <c r="AQ707" s="245"/>
      <c r="AR707" s="245"/>
      <c r="AS707" s="245"/>
      <c r="AT707" s="245"/>
      <c r="AU707" s="245"/>
      <c r="AV707" s="245"/>
      <c r="AW707" s="245"/>
      <c r="AX707" s="245"/>
      <c r="AY707" s="245"/>
      <c r="BA707" s="245"/>
      <c r="BB707" s="245"/>
      <c r="BC707" s="245"/>
      <c r="BD707" s="245"/>
      <c r="BE707" s="245"/>
    </row>
    <row r="708" spans="1:57" ht="14.25" hidden="1" customHeight="1" x14ac:dyDescent="0.2">
      <c r="A708" s="842"/>
      <c r="C708" s="279"/>
      <c r="D708" s="279"/>
      <c r="E708" s="199"/>
      <c r="I708" s="201"/>
      <c r="J708" s="223"/>
      <c r="K708" s="281"/>
      <c r="L708" s="225"/>
      <c r="M708" s="226"/>
      <c r="N708" s="209"/>
      <c r="O708" s="174"/>
      <c r="P708" s="209"/>
      <c r="Q708" s="209"/>
      <c r="R708" s="209"/>
      <c r="S708" s="209"/>
      <c r="U708" s="210"/>
      <c r="V708" s="211"/>
      <c r="W708" s="210"/>
      <c r="X708" s="210"/>
      <c r="Y708" s="210"/>
      <c r="Z708" s="212"/>
      <c r="AA708" s="210"/>
      <c r="AB708" s="213"/>
      <c r="AC708" s="214"/>
      <c r="AD708" s="214"/>
      <c r="AE708" s="215"/>
      <c r="AF708" s="214"/>
      <c r="AG708" s="214"/>
      <c r="AH708" s="215"/>
      <c r="AI708" s="216"/>
      <c r="AL708" s="217"/>
      <c r="AM708" s="218"/>
      <c r="AP708" s="245"/>
      <c r="AQ708" s="245"/>
      <c r="AR708" s="245"/>
      <c r="AS708" s="245"/>
      <c r="AT708" s="245"/>
      <c r="AU708" s="245"/>
      <c r="AV708" s="245"/>
      <c r="AW708" s="245"/>
      <c r="AX708" s="245"/>
      <c r="AY708" s="245"/>
      <c r="BA708" s="245"/>
      <c r="BB708" s="245"/>
      <c r="BC708" s="245"/>
      <c r="BD708" s="245"/>
      <c r="BE708" s="245"/>
    </row>
    <row r="709" spans="1:57" ht="14.25" hidden="1" customHeight="1" x14ac:dyDescent="0.2">
      <c r="A709" s="842"/>
      <c r="C709" s="279"/>
      <c r="D709" s="279"/>
      <c r="E709" s="199"/>
      <c r="I709" s="201"/>
      <c r="J709" s="223"/>
      <c r="K709" s="281"/>
      <c r="L709" s="225"/>
      <c r="M709" s="226"/>
      <c r="N709" s="209"/>
      <c r="O709" s="174"/>
      <c r="P709" s="209"/>
      <c r="Q709" s="209"/>
      <c r="R709" s="209"/>
      <c r="S709" s="209"/>
      <c r="U709" s="210"/>
      <c r="V709" s="211"/>
      <c r="W709" s="210"/>
      <c r="X709" s="210"/>
      <c r="Y709" s="210"/>
      <c r="Z709" s="212"/>
      <c r="AA709" s="210"/>
      <c r="AB709" s="213"/>
      <c r="AC709" s="214"/>
      <c r="AD709" s="214"/>
      <c r="AE709" s="215"/>
      <c r="AF709" s="214"/>
      <c r="AG709" s="214"/>
      <c r="AH709" s="215"/>
      <c r="AI709" s="216"/>
      <c r="AL709" s="217"/>
      <c r="AM709" s="218"/>
      <c r="AP709" s="245"/>
      <c r="AQ709" s="245"/>
      <c r="AR709" s="245"/>
      <c r="AS709" s="245"/>
      <c r="AT709" s="245"/>
      <c r="AU709" s="245"/>
      <c r="AV709" s="245"/>
      <c r="AW709" s="245"/>
      <c r="AX709" s="245"/>
      <c r="AY709" s="245"/>
      <c r="BA709" s="245"/>
      <c r="BB709" s="245"/>
      <c r="BC709" s="245"/>
      <c r="BD709" s="245"/>
      <c r="BE709" s="245"/>
    </row>
    <row r="710" spans="1:57" ht="14.25" hidden="1" customHeight="1" x14ac:dyDescent="0.2">
      <c r="A710" s="842"/>
      <c r="C710" s="279"/>
      <c r="D710" s="279"/>
      <c r="E710" s="199"/>
      <c r="I710" s="201"/>
      <c r="J710" s="169"/>
      <c r="K710" s="281"/>
      <c r="L710" s="228"/>
      <c r="M710" s="228"/>
      <c r="N710" s="228"/>
      <c r="O710" s="174"/>
      <c r="P710" s="209"/>
      <c r="Q710" s="209"/>
      <c r="R710" s="209"/>
      <c r="S710" s="209"/>
      <c r="U710" s="210"/>
      <c r="V710" s="211"/>
      <c r="W710" s="210"/>
      <c r="X710" s="210"/>
      <c r="Y710" s="210"/>
      <c r="Z710" s="212"/>
      <c r="AA710" s="210"/>
      <c r="AB710" s="213"/>
      <c r="AC710" s="214"/>
      <c r="AD710" s="214"/>
      <c r="AE710" s="215"/>
      <c r="AF710" s="214"/>
      <c r="AG710" s="214"/>
      <c r="AH710" s="215"/>
      <c r="AI710" s="216"/>
      <c r="AL710" s="217"/>
      <c r="AM710" s="218"/>
      <c r="AP710" s="245"/>
      <c r="AQ710" s="245"/>
      <c r="AR710" s="245"/>
      <c r="AS710" s="245"/>
      <c r="AT710" s="245"/>
      <c r="AU710" s="245"/>
      <c r="AV710" s="245"/>
      <c r="AW710" s="245"/>
      <c r="AX710" s="245"/>
      <c r="AY710" s="245"/>
      <c r="BA710" s="245"/>
      <c r="BB710" s="245"/>
      <c r="BC710" s="245"/>
      <c r="BD710" s="245"/>
      <c r="BE710" s="245"/>
    </row>
    <row r="711" spans="1:57" ht="14.25" hidden="1" customHeight="1" x14ac:dyDescent="0.2">
      <c r="A711" s="842"/>
      <c r="E711" s="247"/>
      <c r="F711" s="248"/>
      <c r="G711" s="248"/>
      <c r="H711" s="248"/>
      <c r="I711" s="247"/>
      <c r="J711" s="172"/>
      <c r="K711" s="228"/>
      <c r="L711" s="228"/>
      <c r="M711" s="228"/>
      <c r="N711" s="228"/>
      <c r="O711" s="174"/>
      <c r="P711" s="209"/>
      <c r="Q711" s="209"/>
      <c r="R711" s="209"/>
      <c r="S711" s="209"/>
      <c r="W711" s="231"/>
      <c r="AC711" s="233"/>
      <c r="AD711" s="233"/>
      <c r="AE711" s="234"/>
      <c r="AF711" s="233"/>
      <c r="AG711" s="233"/>
      <c r="AH711" s="234"/>
      <c r="AI711" s="234"/>
      <c r="AP711" s="245"/>
      <c r="AQ711" s="245"/>
      <c r="AR711" s="245"/>
      <c r="AS711" s="245"/>
      <c r="AT711" s="245"/>
      <c r="AU711" s="245"/>
      <c r="AV711" s="245"/>
      <c r="AW711" s="245"/>
      <c r="AX711" s="245"/>
      <c r="AY711" s="245"/>
      <c r="BA711" s="245"/>
      <c r="BB711" s="245"/>
      <c r="BC711" s="245"/>
      <c r="BD711" s="245"/>
      <c r="BE711" s="245"/>
    </row>
    <row r="712" spans="1:57" ht="14.25" hidden="1" customHeight="1" x14ac:dyDescent="0.2">
      <c r="A712" s="842"/>
      <c r="E712" s="224"/>
      <c r="F712" s="225"/>
      <c r="G712" s="226"/>
      <c r="H712" s="209"/>
      <c r="I712" s="227"/>
      <c r="J712" s="169"/>
      <c r="K712" s="228"/>
      <c r="L712" s="225"/>
      <c r="M712" s="226"/>
      <c r="N712" s="209"/>
      <c r="O712" s="174"/>
      <c r="P712" s="209"/>
      <c r="Q712" s="209"/>
      <c r="R712" s="209"/>
      <c r="S712" s="209"/>
      <c r="W712" s="231"/>
      <c r="AC712" s="233"/>
      <c r="AD712" s="233"/>
      <c r="AE712" s="234"/>
      <c r="AF712" s="233"/>
      <c r="AG712" s="233"/>
      <c r="AH712" s="234"/>
      <c r="AI712" s="197"/>
      <c r="AP712" s="245"/>
      <c r="AQ712" s="245"/>
      <c r="AR712" s="245"/>
      <c r="AS712" s="245"/>
      <c r="AT712" s="245"/>
      <c r="AU712" s="245"/>
      <c r="AV712" s="245"/>
      <c r="AW712" s="245"/>
      <c r="AX712" s="245"/>
      <c r="AY712" s="245"/>
      <c r="BA712" s="245"/>
      <c r="BB712" s="245"/>
      <c r="BC712" s="245"/>
      <c r="BD712" s="245"/>
      <c r="BE712" s="245"/>
    </row>
    <row r="713" spans="1:57" ht="14.25" hidden="1" customHeight="1" x14ac:dyDescent="0.2">
      <c r="A713" s="842"/>
      <c r="B713" s="187"/>
      <c r="C713" s="188"/>
      <c r="D713" s="188"/>
      <c r="E713" s="844"/>
      <c r="F713" s="844"/>
      <c r="G713" s="844"/>
      <c r="H713" s="844"/>
      <c r="I713" s="189"/>
      <c r="J713" s="190"/>
      <c r="K713" s="191"/>
      <c r="L713" s="192"/>
      <c r="U713" s="229"/>
      <c r="V713" s="230"/>
      <c r="W713" s="231"/>
      <c r="X713" s="231"/>
      <c r="Y713" s="231"/>
      <c r="Z713" s="232"/>
      <c r="AA713" s="231"/>
      <c r="AC713" s="197"/>
      <c r="AD713" s="197"/>
      <c r="AE713" s="197"/>
      <c r="AF713" s="197"/>
      <c r="AG713" s="197"/>
      <c r="AH713" s="197"/>
      <c r="AI713" s="197"/>
      <c r="AQ713" s="245"/>
      <c r="AR713" s="245"/>
      <c r="AS713" s="245"/>
      <c r="AT713" s="245"/>
    </row>
    <row r="714" spans="1:57" ht="9" hidden="1" customHeight="1" x14ac:dyDescent="0.2">
      <c r="A714" s="842"/>
      <c r="J714" s="169"/>
      <c r="K714" s="228"/>
      <c r="L714" s="225"/>
      <c r="M714" s="226"/>
      <c r="N714" s="209"/>
      <c r="O714" s="174"/>
      <c r="P714" s="209"/>
      <c r="Q714" s="209"/>
      <c r="R714" s="209"/>
      <c r="S714" s="209"/>
      <c r="AP714" s="245"/>
      <c r="AQ714" s="245"/>
      <c r="AR714" s="245"/>
      <c r="AS714" s="245"/>
      <c r="AT714" s="245"/>
      <c r="AU714" s="245"/>
      <c r="AV714" s="245"/>
      <c r="AW714" s="245"/>
      <c r="AX714" s="245"/>
      <c r="AY714" s="245"/>
      <c r="BA714" s="245"/>
      <c r="BB714" s="245"/>
      <c r="BC714" s="245"/>
      <c r="BD714" s="245"/>
      <c r="BE714" s="245"/>
    </row>
    <row r="715" spans="1:57" ht="14.25" hidden="1" customHeight="1" x14ac:dyDescent="0.2">
      <c r="A715" s="842"/>
      <c r="C715" s="279"/>
      <c r="D715" s="279"/>
      <c r="E715" s="199"/>
      <c r="I715" s="201"/>
      <c r="J715" s="207"/>
      <c r="K715" s="280"/>
      <c r="L715" s="225"/>
      <c r="M715" s="226"/>
      <c r="N715" s="209"/>
      <c r="O715" s="174"/>
      <c r="P715" s="209"/>
      <c r="Q715" s="209"/>
      <c r="R715" s="209"/>
      <c r="S715" s="209"/>
      <c r="U715" s="210"/>
      <c r="V715" s="211"/>
      <c r="W715" s="210"/>
      <c r="X715" s="210"/>
      <c r="Y715" s="210"/>
      <c r="Z715" s="212"/>
      <c r="AA715" s="210"/>
      <c r="AB715" s="213"/>
      <c r="AC715" s="214"/>
      <c r="AD715" s="214"/>
      <c r="AE715" s="215"/>
      <c r="AF715" s="214"/>
      <c r="AG715" s="214"/>
      <c r="AH715" s="215"/>
      <c r="AI715" s="216"/>
      <c r="AL715" s="217"/>
      <c r="AM715" s="218"/>
      <c r="AQ715" s="245"/>
      <c r="AR715" s="245"/>
      <c r="AS715" s="245"/>
      <c r="AT715" s="245"/>
    </row>
    <row r="716" spans="1:57" ht="14.25" hidden="1" customHeight="1" x14ac:dyDescent="0.2">
      <c r="A716" s="842"/>
      <c r="C716" s="279"/>
      <c r="D716" s="279"/>
      <c r="E716" s="199"/>
      <c r="I716" s="201"/>
      <c r="J716" s="207"/>
      <c r="K716" s="281"/>
      <c r="L716" s="225"/>
      <c r="M716" s="226"/>
      <c r="N716" s="209"/>
      <c r="O716" s="174"/>
      <c r="U716" s="210"/>
      <c r="V716" s="211"/>
      <c r="W716" s="210"/>
      <c r="X716" s="210"/>
      <c r="Y716" s="210"/>
      <c r="Z716" s="212"/>
      <c r="AA716" s="210"/>
      <c r="AB716" s="213"/>
      <c r="AC716" s="214"/>
      <c r="AD716" s="214"/>
      <c r="AE716" s="215"/>
      <c r="AF716" s="214"/>
      <c r="AG716" s="214"/>
      <c r="AH716" s="215"/>
      <c r="AI716" s="216"/>
      <c r="AL716" s="217"/>
      <c r="AM716" s="218"/>
    </row>
    <row r="717" spans="1:57" ht="14.25" hidden="1" customHeight="1" x14ac:dyDescent="0.2">
      <c r="A717" s="842"/>
      <c r="C717" s="279"/>
      <c r="D717" s="279"/>
      <c r="E717" s="199"/>
      <c r="I717" s="201"/>
      <c r="J717" s="207"/>
      <c r="K717" s="281"/>
      <c r="L717" s="225"/>
      <c r="M717" s="226"/>
      <c r="N717" s="209"/>
      <c r="O717" s="174"/>
      <c r="U717" s="210"/>
      <c r="V717" s="211"/>
      <c r="W717" s="210"/>
      <c r="X717" s="210"/>
      <c r="Y717" s="210"/>
      <c r="Z717" s="212"/>
      <c r="AA717" s="210"/>
      <c r="AB717" s="213"/>
      <c r="AC717" s="214"/>
      <c r="AD717" s="214"/>
      <c r="AE717" s="215"/>
      <c r="AF717" s="214"/>
      <c r="AG717" s="214"/>
      <c r="AH717" s="215"/>
      <c r="AI717" s="216"/>
      <c r="AL717" s="217"/>
      <c r="AM717" s="218"/>
    </row>
    <row r="718" spans="1:57" ht="14.25" hidden="1" customHeight="1" x14ac:dyDescent="0.2">
      <c r="A718" s="842"/>
      <c r="C718" s="279"/>
      <c r="D718" s="279"/>
      <c r="E718" s="199"/>
      <c r="I718" s="201"/>
      <c r="J718" s="207"/>
      <c r="K718" s="281"/>
      <c r="L718" s="225"/>
      <c r="M718" s="226"/>
      <c r="N718" s="209"/>
      <c r="O718" s="174"/>
      <c r="U718" s="210"/>
      <c r="V718" s="211"/>
      <c r="W718" s="210"/>
      <c r="X718" s="210"/>
      <c r="Y718" s="210"/>
      <c r="Z718" s="212"/>
      <c r="AA718" s="210"/>
      <c r="AB718" s="213"/>
      <c r="AC718" s="214"/>
      <c r="AD718" s="214"/>
      <c r="AE718" s="215"/>
      <c r="AF718" s="214"/>
      <c r="AG718" s="214"/>
      <c r="AH718" s="215"/>
      <c r="AI718" s="216"/>
      <c r="AL718" s="217"/>
      <c r="AM718" s="218"/>
      <c r="AP718" s="245"/>
      <c r="AQ718" s="245"/>
      <c r="AR718" s="245"/>
      <c r="AS718" s="245"/>
      <c r="AT718" s="245"/>
      <c r="AU718" s="245"/>
      <c r="AV718" s="245"/>
      <c r="AW718" s="245"/>
      <c r="AX718" s="245"/>
      <c r="AY718" s="245"/>
      <c r="BA718" s="245"/>
      <c r="BB718" s="245"/>
      <c r="BC718" s="245"/>
      <c r="BD718" s="245"/>
      <c r="BE718" s="245"/>
    </row>
    <row r="719" spans="1:57" ht="14.25" hidden="1" customHeight="1" x14ac:dyDescent="0.2">
      <c r="A719" s="842"/>
      <c r="C719" s="279"/>
      <c r="D719" s="279"/>
      <c r="E719" s="199"/>
      <c r="I719" s="201"/>
      <c r="J719" s="223"/>
      <c r="K719" s="281"/>
      <c r="L719" s="225"/>
      <c r="M719" s="226"/>
      <c r="N719" s="209"/>
      <c r="O719" s="174"/>
      <c r="P719" s="209"/>
      <c r="Q719" s="209"/>
      <c r="R719" s="209"/>
      <c r="S719" s="209"/>
      <c r="U719" s="210"/>
      <c r="V719" s="211"/>
      <c r="W719" s="210"/>
      <c r="X719" s="210"/>
      <c r="Y719" s="210"/>
      <c r="Z719" s="212"/>
      <c r="AA719" s="210"/>
      <c r="AB719" s="213"/>
      <c r="AC719" s="214"/>
      <c r="AD719" s="214"/>
      <c r="AE719" s="215"/>
      <c r="AF719" s="214"/>
      <c r="AG719" s="214"/>
      <c r="AH719" s="215"/>
      <c r="AI719" s="216"/>
      <c r="AL719" s="217"/>
      <c r="AM719" s="218"/>
      <c r="AP719" s="245"/>
      <c r="AQ719" s="245"/>
      <c r="AR719" s="245"/>
      <c r="AS719" s="245"/>
      <c r="AT719" s="245"/>
      <c r="AU719" s="245"/>
      <c r="AV719" s="245"/>
      <c r="AW719" s="245"/>
      <c r="AX719" s="245"/>
      <c r="AY719" s="245"/>
      <c r="BA719" s="245"/>
      <c r="BB719" s="245"/>
      <c r="BC719" s="245"/>
      <c r="BD719" s="245"/>
      <c r="BE719" s="245"/>
    </row>
    <row r="720" spans="1:57" ht="14.25" hidden="1" customHeight="1" x14ac:dyDescent="0.2">
      <c r="A720" s="842"/>
      <c r="C720" s="279"/>
      <c r="D720" s="279"/>
      <c r="E720" s="199"/>
      <c r="I720" s="201"/>
      <c r="J720" s="223"/>
      <c r="K720" s="281"/>
      <c r="L720" s="225"/>
      <c r="M720" s="226"/>
      <c r="N720" s="209"/>
      <c r="O720" s="174"/>
      <c r="P720" s="209"/>
      <c r="Q720" s="209"/>
      <c r="R720" s="209"/>
      <c r="S720" s="209"/>
      <c r="U720" s="210"/>
      <c r="V720" s="211"/>
      <c r="W720" s="210"/>
      <c r="X720" s="210"/>
      <c r="Y720" s="210"/>
      <c r="Z720" s="212"/>
      <c r="AA720" s="210"/>
      <c r="AB720" s="213"/>
      <c r="AC720" s="214"/>
      <c r="AD720" s="214"/>
      <c r="AE720" s="215"/>
      <c r="AF720" s="214"/>
      <c r="AG720" s="214"/>
      <c r="AH720" s="215"/>
      <c r="AI720" s="216"/>
      <c r="AL720" s="217"/>
      <c r="AM720" s="218"/>
      <c r="AP720" s="245"/>
      <c r="AQ720" s="245"/>
      <c r="AR720" s="245"/>
      <c r="AS720" s="245"/>
      <c r="AT720" s="245"/>
      <c r="AU720" s="245"/>
      <c r="AV720" s="245"/>
      <c r="AW720" s="245"/>
      <c r="AX720" s="245"/>
      <c r="AY720" s="245"/>
      <c r="BA720" s="245"/>
      <c r="BB720" s="245"/>
      <c r="BC720" s="245"/>
      <c r="BD720" s="245"/>
      <c r="BE720" s="245"/>
    </row>
    <row r="721" spans="1:57" ht="14.25" hidden="1" customHeight="1" x14ac:dyDescent="0.2">
      <c r="A721" s="842"/>
      <c r="C721" s="279"/>
      <c r="D721" s="279"/>
      <c r="E721" s="199"/>
      <c r="I721" s="201"/>
      <c r="J721" s="223"/>
      <c r="K721" s="282"/>
      <c r="L721" s="225"/>
      <c r="M721" s="226"/>
      <c r="N721" s="209"/>
      <c r="O721" s="174"/>
      <c r="P721" s="209"/>
      <c r="Q721" s="209"/>
      <c r="R721" s="209"/>
      <c r="S721" s="209"/>
      <c r="U721" s="210"/>
      <c r="V721" s="211"/>
      <c r="W721" s="210"/>
      <c r="X721" s="210"/>
      <c r="Y721" s="210"/>
      <c r="Z721" s="212"/>
      <c r="AA721" s="210"/>
      <c r="AB721" s="213"/>
      <c r="AC721" s="214"/>
      <c r="AD721" s="214"/>
      <c r="AE721" s="215"/>
      <c r="AF721" s="214"/>
      <c r="AG721" s="214"/>
      <c r="AH721" s="215"/>
      <c r="AI721" s="216"/>
      <c r="AL721" s="217"/>
      <c r="AM721" s="218"/>
      <c r="AP721" s="245"/>
      <c r="AQ721" s="245"/>
      <c r="AR721" s="245"/>
      <c r="AS721" s="245"/>
      <c r="AT721" s="245"/>
      <c r="AU721" s="245"/>
      <c r="AV721" s="245"/>
      <c r="AW721" s="245"/>
      <c r="AX721" s="245"/>
      <c r="AY721" s="245"/>
      <c r="BA721" s="245"/>
      <c r="BB721" s="245"/>
      <c r="BC721" s="245"/>
      <c r="BD721" s="245"/>
      <c r="BE721" s="245"/>
    </row>
    <row r="722" spans="1:57" ht="14.25" hidden="1" customHeight="1" x14ac:dyDescent="0.2">
      <c r="A722" s="842"/>
      <c r="C722" s="279"/>
      <c r="D722" s="279"/>
      <c r="E722" s="199"/>
      <c r="I722" s="201"/>
      <c r="J722" s="223"/>
      <c r="K722" s="281"/>
      <c r="L722" s="225"/>
      <c r="M722" s="226"/>
      <c r="N722" s="209"/>
      <c r="O722" s="174"/>
      <c r="P722" s="209"/>
      <c r="Q722" s="209"/>
      <c r="R722" s="209"/>
      <c r="S722" s="209"/>
      <c r="U722" s="210"/>
      <c r="V722" s="211"/>
      <c r="W722" s="210"/>
      <c r="X722" s="210"/>
      <c r="Y722" s="210"/>
      <c r="Z722" s="212"/>
      <c r="AA722" s="210"/>
      <c r="AB722" s="213"/>
      <c r="AC722" s="214"/>
      <c r="AD722" s="214"/>
      <c r="AE722" s="215"/>
      <c r="AF722" s="214"/>
      <c r="AG722" s="214"/>
      <c r="AH722" s="215"/>
      <c r="AI722" s="216"/>
      <c r="AL722" s="217"/>
      <c r="AM722" s="218"/>
      <c r="AP722" s="245"/>
      <c r="AQ722" s="245"/>
      <c r="AR722" s="245"/>
      <c r="AS722" s="245"/>
      <c r="AT722" s="245"/>
      <c r="AU722" s="245"/>
      <c r="AV722" s="245"/>
      <c r="AW722" s="245"/>
      <c r="AX722" s="245"/>
      <c r="AY722" s="245"/>
      <c r="BA722" s="245"/>
      <c r="BB722" s="245"/>
      <c r="BC722" s="245"/>
      <c r="BD722" s="245"/>
      <c r="BE722" s="245"/>
    </row>
    <row r="723" spans="1:57" ht="14.25" hidden="1" customHeight="1" x14ac:dyDescent="0.2">
      <c r="A723" s="842"/>
      <c r="C723" s="279"/>
      <c r="D723" s="279"/>
      <c r="E723" s="199"/>
      <c r="I723" s="201"/>
      <c r="J723" s="223"/>
      <c r="K723" s="281"/>
      <c r="L723" s="225"/>
      <c r="M723" s="226"/>
      <c r="N723" s="209"/>
      <c r="O723" s="174"/>
      <c r="P723" s="209"/>
      <c r="Q723" s="209"/>
      <c r="R723" s="209"/>
      <c r="S723" s="209"/>
      <c r="U723" s="210"/>
      <c r="V723" s="211"/>
      <c r="W723" s="210"/>
      <c r="X723" s="210"/>
      <c r="Y723" s="210"/>
      <c r="Z723" s="212"/>
      <c r="AA723" s="210"/>
      <c r="AB723" s="213"/>
      <c r="AC723" s="214"/>
      <c r="AD723" s="214"/>
      <c r="AE723" s="215"/>
      <c r="AF723" s="214"/>
      <c r="AG723" s="214"/>
      <c r="AH723" s="215"/>
      <c r="AI723" s="216"/>
      <c r="AL723" s="217"/>
      <c r="AM723" s="218"/>
      <c r="AP723" s="245"/>
      <c r="AQ723" s="245"/>
      <c r="AR723" s="245"/>
      <c r="AS723" s="245"/>
      <c r="AT723" s="245"/>
      <c r="AU723" s="245"/>
      <c r="AV723" s="245"/>
      <c r="AW723" s="245"/>
      <c r="AX723" s="245"/>
      <c r="AY723" s="245"/>
      <c r="BA723" s="245"/>
      <c r="BB723" s="245"/>
      <c r="BC723" s="245"/>
      <c r="BD723" s="245"/>
      <c r="BE723" s="245"/>
    </row>
    <row r="724" spans="1:57" ht="14.25" hidden="1" customHeight="1" x14ac:dyDescent="0.2">
      <c r="A724" s="842"/>
      <c r="C724" s="279"/>
      <c r="D724" s="279"/>
      <c r="E724" s="199"/>
      <c r="I724" s="201"/>
      <c r="J724" s="223"/>
      <c r="K724" s="281"/>
      <c r="L724" s="225"/>
      <c r="M724" s="226"/>
      <c r="N724" s="209"/>
      <c r="O724" s="174"/>
      <c r="P724" s="209"/>
      <c r="Q724" s="209"/>
      <c r="R724" s="209"/>
      <c r="S724" s="209"/>
      <c r="U724" s="210"/>
      <c r="V724" s="211"/>
      <c r="W724" s="210"/>
      <c r="X724" s="210"/>
      <c r="Y724" s="210"/>
      <c r="Z724" s="212"/>
      <c r="AA724" s="210"/>
      <c r="AB724" s="213"/>
      <c r="AC724" s="214"/>
      <c r="AD724" s="214"/>
      <c r="AE724" s="215"/>
      <c r="AF724" s="214"/>
      <c r="AG724" s="214"/>
      <c r="AH724" s="215"/>
      <c r="AI724" s="216"/>
      <c r="AL724" s="217"/>
      <c r="AM724" s="218"/>
      <c r="AP724" s="245"/>
      <c r="AQ724" s="245"/>
      <c r="AR724" s="245"/>
      <c r="AS724" s="245"/>
      <c r="AT724" s="245"/>
      <c r="AU724" s="245"/>
      <c r="AV724" s="245"/>
      <c r="AW724" s="245"/>
      <c r="AX724" s="245"/>
      <c r="AY724" s="245"/>
      <c r="BA724" s="245"/>
      <c r="BB724" s="245"/>
      <c r="BC724" s="245"/>
      <c r="BD724" s="245"/>
      <c r="BE724" s="245"/>
    </row>
    <row r="725" spans="1:57" ht="14.25" hidden="1" customHeight="1" x14ac:dyDescent="0.2">
      <c r="A725" s="842"/>
      <c r="C725" s="279"/>
      <c r="D725" s="279"/>
      <c r="E725" s="199"/>
      <c r="I725" s="201"/>
      <c r="J725" s="223"/>
      <c r="K725" s="281"/>
      <c r="L725" s="225"/>
      <c r="M725" s="226"/>
      <c r="N725" s="209"/>
      <c r="O725" s="174"/>
      <c r="P725" s="209"/>
      <c r="Q725" s="209"/>
      <c r="R725" s="209"/>
      <c r="S725" s="209"/>
      <c r="U725" s="210"/>
      <c r="V725" s="211"/>
      <c r="W725" s="210"/>
      <c r="X725" s="210"/>
      <c r="Y725" s="210"/>
      <c r="Z725" s="212"/>
      <c r="AA725" s="210"/>
      <c r="AB725" s="213"/>
      <c r="AC725" s="214"/>
      <c r="AD725" s="214"/>
      <c r="AE725" s="215"/>
      <c r="AF725" s="214"/>
      <c r="AG725" s="214"/>
      <c r="AH725" s="215"/>
      <c r="AI725" s="216"/>
      <c r="AL725" s="217"/>
      <c r="AM725" s="218"/>
      <c r="AP725" s="245"/>
      <c r="AQ725" s="245"/>
      <c r="AR725" s="245"/>
      <c r="AS725" s="245"/>
      <c r="AT725" s="245"/>
      <c r="AU725" s="245"/>
      <c r="AV725" s="245"/>
      <c r="AW725" s="245"/>
      <c r="AX725" s="245"/>
      <c r="AY725" s="245"/>
      <c r="BA725" s="245"/>
      <c r="BB725" s="245"/>
      <c r="BC725" s="245"/>
      <c r="BD725" s="245"/>
      <c r="BE725" s="245"/>
    </row>
    <row r="726" spans="1:57" ht="14.25" hidden="1" customHeight="1" x14ac:dyDescent="0.2">
      <c r="A726" s="842"/>
      <c r="C726" s="279"/>
      <c r="D726" s="279"/>
      <c r="E726" s="199"/>
      <c r="I726" s="201"/>
      <c r="J726" s="169"/>
      <c r="K726" s="281"/>
      <c r="L726" s="228"/>
      <c r="M726" s="228"/>
      <c r="N726" s="228"/>
      <c r="O726" s="174"/>
      <c r="P726" s="209"/>
      <c r="Q726" s="209"/>
      <c r="R726" s="209"/>
      <c r="S726" s="209"/>
      <c r="U726" s="210"/>
      <c r="V726" s="211"/>
      <c r="W726" s="210"/>
      <c r="X726" s="210"/>
      <c r="Y726" s="210"/>
      <c r="Z726" s="212"/>
      <c r="AA726" s="210"/>
      <c r="AB726" s="213"/>
      <c r="AC726" s="214"/>
      <c r="AD726" s="214"/>
      <c r="AE726" s="215"/>
      <c r="AF726" s="214"/>
      <c r="AG726" s="214"/>
      <c r="AH726" s="215"/>
      <c r="AI726" s="216"/>
      <c r="AL726" s="217"/>
      <c r="AM726" s="218"/>
      <c r="AP726" s="245"/>
      <c r="AQ726" s="245"/>
      <c r="AR726" s="245"/>
      <c r="AS726" s="245"/>
      <c r="AT726" s="245"/>
      <c r="AU726" s="245"/>
      <c r="AV726" s="245"/>
      <c r="AW726" s="245"/>
      <c r="AX726" s="245"/>
      <c r="AY726" s="245"/>
      <c r="BA726" s="245"/>
      <c r="BB726" s="245"/>
      <c r="BC726" s="245"/>
      <c r="BD726" s="245"/>
      <c r="BE726" s="245"/>
    </row>
    <row r="727" spans="1:57" ht="14.25" hidden="1" customHeight="1" x14ac:dyDescent="0.2">
      <c r="A727" s="842"/>
      <c r="E727" s="247"/>
      <c r="F727" s="248"/>
      <c r="G727" s="248"/>
      <c r="H727" s="248"/>
      <c r="I727" s="247"/>
      <c r="J727" s="172"/>
      <c r="K727" s="228"/>
      <c r="L727" s="228"/>
      <c r="M727" s="228"/>
      <c r="N727" s="228"/>
      <c r="O727" s="174"/>
      <c r="P727" s="209"/>
      <c r="Q727" s="209"/>
      <c r="R727" s="209"/>
      <c r="S727" s="209"/>
      <c r="W727" s="231"/>
      <c r="AC727" s="233"/>
      <c r="AD727" s="233"/>
      <c r="AE727" s="234"/>
      <c r="AF727" s="233"/>
      <c r="AG727" s="233"/>
      <c r="AH727" s="234"/>
      <c r="AI727" s="234"/>
      <c r="AP727" s="245"/>
      <c r="AQ727" s="245"/>
      <c r="AR727" s="245"/>
      <c r="AS727" s="245"/>
      <c r="AT727" s="245"/>
      <c r="AU727" s="245"/>
      <c r="AV727" s="245"/>
      <c r="AW727" s="245"/>
      <c r="AX727" s="245"/>
      <c r="AY727" s="245"/>
      <c r="BA727" s="245"/>
      <c r="BB727" s="245"/>
      <c r="BC727" s="245"/>
      <c r="BD727" s="245"/>
      <c r="BE727" s="245"/>
    </row>
    <row r="728" spans="1:57" ht="14.25" hidden="1" customHeight="1" x14ac:dyDescent="0.2">
      <c r="A728" s="842"/>
      <c r="E728" s="224"/>
      <c r="F728" s="225"/>
      <c r="G728" s="226"/>
      <c r="H728" s="209"/>
      <c r="I728" s="227"/>
      <c r="J728" s="169"/>
      <c r="K728" s="228"/>
      <c r="L728" s="225"/>
      <c r="M728" s="226"/>
      <c r="N728" s="209"/>
      <c r="O728" s="174"/>
      <c r="P728" s="209"/>
      <c r="Q728" s="209"/>
      <c r="R728" s="209"/>
      <c r="S728" s="209"/>
      <c r="W728" s="231"/>
      <c r="AC728" s="233"/>
      <c r="AD728" s="233"/>
      <c r="AE728" s="234"/>
      <c r="AF728" s="233"/>
      <c r="AG728" s="233"/>
      <c r="AH728" s="234"/>
      <c r="AI728" s="197"/>
      <c r="AP728" s="245"/>
      <c r="AQ728" s="245"/>
      <c r="AR728" s="245"/>
      <c r="AS728" s="245"/>
      <c r="AT728" s="245"/>
      <c r="AU728" s="245"/>
      <c r="AV728" s="245"/>
      <c r="AW728" s="245"/>
      <c r="AX728" s="245"/>
      <c r="AY728" s="245"/>
      <c r="BA728" s="245"/>
      <c r="BB728" s="245"/>
      <c r="BC728" s="245"/>
      <c r="BD728" s="245"/>
      <c r="BE728" s="245"/>
    </row>
    <row r="729" spans="1:57" ht="14.25" hidden="1" customHeight="1" x14ac:dyDescent="0.2">
      <c r="A729" s="842"/>
      <c r="B729" s="187"/>
      <c r="C729" s="188"/>
      <c r="D729" s="188"/>
      <c r="E729" s="844"/>
      <c r="F729" s="844"/>
      <c r="G729" s="844"/>
      <c r="H729" s="844"/>
      <c r="I729" s="189"/>
      <c r="J729" s="190"/>
      <c r="K729" s="191"/>
      <c r="L729" s="192"/>
      <c r="U729" s="229"/>
      <c r="V729" s="230"/>
      <c r="W729" s="231"/>
      <c r="X729" s="231"/>
      <c r="Y729" s="231"/>
      <c r="Z729" s="232"/>
      <c r="AA729" s="231"/>
      <c r="AC729" s="197"/>
      <c r="AD729" s="197"/>
      <c r="AE729" s="197"/>
      <c r="AF729" s="197"/>
      <c r="AG729" s="197"/>
      <c r="AH729" s="197"/>
      <c r="AI729" s="197"/>
      <c r="AQ729" s="245"/>
      <c r="AR729" s="245"/>
      <c r="AS729" s="245"/>
      <c r="AT729" s="245"/>
    </row>
    <row r="730" spans="1:57" ht="9" hidden="1" customHeight="1" x14ac:dyDescent="0.2">
      <c r="A730" s="842"/>
      <c r="J730" s="169"/>
      <c r="K730" s="228"/>
      <c r="L730" s="225"/>
      <c r="M730" s="226"/>
      <c r="N730" s="209"/>
      <c r="O730" s="174"/>
      <c r="P730" s="209"/>
      <c r="Q730" s="209"/>
      <c r="R730" s="209"/>
      <c r="S730" s="209"/>
      <c r="AP730" s="245"/>
      <c r="AQ730" s="245"/>
      <c r="AR730" s="245"/>
      <c r="AS730" s="245"/>
      <c r="AT730" s="245"/>
      <c r="AU730" s="245"/>
      <c r="AV730" s="245"/>
      <c r="AW730" s="245"/>
      <c r="AX730" s="245"/>
      <c r="AY730" s="245"/>
      <c r="BA730" s="245"/>
      <c r="BB730" s="245"/>
      <c r="BC730" s="245"/>
      <c r="BD730" s="245"/>
      <c r="BE730" s="245"/>
    </row>
    <row r="731" spans="1:57" ht="14.25" hidden="1" customHeight="1" x14ac:dyDescent="0.2">
      <c r="A731" s="842"/>
      <c r="C731" s="279"/>
      <c r="D731" s="279"/>
      <c r="E731" s="199"/>
      <c r="I731" s="201"/>
      <c r="J731" s="207"/>
      <c r="K731" s="280"/>
      <c r="L731" s="225"/>
      <c r="M731" s="226"/>
      <c r="N731" s="209"/>
      <c r="O731" s="174"/>
      <c r="P731" s="209"/>
      <c r="Q731" s="209"/>
      <c r="R731" s="209"/>
      <c r="S731" s="209"/>
      <c r="U731" s="210"/>
      <c r="V731" s="211"/>
      <c r="W731" s="210"/>
      <c r="X731" s="210"/>
      <c r="Y731" s="210"/>
      <c r="Z731" s="212"/>
      <c r="AA731" s="210"/>
      <c r="AB731" s="213"/>
      <c r="AC731" s="214"/>
      <c r="AD731" s="214"/>
      <c r="AE731" s="215"/>
      <c r="AF731" s="214"/>
      <c r="AG731" s="214"/>
      <c r="AH731" s="215"/>
      <c r="AI731" s="216"/>
      <c r="AL731" s="217"/>
      <c r="AM731" s="218"/>
      <c r="AQ731" s="245"/>
      <c r="AR731" s="245"/>
      <c r="AS731" s="245"/>
      <c r="AT731" s="245"/>
    </row>
    <row r="732" spans="1:57" ht="14.25" hidden="1" customHeight="1" x14ac:dyDescent="0.2">
      <c r="A732" s="842"/>
      <c r="C732" s="279"/>
      <c r="D732" s="279"/>
      <c r="E732" s="199"/>
      <c r="I732" s="201"/>
      <c r="J732" s="207"/>
      <c r="K732" s="281"/>
      <c r="L732" s="225"/>
      <c r="M732" s="226"/>
      <c r="N732" s="209"/>
      <c r="O732" s="174"/>
      <c r="U732" s="210"/>
      <c r="V732" s="211"/>
      <c r="W732" s="210"/>
      <c r="X732" s="210"/>
      <c r="Y732" s="210"/>
      <c r="Z732" s="212"/>
      <c r="AA732" s="210"/>
      <c r="AB732" s="213"/>
      <c r="AC732" s="214"/>
      <c r="AD732" s="214"/>
      <c r="AE732" s="215"/>
      <c r="AF732" s="214"/>
      <c r="AG732" s="214"/>
      <c r="AH732" s="215"/>
      <c r="AI732" s="216"/>
      <c r="AL732" s="217"/>
      <c r="AM732" s="218"/>
    </row>
    <row r="733" spans="1:57" ht="14.25" hidden="1" customHeight="1" x14ac:dyDescent="0.2">
      <c r="A733" s="842"/>
      <c r="C733" s="279"/>
      <c r="D733" s="279"/>
      <c r="E733" s="199"/>
      <c r="I733" s="201"/>
      <c r="J733" s="207"/>
      <c r="K733" s="281"/>
      <c r="L733" s="225"/>
      <c r="M733" s="226"/>
      <c r="N733" s="209"/>
      <c r="O733" s="174"/>
      <c r="U733" s="210"/>
      <c r="V733" s="211"/>
      <c r="W733" s="210"/>
      <c r="X733" s="210"/>
      <c r="Y733" s="210"/>
      <c r="Z733" s="212"/>
      <c r="AA733" s="210"/>
      <c r="AB733" s="213"/>
      <c r="AC733" s="214"/>
      <c r="AD733" s="214"/>
      <c r="AE733" s="215"/>
      <c r="AF733" s="214"/>
      <c r="AG733" s="214"/>
      <c r="AH733" s="215"/>
      <c r="AI733" s="216"/>
      <c r="AL733" s="217"/>
      <c r="AM733" s="218"/>
    </row>
    <row r="734" spans="1:57" ht="14.25" hidden="1" customHeight="1" x14ac:dyDescent="0.2">
      <c r="A734" s="842"/>
      <c r="C734" s="279"/>
      <c r="D734" s="279"/>
      <c r="E734" s="199"/>
      <c r="I734" s="201"/>
      <c r="J734" s="207"/>
      <c r="K734" s="281"/>
      <c r="L734" s="225"/>
      <c r="M734" s="226"/>
      <c r="N734" s="209"/>
      <c r="O734" s="174"/>
      <c r="U734" s="210"/>
      <c r="V734" s="211"/>
      <c r="W734" s="210"/>
      <c r="X734" s="210"/>
      <c r="Y734" s="210"/>
      <c r="Z734" s="212"/>
      <c r="AA734" s="210"/>
      <c r="AB734" s="213"/>
      <c r="AC734" s="214"/>
      <c r="AD734" s="214"/>
      <c r="AE734" s="215"/>
      <c r="AF734" s="214"/>
      <c r="AG734" s="214"/>
      <c r="AH734" s="215"/>
      <c r="AI734" s="216"/>
      <c r="AL734" s="217"/>
      <c r="AM734" s="218"/>
      <c r="AP734" s="245"/>
      <c r="AQ734" s="245"/>
      <c r="AR734" s="245"/>
      <c r="AS734" s="245"/>
      <c r="AT734" s="245"/>
      <c r="AU734" s="245"/>
      <c r="AV734" s="245"/>
      <c r="AW734" s="245"/>
      <c r="AX734" s="245"/>
      <c r="AY734" s="245"/>
      <c r="BA734" s="245"/>
      <c r="BB734" s="245"/>
      <c r="BC734" s="245"/>
      <c r="BD734" s="245"/>
      <c r="BE734" s="245"/>
    </row>
    <row r="735" spans="1:57" ht="14.25" hidden="1" customHeight="1" x14ac:dyDescent="0.2">
      <c r="A735" s="842"/>
      <c r="C735" s="279"/>
      <c r="D735" s="279"/>
      <c r="E735" s="199"/>
      <c r="I735" s="201"/>
      <c r="J735" s="223"/>
      <c r="K735" s="281"/>
      <c r="L735" s="225"/>
      <c r="M735" s="226"/>
      <c r="N735" s="209"/>
      <c r="O735" s="174"/>
      <c r="P735" s="209"/>
      <c r="Q735" s="209"/>
      <c r="R735" s="209"/>
      <c r="S735" s="209"/>
      <c r="U735" s="210"/>
      <c r="V735" s="211"/>
      <c r="W735" s="210"/>
      <c r="X735" s="210"/>
      <c r="Y735" s="210"/>
      <c r="Z735" s="212"/>
      <c r="AA735" s="210"/>
      <c r="AB735" s="213"/>
      <c r="AC735" s="214"/>
      <c r="AD735" s="214"/>
      <c r="AE735" s="215"/>
      <c r="AF735" s="214"/>
      <c r="AG735" s="214"/>
      <c r="AH735" s="215"/>
      <c r="AI735" s="216"/>
      <c r="AL735" s="217"/>
      <c r="AM735" s="218"/>
      <c r="AP735" s="245"/>
      <c r="AQ735" s="245"/>
      <c r="AR735" s="245"/>
      <c r="AS735" s="245"/>
      <c r="AT735" s="245"/>
      <c r="AU735" s="245"/>
      <c r="AV735" s="245"/>
      <c r="AW735" s="245"/>
      <c r="AX735" s="245"/>
      <c r="AY735" s="245"/>
      <c r="BA735" s="245"/>
      <c r="BB735" s="245"/>
      <c r="BC735" s="245"/>
      <c r="BD735" s="245"/>
      <c r="BE735" s="245"/>
    </row>
    <row r="736" spans="1:57" ht="14.25" hidden="1" customHeight="1" x14ac:dyDescent="0.2">
      <c r="A736" s="842"/>
      <c r="C736" s="279"/>
      <c r="D736" s="279"/>
      <c r="E736" s="199"/>
      <c r="I736" s="201"/>
      <c r="J736" s="223"/>
      <c r="K736" s="281"/>
      <c r="L736" s="225"/>
      <c r="M736" s="226"/>
      <c r="N736" s="209"/>
      <c r="O736" s="174"/>
      <c r="P736" s="209"/>
      <c r="Q736" s="209"/>
      <c r="R736" s="209"/>
      <c r="S736" s="209"/>
      <c r="U736" s="210"/>
      <c r="V736" s="211"/>
      <c r="W736" s="210"/>
      <c r="X736" s="210"/>
      <c r="Y736" s="210"/>
      <c r="Z736" s="212"/>
      <c r="AA736" s="210"/>
      <c r="AB736" s="213"/>
      <c r="AC736" s="214"/>
      <c r="AD736" s="214"/>
      <c r="AE736" s="215"/>
      <c r="AF736" s="214"/>
      <c r="AG736" s="214"/>
      <c r="AH736" s="215"/>
      <c r="AI736" s="216"/>
      <c r="AL736" s="217"/>
      <c r="AM736" s="218"/>
      <c r="AP736" s="245"/>
      <c r="AQ736" s="245"/>
      <c r="AR736" s="245"/>
      <c r="AS736" s="245"/>
      <c r="AT736" s="245"/>
      <c r="AU736" s="245"/>
      <c r="AV736" s="245"/>
      <c r="AW736" s="245"/>
      <c r="AX736" s="245"/>
      <c r="AY736" s="245"/>
      <c r="BA736" s="245"/>
      <c r="BB736" s="245"/>
      <c r="BC736" s="245"/>
      <c r="BD736" s="245"/>
      <c r="BE736" s="245"/>
    </row>
    <row r="737" spans="1:57" ht="14.25" hidden="1" customHeight="1" x14ac:dyDescent="0.2">
      <c r="A737" s="842"/>
      <c r="C737" s="279"/>
      <c r="D737" s="279"/>
      <c r="E737" s="199"/>
      <c r="I737" s="201"/>
      <c r="J737" s="223"/>
      <c r="K737" s="282"/>
      <c r="L737" s="225"/>
      <c r="M737" s="226"/>
      <c r="N737" s="209"/>
      <c r="O737" s="174"/>
      <c r="P737" s="209"/>
      <c r="Q737" s="209"/>
      <c r="R737" s="209"/>
      <c r="S737" s="209"/>
      <c r="U737" s="210"/>
      <c r="V737" s="211"/>
      <c r="W737" s="210"/>
      <c r="X737" s="210"/>
      <c r="Y737" s="210"/>
      <c r="Z737" s="212"/>
      <c r="AA737" s="210"/>
      <c r="AB737" s="213"/>
      <c r="AC737" s="214"/>
      <c r="AD737" s="214"/>
      <c r="AE737" s="215"/>
      <c r="AF737" s="214"/>
      <c r="AG737" s="214"/>
      <c r="AH737" s="215"/>
      <c r="AI737" s="216"/>
      <c r="AL737" s="217"/>
      <c r="AM737" s="218"/>
      <c r="AP737" s="245"/>
      <c r="AQ737" s="245"/>
      <c r="AR737" s="245"/>
      <c r="AS737" s="245"/>
      <c r="AT737" s="245"/>
      <c r="AU737" s="245"/>
      <c r="AV737" s="245"/>
      <c r="AW737" s="245"/>
      <c r="AX737" s="245"/>
      <c r="AY737" s="245"/>
      <c r="BA737" s="245"/>
      <c r="BB737" s="245"/>
      <c r="BC737" s="245"/>
      <c r="BD737" s="245"/>
      <c r="BE737" s="245"/>
    </row>
    <row r="738" spans="1:57" ht="14.25" hidden="1" customHeight="1" x14ac:dyDescent="0.2">
      <c r="A738" s="842"/>
      <c r="C738" s="279"/>
      <c r="D738" s="279"/>
      <c r="E738" s="199"/>
      <c r="I738" s="201"/>
      <c r="J738" s="223"/>
      <c r="K738" s="281"/>
      <c r="L738" s="225"/>
      <c r="M738" s="226"/>
      <c r="N738" s="209"/>
      <c r="O738" s="174"/>
      <c r="P738" s="209"/>
      <c r="Q738" s="209"/>
      <c r="R738" s="209"/>
      <c r="S738" s="209"/>
      <c r="U738" s="210"/>
      <c r="V738" s="211"/>
      <c r="W738" s="210"/>
      <c r="X738" s="210"/>
      <c r="Y738" s="210"/>
      <c r="Z738" s="212"/>
      <c r="AA738" s="210"/>
      <c r="AB738" s="213"/>
      <c r="AC738" s="214"/>
      <c r="AD738" s="214"/>
      <c r="AE738" s="215"/>
      <c r="AF738" s="214"/>
      <c r="AG738" s="214"/>
      <c r="AH738" s="215"/>
      <c r="AI738" s="216"/>
      <c r="AL738" s="217"/>
      <c r="AM738" s="218"/>
      <c r="AP738" s="245"/>
      <c r="AQ738" s="245"/>
      <c r="AR738" s="245"/>
      <c r="AS738" s="245"/>
      <c r="AT738" s="245"/>
      <c r="AU738" s="245"/>
      <c r="AV738" s="245"/>
      <c r="AW738" s="245"/>
      <c r="AX738" s="245"/>
      <c r="AY738" s="245"/>
      <c r="BA738" s="245"/>
      <c r="BB738" s="245"/>
      <c r="BC738" s="245"/>
      <c r="BD738" s="245"/>
      <c r="BE738" s="245"/>
    </row>
    <row r="739" spans="1:57" ht="14.25" hidden="1" customHeight="1" x14ac:dyDescent="0.2">
      <c r="A739" s="842"/>
      <c r="C739" s="279"/>
      <c r="D739" s="279"/>
      <c r="E739" s="199"/>
      <c r="I739" s="201"/>
      <c r="J739" s="223"/>
      <c r="K739" s="281"/>
      <c r="L739" s="225"/>
      <c r="M739" s="226"/>
      <c r="N739" s="209"/>
      <c r="O739" s="174"/>
      <c r="P739" s="209"/>
      <c r="Q739" s="209"/>
      <c r="R739" s="209"/>
      <c r="S739" s="209"/>
      <c r="U739" s="210"/>
      <c r="V739" s="211"/>
      <c r="W739" s="210"/>
      <c r="X739" s="210"/>
      <c r="Y739" s="210"/>
      <c r="Z739" s="212"/>
      <c r="AA739" s="210"/>
      <c r="AB739" s="213"/>
      <c r="AC739" s="214"/>
      <c r="AD739" s="214"/>
      <c r="AE739" s="215"/>
      <c r="AF739" s="214"/>
      <c r="AG739" s="214"/>
      <c r="AH739" s="215"/>
      <c r="AI739" s="216"/>
      <c r="AL739" s="217"/>
      <c r="AM739" s="218"/>
      <c r="AP739" s="245"/>
      <c r="AQ739" s="245"/>
      <c r="AR739" s="245"/>
      <c r="AS739" s="245"/>
      <c r="AT739" s="245"/>
      <c r="AU739" s="245"/>
      <c r="AV739" s="245"/>
      <c r="AW739" s="245"/>
      <c r="AX739" s="245"/>
      <c r="AY739" s="245"/>
      <c r="BA739" s="245"/>
      <c r="BB739" s="245"/>
      <c r="BC739" s="245"/>
      <c r="BD739" s="245"/>
      <c r="BE739" s="245"/>
    </row>
    <row r="740" spans="1:57" ht="14.25" hidden="1" customHeight="1" x14ac:dyDescent="0.2">
      <c r="A740" s="842"/>
      <c r="C740" s="279"/>
      <c r="D740" s="279"/>
      <c r="E740" s="199"/>
      <c r="I740" s="201"/>
      <c r="J740" s="223"/>
      <c r="K740" s="281"/>
      <c r="L740" s="225"/>
      <c r="M740" s="226"/>
      <c r="N740" s="209"/>
      <c r="O740" s="174"/>
      <c r="P740" s="209"/>
      <c r="Q740" s="209"/>
      <c r="R740" s="209"/>
      <c r="S740" s="209"/>
      <c r="U740" s="210"/>
      <c r="V740" s="211"/>
      <c r="W740" s="210"/>
      <c r="X740" s="210"/>
      <c r="Y740" s="210"/>
      <c r="Z740" s="212"/>
      <c r="AA740" s="210"/>
      <c r="AB740" s="213"/>
      <c r="AC740" s="214"/>
      <c r="AD740" s="214"/>
      <c r="AE740" s="215"/>
      <c r="AF740" s="214"/>
      <c r="AG740" s="214"/>
      <c r="AH740" s="215"/>
      <c r="AI740" s="216"/>
      <c r="AL740" s="217"/>
      <c r="AM740" s="218"/>
      <c r="AP740" s="245"/>
      <c r="AQ740" s="245"/>
      <c r="AR740" s="245"/>
      <c r="AS740" s="245"/>
      <c r="AT740" s="245"/>
      <c r="AU740" s="245"/>
      <c r="AV740" s="245"/>
      <c r="AW740" s="245"/>
      <c r="AX740" s="245"/>
      <c r="AY740" s="245"/>
      <c r="BA740" s="245"/>
      <c r="BB740" s="245"/>
      <c r="BC740" s="245"/>
      <c r="BD740" s="245"/>
      <c r="BE740" s="245"/>
    </row>
    <row r="741" spans="1:57" ht="14.25" hidden="1" customHeight="1" x14ac:dyDescent="0.2">
      <c r="A741" s="842"/>
      <c r="C741" s="279"/>
      <c r="D741" s="279"/>
      <c r="E741" s="199"/>
      <c r="I741" s="201"/>
      <c r="J741" s="223"/>
      <c r="K741" s="281"/>
      <c r="L741" s="225"/>
      <c r="M741" s="226"/>
      <c r="N741" s="209"/>
      <c r="O741" s="174"/>
      <c r="P741" s="209"/>
      <c r="Q741" s="209"/>
      <c r="R741" s="209"/>
      <c r="S741" s="209"/>
      <c r="U741" s="210"/>
      <c r="V741" s="211"/>
      <c r="W741" s="210"/>
      <c r="X741" s="210"/>
      <c r="Y741" s="210"/>
      <c r="Z741" s="212"/>
      <c r="AA741" s="210"/>
      <c r="AB741" s="213"/>
      <c r="AC741" s="214"/>
      <c r="AD741" s="214"/>
      <c r="AE741" s="215"/>
      <c r="AF741" s="214"/>
      <c r="AG741" s="214"/>
      <c r="AH741" s="215"/>
      <c r="AI741" s="216"/>
      <c r="AL741" s="217"/>
      <c r="AM741" s="218"/>
      <c r="AP741" s="245"/>
      <c r="AQ741" s="245"/>
      <c r="AR741" s="245"/>
      <c r="AS741" s="245"/>
      <c r="AT741" s="245"/>
      <c r="AU741" s="245"/>
      <c r="AV741" s="245"/>
      <c r="AW741" s="245"/>
      <c r="AX741" s="245"/>
      <c r="AY741" s="245"/>
      <c r="BA741" s="245"/>
      <c r="BB741" s="245"/>
      <c r="BC741" s="245"/>
      <c r="BD741" s="245"/>
      <c r="BE741" s="245"/>
    </row>
    <row r="742" spans="1:57" ht="14.25" hidden="1" customHeight="1" x14ac:dyDescent="0.2">
      <c r="A742" s="842"/>
      <c r="C742" s="279"/>
      <c r="D742" s="279"/>
      <c r="E742" s="199"/>
      <c r="I742" s="201"/>
      <c r="J742" s="169"/>
      <c r="K742" s="281"/>
      <c r="L742" s="228"/>
      <c r="M742" s="228"/>
      <c r="N742" s="228"/>
      <c r="O742" s="174"/>
      <c r="P742" s="209"/>
      <c r="Q742" s="209"/>
      <c r="R742" s="209"/>
      <c r="S742" s="209"/>
      <c r="U742" s="210"/>
      <c r="V742" s="211"/>
      <c r="W742" s="210"/>
      <c r="X742" s="210"/>
      <c r="Y742" s="210"/>
      <c r="Z742" s="212"/>
      <c r="AA742" s="210"/>
      <c r="AB742" s="213"/>
      <c r="AC742" s="214"/>
      <c r="AD742" s="214"/>
      <c r="AE742" s="215"/>
      <c r="AF742" s="214"/>
      <c r="AG742" s="214"/>
      <c r="AH742" s="215"/>
      <c r="AI742" s="216"/>
      <c r="AL742" s="217"/>
      <c r="AM742" s="218"/>
      <c r="AP742" s="245"/>
      <c r="AQ742" s="245"/>
      <c r="AR742" s="245"/>
      <c r="AS742" s="245"/>
      <c r="AT742" s="245"/>
      <c r="AU742" s="245"/>
      <c r="AV742" s="245"/>
      <c r="AW742" s="245"/>
      <c r="AX742" s="245"/>
      <c r="AY742" s="245"/>
      <c r="BA742" s="245"/>
      <c r="BB742" s="245"/>
      <c r="BC742" s="245"/>
      <c r="BD742" s="245"/>
      <c r="BE742" s="245"/>
    </row>
    <row r="743" spans="1:57" ht="14.25" hidden="1" customHeight="1" x14ac:dyDescent="0.2">
      <c r="A743" s="842"/>
      <c r="E743" s="247"/>
      <c r="F743" s="248"/>
      <c r="G743" s="248"/>
      <c r="H743" s="248"/>
      <c r="I743" s="247"/>
      <c r="J743" s="172"/>
      <c r="K743" s="228"/>
      <c r="L743" s="228"/>
      <c r="M743" s="228"/>
      <c r="N743" s="228"/>
      <c r="O743" s="174"/>
      <c r="P743" s="209"/>
      <c r="Q743" s="209"/>
      <c r="R743" s="209"/>
      <c r="S743" s="209"/>
      <c r="W743" s="231"/>
      <c r="AC743" s="233"/>
      <c r="AD743" s="233"/>
      <c r="AE743" s="234"/>
      <c r="AF743" s="233"/>
      <c r="AG743" s="233"/>
      <c r="AH743" s="234"/>
      <c r="AI743" s="234"/>
      <c r="AP743" s="245"/>
      <c r="AQ743" s="245"/>
      <c r="AR743" s="245"/>
      <c r="AS743" s="245"/>
      <c r="AT743" s="245"/>
      <c r="AU743" s="245"/>
      <c r="AV743" s="245"/>
      <c r="AW743" s="245"/>
      <c r="AX743" s="245"/>
      <c r="AY743" s="245"/>
      <c r="BA743" s="245"/>
      <c r="BB743" s="245"/>
      <c r="BC743" s="245"/>
      <c r="BD743" s="245"/>
      <c r="BE743" s="245"/>
    </row>
    <row r="744" spans="1:57" ht="14.25" hidden="1" customHeight="1" x14ac:dyDescent="0.2">
      <c r="A744" s="842"/>
      <c r="E744" s="224"/>
      <c r="F744" s="225"/>
      <c r="G744" s="226"/>
      <c r="H744" s="209"/>
      <c r="I744" s="227"/>
      <c r="J744" s="169"/>
      <c r="K744" s="228"/>
      <c r="L744" s="225"/>
      <c r="M744" s="226"/>
      <c r="N744" s="209"/>
      <c r="O744" s="174"/>
      <c r="P744" s="209"/>
      <c r="Q744" s="209"/>
      <c r="R744" s="209"/>
      <c r="S744" s="209"/>
      <c r="W744" s="231"/>
      <c r="AC744" s="233"/>
      <c r="AD744" s="233"/>
      <c r="AE744" s="234"/>
      <c r="AF744" s="233"/>
      <c r="AG744" s="233"/>
      <c r="AH744" s="234"/>
      <c r="AI744" s="197"/>
      <c r="AP744" s="245"/>
      <c r="AQ744" s="245"/>
      <c r="AR744" s="245"/>
      <c r="AS744" s="245"/>
      <c r="AT744" s="245"/>
      <c r="AU744" s="245"/>
      <c r="AV744" s="245"/>
      <c r="AW744" s="245"/>
      <c r="AX744" s="245"/>
      <c r="AY744" s="245"/>
      <c r="BA744" s="245"/>
      <c r="BB744" s="245"/>
      <c r="BC744" s="245"/>
      <c r="BD744" s="245"/>
      <c r="BE744" s="245"/>
    </row>
    <row r="745" spans="1:57" ht="14.25" hidden="1" customHeight="1" x14ac:dyDescent="0.2">
      <c r="A745" s="842"/>
      <c r="B745" s="187"/>
      <c r="C745" s="188"/>
      <c r="D745" s="188"/>
      <c r="E745" s="844"/>
      <c r="F745" s="844"/>
      <c r="G745" s="844"/>
      <c r="H745" s="844"/>
      <c r="I745" s="189"/>
      <c r="J745" s="190"/>
      <c r="K745" s="191"/>
      <c r="L745" s="192"/>
      <c r="U745" s="229"/>
      <c r="V745" s="230"/>
      <c r="W745" s="231"/>
      <c r="X745" s="231"/>
      <c r="Y745" s="231"/>
      <c r="Z745" s="232"/>
      <c r="AA745" s="231"/>
      <c r="AC745" s="197"/>
      <c r="AD745" s="197"/>
      <c r="AE745" s="197"/>
      <c r="AF745" s="197"/>
      <c r="AG745" s="197"/>
      <c r="AH745" s="197"/>
      <c r="AI745" s="197"/>
      <c r="AQ745" s="245"/>
      <c r="AR745" s="245"/>
      <c r="AS745" s="245"/>
      <c r="AT745" s="245"/>
    </row>
    <row r="746" spans="1:57" ht="9" hidden="1" customHeight="1" x14ac:dyDescent="0.2">
      <c r="A746" s="842"/>
      <c r="J746" s="169"/>
      <c r="K746" s="228"/>
      <c r="L746" s="225"/>
      <c r="M746" s="226"/>
      <c r="N746" s="209"/>
      <c r="O746" s="174"/>
      <c r="P746" s="209"/>
      <c r="Q746" s="209"/>
      <c r="R746" s="209"/>
      <c r="S746" s="209"/>
      <c r="AP746" s="245"/>
      <c r="AQ746" s="245"/>
      <c r="AR746" s="245"/>
      <c r="AS746" s="245"/>
      <c r="AT746" s="245"/>
      <c r="AU746" s="245"/>
      <c r="AV746" s="245"/>
      <c r="AW746" s="245"/>
      <c r="AX746" s="245"/>
      <c r="AY746" s="245"/>
      <c r="BA746" s="245"/>
      <c r="BB746" s="245"/>
      <c r="BC746" s="245"/>
      <c r="BD746" s="245"/>
      <c r="BE746" s="245"/>
    </row>
    <row r="747" spans="1:57" ht="14.25" hidden="1" customHeight="1" x14ac:dyDescent="0.2">
      <c r="A747" s="842"/>
      <c r="C747" s="279"/>
      <c r="D747" s="279"/>
      <c r="E747" s="199"/>
      <c r="I747" s="201"/>
      <c r="J747" s="207"/>
      <c r="K747" s="280"/>
      <c r="L747" s="225"/>
      <c r="M747" s="226"/>
      <c r="N747" s="209"/>
      <c r="O747" s="174"/>
      <c r="P747" s="209"/>
      <c r="Q747" s="209"/>
      <c r="R747" s="209"/>
      <c r="S747" s="209"/>
      <c r="U747" s="210"/>
      <c r="V747" s="211"/>
      <c r="W747" s="210"/>
      <c r="X747" s="210"/>
      <c r="Y747" s="210"/>
      <c r="Z747" s="212"/>
      <c r="AA747" s="210"/>
      <c r="AB747" s="213"/>
      <c r="AC747" s="214"/>
      <c r="AD747" s="214"/>
      <c r="AE747" s="215"/>
      <c r="AF747" s="214"/>
      <c r="AG747" s="214"/>
      <c r="AH747" s="215"/>
      <c r="AI747" s="216"/>
      <c r="AL747" s="217"/>
      <c r="AM747" s="218"/>
      <c r="AQ747" s="245"/>
      <c r="AR747" s="245"/>
      <c r="AS747" s="245"/>
      <c r="AT747" s="245"/>
    </row>
    <row r="748" spans="1:57" ht="14.25" hidden="1" customHeight="1" x14ac:dyDescent="0.2">
      <c r="A748" s="842"/>
      <c r="C748" s="279"/>
      <c r="D748" s="279"/>
      <c r="E748" s="199"/>
      <c r="I748" s="201"/>
      <c r="J748" s="207"/>
      <c r="K748" s="281"/>
      <c r="L748" s="225"/>
      <c r="M748" s="226"/>
      <c r="N748" s="209"/>
      <c r="O748" s="174"/>
      <c r="U748" s="210"/>
      <c r="V748" s="211"/>
      <c r="W748" s="210"/>
      <c r="X748" s="210"/>
      <c r="Y748" s="210"/>
      <c r="Z748" s="212"/>
      <c r="AA748" s="210"/>
      <c r="AB748" s="213"/>
      <c r="AC748" s="214"/>
      <c r="AD748" s="214"/>
      <c r="AE748" s="215"/>
      <c r="AF748" s="214"/>
      <c r="AG748" s="214"/>
      <c r="AH748" s="215"/>
      <c r="AI748" s="216"/>
      <c r="AL748" s="217"/>
      <c r="AM748" s="218"/>
    </row>
    <row r="749" spans="1:57" ht="14.25" hidden="1" customHeight="1" x14ac:dyDescent="0.2">
      <c r="A749" s="842"/>
      <c r="C749" s="279"/>
      <c r="D749" s="279"/>
      <c r="E749" s="199"/>
      <c r="I749" s="201"/>
      <c r="J749" s="207"/>
      <c r="K749" s="281"/>
      <c r="L749" s="225"/>
      <c r="M749" s="226"/>
      <c r="N749" s="209"/>
      <c r="O749" s="174"/>
      <c r="U749" s="210"/>
      <c r="V749" s="211"/>
      <c r="W749" s="210"/>
      <c r="X749" s="210"/>
      <c r="Y749" s="210"/>
      <c r="Z749" s="212"/>
      <c r="AA749" s="210"/>
      <c r="AB749" s="213"/>
      <c r="AC749" s="214"/>
      <c r="AD749" s="214"/>
      <c r="AE749" s="215"/>
      <c r="AF749" s="214"/>
      <c r="AG749" s="214"/>
      <c r="AH749" s="215"/>
      <c r="AI749" s="216"/>
      <c r="AL749" s="217"/>
      <c r="AM749" s="218"/>
    </row>
    <row r="750" spans="1:57" ht="14.25" hidden="1" customHeight="1" x14ac:dyDescent="0.2">
      <c r="A750" s="842"/>
      <c r="C750" s="279"/>
      <c r="D750" s="279"/>
      <c r="E750" s="199"/>
      <c r="I750" s="201"/>
      <c r="J750" s="207"/>
      <c r="K750" s="281"/>
      <c r="L750" s="225"/>
      <c r="M750" s="226"/>
      <c r="N750" s="209"/>
      <c r="O750" s="174"/>
      <c r="U750" s="210"/>
      <c r="V750" s="211"/>
      <c r="W750" s="210"/>
      <c r="X750" s="210"/>
      <c r="Y750" s="210"/>
      <c r="Z750" s="212"/>
      <c r="AA750" s="210"/>
      <c r="AB750" s="213"/>
      <c r="AC750" s="214"/>
      <c r="AD750" s="214"/>
      <c r="AE750" s="215"/>
      <c r="AF750" s="214"/>
      <c r="AG750" s="214"/>
      <c r="AH750" s="215"/>
      <c r="AI750" s="216"/>
      <c r="AL750" s="217"/>
      <c r="AM750" s="218"/>
      <c r="AP750" s="245"/>
      <c r="AQ750" s="245"/>
      <c r="AR750" s="245"/>
      <c r="AS750" s="245"/>
      <c r="AT750" s="245"/>
      <c r="AU750" s="245"/>
      <c r="AV750" s="245"/>
      <c r="AW750" s="245"/>
      <c r="AX750" s="245"/>
      <c r="AY750" s="245"/>
      <c r="BA750" s="245"/>
      <c r="BB750" s="245"/>
      <c r="BC750" s="245"/>
      <c r="BD750" s="245"/>
      <c r="BE750" s="245"/>
    </row>
    <row r="751" spans="1:57" ht="14.25" hidden="1" customHeight="1" x14ac:dyDescent="0.2">
      <c r="A751" s="842"/>
      <c r="C751" s="279"/>
      <c r="D751" s="279"/>
      <c r="E751" s="199"/>
      <c r="I751" s="201"/>
      <c r="J751" s="223"/>
      <c r="K751" s="281"/>
      <c r="L751" s="225"/>
      <c r="M751" s="226"/>
      <c r="N751" s="209"/>
      <c r="O751" s="174"/>
      <c r="P751" s="209"/>
      <c r="Q751" s="209"/>
      <c r="R751" s="209"/>
      <c r="S751" s="209"/>
      <c r="U751" s="210"/>
      <c r="V751" s="211"/>
      <c r="W751" s="210"/>
      <c r="X751" s="210"/>
      <c r="Y751" s="210"/>
      <c r="Z751" s="212"/>
      <c r="AA751" s="210"/>
      <c r="AB751" s="213"/>
      <c r="AC751" s="214"/>
      <c r="AD751" s="214"/>
      <c r="AE751" s="215"/>
      <c r="AF751" s="214"/>
      <c r="AG751" s="214"/>
      <c r="AH751" s="215"/>
      <c r="AI751" s="216"/>
      <c r="AL751" s="217"/>
      <c r="AM751" s="218"/>
      <c r="AP751" s="245"/>
      <c r="AQ751" s="245"/>
      <c r="AR751" s="245"/>
      <c r="AS751" s="245"/>
      <c r="AT751" s="245"/>
      <c r="AU751" s="245"/>
      <c r="AV751" s="245"/>
      <c r="AW751" s="245"/>
      <c r="AX751" s="245"/>
      <c r="AY751" s="245"/>
      <c r="BA751" s="245"/>
      <c r="BB751" s="245"/>
      <c r="BC751" s="245"/>
      <c r="BD751" s="245"/>
      <c r="BE751" s="245"/>
    </row>
    <row r="752" spans="1:57" ht="14.25" hidden="1" customHeight="1" x14ac:dyDescent="0.2">
      <c r="A752" s="842"/>
      <c r="C752" s="279"/>
      <c r="D752" s="279"/>
      <c r="E752" s="199"/>
      <c r="I752" s="201"/>
      <c r="J752" s="223"/>
      <c r="K752" s="281"/>
      <c r="L752" s="225"/>
      <c r="M752" s="226"/>
      <c r="N752" s="209"/>
      <c r="O752" s="174"/>
      <c r="P752" s="209"/>
      <c r="Q752" s="209"/>
      <c r="R752" s="209"/>
      <c r="S752" s="209"/>
      <c r="U752" s="210"/>
      <c r="V752" s="211"/>
      <c r="W752" s="210"/>
      <c r="X752" s="210"/>
      <c r="Y752" s="210"/>
      <c r="Z752" s="212"/>
      <c r="AA752" s="210"/>
      <c r="AB752" s="213"/>
      <c r="AC752" s="214"/>
      <c r="AD752" s="214"/>
      <c r="AE752" s="215"/>
      <c r="AF752" s="214"/>
      <c r="AG752" s="214"/>
      <c r="AH752" s="215"/>
      <c r="AI752" s="216"/>
      <c r="AL752" s="217"/>
      <c r="AM752" s="218"/>
      <c r="AP752" s="245"/>
      <c r="AQ752" s="245"/>
      <c r="AR752" s="245"/>
      <c r="AS752" s="245"/>
      <c r="AT752" s="245"/>
      <c r="AU752" s="245"/>
      <c r="AV752" s="245"/>
      <c r="AW752" s="245"/>
      <c r="AX752" s="245"/>
      <c r="AY752" s="245"/>
      <c r="BA752" s="245"/>
      <c r="BB752" s="245"/>
      <c r="BC752" s="245"/>
      <c r="BD752" s="245"/>
      <c r="BE752" s="245"/>
    </row>
    <row r="753" spans="1:57" ht="14.25" hidden="1" customHeight="1" x14ac:dyDescent="0.2">
      <c r="A753" s="842"/>
      <c r="C753" s="279"/>
      <c r="D753" s="279"/>
      <c r="E753" s="199"/>
      <c r="I753" s="201"/>
      <c r="J753" s="223"/>
      <c r="K753" s="282"/>
      <c r="L753" s="225"/>
      <c r="M753" s="226"/>
      <c r="N753" s="209"/>
      <c r="O753" s="174"/>
      <c r="P753" s="209"/>
      <c r="Q753" s="209"/>
      <c r="R753" s="209"/>
      <c r="S753" s="209"/>
      <c r="U753" s="210"/>
      <c r="V753" s="211"/>
      <c r="W753" s="210"/>
      <c r="X753" s="210"/>
      <c r="Y753" s="210"/>
      <c r="Z753" s="212"/>
      <c r="AA753" s="210"/>
      <c r="AB753" s="213"/>
      <c r="AC753" s="214"/>
      <c r="AD753" s="214"/>
      <c r="AE753" s="215"/>
      <c r="AF753" s="214"/>
      <c r="AG753" s="214"/>
      <c r="AH753" s="215"/>
      <c r="AI753" s="216"/>
      <c r="AL753" s="217"/>
      <c r="AM753" s="218"/>
      <c r="AP753" s="245"/>
      <c r="AQ753" s="245"/>
      <c r="AR753" s="245"/>
      <c r="AS753" s="245"/>
      <c r="AT753" s="245"/>
      <c r="AU753" s="245"/>
      <c r="AV753" s="245"/>
      <c r="AW753" s="245"/>
      <c r="AX753" s="245"/>
      <c r="AY753" s="245"/>
      <c r="BA753" s="245"/>
      <c r="BB753" s="245"/>
      <c r="BC753" s="245"/>
      <c r="BD753" s="245"/>
      <c r="BE753" s="245"/>
    </row>
    <row r="754" spans="1:57" ht="14.25" hidden="1" customHeight="1" x14ac:dyDescent="0.2">
      <c r="A754" s="842"/>
      <c r="C754" s="279"/>
      <c r="D754" s="279"/>
      <c r="E754" s="199"/>
      <c r="I754" s="201"/>
      <c r="J754" s="223"/>
      <c r="K754" s="281"/>
      <c r="L754" s="225"/>
      <c r="M754" s="226"/>
      <c r="N754" s="209"/>
      <c r="O754" s="174"/>
      <c r="P754" s="209"/>
      <c r="Q754" s="209"/>
      <c r="R754" s="209"/>
      <c r="S754" s="209"/>
      <c r="U754" s="210"/>
      <c r="V754" s="211"/>
      <c r="W754" s="210"/>
      <c r="X754" s="210"/>
      <c r="Y754" s="210"/>
      <c r="Z754" s="212"/>
      <c r="AA754" s="210"/>
      <c r="AB754" s="213"/>
      <c r="AC754" s="214"/>
      <c r="AD754" s="214"/>
      <c r="AE754" s="215"/>
      <c r="AF754" s="214"/>
      <c r="AG754" s="214"/>
      <c r="AH754" s="215"/>
      <c r="AI754" s="216"/>
      <c r="AL754" s="217"/>
      <c r="AM754" s="218"/>
      <c r="AP754" s="245"/>
      <c r="AQ754" s="245"/>
      <c r="AR754" s="245"/>
      <c r="AS754" s="245"/>
      <c r="AT754" s="245"/>
      <c r="AU754" s="245"/>
      <c r="AV754" s="245"/>
      <c r="AW754" s="245"/>
      <c r="AX754" s="245"/>
      <c r="AY754" s="245"/>
      <c r="BA754" s="245"/>
      <c r="BB754" s="245"/>
      <c r="BC754" s="245"/>
      <c r="BD754" s="245"/>
      <c r="BE754" s="245"/>
    </row>
    <row r="755" spans="1:57" ht="14.25" hidden="1" customHeight="1" x14ac:dyDescent="0.2">
      <c r="A755" s="842"/>
      <c r="C755" s="279"/>
      <c r="D755" s="279"/>
      <c r="E755" s="199"/>
      <c r="I755" s="201"/>
      <c r="J755" s="223"/>
      <c r="K755" s="281"/>
      <c r="L755" s="225"/>
      <c r="M755" s="226"/>
      <c r="N755" s="209"/>
      <c r="O755" s="174"/>
      <c r="P755" s="209"/>
      <c r="Q755" s="209"/>
      <c r="R755" s="209"/>
      <c r="S755" s="209"/>
      <c r="U755" s="210"/>
      <c r="V755" s="211"/>
      <c r="W755" s="210"/>
      <c r="X755" s="210"/>
      <c r="Y755" s="210"/>
      <c r="Z755" s="212"/>
      <c r="AA755" s="210"/>
      <c r="AB755" s="213"/>
      <c r="AC755" s="214"/>
      <c r="AD755" s="214"/>
      <c r="AE755" s="215"/>
      <c r="AF755" s="214"/>
      <c r="AG755" s="214"/>
      <c r="AH755" s="215"/>
      <c r="AI755" s="216"/>
      <c r="AL755" s="217"/>
      <c r="AM755" s="218"/>
      <c r="AP755" s="245"/>
      <c r="AQ755" s="245"/>
      <c r="AR755" s="245"/>
      <c r="AS755" s="245"/>
      <c r="AT755" s="245"/>
      <c r="AU755" s="245"/>
      <c r="AV755" s="245"/>
      <c r="AW755" s="245"/>
      <c r="AX755" s="245"/>
      <c r="AY755" s="245"/>
      <c r="BA755" s="245"/>
      <c r="BB755" s="245"/>
      <c r="BC755" s="245"/>
      <c r="BD755" s="245"/>
      <c r="BE755" s="245"/>
    </row>
    <row r="756" spans="1:57" ht="14.25" hidden="1" customHeight="1" x14ac:dyDescent="0.2">
      <c r="A756" s="842"/>
      <c r="C756" s="279"/>
      <c r="D756" s="279"/>
      <c r="E756" s="199"/>
      <c r="I756" s="201"/>
      <c r="J756" s="223"/>
      <c r="K756" s="281"/>
      <c r="L756" s="225"/>
      <c r="M756" s="226"/>
      <c r="N756" s="209"/>
      <c r="O756" s="174"/>
      <c r="P756" s="209"/>
      <c r="Q756" s="209"/>
      <c r="R756" s="209"/>
      <c r="S756" s="209"/>
      <c r="U756" s="210"/>
      <c r="V756" s="211"/>
      <c r="W756" s="210"/>
      <c r="X756" s="210"/>
      <c r="Y756" s="210"/>
      <c r="Z756" s="212"/>
      <c r="AA756" s="210"/>
      <c r="AB756" s="213"/>
      <c r="AC756" s="214"/>
      <c r="AD756" s="214"/>
      <c r="AE756" s="215"/>
      <c r="AF756" s="214"/>
      <c r="AG756" s="214"/>
      <c r="AH756" s="215"/>
      <c r="AI756" s="216"/>
      <c r="AL756" s="217"/>
      <c r="AM756" s="218"/>
      <c r="AP756" s="245"/>
      <c r="AQ756" s="245"/>
      <c r="AR756" s="245"/>
      <c r="AS756" s="245"/>
      <c r="AT756" s="245"/>
      <c r="AU756" s="245"/>
      <c r="AV756" s="245"/>
      <c r="AW756" s="245"/>
      <c r="AX756" s="245"/>
      <c r="AY756" s="245"/>
      <c r="BA756" s="245"/>
      <c r="BB756" s="245"/>
      <c r="BC756" s="245"/>
      <c r="BD756" s="245"/>
      <c r="BE756" s="245"/>
    </row>
    <row r="757" spans="1:57" ht="14.25" hidden="1" customHeight="1" x14ac:dyDescent="0.2">
      <c r="A757" s="842"/>
      <c r="C757" s="279"/>
      <c r="D757" s="279"/>
      <c r="E757" s="199"/>
      <c r="I757" s="201"/>
      <c r="J757" s="223"/>
      <c r="K757" s="281"/>
      <c r="L757" s="225"/>
      <c r="M757" s="226"/>
      <c r="N757" s="209"/>
      <c r="O757" s="174"/>
      <c r="P757" s="209"/>
      <c r="Q757" s="209"/>
      <c r="R757" s="209"/>
      <c r="S757" s="209"/>
      <c r="U757" s="210"/>
      <c r="V757" s="211"/>
      <c r="W757" s="210"/>
      <c r="X757" s="210"/>
      <c r="Y757" s="210"/>
      <c r="Z757" s="212"/>
      <c r="AA757" s="210"/>
      <c r="AB757" s="213"/>
      <c r="AC757" s="214"/>
      <c r="AD757" s="214"/>
      <c r="AE757" s="215"/>
      <c r="AF757" s="214"/>
      <c r="AG757" s="214"/>
      <c r="AH757" s="215"/>
      <c r="AI757" s="216"/>
      <c r="AL757" s="217"/>
      <c r="AM757" s="218"/>
      <c r="AP757" s="245"/>
      <c r="AQ757" s="245"/>
      <c r="AR757" s="245"/>
      <c r="AS757" s="245"/>
      <c r="AT757" s="245"/>
      <c r="AU757" s="245"/>
      <c r="AV757" s="245"/>
      <c r="AW757" s="245"/>
      <c r="AX757" s="245"/>
      <c r="AY757" s="245"/>
      <c r="BA757" s="245"/>
      <c r="BB757" s="245"/>
      <c r="BC757" s="245"/>
      <c r="BD757" s="245"/>
      <c r="BE757" s="245"/>
    </row>
    <row r="758" spans="1:57" ht="14.25" hidden="1" customHeight="1" x14ac:dyDescent="0.2">
      <c r="A758" s="842"/>
      <c r="C758" s="279"/>
      <c r="D758" s="279"/>
      <c r="E758" s="199"/>
      <c r="I758" s="201"/>
      <c r="J758" s="169"/>
      <c r="K758" s="281"/>
      <c r="L758" s="228"/>
      <c r="M758" s="228"/>
      <c r="N758" s="228"/>
      <c r="O758" s="174"/>
      <c r="P758" s="209"/>
      <c r="Q758" s="209"/>
      <c r="R758" s="209"/>
      <c r="S758" s="209"/>
      <c r="U758" s="210"/>
      <c r="V758" s="211"/>
      <c r="W758" s="210"/>
      <c r="X758" s="210"/>
      <c r="Y758" s="210"/>
      <c r="Z758" s="212"/>
      <c r="AA758" s="210"/>
      <c r="AB758" s="213"/>
      <c r="AC758" s="214"/>
      <c r="AD758" s="214"/>
      <c r="AE758" s="215"/>
      <c r="AF758" s="214"/>
      <c r="AG758" s="214"/>
      <c r="AH758" s="215"/>
      <c r="AI758" s="216"/>
      <c r="AL758" s="217"/>
      <c r="AM758" s="218"/>
      <c r="AP758" s="245"/>
      <c r="AQ758" s="245"/>
      <c r="AR758" s="245"/>
      <c r="AS758" s="245"/>
      <c r="AT758" s="245"/>
      <c r="AU758" s="245"/>
      <c r="AV758" s="245"/>
      <c r="AW758" s="245"/>
      <c r="AX758" s="245"/>
      <c r="AY758" s="245"/>
      <c r="BA758" s="245"/>
      <c r="BB758" s="245"/>
      <c r="BC758" s="245"/>
      <c r="BD758" s="245"/>
      <c r="BE758" s="245"/>
    </row>
    <row r="759" spans="1:57" ht="14.25" hidden="1" customHeight="1" x14ac:dyDescent="0.2">
      <c r="A759" s="842"/>
      <c r="E759" s="247"/>
      <c r="F759" s="248"/>
      <c r="G759" s="248"/>
      <c r="H759" s="248"/>
      <c r="I759" s="247"/>
      <c r="J759" s="172"/>
      <c r="K759" s="228"/>
      <c r="L759" s="228"/>
      <c r="M759" s="228"/>
      <c r="N759" s="228"/>
      <c r="O759" s="174"/>
      <c r="P759" s="209"/>
      <c r="Q759" s="209"/>
      <c r="R759" s="209"/>
      <c r="S759" s="209"/>
      <c r="W759" s="231"/>
      <c r="AC759" s="233"/>
      <c r="AD759" s="233"/>
      <c r="AE759" s="234"/>
      <c r="AF759" s="233"/>
      <c r="AG759" s="233"/>
      <c r="AH759" s="234"/>
      <c r="AI759" s="234"/>
      <c r="AP759" s="245"/>
      <c r="AQ759" s="245"/>
      <c r="AR759" s="245"/>
      <c r="AS759" s="245"/>
      <c r="AT759" s="245"/>
      <c r="AU759" s="245"/>
      <c r="AV759" s="245"/>
      <c r="AW759" s="245"/>
      <c r="AX759" s="245"/>
      <c r="AY759" s="245"/>
      <c r="BA759" s="245"/>
      <c r="BB759" s="245"/>
      <c r="BC759" s="245"/>
      <c r="BD759" s="245"/>
      <c r="BE759" s="245"/>
    </row>
    <row r="760" spans="1:57" ht="14.25" hidden="1" customHeight="1" x14ac:dyDescent="0.2">
      <c r="A760" s="842"/>
      <c r="E760" s="224"/>
      <c r="F760" s="225"/>
      <c r="G760" s="226"/>
      <c r="H760" s="209"/>
      <c r="I760" s="227"/>
      <c r="J760" s="169"/>
      <c r="K760" s="228"/>
      <c r="L760" s="225"/>
      <c r="M760" s="226"/>
      <c r="N760" s="209"/>
      <c r="O760" s="174"/>
      <c r="P760" s="209"/>
      <c r="Q760" s="209"/>
      <c r="R760" s="209"/>
      <c r="S760" s="209"/>
      <c r="W760" s="231"/>
      <c r="AC760" s="233"/>
      <c r="AD760" s="233"/>
      <c r="AE760" s="234"/>
      <c r="AF760" s="233"/>
      <c r="AG760" s="233"/>
      <c r="AH760" s="234"/>
      <c r="AI760" s="197"/>
      <c r="AP760" s="245"/>
      <c r="AQ760" s="245"/>
      <c r="AR760" s="245"/>
      <c r="AS760" s="245"/>
      <c r="AT760" s="245"/>
      <c r="AU760" s="245"/>
      <c r="AV760" s="245"/>
      <c r="AW760" s="245"/>
      <c r="AX760" s="245"/>
      <c r="AY760" s="245"/>
      <c r="BA760" s="245"/>
      <c r="BB760" s="245"/>
      <c r="BC760" s="245"/>
      <c r="BD760" s="245"/>
      <c r="BE760" s="245"/>
    </row>
    <row r="761" spans="1:57" ht="14.25" hidden="1" customHeight="1" x14ac:dyDescent="0.2">
      <c r="A761" s="842"/>
      <c r="B761" s="187"/>
      <c r="C761" s="188"/>
      <c r="D761" s="188"/>
      <c r="E761" s="844"/>
      <c r="F761" s="844"/>
      <c r="G761" s="844"/>
      <c r="H761" s="844"/>
      <c r="I761" s="189"/>
      <c r="J761" s="190"/>
      <c r="K761" s="191"/>
      <c r="L761" s="192"/>
      <c r="U761" s="229"/>
      <c r="V761" s="230"/>
      <c r="W761" s="231"/>
      <c r="X761" s="231"/>
      <c r="Y761" s="231"/>
      <c r="Z761" s="232"/>
      <c r="AA761" s="231"/>
      <c r="AC761" s="197"/>
      <c r="AD761" s="197"/>
      <c r="AE761" s="197"/>
      <c r="AF761" s="197"/>
      <c r="AG761" s="197"/>
      <c r="AH761" s="197"/>
      <c r="AI761" s="197"/>
      <c r="AQ761" s="245"/>
      <c r="AR761" s="245"/>
      <c r="AS761" s="245"/>
      <c r="AT761" s="245"/>
    </row>
    <row r="762" spans="1:57" ht="9" hidden="1" customHeight="1" x14ac:dyDescent="0.2">
      <c r="A762" s="842"/>
      <c r="J762" s="169"/>
      <c r="K762" s="228"/>
      <c r="L762" s="225"/>
      <c r="M762" s="226"/>
      <c r="N762" s="209"/>
      <c r="O762" s="174"/>
      <c r="P762" s="209"/>
      <c r="Q762" s="209"/>
      <c r="R762" s="209"/>
      <c r="S762" s="209"/>
      <c r="AP762" s="245"/>
      <c r="AQ762" s="245"/>
      <c r="AR762" s="245"/>
      <c r="AS762" s="245"/>
      <c r="AT762" s="245"/>
      <c r="AU762" s="245"/>
      <c r="AV762" s="245"/>
      <c r="AW762" s="245"/>
      <c r="AX762" s="245"/>
      <c r="AY762" s="245"/>
      <c r="BA762" s="245"/>
      <c r="BB762" s="245"/>
      <c r="BC762" s="245"/>
      <c r="BD762" s="245"/>
      <c r="BE762" s="245"/>
    </row>
    <row r="763" spans="1:57" ht="14.25" hidden="1" customHeight="1" x14ac:dyDescent="0.2">
      <c r="A763" s="842"/>
      <c r="C763" s="279"/>
      <c r="D763" s="279"/>
      <c r="E763" s="199"/>
      <c r="I763" s="201"/>
      <c r="J763" s="207"/>
      <c r="K763" s="280"/>
      <c r="L763" s="225"/>
      <c r="M763" s="226"/>
      <c r="N763" s="209"/>
      <c r="O763" s="174"/>
      <c r="P763" s="209"/>
      <c r="Q763" s="209"/>
      <c r="R763" s="209"/>
      <c r="S763" s="209"/>
      <c r="U763" s="210"/>
      <c r="V763" s="211"/>
      <c r="W763" s="210"/>
      <c r="X763" s="210"/>
      <c r="Y763" s="210"/>
      <c r="Z763" s="212"/>
      <c r="AA763" s="210"/>
      <c r="AB763" s="213"/>
      <c r="AC763" s="214"/>
      <c r="AD763" s="214"/>
      <c r="AE763" s="215"/>
      <c r="AF763" s="214"/>
      <c r="AG763" s="214"/>
      <c r="AH763" s="215"/>
      <c r="AI763" s="216"/>
      <c r="AL763" s="217"/>
      <c r="AM763" s="218"/>
      <c r="AQ763" s="245"/>
      <c r="AR763" s="245"/>
      <c r="AS763" s="245"/>
      <c r="AT763" s="245"/>
    </row>
    <row r="764" spans="1:57" ht="14.25" hidden="1" customHeight="1" x14ac:dyDescent="0.2">
      <c r="A764" s="842"/>
      <c r="C764" s="279"/>
      <c r="D764" s="279"/>
      <c r="E764" s="199"/>
      <c r="I764" s="201"/>
      <c r="J764" s="207"/>
      <c r="K764" s="281"/>
      <c r="L764" s="225"/>
      <c r="M764" s="226"/>
      <c r="N764" s="209"/>
      <c r="O764" s="174"/>
      <c r="U764" s="210"/>
      <c r="V764" s="211"/>
      <c r="W764" s="210"/>
      <c r="X764" s="210"/>
      <c r="Y764" s="210"/>
      <c r="Z764" s="212"/>
      <c r="AA764" s="210"/>
      <c r="AB764" s="213"/>
      <c r="AC764" s="214"/>
      <c r="AD764" s="214"/>
      <c r="AE764" s="215"/>
      <c r="AF764" s="214"/>
      <c r="AG764" s="214"/>
      <c r="AH764" s="215"/>
      <c r="AI764" s="216"/>
      <c r="AL764" s="217"/>
      <c r="AM764" s="218"/>
    </row>
    <row r="765" spans="1:57" ht="14.25" hidden="1" customHeight="1" x14ac:dyDescent="0.2">
      <c r="A765" s="842"/>
      <c r="C765" s="279"/>
      <c r="D765" s="279"/>
      <c r="E765" s="199"/>
      <c r="I765" s="201"/>
      <c r="J765" s="207"/>
      <c r="K765" s="281"/>
      <c r="L765" s="225"/>
      <c r="M765" s="226"/>
      <c r="N765" s="209"/>
      <c r="O765" s="174"/>
      <c r="U765" s="210"/>
      <c r="V765" s="211"/>
      <c r="W765" s="210"/>
      <c r="X765" s="210"/>
      <c r="Y765" s="210"/>
      <c r="Z765" s="212"/>
      <c r="AA765" s="210"/>
      <c r="AB765" s="213"/>
      <c r="AC765" s="214"/>
      <c r="AD765" s="214"/>
      <c r="AE765" s="215"/>
      <c r="AF765" s="214"/>
      <c r="AG765" s="214"/>
      <c r="AH765" s="215"/>
      <c r="AI765" s="216"/>
      <c r="AL765" s="217"/>
      <c r="AM765" s="218"/>
    </row>
    <row r="766" spans="1:57" ht="14.25" hidden="1" customHeight="1" x14ac:dyDescent="0.2">
      <c r="A766" s="842"/>
      <c r="C766" s="279"/>
      <c r="D766" s="279"/>
      <c r="E766" s="199"/>
      <c r="I766" s="201"/>
      <c r="J766" s="207"/>
      <c r="K766" s="281"/>
      <c r="L766" s="225"/>
      <c r="M766" s="226"/>
      <c r="N766" s="209"/>
      <c r="O766" s="174"/>
      <c r="U766" s="210"/>
      <c r="V766" s="211"/>
      <c r="W766" s="210"/>
      <c r="X766" s="210"/>
      <c r="Y766" s="210"/>
      <c r="Z766" s="212"/>
      <c r="AA766" s="210"/>
      <c r="AB766" s="213"/>
      <c r="AC766" s="214"/>
      <c r="AD766" s="214"/>
      <c r="AE766" s="215"/>
      <c r="AF766" s="214"/>
      <c r="AG766" s="214"/>
      <c r="AH766" s="215"/>
      <c r="AI766" s="216"/>
      <c r="AL766" s="217"/>
      <c r="AM766" s="218"/>
      <c r="AP766" s="245"/>
      <c r="AQ766" s="245"/>
      <c r="AR766" s="245"/>
      <c r="AS766" s="245"/>
      <c r="AT766" s="245"/>
      <c r="AU766" s="245"/>
      <c r="AV766" s="245"/>
      <c r="AW766" s="245"/>
      <c r="AX766" s="245"/>
      <c r="AY766" s="245"/>
      <c r="BA766" s="245"/>
      <c r="BB766" s="245"/>
      <c r="BC766" s="245"/>
      <c r="BD766" s="245"/>
      <c r="BE766" s="245"/>
    </row>
    <row r="767" spans="1:57" ht="14.25" hidden="1" customHeight="1" x14ac:dyDescent="0.2">
      <c r="A767" s="842"/>
      <c r="C767" s="279"/>
      <c r="D767" s="279"/>
      <c r="E767" s="199"/>
      <c r="I767" s="201"/>
      <c r="J767" s="223"/>
      <c r="K767" s="281"/>
      <c r="L767" s="225"/>
      <c r="M767" s="226"/>
      <c r="N767" s="209"/>
      <c r="O767" s="174"/>
      <c r="P767" s="209"/>
      <c r="Q767" s="209"/>
      <c r="R767" s="209"/>
      <c r="S767" s="209"/>
      <c r="U767" s="210"/>
      <c r="V767" s="211"/>
      <c r="W767" s="210"/>
      <c r="X767" s="210"/>
      <c r="Y767" s="210"/>
      <c r="Z767" s="212"/>
      <c r="AA767" s="210"/>
      <c r="AB767" s="213"/>
      <c r="AC767" s="214"/>
      <c r="AD767" s="214"/>
      <c r="AE767" s="215"/>
      <c r="AF767" s="214"/>
      <c r="AG767" s="214"/>
      <c r="AH767" s="215"/>
      <c r="AI767" s="216"/>
      <c r="AL767" s="217"/>
      <c r="AM767" s="218"/>
      <c r="AP767" s="245"/>
      <c r="AQ767" s="245"/>
      <c r="AR767" s="245"/>
      <c r="AS767" s="245"/>
      <c r="AT767" s="245"/>
      <c r="AU767" s="245"/>
      <c r="AV767" s="245"/>
      <c r="AW767" s="245"/>
      <c r="AX767" s="245"/>
      <c r="AY767" s="245"/>
      <c r="BA767" s="245"/>
      <c r="BB767" s="245"/>
      <c r="BC767" s="245"/>
      <c r="BD767" s="245"/>
      <c r="BE767" s="245"/>
    </row>
    <row r="768" spans="1:57" ht="14.25" hidden="1" customHeight="1" x14ac:dyDescent="0.2">
      <c r="A768" s="842"/>
      <c r="C768" s="279"/>
      <c r="D768" s="279"/>
      <c r="E768" s="199"/>
      <c r="I768" s="201"/>
      <c r="J768" s="223"/>
      <c r="K768" s="281"/>
      <c r="L768" s="225"/>
      <c r="M768" s="226"/>
      <c r="N768" s="209"/>
      <c r="O768" s="174"/>
      <c r="P768" s="209"/>
      <c r="Q768" s="209"/>
      <c r="R768" s="209"/>
      <c r="S768" s="209"/>
      <c r="U768" s="210"/>
      <c r="V768" s="211"/>
      <c r="W768" s="210"/>
      <c r="X768" s="210"/>
      <c r="Y768" s="210"/>
      <c r="Z768" s="212"/>
      <c r="AA768" s="210"/>
      <c r="AB768" s="213"/>
      <c r="AC768" s="214"/>
      <c r="AD768" s="214"/>
      <c r="AE768" s="215"/>
      <c r="AF768" s="214"/>
      <c r="AG768" s="214"/>
      <c r="AH768" s="215"/>
      <c r="AI768" s="216"/>
      <c r="AL768" s="217"/>
      <c r="AM768" s="218"/>
      <c r="AP768" s="245"/>
      <c r="AQ768" s="245"/>
      <c r="AR768" s="245"/>
      <c r="AS768" s="245"/>
      <c r="AT768" s="245"/>
      <c r="AU768" s="245"/>
      <c r="AV768" s="245"/>
      <c r="AW768" s="245"/>
      <c r="AX768" s="245"/>
      <c r="AY768" s="245"/>
      <c r="BA768" s="245"/>
      <c r="BB768" s="245"/>
      <c r="BC768" s="245"/>
      <c r="BD768" s="245"/>
      <c r="BE768" s="245"/>
    </row>
    <row r="769" spans="1:57" ht="14.25" hidden="1" customHeight="1" x14ac:dyDescent="0.2">
      <c r="A769" s="842"/>
      <c r="C769" s="279"/>
      <c r="D769" s="279"/>
      <c r="E769" s="199"/>
      <c r="I769" s="201"/>
      <c r="J769" s="223"/>
      <c r="K769" s="282"/>
      <c r="L769" s="225"/>
      <c r="M769" s="226"/>
      <c r="N769" s="209"/>
      <c r="O769" s="174"/>
      <c r="P769" s="209"/>
      <c r="Q769" s="209"/>
      <c r="R769" s="209"/>
      <c r="S769" s="209"/>
      <c r="U769" s="210"/>
      <c r="V769" s="211"/>
      <c r="W769" s="210"/>
      <c r="X769" s="210"/>
      <c r="Y769" s="210"/>
      <c r="Z769" s="212"/>
      <c r="AA769" s="210"/>
      <c r="AB769" s="213"/>
      <c r="AC769" s="214"/>
      <c r="AD769" s="214"/>
      <c r="AE769" s="215"/>
      <c r="AF769" s="214"/>
      <c r="AG769" s="214"/>
      <c r="AH769" s="215"/>
      <c r="AI769" s="216"/>
      <c r="AL769" s="217"/>
      <c r="AM769" s="218"/>
      <c r="AP769" s="245"/>
      <c r="AQ769" s="245"/>
      <c r="AR769" s="245"/>
      <c r="AS769" s="245"/>
      <c r="AT769" s="245"/>
      <c r="AU769" s="245"/>
      <c r="AV769" s="245"/>
      <c r="AW769" s="245"/>
      <c r="AX769" s="245"/>
      <c r="AY769" s="245"/>
      <c r="BA769" s="245"/>
      <c r="BB769" s="245"/>
      <c r="BC769" s="245"/>
      <c r="BD769" s="245"/>
      <c r="BE769" s="245"/>
    </row>
    <row r="770" spans="1:57" ht="14.25" hidden="1" customHeight="1" x14ac:dyDescent="0.2">
      <c r="A770" s="842"/>
      <c r="C770" s="279"/>
      <c r="D770" s="279"/>
      <c r="E770" s="199"/>
      <c r="I770" s="201"/>
      <c r="J770" s="223"/>
      <c r="K770" s="281"/>
      <c r="L770" s="225"/>
      <c r="M770" s="226"/>
      <c r="N770" s="209"/>
      <c r="O770" s="174"/>
      <c r="P770" s="209"/>
      <c r="Q770" s="209"/>
      <c r="R770" s="209"/>
      <c r="S770" s="209"/>
      <c r="U770" s="210"/>
      <c r="V770" s="211"/>
      <c r="W770" s="210"/>
      <c r="X770" s="210"/>
      <c r="Y770" s="210"/>
      <c r="Z770" s="212"/>
      <c r="AA770" s="210"/>
      <c r="AB770" s="213"/>
      <c r="AC770" s="214"/>
      <c r="AD770" s="214"/>
      <c r="AE770" s="215"/>
      <c r="AF770" s="214"/>
      <c r="AG770" s="214"/>
      <c r="AH770" s="215"/>
      <c r="AI770" s="216"/>
      <c r="AL770" s="217"/>
      <c r="AM770" s="218"/>
      <c r="AP770" s="245"/>
      <c r="AQ770" s="245"/>
      <c r="AR770" s="245"/>
      <c r="AS770" s="245"/>
      <c r="AT770" s="245"/>
      <c r="AU770" s="245"/>
      <c r="AV770" s="245"/>
      <c r="AW770" s="245"/>
      <c r="AX770" s="245"/>
      <c r="AY770" s="245"/>
      <c r="BA770" s="245"/>
      <c r="BB770" s="245"/>
      <c r="BC770" s="245"/>
      <c r="BD770" s="245"/>
      <c r="BE770" s="245"/>
    </row>
    <row r="771" spans="1:57" ht="14.25" hidden="1" customHeight="1" x14ac:dyDescent="0.2">
      <c r="A771" s="842"/>
      <c r="C771" s="279"/>
      <c r="D771" s="279"/>
      <c r="E771" s="199"/>
      <c r="I771" s="201"/>
      <c r="J771" s="223"/>
      <c r="K771" s="281"/>
      <c r="L771" s="225"/>
      <c r="M771" s="226"/>
      <c r="N771" s="209"/>
      <c r="O771" s="174"/>
      <c r="P771" s="209"/>
      <c r="Q771" s="209"/>
      <c r="R771" s="209"/>
      <c r="S771" s="209"/>
      <c r="U771" s="210"/>
      <c r="V771" s="211"/>
      <c r="W771" s="210"/>
      <c r="X771" s="210"/>
      <c r="Y771" s="210"/>
      <c r="Z771" s="212"/>
      <c r="AA771" s="210"/>
      <c r="AB771" s="213"/>
      <c r="AC771" s="214"/>
      <c r="AD771" s="214"/>
      <c r="AE771" s="215"/>
      <c r="AF771" s="214"/>
      <c r="AG771" s="214"/>
      <c r="AH771" s="215"/>
      <c r="AI771" s="216"/>
      <c r="AL771" s="217"/>
      <c r="AM771" s="218"/>
      <c r="AP771" s="245"/>
      <c r="AQ771" s="245"/>
      <c r="AR771" s="245"/>
      <c r="AS771" s="245"/>
      <c r="AT771" s="245"/>
      <c r="AU771" s="245"/>
      <c r="AV771" s="245"/>
      <c r="AW771" s="245"/>
      <c r="AX771" s="245"/>
      <c r="AY771" s="245"/>
      <c r="BA771" s="245"/>
      <c r="BB771" s="245"/>
      <c r="BC771" s="245"/>
      <c r="BD771" s="245"/>
      <c r="BE771" s="245"/>
    </row>
    <row r="772" spans="1:57" ht="14.25" hidden="1" customHeight="1" x14ac:dyDescent="0.2">
      <c r="A772" s="842"/>
      <c r="C772" s="279"/>
      <c r="D772" s="279"/>
      <c r="E772" s="199"/>
      <c r="I772" s="201"/>
      <c r="J772" s="223"/>
      <c r="K772" s="281"/>
      <c r="L772" s="225"/>
      <c r="M772" s="226"/>
      <c r="N772" s="209"/>
      <c r="O772" s="174"/>
      <c r="P772" s="209"/>
      <c r="Q772" s="209"/>
      <c r="R772" s="209"/>
      <c r="S772" s="209"/>
      <c r="U772" s="210"/>
      <c r="V772" s="211"/>
      <c r="W772" s="210"/>
      <c r="X772" s="210"/>
      <c r="Y772" s="210"/>
      <c r="Z772" s="212"/>
      <c r="AA772" s="210"/>
      <c r="AB772" s="213"/>
      <c r="AC772" s="214"/>
      <c r="AD772" s="214"/>
      <c r="AE772" s="215"/>
      <c r="AF772" s="214"/>
      <c r="AG772" s="214"/>
      <c r="AH772" s="215"/>
      <c r="AI772" s="216"/>
      <c r="AL772" s="217"/>
      <c r="AM772" s="218"/>
      <c r="AP772" s="245"/>
      <c r="AQ772" s="245"/>
      <c r="AR772" s="245"/>
      <c r="AS772" s="245"/>
      <c r="AT772" s="245"/>
      <c r="AU772" s="245"/>
      <c r="AV772" s="245"/>
      <c r="AW772" s="245"/>
      <c r="AX772" s="245"/>
      <c r="AY772" s="245"/>
      <c r="BA772" s="245"/>
      <c r="BB772" s="245"/>
      <c r="BC772" s="245"/>
      <c r="BD772" s="245"/>
      <c r="BE772" s="245"/>
    </row>
    <row r="773" spans="1:57" ht="14.25" hidden="1" customHeight="1" x14ac:dyDescent="0.2">
      <c r="A773" s="842"/>
      <c r="C773" s="279"/>
      <c r="D773" s="279"/>
      <c r="E773" s="199"/>
      <c r="I773" s="201"/>
      <c r="J773" s="223"/>
      <c r="K773" s="281"/>
      <c r="L773" s="225"/>
      <c r="M773" s="226"/>
      <c r="N773" s="209"/>
      <c r="O773" s="174"/>
      <c r="P773" s="209"/>
      <c r="Q773" s="209"/>
      <c r="R773" s="209"/>
      <c r="S773" s="209"/>
      <c r="U773" s="210"/>
      <c r="V773" s="211"/>
      <c r="W773" s="210"/>
      <c r="X773" s="210"/>
      <c r="Y773" s="210"/>
      <c r="Z773" s="212"/>
      <c r="AA773" s="210"/>
      <c r="AB773" s="213"/>
      <c r="AC773" s="214"/>
      <c r="AD773" s="214"/>
      <c r="AE773" s="215"/>
      <c r="AF773" s="214"/>
      <c r="AG773" s="214"/>
      <c r="AH773" s="215"/>
      <c r="AI773" s="216"/>
      <c r="AL773" s="217"/>
      <c r="AM773" s="218"/>
      <c r="AP773" s="245"/>
      <c r="AQ773" s="245"/>
      <c r="AR773" s="245"/>
      <c r="AS773" s="245"/>
      <c r="AT773" s="245"/>
      <c r="AU773" s="245"/>
      <c r="AV773" s="245"/>
      <c r="AW773" s="245"/>
      <c r="AX773" s="245"/>
      <c r="AY773" s="245"/>
      <c r="BA773" s="245"/>
      <c r="BB773" s="245"/>
      <c r="BC773" s="245"/>
      <c r="BD773" s="245"/>
      <c r="BE773" s="245"/>
    </row>
    <row r="774" spans="1:57" ht="14.25" hidden="1" customHeight="1" x14ac:dyDescent="0.2">
      <c r="A774" s="842"/>
      <c r="C774" s="279"/>
      <c r="D774" s="279"/>
      <c r="E774" s="199"/>
      <c r="I774" s="201"/>
      <c r="J774" s="169"/>
      <c r="K774" s="281"/>
      <c r="L774" s="228"/>
      <c r="M774" s="228"/>
      <c r="N774" s="228"/>
      <c r="O774" s="174"/>
      <c r="P774" s="209"/>
      <c r="Q774" s="209"/>
      <c r="R774" s="209"/>
      <c r="S774" s="209"/>
      <c r="U774" s="210"/>
      <c r="V774" s="211"/>
      <c r="W774" s="210"/>
      <c r="X774" s="210"/>
      <c r="Y774" s="210"/>
      <c r="Z774" s="212"/>
      <c r="AA774" s="210"/>
      <c r="AB774" s="213"/>
      <c r="AC774" s="214"/>
      <c r="AD774" s="214"/>
      <c r="AE774" s="215"/>
      <c r="AF774" s="214"/>
      <c r="AG774" s="214"/>
      <c r="AH774" s="215"/>
      <c r="AI774" s="216"/>
      <c r="AL774" s="217"/>
      <c r="AM774" s="218"/>
      <c r="AP774" s="245"/>
      <c r="AQ774" s="245"/>
      <c r="AR774" s="245"/>
      <c r="AS774" s="245"/>
      <c r="AT774" s="245"/>
      <c r="AU774" s="245"/>
      <c r="AV774" s="245"/>
      <c r="AW774" s="245"/>
      <c r="AX774" s="245"/>
      <c r="AY774" s="245"/>
      <c r="BA774" s="245"/>
      <c r="BB774" s="245"/>
      <c r="BC774" s="245"/>
      <c r="BD774" s="245"/>
      <c r="BE774" s="245"/>
    </row>
    <row r="775" spans="1:57" ht="14.25" hidden="1" customHeight="1" x14ac:dyDescent="0.2">
      <c r="A775" s="842"/>
      <c r="E775" s="247"/>
      <c r="F775" s="248"/>
      <c r="G775" s="248"/>
      <c r="H775" s="248"/>
      <c r="I775" s="247"/>
      <c r="J775" s="172"/>
      <c r="K775" s="228"/>
      <c r="L775" s="228"/>
      <c r="M775" s="228"/>
      <c r="N775" s="228"/>
      <c r="O775" s="174"/>
      <c r="P775" s="209"/>
      <c r="Q775" s="209"/>
      <c r="R775" s="209"/>
      <c r="S775" s="209"/>
      <c r="W775" s="231"/>
      <c r="AC775" s="233"/>
      <c r="AD775" s="233"/>
      <c r="AE775" s="234"/>
      <c r="AF775" s="233"/>
      <c r="AG775" s="233"/>
      <c r="AH775" s="234"/>
      <c r="AI775" s="234"/>
      <c r="AP775" s="245"/>
      <c r="AQ775" s="245"/>
      <c r="AR775" s="245"/>
      <c r="AS775" s="245"/>
      <c r="AT775" s="245"/>
      <c r="AU775" s="245"/>
      <c r="AV775" s="245"/>
      <c r="AW775" s="245"/>
      <c r="AX775" s="245"/>
      <c r="AY775" s="245"/>
      <c r="BA775" s="245"/>
      <c r="BB775" s="245"/>
      <c r="BC775" s="245"/>
      <c r="BD775" s="245"/>
      <c r="BE775" s="245"/>
    </row>
    <row r="776" spans="1:57" ht="14.25" customHeight="1" x14ac:dyDescent="0.2">
      <c r="W776" s="231"/>
      <c r="AC776" s="233"/>
      <c r="AD776" s="233"/>
      <c r="AE776" s="234"/>
      <c r="AF776" s="233"/>
      <c r="AG776" s="233"/>
      <c r="AH776" s="234"/>
      <c r="AI776" s="234"/>
    </row>
    <row r="777" spans="1:57" ht="14.25" customHeight="1" x14ac:dyDescent="0.2">
      <c r="W777" s="231"/>
      <c r="AC777" s="233"/>
      <c r="AD777" s="233"/>
      <c r="AE777" s="234"/>
      <c r="AF777" s="233"/>
      <c r="AG777" s="233"/>
      <c r="AH777" s="234"/>
      <c r="AI777" s="234"/>
    </row>
    <row r="778" spans="1:57" ht="14.25" customHeight="1" x14ac:dyDescent="0.2">
      <c r="W778" s="231"/>
      <c r="AC778" s="233"/>
      <c r="AD778" s="233"/>
      <c r="AE778" s="234"/>
      <c r="AF778" s="233"/>
      <c r="AG778" s="233"/>
      <c r="AH778" s="234"/>
      <c r="AI778" s="234"/>
    </row>
    <row r="779" spans="1:57" ht="14.25" customHeight="1" x14ac:dyDescent="0.2">
      <c r="W779" s="231"/>
      <c r="AC779" s="233"/>
      <c r="AD779" s="233"/>
      <c r="AE779" s="234"/>
      <c r="AF779" s="233"/>
      <c r="AG779" s="233"/>
      <c r="AH779" s="234"/>
      <c r="AI779" s="234"/>
    </row>
    <row r="780" spans="1:57" ht="14.25" customHeight="1" x14ac:dyDescent="0.2">
      <c r="W780" s="231"/>
      <c r="AC780" s="233"/>
      <c r="AD780" s="233"/>
      <c r="AE780" s="234"/>
      <c r="AF780" s="233"/>
      <c r="AG780" s="233"/>
      <c r="AH780" s="234"/>
      <c r="AI780" s="234"/>
    </row>
    <row r="781" spans="1:57" ht="11.25" customHeight="1" x14ac:dyDescent="0.2">
      <c r="W781" s="231"/>
      <c r="AC781" s="233"/>
      <c r="AD781" s="233"/>
      <c r="AE781" s="234"/>
      <c r="AF781" s="233"/>
      <c r="AG781" s="233"/>
      <c r="AH781" s="234"/>
      <c r="AI781" s="234"/>
    </row>
    <row r="782" spans="1:57" ht="11.25" customHeight="1" x14ac:dyDescent="0.2">
      <c r="W782" s="231"/>
      <c r="AC782" s="233"/>
      <c r="AD782" s="233"/>
      <c r="AE782" s="234"/>
      <c r="AF782" s="233"/>
      <c r="AG782" s="233"/>
      <c r="AH782" s="234"/>
      <c r="AI782" s="234"/>
    </row>
    <row r="783" spans="1:57" ht="11.25" customHeight="1" x14ac:dyDescent="0.2">
      <c r="W783" s="231"/>
      <c r="AC783" s="233"/>
      <c r="AD783" s="233"/>
      <c r="AE783" s="234"/>
      <c r="AF783" s="233"/>
      <c r="AG783" s="233"/>
      <c r="AH783" s="234"/>
      <c r="AI783" s="234"/>
    </row>
    <row r="784" spans="1:57" ht="11.25" customHeight="1" x14ac:dyDescent="0.2">
      <c r="W784" s="231"/>
      <c r="AC784" s="233"/>
      <c r="AD784" s="233"/>
      <c r="AE784" s="234"/>
      <c r="AF784" s="233"/>
      <c r="AG784" s="233"/>
      <c r="AH784" s="234"/>
      <c r="AI784" s="234"/>
    </row>
    <row r="785" spans="23:23" ht="11.25" customHeight="1" x14ac:dyDescent="0.2">
      <c r="W785" s="231"/>
    </row>
    <row r="786" spans="23:23" ht="11.25" customHeight="1" x14ac:dyDescent="0.2">
      <c r="W786" s="231"/>
    </row>
    <row r="787" spans="23:23" ht="11.25" customHeight="1" x14ac:dyDescent="0.2">
      <c r="W787" s="231"/>
    </row>
    <row r="788" spans="23:23" ht="11.25" customHeight="1" x14ac:dyDescent="0.2">
      <c r="W788" s="231"/>
    </row>
    <row r="789" spans="23:23" ht="11.25" customHeight="1" x14ac:dyDescent="0.2">
      <c r="W789" s="231"/>
    </row>
    <row r="790" spans="23:23" ht="11.25" customHeight="1" x14ac:dyDescent="0.2">
      <c r="W790" s="231"/>
    </row>
    <row r="791" spans="23:23" ht="11.25" customHeight="1" x14ac:dyDescent="0.2">
      <c r="W791" s="231"/>
    </row>
    <row r="792" spans="23:23" ht="11.25" customHeight="1" x14ac:dyDescent="0.2">
      <c r="W792" s="231"/>
    </row>
  </sheetData>
  <sheetProtection password="CE76" sheet="1" objects="1" scenarios="1"/>
  <mergeCells count="92">
    <mergeCell ref="A680:A695"/>
    <mergeCell ref="E681:H681"/>
    <mergeCell ref="A696:A711"/>
    <mergeCell ref="E697:H697"/>
    <mergeCell ref="E761:H761"/>
    <mergeCell ref="A712:A727"/>
    <mergeCell ref="E713:H713"/>
    <mergeCell ref="E729:H729"/>
    <mergeCell ref="E745:H745"/>
    <mergeCell ref="A760:A775"/>
    <mergeCell ref="A744:A759"/>
    <mergeCell ref="A728:A743"/>
    <mergeCell ref="E633:H633"/>
    <mergeCell ref="A648:A663"/>
    <mergeCell ref="E649:H649"/>
    <mergeCell ref="E665:H665"/>
    <mergeCell ref="A664:A679"/>
    <mergeCell ref="A632:A647"/>
    <mergeCell ref="E585:H585"/>
    <mergeCell ref="E601:H601"/>
    <mergeCell ref="A616:A631"/>
    <mergeCell ref="E617:H617"/>
    <mergeCell ref="A600:A615"/>
    <mergeCell ref="A584:A599"/>
    <mergeCell ref="E473:H473"/>
    <mergeCell ref="A488:A503"/>
    <mergeCell ref="E489:H489"/>
    <mergeCell ref="A472:A487"/>
    <mergeCell ref="A504:A519"/>
    <mergeCell ref="E505:H505"/>
    <mergeCell ref="E521:H521"/>
    <mergeCell ref="E537:H537"/>
    <mergeCell ref="A552:A567"/>
    <mergeCell ref="E553:H553"/>
    <mergeCell ref="A568:A583"/>
    <mergeCell ref="E569:H569"/>
    <mergeCell ref="A536:A551"/>
    <mergeCell ref="A520:A535"/>
    <mergeCell ref="A456:A471"/>
    <mergeCell ref="E457:H457"/>
    <mergeCell ref="A392:A407"/>
    <mergeCell ref="E393:H393"/>
    <mergeCell ref="E409:H409"/>
    <mergeCell ref="A424:A439"/>
    <mergeCell ref="E425:H425"/>
    <mergeCell ref="A440:A455"/>
    <mergeCell ref="E441:H441"/>
    <mergeCell ref="A408:A423"/>
    <mergeCell ref="A328:A343"/>
    <mergeCell ref="A344:A359"/>
    <mergeCell ref="D329:E329"/>
    <mergeCell ref="D345:E345"/>
    <mergeCell ref="A376:A391"/>
    <mergeCell ref="D377:E377"/>
    <mergeCell ref="A360:A375"/>
    <mergeCell ref="D361:E361"/>
    <mergeCell ref="A296:A311"/>
    <mergeCell ref="A312:A327"/>
    <mergeCell ref="A280:A295"/>
    <mergeCell ref="D281:E281"/>
    <mergeCell ref="D297:E297"/>
    <mergeCell ref="D313:E313"/>
    <mergeCell ref="A264:A279"/>
    <mergeCell ref="A232:A247"/>
    <mergeCell ref="A216:A231"/>
    <mergeCell ref="D185:E185"/>
    <mergeCell ref="D201:E201"/>
    <mergeCell ref="D217:E217"/>
    <mergeCell ref="D233:E233"/>
    <mergeCell ref="D249:E249"/>
    <mergeCell ref="D265:E265"/>
    <mergeCell ref="D153:E153"/>
    <mergeCell ref="A168:A183"/>
    <mergeCell ref="A248:A263"/>
    <mergeCell ref="A200:A215"/>
    <mergeCell ref="A184:A199"/>
    <mergeCell ref="D169:E169"/>
    <mergeCell ref="A152:A167"/>
    <mergeCell ref="A136:A151"/>
    <mergeCell ref="A40:A55"/>
    <mergeCell ref="A56:A71"/>
    <mergeCell ref="D41:E41"/>
    <mergeCell ref="D57:E57"/>
    <mergeCell ref="D105:E105"/>
    <mergeCell ref="D121:E121"/>
    <mergeCell ref="A72:A87"/>
    <mergeCell ref="A104:A119"/>
    <mergeCell ref="A120:A135"/>
    <mergeCell ref="A88:A103"/>
    <mergeCell ref="D89:E89"/>
    <mergeCell ref="D73:E73"/>
    <mergeCell ref="D137:E137"/>
  </mergeCells>
  <phoneticPr fontId="0" type="noConversion"/>
  <conditionalFormatting sqref="BG73:IV73 BG89:IV89 BG105:IV105 BG137:IV137 BG153:IV153 BG169:IV169 BG185:IV185 BG201:IV201 BG217:IV217 BG233:IV233 BG249:IV249 BG265:IV265 BG281:IV281 BG297:IV297 BG313:IV313 BG329:IV329 BG345:IV345 BG361:IV361 BG377:IV377 BG393:IV393 BG409:IV409 BG425:IV425 BG441:IV441 BG457:IV457 BG473:IV473 BG489:IV489 BG505:IV505 BG521:IV521 BG537:IV537 BG553:IV553 BG569:IV569 BG585:IV585 BG601:IV601 BG617:IV617 BG633:IV633 BG649:IV649 BG665:IV665 BG681:IV681 BG697:IV697 BG713:IV713 BG729:IV729 BG745:IV745 BG761:IV761 BG41:IV41 BG57:IV57 A761:B761 A729:B729 A745:B745 F41:S41 A57:C57 A73:C73 A89:C89 A105:C105 A121:C121 A137:C137 A153:C153 A169:C169 A185:C185 A201:C201 A217:C217 A233:C233 A249:C249 G265:S265 A281:C281 A297:C297 A313:C313 A329:C329 A345:C345 A361:C361 A377:C377 A393:B393 A409:B409 A425:B425 A441:B441 A457:B457 A473:B473 A489:B489 A505:B505 A521:B521 A537:B537 A553:B553 A569:B569 A585:B585 A601:B601 A617:B617 A633:B633 A649:B649 A665:B665 A681:B681 A697:B697 A713:B713 A41:C41 F57:S57 F73:S73 F89:S89 F105:S105 F121:S121 F137:S137 F153:S153 F169:S169 F185:S185 F201:S201 F217:S217 F233:S233 F249:S249 A265:C265 G281:S281 G297:S297 G313:S313 G329:S329 G345:S345 G361:S361 G377:S377 BG121:IV121">
    <cfRule type="expression" dxfId="94" priority="1" stopIfTrue="1">
      <formula>$AB43=$AS$105</formula>
    </cfRule>
  </conditionalFormatting>
  <conditionalFormatting sqref="G43:G47 G315:G319 G331:G335 G347:G351 G59:G63 G75:G79 G91:G95 G107:G111 G123:G127 G139:G143 G155:G159 G171:G175 G187:G191 G203:G207 G219:G223 G363:G367 G235:G239 G251:G255 G267:G271 G283:G287 G299:G303 G379:G383">
    <cfRule type="expression" dxfId="93" priority="2" stopIfTrue="1">
      <formula>AND(NOT($V43),$C43&lt;=TODAY())</formula>
    </cfRule>
  </conditionalFormatting>
  <conditionalFormatting sqref="E43:E47 E331:E335 E347:E351 E363:E367 E59:E63 E75:E79 E91:E95 E107:E111 E123:E127 E139:E143 E155:E159 E171:E175 E187:E191 E203:E207 E219:E223 E235:E239 E251:E255 E267:E271 E283:E287 E299:E303 E315:E319 E379:E383">
    <cfRule type="expression" dxfId="92" priority="3" stopIfTrue="1">
      <formula>AND(NOT($V43),$C43&lt;=TODAY())</formula>
    </cfRule>
    <cfRule type="expression" dxfId="91" priority="4" stopIfTrue="1">
      <formula>F43&gt;H43</formula>
    </cfRule>
  </conditionalFormatting>
  <conditionalFormatting sqref="I43:I47 I331:I335 I347:I351 I363:I367 I59:I63 I75:I79 I91:I95 I107:I111 I123:I127 I139:I143 I155:I159 I171:I175 I187:I191 I203:I207 I219:I223 I235:I239 I251:I255 I267:I271 I283:I287 I299:I303 I315:I319 I379:I383">
    <cfRule type="expression" dxfId="90" priority="5" stopIfTrue="1">
      <formula>AND(NOT($V43),$C43&lt;=TODAY())</formula>
    </cfRule>
    <cfRule type="expression" dxfId="89" priority="6" stopIfTrue="1">
      <formula>H43&gt;F43</formula>
    </cfRule>
  </conditionalFormatting>
  <conditionalFormatting sqref="F43:F47 F251:F255 H251:H255 F59:F63 F347:F351 F75:F79 H347:H351 F91:F95 H59:H63 F107:F111 H75:H79 F123:F127 F139:F143 F155:F159 F171:F175 F187:F191 F203:F207 F219:F223 H203:H207 F363:F367 F267:F271 F283:F287 F299:F303 F315:F319 F331:F335 H331:H335 H139:H143 H107:H111 H123:H127 H187:H191 F235:F239 H299:H303 H91:H95 H43:H47 H219:H223 H267:H271 H155:H159 H171:H175 H315:H319 H283:H287 H363:H367 H235:H239 F379:F383 H379:H383">
    <cfRule type="expression" dxfId="88" priority="7" stopIfTrue="1">
      <formula>AND(NOT($V43),$C43&lt;=TODAY())</formula>
    </cfRule>
  </conditionalFormatting>
  <conditionalFormatting sqref="D265:F265 D249:E249 D233:E233 D217:E217 D201:E201 D185:E185 D169:E169 D153:E153 D137:E137 D121:E121 D105:E105 D89:E89 D73:E73 D57:E57 D281:F281 D297:F297 D313:F313 D329:F329 D345:F345 D361:F361 D377:F377">
    <cfRule type="expression" dxfId="87" priority="8" stopIfTrue="1">
      <formula>$AB59=$AS$105</formula>
    </cfRule>
  </conditionalFormatting>
  <conditionalFormatting sqref="D379:D383 D363:D367 D347:D351 D331:D335 D315:D319 D299:D303 D283:D287 D267:D271 D251:D255 D235:D239 D219:D223 D203:D207 D187:D191 D171:D175 D155:D159 D139:D143 D123:D127 D107:D111 D91:D95 D75:D79 D59:D63 D43:D47">
    <cfRule type="expression" dxfId="86" priority="9" stopIfTrue="1">
      <formula>$BC43&gt;1</formula>
    </cfRule>
  </conditionalFormatting>
  <dataValidations count="3">
    <dataValidation type="whole" allowBlank="1" showInputMessage="1" showErrorMessage="1" sqref="F43:F47 F267:F272 H171:H176 H155:H160 H107:H112 H91:H96 H283:H288 H251:H256 F155:F160 F139:F144 H379:H384 H363:H368 H315:H320 H299:H304 H235:H240 F363:F368 F187:F192 F171:F176 F123:F128 F107:F112 F59:F64 H331:H336 F75:F80 H219:H224 F283:F288 H267:H272 H139:H144 H123:H128 H203:H208 H187:H192 F219:F224 F203:F208 H347:H352 F315:F320 F91:F96 H75:H80 H59:H64 H43:H47 F347:F352 F331:F336 F299:F304 F235:F240 F251:F256 F379:F384">
      <formula1>0</formula1>
      <formula2>IF(OR($AW$60,$AW$62),60,IF($AW$61,200,20))</formula2>
    </dataValidation>
    <dataValidation type="list" allowBlank="1" showInputMessage="1" showErrorMessage="1" sqref="C75:C79 C59:C63 C363:C367 C43:C47 C347:C351 C331:C335 C315:C319 C299:C303 C283:C287 C267:C271 C251:C255 C235:C239 C219:C223 C203:C207 C187:C191 C171:C175 C155:C159 C139:C143 C123:C127 C107:C111 C379:C383 C91:C95">
      <formula1>calend</formula1>
    </dataValidation>
    <dataValidation type="list" allowBlank="1" showInputMessage="1" showErrorMessage="1" sqref="D43:D47 D59:D63 D75:D79 D91:D95 D107:D111 D123:D127 D139:D143 D155:D159 D171:D175 D187:D191 D203:D207 D219:D223 D235:D239 D251:D255 D267:D271 D283:D287 D299:D303 D315:D319 D331:D335 D347:D351 D363:D367 D379:D383">
      <formula1>times</formula1>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rowBreaks count="7" manualBreakCount="7">
    <brk id="87" max="12" man="1"/>
    <brk id="135" max="12" man="1"/>
    <brk id="183" max="12" man="1"/>
    <brk id="231" max="12" man="1"/>
    <brk id="279" max="12" man="1"/>
    <brk id="327" max="12" man="1"/>
    <brk id="375" max="12" man="1"/>
  </rowBreaks>
  <drawing r:id="rId2"/>
  <picture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2">
    <pageSetUpPr autoPageBreaks="0"/>
  </sheetPr>
  <dimension ref="A1:GD942"/>
  <sheetViews>
    <sheetView showGridLines="0" showRowColHeaders="0" zoomScaleNormal="100" workbookViewId="0">
      <pane ySplit="39" topLeftCell="A40" activePane="bottomLeft" state="frozen"/>
      <selection pane="bottomLeft"/>
    </sheetView>
  </sheetViews>
  <sheetFormatPr defaultColWidth="9.140625" defaultRowHeight="15" x14ac:dyDescent="0.25"/>
  <cols>
    <col min="1" max="1" width="1.7109375" style="509" customWidth="1"/>
    <col min="2" max="2" width="2.5703125" style="286" customWidth="1"/>
    <col min="3" max="3" width="0.7109375" style="286" customWidth="1"/>
    <col min="4" max="4" width="2.85546875" style="286" customWidth="1"/>
    <col min="5" max="5" width="36.28515625" style="287" customWidth="1"/>
    <col min="6" max="6" width="4.28515625" style="288" customWidth="1"/>
    <col min="7" max="7" width="4.85546875" style="288" customWidth="1"/>
    <col min="8" max="8" width="3.140625" style="288" customWidth="1"/>
    <col min="9" max="9" width="4.85546875" style="288" customWidth="1"/>
    <col min="10" max="10" width="13.140625" style="288" customWidth="1"/>
    <col min="11" max="11" width="6.7109375" style="289" customWidth="1"/>
    <col min="12" max="12" width="8.42578125" style="289" hidden="1" customWidth="1"/>
    <col min="13" max="13" width="5.7109375" style="289" customWidth="1"/>
    <col min="14" max="14" width="5.28515625" style="290" customWidth="1"/>
    <col min="15" max="15" width="37.140625" style="291" customWidth="1"/>
    <col min="16" max="16" width="4.28515625" style="291" customWidth="1"/>
    <col min="17" max="17" width="1.42578125" style="291" customWidth="1"/>
    <col min="18" max="18" width="4.28515625" style="291" customWidth="1"/>
    <col min="19" max="19" width="4.140625" style="292" customWidth="1"/>
    <col min="20" max="20" width="9.140625" style="292"/>
    <col min="21" max="21" width="4" style="293" hidden="1" customWidth="1"/>
    <col min="22" max="22" width="4" style="179" hidden="1" customWidth="1"/>
    <col min="23" max="23" width="25.42578125" style="312" hidden="1" customWidth="1"/>
    <col min="24" max="24" width="19.28515625" style="312" hidden="1" customWidth="1"/>
    <col min="25" max="25" width="4" style="179" hidden="1" customWidth="1"/>
    <col min="26" max="26" width="4" style="293" hidden="1" customWidth="1"/>
    <col min="27" max="27" width="4" style="179" hidden="1" customWidth="1"/>
    <col min="28" max="28" width="6.42578125" style="312" hidden="1" customWidth="1"/>
    <col min="29" max="29" width="18.42578125" style="312" hidden="1" customWidth="1"/>
    <col min="30" max="30" width="6.42578125" style="312" hidden="1" customWidth="1"/>
    <col min="31" max="31" width="20" style="312" hidden="1" customWidth="1"/>
    <col min="32" max="32" width="4" style="179" hidden="1" customWidth="1"/>
    <col min="33" max="33" width="4" style="293" hidden="1" customWidth="1"/>
    <col min="34" max="34" width="4" style="179" hidden="1" customWidth="1"/>
    <col min="35" max="35" width="31.28515625" style="312" hidden="1" customWidth="1"/>
    <col min="36" max="36" width="10.28515625" style="312" hidden="1" customWidth="1"/>
    <col min="37" max="37" width="4" style="179" hidden="1" customWidth="1"/>
    <col min="38" max="38" width="4" style="293" hidden="1" customWidth="1"/>
    <col min="39" max="39" width="4" style="179" hidden="1" customWidth="1"/>
    <col min="40" max="40" width="17.7109375" style="179" hidden="1" customWidth="1"/>
    <col min="41" max="41" width="5" style="179" hidden="1" customWidth="1"/>
    <col min="42" max="42" width="4" style="179" hidden="1" customWidth="1"/>
    <col min="43" max="43" width="4.28515625" style="179" hidden="1" customWidth="1"/>
    <col min="44" max="44" width="4" style="179" hidden="1" customWidth="1"/>
    <col min="45" max="45" width="4" style="293" hidden="1" customWidth="1"/>
    <col min="46" max="46" width="4" style="179" hidden="1" customWidth="1"/>
    <col min="47" max="49" width="5" style="179" hidden="1" customWidth="1"/>
    <col min="50" max="50" width="4" style="179" hidden="1" customWidth="1"/>
    <col min="51" max="51" width="15" style="427" hidden="1" customWidth="1"/>
    <col min="52" max="52" width="5.140625" style="428" hidden="1" customWidth="1"/>
    <col min="53" max="53" width="16.28515625" style="427" hidden="1" customWidth="1"/>
    <col min="54" max="54" width="4" style="427" hidden="1" customWidth="1"/>
    <col min="55" max="55" width="16" style="299" hidden="1" customWidth="1"/>
    <col min="56" max="61" width="3.5703125" style="319" hidden="1" customWidth="1"/>
    <col min="62" max="63" width="5.7109375" style="319" hidden="1" customWidth="1"/>
    <col min="64" max="66" width="3.5703125" style="319" hidden="1" customWidth="1"/>
    <col min="67" max="67" width="5.7109375" style="319" hidden="1" customWidth="1"/>
    <col min="68" max="69" width="5.7109375" style="299" hidden="1" customWidth="1"/>
    <col min="70" max="70" width="1.85546875" style="299" hidden="1" customWidth="1"/>
    <col min="71" max="76" width="3.5703125" style="319" hidden="1" customWidth="1"/>
    <col min="77" max="77" width="1.7109375" style="319" hidden="1" customWidth="1"/>
    <col min="78" max="83" width="3.5703125" style="319" hidden="1" customWidth="1"/>
    <col min="84" max="84" width="3.140625" style="299" hidden="1" customWidth="1"/>
    <col min="85" max="85" width="4" style="298" hidden="1" customWidth="1"/>
    <col min="86" max="86" width="4" style="427" hidden="1" customWidth="1"/>
    <col min="87" max="89" width="7.85546875" style="299" hidden="1" customWidth="1"/>
    <col min="90" max="90" width="4.140625" style="299" hidden="1" customWidth="1"/>
    <col min="91" max="91" width="4" style="427" hidden="1" customWidth="1"/>
    <col min="92" max="92" width="5.7109375" style="299" hidden="1" customWidth="1"/>
    <col min="93" max="110" width="3.140625" style="299" hidden="1" customWidth="1"/>
    <col min="111" max="112" width="4" style="427" hidden="1" customWidth="1"/>
    <col min="113" max="113" width="16" style="453" hidden="1" customWidth="1"/>
    <col min="114" max="119" width="4" style="427" hidden="1" customWidth="1"/>
    <col min="120" max="120" width="16" style="427" hidden="1" customWidth="1"/>
    <col min="121" max="123" width="4" style="427" hidden="1" customWidth="1"/>
    <col min="124" max="124" width="4" style="298" hidden="1" customWidth="1"/>
    <col min="125" max="125" width="4.28515625" style="304" hidden="1" customWidth="1"/>
    <col min="126" max="126" width="14.28515625" style="304" hidden="1" customWidth="1"/>
    <col min="127" max="134" width="5.42578125" style="304" hidden="1" customWidth="1"/>
    <col min="135" max="135" width="8.85546875" style="304" hidden="1" customWidth="1"/>
    <col min="136" max="140" width="5.42578125" style="304" hidden="1" customWidth="1"/>
    <col min="141" max="141" width="16.28515625" style="304" hidden="1" customWidth="1"/>
    <col min="142" max="142" width="5.42578125" style="304" hidden="1" customWidth="1"/>
    <col min="143" max="144" width="6.7109375" style="304" hidden="1" customWidth="1"/>
    <col min="145" max="147" width="4.28515625" style="304" hidden="1" customWidth="1"/>
    <col min="148" max="148" width="7.7109375" style="304" hidden="1" customWidth="1"/>
    <col min="149" max="158" width="4.28515625" style="304" hidden="1" customWidth="1"/>
    <col min="159" max="159" width="15" style="304" hidden="1" customWidth="1"/>
    <col min="160" max="160" width="5.140625" style="306" hidden="1" customWidth="1"/>
    <col min="161" max="161" width="3.28515625" style="307" hidden="1" customWidth="1"/>
    <col min="162" max="162" width="4" style="179" hidden="1" customWidth="1"/>
    <col min="163" max="164" width="4" style="177" hidden="1" customWidth="1"/>
    <col min="165" max="165" width="7.5703125" style="177" hidden="1" customWidth="1"/>
    <col min="166" max="166" width="4.5703125" style="179" hidden="1" customWidth="1"/>
    <col min="167" max="167" width="19.28515625" style="312" hidden="1" customWidth="1"/>
    <col min="168" max="169" width="4" style="179" hidden="1" customWidth="1"/>
    <col min="170" max="170" width="4" style="293" hidden="1" customWidth="1"/>
    <col min="171" max="171" width="4" style="427" hidden="1" customWidth="1"/>
    <col min="172" max="172" width="16" style="453" hidden="1" customWidth="1"/>
    <col min="173" max="181" width="4" style="427" hidden="1" customWidth="1"/>
    <col min="182" max="182" width="18.85546875" style="427" hidden="1" customWidth="1"/>
    <col min="183" max="185" width="4" style="427" hidden="1" customWidth="1"/>
    <col min="186" max="186" width="4" style="298" hidden="1" customWidth="1"/>
    <col min="187" max="16384" width="9.140625" style="286"/>
  </cols>
  <sheetData>
    <row r="1" spans="4:6" s="257" customFormat="1" ht="1.5" customHeight="1" x14ac:dyDescent="0.2">
      <c r="D1" s="258"/>
      <c r="E1" s="258"/>
      <c r="F1" s="258"/>
    </row>
    <row r="2" spans="4:6" s="257" customFormat="1" ht="0.75" customHeight="1" x14ac:dyDescent="0.2">
      <c r="D2" s="259"/>
      <c r="E2" s="260"/>
      <c r="F2" s="260"/>
    </row>
    <row r="3" spans="4:6" s="257" customFormat="1" ht="1.5" hidden="1" customHeight="1" x14ac:dyDescent="0.2">
      <c r="D3" s="261"/>
      <c r="E3" s="262"/>
      <c r="F3" s="263"/>
    </row>
    <row r="4" spans="4:6" s="257" customFormat="1" ht="0.75" hidden="1" customHeight="1" x14ac:dyDescent="0.2">
      <c r="D4" s="261"/>
      <c r="E4" s="262"/>
      <c r="F4" s="263"/>
    </row>
    <row r="5" spans="4:6" s="257" customFormat="1" ht="1.5" hidden="1" customHeight="1" x14ac:dyDescent="0.2">
      <c r="D5" s="261"/>
      <c r="E5" s="262"/>
      <c r="F5" s="263"/>
    </row>
    <row r="6" spans="4:6" s="257" customFormat="1" ht="0.75" hidden="1" customHeight="1" x14ac:dyDescent="0.2">
      <c r="D6" s="261"/>
      <c r="E6" s="262"/>
      <c r="F6" s="263"/>
    </row>
    <row r="7" spans="4:6" s="257" customFormat="1" ht="1.5" customHeight="1" x14ac:dyDescent="0.2">
      <c r="D7" s="261"/>
      <c r="E7" s="262"/>
      <c r="F7" s="263"/>
    </row>
    <row r="8" spans="4:6" s="257" customFormat="1" ht="0.75" customHeight="1" x14ac:dyDescent="0.2">
      <c r="D8" s="261"/>
      <c r="E8" s="262"/>
      <c r="F8" s="263"/>
    </row>
    <row r="9" spans="4:6" s="257" customFormat="1" ht="1.5" customHeight="1" x14ac:dyDescent="0.2">
      <c r="D9" s="261"/>
      <c r="E9" s="262"/>
      <c r="F9" s="263"/>
    </row>
    <row r="10" spans="4:6" s="257" customFormat="1" ht="0.75" customHeight="1" x14ac:dyDescent="0.2">
      <c r="D10" s="261"/>
      <c r="E10" s="262"/>
      <c r="F10" s="263"/>
    </row>
    <row r="11" spans="4:6" s="257" customFormat="1" ht="1.5" customHeight="1" x14ac:dyDescent="0.2">
      <c r="D11" s="261"/>
      <c r="E11" s="262"/>
      <c r="F11" s="263"/>
    </row>
    <row r="12" spans="4:6" s="257" customFormat="1" ht="0.75" customHeight="1" x14ac:dyDescent="0.2">
      <c r="D12" s="261"/>
      <c r="E12" s="262"/>
      <c r="F12" s="263"/>
    </row>
    <row r="13" spans="4:6" s="257" customFormat="1" ht="1.5" customHeight="1" x14ac:dyDescent="0.2">
      <c r="D13" s="261"/>
      <c r="E13" s="262"/>
      <c r="F13" s="263"/>
    </row>
    <row r="14" spans="4:6" s="257" customFormat="1" ht="0.75" customHeight="1" x14ac:dyDescent="0.2">
      <c r="D14" s="261"/>
      <c r="E14" s="262"/>
      <c r="F14" s="263"/>
    </row>
    <row r="15" spans="4:6" s="257" customFormat="1" ht="1.5" customHeight="1" x14ac:dyDescent="0.2">
      <c r="D15" s="261"/>
      <c r="E15" s="262"/>
      <c r="F15" s="263"/>
    </row>
    <row r="16" spans="4:6" s="257" customFormat="1" ht="0.75" customHeight="1" x14ac:dyDescent="0.2">
      <c r="D16" s="261"/>
      <c r="E16" s="262"/>
      <c r="F16" s="263"/>
    </row>
    <row r="17" spans="4:6" s="257" customFormat="1" ht="1.5" customHeight="1" x14ac:dyDescent="0.2">
      <c r="D17" s="261"/>
      <c r="E17" s="262"/>
      <c r="F17" s="263"/>
    </row>
    <row r="18" spans="4:6" s="257" customFormat="1" ht="0.75" customHeight="1" x14ac:dyDescent="0.2">
      <c r="D18" s="261"/>
      <c r="E18" s="262"/>
      <c r="F18" s="263"/>
    </row>
    <row r="19" spans="4:6" s="257" customFormat="1" ht="1.5" customHeight="1" x14ac:dyDescent="0.2">
      <c r="D19" s="261"/>
      <c r="E19" s="262"/>
      <c r="F19" s="263"/>
    </row>
    <row r="20" spans="4:6" s="257" customFormat="1" ht="0.75" customHeight="1" x14ac:dyDescent="0.2">
      <c r="D20" s="261"/>
      <c r="E20" s="262"/>
      <c r="F20" s="263"/>
    </row>
    <row r="21" spans="4:6" s="257" customFormat="1" ht="1.5" customHeight="1" x14ac:dyDescent="0.2">
      <c r="D21" s="261"/>
      <c r="E21" s="262"/>
      <c r="F21" s="263"/>
    </row>
    <row r="22" spans="4:6" s="257" customFormat="1" ht="0.75" customHeight="1" x14ac:dyDescent="0.2">
      <c r="D22" s="261"/>
      <c r="E22" s="262"/>
      <c r="F22" s="263"/>
    </row>
    <row r="23" spans="4:6" s="257" customFormat="1" ht="1.5" customHeight="1" x14ac:dyDescent="0.2">
      <c r="D23" s="261"/>
      <c r="E23" s="262"/>
      <c r="F23" s="263"/>
    </row>
    <row r="24" spans="4:6" s="257" customFormat="1" ht="0.75" customHeight="1" x14ac:dyDescent="0.2">
      <c r="D24" s="261"/>
      <c r="E24" s="262"/>
      <c r="F24" s="263"/>
    </row>
    <row r="25" spans="4:6" s="257" customFormat="1" ht="1.5" customHeight="1" x14ac:dyDescent="0.2">
      <c r="D25" s="261"/>
      <c r="E25" s="262"/>
      <c r="F25" s="263"/>
    </row>
    <row r="26" spans="4:6" s="257" customFormat="1" ht="0.75" customHeight="1" x14ac:dyDescent="0.2">
      <c r="D26" s="261"/>
      <c r="E26" s="262"/>
      <c r="F26" s="263"/>
    </row>
    <row r="27" spans="4:6" s="257" customFormat="1" ht="1.5" customHeight="1" x14ac:dyDescent="0.2">
      <c r="D27" s="261"/>
      <c r="E27" s="262"/>
      <c r="F27" s="263"/>
    </row>
    <row r="28" spans="4:6" s="257" customFormat="1" ht="0.75" customHeight="1" x14ac:dyDescent="0.2">
      <c r="D28" s="261"/>
      <c r="E28" s="262"/>
      <c r="F28" s="263"/>
    </row>
    <row r="29" spans="4:6" s="257" customFormat="1" ht="1.5" customHeight="1" x14ac:dyDescent="0.2">
      <c r="D29" s="261"/>
      <c r="E29" s="262"/>
      <c r="F29" s="263"/>
    </row>
    <row r="30" spans="4:6" s="257" customFormat="1" ht="0.75" customHeight="1" x14ac:dyDescent="0.2">
      <c r="D30" s="261"/>
      <c r="E30" s="262"/>
      <c r="F30" s="263"/>
    </row>
    <row r="31" spans="4:6" s="257" customFormat="1" ht="1.5" customHeight="1" x14ac:dyDescent="0.2">
      <c r="D31" s="261"/>
      <c r="E31" s="262"/>
      <c r="F31" s="263"/>
    </row>
    <row r="32" spans="4:6" s="257" customFormat="1" ht="0.75" customHeight="1" x14ac:dyDescent="0.2">
      <c r="D32" s="261"/>
      <c r="E32" s="262"/>
      <c r="F32" s="263"/>
    </row>
    <row r="33" spans="2:185" s="257" customFormat="1" ht="1.5" customHeight="1" x14ac:dyDescent="0.2">
      <c r="D33" s="261"/>
      <c r="E33" s="262"/>
      <c r="F33" s="263"/>
    </row>
    <row r="34" spans="2:185" s="257" customFormat="1" ht="0.75" customHeight="1" x14ac:dyDescent="0.2">
      <c r="D34" s="261"/>
      <c r="E34" s="262"/>
      <c r="F34" s="263"/>
    </row>
    <row r="35" spans="2:185" s="257" customFormat="1" ht="1.5" customHeight="1" x14ac:dyDescent="0.2">
      <c r="D35" s="261"/>
      <c r="E35" s="262"/>
      <c r="F35" s="263"/>
    </row>
    <row r="36" spans="2:185" s="257" customFormat="1" ht="0.75" customHeight="1" x14ac:dyDescent="0.2">
      <c r="D36" s="261"/>
      <c r="E36" s="262"/>
      <c r="F36" s="263"/>
    </row>
    <row r="37" spans="2:185" s="257" customFormat="1" ht="1.5" customHeight="1" x14ac:dyDescent="0.2">
      <c r="D37" s="261"/>
      <c r="E37" s="262"/>
      <c r="F37" s="263"/>
    </row>
    <row r="38" spans="2:185" s="257" customFormat="1" ht="0.75" customHeight="1" x14ac:dyDescent="0.2">
      <c r="D38" s="261"/>
      <c r="E38" s="262"/>
      <c r="F38" s="263"/>
    </row>
    <row r="39" spans="2:185" s="164" customFormat="1" ht="12" customHeight="1" x14ac:dyDescent="0.2">
      <c r="B39" s="256" t="s">
        <v>461</v>
      </c>
      <c r="C39" s="165"/>
      <c r="D39" s="166"/>
      <c r="E39" s="167"/>
      <c r="F39" s="168"/>
    </row>
    <row r="40" spans="2:185" ht="9" customHeight="1" x14ac:dyDescent="0.25">
      <c r="V40" s="294"/>
      <c r="W40" s="295"/>
      <c r="X40" s="295"/>
      <c r="Y40" s="294"/>
      <c r="AA40" s="294"/>
      <c r="AB40" s="295"/>
      <c r="AC40" s="295"/>
      <c r="AD40" s="295"/>
      <c r="AE40" s="295"/>
      <c r="AF40" s="294"/>
      <c r="AH40" s="294"/>
      <c r="AI40" s="295"/>
      <c r="AJ40" s="295"/>
      <c r="AK40" s="294"/>
      <c r="AM40" s="294"/>
      <c r="AN40" s="294"/>
      <c r="AO40" s="294"/>
      <c r="AP40" s="294"/>
      <c r="AQ40" s="294"/>
      <c r="AR40" s="294"/>
      <c r="AT40" s="294"/>
      <c r="AU40" s="294"/>
      <c r="AV40" s="294"/>
      <c r="AW40" s="294"/>
      <c r="AX40" s="294"/>
      <c r="AY40" s="296"/>
      <c r="AZ40" s="297"/>
      <c r="BA40" s="296"/>
      <c r="BB40" s="296"/>
      <c r="BC40" s="296"/>
      <c r="BD40" s="296"/>
      <c r="BE40" s="296"/>
      <c r="BF40" s="296"/>
      <c r="BG40" s="296"/>
      <c r="BH40" s="296"/>
      <c r="BI40" s="296"/>
      <c r="BJ40" s="296"/>
      <c r="BK40" s="296"/>
      <c r="BL40" s="296"/>
      <c r="BM40" s="296"/>
      <c r="BN40" s="296"/>
      <c r="BO40" s="296"/>
      <c r="BP40" s="296"/>
      <c r="BQ40" s="296"/>
      <c r="BR40" s="296"/>
      <c r="BS40" s="296"/>
      <c r="BT40" s="296"/>
      <c r="BU40" s="296"/>
      <c r="BV40" s="296"/>
      <c r="BW40" s="296"/>
      <c r="BX40" s="296"/>
      <c r="BY40" s="296"/>
      <c r="BZ40" s="296"/>
      <c r="CA40" s="296"/>
      <c r="CB40" s="296"/>
      <c r="CC40" s="296"/>
      <c r="CD40" s="296"/>
      <c r="CE40" s="296"/>
      <c r="CF40" s="296"/>
      <c r="CH40" s="296"/>
      <c r="CI40" s="296"/>
      <c r="CJ40" s="296"/>
      <c r="CK40" s="296"/>
      <c r="CL40" s="296"/>
      <c r="CM40" s="296"/>
      <c r="DG40" s="296"/>
      <c r="DH40" s="300"/>
      <c r="DI40" s="301"/>
      <c r="DJ40" s="302"/>
      <c r="DK40" s="302"/>
      <c r="DL40" s="302"/>
      <c r="DM40" s="302"/>
      <c r="DN40" s="302"/>
      <c r="DO40" s="302"/>
      <c r="DP40" s="302"/>
      <c r="DQ40" s="302"/>
      <c r="DR40" s="303"/>
      <c r="DS40" s="302"/>
      <c r="EK40" s="305"/>
      <c r="FF40" s="294"/>
      <c r="FG40" s="308"/>
      <c r="FH40" s="308"/>
      <c r="FI40" s="308"/>
      <c r="FJ40" s="294"/>
      <c r="FK40" s="295"/>
      <c r="FL40" s="294"/>
      <c r="FM40" s="294"/>
      <c r="FO40" s="300"/>
      <c r="FP40" s="301"/>
      <c r="FQ40" s="302"/>
      <c r="FR40" s="302"/>
      <c r="FS40" s="302"/>
      <c r="FT40" s="302"/>
      <c r="FU40" s="302"/>
      <c r="FV40" s="302"/>
      <c r="FW40" s="302"/>
      <c r="FX40" s="302"/>
      <c r="FY40" s="302"/>
      <c r="FZ40" s="302"/>
      <c r="GA40" s="302"/>
      <c r="GB40" s="303"/>
      <c r="GC40" s="302"/>
    </row>
    <row r="41" spans="2:185" ht="16.5" customHeight="1" x14ac:dyDescent="0.25">
      <c r="E41" s="480" t="s">
        <v>462</v>
      </c>
      <c r="F41" s="480" t="s">
        <v>120</v>
      </c>
      <c r="G41" s="481" t="s">
        <v>121</v>
      </c>
      <c r="H41" s="481" t="s">
        <v>134</v>
      </c>
      <c r="I41" s="481" t="s">
        <v>122</v>
      </c>
      <c r="J41" s="481" t="s">
        <v>248</v>
      </c>
      <c r="K41" s="482" t="s">
        <v>230</v>
      </c>
      <c r="L41" s="482"/>
      <c r="M41" s="482" t="s">
        <v>434</v>
      </c>
      <c r="O41" s="855" t="s">
        <v>449</v>
      </c>
      <c r="P41" s="855"/>
      <c r="Q41" s="855"/>
      <c r="R41" s="855"/>
      <c r="W41" s="310" t="s">
        <v>170</v>
      </c>
      <c r="X41" s="311"/>
      <c r="AB41" s="310" t="s">
        <v>209</v>
      </c>
      <c r="AC41" s="311"/>
      <c r="AD41" s="310"/>
      <c r="AI41" s="310" t="s">
        <v>174</v>
      </c>
      <c r="AJ41" s="311"/>
      <c r="AN41" s="310" t="s">
        <v>377</v>
      </c>
      <c r="AY41" s="313" t="s">
        <v>187</v>
      </c>
      <c r="AZ41" s="314"/>
      <c r="BA41" s="314"/>
      <c r="BB41" s="315"/>
      <c r="BC41" s="316" t="s">
        <v>187</v>
      </c>
      <c r="BD41" s="317" t="s">
        <v>120</v>
      </c>
      <c r="BE41" s="318" t="s">
        <v>121</v>
      </c>
      <c r="BF41" s="318" t="s">
        <v>134</v>
      </c>
      <c r="BG41" s="318" t="s">
        <v>122</v>
      </c>
      <c r="BH41" s="318" t="s">
        <v>123</v>
      </c>
      <c r="BI41" s="318" t="s">
        <v>124</v>
      </c>
      <c r="BJ41" s="318" t="s">
        <v>125</v>
      </c>
      <c r="BK41" s="318" t="s">
        <v>191</v>
      </c>
      <c r="BL41" s="318" t="s">
        <v>207</v>
      </c>
      <c r="BM41" s="318" t="s">
        <v>126</v>
      </c>
      <c r="BN41" s="318" t="s">
        <v>197</v>
      </c>
      <c r="BO41" s="318" t="s">
        <v>192</v>
      </c>
      <c r="BP41" s="318" t="s">
        <v>127</v>
      </c>
      <c r="BQ41" s="318" t="s">
        <v>208</v>
      </c>
      <c r="BS41" s="318" t="s">
        <v>196</v>
      </c>
      <c r="BT41" s="318" t="s">
        <v>121</v>
      </c>
      <c r="BU41" s="318" t="s">
        <v>134</v>
      </c>
      <c r="BV41" s="318" t="s">
        <v>122</v>
      </c>
      <c r="BW41" s="318" t="s">
        <v>123</v>
      </c>
      <c r="BX41" s="318" t="s">
        <v>124</v>
      </c>
      <c r="BZ41" s="318" t="s">
        <v>196</v>
      </c>
      <c r="CA41" s="318" t="s">
        <v>121</v>
      </c>
      <c r="CB41" s="318" t="s">
        <v>134</v>
      </c>
      <c r="CC41" s="318" t="s">
        <v>122</v>
      </c>
      <c r="CD41" s="318" t="s">
        <v>123</v>
      </c>
      <c r="CE41" s="318" t="s">
        <v>124</v>
      </c>
      <c r="CH41" s="296"/>
      <c r="CI41" s="318" t="s">
        <v>212</v>
      </c>
      <c r="CJ41" s="318" t="s">
        <v>210</v>
      </c>
      <c r="CK41" s="318" t="s">
        <v>211</v>
      </c>
      <c r="CL41" s="296"/>
      <c r="CM41" s="296"/>
      <c r="CO41" s="320">
        <f ca="1">IF(CN42=0,"xxx",VLOOKUP(CN42,CI42:CL65,IF($AJ$44,3,2),FALSE))</f>
        <v>20</v>
      </c>
      <c r="CP41" s="321"/>
      <c r="CQ41" s="322" t="s">
        <v>151</v>
      </c>
      <c r="CR41" s="320">
        <f ca="1">IF(CN43=0,"xxx",VLOOKUP(CN43,CI42:CL65,IF($AJ$44,3,2),FALSE))</f>
        <v>25</v>
      </c>
      <c r="CS41" s="321"/>
      <c r="CT41" s="322" t="s">
        <v>215</v>
      </c>
      <c r="CU41" s="320">
        <f ca="1">IF(CN44=0,"xxx",VLOOKUP(CN44,CI42:CL65,IF($AJ$44,3,2),FALSE))</f>
        <v>52</v>
      </c>
      <c r="CV41" s="321"/>
      <c r="CW41" s="322" t="s">
        <v>216</v>
      </c>
      <c r="CX41" s="320" t="str">
        <f ca="1">IF(CN45=0,"xxx",VLOOKUP(CN45,CI42:CL65,IF($AJ$44,3,2),FALSE))</f>
        <v>xxx</v>
      </c>
      <c r="CY41" s="321"/>
      <c r="CZ41" s="322" t="s">
        <v>217</v>
      </c>
      <c r="DA41" s="320" t="str">
        <f ca="1">IF(CN46=0,"xxx",VLOOKUP(CN46,CI42:CL65,IF($AJ$44,3,2),FALSE))</f>
        <v>xxx</v>
      </c>
      <c r="DB41" s="321"/>
      <c r="DC41" s="322" t="s">
        <v>218</v>
      </c>
      <c r="DD41" s="320" t="str">
        <f ca="1">IF(CN47=0,"xxx",VLOOKUP(CN47,CI42:CL65,IF($AJ$44,3,2),FALSE))</f>
        <v>xxx</v>
      </c>
      <c r="DE41" s="321"/>
      <c r="DF41" s="322" t="s">
        <v>219</v>
      </c>
      <c r="DG41" s="296"/>
      <c r="DH41" s="300"/>
      <c r="DI41" s="323" t="b">
        <f ca="1">OR(NOT($AJ$44),COUNTIF(DN41:DN150,"")=100-(DP41-1)*DP41,COUNTIF(DN41:DN150,"")=100-(DP41-1)*DP41/2)</f>
        <v>1</v>
      </c>
      <c r="DJ41" s="324" t="s">
        <v>157</v>
      </c>
      <c r="DK41" s="324" t="s">
        <v>158</v>
      </c>
      <c r="DL41" s="325" t="s">
        <v>159</v>
      </c>
      <c r="DM41" s="325"/>
      <c r="DN41" s="326" t="s">
        <v>160</v>
      </c>
      <c r="DO41" s="325" t="s">
        <v>135</v>
      </c>
      <c r="DP41" s="323">
        <f ca="1">COUNT(CQ42:CQ51)</f>
        <v>2</v>
      </c>
      <c r="DQ41" s="302"/>
      <c r="DR41" s="327" t="s">
        <v>151</v>
      </c>
      <c r="DS41" s="302"/>
      <c r="DU41" s="328"/>
      <c r="DV41" s="329" t="s">
        <v>223</v>
      </c>
      <c r="DW41" s="329" t="s">
        <v>224</v>
      </c>
      <c r="DX41" s="329" t="s">
        <v>152</v>
      </c>
      <c r="DZ41" s="329" t="s">
        <v>154</v>
      </c>
      <c r="EA41" s="329" t="s">
        <v>155</v>
      </c>
      <c r="EC41" s="329" t="s">
        <v>226</v>
      </c>
      <c r="EE41" s="329" t="s">
        <v>227</v>
      </c>
      <c r="EI41" s="329" t="s">
        <v>228</v>
      </c>
      <c r="EJ41" s="329" t="s">
        <v>156</v>
      </c>
      <c r="EK41" s="329" t="s">
        <v>208</v>
      </c>
      <c r="EM41" s="329" t="s">
        <v>212</v>
      </c>
      <c r="EN41" s="330" t="s">
        <v>227</v>
      </c>
      <c r="EO41" s="329" t="s">
        <v>225</v>
      </c>
      <c r="EP41" s="328"/>
      <c r="EQ41" s="328"/>
      <c r="ER41" s="328"/>
      <c r="ES41" s="331" t="str">
        <f ca="1">IF(ER42=0,"xxx",VLOOKUP(ER42,EM42:EP51,IF($AJ$54,2,3),FALSE))</f>
        <v>xxx</v>
      </c>
      <c r="ET41" s="328"/>
      <c r="EU41" s="328"/>
      <c r="EV41" s="331" t="str">
        <f ca="1">IF(ER43=0,"xxx",VLOOKUP(ER43,EM42:EP51,IF($AJ$54,2,3),FALSE))</f>
        <v>xxx</v>
      </c>
      <c r="EW41" s="328"/>
      <c r="EX41" s="328"/>
      <c r="EY41" s="331" t="str">
        <f ca="1">IF(ER44=0,"xxx",VLOOKUP(ER44,EM42:EP51,IF($AJ$54,2,3),FALSE))</f>
        <v>xxx</v>
      </c>
      <c r="EZ41" s="328"/>
      <c r="FA41" s="328"/>
      <c r="FB41" s="328"/>
      <c r="FC41" s="324"/>
      <c r="FD41" s="332"/>
      <c r="FE41" s="333"/>
      <c r="FG41" s="310" t="s">
        <v>232</v>
      </c>
      <c r="FH41" s="334"/>
      <c r="FI41" s="334"/>
      <c r="FJ41" s="335"/>
      <c r="FK41" s="311"/>
      <c r="FO41" s="300"/>
      <c r="FP41" s="301"/>
      <c r="FQ41" s="324" t="s">
        <v>157</v>
      </c>
      <c r="FR41" s="324" t="s">
        <v>237</v>
      </c>
      <c r="FS41" s="324" t="s">
        <v>239</v>
      </c>
      <c r="FT41" s="324" t="s">
        <v>240</v>
      </c>
      <c r="FU41" s="324" t="s">
        <v>238</v>
      </c>
      <c r="FV41" s="324" t="s">
        <v>241</v>
      </c>
      <c r="FW41" s="324" t="s">
        <v>242</v>
      </c>
      <c r="FX41" s="326" t="s">
        <v>160</v>
      </c>
      <c r="FY41" s="325" t="s">
        <v>135</v>
      </c>
      <c r="FZ41" s="302"/>
      <c r="GA41" s="302"/>
      <c r="GB41" s="327" t="s">
        <v>243</v>
      </c>
      <c r="GC41" s="302"/>
    </row>
    <row r="42" spans="2:185" ht="16.5" customHeight="1" x14ac:dyDescent="0.25">
      <c r="C42" s="511" t="str">
        <f t="shared" ref="C42:C52" ca="1" si="0">IF(OR(NOT($AJ$72),D42="►"),"",TEXT(ABS(VLOOKUP(AN42,$AN$146:$AQ$169,3,FALSE)-VLOOKUP(AN42,$AN$146:$AQ$169,4,FALSE)),"0"))</f>
        <v/>
      </c>
      <c r="D42" s="510" t="str">
        <f t="shared" ref="D42:D52" ca="1" si="1">IF($AJ$72,VLOOKUP(AN42,$AN$146:$AO$169,2,FALSE),"")</f>
        <v>►</v>
      </c>
      <c r="E42" s="483" t="str">
        <f t="shared" ref="E42:E52" ca="1" si="2">CONCATENATE(AO42,". ",AN42)</f>
        <v>1. BBK</v>
      </c>
      <c r="F42" s="484">
        <f t="shared" ref="F42:F52" ca="1" si="3">VLOOKUP($AN42,table.n.av1,2,FALSE)</f>
        <v>20</v>
      </c>
      <c r="G42" s="485">
        <f t="shared" ref="G42:G52" ca="1" si="4">IF(VLOOKUP($AN42,table.n.av1,3,FALSE)=0,"–",VLOOKUP($AN42,table.n.av1,3,FALSE))</f>
        <v>17</v>
      </c>
      <c r="H42" s="485">
        <f t="shared" ref="H42:H52" ca="1" si="5">IF(VLOOKUP($AN42,table.n.av1,4,FALSE)=0,"–",VLOOKUP($AN42,table.n.av1,4,FALSE))</f>
        <v>1</v>
      </c>
      <c r="I42" s="485">
        <f t="shared" ref="I42:I52" ca="1" si="6">IF(VLOOKUP($AN42,table.n.av1,5,FALSE)=0,"–",VLOOKUP($AN42,table.n.av1,5,FALSE))</f>
        <v>2</v>
      </c>
      <c r="J42" s="485" t="str">
        <f t="shared" ref="J42:J52" ca="1" si="7">CONCATENATE(AP42,"–",AQ42)</f>
        <v>86–30</v>
      </c>
      <c r="K42" s="486" t="str">
        <f t="shared" ref="K42:K52" ca="1" si="8">IF(VLOOKUP($AN42,table.n.av1,8,FALSE)=0,0,IF(VLOOKUP($AN42,table.n.av1,8,FALSE)&gt;0,CONCATENATE("+",VLOOKUP($AN42,table.n.av1,8,FALSE)," "),CONCATENATE("–",VLOOKUP($AN42,table.n.av1,8,FALSE)*-1," ")))</f>
        <v xml:space="preserve">+56 </v>
      </c>
      <c r="L42" s="486"/>
      <c r="M42" s="486">
        <f t="shared" ref="M42:M52" ca="1" si="9">VLOOKUP($AN42,table.n.av1,IF($AJ$44,12,11),FALSE)</f>
        <v>52</v>
      </c>
      <c r="O42" s="856" t="s">
        <v>146</v>
      </c>
      <c r="P42" s="286"/>
      <c r="Q42" s="286"/>
      <c r="R42" s="286"/>
      <c r="W42" s="232" t="s">
        <v>169</v>
      </c>
      <c r="X42" s="336" t="str">
        <f>Adatok!A1</f>
        <v>Bakafogó-Honvéd-Sashegy SE</v>
      </c>
      <c r="AB42" s="337">
        <f t="shared" ref="AB42:AB65" si="10">IF(X42=0,0,BP42)</f>
        <v>0.04</v>
      </c>
      <c r="AC42" s="338" t="str">
        <f t="shared" ref="AC42:AC65" si="11">X42</f>
        <v>Bakafogó-Honvéd-Sashegy SE</v>
      </c>
      <c r="AD42" s="337">
        <f t="shared" ref="AD42:AD65" si="12">LARGE($AB$42:$AB$76,BB42)</f>
        <v>0.04</v>
      </c>
      <c r="AE42" s="338" t="str">
        <f t="shared" ref="AE42:AE65" si="13">IF(AD42=0,0,VLOOKUP(AD42,$AB$42:$AC$76,2,FALSE))</f>
        <v>Bakafogó-Honvéd-Sashegy SE</v>
      </c>
      <c r="AI42" s="232" t="s">
        <v>176</v>
      </c>
      <c r="AJ42" s="339" t="b">
        <f>AND(NOT(AJ43),NOT(AJ44),NOT(AJ45))</f>
        <v>1</v>
      </c>
      <c r="AN42" s="210" t="str">
        <f ca="1">IF(VLOOKUP($AY42,INDIRECT(CONCATENATE($AJ$59,1)),3,FALSE)=0,"–",VLOOKUP($AY42,INDIRECT(CONCATENATE($AJ$59,1)),3,FALSE))</f>
        <v>BBK</v>
      </c>
      <c r="AO42" s="340">
        <f>AZ42</f>
        <v>1</v>
      </c>
      <c r="AP42" s="338">
        <f t="shared" ref="AP42:AP65" ca="1" si="14">VLOOKUP($AN42,table.n.av1,6,FALSE)</f>
        <v>86</v>
      </c>
      <c r="AQ42" s="210">
        <f t="shared" ref="AQ42:AQ65" ca="1" si="15">VLOOKUP($AN42,table.n.av1,7,FALSE)</f>
        <v>30</v>
      </c>
      <c r="AY42" s="341">
        <f t="shared" ref="AY42:AY65" ca="1" si="16">LARGE(IF($AJ$58=1,$BA$42:$BA$65,$BA$119:$BA$142),BB42)</f>
        <v>52256086.038999997</v>
      </c>
      <c r="AZ42" s="342">
        <v>1</v>
      </c>
      <c r="BA42" s="343">
        <f ca="1">IF($AJ$44,BO42*100,IF($AJ$43,BM42*10,BM42))*1000000+IF($AJ$52,BE42*10000,0)+IF($AJ$44,BK42,BJ42)*1000/IF(OR($AJ$43,$AJ$52),10,1)+IF($AJ$44,0,IF($AJ$43,BH42/10,BH42))+BP42+IF($AJ$70,BQ42,0)-IF(BC42=0,1000000000,0)</f>
        <v>20376041.039999999</v>
      </c>
      <c r="BB42" s="344">
        <v>1</v>
      </c>
      <c r="BC42" s="345" t="str">
        <f>X42</f>
        <v>Bakafogó-Honvéd-Sashegy SE</v>
      </c>
      <c r="BD42" s="346">
        <f ca="1">BE42+BF42+BG42</f>
        <v>20</v>
      </c>
      <c r="BE42" s="346">
        <f t="shared" ref="BE42:BE65" ca="1" si="17">IF($AJ$57=1,BT42+CA42,IF($AJ$57=2,BT42,IF($AJ$57=3,CA42,"")))</f>
        <v>6</v>
      </c>
      <c r="BF42" s="346">
        <f t="shared" ref="BF42:BF65" ca="1" si="18">IF($AJ$57=1,BU42+CB42,IF($AJ$57=2,BU42,IF($AJ$57=3,CB42,"")))</f>
        <v>2</v>
      </c>
      <c r="BG42" s="346">
        <f t="shared" ref="BG42:BG65" ca="1" si="19">IF($AJ$57=1,BV42+CC42,IF($AJ$57=2,BV42,IF($AJ$57=3,CC42,"")))</f>
        <v>12</v>
      </c>
      <c r="BH42" s="346">
        <f t="shared" ref="BH42:BH65" ca="1" si="20">IF($AJ$57=1,BW42+CD42,IF($AJ$57=2,BW42,IF($AJ$57=3,CD42,"")))</f>
        <v>41</v>
      </c>
      <c r="BI42" s="346">
        <f t="shared" ref="BI42:BI65" ca="1" si="21">IF($AJ$57=1,BX42+CE42,IF($AJ$57=2,BX42,IF($AJ$57=3,CE42,"")))</f>
        <v>65</v>
      </c>
      <c r="BJ42" s="346">
        <f ca="1">BH42-BI42</f>
        <v>-24</v>
      </c>
      <c r="BK42" s="347">
        <f ca="1">IF(BI42=0,0,BH42/BI42)</f>
        <v>0.63076923076923075</v>
      </c>
      <c r="BL42" s="346">
        <f t="shared" ref="BL42:BL65" si="22">IF($AJ$71,IF(ISNA(VLOOKUP(BC42,penalty.a,2,FALSE)),0,VLOOKUP(BC42,penalty.a,2,FALSE)),0)</f>
        <v>0</v>
      </c>
      <c r="BM42" s="346">
        <f t="shared" ref="BM42:BM65" ca="1" si="23">$AJ$48*BE42+BF42-BL42</f>
        <v>20</v>
      </c>
      <c r="BN42" s="346">
        <f ca="1">BE42*2+BG42-BL42</f>
        <v>24</v>
      </c>
      <c r="BO42" s="347">
        <f t="shared" ref="BO42:BO65" ca="1" si="24">IF(BD42=0,BN42,IF(BN42=0,0,BN42/BD42/2))</f>
        <v>0.6</v>
      </c>
      <c r="BP42" s="348">
        <v>0.04</v>
      </c>
      <c r="BQ42" s="349">
        <f t="shared" ref="BQ42:BQ65" ca="1" si="25">IF(ISNA(VLOOKUP(BC42,eee.av,16,FALSE)),0,VLOOKUP(BC42,eee.av,16,FALSE))</f>
        <v>400000</v>
      </c>
      <c r="BS42" s="346">
        <f t="shared" ref="BS42:BS65" ca="1" si="26">COUNTIF(lossh.av,CONCATENATE($BC42,"ooo"))</f>
        <v>0</v>
      </c>
      <c r="BT42" s="346">
        <f t="shared" ref="BT42:BT65" ca="1" si="27">COUNTIF(winh.av,$BC42)</f>
        <v>3</v>
      </c>
      <c r="BU42" s="346">
        <f t="shared" ref="BU42:BU65" ca="1" si="28">COUNTIF(drawh.av,$BC42)</f>
        <v>2</v>
      </c>
      <c r="BV42" s="346">
        <f t="shared" ref="BV42:BV65" ca="1" si="29">COUNTIF(lossh.av,$BC42)+BS42</f>
        <v>5</v>
      </c>
      <c r="BW42" s="346">
        <f t="shared" ref="BW42:BW65" ca="1" si="30">SUMIF(home.av,$BC42,GAA.av)</f>
        <v>21</v>
      </c>
      <c r="BX42" s="346">
        <f t="shared" ref="BX42:BX65" ca="1" si="31">SUMIF(home.av,$BC42,GBB.av)</f>
        <v>31</v>
      </c>
      <c r="BZ42" s="346">
        <f t="shared" ref="BZ42:BZ65" ca="1" si="32">COUNTIF(lossa.av,CONCATENATE($BC42,"ooo"))</f>
        <v>0</v>
      </c>
      <c r="CA42" s="346">
        <f t="shared" ref="CA42:CA65" ca="1" si="33">COUNTIF(wina.av,$BC42)</f>
        <v>3</v>
      </c>
      <c r="CB42" s="346">
        <f t="shared" ref="CB42:CB65" ca="1" si="34">COUNTIF(drawa.av,$BC42)</f>
        <v>0</v>
      </c>
      <c r="CC42" s="346">
        <f t="shared" ref="CC42:CC65" ca="1" si="35">COUNTIF(lossa.av,$BC42)+BZ42</f>
        <v>7</v>
      </c>
      <c r="CD42" s="346">
        <f t="shared" ref="CD42:CD65" ca="1" si="36">SUMIF(away.av,$BC42,GBB.av)</f>
        <v>20</v>
      </c>
      <c r="CE42" s="346">
        <f t="shared" ref="CE42:CE65" ca="1" si="37">SUMIF(away.av,$BC42,GAA.av)</f>
        <v>34</v>
      </c>
      <c r="CH42" s="350"/>
      <c r="CI42" s="351">
        <f ca="1">IF($AJ$44,COUNTIF($BO$68:$BO$91,CK42)*IF(CK42=0,0,1),COUNTIF($BM$68:$BM$91,CJ42)*IF(CJ42=0,0,1))+CL42/1000</f>
        <v>2.0009999999999999</v>
      </c>
      <c r="CJ42" s="352">
        <f ca="1">LARGE($BM$68:$BM$91,CL42)</f>
        <v>52</v>
      </c>
      <c r="CK42" s="353">
        <f ca="1">LARGE($BO$68:$BO$91,CL42)</f>
        <v>0.9</v>
      </c>
      <c r="CL42" s="354">
        <v>1</v>
      </c>
      <c r="CM42" s="350"/>
      <c r="CN42" s="355">
        <f ca="1">IF(LARGE(CI42:CI65,CL42)&lt;2,0,LARGE(CI42:CI65,CL42))</f>
        <v>2.0070000000000001</v>
      </c>
      <c r="CO42" s="356" t="str">
        <f ca="1">IF(OR(CO41=$BM68,CO41=$BO68),$BC68,"")</f>
        <v>Bakafogó-Honvéd-Sashegy SE</v>
      </c>
      <c r="CP42" s="357">
        <f ca="1">IF(CO42="","",$CL42)</f>
        <v>1</v>
      </c>
      <c r="CQ42" s="358">
        <f ca="1">IF(ISERR(LARGE(CP42:CP65,$CL42)),"",LARGE(CP42:CP65,$CL42))</f>
        <v>10</v>
      </c>
      <c r="CR42" s="356" t="str">
        <f ca="1">IF(OR(CR41=$BM68,CR41=$BO68),$BC68,"")</f>
        <v/>
      </c>
      <c r="CS42" s="357" t="str">
        <f ca="1">IF(CR42="","",$CL42)</f>
        <v/>
      </c>
      <c r="CT42" s="358">
        <f ca="1">IF(ISERR(LARGE(CS42:CS65,$CL42)),"",LARGE(CS42:CS65,$CL42))</f>
        <v>7</v>
      </c>
      <c r="CU42" s="356" t="str">
        <f ca="1">IF(OR(CU41=$BM68,CU41=$BO68),$BC68,"")</f>
        <v/>
      </c>
      <c r="CV42" s="357" t="str">
        <f ca="1">IF(CU42="","",$CL42)</f>
        <v/>
      </c>
      <c r="CW42" s="358">
        <f ca="1">IF(ISERR(LARGE(CV42:CV65,$CL42)),"",LARGE(CV42:CV65,$CL42))</f>
        <v>8</v>
      </c>
      <c r="CX42" s="356" t="str">
        <f ca="1">IF(OR(CX41=$BM68,CX41=$BO68),$BC68,"")</f>
        <v/>
      </c>
      <c r="CY42" s="357" t="str">
        <f ca="1">IF(CX42="","",$CL42)</f>
        <v/>
      </c>
      <c r="CZ42" s="358" t="str">
        <f ca="1">IF(ISERR(LARGE(CY42:CY65,$CL42)),"",LARGE(CY42:CY65,$CL42))</f>
        <v/>
      </c>
      <c r="DA42" s="356" t="str">
        <f ca="1">IF(OR(DA41=$BM68,DA41=$BO68),$BC68,"")</f>
        <v/>
      </c>
      <c r="DB42" s="357" t="str">
        <f ca="1">IF(DA42="","",$CL42)</f>
        <v/>
      </c>
      <c r="DC42" s="358" t="str">
        <f ca="1">IF(ISERR(LARGE(DB42:DB65,$CL42)),"",LARGE(DB42:DB65,$CL42))</f>
        <v/>
      </c>
      <c r="DD42" s="356" t="str">
        <f ca="1">IF(OR(DD41=$BM68,DD41=$BO68),$BC68,"")</f>
        <v/>
      </c>
      <c r="DE42" s="357" t="str">
        <f ca="1">IF(DD42="","",$CL42)</f>
        <v/>
      </c>
      <c r="DF42" s="358" t="str">
        <f ca="1">IF(ISERR(LARGE(DE42:DE65,$CL42)),"",LARGE(DE42:DE65,$CL42))</f>
        <v/>
      </c>
      <c r="DG42" s="350"/>
      <c r="DH42" s="300"/>
      <c r="DI42" s="359" t="str">
        <f t="shared" ref="DI42:DI51" ca="1" si="38">IF(CQ42="","",VLOOKUP(CQ42,xxx.aa1,4,FALSE))</f>
        <v>Vakana</v>
      </c>
      <c r="DJ42" s="360" t="str">
        <f ca="1">IF(OR(DI42="",DP42="",DI42=DP42),"",CONCATENATE(DI42,DP42))</f>
        <v/>
      </c>
      <c r="DK42" s="360" t="str">
        <f t="shared" ref="DK42:DK51" ca="1" si="39">IF($DJ42="","",CONCATENATE(VLOOKUP($DJ42,games.a,9,FALSE),VLOOKUP($DJ42,games.a,12,FALSE)))</f>
        <v/>
      </c>
      <c r="DL42" s="354" t="str">
        <f t="shared" ref="DL42:DL51" ca="1" si="40">IF($DJ42="","",VLOOKUP($DJ42,games.a,10,FALSE))</f>
        <v/>
      </c>
      <c r="DM42" s="354" t="str">
        <f t="shared" ref="DM42:DM51" ca="1" si="41">IF($DJ42="","",VLOOKUP($DJ42,games.a,13,FALSE))</f>
        <v/>
      </c>
      <c r="DN42" s="361" t="str">
        <f t="shared" ref="DN42:DN51" ca="1" si="42">IF($DJ42="","",VLOOKUP($DJ42,games.a,6,FALSE))</f>
        <v/>
      </c>
      <c r="DO42" s="362" t="str">
        <f t="shared" ref="DO42:DO51" ca="1" si="43">IF($DJ42="","",VLOOKUP($DJ42,games.a,7,FALSE))</f>
        <v/>
      </c>
      <c r="DP42" s="363" t="str">
        <f ca="1">DI42</f>
        <v>Vakana</v>
      </c>
      <c r="DQ42" s="302"/>
      <c r="DR42" s="364"/>
      <c r="DS42" s="302"/>
      <c r="DU42" s="365"/>
      <c r="DV42" s="366" t="str">
        <f ca="1">IF(AND($AJ$44,DI41,DP41&lt;&gt;2),DI42,"")</f>
        <v/>
      </c>
      <c r="DW42" s="366">
        <f t="shared" ref="DW42:DW51" ca="1" si="44">IF(DV42="",-1,COUNTIF(xxgy.aa,DV42))</f>
        <v>-1</v>
      </c>
      <c r="DX42" s="366">
        <f t="shared" ref="DX42:DX51" ca="1" si="45">IF($DV42="",0,COUNTIF(yygy.aa,$DV42))</f>
        <v>0</v>
      </c>
      <c r="DZ42" s="366">
        <f t="shared" ref="DZ42:DZ51" ca="1" si="46">IF($DV42="",0,1)*(SUMIF(yyo.aa,$DV42,yyl.aa)+SUMIF(yyi.aa,$DV42,yyk.aa))</f>
        <v>0</v>
      </c>
      <c r="EA42" s="366">
        <f t="shared" ref="EA42:EA51" ca="1" si="47">IF($DV42="",0,1)*(SUMIF(yyo.aa,$DV42,yyk.aa)+SUMIF(yyi.aa,$DV42,yyl.aa))</f>
        <v>0</v>
      </c>
      <c r="EC42" s="366">
        <f ca="1">IF(EA42=0,0,DZ42/EA42)</f>
        <v>0</v>
      </c>
      <c r="EE42" s="366">
        <f t="shared" ref="EE42:EE51" ca="1" si="48">DW42*1000000+DX42*1000+EC42</f>
        <v>-1000000</v>
      </c>
      <c r="EI42" s="366">
        <f t="shared" ref="EI42:EI51" ca="1" si="49">IF(OR(ISERR(EE42),ISNA(EE42),DW42&lt;0),0,EE42)</f>
        <v>0</v>
      </c>
      <c r="EJ42" s="366">
        <f ca="1">IF(EI42=0,0,RANK(EI42,EI42:EI51,1))</f>
        <v>0</v>
      </c>
      <c r="EK42" s="366">
        <f ca="1">EJ42*40000*IF(COUNTIF($FC$42:$FC$65,DV42)&gt;0,0,1)</f>
        <v>0</v>
      </c>
      <c r="EM42" s="367">
        <f ca="1">IF($AJ$54,COUNTIF(EE53:EE62,EN42)*IF(EN42=0,0,1),COUNTIF(DW42:DW51,EO42)*IF(EO42&lt;0,0,1))+EP42/1000</f>
        <v>1E-3</v>
      </c>
      <c r="EN42" s="368">
        <v>0</v>
      </c>
      <c r="EO42" s="369">
        <f ca="1">LARGE(DW42:DW51,EP42)</f>
        <v>-1</v>
      </c>
      <c r="EP42" s="369">
        <v>1</v>
      </c>
      <c r="EQ42" s="365"/>
      <c r="ER42" s="370">
        <f ca="1">IF(LARGE(EM42:EM51,EP42)&lt;1,0,LARGE(EM42:EM51,EP42))</f>
        <v>0</v>
      </c>
      <c r="ES42" s="371" t="str">
        <f ca="1">IF(DW42=ES41,DV42,IF(EE53=ES41,DV53,""))</f>
        <v/>
      </c>
      <c r="ET42" s="369" t="str">
        <f t="shared" ref="ET42:ET51" ca="1" si="50">IF(ES42="","",EP42)</f>
        <v/>
      </c>
      <c r="EU42" s="372" t="str">
        <f ca="1">IF(ISERR(LARGE(ET42:ET51,EP42)),"",LARGE(ET42:ET51,EP42))</f>
        <v/>
      </c>
      <c r="EV42" s="371" t="str">
        <f ca="1">IF(DW42=EV41,DV42,IF(EE53=EV41,DV53,""))</f>
        <v/>
      </c>
      <c r="EW42" s="369" t="str">
        <f t="shared" ref="EW42:EW51" ca="1" si="51">IF(EV42="","",EP42)</f>
        <v/>
      </c>
      <c r="EX42" s="372" t="str">
        <f ca="1">IF(ISERR(LARGE(EW42:EW51,EP42)),"",LARGE(EW42:EW51,EP42))</f>
        <v/>
      </c>
      <c r="EY42" s="371" t="str">
        <f ca="1">IF(DW42=EY41,DV42,IF(EE53=EY41,DV53,""))</f>
        <v/>
      </c>
      <c r="EZ42" s="369" t="str">
        <f t="shared" ref="EZ42:EZ51" ca="1" si="52">IF(EY42="","",EP42)</f>
        <v/>
      </c>
      <c r="FA42" s="372" t="str">
        <f ca="1">IF(ISERR(LARGE(EZ42:EZ51,EP42)),"",LARGE(EZ42:EZ51,EP42))</f>
        <v/>
      </c>
      <c r="FB42" s="365"/>
      <c r="FC42" s="366"/>
      <c r="FD42" s="373"/>
      <c r="FE42" s="333"/>
      <c r="FJ42" s="232" t="s">
        <v>233</v>
      </c>
      <c r="FK42" s="374" t="b">
        <v>0</v>
      </c>
      <c r="FO42" s="300"/>
      <c r="FP42" s="359" t="str">
        <f t="shared" ref="FP42:FP51" ca="1" si="53">IF(OR(NOT($FK$42),FK44=""),"",FK44)</f>
        <v/>
      </c>
      <c r="FQ42" s="360" t="str">
        <f ca="1">IF(OR(FP42="",FZ42="",FP42=FZ42),"",CONCATENATE(FP42,FZ42))</f>
        <v/>
      </c>
      <c r="FR42" s="360" t="str">
        <f t="shared" ref="FR42:FR51" ca="1" si="54">IF($FQ42="","",VLOOKUP($FQ42,games.a,9,FALSE))</f>
        <v/>
      </c>
      <c r="FS42" s="360" t="str">
        <f t="shared" ref="FS42:FS51" ca="1" si="55">IF($FQ42="","",VLOOKUP($FQ42,games.a,10,FALSE))</f>
        <v/>
      </c>
      <c r="FT42" s="360" t="str">
        <f t="shared" ref="FT42:FT51" ca="1" si="56">IF($FQ42="","",VLOOKUP($FQ42,games.a,11,FALSE))</f>
        <v/>
      </c>
      <c r="FU42" s="360" t="str">
        <f t="shared" ref="FU42:FU51" ca="1" si="57">IF($FQ42="","",VLOOKUP($FQ42,games.a,12,FALSE))</f>
        <v/>
      </c>
      <c r="FV42" s="360" t="str">
        <f t="shared" ref="FV42:FV51" ca="1" si="58">IF($FQ42="","",VLOOKUP($FQ42,games.a,13,FALSE))</f>
        <v/>
      </c>
      <c r="FW42" s="360" t="str">
        <f t="shared" ref="FW42:FW51" ca="1" si="59">IF($FQ42="","",VLOOKUP($FQ42,games.a,14,FALSE))</f>
        <v/>
      </c>
      <c r="FX42" s="360" t="str">
        <f t="shared" ref="FX42:FX51" ca="1" si="60">IF($FQ42="","",VLOOKUP($FQ42,games.a,6,FALSE))</f>
        <v/>
      </c>
      <c r="FY42" s="360" t="str">
        <f t="shared" ref="FY42:FY51" ca="1" si="61">IF($FQ42="","",VLOOKUP($FQ42,games.a,7,FALSE))</f>
        <v/>
      </c>
      <c r="FZ42" s="363" t="str">
        <f ca="1">FP42</f>
        <v/>
      </c>
      <c r="GA42" s="302"/>
      <c r="GB42" s="364"/>
      <c r="GC42" s="302"/>
    </row>
    <row r="43" spans="2:185" ht="16.5" customHeight="1" x14ac:dyDescent="0.25">
      <c r="C43" s="511" t="str">
        <f t="shared" ca="1" si="0"/>
        <v/>
      </c>
      <c r="D43" s="510" t="str">
        <f t="shared" ca="1" si="1"/>
        <v>►</v>
      </c>
      <c r="E43" s="487" t="str">
        <f t="shared" ca="1" si="2"/>
        <v>2. K&amp;H</v>
      </c>
      <c r="F43" s="488">
        <f t="shared" ca="1" si="3"/>
        <v>20</v>
      </c>
      <c r="G43" s="489">
        <f t="shared" ca="1" si="4"/>
        <v>17</v>
      </c>
      <c r="H43" s="489">
        <f t="shared" ca="1" si="5"/>
        <v>1</v>
      </c>
      <c r="I43" s="489">
        <f t="shared" ca="1" si="6"/>
        <v>2</v>
      </c>
      <c r="J43" s="489" t="str">
        <f t="shared" ca="1" si="7"/>
        <v>107–24</v>
      </c>
      <c r="K43" s="490" t="str">
        <f t="shared" ca="1" si="8"/>
        <v xml:space="preserve">+83 </v>
      </c>
      <c r="L43" s="490"/>
      <c r="M43" s="490">
        <f t="shared" ca="1" si="9"/>
        <v>52</v>
      </c>
      <c r="O43" s="857"/>
      <c r="P43" s="505">
        <v>1</v>
      </c>
      <c r="Q43" s="375" t="s">
        <v>247</v>
      </c>
      <c r="R43" s="504">
        <v>22</v>
      </c>
      <c r="X43" s="336" t="str">
        <f>Adatok!A2</f>
        <v>BBK</v>
      </c>
      <c r="AB43" s="337">
        <f t="shared" si="10"/>
        <v>3.9E-2</v>
      </c>
      <c r="AC43" s="338" t="str">
        <f t="shared" si="11"/>
        <v>BBK</v>
      </c>
      <c r="AD43" s="337">
        <f t="shared" si="12"/>
        <v>3.9E-2</v>
      </c>
      <c r="AE43" s="338" t="str">
        <f t="shared" si="13"/>
        <v>BBK</v>
      </c>
      <c r="AI43" s="232" t="s">
        <v>177</v>
      </c>
      <c r="AJ43" s="376" t="b">
        <v>0</v>
      </c>
      <c r="AN43" s="210" t="str">
        <f t="shared" ref="AN43:AN65" ca="1" si="62">IF(VLOOKUP($AY43,INDIRECT(CONCATENATE($AJ$59,1)),3,FALSE)=0,"–",VLOOKUP($AY43,INDIRECT(CONCATENATE($AJ$59,1)),3,FALSE))</f>
        <v>K&amp;H</v>
      </c>
      <c r="AO43" s="340">
        <f t="shared" ref="AO43:AO65" ca="1" si="63">AZ43</f>
        <v>2</v>
      </c>
      <c r="AP43" s="338">
        <f t="shared" ca="1" si="14"/>
        <v>107</v>
      </c>
      <c r="AQ43" s="210">
        <f t="shared" ca="1" si="15"/>
        <v>24</v>
      </c>
      <c r="AY43" s="341">
        <f t="shared" ca="1" si="16"/>
        <v>52083107.033</v>
      </c>
      <c r="AZ43" s="377">
        <f ca="1">IF(BC43=0,"",IF(ABS(AY42-AY43)&lt;0.03,AZ42,BB43))</f>
        <v>2</v>
      </c>
      <c r="BA43" s="343">
        <f t="shared" ref="BA43:BA65" ca="1" si="64">IF($AJ$44,BO43*100,IF($AJ$43,BM43*10,BM43))*1000000+IF($AJ$52,BE43*10000,0)+IF($AJ$44,BK43,BJ43)*1000/IF(OR($AJ$43,$AJ$52),10,1)+IF($AJ$44,0,IF($AJ$43,BH43/10,BH43))+BP43+IF($AJ$70,BQ43,0)-IF(BC43=0,1000000000,0)</f>
        <v>52256086.038999997</v>
      </c>
      <c r="BB43" s="349">
        <v>2</v>
      </c>
      <c r="BC43" s="378" t="str">
        <f t="shared" ref="BC43:BC65" si="65">X43</f>
        <v>BBK</v>
      </c>
      <c r="BD43" s="346">
        <f t="shared" ref="BD43:BD61" ca="1" si="66">BE43+BF43+BG43</f>
        <v>20</v>
      </c>
      <c r="BE43" s="346">
        <f t="shared" ca="1" si="17"/>
        <v>17</v>
      </c>
      <c r="BF43" s="346">
        <f t="shared" ca="1" si="18"/>
        <v>1</v>
      </c>
      <c r="BG43" s="346">
        <f t="shared" ca="1" si="19"/>
        <v>2</v>
      </c>
      <c r="BH43" s="346">
        <f t="shared" ca="1" si="20"/>
        <v>86</v>
      </c>
      <c r="BI43" s="346">
        <f t="shared" ca="1" si="21"/>
        <v>30</v>
      </c>
      <c r="BJ43" s="346">
        <f t="shared" ref="BJ43:BJ65" ca="1" si="67">BH43-BI43</f>
        <v>56</v>
      </c>
      <c r="BK43" s="347">
        <f t="shared" ref="BK43:BK65" ca="1" si="68">IF(BI43=0,0,BH43/BI43)</f>
        <v>2.8666666666666667</v>
      </c>
      <c r="BL43" s="346">
        <f t="shared" si="22"/>
        <v>0</v>
      </c>
      <c r="BM43" s="346">
        <f t="shared" ca="1" si="23"/>
        <v>52</v>
      </c>
      <c r="BN43" s="346">
        <f t="shared" ref="BN43:BN65" ca="1" si="69">BE43*2+BG43-BL43</f>
        <v>36</v>
      </c>
      <c r="BO43" s="347">
        <f t="shared" ca="1" si="24"/>
        <v>0.9</v>
      </c>
      <c r="BP43" s="348">
        <v>3.9E-2</v>
      </c>
      <c r="BQ43" s="349">
        <f t="shared" ca="1" si="25"/>
        <v>200000</v>
      </c>
      <c r="BS43" s="346">
        <f t="shared" ca="1" si="26"/>
        <v>0</v>
      </c>
      <c r="BT43" s="346">
        <f t="shared" ca="1" si="27"/>
        <v>7</v>
      </c>
      <c r="BU43" s="346">
        <f t="shared" ca="1" si="28"/>
        <v>1</v>
      </c>
      <c r="BV43" s="346">
        <f t="shared" ca="1" si="29"/>
        <v>2</v>
      </c>
      <c r="BW43" s="346">
        <f t="shared" ca="1" si="30"/>
        <v>35</v>
      </c>
      <c r="BX43" s="346">
        <f t="shared" ca="1" si="31"/>
        <v>16</v>
      </c>
      <c r="BZ43" s="346">
        <f t="shared" ca="1" si="32"/>
        <v>0</v>
      </c>
      <c r="CA43" s="346">
        <f t="shared" ca="1" si="33"/>
        <v>10</v>
      </c>
      <c r="CB43" s="346">
        <f t="shared" ca="1" si="34"/>
        <v>0</v>
      </c>
      <c r="CC43" s="346">
        <f t="shared" ca="1" si="35"/>
        <v>0</v>
      </c>
      <c r="CD43" s="346">
        <f t="shared" ca="1" si="36"/>
        <v>51</v>
      </c>
      <c r="CE43" s="346">
        <f t="shared" ca="1" si="37"/>
        <v>14</v>
      </c>
      <c r="CH43" s="350"/>
      <c r="CI43" s="353">
        <f t="shared" ref="CI43:CI65" ca="1" si="70">IF($AJ$44,COUNTIF($BO$68:$BO$91,CK43)*IF(OR(CK43=CK42,CK43=0),0,1),COUNTIF($BM$68:$BM$91,CJ43)*IF(OR(CJ43=CJ42,CJ43=0),0,1))+CL43/1000</f>
        <v>2E-3</v>
      </c>
      <c r="CJ43" s="352">
        <f t="shared" ref="CJ43:CJ65" ca="1" si="71">LARGE($BM$68:$BM$91,CL43)</f>
        <v>52</v>
      </c>
      <c r="CK43" s="353">
        <f t="shared" ref="CK43:CK65" ca="1" si="72">LARGE($BO$68:$BO$91,CL43)</f>
        <v>0.9</v>
      </c>
      <c r="CL43" s="354">
        <v>2</v>
      </c>
      <c r="CM43" s="350"/>
      <c r="CN43" s="355">
        <f ca="1">IF(LARGE(CI42:CI65,CL43)&lt;2,0,LARGE(CI42:CI65,CL43))</f>
        <v>2.0049999999999999</v>
      </c>
      <c r="CO43" s="356" t="str">
        <f ca="1">IF(OR(CO41=$BM69,CO41=$BO69),$BC69,"")</f>
        <v/>
      </c>
      <c r="CP43" s="357" t="str">
        <f t="shared" ref="CP43:CP65" ca="1" si="73">IF(CO43="","",$CL43)</f>
        <v/>
      </c>
      <c r="CQ43" s="358">
        <f ca="1">IF(ISERR(LARGE(CP42:CP65,$CL43)),"",LARGE(CP42:CP65,$CL43))</f>
        <v>1</v>
      </c>
      <c r="CR43" s="356" t="str">
        <f ca="1">IF(OR(CR41=$BM69,CR41=$BO69),$BC69,"")</f>
        <v/>
      </c>
      <c r="CS43" s="357" t="str">
        <f t="shared" ref="CS43:CS65" ca="1" si="74">IF(CR43="","",$CL43)</f>
        <v/>
      </c>
      <c r="CT43" s="358">
        <f ca="1">IF(ISERR(LARGE(CS42:CS65,$CL43)),"",LARGE(CS42:CS65,$CL43))</f>
        <v>6</v>
      </c>
      <c r="CU43" s="356" t="str">
        <f ca="1">IF(OR(CU41=$BM69,CU41=$BO69),$BC69,"")</f>
        <v>BBK</v>
      </c>
      <c r="CV43" s="357">
        <f t="shared" ref="CV43:CV65" ca="1" si="75">IF(CU43="","",$CL43)</f>
        <v>2</v>
      </c>
      <c r="CW43" s="358">
        <f ca="1">IF(ISERR(LARGE(CV42:CV65,$CL43)),"",LARGE(CV42:CV65,$CL43))</f>
        <v>2</v>
      </c>
      <c r="CX43" s="356" t="str">
        <f ca="1">IF(OR(CX41=$BM69,CX41=$BO69),$BC69,"")</f>
        <v/>
      </c>
      <c r="CY43" s="357" t="str">
        <f t="shared" ref="CY43:CY65" ca="1" si="76">IF(CX43="","",$CL43)</f>
        <v/>
      </c>
      <c r="CZ43" s="358" t="str">
        <f ca="1">IF(ISERR(LARGE(CY42:CY65,$CL43)),"",LARGE(CY42:CY65,$CL43))</f>
        <v/>
      </c>
      <c r="DA43" s="356" t="str">
        <f ca="1">IF(OR(DA41=$BM69,DA41=$BO69),$BC69,"")</f>
        <v/>
      </c>
      <c r="DB43" s="357" t="str">
        <f t="shared" ref="DB43:DB65" ca="1" si="77">IF(DA43="","",$CL43)</f>
        <v/>
      </c>
      <c r="DC43" s="358" t="str">
        <f ca="1">IF(ISERR(LARGE(DB42:DB65,$CL43)),"",LARGE(DB42:DB65,$CL43))</f>
        <v/>
      </c>
      <c r="DD43" s="356" t="str">
        <f ca="1">IF(OR(DD41=$BM69,DD41=$BO69),$BC69,"")</f>
        <v/>
      </c>
      <c r="DE43" s="357" t="str">
        <f t="shared" ref="DE43:DE65" ca="1" si="78">IF(DD43="","",$CL43)</f>
        <v/>
      </c>
      <c r="DF43" s="358" t="str">
        <f ca="1">IF(ISERR(LARGE(DE42:DE65,$CL43)),"",LARGE(DE42:DE65,$CL43))</f>
        <v/>
      </c>
      <c r="DG43" s="350"/>
      <c r="DH43" s="300"/>
      <c r="DI43" s="359" t="str">
        <f t="shared" ca="1" si="38"/>
        <v>Bakafogó-Honvéd-Sashegy SE</v>
      </c>
      <c r="DJ43" s="360" t="str">
        <f t="shared" ref="DJ43:DJ51" ca="1" si="79">IF(OR(DI43="",DP43="",DI43=DP43),"",CONCATENATE(DI43,DP43))</f>
        <v>Bakafogó-Honvéd-Sashegy SEVakana</v>
      </c>
      <c r="DK43" s="360" t="str">
        <f t="shared" ca="1" si="39"/>
        <v/>
      </c>
      <c r="DL43" s="354" t="str">
        <f t="shared" ca="1" si="40"/>
        <v>Bakafogó-Honvéd-Sashegy SE</v>
      </c>
      <c r="DM43" s="354" t="str">
        <f t="shared" ca="1" si="41"/>
        <v>Vakana</v>
      </c>
      <c r="DN43" s="361">
        <f t="shared" ca="1" si="42"/>
        <v>4</v>
      </c>
      <c r="DO43" s="362">
        <f t="shared" ca="1" si="43"/>
        <v>4</v>
      </c>
      <c r="DP43" s="379" t="str">
        <f ca="1">DP42</f>
        <v>Vakana</v>
      </c>
      <c r="DQ43" s="302"/>
      <c r="DR43" s="364"/>
      <c r="DS43" s="302"/>
      <c r="DU43" s="365"/>
      <c r="DV43" s="366" t="str">
        <f ca="1">IF(AND($AJ$44,DI41,DP41&lt;&gt;2),DI43,"")</f>
        <v/>
      </c>
      <c r="DW43" s="366">
        <f t="shared" ca="1" si="44"/>
        <v>-1</v>
      </c>
      <c r="DX43" s="366">
        <f t="shared" ca="1" si="45"/>
        <v>0</v>
      </c>
      <c r="DZ43" s="366">
        <f t="shared" ca="1" si="46"/>
        <v>0</v>
      </c>
      <c r="EA43" s="366">
        <f t="shared" ca="1" si="47"/>
        <v>0</v>
      </c>
      <c r="EC43" s="366">
        <f t="shared" ref="EC43:EC51" ca="1" si="80">IF(EA43=0,0,DZ43/EA43)</f>
        <v>0</v>
      </c>
      <c r="EE43" s="366">
        <f t="shared" ca="1" si="48"/>
        <v>-1000000</v>
      </c>
      <c r="EI43" s="366">
        <f t="shared" ca="1" si="49"/>
        <v>0</v>
      </c>
      <c r="EJ43" s="366">
        <f ca="1">IF(EI43=0,0,RANK(EI43,EI42:EI51,1))</f>
        <v>0</v>
      </c>
      <c r="EK43" s="366">
        <f t="shared" ref="EK43:EK62" ca="1" si="81">EJ43*40000*IF(COUNTIF($FC$42:$FC$65,DV43)&gt;0,0,1)</f>
        <v>0</v>
      </c>
      <c r="EM43" s="367">
        <f ca="1">IF($AJ$54,COUNTIF(EE53:EE62,EN42)*IF(OR(EN43=0,EN43=EN42),0,1),COUNTIF(DW42:DW51,EO43)*IF(OR(EO43=EO42,EO43&lt;0),0,1))+EP43/1000</f>
        <v>2E-3</v>
      </c>
      <c r="EN43" s="368">
        <v>0</v>
      </c>
      <c r="EO43" s="369">
        <f ca="1">LARGE(DW42:DW51,EP43)</f>
        <v>-1</v>
      </c>
      <c r="EP43" s="369">
        <v>2</v>
      </c>
      <c r="EQ43" s="365"/>
      <c r="ER43" s="370">
        <f ca="1">IF(LARGE(EM42:EM51,EP43)&lt;1,0,LARGE(EM42:EM51,EP43))</f>
        <v>0</v>
      </c>
      <c r="ES43" s="371" t="str">
        <f ca="1">IF(DW43=ES41,DV43,IF(EE54=ES41,DV54,""))</f>
        <v/>
      </c>
      <c r="ET43" s="369" t="str">
        <f t="shared" ca="1" si="50"/>
        <v/>
      </c>
      <c r="EU43" s="372" t="str">
        <f ca="1">IF(ISERR(LARGE(ET42:ET51,EP43)),"",LARGE(ET42:ET51,EP43))</f>
        <v/>
      </c>
      <c r="EV43" s="371" t="str">
        <f ca="1">IF(DW43=EV41,DV43,IF(EE54=EV41,DV54,""))</f>
        <v/>
      </c>
      <c r="EW43" s="369" t="str">
        <f t="shared" ca="1" si="51"/>
        <v/>
      </c>
      <c r="EX43" s="372" t="str">
        <f ca="1">IF(ISERR(LARGE(EW42:EW51,EP43)),"",LARGE(EW42:EW51,EP43))</f>
        <v/>
      </c>
      <c r="EY43" s="371" t="str">
        <f ca="1">IF(DW43=EY41,DV43,IF(EE54=EY41,DV54,""))</f>
        <v/>
      </c>
      <c r="EZ43" s="369" t="str">
        <f t="shared" ca="1" si="52"/>
        <v/>
      </c>
      <c r="FA43" s="372" t="str">
        <f ca="1">IF(ISERR(LARGE(EZ42:EZ51,EP43)),"",LARGE(EZ42:EZ51,EP43))</f>
        <v/>
      </c>
      <c r="FB43" s="365"/>
      <c r="FC43" s="366"/>
      <c r="FD43" s="373"/>
      <c r="FE43" s="333"/>
      <c r="FO43" s="300"/>
      <c r="FP43" s="359" t="str">
        <f t="shared" ca="1" si="53"/>
        <v/>
      </c>
      <c r="FQ43" s="360" t="str">
        <f t="shared" ref="FQ43:FQ51" ca="1" si="82">IF(OR(FP43="",FZ43="",FP43=FZ43),"",CONCATENATE(FP43,FZ43))</f>
        <v/>
      </c>
      <c r="FR43" s="360" t="str">
        <f t="shared" ca="1" si="54"/>
        <v/>
      </c>
      <c r="FS43" s="360" t="str">
        <f t="shared" ca="1" si="55"/>
        <v/>
      </c>
      <c r="FT43" s="360" t="str">
        <f t="shared" ca="1" si="56"/>
        <v/>
      </c>
      <c r="FU43" s="360" t="str">
        <f t="shared" ca="1" si="57"/>
        <v/>
      </c>
      <c r="FV43" s="360" t="str">
        <f t="shared" ca="1" si="58"/>
        <v/>
      </c>
      <c r="FW43" s="360" t="str">
        <f t="shared" ca="1" si="59"/>
        <v/>
      </c>
      <c r="FX43" s="360" t="str">
        <f t="shared" ca="1" si="60"/>
        <v/>
      </c>
      <c r="FY43" s="360" t="str">
        <f t="shared" ca="1" si="61"/>
        <v/>
      </c>
      <c r="FZ43" s="379" t="str">
        <f ca="1">FZ42</f>
        <v/>
      </c>
      <c r="GA43" s="302"/>
      <c r="GB43" s="364"/>
      <c r="GC43" s="302"/>
    </row>
    <row r="44" spans="2:185" ht="16.5" customHeight="1" x14ac:dyDescent="0.25">
      <c r="C44" s="511" t="str">
        <f t="shared" ca="1" si="0"/>
        <v/>
      </c>
      <c r="D44" s="510" t="str">
        <f t="shared" ca="1" si="1"/>
        <v>►</v>
      </c>
      <c r="E44" s="487" t="str">
        <f t="shared" ca="1" si="2"/>
        <v>3. BHD</v>
      </c>
      <c r="F44" s="488">
        <f t="shared" ca="1" si="3"/>
        <v>20</v>
      </c>
      <c r="G44" s="489">
        <f t="shared" ca="1" si="4"/>
        <v>14</v>
      </c>
      <c r="H44" s="489">
        <f t="shared" ca="1" si="5"/>
        <v>3</v>
      </c>
      <c r="I44" s="489">
        <f t="shared" ca="1" si="6"/>
        <v>3</v>
      </c>
      <c r="J44" s="489" t="str">
        <f t="shared" ca="1" si="7"/>
        <v>70–32</v>
      </c>
      <c r="K44" s="490" t="str">
        <f t="shared" ca="1" si="8"/>
        <v xml:space="preserve">+38 </v>
      </c>
      <c r="L44" s="490"/>
      <c r="M44" s="490">
        <f t="shared" ca="1" si="9"/>
        <v>45</v>
      </c>
      <c r="O44" s="857"/>
      <c r="X44" s="336" t="str">
        <f>Adatok!A3</f>
        <v>BHD</v>
      </c>
      <c r="AB44" s="337">
        <f t="shared" si="10"/>
        <v>3.7999999999999999E-2</v>
      </c>
      <c r="AC44" s="338" t="str">
        <f t="shared" si="11"/>
        <v>BHD</v>
      </c>
      <c r="AD44" s="337">
        <f t="shared" si="12"/>
        <v>3.7999999999999999E-2</v>
      </c>
      <c r="AE44" s="338" t="str">
        <f t="shared" si="13"/>
        <v>BHD</v>
      </c>
      <c r="AI44" s="232" t="s">
        <v>178</v>
      </c>
      <c r="AJ44" s="376" t="b">
        <v>0</v>
      </c>
      <c r="AN44" s="210" t="str">
        <f t="shared" ca="1" si="62"/>
        <v>BHD</v>
      </c>
      <c r="AO44" s="340">
        <f t="shared" ca="1" si="63"/>
        <v>3</v>
      </c>
      <c r="AP44" s="338">
        <f t="shared" ca="1" si="14"/>
        <v>70</v>
      </c>
      <c r="AQ44" s="210">
        <f t="shared" ca="1" si="15"/>
        <v>32</v>
      </c>
      <c r="AY44" s="341">
        <f t="shared" ca="1" si="16"/>
        <v>45038070.038000003</v>
      </c>
      <c r="AZ44" s="377">
        <f t="shared" ref="AZ44:AZ65" ca="1" si="83">IF(BC44=0,"",IF(ABS(AY43-AY44)&lt;0.03,AZ43,BB44))</f>
        <v>3</v>
      </c>
      <c r="BA44" s="343">
        <f t="shared" ca="1" si="64"/>
        <v>45038070.038000003</v>
      </c>
      <c r="BB44" s="349">
        <v>3</v>
      </c>
      <c r="BC44" s="378" t="str">
        <f t="shared" si="65"/>
        <v>BHD</v>
      </c>
      <c r="BD44" s="346">
        <f t="shared" ca="1" si="66"/>
        <v>20</v>
      </c>
      <c r="BE44" s="346">
        <f t="shared" ca="1" si="17"/>
        <v>14</v>
      </c>
      <c r="BF44" s="346">
        <f t="shared" ca="1" si="18"/>
        <v>3</v>
      </c>
      <c r="BG44" s="346">
        <f t="shared" ca="1" si="19"/>
        <v>3</v>
      </c>
      <c r="BH44" s="346">
        <f t="shared" ca="1" si="20"/>
        <v>70</v>
      </c>
      <c r="BI44" s="346">
        <f t="shared" ca="1" si="21"/>
        <v>32</v>
      </c>
      <c r="BJ44" s="346">
        <f t="shared" ca="1" si="67"/>
        <v>38</v>
      </c>
      <c r="BK44" s="347">
        <f t="shared" ca="1" si="68"/>
        <v>2.1875</v>
      </c>
      <c r="BL44" s="346">
        <f t="shared" si="22"/>
        <v>0</v>
      </c>
      <c r="BM44" s="346">
        <f t="shared" ca="1" si="23"/>
        <v>45</v>
      </c>
      <c r="BN44" s="346">
        <f t="shared" ca="1" si="69"/>
        <v>31</v>
      </c>
      <c r="BO44" s="347">
        <f t="shared" ca="1" si="24"/>
        <v>0.77500000000000002</v>
      </c>
      <c r="BP44" s="348">
        <v>3.7999999999999999E-2</v>
      </c>
      <c r="BQ44" s="349">
        <f t="shared" ca="1" si="25"/>
        <v>0</v>
      </c>
      <c r="BS44" s="346">
        <f t="shared" ca="1" si="26"/>
        <v>0</v>
      </c>
      <c r="BT44" s="346">
        <f t="shared" ca="1" si="27"/>
        <v>8</v>
      </c>
      <c r="BU44" s="346">
        <f t="shared" ca="1" si="28"/>
        <v>0</v>
      </c>
      <c r="BV44" s="346">
        <f t="shared" ca="1" si="29"/>
        <v>2</v>
      </c>
      <c r="BW44" s="346">
        <f t="shared" ca="1" si="30"/>
        <v>42</v>
      </c>
      <c r="BX44" s="346">
        <f t="shared" ca="1" si="31"/>
        <v>21</v>
      </c>
      <c r="BZ44" s="346">
        <f t="shared" ca="1" si="32"/>
        <v>0</v>
      </c>
      <c r="CA44" s="346">
        <f t="shared" ca="1" si="33"/>
        <v>6</v>
      </c>
      <c r="CB44" s="346">
        <f t="shared" ca="1" si="34"/>
        <v>3</v>
      </c>
      <c r="CC44" s="346">
        <f t="shared" ca="1" si="35"/>
        <v>1</v>
      </c>
      <c r="CD44" s="346">
        <f t="shared" ca="1" si="36"/>
        <v>28</v>
      </c>
      <c r="CE44" s="346">
        <f t="shared" ca="1" si="37"/>
        <v>11</v>
      </c>
      <c r="CH44" s="350"/>
      <c r="CI44" s="353">
        <f t="shared" ca="1" si="70"/>
        <v>1.0029999999999999</v>
      </c>
      <c r="CJ44" s="352">
        <f t="shared" ca="1" si="71"/>
        <v>45</v>
      </c>
      <c r="CK44" s="353">
        <f t="shared" ca="1" si="72"/>
        <v>0.77500000000000002</v>
      </c>
      <c r="CL44" s="354">
        <v>3</v>
      </c>
      <c r="CM44" s="350"/>
      <c r="CN44" s="355">
        <f ca="1">IF(LARGE(CI42:CI65,CL44)&lt;2,0,LARGE(CI42:CI65,CL44))</f>
        <v>2.0009999999999999</v>
      </c>
      <c r="CO44" s="356" t="str">
        <f ca="1">IF(OR(CO41=$BM70,CO41=$BO70),$BC70,"")</f>
        <v/>
      </c>
      <c r="CP44" s="357" t="str">
        <f t="shared" ca="1" si="73"/>
        <v/>
      </c>
      <c r="CQ44" s="358" t="str">
        <f ca="1">IF(ISERR(LARGE(CP42:CP65,$CL44)),"",LARGE(CP42:CP65,$CL44))</f>
        <v/>
      </c>
      <c r="CR44" s="356" t="str">
        <f ca="1">IF(OR(CR41=$BM70,CR41=$BO70),$BC70,"")</f>
        <v/>
      </c>
      <c r="CS44" s="357" t="str">
        <f t="shared" ca="1" si="74"/>
        <v/>
      </c>
      <c r="CT44" s="358" t="str">
        <f ca="1">IF(ISERR(LARGE(CS42:CS65,$CL44)),"",LARGE(CS42:CS65,$CL44))</f>
        <v/>
      </c>
      <c r="CU44" s="356" t="str">
        <f ca="1">IF(OR(CU41=$BM70,CU41=$BO70),$BC70,"")</f>
        <v/>
      </c>
      <c r="CV44" s="357" t="str">
        <f t="shared" ca="1" si="75"/>
        <v/>
      </c>
      <c r="CW44" s="358" t="str">
        <f ca="1">IF(ISERR(LARGE(CV42:CV65,$CL44)),"",LARGE(CV42:CV65,$CL44))</f>
        <v/>
      </c>
      <c r="CX44" s="356" t="str">
        <f ca="1">IF(OR(CX41=$BM70,CX41=$BO70),$BC70,"")</f>
        <v/>
      </c>
      <c r="CY44" s="357" t="str">
        <f t="shared" ca="1" si="76"/>
        <v/>
      </c>
      <c r="CZ44" s="358" t="str">
        <f ca="1">IF(ISERR(LARGE(CY42:CY65,$CL44)),"",LARGE(CY42:CY65,$CL44))</f>
        <v/>
      </c>
      <c r="DA44" s="356" t="str">
        <f ca="1">IF(OR(DA41=$BM70,DA41=$BO70),$BC70,"")</f>
        <v/>
      </c>
      <c r="DB44" s="357" t="str">
        <f t="shared" ca="1" si="77"/>
        <v/>
      </c>
      <c r="DC44" s="358" t="str">
        <f ca="1">IF(ISERR(LARGE(DB42:DB65,$CL44)),"",LARGE(DB42:DB65,$CL44))</f>
        <v/>
      </c>
      <c r="DD44" s="356" t="str">
        <f ca="1">IF(OR(DD41=$BM70,DD41=$BO70),$BC70,"")</f>
        <v/>
      </c>
      <c r="DE44" s="357" t="str">
        <f t="shared" ca="1" si="78"/>
        <v/>
      </c>
      <c r="DF44" s="380"/>
      <c r="DG44" s="350"/>
      <c r="DH44" s="300"/>
      <c r="DI44" s="359" t="str">
        <f t="shared" ca="1" si="38"/>
        <v/>
      </c>
      <c r="DJ44" s="360" t="str">
        <f t="shared" ca="1" si="79"/>
        <v/>
      </c>
      <c r="DK44" s="360" t="str">
        <f t="shared" ca="1" si="39"/>
        <v/>
      </c>
      <c r="DL44" s="354" t="str">
        <f t="shared" ca="1" si="40"/>
        <v/>
      </c>
      <c r="DM44" s="354" t="str">
        <f t="shared" ca="1" si="41"/>
        <v/>
      </c>
      <c r="DN44" s="361" t="str">
        <f t="shared" ca="1" si="42"/>
        <v/>
      </c>
      <c r="DO44" s="362" t="str">
        <f t="shared" ca="1" si="43"/>
        <v/>
      </c>
      <c r="DP44" s="379" t="str">
        <f t="shared" ref="DP44:DP51" ca="1" si="84">DP43</f>
        <v>Vakana</v>
      </c>
      <c r="DQ44" s="302"/>
      <c r="DR44" s="364"/>
      <c r="DS44" s="302"/>
      <c r="DU44" s="365"/>
      <c r="DV44" s="366" t="str">
        <f ca="1">IF(AND($AJ$44,DI41,DP41&lt;&gt;2),DI44,"")</f>
        <v/>
      </c>
      <c r="DW44" s="366">
        <f t="shared" ca="1" si="44"/>
        <v>-1</v>
      </c>
      <c r="DX44" s="366">
        <f t="shared" ca="1" si="45"/>
        <v>0</v>
      </c>
      <c r="DZ44" s="366">
        <f t="shared" ca="1" si="46"/>
        <v>0</v>
      </c>
      <c r="EA44" s="366">
        <f t="shared" ca="1" si="47"/>
        <v>0</v>
      </c>
      <c r="EC44" s="366">
        <f t="shared" ca="1" si="80"/>
        <v>0</v>
      </c>
      <c r="EE44" s="366">
        <f t="shared" ca="1" si="48"/>
        <v>-1000000</v>
      </c>
      <c r="EI44" s="366">
        <f t="shared" ca="1" si="49"/>
        <v>0</v>
      </c>
      <c r="EJ44" s="366">
        <f ca="1">IF(EI44=0,0,RANK(EI44,EI42:EI51,1))</f>
        <v>0</v>
      </c>
      <c r="EK44" s="366">
        <f t="shared" ca="1" si="81"/>
        <v>0</v>
      </c>
      <c r="EL44" s="365"/>
      <c r="EM44" s="367">
        <f ca="1">IF($AJ$54,COUNTIF(EE53:EE62,EN43)*IF(OR(EN44=0,EN44=EN43),0,1),COUNTIF(DW42:DW51,EO44)*IF(OR(EO44=EO43,EO44&lt;0),0,1))+EP44/1000</f>
        <v>3.0000000000000001E-3</v>
      </c>
      <c r="EN44" s="368">
        <v>0</v>
      </c>
      <c r="EO44" s="369">
        <f ca="1">LARGE(DW42:DW51,EP44)</f>
        <v>-1</v>
      </c>
      <c r="EP44" s="369">
        <v>3</v>
      </c>
      <c r="EQ44" s="365"/>
      <c r="ER44" s="370">
        <f ca="1">IF(LARGE(EM42:EM51,EP44)&lt;1,0,LARGE(EM42:EM51,EP44))</f>
        <v>0</v>
      </c>
      <c r="ES44" s="371" t="str">
        <f ca="1">IF(DW44=ES41,DV44,IF(EE55=ES41,DV55,""))</f>
        <v/>
      </c>
      <c r="ET44" s="369" t="str">
        <f t="shared" ca="1" si="50"/>
        <v/>
      </c>
      <c r="EU44" s="372" t="str">
        <f ca="1">IF(ISERR(LARGE(ET42:ET51,EP44)),"",LARGE(ET42:ET51,EP44))</f>
        <v/>
      </c>
      <c r="EV44" s="371" t="str">
        <f ca="1">IF(DW44=EV41,DV44,IF(EE55=EV41,DV55,""))</f>
        <v/>
      </c>
      <c r="EW44" s="369" t="str">
        <f t="shared" ca="1" si="51"/>
        <v/>
      </c>
      <c r="EX44" s="381"/>
      <c r="EY44" s="371" t="str">
        <f ca="1">IF(DW44=EY41,DV44,IF(EE55=EY41,DV55,""))</f>
        <v/>
      </c>
      <c r="EZ44" s="369" t="str">
        <f t="shared" ca="1" si="52"/>
        <v/>
      </c>
      <c r="FA44" s="381"/>
      <c r="FB44" s="365"/>
      <c r="FC44" s="366"/>
      <c r="FD44" s="373"/>
      <c r="FE44" s="333"/>
      <c r="FG44" s="376"/>
      <c r="FH44" s="376"/>
      <c r="FI44" s="382" t="str">
        <f>CONCATENATE("rank.a",FH44)</f>
        <v>rank.a</v>
      </c>
      <c r="FJ44" s="383" t="b">
        <f t="shared" ref="FJ44:FJ53" ca="1" si="85">AND($FK$42,FG44&lt;&gt;"",FH44&lt;&gt;"",IF(FH44=2,$AJ$75,$AJ$69))</f>
        <v>0</v>
      </c>
      <c r="FK44" s="384" t="str">
        <f ca="1">IF(NOT(FJ44),"",VLOOKUP(FG44,INDIRECT(FI44),2,FALSE))</f>
        <v/>
      </c>
      <c r="FO44" s="300"/>
      <c r="FP44" s="359" t="str">
        <f t="shared" ca="1" si="53"/>
        <v/>
      </c>
      <c r="FQ44" s="360" t="str">
        <f t="shared" ca="1" si="82"/>
        <v/>
      </c>
      <c r="FR44" s="360" t="str">
        <f t="shared" ca="1" si="54"/>
        <v/>
      </c>
      <c r="FS44" s="360" t="str">
        <f t="shared" ca="1" si="55"/>
        <v/>
      </c>
      <c r="FT44" s="360" t="str">
        <f t="shared" ca="1" si="56"/>
        <v/>
      </c>
      <c r="FU44" s="360" t="str">
        <f t="shared" ca="1" si="57"/>
        <v/>
      </c>
      <c r="FV44" s="360" t="str">
        <f t="shared" ca="1" si="58"/>
        <v/>
      </c>
      <c r="FW44" s="360" t="str">
        <f t="shared" ca="1" si="59"/>
        <v/>
      </c>
      <c r="FX44" s="360" t="str">
        <f t="shared" ca="1" si="60"/>
        <v/>
      </c>
      <c r="FY44" s="360" t="str">
        <f t="shared" ca="1" si="61"/>
        <v/>
      </c>
      <c r="FZ44" s="379" t="str">
        <f t="shared" ref="FZ44:FZ51" ca="1" si="86">FZ43</f>
        <v/>
      </c>
      <c r="GA44" s="302"/>
      <c r="GB44" s="364"/>
      <c r="GC44" s="302"/>
    </row>
    <row r="45" spans="2:185" ht="16.5" customHeight="1" x14ac:dyDescent="0.25">
      <c r="C45" s="511" t="str">
        <f t="shared" ca="1" si="0"/>
        <v/>
      </c>
      <c r="D45" s="510" t="str">
        <f t="shared" ca="1" si="1"/>
        <v>►</v>
      </c>
      <c r="E45" s="487" t="str">
        <f t="shared" ca="1" si="2"/>
        <v>4. Zrínyigyöngye</v>
      </c>
      <c r="F45" s="488">
        <f t="shared" ca="1" si="3"/>
        <v>20</v>
      </c>
      <c r="G45" s="489">
        <f t="shared" ca="1" si="4"/>
        <v>13</v>
      </c>
      <c r="H45" s="489">
        <f t="shared" ca="1" si="5"/>
        <v>2</v>
      </c>
      <c r="I45" s="489">
        <f t="shared" ca="1" si="6"/>
        <v>5</v>
      </c>
      <c r="J45" s="489" t="str">
        <f t="shared" ca="1" si="7"/>
        <v>73–41</v>
      </c>
      <c r="K45" s="490" t="str">
        <f t="shared" ca="1" si="8"/>
        <v xml:space="preserve">+32 </v>
      </c>
      <c r="L45" s="490"/>
      <c r="M45" s="490">
        <f t="shared" ca="1" si="9"/>
        <v>41</v>
      </c>
      <c r="O45" s="503" t="s">
        <v>374</v>
      </c>
      <c r="P45" s="858">
        <f ca="1">IF(SUM(BD42:BD65)=0,"–",(SUM(BH42:BI65)+SUM(BH94:BI103))/(SUM(BD42:BD65)+SUM(BD94:BD103)))</f>
        <v>5.6363636363636367</v>
      </c>
      <c r="Q45" s="858"/>
      <c r="R45" s="858"/>
      <c r="X45" s="336" t="str">
        <f>Adatok!A4</f>
        <v>Bőrdíszmű</v>
      </c>
      <c r="AB45" s="337">
        <f t="shared" si="10"/>
        <v>3.6999999999999998E-2</v>
      </c>
      <c r="AC45" s="338" t="str">
        <f t="shared" si="11"/>
        <v>Bőrdíszmű</v>
      </c>
      <c r="AD45" s="337">
        <f t="shared" si="12"/>
        <v>3.6999999999999998E-2</v>
      </c>
      <c r="AE45" s="338" t="str">
        <f t="shared" si="13"/>
        <v>Bőrdíszmű</v>
      </c>
      <c r="AI45" s="232" t="s">
        <v>179</v>
      </c>
      <c r="AJ45" s="376" t="b">
        <v>0</v>
      </c>
      <c r="AN45" s="210" t="str">
        <f t="shared" ca="1" si="62"/>
        <v>Zrínyigyöngye</v>
      </c>
      <c r="AO45" s="340">
        <f t="shared" ca="1" si="63"/>
        <v>4</v>
      </c>
      <c r="AP45" s="338">
        <f t="shared" ca="1" si="14"/>
        <v>73</v>
      </c>
      <c r="AQ45" s="210">
        <f t="shared" ca="1" si="15"/>
        <v>41</v>
      </c>
      <c r="AY45" s="341">
        <f t="shared" ca="1" si="16"/>
        <v>41032073.030000001</v>
      </c>
      <c r="AZ45" s="377">
        <f t="shared" ca="1" si="83"/>
        <v>4</v>
      </c>
      <c r="BA45" s="343">
        <f t="shared" ca="1" si="64"/>
        <v>12943027.037</v>
      </c>
      <c r="BB45" s="349">
        <v>4</v>
      </c>
      <c r="BC45" s="378" t="str">
        <f t="shared" si="65"/>
        <v>Bőrdíszmű</v>
      </c>
      <c r="BD45" s="346">
        <f t="shared" ca="1" si="66"/>
        <v>20</v>
      </c>
      <c r="BE45" s="346">
        <f t="shared" ca="1" si="17"/>
        <v>4</v>
      </c>
      <c r="BF45" s="346">
        <f t="shared" ca="1" si="18"/>
        <v>1</v>
      </c>
      <c r="BG45" s="346">
        <f t="shared" ca="1" si="19"/>
        <v>15</v>
      </c>
      <c r="BH45" s="346">
        <f t="shared" ca="1" si="20"/>
        <v>27</v>
      </c>
      <c r="BI45" s="346">
        <f t="shared" ca="1" si="21"/>
        <v>84</v>
      </c>
      <c r="BJ45" s="346">
        <f t="shared" ca="1" si="67"/>
        <v>-57</v>
      </c>
      <c r="BK45" s="347">
        <f t="shared" ca="1" si="68"/>
        <v>0.32142857142857145</v>
      </c>
      <c r="BL45" s="346">
        <f t="shared" si="22"/>
        <v>0</v>
      </c>
      <c r="BM45" s="346">
        <f t="shared" ca="1" si="23"/>
        <v>13</v>
      </c>
      <c r="BN45" s="346">
        <f t="shared" ca="1" si="69"/>
        <v>23</v>
      </c>
      <c r="BO45" s="347">
        <f t="shared" ca="1" si="24"/>
        <v>0.57499999999999996</v>
      </c>
      <c r="BP45" s="348">
        <v>3.6999999999999998E-2</v>
      </c>
      <c r="BQ45" s="349">
        <f t="shared" ca="1" si="25"/>
        <v>0</v>
      </c>
      <c r="BS45" s="346">
        <f t="shared" ca="1" si="26"/>
        <v>0</v>
      </c>
      <c r="BT45" s="346">
        <f t="shared" ca="1" si="27"/>
        <v>0</v>
      </c>
      <c r="BU45" s="346">
        <f t="shared" ca="1" si="28"/>
        <v>1</v>
      </c>
      <c r="BV45" s="346">
        <f t="shared" ca="1" si="29"/>
        <v>9</v>
      </c>
      <c r="BW45" s="346">
        <f t="shared" ca="1" si="30"/>
        <v>11</v>
      </c>
      <c r="BX45" s="346">
        <f t="shared" ca="1" si="31"/>
        <v>50</v>
      </c>
      <c r="BZ45" s="346">
        <f t="shared" ca="1" si="32"/>
        <v>0</v>
      </c>
      <c r="CA45" s="346">
        <f t="shared" ca="1" si="33"/>
        <v>4</v>
      </c>
      <c r="CB45" s="346">
        <f t="shared" ca="1" si="34"/>
        <v>0</v>
      </c>
      <c r="CC45" s="346">
        <f t="shared" ca="1" si="35"/>
        <v>6</v>
      </c>
      <c r="CD45" s="346">
        <f t="shared" ca="1" si="36"/>
        <v>16</v>
      </c>
      <c r="CE45" s="346">
        <f t="shared" ca="1" si="37"/>
        <v>34</v>
      </c>
      <c r="CH45" s="350"/>
      <c r="CI45" s="353">
        <f t="shared" ca="1" si="70"/>
        <v>1.004</v>
      </c>
      <c r="CJ45" s="352">
        <f t="shared" ca="1" si="71"/>
        <v>41</v>
      </c>
      <c r="CK45" s="353">
        <f t="shared" ca="1" si="72"/>
        <v>0.77500000000000002</v>
      </c>
      <c r="CL45" s="354">
        <v>4</v>
      </c>
      <c r="CM45" s="350"/>
      <c r="CN45" s="355">
        <f ca="1">IF(LARGE(CI42:CI65,CL45)&lt;2,0,LARGE(CI42:CI65,CL45))</f>
        <v>0</v>
      </c>
      <c r="CO45" s="356" t="str">
        <f ca="1">IF(OR(CO41=$BM71,CO41=$BO71),$BC71,"")</f>
        <v/>
      </c>
      <c r="CP45" s="357" t="str">
        <f t="shared" ca="1" si="73"/>
        <v/>
      </c>
      <c r="CQ45" s="358" t="str">
        <f ca="1">IF(ISERR(LARGE(CP42:CP65,$CL45)),"",LARGE(CP42:CP65,$CL45))</f>
        <v/>
      </c>
      <c r="CR45" s="356" t="str">
        <f ca="1">IF(OR(CR41=$BM71,CR41=$BO71),$BC71,"")</f>
        <v/>
      </c>
      <c r="CS45" s="357" t="str">
        <f t="shared" ca="1" si="74"/>
        <v/>
      </c>
      <c r="CT45" s="358" t="str">
        <f ca="1">IF(ISERR(LARGE(CS42:CS65,$CL45)),"",LARGE(CS42:CS65,$CL45))</f>
        <v/>
      </c>
      <c r="CU45" s="356" t="str">
        <f ca="1">IF(OR(CU41=$BM71,CU41=$BO71),$BC71,"")</f>
        <v/>
      </c>
      <c r="CV45" s="357" t="str">
        <f t="shared" ca="1" si="75"/>
        <v/>
      </c>
      <c r="CW45" s="358" t="str">
        <f ca="1">IF(ISERR(LARGE(CV42:CV65,$CL45)),"",LARGE(CV42:CV65,$CL45))</f>
        <v/>
      </c>
      <c r="CX45" s="356" t="str">
        <f ca="1">IF(OR(CX41=$BM71,CX41=$BO71),$BC71,"")</f>
        <v/>
      </c>
      <c r="CY45" s="357" t="str">
        <f t="shared" ca="1" si="76"/>
        <v/>
      </c>
      <c r="CZ45" s="358" t="str">
        <f ca="1">IF(ISERR(LARGE(CY42:CY65,$CL45)),"",LARGE(CY42:CY65,$CL45))</f>
        <v/>
      </c>
      <c r="DA45" s="356" t="str">
        <f ca="1">IF(OR(DA41=$BM71,DA41=$BO71),$BC71,"")</f>
        <v/>
      </c>
      <c r="DB45" s="357" t="str">
        <f t="shared" ca="1" si="77"/>
        <v/>
      </c>
      <c r="DC45" s="380"/>
      <c r="DD45" s="356" t="str">
        <f ca="1">IF(OR(DD41=$BM71,DD41=$BO71),$BC71,"")</f>
        <v/>
      </c>
      <c r="DE45" s="357" t="str">
        <f t="shared" ca="1" si="78"/>
        <v/>
      </c>
      <c r="DF45" s="385"/>
      <c r="DG45" s="350"/>
      <c r="DH45" s="300"/>
      <c r="DI45" s="359" t="str">
        <f t="shared" ca="1" si="38"/>
        <v/>
      </c>
      <c r="DJ45" s="360" t="str">
        <f t="shared" ca="1" si="79"/>
        <v/>
      </c>
      <c r="DK45" s="360" t="str">
        <f t="shared" ca="1" si="39"/>
        <v/>
      </c>
      <c r="DL45" s="354" t="str">
        <f t="shared" ca="1" si="40"/>
        <v/>
      </c>
      <c r="DM45" s="354" t="str">
        <f t="shared" ca="1" si="41"/>
        <v/>
      </c>
      <c r="DN45" s="361" t="str">
        <f t="shared" ca="1" si="42"/>
        <v/>
      </c>
      <c r="DO45" s="362" t="str">
        <f t="shared" ca="1" si="43"/>
        <v/>
      </c>
      <c r="DP45" s="379" t="str">
        <f t="shared" ca="1" si="84"/>
        <v>Vakana</v>
      </c>
      <c r="DQ45" s="302"/>
      <c r="DR45" s="364"/>
      <c r="DS45" s="302"/>
      <c r="DU45" s="365"/>
      <c r="DV45" s="366" t="str">
        <f ca="1">IF(AND($AJ$44,DI41,DP41&lt;&gt;2),DI45,"")</f>
        <v/>
      </c>
      <c r="DW45" s="366">
        <f t="shared" ca="1" si="44"/>
        <v>-1</v>
      </c>
      <c r="DX45" s="366">
        <f t="shared" ca="1" si="45"/>
        <v>0</v>
      </c>
      <c r="DZ45" s="366">
        <f t="shared" ca="1" si="46"/>
        <v>0</v>
      </c>
      <c r="EA45" s="366">
        <f t="shared" ca="1" si="47"/>
        <v>0</v>
      </c>
      <c r="EC45" s="366">
        <f t="shared" ca="1" si="80"/>
        <v>0</v>
      </c>
      <c r="EE45" s="366">
        <f t="shared" ca="1" si="48"/>
        <v>-1000000</v>
      </c>
      <c r="EI45" s="366">
        <f t="shared" ca="1" si="49"/>
        <v>0</v>
      </c>
      <c r="EJ45" s="366">
        <f ca="1">IF(EI45=0,0,RANK(EI45,EI42:EI51,1))</f>
        <v>0</v>
      </c>
      <c r="EK45" s="366">
        <f t="shared" ca="1" si="81"/>
        <v>0</v>
      </c>
      <c r="EL45" s="365"/>
      <c r="EM45" s="367">
        <f ca="1">IF($AJ$54,COUNTIF(EE53:EE62,EN44)*IF(OR(EN45=0,EN45=EN44),0,1),COUNTIF(DW42:DW51,EO45)*IF(OR(EO45=EO44,EO45&lt;0),0,1))+EP45/1000</f>
        <v>4.0000000000000001E-3</v>
      </c>
      <c r="EN45" s="368">
        <v>0</v>
      </c>
      <c r="EO45" s="369">
        <f ca="1">LARGE(DW42:DW51,EP45)</f>
        <v>-1</v>
      </c>
      <c r="EP45" s="369">
        <v>4</v>
      </c>
      <c r="EQ45" s="365"/>
      <c r="ER45" s="365"/>
      <c r="ES45" s="371" t="str">
        <f ca="1">IF(DW45=ES41,DV45,IF(EE56=ES41,DV56,""))</f>
        <v/>
      </c>
      <c r="ET45" s="369" t="str">
        <f t="shared" ca="1" si="50"/>
        <v/>
      </c>
      <c r="EU45" s="372" t="str">
        <f ca="1">IF(ISERR(LARGE(ET42:ET51,EP45)),"",LARGE(ET42:ET51,EP45))</f>
        <v/>
      </c>
      <c r="EV45" s="371" t="str">
        <f ca="1">IF(DW45=EV41,DV45,IF(EE56=EV41,DV56,""))</f>
        <v/>
      </c>
      <c r="EW45" s="369" t="str">
        <f t="shared" ca="1" si="51"/>
        <v/>
      </c>
      <c r="EX45" s="386"/>
      <c r="EY45" s="371" t="str">
        <f ca="1">IF(DW45=EY41,DV45,IF(EE56=EY41,DV56,""))</f>
        <v/>
      </c>
      <c r="EZ45" s="369" t="str">
        <f t="shared" ca="1" si="52"/>
        <v/>
      </c>
      <c r="FA45" s="386"/>
      <c r="FB45" s="365"/>
      <c r="FC45" s="366"/>
      <c r="FD45" s="373"/>
      <c r="FE45" s="333"/>
      <c r="FG45" s="376"/>
      <c r="FH45" s="376"/>
      <c r="FI45" s="382" t="str">
        <f t="shared" ref="FI45:FI53" si="87">CONCATENATE("rank.a",FH45)</f>
        <v>rank.a</v>
      </c>
      <c r="FJ45" s="383" t="b">
        <f t="shared" ca="1" si="85"/>
        <v>0</v>
      </c>
      <c r="FK45" s="387" t="str">
        <f t="shared" ref="FK45:FK53" ca="1" si="88">IF(NOT(FJ45),"",VLOOKUP(FG45,INDIRECT(FI45),2,FALSE))</f>
        <v/>
      </c>
      <c r="FO45" s="300"/>
      <c r="FP45" s="359" t="str">
        <f t="shared" ca="1" si="53"/>
        <v/>
      </c>
      <c r="FQ45" s="360" t="str">
        <f t="shared" ca="1" si="82"/>
        <v/>
      </c>
      <c r="FR45" s="360" t="str">
        <f t="shared" ca="1" si="54"/>
        <v/>
      </c>
      <c r="FS45" s="360" t="str">
        <f t="shared" ca="1" si="55"/>
        <v/>
      </c>
      <c r="FT45" s="360" t="str">
        <f t="shared" ca="1" si="56"/>
        <v/>
      </c>
      <c r="FU45" s="360" t="str">
        <f t="shared" ca="1" si="57"/>
        <v/>
      </c>
      <c r="FV45" s="360" t="str">
        <f t="shared" ca="1" si="58"/>
        <v/>
      </c>
      <c r="FW45" s="360" t="str">
        <f t="shared" ca="1" si="59"/>
        <v/>
      </c>
      <c r="FX45" s="360" t="str">
        <f t="shared" ca="1" si="60"/>
        <v/>
      </c>
      <c r="FY45" s="360" t="str">
        <f t="shared" ca="1" si="61"/>
        <v/>
      </c>
      <c r="FZ45" s="379" t="str">
        <f t="shared" ca="1" si="86"/>
        <v/>
      </c>
      <c r="GA45" s="302"/>
      <c r="GB45" s="364"/>
      <c r="GC45" s="302"/>
    </row>
    <row r="46" spans="2:185" ht="16.5" customHeight="1" x14ac:dyDescent="0.25">
      <c r="C46" s="511" t="str">
        <f t="shared" ca="1" si="0"/>
        <v/>
      </c>
      <c r="D46" s="510" t="str">
        <f t="shared" ca="1" si="1"/>
        <v>►</v>
      </c>
      <c r="E46" s="487" t="str">
        <f t="shared" ca="1" si="2"/>
        <v>5. Élelmesek</v>
      </c>
      <c r="F46" s="488">
        <f t="shared" ca="1" si="3"/>
        <v>20</v>
      </c>
      <c r="G46" s="489">
        <f t="shared" ca="1" si="4"/>
        <v>7</v>
      </c>
      <c r="H46" s="489">
        <f t="shared" ca="1" si="5"/>
        <v>4</v>
      </c>
      <c r="I46" s="489">
        <f t="shared" ca="1" si="6"/>
        <v>9</v>
      </c>
      <c r="J46" s="489" t="str">
        <f t="shared" ca="1" si="7"/>
        <v>55–46</v>
      </c>
      <c r="K46" s="490" t="str">
        <f t="shared" ca="1" si="8"/>
        <v xml:space="preserve">+9 </v>
      </c>
      <c r="L46" s="490"/>
      <c r="M46" s="490">
        <f t="shared" ca="1" si="9"/>
        <v>25</v>
      </c>
      <c r="O46" s="859" t="s">
        <v>147</v>
      </c>
      <c r="P46" s="859"/>
      <c r="Q46" s="859"/>
      <c r="R46" s="859"/>
      <c r="X46" s="336" t="str">
        <f>Adatok!A5</f>
        <v>Carbonász</v>
      </c>
      <c r="AB46" s="337">
        <f t="shared" si="10"/>
        <v>3.5999999999999997E-2</v>
      </c>
      <c r="AC46" s="338" t="str">
        <f t="shared" si="11"/>
        <v>Carbonász</v>
      </c>
      <c r="AD46" s="337">
        <f t="shared" si="12"/>
        <v>3.5999999999999997E-2</v>
      </c>
      <c r="AE46" s="338" t="str">
        <f t="shared" si="13"/>
        <v>Carbonász</v>
      </c>
      <c r="AI46" s="232"/>
      <c r="AJ46" s="232"/>
      <c r="AK46" s="312"/>
      <c r="AM46" s="312"/>
      <c r="AN46" s="210" t="str">
        <f t="shared" ca="1" si="62"/>
        <v>Élelmesek</v>
      </c>
      <c r="AO46" s="340">
        <f t="shared" ca="1" si="63"/>
        <v>5</v>
      </c>
      <c r="AP46" s="338">
        <f t="shared" ca="1" si="14"/>
        <v>55</v>
      </c>
      <c r="AQ46" s="210">
        <f t="shared" ca="1" si="15"/>
        <v>46</v>
      </c>
      <c r="AR46" s="312"/>
      <c r="AY46" s="341">
        <f t="shared" ca="1" si="16"/>
        <v>25289055.035</v>
      </c>
      <c r="AZ46" s="377">
        <f t="shared" ca="1" si="83"/>
        <v>5</v>
      </c>
      <c r="BA46" s="343">
        <f t="shared" ca="1" si="64"/>
        <v>13943044.036</v>
      </c>
      <c r="BB46" s="349">
        <v>5</v>
      </c>
      <c r="BC46" s="378" t="str">
        <f t="shared" si="65"/>
        <v>Carbonász</v>
      </c>
      <c r="BD46" s="346">
        <f t="shared" ca="1" si="66"/>
        <v>20</v>
      </c>
      <c r="BE46" s="346">
        <f t="shared" ca="1" si="17"/>
        <v>4</v>
      </c>
      <c r="BF46" s="346">
        <f t="shared" ca="1" si="18"/>
        <v>2</v>
      </c>
      <c r="BG46" s="346">
        <f t="shared" ca="1" si="19"/>
        <v>14</v>
      </c>
      <c r="BH46" s="346">
        <f t="shared" ca="1" si="20"/>
        <v>44</v>
      </c>
      <c r="BI46" s="346">
        <f t="shared" ca="1" si="21"/>
        <v>101</v>
      </c>
      <c r="BJ46" s="346">
        <f t="shared" ca="1" si="67"/>
        <v>-57</v>
      </c>
      <c r="BK46" s="347">
        <f t="shared" ca="1" si="68"/>
        <v>0.43564356435643564</v>
      </c>
      <c r="BL46" s="346">
        <f t="shared" si="22"/>
        <v>0</v>
      </c>
      <c r="BM46" s="346">
        <f t="shared" ca="1" si="23"/>
        <v>14</v>
      </c>
      <c r="BN46" s="346">
        <f t="shared" ca="1" si="69"/>
        <v>22</v>
      </c>
      <c r="BO46" s="347">
        <f t="shared" ca="1" si="24"/>
        <v>0.55000000000000004</v>
      </c>
      <c r="BP46" s="348">
        <v>3.5999999999999997E-2</v>
      </c>
      <c r="BQ46" s="349">
        <f t="shared" ca="1" si="25"/>
        <v>0</v>
      </c>
      <c r="BS46" s="346">
        <f t="shared" ca="1" si="26"/>
        <v>0</v>
      </c>
      <c r="BT46" s="346">
        <f t="shared" ca="1" si="27"/>
        <v>3</v>
      </c>
      <c r="BU46" s="346">
        <f t="shared" ca="1" si="28"/>
        <v>0</v>
      </c>
      <c r="BV46" s="346">
        <f t="shared" ca="1" si="29"/>
        <v>7</v>
      </c>
      <c r="BW46" s="346">
        <f t="shared" ca="1" si="30"/>
        <v>24</v>
      </c>
      <c r="BX46" s="346">
        <f t="shared" ca="1" si="31"/>
        <v>51</v>
      </c>
      <c r="BZ46" s="346">
        <f t="shared" ca="1" si="32"/>
        <v>0</v>
      </c>
      <c r="CA46" s="346">
        <f t="shared" ca="1" si="33"/>
        <v>1</v>
      </c>
      <c r="CB46" s="346">
        <f t="shared" ca="1" si="34"/>
        <v>2</v>
      </c>
      <c r="CC46" s="346">
        <f t="shared" ca="1" si="35"/>
        <v>7</v>
      </c>
      <c r="CD46" s="346">
        <f t="shared" ca="1" si="36"/>
        <v>20</v>
      </c>
      <c r="CE46" s="346">
        <f t="shared" ca="1" si="37"/>
        <v>50</v>
      </c>
      <c r="CH46" s="350"/>
      <c r="CI46" s="353">
        <f t="shared" ca="1" si="70"/>
        <v>2.0049999999999999</v>
      </c>
      <c r="CJ46" s="352">
        <f t="shared" ca="1" si="71"/>
        <v>25</v>
      </c>
      <c r="CK46" s="353">
        <f t="shared" ca="1" si="72"/>
        <v>0.67500000000000004</v>
      </c>
      <c r="CL46" s="354">
        <v>5</v>
      </c>
      <c r="CM46" s="350"/>
      <c r="CN46" s="355">
        <f ca="1">IF(LARGE(CI42:CI65,CL46)&lt;2,0,LARGE(CI42:CI65,CL46))</f>
        <v>0</v>
      </c>
      <c r="CO46" s="356" t="str">
        <f ca="1">IF(OR(CO41=$BM72,CO41=$BO72),$BC72,"")</f>
        <v/>
      </c>
      <c r="CP46" s="357" t="str">
        <f t="shared" ca="1" si="73"/>
        <v/>
      </c>
      <c r="CQ46" s="358" t="str">
        <f ca="1">IF(ISERR(LARGE(CP42:CP65,$CL46)),"",LARGE(CP42:CP65,$CL46))</f>
        <v/>
      </c>
      <c r="CR46" s="356" t="str">
        <f ca="1">IF(OR(CR41=$BM72,CR41=$BO72),$BC72,"")</f>
        <v/>
      </c>
      <c r="CS46" s="357" t="str">
        <f t="shared" ca="1" si="74"/>
        <v/>
      </c>
      <c r="CT46" s="358" t="str">
        <f ca="1">IF(ISERR(LARGE(CS42:CS65,$CL46)),"",LARGE(CS42:CS65,$CL46))</f>
        <v/>
      </c>
      <c r="CU46" s="356" t="str">
        <f ca="1">IF(OR(CU41=$BM72,CU41=$BO72),$BC72,"")</f>
        <v/>
      </c>
      <c r="CV46" s="357" t="str">
        <f t="shared" ca="1" si="75"/>
        <v/>
      </c>
      <c r="CW46" s="358" t="str">
        <f ca="1">IF(ISERR(LARGE(CV42:CV65,$CL46)),"",LARGE(CV42:CV65,$CL46))</f>
        <v/>
      </c>
      <c r="CX46" s="356" t="str">
        <f ca="1">IF(OR(CX41=$BM72,CX41=$BO72),$BC72,"")</f>
        <v/>
      </c>
      <c r="CY46" s="357" t="str">
        <f t="shared" ca="1" si="76"/>
        <v/>
      </c>
      <c r="CZ46" s="380"/>
      <c r="DA46" s="356" t="str">
        <f ca="1">IF(OR(DA41=$BM72,DA41=$BO72),$BC72,"")</f>
        <v/>
      </c>
      <c r="DB46" s="357" t="str">
        <f t="shared" ca="1" si="77"/>
        <v/>
      </c>
      <c r="DC46" s="385"/>
      <c r="DD46" s="356" t="str">
        <f ca="1">IF(OR(DD41=$BM72,DD41=$BO72),$BC72,"")</f>
        <v/>
      </c>
      <c r="DE46" s="357" t="str">
        <f t="shared" ca="1" si="78"/>
        <v/>
      </c>
      <c r="DF46" s="385"/>
      <c r="DG46" s="350"/>
      <c r="DH46" s="300"/>
      <c r="DI46" s="359" t="str">
        <f t="shared" ca="1" si="38"/>
        <v/>
      </c>
      <c r="DJ46" s="360" t="str">
        <f t="shared" ca="1" si="79"/>
        <v/>
      </c>
      <c r="DK46" s="360" t="str">
        <f t="shared" ca="1" si="39"/>
        <v/>
      </c>
      <c r="DL46" s="354" t="str">
        <f t="shared" ca="1" si="40"/>
        <v/>
      </c>
      <c r="DM46" s="354" t="str">
        <f t="shared" ca="1" si="41"/>
        <v/>
      </c>
      <c r="DN46" s="361" t="str">
        <f t="shared" ca="1" si="42"/>
        <v/>
      </c>
      <c r="DO46" s="362" t="str">
        <f t="shared" ca="1" si="43"/>
        <v/>
      </c>
      <c r="DP46" s="379" t="str">
        <f t="shared" ca="1" si="84"/>
        <v>Vakana</v>
      </c>
      <c r="DQ46" s="302"/>
      <c r="DR46" s="364"/>
      <c r="DS46" s="302"/>
      <c r="DU46" s="365"/>
      <c r="DV46" s="366" t="str">
        <f ca="1">IF(AND($AJ$44,DI41,DP41&lt;&gt;2),DI46,"")</f>
        <v/>
      </c>
      <c r="DW46" s="366">
        <f t="shared" ca="1" si="44"/>
        <v>-1</v>
      </c>
      <c r="DX46" s="366">
        <f t="shared" ca="1" si="45"/>
        <v>0</v>
      </c>
      <c r="DZ46" s="366">
        <f t="shared" ca="1" si="46"/>
        <v>0</v>
      </c>
      <c r="EA46" s="366">
        <f t="shared" ca="1" si="47"/>
        <v>0</v>
      </c>
      <c r="EC46" s="366">
        <f t="shared" ca="1" si="80"/>
        <v>0</v>
      </c>
      <c r="EE46" s="366">
        <f t="shared" ca="1" si="48"/>
        <v>-1000000</v>
      </c>
      <c r="EI46" s="366">
        <f t="shared" ca="1" si="49"/>
        <v>0</v>
      </c>
      <c r="EJ46" s="366">
        <f ca="1">IF(EI46=0,0,RANK(EI46,EI42:EI51,1))</f>
        <v>0</v>
      </c>
      <c r="EK46" s="366">
        <f t="shared" ca="1" si="81"/>
        <v>0</v>
      </c>
      <c r="EL46" s="365"/>
      <c r="EM46" s="367">
        <f ca="1">IF($AJ$54,COUNTIF(EE53:EE62,EN45)*IF(OR(EN46=0,EN46=EN45),0,1),COUNTIF(DW42:DW51,EO46)*IF(OR(EO46=EO45,EO46&lt;0),0,1))+EP46/1000</f>
        <v>5.0000000000000001E-3</v>
      </c>
      <c r="EN46" s="368">
        <v>0</v>
      </c>
      <c r="EO46" s="369">
        <f ca="1">LARGE(DW42:DW51,EP46)</f>
        <v>-1</v>
      </c>
      <c r="EP46" s="369">
        <v>5</v>
      </c>
      <c r="EQ46" s="365"/>
      <c r="ER46" s="365"/>
      <c r="ES46" s="371" t="str">
        <f ca="1">IF(DW46=ES41,DV46,IF(EE57=ES41,DV57,""))</f>
        <v/>
      </c>
      <c r="ET46" s="369" t="str">
        <f t="shared" ca="1" si="50"/>
        <v/>
      </c>
      <c r="EU46" s="388" t="str">
        <f ca="1">IF(ISERR(LARGE(ET42:ET51,EP46)),"",LARGE(ET42:ET51,EP46))</f>
        <v/>
      </c>
      <c r="EV46" s="371" t="str">
        <f ca="1">IF(DW46=EV41,DV46,IF(EE57=EV41,DV57,""))</f>
        <v/>
      </c>
      <c r="EW46" s="369" t="str">
        <f t="shared" ca="1" si="51"/>
        <v/>
      </c>
      <c r="EX46" s="386"/>
      <c r="EY46" s="371" t="str">
        <f ca="1">IF(DW46=EY41,DV46,IF(EE57=EY41,DV57,""))</f>
        <v/>
      </c>
      <c r="EZ46" s="369" t="str">
        <f t="shared" ca="1" si="52"/>
        <v/>
      </c>
      <c r="FA46" s="386"/>
      <c r="FB46" s="365"/>
      <c r="FC46" s="366"/>
      <c r="FD46" s="373"/>
      <c r="FE46" s="333"/>
      <c r="FG46" s="376"/>
      <c r="FH46" s="376"/>
      <c r="FI46" s="382" t="str">
        <f t="shared" si="87"/>
        <v>rank.a</v>
      </c>
      <c r="FJ46" s="383" t="b">
        <f t="shared" ca="1" si="85"/>
        <v>0</v>
      </c>
      <c r="FK46" s="387" t="str">
        <f t="shared" ca="1" si="88"/>
        <v/>
      </c>
      <c r="FO46" s="300"/>
      <c r="FP46" s="359" t="str">
        <f t="shared" ca="1" si="53"/>
        <v/>
      </c>
      <c r="FQ46" s="360" t="str">
        <f t="shared" ca="1" si="82"/>
        <v/>
      </c>
      <c r="FR46" s="360" t="str">
        <f t="shared" ca="1" si="54"/>
        <v/>
      </c>
      <c r="FS46" s="360" t="str">
        <f t="shared" ca="1" si="55"/>
        <v/>
      </c>
      <c r="FT46" s="360" t="str">
        <f t="shared" ca="1" si="56"/>
        <v/>
      </c>
      <c r="FU46" s="360" t="str">
        <f t="shared" ca="1" si="57"/>
        <v/>
      </c>
      <c r="FV46" s="360" t="str">
        <f t="shared" ca="1" si="58"/>
        <v/>
      </c>
      <c r="FW46" s="360" t="str">
        <f t="shared" ca="1" si="59"/>
        <v/>
      </c>
      <c r="FX46" s="360" t="str">
        <f t="shared" ca="1" si="60"/>
        <v/>
      </c>
      <c r="FY46" s="360" t="str">
        <f t="shared" ca="1" si="61"/>
        <v/>
      </c>
      <c r="FZ46" s="379" t="str">
        <f t="shared" ca="1" si="86"/>
        <v/>
      </c>
      <c r="GA46" s="302"/>
      <c r="GB46" s="364"/>
      <c r="GC46" s="302"/>
    </row>
    <row r="47" spans="2:185" ht="16.5" customHeight="1" x14ac:dyDescent="0.25">
      <c r="C47" s="511" t="str">
        <f t="shared" ca="1" si="0"/>
        <v/>
      </c>
      <c r="D47" s="510" t="str">
        <f t="shared" ca="1" si="1"/>
        <v>►</v>
      </c>
      <c r="E47" s="491" t="str">
        <f t="shared" ca="1" si="2"/>
        <v>6. Hercules-Ludovika</v>
      </c>
      <c r="F47" s="492">
        <f t="shared" ca="1" si="3"/>
        <v>20</v>
      </c>
      <c r="G47" s="493">
        <f t="shared" ca="1" si="4"/>
        <v>8</v>
      </c>
      <c r="H47" s="493">
        <f t="shared" ca="1" si="5"/>
        <v>1</v>
      </c>
      <c r="I47" s="493">
        <f t="shared" ca="1" si="6"/>
        <v>11</v>
      </c>
      <c r="J47" s="493" t="str">
        <f t="shared" ca="1" si="7"/>
        <v>56–59</v>
      </c>
      <c r="K47" s="494" t="str">
        <f t="shared" ca="1" si="8"/>
        <v xml:space="preserve">–3 </v>
      </c>
      <c r="L47" s="494"/>
      <c r="M47" s="494">
        <f t="shared" ca="1" si="9"/>
        <v>25</v>
      </c>
      <c r="O47" s="859"/>
      <c r="P47" s="859"/>
      <c r="Q47" s="859"/>
      <c r="R47" s="859"/>
      <c r="X47" s="336" t="str">
        <f>Adatok!A6</f>
        <v>Élelmesek</v>
      </c>
      <c r="AB47" s="337">
        <f t="shared" si="10"/>
        <v>3.5000000000000003E-2</v>
      </c>
      <c r="AC47" s="338" t="str">
        <f t="shared" si="11"/>
        <v>Élelmesek</v>
      </c>
      <c r="AD47" s="337">
        <f t="shared" si="12"/>
        <v>3.5000000000000003E-2</v>
      </c>
      <c r="AE47" s="338" t="str">
        <f t="shared" si="13"/>
        <v>Élelmesek</v>
      </c>
      <c r="AI47" s="232" t="s">
        <v>354</v>
      </c>
      <c r="AJ47" s="389">
        <f>IF(OR(AJ42,AJ45),3,2)</f>
        <v>3</v>
      </c>
      <c r="AK47" s="312"/>
      <c r="AM47" s="312"/>
      <c r="AN47" s="210" t="str">
        <f t="shared" ca="1" si="62"/>
        <v>Hercules-Ludovika</v>
      </c>
      <c r="AO47" s="340">
        <f t="shared" ca="1" si="63"/>
        <v>6</v>
      </c>
      <c r="AP47" s="338">
        <f t="shared" ca="1" si="14"/>
        <v>56</v>
      </c>
      <c r="AQ47" s="210">
        <f t="shared" ca="1" si="15"/>
        <v>59</v>
      </c>
      <c r="AR47" s="312"/>
      <c r="AY47" s="341">
        <f t="shared" ca="1" si="16"/>
        <v>25237056.034000002</v>
      </c>
      <c r="AZ47" s="377">
        <f t="shared" ca="1" si="83"/>
        <v>6</v>
      </c>
      <c r="BA47" s="343">
        <f t="shared" ca="1" si="64"/>
        <v>25289055.035</v>
      </c>
      <c r="BB47" s="349">
        <v>6</v>
      </c>
      <c r="BC47" s="378" t="str">
        <f t="shared" si="65"/>
        <v>Élelmesek</v>
      </c>
      <c r="BD47" s="346">
        <f t="shared" ca="1" si="66"/>
        <v>20</v>
      </c>
      <c r="BE47" s="346">
        <f t="shared" ca="1" si="17"/>
        <v>7</v>
      </c>
      <c r="BF47" s="346">
        <f t="shared" ca="1" si="18"/>
        <v>4</v>
      </c>
      <c r="BG47" s="346">
        <f t="shared" ca="1" si="19"/>
        <v>9</v>
      </c>
      <c r="BH47" s="346">
        <f t="shared" ca="1" si="20"/>
        <v>55</v>
      </c>
      <c r="BI47" s="346">
        <f t="shared" ca="1" si="21"/>
        <v>46</v>
      </c>
      <c r="BJ47" s="346">
        <f t="shared" ca="1" si="67"/>
        <v>9</v>
      </c>
      <c r="BK47" s="347">
        <f t="shared" ca="1" si="68"/>
        <v>1.1956521739130435</v>
      </c>
      <c r="BL47" s="346">
        <f t="shared" si="22"/>
        <v>0</v>
      </c>
      <c r="BM47" s="346">
        <f t="shared" ca="1" si="23"/>
        <v>25</v>
      </c>
      <c r="BN47" s="346">
        <f t="shared" ca="1" si="69"/>
        <v>23</v>
      </c>
      <c r="BO47" s="347">
        <f t="shared" ca="1" si="24"/>
        <v>0.57499999999999996</v>
      </c>
      <c r="BP47" s="348">
        <v>3.5000000000000003E-2</v>
      </c>
      <c r="BQ47" s="349">
        <f t="shared" ca="1" si="25"/>
        <v>280000</v>
      </c>
      <c r="BS47" s="346">
        <f t="shared" ca="1" si="26"/>
        <v>0</v>
      </c>
      <c r="BT47" s="346">
        <f t="shared" ca="1" si="27"/>
        <v>3</v>
      </c>
      <c r="BU47" s="346">
        <f t="shared" ca="1" si="28"/>
        <v>3</v>
      </c>
      <c r="BV47" s="346">
        <f t="shared" ca="1" si="29"/>
        <v>4</v>
      </c>
      <c r="BW47" s="346">
        <f t="shared" ca="1" si="30"/>
        <v>27</v>
      </c>
      <c r="BX47" s="346">
        <f t="shared" ca="1" si="31"/>
        <v>24</v>
      </c>
      <c r="BZ47" s="346">
        <f t="shared" ca="1" si="32"/>
        <v>0</v>
      </c>
      <c r="CA47" s="346">
        <f t="shared" ca="1" si="33"/>
        <v>4</v>
      </c>
      <c r="CB47" s="346">
        <f t="shared" ca="1" si="34"/>
        <v>1</v>
      </c>
      <c r="CC47" s="346">
        <f t="shared" ca="1" si="35"/>
        <v>5</v>
      </c>
      <c r="CD47" s="346">
        <f t="shared" ca="1" si="36"/>
        <v>28</v>
      </c>
      <c r="CE47" s="346">
        <f t="shared" ca="1" si="37"/>
        <v>22</v>
      </c>
      <c r="CH47" s="350"/>
      <c r="CI47" s="353">
        <f t="shared" ca="1" si="70"/>
        <v>6.0000000000000001E-3</v>
      </c>
      <c r="CJ47" s="352">
        <f t="shared" ca="1" si="71"/>
        <v>25</v>
      </c>
      <c r="CK47" s="353">
        <f t="shared" ca="1" si="72"/>
        <v>0.6</v>
      </c>
      <c r="CL47" s="354">
        <v>6</v>
      </c>
      <c r="CM47" s="350"/>
      <c r="CN47" s="355">
        <f ca="1">IF(LARGE(CI42:CI65,CL47)&lt;2,0,LARGE(CI42:CI65,CL47))</f>
        <v>0</v>
      </c>
      <c r="CO47" s="356" t="str">
        <f ca="1">IF(OR(CO41=$BM73,CO41=$BO73),$BC73,"")</f>
        <v/>
      </c>
      <c r="CP47" s="357" t="str">
        <f t="shared" ca="1" si="73"/>
        <v/>
      </c>
      <c r="CQ47" s="358" t="str">
        <f ca="1">IF(ISERR(LARGE(CP42:CP65,$CL47)),"",LARGE(CP42:CP65,$CL47))</f>
        <v/>
      </c>
      <c r="CR47" s="356" t="str">
        <f ca="1">IF(OR(CR41=$BM73,CR41=$BO73),$BC73,"")</f>
        <v>Élelmesek</v>
      </c>
      <c r="CS47" s="357">
        <f t="shared" ca="1" si="74"/>
        <v>6</v>
      </c>
      <c r="CT47" s="358" t="str">
        <f ca="1">IF(ISERR(LARGE(CS42:CS65,$CL47)),"",LARGE(CS42:CS65,$CL47))</f>
        <v/>
      </c>
      <c r="CU47" s="356" t="str">
        <f ca="1">IF(OR(CU41=$BM73,CU41=$BO73),$BC73,"")</f>
        <v/>
      </c>
      <c r="CV47" s="357" t="str">
        <f t="shared" ca="1" si="75"/>
        <v/>
      </c>
      <c r="CW47" s="380"/>
      <c r="CX47" s="356" t="str">
        <f ca="1">IF(OR(CX41=$BM73,CX41=$BO73),$BC73,"")</f>
        <v/>
      </c>
      <c r="CY47" s="357" t="str">
        <f t="shared" ca="1" si="76"/>
        <v/>
      </c>
      <c r="CZ47" s="385"/>
      <c r="DA47" s="356" t="str">
        <f ca="1">IF(OR(DA41=$BM73,DA41=$BO73),$BC73,"")</f>
        <v/>
      </c>
      <c r="DB47" s="357" t="str">
        <f t="shared" ca="1" si="77"/>
        <v/>
      </c>
      <c r="DC47" s="385"/>
      <c r="DD47" s="356" t="str">
        <f ca="1">IF(OR(DD41=$BM73,DD41=$BO73),$BC73,"")</f>
        <v/>
      </c>
      <c r="DE47" s="357" t="str">
        <f t="shared" ca="1" si="78"/>
        <v/>
      </c>
      <c r="DF47" s="385"/>
      <c r="DG47" s="350"/>
      <c r="DH47" s="300"/>
      <c r="DI47" s="359" t="str">
        <f t="shared" ca="1" si="38"/>
        <v/>
      </c>
      <c r="DJ47" s="360" t="str">
        <f t="shared" ca="1" si="79"/>
        <v/>
      </c>
      <c r="DK47" s="360" t="str">
        <f t="shared" ca="1" si="39"/>
        <v/>
      </c>
      <c r="DL47" s="354" t="str">
        <f t="shared" ca="1" si="40"/>
        <v/>
      </c>
      <c r="DM47" s="354" t="str">
        <f t="shared" ca="1" si="41"/>
        <v/>
      </c>
      <c r="DN47" s="361" t="str">
        <f t="shared" ca="1" si="42"/>
        <v/>
      </c>
      <c r="DO47" s="362" t="str">
        <f t="shared" ca="1" si="43"/>
        <v/>
      </c>
      <c r="DP47" s="379" t="str">
        <f t="shared" ca="1" si="84"/>
        <v>Vakana</v>
      </c>
      <c r="DQ47" s="302"/>
      <c r="DR47" s="364"/>
      <c r="DS47" s="302"/>
      <c r="DU47" s="365"/>
      <c r="DV47" s="366" t="str">
        <f ca="1">IF(AND($AJ$44,DI41,DP41&lt;&gt;2),DI47,"")</f>
        <v/>
      </c>
      <c r="DW47" s="366">
        <f t="shared" ca="1" si="44"/>
        <v>-1</v>
      </c>
      <c r="DX47" s="366">
        <f t="shared" ca="1" si="45"/>
        <v>0</v>
      </c>
      <c r="DZ47" s="366">
        <f t="shared" ca="1" si="46"/>
        <v>0</v>
      </c>
      <c r="EA47" s="366">
        <f t="shared" ca="1" si="47"/>
        <v>0</v>
      </c>
      <c r="EC47" s="366">
        <f t="shared" ca="1" si="80"/>
        <v>0</v>
      </c>
      <c r="EE47" s="366">
        <f t="shared" ca="1" si="48"/>
        <v>-1000000</v>
      </c>
      <c r="EI47" s="366">
        <f t="shared" ca="1" si="49"/>
        <v>0</v>
      </c>
      <c r="EJ47" s="366">
        <f ca="1">IF(EI47=0,0,RANK(EI47,EI42:EI51,1))</f>
        <v>0</v>
      </c>
      <c r="EK47" s="366">
        <f t="shared" ca="1" si="81"/>
        <v>0</v>
      </c>
      <c r="EL47" s="365"/>
      <c r="EM47" s="367">
        <f ca="1">IF($AJ$54,COUNTIF(EE53:EE62,EN46)*IF(OR(EN47=0,EN47=EN46),0,1),COUNTIF(DW42:DW51,EO47)*IF(OR(EO47=EO46,EO47&lt;0),0,1))+EP47/1000</f>
        <v>6.0000000000000001E-3</v>
      </c>
      <c r="EN47" s="368">
        <v>0</v>
      </c>
      <c r="EO47" s="369">
        <f ca="1">LARGE(DW42:DW51,EP47)</f>
        <v>-1</v>
      </c>
      <c r="EP47" s="369">
        <v>6</v>
      </c>
      <c r="EQ47" s="365"/>
      <c r="ER47" s="365"/>
      <c r="ES47" s="371" t="str">
        <f ca="1">IF(DW47=ES41,DV47,IF(EE58=ES41,DV58,""))</f>
        <v/>
      </c>
      <c r="ET47" s="369" t="str">
        <f t="shared" ca="1" si="50"/>
        <v/>
      </c>
      <c r="EU47" s="386"/>
      <c r="EV47" s="371" t="str">
        <f ca="1">IF(DW47=EV41,DV47,IF(EE58=EV41,DV58,""))</f>
        <v/>
      </c>
      <c r="EW47" s="369" t="str">
        <f t="shared" ca="1" si="51"/>
        <v/>
      </c>
      <c r="EX47" s="386"/>
      <c r="EY47" s="371" t="str">
        <f ca="1">IF(DW47=EY41,DV47,IF(EE58=EY41,DV58,""))</f>
        <v/>
      </c>
      <c r="EZ47" s="369" t="str">
        <f t="shared" ca="1" si="52"/>
        <v/>
      </c>
      <c r="FA47" s="386"/>
      <c r="FB47" s="365"/>
      <c r="FC47" s="366"/>
      <c r="FD47" s="373"/>
      <c r="FE47" s="333"/>
      <c r="FG47" s="376"/>
      <c r="FH47" s="376"/>
      <c r="FI47" s="382" t="str">
        <f t="shared" si="87"/>
        <v>rank.a</v>
      </c>
      <c r="FJ47" s="383" t="b">
        <f t="shared" ca="1" si="85"/>
        <v>0</v>
      </c>
      <c r="FK47" s="387" t="str">
        <f t="shared" ca="1" si="88"/>
        <v/>
      </c>
      <c r="FO47" s="300"/>
      <c r="FP47" s="359" t="str">
        <f t="shared" ca="1" si="53"/>
        <v/>
      </c>
      <c r="FQ47" s="360" t="str">
        <f t="shared" ca="1" si="82"/>
        <v/>
      </c>
      <c r="FR47" s="360" t="str">
        <f t="shared" ca="1" si="54"/>
        <v/>
      </c>
      <c r="FS47" s="360" t="str">
        <f t="shared" ca="1" si="55"/>
        <v/>
      </c>
      <c r="FT47" s="360" t="str">
        <f t="shared" ca="1" si="56"/>
        <v/>
      </c>
      <c r="FU47" s="360" t="str">
        <f t="shared" ca="1" si="57"/>
        <v/>
      </c>
      <c r="FV47" s="360" t="str">
        <f t="shared" ca="1" si="58"/>
        <v/>
      </c>
      <c r="FW47" s="360" t="str">
        <f t="shared" ca="1" si="59"/>
        <v/>
      </c>
      <c r="FX47" s="360" t="str">
        <f t="shared" ca="1" si="60"/>
        <v/>
      </c>
      <c r="FY47" s="360" t="str">
        <f t="shared" ca="1" si="61"/>
        <v/>
      </c>
      <c r="FZ47" s="379" t="str">
        <f t="shared" ca="1" si="86"/>
        <v/>
      </c>
      <c r="GA47" s="302"/>
      <c r="GB47" s="364"/>
      <c r="GC47" s="302"/>
    </row>
    <row r="48" spans="2:185" ht="16.5" customHeight="1" x14ac:dyDescent="0.25">
      <c r="C48" s="511" t="str">
        <f t="shared" ca="1" si="0"/>
        <v/>
      </c>
      <c r="D48" s="510" t="str">
        <f t="shared" ca="1" si="1"/>
        <v>►</v>
      </c>
      <c r="E48" s="495" t="str">
        <f t="shared" ca="1" si="2"/>
        <v>7. Bakafogó-Honvéd-Sashegy SE</v>
      </c>
      <c r="F48" s="496">
        <f t="shared" ca="1" si="3"/>
        <v>20</v>
      </c>
      <c r="G48" s="497">
        <f t="shared" ca="1" si="4"/>
        <v>6</v>
      </c>
      <c r="H48" s="497">
        <f t="shared" ca="1" si="5"/>
        <v>2</v>
      </c>
      <c r="I48" s="497">
        <f t="shared" ca="1" si="6"/>
        <v>12</v>
      </c>
      <c r="J48" s="497" t="str">
        <f t="shared" ca="1" si="7"/>
        <v>41–65</v>
      </c>
      <c r="K48" s="498" t="str">
        <f t="shared" ca="1" si="8"/>
        <v xml:space="preserve">–24 </v>
      </c>
      <c r="L48" s="498"/>
      <c r="M48" s="498">
        <f t="shared" ca="1" si="9"/>
        <v>20</v>
      </c>
      <c r="N48" s="286"/>
      <c r="O48" s="859"/>
      <c r="P48" s="859"/>
      <c r="Q48" s="859"/>
      <c r="R48" s="859"/>
      <c r="X48" s="336" t="str">
        <f>Adatok!A7</f>
        <v>Hercules-Ludovika</v>
      </c>
      <c r="AB48" s="337">
        <f t="shared" si="10"/>
        <v>3.3999999999999996E-2</v>
      </c>
      <c r="AC48" s="338" t="str">
        <f t="shared" si="11"/>
        <v>Hercules-Ludovika</v>
      </c>
      <c r="AD48" s="337">
        <f t="shared" si="12"/>
        <v>3.3999999999999996E-2</v>
      </c>
      <c r="AE48" s="338" t="str">
        <f t="shared" si="13"/>
        <v>Hercules-Ludovika</v>
      </c>
      <c r="AI48" s="232" t="s">
        <v>353</v>
      </c>
      <c r="AJ48" s="376">
        <f>AJ47</f>
        <v>3</v>
      </c>
      <c r="AN48" s="210" t="str">
        <f t="shared" ca="1" si="62"/>
        <v>Bakafogó-Honvéd-Sashegy SE</v>
      </c>
      <c r="AO48" s="340">
        <f t="shared" ca="1" si="63"/>
        <v>7</v>
      </c>
      <c r="AP48" s="338">
        <f t="shared" ca="1" si="14"/>
        <v>41</v>
      </c>
      <c r="AQ48" s="210">
        <f t="shared" ca="1" si="15"/>
        <v>65</v>
      </c>
      <c r="AY48" s="341">
        <f t="shared" ca="1" si="16"/>
        <v>20376041.039999999</v>
      </c>
      <c r="AZ48" s="377">
        <f t="shared" ca="1" si="83"/>
        <v>7</v>
      </c>
      <c r="BA48" s="343">
        <f t="shared" ca="1" si="64"/>
        <v>25237056.034000002</v>
      </c>
      <c r="BB48" s="349">
        <v>7</v>
      </c>
      <c r="BC48" s="378" t="str">
        <f t="shared" si="65"/>
        <v>Hercules-Ludovika</v>
      </c>
      <c r="BD48" s="346">
        <f t="shared" ca="1" si="66"/>
        <v>20</v>
      </c>
      <c r="BE48" s="346">
        <f t="shared" ca="1" si="17"/>
        <v>8</v>
      </c>
      <c r="BF48" s="346">
        <f t="shared" ca="1" si="18"/>
        <v>1</v>
      </c>
      <c r="BG48" s="346">
        <f t="shared" ca="1" si="19"/>
        <v>11</v>
      </c>
      <c r="BH48" s="346">
        <f t="shared" ca="1" si="20"/>
        <v>56</v>
      </c>
      <c r="BI48" s="346">
        <f t="shared" ca="1" si="21"/>
        <v>59</v>
      </c>
      <c r="BJ48" s="346">
        <f t="shared" ca="1" si="67"/>
        <v>-3</v>
      </c>
      <c r="BK48" s="347">
        <f t="shared" ca="1" si="68"/>
        <v>0.94915254237288138</v>
      </c>
      <c r="BL48" s="346">
        <f t="shared" si="22"/>
        <v>0</v>
      </c>
      <c r="BM48" s="346">
        <f t="shared" ca="1" si="23"/>
        <v>25</v>
      </c>
      <c r="BN48" s="346">
        <f t="shared" ca="1" si="69"/>
        <v>27</v>
      </c>
      <c r="BO48" s="347">
        <f t="shared" ca="1" si="24"/>
        <v>0.67500000000000004</v>
      </c>
      <c r="BP48" s="348">
        <v>3.3999999999999996E-2</v>
      </c>
      <c r="BQ48" s="349">
        <f t="shared" ca="1" si="25"/>
        <v>240000</v>
      </c>
      <c r="BS48" s="346">
        <f t="shared" ca="1" si="26"/>
        <v>0</v>
      </c>
      <c r="BT48" s="346">
        <f t="shared" ca="1" si="27"/>
        <v>6</v>
      </c>
      <c r="BU48" s="346">
        <f t="shared" ca="1" si="28"/>
        <v>0</v>
      </c>
      <c r="BV48" s="346">
        <f t="shared" ca="1" si="29"/>
        <v>4</v>
      </c>
      <c r="BW48" s="346">
        <f t="shared" ca="1" si="30"/>
        <v>34</v>
      </c>
      <c r="BX48" s="346">
        <f t="shared" ca="1" si="31"/>
        <v>25</v>
      </c>
      <c r="BZ48" s="346">
        <f t="shared" ca="1" si="32"/>
        <v>0</v>
      </c>
      <c r="CA48" s="346">
        <f t="shared" ca="1" si="33"/>
        <v>2</v>
      </c>
      <c r="CB48" s="346">
        <f t="shared" ca="1" si="34"/>
        <v>1</v>
      </c>
      <c r="CC48" s="346">
        <f t="shared" ca="1" si="35"/>
        <v>7</v>
      </c>
      <c r="CD48" s="346">
        <f t="shared" ca="1" si="36"/>
        <v>22</v>
      </c>
      <c r="CE48" s="346">
        <f t="shared" ca="1" si="37"/>
        <v>34</v>
      </c>
      <c r="CH48" s="350"/>
      <c r="CI48" s="353">
        <f t="shared" ca="1" si="70"/>
        <v>2.0070000000000001</v>
      </c>
      <c r="CJ48" s="352">
        <f t="shared" ca="1" si="71"/>
        <v>20</v>
      </c>
      <c r="CK48" s="353">
        <f t="shared" ca="1" si="72"/>
        <v>0.6</v>
      </c>
      <c r="CL48" s="354">
        <v>7</v>
      </c>
      <c r="CM48" s="350"/>
      <c r="CN48" s="300"/>
      <c r="CO48" s="356" t="str">
        <f ca="1">IF(OR(CO41=$BM74,CO41=$BO74),$BC74,"")</f>
        <v/>
      </c>
      <c r="CP48" s="357" t="str">
        <f t="shared" ca="1" si="73"/>
        <v/>
      </c>
      <c r="CQ48" s="358" t="str">
        <f ca="1">IF(ISERR(LARGE(CP42:CP65,$CL48)),"",LARGE(CP42:CP65,$CL48))</f>
        <v/>
      </c>
      <c r="CR48" s="356" t="str">
        <f ca="1">IF(OR(CR41=$BM74,CR41=$BO74),$BC74,"")</f>
        <v>Hercules-Ludovika</v>
      </c>
      <c r="CS48" s="357">
        <f t="shared" ca="1" si="74"/>
        <v>7</v>
      </c>
      <c r="CT48" s="358" t="str">
        <f ca="1">IF(ISERR(LARGE(CS42:CS65,$CL48)),"",LARGE(CS42:CS65,$CL48))</f>
        <v/>
      </c>
      <c r="CU48" s="356" t="str">
        <f ca="1">IF(OR(CU41=$BM74,CU41=$BO74),$BC74,"")</f>
        <v/>
      </c>
      <c r="CV48" s="357" t="str">
        <f t="shared" ca="1" si="75"/>
        <v/>
      </c>
      <c r="CW48" s="385"/>
      <c r="CX48" s="356" t="str">
        <f ca="1">IF(OR(CX41=$BM74,CX41=$BO74),$BC74,"")</f>
        <v/>
      </c>
      <c r="CY48" s="357" t="str">
        <f t="shared" ca="1" si="76"/>
        <v/>
      </c>
      <c r="CZ48" s="385"/>
      <c r="DA48" s="356" t="str">
        <f ca="1">IF(OR(DA41=$BM74,DA41=$BO74),$BC74,"")</f>
        <v/>
      </c>
      <c r="DB48" s="357" t="str">
        <f t="shared" ca="1" si="77"/>
        <v/>
      </c>
      <c r="DC48" s="385"/>
      <c r="DD48" s="356" t="str">
        <f ca="1">IF(OR(DD41=$BM74,DD41=$BO74),$BC74,"")</f>
        <v/>
      </c>
      <c r="DE48" s="357" t="str">
        <f t="shared" ca="1" si="78"/>
        <v/>
      </c>
      <c r="DF48" s="385"/>
      <c r="DG48" s="350"/>
      <c r="DH48" s="300"/>
      <c r="DI48" s="359" t="str">
        <f t="shared" ca="1" si="38"/>
        <v/>
      </c>
      <c r="DJ48" s="360" t="str">
        <f t="shared" ca="1" si="79"/>
        <v/>
      </c>
      <c r="DK48" s="360" t="str">
        <f t="shared" ca="1" si="39"/>
        <v/>
      </c>
      <c r="DL48" s="354" t="str">
        <f t="shared" ca="1" si="40"/>
        <v/>
      </c>
      <c r="DM48" s="354" t="str">
        <f t="shared" ca="1" si="41"/>
        <v/>
      </c>
      <c r="DN48" s="361" t="str">
        <f t="shared" ca="1" si="42"/>
        <v/>
      </c>
      <c r="DO48" s="362" t="str">
        <f t="shared" ca="1" si="43"/>
        <v/>
      </c>
      <c r="DP48" s="379" t="str">
        <f t="shared" ca="1" si="84"/>
        <v>Vakana</v>
      </c>
      <c r="DQ48" s="302"/>
      <c r="DR48" s="364"/>
      <c r="DS48" s="302"/>
      <c r="DU48" s="365"/>
      <c r="DV48" s="366" t="str">
        <f ca="1">IF(AND($AJ$44,DI41,DP41&lt;&gt;2),DI48,"")</f>
        <v/>
      </c>
      <c r="DW48" s="366">
        <f t="shared" ca="1" si="44"/>
        <v>-1</v>
      </c>
      <c r="DX48" s="366">
        <f t="shared" ca="1" si="45"/>
        <v>0</v>
      </c>
      <c r="DZ48" s="366">
        <f t="shared" ca="1" si="46"/>
        <v>0</v>
      </c>
      <c r="EA48" s="366">
        <f t="shared" ca="1" si="47"/>
        <v>0</v>
      </c>
      <c r="EC48" s="366">
        <f t="shared" ca="1" si="80"/>
        <v>0</v>
      </c>
      <c r="EE48" s="366">
        <f t="shared" ca="1" si="48"/>
        <v>-1000000</v>
      </c>
      <c r="EI48" s="366">
        <f t="shared" ca="1" si="49"/>
        <v>0</v>
      </c>
      <c r="EJ48" s="366">
        <f ca="1">IF(EI48=0,0,RANK(EI48,EI42:EI51,1))</f>
        <v>0</v>
      </c>
      <c r="EK48" s="366">
        <f t="shared" ca="1" si="81"/>
        <v>0</v>
      </c>
      <c r="EL48" s="365"/>
      <c r="EM48" s="367">
        <f ca="1">IF($AJ$54,COUNTIF(EE53:EE62,EN47)*IF(OR(EN48=0,EN48=EN47),0,1),COUNTIF(DW42:DW51,EO48)*IF(OR(EO48=EO47,EO48&lt;0),0,1))+EP48/1000</f>
        <v>7.0000000000000001E-3</v>
      </c>
      <c r="EN48" s="368">
        <v>0</v>
      </c>
      <c r="EO48" s="369">
        <f ca="1">LARGE(DW42:DW51,EP48)</f>
        <v>-1</v>
      </c>
      <c r="EP48" s="369">
        <v>7</v>
      </c>
      <c r="EQ48" s="365"/>
      <c r="ER48" s="365"/>
      <c r="ES48" s="371" t="str">
        <f ca="1">IF(DW48=ES41,DV48,IF(EE59=ES41,DV59,""))</f>
        <v/>
      </c>
      <c r="ET48" s="369" t="str">
        <f t="shared" ca="1" si="50"/>
        <v/>
      </c>
      <c r="EU48" s="386"/>
      <c r="EV48" s="371" t="str">
        <f ca="1">IF(DW48=EV41,DV48,IF(EE59=EV41,DV59,""))</f>
        <v/>
      </c>
      <c r="EW48" s="369" t="str">
        <f t="shared" ca="1" si="51"/>
        <v/>
      </c>
      <c r="EX48" s="386"/>
      <c r="EY48" s="371" t="str">
        <f ca="1">IF(DW48=EY41,DV48,IF(EE59=EY41,DV59,""))</f>
        <v/>
      </c>
      <c r="EZ48" s="369" t="str">
        <f t="shared" ca="1" si="52"/>
        <v/>
      </c>
      <c r="FA48" s="386"/>
      <c r="FB48" s="365"/>
      <c r="FC48" s="366"/>
      <c r="FD48" s="373"/>
      <c r="FE48" s="333"/>
      <c r="FG48" s="376"/>
      <c r="FH48" s="376"/>
      <c r="FI48" s="382" t="str">
        <f t="shared" si="87"/>
        <v>rank.a</v>
      </c>
      <c r="FJ48" s="383" t="b">
        <f t="shared" ca="1" si="85"/>
        <v>0</v>
      </c>
      <c r="FK48" s="387" t="str">
        <f t="shared" ca="1" si="88"/>
        <v/>
      </c>
      <c r="FO48" s="300"/>
      <c r="FP48" s="359" t="str">
        <f t="shared" ca="1" si="53"/>
        <v/>
      </c>
      <c r="FQ48" s="360" t="str">
        <f t="shared" ca="1" si="82"/>
        <v/>
      </c>
      <c r="FR48" s="360" t="str">
        <f t="shared" ca="1" si="54"/>
        <v/>
      </c>
      <c r="FS48" s="360" t="str">
        <f t="shared" ca="1" si="55"/>
        <v/>
      </c>
      <c r="FT48" s="360" t="str">
        <f t="shared" ca="1" si="56"/>
        <v/>
      </c>
      <c r="FU48" s="360" t="str">
        <f t="shared" ca="1" si="57"/>
        <v/>
      </c>
      <c r="FV48" s="360" t="str">
        <f t="shared" ca="1" si="58"/>
        <v/>
      </c>
      <c r="FW48" s="360" t="str">
        <f t="shared" ca="1" si="59"/>
        <v/>
      </c>
      <c r="FX48" s="360" t="str">
        <f t="shared" ca="1" si="60"/>
        <v/>
      </c>
      <c r="FY48" s="360" t="str">
        <f t="shared" ca="1" si="61"/>
        <v/>
      </c>
      <c r="FZ48" s="379" t="str">
        <f t="shared" ca="1" si="86"/>
        <v/>
      </c>
      <c r="GA48" s="302"/>
      <c r="GB48" s="364"/>
      <c r="GC48" s="302"/>
    </row>
    <row r="49" spans="3:185" ht="16.5" customHeight="1" x14ac:dyDescent="0.25">
      <c r="C49" s="511" t="str">
        <f t="shared" ca="1" si="0"/>
        <v/>
      </c>
      <c r="D49" s="510" t="str">
        <f t="shared" ca="1" si="1"/>
        <v>►</v>
      </c>
      <c r="E49" s="487" t="str">
        <f t="shared" ca="1" si="2"/>
        <v>8. Vakana</v>
      </c>
      <c r="F49" s="488">
        <f t="shared" ca="1" si="3"/>
        <v>20</v>
      </c>
      <c r="G49" s="489">
        <f t="shared" ca="1" si="4"/>
        <v>6</v>
      </c>
      <c r="H49" s="489">
        <f t="shared" ca="1" si="5"/>
        <v>2</v>
      </c>
      <c r="I49" s="489">
        <f t="shared" ca="1" si="6"/>
        <v>12</v>
      </c>
      <c r="J49" s="489" t="str">
        <f t="shared" ca="1" si="7"/>
        <v>34–65</v>
      </c>
      <c r="K49" s="490" t="str">
        <f t="shared" ca="1" si="8"/>
        <v xml:space="preserve">–31 </v>
      </c>
      <c r="L49" s="490"/>
      <c r="M49" s="490">
        <f t="shared" ca="1" si="9"/>
        <v>20</v>
      </c>
      <c r="O49" s="390"/>
      <c r="P49" s="390"/>
      <c r="Q49" s="390"/>
      <c r="R49" s="390"/>
      <c r="X49" s="336" t="str">
        <f>Adatok!A8</f>
        <v>K&amp;H</v>
      </c>
      <c r="AB49" s="337">
        <f t="shared" si="10"/>
        <v>3.2999999999999995E-2</v>
      </c>
      <c r="AC49" s="338" t="str">
        <f t="shared" si="11"/>
        <v>K&amp;H</v>
      </c>
      <c r="AD49" s="337">
        <f t="shared" si="12"/>
        <v>3.2999999999999995E-2</v>
      </c>
      <c r="AE49" s="338" t="str">
        <f t="shared" si="13"/>
        <v>K&amp;H</v>
      </c>
      <c r="AN49" s="210" t="str">
        <f t="shared" ca="1" si="62"/>
        <v>Vakana</v>
      </c>
      <c r="AO49" s="340">
        <f t="shared" ca="1" si="63"/>
        <v>8</v>
      </c>
      <c r="AP49" s="338">
        <f t="shared" ca="1" si="14"/>
        <v>34</v>
      </c>
      <c r="AQ49" s="210">
        <f t="shared" ca="1" si="15"/>
        <v>65</v>
      </c>
      <c r="AY49" s="341">
        <f t="shared" ca="1" si="16"/>
        <v>20329034.030999999</v>
      </c>
      <c r="AZ49" s="377">
        <f t="shared" ca="1" si="83"/>
        <v>8</v>
      </c>
      <c r="BA49" s="343">
        <f t="shared" ca="1" si="64"/>
        <v>52083107.033</v>
      </c>
      <c r="BB49" s="349">
        <v>8</v>
      </c>
      <c r="BC49" s="378" t="str">
        <f t="shared" si="65"/>
        <v>K&amp;H</v>
      </c>
      <c r="BD49" s="346">
        <f t="shared" ca="1" si="66"/>
        <v>20</v>
      </c>
      <c r="BE49" s="346">
        <f t="shared" ca="1" si="17"/>
        <v>17</v>
      </c>
      <c r="BF49" s="346">
        <f t="shared" ca="1" si="18"/>
        <v>1</v>
      </c>
      <c r="BG49" s="346">
        <f t="shared" ca="1" si="19"/>
        <v>2</v>
      </c>
      <c r="BH49" s="346">
        <f t="shared" ca="1" si="20"/>
        <v>107</v>
      </c>
      <c r="BI49" s="346">
        <f t="shared" ca="1" si="21"/>
        <v>24</v>
      </c>
      <c r="BJ49" s="346">
        <f t="shared" ca="1" si="67"/>
        <v>83</v>
      </c>
      <c r="BK49" s="347">
        <f t="shared" ca="1" si="68"/>
        <v>4.458333333333333</v>
      </c>
      <c r="BL49" s="346">
        <f t="shared" si="22"/>
        <v>0</v>
      </c>
      <c r="BM49" s="346">
        <f t="shared" ca="1" si="23"/>
        <v>52</v>
      </c>
      <c r="BN49" s="346">
        <f t="shared" ca="1" si="69"/>
        <v>36</v>
      </c>
      <c r="BO49" s="347">
        <f t="shared" ca="1" si="24"/>
        <v>0.9</v>
      </c>
      <c r="BP49" s="348">
        <v>3.2999999999999995E-2</v>
      </c>
      <c r="BQ49" s="349">
        <f t="shared" ca="1" si="25"/>
        <v>0</v>
      </c>
      <c r="BS49" s="346">
        <f t="shared" ca="1" si="26"/>
        <v>0</v>
      </c>
      <c r="BT49" s="346">
        <f t="shared" ca="1" si="27"/>
        <v>8</v>
      </c>
      <c r="BU49" s="346">
        <f t="shared" ca="1" si="28"/>
        <v>1</v>
      </c>
      <c r="BV49" s="346">
        <f t="shared" ca="1" si="29"/>
        <v>1</v>
      </c>
      <c r="BW49" s="346">
        <f t="shared" ca="1" si="30"/>
        <v>51</v>
      </c>
      <c r="BX49" s="346">
        <f t="shared" ca="1" si="31"/>
        <v>15</v>
      </c>
      <c r="BZ49" s="346">
        <f t="shared" ca="1" si="32"/>
        <v>0</v>
      </c>
      <c r="CA49" s="346">
        <f t="shared" ca="1" si="33"/>
        <v>9</v>
      </c>
      <c r="CB49" s="346">
        <f t="shared" ca="1" si="34"/>
        <v>0</v>
      </c>
      <c r="CC49" s="346">
        <f t="shared" ca="1" si="35"/>
        <v>1</v>
      </c>
      <c r="CD49" s="346">
        <f t="shared" ca="1" si="36"/>
        <v>56</v>
      </c>
      <c r="CE49" s="346">
        <f t="shared" ca="1" si="37"/>
        <v>9</v>
      </c>
      <c r="CH49" s="350"/>
      <c r="CI49" s="353">
        <f t="shared" ca="1" si="70"/>
        <v>8.0000000000000002E-3</v>
      </c>
      <c r="CJ49" s="352">
        <f t="shared" ca="1" si="71"/>
        <v>20</v>
      </c>
      <c r="CK49" s="353">
        <f t="shared" ca="1" si="72"/>
        <v>0.57499999999999996</v>
      </c>
      <c r="CL49" s="354">
        <v>8</v>
      </c>
      <c r="CM49" s="350"/>
      <c r="CN49" s="300"/>
      <c r="CO49" s="356" t="str">
        <f ca="1">IF(OR(CO41=$BM75,CO41=$BO75),$BC75,"")</f>
        <v/>
      </c>
      <c r="CP49" s="357" t="str">
        <f t="shared" ca="1" si="73"/>
        <v/>
      </c>
      <c r="CQ49" s="358" t="str">
        <f ca="1">IF(ISERR(LARGE(CP42:CP65,$CL49)),"",LARGE(CP42:CP65,$CL49))</f>
        <v/>
      </c>
      <c r="CR49" s="356" t="str">
        <f ca="1">IF(OR(CR41=$BM75,CR41=$BO75),$BC75,"")</f>
        <v/>
      </c>
      <c r="CS49" s="357" t="str">
        <f t="shared" ca="1" si="74"/>
        <v/>
      </c>
      <c r="CT49" s="380"/>
      <c r="CU49" s="356" t="str">
        <f ca="1">IF(OR(CU41=$BM75,CU41=$BO75),$BC75,"")</f>
        <v>K&amp;H</v>
      </c>
      <c r="CV49" s="357">
        <f t="shared" ca="1" si="75"/>
        <v>8</v>
      </c>
      <c r="CW49" s="385"/>
      <c r="CX49" s="356" t="str">
        <f ca="1">IF(OR(CX41=$BM75,CX41=$BO75),$BC75,"")</f>
        <v/>
      </c>
      <c r="CY49" s="357" t="str">
        <f t="shared" ca="1" si="76"/>
        <v/>
      </c>
      <c r="CZ49" s="385"/>
      <c r="DA49" s="356" t="str">
        <f ca="1">IF(OR(DA41=$BM75,DA41=$BO75),$BC75,"")</f>
        <v/>
      </c>
      <c r="DB49" s="357" t="str">
        <f t="shared" ca="1" si="77"/>
        <v/>
      </c>
      <c r="DC49" s="385"/>
      <c r="DD49" s="356" t="str">
        <f ca="1">IF(OR(DD41=$BM75,DD41=$BO75),$BC75,"")</f>
        <v/>
      </c>
      <c r="DE49" s="357" t="str">
        <f t="shared" ca="1" si="78"/>
        <v/>
      </c>
      <c r="DF49" s="385"/>
      <c r="DG49" s="350"/>
      <c r="DH49" s="300"/>
      <c r="DI49" s="359" t="str">
        <f t="shared" ca="1" si="38"/>
        <v/>
      </c>
      <c r="DJ49" s="360" t="str">
        <f t="shared" ca="1" si="79"/>
        <v/>
      </c>
      <c r="DK49" s="360" t="str">
        <f t="shared" ca="1" si="39"/>
        <v/>
      </c>
      <c r="DL49" s="354" t="str">
        <f t="shared" ca="1" si="40"/>
        <v/>
      </c>
      <c r="DM49" s="354" t="str">
        <f t="shared" ca="1" si="41"/>
        <v/>
      </c>
      <c r="DN49" s="361" t="str">
        <f t="shared" ca="1" si="42"/>
        <v/>
      </c>
      <c r="DO49" s="362" t="str">
        <f t="shared" ca="1" si="43"/>
        <v/>
      </c>
      <c r="DP49" s="379" t="str">
        <f t="shared" ca="1" si="84"/>
        <v>Vakana</v>
      </c>
      <c r="DQ49" s="302"/>
      <c r="DR49" s="364"/>
      <c r="DS49" s="302"/>
      <c r="DU49" s="365"/>
      <c r="DV49" s="366" t="str">
        <f ca="1">IF(AND($AJ$44,DI41,DP41&lt;&gt;2),DI49,"")</f>
        <v/>
      </c>
      <c r="DW49" s="366">
        <f t="shared" ca="1" si="44"/>
        <v>-1</v>
      </c>
      <c r="DX49" s="366">
        <f t="shared" ca="1" si="45"/>
        <v>0</v>
      </c>
      <c r="DZ49" s="366">
        <f t="shared" ca="1" si="46"/>
        <v>0</v>
      </c>
      <c r="EA49" s="366">
        <f t="shared" ca="1" si="47"/>
        <v>0</v>
      </c>
      <c r="EC49" s="366">
        <f t="shared" ca="1" si="80"/>
        <v>0</v>
      </c>
      <c r="EE49" s="366">
        <f t="shared" ca="1" si="48"/>
        <v>-1000000</v>
      </c>
      <c r="EI49" s="366">
        <f t="shared" ca="1" si="49"/>
        <v>0</v>
      </c>
      <c r="EJ49" s="366">
        <f ca="1">IF(EI49=0,0,RANK(EI49,EI42:EI51,1))</f>
        <v>0</v>
      </c>
      <c r="EK49" s="366">
        <f t="shared" ca="1" si="81"/>
        <v>0</v>
      </c>
      <c r="EL49" s="365"/>
      <c r="EM49" s="367">
        <f ca="1">IF($AJ$54,COUNTIF(EE53:EE62,EN48)*IF(OR(EN49=0,EN49=EN48),0,1),COUNTIF(DW42:DW51,EO49)*IF(OR(EO49=EO48,EO49&lt;0),0,1))+EP49/1000</f>
        <v>8.0000000000000002E-3</v>
      </c>
      <c r="EN49" s="368">
        <v>0</v>
      </c>
      <c r="EO49" s="369">
        <f ca="1">LARGE(DW42:DW51,EP49)</f>
        <v>-1</v>
      </c>
      <c r="EP49" s="369">
        <v>8</v>
      </c>
      <c r="EQ49" s="365"/>
      <c r="ER49" s="365"/>
      <c r="ES49" s="371" t="str">
        <f ca="1">IF(DW49=ES41,DV49,IF(EE60=ES41,DV60,""))</f>
        <v/>
      </c>
      <c r="ET49" s="369" t="str">
        <f t="shared" ca="1" si="50"/>
        <v/>
      </c>
      <c r="EU49" s="386"/>
      <c r="EV49" s="371" t="str">
        <f ca="1">IF(DW49=EV41,DV49,IF(EE60=EV41,DV60,""))</f>
        <v/>
      </c>
      <c r="EW49" s="369" t="str">
        <f t="shared" ca="1" si="51"/>
        <v/>
      </c>
      <c r="EX49" s="386"/>
      <c r="EY49" s="371" t="str">
        <f ca="1">IF(DW49=EY41,DV49,IF(EE60=EY41,DV60,""))</f>
        <v/>
      </c>
      <c r="EZ49" s="369" t="str">
        <f t="shared" ca="1" si="52"/>
        <v/>
      </c>
      <c r="FA49" s="386"/>
      <c r="FB49" s="365"/>
      <c r="FC49" s="366"/>
      <c r="FD49" s="373"/>
      <c r="FE49" s="333"/>
      <c r="FG49" s="376"/>
      <c r="FH49" s="376"/>
      <c r="FI49" s="382" t="str">
        <f t="shared" si="87"/>
        <v>rank.a</v>
      </c>
      <c r="FJ49" s="383" t="b">
        <f t="shared" ca="1" si="85"/>
        <v>0</v>
      </c>
      <c r="FK49" s="387" t="str">
        <f t="shared" ca="1" si="88"/>
        <v/>
      </c>
      <c r="FO49" s="300"/>
      <c r="FP49" s="359" t="str">
        <f t="shared" ca="1" si="53"/>
        <v/>
      </c>
      <c r="FQ49" s="360" t="str">
        <f t="shared" ca="1" si="82"/>
        <v/>
      </c>
      <c r="FR49" s="360" t="str">
        <f t="shared" ca="1" si="54"/>
        <v/>
      </c>
      <c r="FS49" s="360" t="str">
        <f t="shared" ca="1" si="55"/>
        <v/>
      </c>
      <c r="FT49" s="360" t="str">
        <f t="shared" ca="1" si="56"/>
        <v/>
      </c>
      <c r="FU49" s="360" t="str">
        <f t="shared" ca="1" si="57"/>
        <v/>
      </c>
      <c r="FV49" s="360" t="str">
        <f t="shared" ca="1" si="58"/>
        <v/>
      </c>
      <c r="FW49" s="360" t="str">
        <f t="shared" ca="1" si="59"/>
        <v/>
      </c>
      <c r="FX49" s="360" t="str">
        <f t="shared" ca="1" si="60"/>
        <v/>
      </c>
      <c r="FY49" s="360" t="str">
        <f t="shared" ca="1" si="61"/>
        <v/>
      </c>
      <c r="FZ49" s="379" t="str">
        <f t="shared" ca="1" si="86"/>
        <v/>
      </c>
      <c r="GA49" s="302"/>
      <c r="GB49" s="364"/>
      <c r="GC49" s="302"/>
    </row>
    <row r="50" spans="3:185" ht="16.5" customHeight="1" x14ac:dyDescent="0.25">
      <c r="C50" s="511" t="str">
        <f t="shared" ca="1" si="0"/>
        <v/>
      </c>
      <c r="D50" s="510" t="str">
        <f t="shared" ca="1" si="1"/>
        <v>►</v>
      </c>
      <c r="E50" s="487" t="str">
        <f t="shared" ca="1" si="2"/>
        <v>9. Carbonász</v>
      </c>
      <c r="F50" s="488">
        <f t="shared" ca="1" si="3"/>
        <v>20</v>
      </c>
      <c r="G50" s="489">
        <f t="shared" ca="1" si="4"/>
        <v>4</v>
      </c>
      <c r="H50" s="489">
        <f t="shared" ca="1" si="5"/>
        <v>2</v>
      </c>
      <c r="I50" s="489">
        <f t="shared" ca="1" si="6"/>
        <v>14</v>
      </c>
      <c r="J50" s="489" t="str">
        <f t="shared" ca="1" si="7"/>
        <v>44–101</v>
      </c>
      <c r="K50" s="490" t="str">
        <f t="shared" ca="1" si="8"/>
        <v xml:space="preserve">–57 </v>
      </c>
      <c r="L50" s="490"/>
      <c r="M50" s="490">
        <f t="shared" ca="1" si="9"/>
        <v>14</v>
      </c>
      <c r="O50" s="390"/>
      <c r="P50" s="390"/>
      <c r="Q50" s="390"/>
      <c r="R50" s="390"/>
      <c r="X50" s="336" t="str">
        <f>Adatok!A9</f>
        <v>Royal Guard's</v>
      </c>
      <c r="AB50" s="337">
        <f t="shared" si="10"/>
        <v>3.1999999999999994E-2</v>
      </c>
      <c r="AC50" s="338" t="str">
        <f t="shared" si="11"/>
        <v>Royal Guard's</v>
      </c>
      <c r="AD50" s="337">
        <f t="shared" si="12"/>
        <v>3.1999999999999994E-2</v>
      </c>
      <c r="AE50" s="338" t="str">
        <f t="shared" si="13"/>
        <v>Royal Guard's</v>
      </c>
      <c r="AI50" s="310" t="s">
        <v>355</v>
      </c>
      <c r="AJ50" s="311"/>
      <c r="AN50" s="210" t="str">
        <f t="shared" ca="1" si="62"/>
        <v>Carbonász</v>
      </c>
      <c r="AO50" s="340">
        <f t="shared" ca="1" si="63"/>
        <v>9</v>
      </c>
      <c r="AP50" s="338">
        <f t="shared" ca="1" si="14"/>
        <v>44</v>
      </c>
      <c r="AQ50" s="210">
        <f t="shared" ca="1" si="15"/>
        <v>101</v>
      </c>
      <c r="AY50" s="341">
        <f t="shared" ca="1" si="16"/>
        <v>13943044.036</v>
      </c>
      <c r="AZ50" s="377">
        <f t="shared" ca="1" si="83"/>
        <v>9</v>
      </c>
      <c r="BA50" s="343">
        <f t="shared" ca="1" si="64"/>
        <v>11954027.032</v>
      </c>
      <c r="BB50" s="349">
        <v>9</v>
      </c>
      <c r="BC50" s="378" t="str">
        <f t="shared" si="65"/>
        <v>Royal Guard's</v>
      </c>
      <c r="BD50" s="346">
        <f t="shared" ca="1" si="66"/>
        <v>20</v>
      </c>
      <c r="BE50" s="346">
        <f t="shared" ca="1" si="17"/>
        <v>3</v>
      </c>
      <c r="BF50" s="346">
        <f t="shared" ca="1" si="18"/>
        <v>3</v>
      </c>
      <c r="BG50" s="346">
        <f t="shared" ca="1" si="19"/>
        <v>14</v>
      </c>
      <c r="BH50" s="346">
        <f t="shared" ca="1" si="20"/>
        <v>27</v>
      </c>
      <c r="BI50" s="346">
        <f t="shared" ca="1" si="21"/>
        <v>73</v>
      </c>
      <c r="BJ50" s="346">
        <f t="shared" ca="1" si="67"/>
        <v>-46</v>
      </c>
      <c r="BK50" s="347">
        <f t="shared" ca="1" si="68"/>
        <v>0.36986301369863012</v>
      </c>
      <c r="BL50" s="346">
        <f t="shared" si="22"/>
        <v>0</v>
      </c>
      <c r="BM50" s="346">
        <f t="shared" ca="1" si="23"/>
        <v>12</v>
      </c>
      <c r="BN50" s="346">
        <f t="shared" ca="1" si="69"/>
        <v>20</v>
      </c>
      <c r="BO50" s="347">
        <f t="shared" ca="1" si="24"/>
        <v>0.5</v>
      </c>
      <c r="BP50" s="348">
        <v>3.1999999999999994E-2</v>
      </c>
      <c r="BQ50" s="349">
        <f t="shared" ca="1" si="25"/>
        <v>0</v>
      </c>
      <c r="BS50" s="346">
        <f t="shared" ca="1" si="26"/>
        <v>0</v>
      </c>
      <c r="BT50" s="346">
        <f t="shared" ca="1" si="27"/>
        <v>2</v>
      </c>
      <c r="BU50" s="346">
        <f t="shared" ca="1" si="28"/>
        <v>2</v>
      </c>
      <c r="BV50" s="346">
        <f t="shared" ca="1" si="29"/>
        <v>6</v>
      </c>
      <c r="BW50" s="346">
        <f t="shared" ca="1" si="30"/>
        <v>15</v>
      </c>
      <c r="BX50" s="346">
        <f t="shared" ca="1" si="31"/>
        <v>26</v>
      </c>
      <c r="BZ50" s="346">
        <f t="shared" ca="1" si="32"/>
        <v>0</v>
      </c>
      <c r="CA50" s="346">
        <f t="shared" ca="1" si="33"/>
        <v>1</v>
      </c>
      <c r="CB50" s="346">
        <f t="shared" ca="1" si="34"/>
        <v>1</v>
      </c>
      <c r="CC50" s="346">
        <f t="shared" ca="1" si="35"/>
        <v>8</v>
      </c>
      <c r="CD50" s="346">
        <f t="shared" ca="1" si="36"/>
        <v>12</v>
      </c>
      <c r="CE50" s="346">
        <f t="shared" ca="1" si="37"/>
        <v>47</v>
      </c>
      <c r="CH50" s="350"/>
      <c r="CI50" s="353">
        <f t="shared" ca="1" si="70"/>
        <v>1.0089999999999999</v>
      </c>
      <c r="CJ50" s="352">
        <f t="shared" ca="1" si="71"/>
        <v>14</v>
      </c>
      <c r="CK50" s="353">
        <f t="shared" ca="1" si="72"/>
        <v>0.57499999999999996</v>
      </c>
      <c r="CL50" s="354">
        <v>9</v>
      </c>
      <c r="CM50" s="350"/>
      <c r="CN50" s="300"/>
      <c r="CO50" s="356" t="str">
        <f ca="1">IF(OR(CO41=$BM76,CO41=$BO76),$BC76,"")</f>
        <v/>
      </c>
      <c r="CP50" s="357" t="str">
        <f t="shared" ca="1" si="73"/>
        <v/>
      </c>
      <c r="CQ50" s="358" t="str">
        <f ca="1">IF(ISERR(LARGE(CP42:CP65,$CL50)),"",LARGE(CP42:CP65,$CL50))</f>
        <v/>
      </c>
      <c r="CR50" s="356" t="str">
        <f ca="1">IF(OR(CR41=$BM76,CR41=$BO76),$BC76,"")</f>
        <v/>
      </c>
      <c r="CS50" s="357" t="str">
        <f t="shared" ca="1" si="74"/>
        <v/>
      </c>
      <c r="CT50" s="385"/>
      <c r="CU50" s="356" t="str">
        <f ca="1">IF(OR(CU41=$BM76,CU41=$BO76),$BC76,"")</f>
        <v/>
      </c>
      <c r="CV50" s="357" t="str">
        <f t="shared" ca="1" si="75"/>
        <v/>
      </c>
      <c r="CW50" s="385"/>
      <c r="CX50" s="356" t="str">
        <f ca="1">IF(OR(CX41=$BM76,CX41=$BO76),$BC76,"")</f>
        <v/>
      </c>
      <c r="CY50" s="357" t="str">
        <f t="shared" ca="1" si="76"/>
        <v/>
      </c>
      <c r="CZ50" s="385"/>
      <c r="DA50" s="356" t="str">
        <f ca="1">IF(OR(DA41=$BM76,DA41=$BO76),$BC76,"")</f>
        <v/>
      </c>
      <c r="DB50" s="357" t="str">
        <f t="shared" ca="1" si="77"/>
        <v/>
      </c>
      <c r="DC50" s="385"/>
      <c r="DD50" s="356" t="str">
        <f ca="1">IF(OR(DD41=$BM76,DD41=$BO76),$BC76,"")</f>
        <v/>
      </c>
      <c r="DE50" s="357" t="str">
        <f t="shared" ca="1" si="78"/>
        <v/>
      </c>
      <c r="DF50" s="385"/>
      <c r="DG50" s="350"/>
      <c r="DH50" s="300"/>
      <c r="DI50" s="359" t="str">
        <f t="shared" ca="1" si="38"/>
        <v/>
      </c>
      <c r="DJ50" s="360" t="str">
        <f t="shared" ca="1" si="79"/>
        <v/>
      </c>
      <c r="DK50" s="360" t="str">
        <f t="shared" ca="1" si="39"/>
        <v/>
      </c>
      <c r="DL50" s="354" t="str">
        <f t="shared" ca="1" si="40"/>
        <v/>
      </c>
      <c r="DM50" s="354" t="str">
        <f t="shared" ca="1" si="41"/>
        <v/>
      </c>
      <c r="DN50" s="361" t="str">
        <f t="shared" ca="1" si="42"/>
        <v/>
      </c>
      <c r="DO50" s="362" t="str">
        <f t="shared" ca="1" si="43"/>
        <v/>
      </c>
      <c r="DP50" s="379" t="str">
        <f t="shared" ca="1" si="84"/>
        <v>Vakana</v>
      </c>
      <c r="DQ50" s="302"/>
      <c r="DR50" s="364"/>
      <c r="DS50" s="302"/>
      <c r="DU50" s="365"/>
      <c r="DV50" s="366" t="str">
        <f ca="1">IF(AND($AJ$44,DI41,DP41&lt;&gt;2),DI50,"")</f>
        <v/>
      </c>
      <c r="DW50" s="366">
        <f t="shared" ca="1" si="44"/>
        <v>-1</v>
      </c>
      <c r="DX50" s="366">
        <f t="shared" ca="1" si="45"/>
        <v>0</v>
      </c>
      <c r="DZ50" s="366">
        <f t="shared" ca="1" si="46"/>
        <v>0</v>
      </c>
      <c r="EA50" s="366">
        <f t="shared" ca="1" si="47"/>
        <v>0</v>
      </c>
      <c r="EC50" s="366">
        <f t="shared" ca="1" si="80"/>
        <v>0</v>
      </c>
      <c r="EE50" s="366">
        <f t="shared" ca="1" si="48"/>
        <v>-1000000</v>
      </c>
      <c r="EI50" s="366">
        <f t="shared" ca="1" si="49"/>
        <v>0</v>
      </c>
      <c r="EJ50" s="366">
        <f ca="1">IF(EI50=0,0,RANK(EI50,EI42:EI51,1))</f>
        <v>0</v>
      </c>
      <c r="EK50" s="366">
        <f t="shared" ca="1" si="81"/>
        <v>0</v>
      </c>
      <c r="EL50" s="365"/>
      <c r="EM50" s="367">
        <f ca="1">IF($AJ$54,COUNTIF(EE53:EE62,EN49)*IF(OR(EN50=0,EN50=EN49),0,1),COUNTIF(DW42:DW51,EO50)*IF(OR(EO50=EO49,EO50&lt;0),0,1))+EP50/1000</f>
        <v>8.9999999999999993E-3</v>
      </c>
      <c r="EN50" s="368">
        <v>0</v>
      </c>
      <c r="EO50" s="369">
        <f ca="1">LARGE(DW42:DW51,EP50)</f>
        <v>-1</v>
      </c>
      <c r="EP50" s="369">
        <v>9</v>
      </c>
      <c r="EQ50" s="365"/>
      <c r="ER50" s="365"/>
      <c r="ES50" s="371" t="str">
        <f ca="1">IF(DW50=ES41,DV50,IF(EE61=ES41,DV61,""))</f>
        <v/>
      </c>
      <c r="ET50" s="369" t="str">
        <f t="shared" ca="1" si="50"/>
        <v/>
      </c>
      <c r="EU50" s="386"/>
      <c r="EV50" s="371" t="str">
        <f ca="1">IF(DW50=EV41,DV50,IF(EE61=EV41,DV61,""))</f>
        <v/>
      </c>
      <c r="EW50" s="369" t="str">
        <f t="shared" ca="1" si="51"/>
        <v/>
      </c>
      <c r="EX50" s="386"/>
      <c r="EY50" s="371" t="str">
        <f ca="1">IF(DW50=EY41,DV50,IF(EE61=EY41,DV61,""))</f>
        <v/>
      </c>
      <c r="EZ50" s="369" t="str">
        <f t="shared" ca="1" si="52"/>
        <v/>
      </c>
      <c r="FA50" s="386"/>
      <c r="FB50" s="365"/>
      <c r="FC50" s="366"/>
      <c r="FD50" s="373"/>
      <c r="FE50" s="333"/>
      <c r="FG50" s="376"/>
      <c r="FH50" s="376"/>
      <c r="FI50" s="382" t="str">
        <f t="shared" si="87"/>
        <v>rank.a</v>
      </c>
      <c r="FJ50" s="383" t="b">
        <f t="shared" ca="1" si="85"/>
        <v>0</v>
      </c>
      <c r="FK50" s="387" t="str">
        <f t="shared" ca="1" si="88"/>
        <v/>
      </c>
      <c r="FO50" s="300"/>
      <c r="FP50" s="359" t="str">
        <f t="shared" ca="1" si="53"/>
        <v/>
      </c>
      <c r="FQ50" s="360" t="str">
        <f t="shared" ca="1" si="82"/>
        <v/>
      </c>
      <c r="FR50" s="360" t="str">
        <f t="shared" ca="1" si="54"/>
        <v/>
      </c>
      <c r="FS50" s="360" t="str">
        <f t="shared" ca="1" si="55"/>
        <v/>
      </c>
      <c r="FT50" s="360" t="str">
        <f t="shared" ca="1" si="56"/>
        <v/>
      </c>
      <c r="FU50" s="360" t="str">
        <f t="shared" ca="1" si="57"/>
        <v/>
      </c>
      <c r="FV50" s="360" t="str">
        <f t="shared" ca="1" si="58"/>
        <v/>
      </c>
      <c r="FW50" s="360" t="str">
        <f t="shared" ca="1" si="59"/>
        <v/>
      </c>
      <c r="FX50" s="360" t="str">
        <f t="shared" ca="1" si="60"/>
        <v/>
      </c>
      <c r="FY50" s="360" t="str">
        <f t="shared" ca="1" si="61"/>
        <v/>
      </c>
      <c r="FZ50" s="379" t="str">
        <f t="shared" ca="1" si="86"/>
        <v/>
      </c>
      <c r="GA50" s="302"/>
      <c r="GB50" s="364"/>
      <c r="GC50" s="302"/>
    </row>
    <row r="51" spans="3:185" ht="16.5" customHeight="1" x14ac:dyDescent="0.25">
      <c r="C51" s="511" t="str">
        <f t="shared" ca="1" si="0"/>
        <v/>
      </c>
      <c r="D51" s="510" t="str">
        <f t="shared" ca="1" si="1"/>
        <v>►</v>
      </c>
      <c r="E51" s="487" t="str">
        <f t="shared" ca="1" si="2"/>
        <v>10. Bőrdíszmű</v>
      </c>
      <c r="F51" s="488">
        <f t="shared" ca="1" si="3"/>
        <v>20</v>
      </c>
      <c r="G51" s="489">
        <f t="shared" ca="1" si="4"/>
        <v>4</v>
      </c>
      <c r="H51" s="489">
        <f t="shared" ca="1" si="5"/>
        <v>1</v>
      </c>
      <c r="I51" s="489">
        <f t="shared" ca="1" si="6"/>
        <v>15</v>
      </c>
      <c r="J51" s="489" t="str">
        <f t="shared" ca="1" si="7"/>
        <v>27–84</v>
      </c>
      <c r="K51" s="490" t="str">
        <f t="shared" ca="1" si="8"/>
        <v xml:space="preserve">–57 </v>
      </c>
      <c r="L51" s="490"/>
      <c r="M51" s="490">
        <f t="shared" ca="1" si="9"/>
        <v>13</v>
      </c>
      <c r="P51" s="286"/>
      <c r="Q51" s="286"/>
      <c r="R51" s="286"/>
      <c r="X51" s="336" t="str">
        <f>Adatok!A10</f>
        <v>Vakana</v>
      </c>
      <c r="AB51" s="337">
        <f t="shared" si="10"/>
        <v>3.0999999999999993E-2</v>
      </c>
      <c r="AC51" s="338" t="str">
        <f t="shared" si="11"/>
        <v>Vakana</v>
      </c>
      <c r="AD51" s="337">
        <f t="shared" si="12"/>
        <v>3.0999999999999993E-2</v>
      </c>
      <c r="AE51" s="338" t="str">
        <f t="shared" si="13"/>
        <v>Vakana</v>
      </c>
      <c r="AI51" s="232" t="s">
        <v>161</v>
      </c>
      <c r="AJ51" s="339" t="b">
        <f>AND(NOT(AJ52),NOT(AJ53),NOT(AJ54))</f>
        <v>0</v>
      </c>
      <c r="AN51" s="210" t="str">
        <f t="shared" ca="1" si="62"/>
        <v>Bőrdíszmű</v>
      </c>
      <c r="AO51" s="340">
        <f t="shared" ca="1" si="63"/>
        <v>10</v>
      </c>
      <c r="AP51" s="338">
        <f t="shared" ca="1" si="14"/>
        <v>27</v>
      </c>
      <c r="AQ51" s="210">
        <f t="shared" ca="1" si="15"/>
        <v>84</v>
      </c>
      <c r="AY51" s="341">
        <f t="shared" ca="1" si="16"/>
        <v>12943027.037</v>
      </c>
      <c r="AZ51" s="377">
        <f t="shared" ca="1" si="83"/>
        <v>10</v>
      </c>
      <c r="BA51" s="343">
        <f t="shared" ca="1" si="64"/>
        <v>20329034.030999999</v>
      </c>
      <c r="BB51" s="349">
        <v>10</v>
      </c>
      <c r="BC51" s="378" t="str">
        <f t="shared" si="65"/>
        <v>Vakana</v>
      </c>
      <c r="BD51" s="346">
        <f t="shared" ca="1" si="66"/>
        <v>20</v>
      </c>
      <c r="BE51" s="346">
        <f t="shared" ca="1" si="17"/>
        <v>6</v>
      </c>
      <c r="BF51" s="346">
        <f t="shared" ca="1" si="18"/>
        <v>2</v>
      </c>
      <c r="BG51" s="346">
        <f t="shared" ca="1" si="19"/>
        <v>12</v>
      </c>
      <c r="BH51" s="346">
        <f t="shared" ca="1" si="20"/>
        <v>34</v>
      </c>
      <c r="BI51" s="346">
        <f t="shared" ca="1" si="21"/>
        <v>65</v>
      </c>
      <c r="BJ51" s="346">
        <f t="shared" ca="1" si="67"/>
        <v>-31</v>
      </c>
      <c r="BK51" s="347">
        <f t="shared" ca="1" si="68"/>
        <v>0.52307692307692311</v>
      </c>
      <c r="BL51" s="346">
        <f t="shared" si="22"/>
        <v>0</v>
      </c>
      <c r="BM51" s="346">
        <f t="shared" ca="1" si="23"/>
        <v>20</v>
      </c>
      <c r="BN51" s="346">
        <f t="shared" ca="1" si="69"/>
        <v>24</v>
      </c>
      <c r="BO51" s="347">
        <f t="shared" ca="1" si="24"/>
        <v>0.6</v>
      </c>
      <c r="BP51" s="348">
        <v>3.0999999999999993E-2</v>
      </c>
      <c r="BQ51" s="349">
        <f t="shared" ca="1" si="25"/>
        <v>360000</v>
      </c>
      <c r="BS51" s="346">
        <f t="shared" ca="1" si="26"/>
        <v>0</v>
      </c>
      <c r="BT51" s="346">
        <f t="shared" ca="1" si="27"/>
        <v>3</v>
      </c>
      <c r="BU51" s="346">
        <f t="shared" ca="1" si="28"/>
        <v>0</v>
      </c>
      <c r="BV51" s="346">
        <f t="shared" ca="1" si="29"/>
        <v>7</v>
      </c>
      <c r="BW51" s="346">
        <f t="shared" ca="1" si="30"/>
        <v>14</v>
      </c>
      <c r="BX51" s="346">
        <f t="shared" ca="1" si="31"/>
        <v>34</v>
      </c>
      <c r="BZ51" s="346">
        <f t="shared" ca="1" si="32"/>
        <v>0</v>
      </c>
      <c r="CA51" s="346">
        <f t="shared" ca="1" si="33"/>
        <v>3</v>
      </c>
      <c r="CB51" s="346">
        <f t="shared" ca="1" si="34"/>
        <v>2</v>
      </c>
      <c r="CC51" s="346">
        <f t="shared" ca="1" si="35"/>
        <v>5</v>
      </c>
      <c r="CD51" s="346">
        <f t="shared" ca="1" si="36"/>
        <v>20</v>
      </c>
      <c r="CE51" s="346">
        <f t="shared" ca="1" si="37"/>
        <v>31</v>
      </c>
      <c r="CH51" s="350"/>
      <c r="CI51" s="353">
        <f t="shared" ca="1" si="70"/>
        <v>1.01</v>
      </c>
      <c r="CJ51" s="352">
        <f t="shared" ca="1" si="71"/>
        <v>13</v>
      </c>
      <c r="CK51" s="353">
        <f t="shared" ca="1" si="72"/>
        <v>0.55000000000000004</v>
      </c>
      <c r="CL51" s="354">
        <v>10</v>
      </c>
      <c r="CM51" s="350"/>
      <c r="CN51" s="300"/>
      <c r="CO51" s="356" t="str">
        <f ca="1">IF(OR(CO41=$BM77,CO41=$BO77),$BC77,"")</f>
        <v>Vakana</v>
      </c>
      <c r="CP51" s="357">
        <f t="shared" ca="1" si="73"/>
        <v>10</v>
      </c>
      <c r="CQ51" s="358" t="str">
        <f ca="1">IF(ISERR(LARGE(CP42:CP65,$CL51)),"",LARGE(CP42:CP65,$CL51))</f>
        <v/>
      </c>
      <c r="CR51" s="356" t="str">
        <f ca="1">IF(OR(CR41=$BM77,CR41=$BO77),$BC77,"")</f>
        <v/>
      </c>
      <c r="CS51" s="357" t="str">
        <f t="shared" ca="1" si="74"/>
        <v/>
      </c>
      <c r="CT51" s="385"/>
      <c r="CU51" s="356" t="str">
        <f ca="1">IF(OR(CU41=$BM77,CU41=$BO77),$BC77,"")</f>
        <v/>
      </c>
      <c r="CV51" s="357" t="str">
        <f t="shared" ca="1" si="75"/>
        <v/>
      </c>
      <c r="CW51" s="385"/>
      <c r="CX51" s="356" t="str">
        <f ca="1">IF(OR(CX41=$BM77,CX41=$BO77),$BC77,"")</f>
        <v/>
      </c>
      <c r="CY51" s="357" t="str">
        <f t="shared" ca="1" si="76"/>
        <v/>
      </c>
      <c r="CZ51" s="385"/>
      <c r="DA51" s="356" t="str">
        <f ca="1">IF(OR(DA41=$BM77,DA41=$BO77),$BC77,"")</f>
        <v/>
      </c>
      <c r="DB51" s="357" t="str">
        <f t="shared" ca="1" si="77"/>
        <v/>
      </c>
      <c r="DC51" s="385"/>
      <c r="DD51" s="356" t="str">
        <f ca="1">IF(OR(DD41=$BM77,DD41=$BO77),$BC77,"")</f>
        <v/>
      </c>
      <c r="DE51" s="357" t="str">
        <f t="shared" ca="1" si="78"/>
        <v/>
      </c>
      <c r="DF51" s="385"/>
      <c r="DG51" s="350"/>
      <c r="DH51" s="300"/>
      <c r="DI51" s="359" t="str">
        <f t="shared" ca="1" si="38"/>
        <v/>
      </c>
      <c r="DJ51" s="360" t="str">
        <f t="shared" ca="1" si="79"/>
        <v/>
      </c>
      <c r="DK51" s="360" t="str">
        <f t="shared" ca="1" si="39"/>
        <v/>
      </c>
      <c r="DL51" s="354" t="str">
        <f t="shared" ca="1" si="40"/>
        <v/>
      </c>
      <c r="DM51" s="354" t="str">
        <f t="shared" ca="1" si="41"/>
        <v/>
      </c>
      <c r="DN51" s="361" t="str">
        <f t="shared" ca="1" si="42"/>
        <v/>
      </c>
      <c r="DO51" s="362" t="str">
        <f t="shared" ca="1" si="43"/>
        <v/>
      </c>
      <c r="DP51" s="379" t="str">
        <f t="shared" ca="1" si="84"/>
        <v>Vakana</v>
      </c>
      <c r="DQ51" s="302"/>
      <c r="DR51" s="364"/>
      <c r="DS51" s="302"/>
      <c r="DU51" s="365"/>
      <c r="DV51" s="366" t="str">
        <f ca="1">IF(AND($AJ$44,DI41,DP41&lt;&gt;2),DI51,"")</f>
        <v/>
      </c>
      <c r="DW51" s="366">
        <f t="shared" ca="1" si="44"/>
        <v>-1</v>
      </c>
      <c r="DX51" s="366">
        <f t="shared" ca="1" si="45"/>
        <v>0</v>
      </c>
      <c r="DZ51" s="366">
        <f t="shared" ca="1" si="46"/>
        <v>0</v>
      </c>
      <c r="EA51" s="366">
        <f t="shared" ca="1" si="47"/>
        <v>0</v>
      </c>
      <c r="EC51" s="366">
        <f t="shared" ca="1" si="80"/>
        <v>0</v>
      </c>
      <c r="EE51" s="366">
        <f t="shared" ca="1" si="48"/>
        <v>-1000000</v>
      </c>
      <c r="EI51" s="366">
        <f t="shared" ca="1" si="49"/>
        <v>0</v>
      </c>
      <c r="EJ51" s="366">
        <f ca="1">IF(EI51=0,0,RANK(EI51,EI42:EI51,1))</f>
        <v>0</v>
      </c>
      <c r="EK51" s="366">
        <f t="shared" ca="1" si="81"/>
        <v>0</v>
      </c>
      <c r="EL51" s="365"/>
      <c r="EM51" s="367">
        <f ca="1">IF($AJ$54,COUNTIF(EE53:EE62,EN50)*IF(OR(EN51=0,EN51=EN50),0,1),COUNTIF(DW42:DW51,EO51)*IF(OR(EO51=EO50,EO51&lt;0),0,1))+EP51/1000</f>
        <v>0.01</v>
      </c>
      <c r="EN51" s="368">
        <v>0</v>
      </c>
      <c r="EO51" s="369">
        <f ca="1">LARGE(DW42:DW51,EP51)</f>
        <v>-1</v>
      </c>
      <c r="EP51" s="369">
        <v>10</v>
      </c>
      <c r="EQ51" s="365"/>
      <c r="ER51" s="365"/>
      <c r="ES51" s="371" t="str">
        <f ca="1">IF(DW51=ES41,DV51,IF(EE62=ES41,DV62,""))</f>
        <v/>
      </c>
      <c r="ET51" s="369" t="str">
        <f t="shared" ca="1" si="50"/>
        <v/>
      </c>
      <c r="EU51" s="391"/>
      <c r="EV51" s="371" t="str">
        <f ca="1">IF(DW51=EV41,DV51,IF(EE62=EV41,DV62,""))</f>
        <v/>
      </c>
      <c r="EW51" s="369" t="str">
        <f t="shared" ca="1" si="51"/>
        <v/>
      </c>
      <c r="EX51" s="391"/>
      <c r="EY51" s="371" t="str">
        <f ca="1">IF(DW51=EY41,DV51,IF(EE62=EY41,DV62,""))</f>
        <v/>
      </c>
      <c r="EZ51" s="369" t="str">
        <f t="shared" ca="1" si="52"/>
        <v/>
      </c>
      <c r="FA51" s="391"/>
      <c r="FB51" s="365"/>
      <c r="FC51" s="366"/>
      <c r="FD51" s="373"/>
      <c r="FE51" s="333"/>
      <c r="FG51" s="376"/>
      <c r="FH51" s="376"/>
      <c r="FI51" s="382" t="str">
        <f t="shared" si="87"/>
        <v>rank.a</v>
      </c>
      <c r="FJ51" s="383" t="b">
        <f t="shared" ca="1" si="85"/>
        <v>0</v>
      </c>
      <c r="FK51" s="387" t="str">
        <f t="shared" ca="1" si="88"/>
        <v/>
      </c>
      <c r="FO51" s="300"/>
      <c r="FP51" s="359" t="str">
        <f t="shared" ca="1" si="53"/>
        <v/>
      </c>
      <c r="FQ51" s="360" t="str">
        <f t="shared" ca="1" si="82"/>
        <v/>
      </c>
      <c r="FR51" s="360" t="str">
        <f t="shared" ca="1" si="54"/>
        <v/>
      </c>
      <c r="FS51" s="360" t="str">
        <f t="shared" ca="1" si="55"/>
        <v/>
      </c>
      <c r="FT51" s="360" t="str">
        <f t="shared" ca="1" si="56"/>
        <v/>
      </c>
      <c r="FU51" s="360" t="str">
        <f t="shared" ca="1" si="57"/>
        <v/>
      </c>
      <c r="FV51" s="360" t="str">
        <f t="shared" ca="1" si="58"/>
        <v/>
      </c>
      <c r="FW51" s="360" t="str">
        <f t="shared" ca="1" si="59"/>
        <v/>
      </c>
      <c r="FX51" s="360" t="str">
        <f t="shared" ca="1" si="60"/>
        <v/>
      </c>
      <c r="FY51" s="360" t="str">
        <f t="shared" ca="1" si="61"/>
        <v/>
      </c>
      <c r="FZ51" s="379" t="str">
        <f t="shared" ca="1" si="86"/>
        <v/>
      </c>
      <c r="GA51" s="302"/>
      <c r="GB51" s="364"/>
      <c r="GC51" s="302"/>
    </row>
    <row r="52" spans="3:185" ht="16.5" customHeight="1" x14ac:dyDescent="0.25">
      <c r="C52" s="511" t="str">
        <f t="shared" ca="1" si="0"/>
        <v/>
      </c>
      <c r="D52" s="510" t="str">
        <f t="shared" ca="1" si="1"/>
        <v>►</v>
      </c>
      <c r="E52" s="499" t="str">
        <f t="shared" ca="1" si="2"/>
        <v>11. Royal Guard's</v>
      </c>
      <c r="F52" s="500">
        <f t="shared" ca="1" si="3"/>
        <v>20</v>
      </c>
      <c r="G52" s="501">
        <f t="shared" ca="1" si="4"/>
        <v>3</v>
      </c>
      <c r="H52" s="501">
        <f t="shared" ca="1" si="5"/>
        <v>3</v>
      </c>
      <c r="I52" s="501">
        <f t="shared" ca="1" si="6"/>
        <v>14</v>
      </c>
      <c r="J52" s="501" t="str">
        <f t="shared" ca="1" si="7"/>
        <v>27–73</v>
      </c>
      <c r="K52" s="502" t="str">
        <f t="shared" ca="1" si="8"/>
        <v xml:space="preserve">–46 </v>
      </c>
      <c r="L52" s="502"/>
      <c r="M52" s="502">
        <f t="shared" ca="1" si="9"/>
        <v>12</v>
      </c>
      <c r="O52" s="859" t="s">
        <v>375</v>
      </c>
      <c r="P52" s="859"/>
      <c r="Q52" s="859"/>
      <c r="R52" s="859"/>
      <c r="X52" s="336" t="str">
        <f>Adatok!A11</f>
        <v>Zrínyigyöngye</v>
      </c>
      <c r="AB52" s="337">
        <f t="shared" si="10"/>
        <v>0.03</v>
      </c>
      <c r="AC52" s="338" t="str">
        <f t="shared" si="11"/>
        <v>Zrínyigyöngye</v>
      </c>
      <c r="AD52" s="337">
        <f t="shared" si="12"/>
        <v>0.03</v>
      </c>
      <c r="AE52" s="338" t="str">
        <f t="shared" si="13"/>
        <v>Zrínyigyöngye</v>
      </c>
      <c r="AI52" s="232" t="s">
        <v>162</v>
      </c>
      <c r="AJ52" s="376" t="b">
        <v>0</v>
      </c>
      <c r="AN52" s="210" t="str">
        <f t="shared" ca="1" si="62"/>
        <v>Royal Guard's</v>
      </c>
      <c r="AO52" s="340">
        <f t="shared" ca="1" si="63"/>
        <v>11</v>
      </c>
      <c r="AP52" s="338">
        <f t="shared" ca="1" si="14"/>
        <v>27</v>
      </c>
      <c r="AQ52" s="210">
        <f t="shared" ca="1" si="15"/>
        <v>73</v>
      </c>
      <c r="AY52" s="341">
        <f t="shared" ca="1" si="16"/>
        <v>11954027.032</v>
      </c>
      <c r="AZ52" s="377">
        <f t="shared" ca="1" si="83"/>
        <v>11</v>
      </c>
      <c r="BA52" s="343">
        <f t="shared" ca="1" si="64"/>
        <v>41032073.030000001</v>
      </c>
      <c r="BB52" s="349">
        <v>11</v>
      </c>
      <c r="BC52" s="378" t="str">
        <f t="shared" si="65"/>
        <v>Zrínyigyöngye</v>
      </c>
      <c r="BD52" s="346">
        <f t="shared" ca="1" si="66"/>
        <v>20</v>
      </c>
      <c r="BE52" s="346">
        <f t="shared" ca="1" si="17"/>
        <v>13</v>
      </c>
      <c r="BF52" s="346">
        <f t="shared" ca="1" si="18"/>
        <v>2</v>
      </c>
      <c r="BG52" s="346">
        <f t="shared" ca="1" si="19"/>
        <v>5</v>
      </c>
      <c r="BH52" s="346">
        <f t="shared" ca="1" si="20"/>
        <v>73</v>
      </c>
      <c r="BI52" s="346">
        <f t="shared" ca="1" si="21"/>
        <v>41</v>
      </c>
      <c r="BJ52" s="346">
        <f t="shared" ca="1" si="67"/>
        <v>32</v>
      </c>
      <c r="BK52" s="347">
        <f t="shared" ca="1" si="68"/>
        <v>1.7804878048780488</v>
      </c>
      <c r="BL52" s="346">
        <f t="shared" si="22"/>
        <v>0</v>
      </c>
      <c r="BM52" s="346">
        <f t="shared" ca="1" si="23"/>
        <v>41</v>
      </c>
      <c r="BN52" s="346">
        <f t="shared" ca="1" si="69"/>
        <v>31</v>
      </c>
      <c r="BO52" s="347">
        <f t="shared" ca="1" si="24"/>
        <v>0.77500000000000002</v>
      </c>
      <c r="BP52" s="348">
        <v>0.03</v>
      </c>
      <c r="BQ52" s="349">
        <f t="shared" ca="1" si="25"/>
        <v>0</v>
      </c>
      <c r="BS52" s="346">
        <f t="shared" ca="1" si="26"/>
        <v>0</v>
      </c>
      <c r="BT52" s="346">
        <f t="shared" ca="1" si="27"/>
        <v>7</v>
      </c>
      <c r="BU52" s="346">
        <f t="shared" ca="1" si="28"/>
        <v>1</v>
      </c>
      <c r="BV52" s="346">
        <f t="shared" ca="1" si="29"/>
        <v>2</v>
      </c>
      <c r="BW52" s="346">
        <f t="shared" ca="1" si="30"/>
        <v>34</v>
      </c>
      <c r="BX52" s="346">
        <f t="shared" ca="1" si="31"/>
        <v>19</v>
      </c>
      <c r="BZ52" s="346">
        <f t="shared" ca="1" si="32"/>
        <v>0</v>
      </c>
      <c r="CA52" s="346">
        <f t="shared" ca="1" si="33"/>
        <v>6</v>
      </c>
      <c r="CB52" s="346">
        <f t="shared" ca="1" si="34"/>
        <v>1</v>
      </c>
      <c r="CC52" s="346">
        <f t="shared" ca="1" si="35"/>
        <v>3</v>
      </c>
      <c r="CD52" s="346">
        <f t="shared" ca="1" si="36"/>
        <v>39</v>
      </c>
      <c r="CE52" s="346">
        <f t="shared" ca="1" si="37"/>
        <v>22</v>
      </c>
      <c r="CH52" s="350"/>
      <c r="CI52" s="353">
        <f t="shared" ca="1" si="70"/>
        <v>1.0109999999999999</v>
      </c>
      <c r="CJ52" s="352">
        <f t="shared" ca="1" si="71"/>
        <v>12</v>
      </c>
      <c r="CK52" s="353">
        <f t="shared" ca="1" si="72"/>
        <v>0.5</v>
      </c>
      <c r="CL52" s="354">
        <v>11</v>
      </c>
      <c r="CM52" s="350"/>
      <c r="CN52" s="300"/>
      <c r="CO52" s="356" t="str">
        <f ca="1">IF(OR(CO41=$BM78,CO41=$BO78),$BC78,"")</f>
        <v/>
      </c>
      <c r="CP52" s="357" t="str">
        <f t="shared" ca="1" si="73"/>
        <v/>
      </c>
      <c r="CQ52" s="380"/>
      <c r="CR52" s="356" t="str">
        <f ca="1">IF(OR(CR41=$BM78,CR41=$BO78),$BC78,"")</f>
        <v/>
      </c>
      <c r="CS52" s="357" t="str">
        <f t="shared" ca="1" si="74"/>
        <v/>
      </c>
      <c r="CT52" s="385"/>
      <c r="CU52" s="356" t="str">
        <f ca="1">IF(OR(CU41=$BM78,CU41=$BO78),$BC78,"")</f>
        <v/>
      </c>
      <c r="CV52" s="357" t="str">
        <f t="shared" ca="1" si="75"/>
        <v/>
      </c>
      <c r="CW52" s="385"/>
      <c r="CX52" s="356" t="str">
        <f ca="1">IF(OR(CX41=$BM78,CX41=$BO78),$BC78,"")</f>
        <v/>
      </c>
      <c r="CY52" s="357" t="str">
        <f t="shared" ca="1" si="76"/>
        <v/>
      </c>
      <c r="CZ52" s="385"/>
      <c r="DA52" s="356" t="str">
        <f ca="1">IF(OR(DA41=$BM78,DA41=$BO78),$BC78,"")</f>
        <v/>
      </c>
      <c r="DB52" s="357" t="str">
        <f t="shared" ca="1" si="77"/>
        <v/>
      </c>
      <c r="DC52" s="385"/>
      <c r="DD52" s="356" t="str">
        <f ca="1">IF(OR(DD41=$BM78,DD41=$BO78),$BC78,"")</f>
        <v/>
      </c>
      <c r="DE52" s="357" t="str">
        <f t="shared" ca="1" si="78"/>
        <v/>
      </c>
      <c r="DF52" s="385"/>
      <c r="DG52" s="350"/>
      <c r="DH52" s="300"/>
      <c r="DI52" s="301"/>
      <c r="DJ52" s="324" t="s">
        <v>157</v>
      </c>
      <c r="DK52" s="324" t="s">
        <v>158</v>
      </c>
      <c r="DL52" s="325" t="s">
        <v>159</v>
      </c>
      <c r="DM52" s="325"/>
      <c r="DN52" s="326" t="s">
        <v>160</v>
      </c>
      <c r="DO52" s="325" t="s">
        <v>135</v>
      </c>
      <c r="DP52" s="302"/>
      <c r="DQ52" s="302"/>
      <c r="DR52" s="364"/>
      <c r="DS52" s="302"/>
      <c r="DU52" s="365"/>
      <c r="DV52" s="329" t="s">
        <v>229</v>
      </c>
      <c r="DW52" s="365"/>
      <c r="DX52" s="329" t="s">
        <v>152</v>
      </c>
      <c r="DY52" s="329" t="s">
        <v>153</v>
      </c>
      <c r="DZ52" s="329" t="s">
        <v>154</v>
      </c>
      <c r="EA52" s="329" t="s">
        <v>155</v>
      </c>
      <c r="EB52" s="329" t="s">
        <v>125</v>
      </c>
      <c r="EC52" s="329" t="s">
        <v>226</v>
      </c>
      <c r="ED52" s="329" t="s">
        <v>126</v>
      </c>
      <c r="EE52" s="329" t="s">
        <v>227</v>
      </c>
      <c r="EF52" s="330" t="s">
        <v>154</v>
      </c>
      <c r="EG52" s="330" t="s">
        <v>155</v>
      </c>
      <c r="EH52" s="330" t="s">
        <v>125</v>
      </c>
      <c r="EI52" s="329" t="s">
        <v>228</v>
      </c>
      <c r="EJ52" s="329" t="s">
        <v>156</v>
      </c>
      <c r="EK52" s="329" t="s">
        <v>208</v>
      </c>
      <c r="EL52" s="365"/>
      <c r="EM52" s="365"/>
      <c r="EN52" s="392"/>
      <c r="EO52" s="365"/>
      <c r="EP52" s="365"/>
      <c r="EQ52" s="365"/>
      <c r="ER52" s="365"/>
      <c r="ES52" s="365"/>
      <c r="ET52" s="365"/>
      <c r="EU52" s="365"/>
      <c r="EV52" s="365"/>
      <c r="EW52" s="365"/>
      <c r="EX52" s="365"/>
      <c r="EY52" s="365"/>
      <c r="EZ52" s="365"/>
      <c r="FA52" s="365"/>
      <c r="FB52" s="365"/>
      <c r="FC52" s="366"/>
      <c r="FD52" s="373"/>
      <c r="FE52" s="333"/>
      <c r="FG52" s="376"/>
      <c r="FH52" s="376"/>
      <c r="FI52" s="382" t="str">
        <f t="shared" si="87"/>
        <v>rank.a</v>
      </c>
      <c r="FJ52" s="383" t="b">
        <f t="shared" ca="1" si="85"/>
        <v>0</v>
      </c>
      <c r="FK52" s="387" t="str">
        <f t="shared" ca="1" si="88"/>
        <v/>
      </c>
      <c r="FO52" s="300"/>
      <c r="FP52" s="301"/>
      <c r="FQ52" s="324" t="s">
        <v>157</v>
      </c>
      <c r="FR52" s="324" t="s">
        <v>237</v>
      </c>
      <c r="FS52" s="324" t="s">
        <v>239</v>
      </c>
      <c r="FT52" s="324" t="s">
        <v>240</v>
      </c>
      <c r="FU52" s="324" t="s">
        <v>238</v>
      </c>
      <c r="FV52" s="324" t="s">
        <v>241</v>
      </c>
      <c r="FW52" s="324" t="s">
        <v>242</v>
      </c>
      <c r="FX52" s="326" t="s">
        <v>160</v>
      </c>
      <c r="FY52" s="325" t="s">
        <v>135</v>
      </c>
      <c r="FZ52" s="302"/>
      <c r="GA52" s="302"/>
      <c r="GB52" s="364"/>
      <c r="GC52" s="302"/>
    </row>
    <row r="53" spans="3:185" ht="16.5" customHeight="1" x14ac:dyDescent="0.25">
      <c r="C53" s="290"/>
      <c r="D53" s="290"/>
      <c r="E53" s="393"/>
      <c r="F53" s="174"/>
      <c r="G53" s="174"/>
      <c r="H53" s="174"/>
      <c r="I53" s="174"/>
      <c r="J53" s="174"/>
      <c r="K53" s="394"/>
      <c r="L53" s="394"/>
      <c r="M53" s="394"/>
      <c r="O53" s="859"/>
      <c r="P53" s="859"/>
      <c r="Q53" s="859"/>
      <c r="R53" s="859"/>
      <c r="X53" s="336">
        <f>Adatok!A12</f>
        <v>0</v>
      </c>
      <c r="AB53" s="337">
        <f t="shared" si="10"/>
        <v>0</v>
      </c>
      <c r="AC53" s="338">
        <f t="shared" si="11"/>
        <v>0</v>
      </c>
      <c r="AD53" s="337">
        <f t="shared" si="12"/>
        <v>0</v>
      </c>
      <c r="AE53" s="338">
        <f t="shared" si="13"/>
        <v>0</v>
      </c>
      <c r="AI53" s="232" t="s">
        <v>163</v>
      </c>
      <c r="AJ53" s="376" t="b">
        <v>1</v>
      </c>
      <c r="AK53" s="312"/>
      <c r="AM53" s="312"/>
      <c r="AN53" s="210" t="str">
        <f t="shared" ca="1" si="62"/>
        <v>–</v>
      </c>
      <c r="AO53" s="340" t="str">
        <f t="shared" si="63"/>
        <v/>
      </c>
      <c r="AP53" s="338" t="e">
        <f t="shared" ca="1" si="14"/>
        <v>#N/A</v>
      </c>
      <c r="AQ53" s="210" t="e">
        <f t="shared" ca="1" si="15"/>
        <v>#N/A</v>
      </c>
      <c r="AR53" s="312"/>
      <c r="AY53" s="341">
        <f t="shared" ca="1" si="16"/>
        <v>-999999999.97099996</v>
      </c>
      <c r="AZ53" s="377" t="str">
        <f t="shared" si="83"/>
        <v/>
      </c>
      <c r="BA53" s="343">
        <f t="shared" ca="1" si="64"/>
        <v>-999999999.97099996</v>
      </c>
      <c r="BB53" s="349">
        <v>12</v>
      </c>
      <c r="BC53" s="378">
        <f t="shared" si="65"/>
        <v>0</v>
      </c>
      <c r="BD53" s="346">
        <f t="shared" ca="1" si="66"/>
        <v>0</v>
      </c>
      <c r="BE53" s="346">
        <f t="shared" ca="1" si="17"/>
        <v>0</v>
      </c>
      <c r="BF53" s="346">
        <f t="shared" ca="1" si="18"/>
        <v>0</v>
      </c>
      <c r="BG53" s="346">
        <f t="shared" ca="1" si="19"/>
        <v>0</v>
      </c>
      <c r="BH53" s="346">
        <f t="shared" ca="1" si="20"/>
        <v>0</v>
      </c>
      <c r="BI53" s="346">
        <f t="shared" ca="1" si="21"/>
        <v>0</v>
      </c>
      <c r="BJ53" s="346">
        <f t="shared" ca="1" si="67"/>
        <v>0</v>
      </c>
      <c r="BK53" s="347">
        <f t="shared" ca="1" si="68"/>
        <v>0</v>
      </c>
      <c r="BL53" s="346">
        <f t="shared" si="22"/>
        <v>0</v>
      </c>
      <c r="BM53" s="346">
        <f t="shared" ca="1" si="23"/>
        <v>0</v>
      </c>
      <c r="BN53" s="346">
        <f t="shared" ca="1" si="69"/>
        <v>0</v>
      </c>
      <c r="BO53" s="347">
        <f t="shared" ca="1" si="24"/>
        <v>0</v>
      </c>
      <c r="BP53" s="348">
        <v>2.8999999999999991E-2</v>
      </c>
      <c r="BQ53" s="349">
        <f t="shared" ca="1" si="25"/>
        <v>0</v>
      </c>
      <c r="BS53" s="346">
        <f t="shared" ca="1" si="26"/>
        <v>0</v>
      </c>
      <c r="BT53" s="346">
        <f t="shared" ca="1" si="27"/>
        <v>0</v>
      </c>
      <c r="BU53" s="346">
        <f t="shared" ca="1" si="28"/>
        <v>0</v>
      </c>
      <c r="BV53" s="346">
        <f t="shared" ca="1" si="29"/>
        <v>0</v>
      </c>
      <c r="BW53" s="346">
        <f t="shared" ca="1" si="30"/>
        <v>0</v>
      </c>
      <c r="BX53" s="346">
        <f t="shared" ca="1" si="31"/>
        <v>0</v>
      </c>
      <c r="BZ53" s="346">
        <f t="shared" ca="1" si="32"/>
        <v>0</v>
      </c>
      <c r="CA53" s="346">
        <f t="shared" ca="1" si="33"/>
        <v>0</v>
      </c>
      <c r="CB53" s="346">
        <f t="shared" ca="1" si="34"/>
        <v>0</v>
      </c>
      <c r="CC53" s="346">
        <f t="shared" ca="1" si="35"/>
        <v>0</v>
      </c>
      <c r="CD53" s="346">
        <f t="shared" ca="1" si="36"/>
        <v>0</v>
      </c>
      <c r="CE53" s="346">
        <f t="shared" ca="1" si="37"/>
        <v>0</v>
      </c>
      <c r="CH53" s="350"/>
      <c r="CI53" s="353">
        <f t="shared" ca="1" si="70"/>
        <v>1.2E-2</v>
      </c>
      <c r="CJ53" s="352">
        <f t="shared" ca="1" si="71"/>
        <v>0</v>
      </c>
      <c r="CK53" s="353">
        <f t="shared" ca="1" si="72"/>
        <v>0</v>
      </c>
      <c r="CL53" s="354">
        <v>12</v>
      </c>
      <c r="CM53" s="350"/>
      <c r="CN53" s="300"/>
      <c r="CO53" s="356" t="str">
        <f ca="1">IF(OR(CO41=$BM79,CO41=$BO79),$BC79,"")</f>
        <v/>
      </c>
      <c r="CP53" s="357" t="str">
        <f t="shared" ca="1" si="73"/>
        <v/>
      </c>
      <c r="CQ53" s="385"/>
      <c r="CR53" s="356" t="str">
        <f ca="1">IF(OR(CR41=$BM79,CR41=$BO79),$BC79,"")</f>
        <v/>
      </c>
      <c r="CS53" s="357" t="str">
        <f t="shared" ca="1" si="74"/>
        <v/>
      </c>
      <c r="CT53" s="385"/>
      <c r="CU53" s="356" t="str">
        <f ca="1">IF(OR(CU41=$BM79,CU41=$BO79),$BC79,"")</f>
        <v/>
      </c>
      <c r="CV53" s="357" t="str">
        <f t="shared" ca="1" si="75"/>
        <v/>
      </c>
      <c r="CW53" s="385"/>
      <c r="CX53" s="356" t="str">
        <f ca="1">IF(OR(CX41=$BM79,CX41=$BO79),$BC79,"")</f>
        <v/>
      </c>
      <c r="CY53" s="357" t="str">
        <f t="shared" ca="1" si="76"/>
        <v/>
      </c>
      <c r="CZ53" s="385"/>
      <c r="DA53" s="356" t="str">
        <f ca="1">IF(OR(DA41=$BM79,DA41=$BO79),$BC79,"")</f>
        <v/>
      </c>
      <c r="DB53" s="357" t="str">
        <f t="shared" ca="1" si="77"/>
        <v/>
      </c>
      <c r="DC53" s="385"/>
      <c r="DD53" s="356" t="str">
        <f ca="1">IF(OR(DD41=$BM79,DD41=$BO79),$BC79,"")</f>
        <v/>
      </c>
      <c r="DE53" s="357" t="str">
        <f t="shared" ca="1" si="78"/>
        <v/>
      </c>
      <c r="DF53" s="385"/>
      <c r="DG53" s="350"/>
      <c r="DH53" s="300"/>
      <c r="DI53" s="395" t="str">
        <f ca="1">DI42</f>
        <v>Vakana</v>
      </c>
      <c r="DJ53" s="360" t="str">
        <f ca="1">IF(OR(DI53="",DP53="",DI53=DP53),"",CONCATENATE(DI53,DP53))</f>
        <v>VakanaBakafogó-Honvéd-Sashegy SE</v>
      </c>
      <c r="DK53" s="360" t="str">
        <f t="shared" ref="DK53:DK62" ca="1" si="89">IF($DJ53="","",CONCATENATE(VLOOKUP($DJ53,games.a,9,FALSE),VLOOKUP($DJ53,games.a,12,FALSE)))</f>
        <v>Bakafogó-Honvéd-Sashegy SE</v>
      </c>
      <c r="DL53" s="354" t="str">
        <f t="shared" ref="DL53:DL62" ca="1" si="90">IF($DJ53="","",VLOOKUP($DJ53,games.a,10,FALSE))</f>
        <v/>
      </c>
      <c r="DM53" s="354" t="str">
        <f t="shared" ref="DM53:DM62" ca="1" si="91">IF($DJ53="","",VLOOKUP($DJ53,games.a,13,FALSE))</f>
        <v/>
      </c>
      <c r="DN53" s="361">
        <f t="shared" ref="DN53:DN62" ca="1" si="92">IF($DJ53="","",VLOOKUP($DJ53,games.a,6,FALSE))</f>
        <v>0</v>
      </c>
      <c r="DO53" s="362">
        <f t="shared" ref="DO53:DO62" ca="1" si="93">IF($DJ53="","",VLOOKUP($DJ53,games.a,7,FALSE))</f>
        <v>1</v>
      </c>
      <c r="DP53" s="363" t="str">
        <f ca="1">DI43</f>
        <v>Bakafogó-Honvéd-Sashegy SE</v>
      </c>
      <c r="DQ53" s="302"/>
      <c r="DR53" s="364"/>
      <c r="DS53" s="302"/>
      <c r="DU53" s="365"/>
      <c r="DV53" s="366" t="str">
        <f ca="1">IF(OR(NOT($AJ$44),AND(DI41,DV42="")),DI42,"")</f>
        <v>Vakana</v>
      </c>
      <c r="DW53" s="365"/>
      <c r="DX53" s="366">
        <f t="shared" ref="DX53:DX62" ca="1" si="94">IF($DV53="",0,COUNTIF(xxgy.aa,$DV53))</f>
        <v>0</v>
      </c>
      <c r="DY53" s="366">
        <f t="shared" ref="DY53:DY62" ca="1" si="95">IF($DV53="",0,COUNTIF(xxd.aa,$DV53))</f>
        <v>1</v>
      </c>
      <c r="DZ53" s="366">
        <f t="shared" ref="DZ53:DZ62" ca="1" si="96">IF($DV53="",0,1)*(SUMIF(xxo.aa,$DV53,xxl.aa)+SUMIF(xxi.aa,$DV53,xxk.aa))</f>
        <v>4</v>
      </c>
      <c r="EA53" s="366">
        <f t="shared" ref="EA53:EA62" ca="1" si="97">IF($DV53="",0,1)*(SUMIF(xxo.aa,$DV53,xxk.aa)+SUMIF(xxi.aa,$DV53,xxl.aa))</f>
        <v>5</v>
      </c>
      <c r="EB53" s="366">
        <f ca="1">DZ53-EA53</f>
        <v>-1</v>
      </c>
      <c r="EC53" s="366">
        <f ca="1">IF(EA53=0,0,DZ53/EA53)</f>
        <v>0.8</v>
      </c>
      <c r="ED53" s="366">
        <f t="shared" ref="ED53:ED62" ca="1" si="98">$AJ$48*DX53+IF($AJ$44,0,1)*DY53</f>
        <v>1</v>
      </c>
      <c r="EE53" s="396">
        <f ca="1">ED53*1000000+IF($AJ$44,EC53,EB53)*1000*0</f>
        <v>1000000</v>
      </c>
      <c r="EF53" s="366">
        <f t="shared" ref="EF53:EF62" ca="1" si="99">IF($DV53="",0,1)*(SUMIF(yyo.aa,$DV53,yyl.aa)+SUMIF(yyi.aa,$DV53,yyk.aa))</f>
        <v>0</v>
      </c>
      <c r="EG53" s="366">
        <f t="shared" ref="EG53:EG62" ca="1" si="100">IF($DV53="",0,1)*(SUMIF(yyo.aa,$DV53,yyk.aa)+SUMIF(yyi.aa,$DV53,yyl.aa))</f>
        <v>0</v>
      </c>
      <c r="EH53" s="366">
        <f ca="1">EF53-EG53</f>
        <v>0</v>
      </c>
      <c r="EI53" s="366">
        <f ca="1">IF(OR(ISERR(EE53),ISNA(EE53)),0,EE53)+IF($AJ$54,EH53,0)</f>
        <v>1000000</v>
      </c>
      <c r="EJ53" s="366">
        <f ca="1">IF(EI53=0,0,RANK(EI53,EI53:EI62,1))</f>
        <v>9</v>
      </c>
      <c r="EK53" s="366">
        <f t="shared" ca="1" si="81"/>
        <v>360000</v>
      </c>
      <c r="EL53" s="365"/>
      <c r="EN53" s="397" t="s">
        <v>503</v>
      </c>
      <c r="EO53" s="365"/>
      <c r="EP53" s="365"/>
      <c r="EQ53" s="365"/>
      <c r="ER53" s="398"/>
      <c r="ES53" s="329" t="s">
        <v>157</v>
      </c>
      <c r="ET53" s="329" t="s">
        <v>158</v>
      </c>
      <c r="EU53" s="399"/>
      <c r="EV53" s="400"/>
      <c r="EW53" s="401" t="s">
        <v>160</v>
      </c>
      <c r="EX53" s="402" t="s">
        <v>135</v>
      </c>
      <c r="EY53" s="403">
        <f ca="1">COUNT(EU42:EU46)</f>
        <v>0</v>
      </c>
      <c r="EZ53" s="365"/>
      <c r="FA53" s="365"/>
      <c r="FB53" s="365"/>
      <c r="FC53" s="366"/>
      <c r="FD53" s="373"/>
      <c r="FE53" s="333"/>
      <c r="FG53" s="376"/>
      <c r="FH53" s="376"/>
      <c r="FI53" s="382" t="str">
        <f t="shared" si="87"/>
        <v>rank.a</v>
      </c>
      <c r="FJ53" s="383" t="b">
        <f t="shared" ca="1" si="85"/>
        <v>0</v>
      </c>
      <c r="FK53" s="387" t="str">
        <f t="shared" ca="1" si="88"/>
        <v/>
      </c>
      <c r="FO53" s="300"/>
      <c r="FP53" s="395" t="str">
        <f ca="1">FP42</f>
        <v/>
      </c>
      <c r="FQ53" s="360" t="str">
        <f ca="1">IF(OR(FP53="",FZ53="",FP53=FZ53),"",CONCATENATE(FP53,FZ53))</f>
        <v/>
      </c>
      <c r="FR53" s="360" t="str">
        <f t="shared" ref="FR53:FR62" ca="1" si="101">IF($FQ53="","",VLOOKUP($FQ53,games.a,9,FALSE))</f>
        <v/>
      </c>
      <c r="FS53" s="360" t="str">
        <f t="shared" ref="FS53:FS62" ca="1" si="102">IF($FQ53="","",VLOOKUP($FQ53,games.a,10,FALSE))</f>
        <v/>
      </c>
      <c r="FT53" s="360" t="str">
        <f t="shared" ref="FT53:FT62" ca="1" si="103">IF($FQ53="","",VLOOKUP($FQ53,games.a,11,FALSE))</f>
        <v/>
      </c>
      <c r="FU53" s="360" t="str">
        <f t="shared" ref="FU53:FU62" ca="1" si="104">IF($FQ53="","",VLOOKUP($FQ53,games.a,12,FALSE))</f>
        <v/>
      </c>
      <c r="FV53" s="360" t="str">
        <f t="shared" ref="FV53:FV62" ca="1" si="105">IF($FQ53="","",VLOOKUP($FQ53,games.a,13,FALSE))</f>
        <v/>
      </c>
      <c r="FW53" s="360" t="str">
        <f t="shared" ref="FW53:FW62" ca="1" si="106">IF($FQ53="","",VLOOKUP($FQ53,games.a,14,FALSE))</f>
        <v/>
      </c>
      <c r="FX53" s="360" t="str">
        <f t="shared" ref="FX53:FX62" ca="1" si="107">IF($FQ53="","",VLOOKUP($FQ53,games.a,6,FALSE))</f>
        <v/>
      </c>
      <c r="FY53" s="360" t="str">
        <f t="shared" ref="FY53:FY62" ca="1" si="108">IF($FQ53="","",VLOOKUP($FQ53,games.a,7,FALSE))</f>
        <v/>
      </c>
      <c r="FZ53" s="363" t="str">
        <f ca="1">FP43</f>
        <v/>
      </c>
      <c r="GA53" s="302"/>
      <c r="GB53" s="364"/>
      <c r="GC53" s="302"/>
    </row>
    <row r="54" spans="3:185" ht="16.5" customHeight="1" x14ac:dyDescent="0.25">
      <c r="E54" s="626" t="s">
        <v>508</v>
      </c>
      <c r="F54" s="515">
        <f ca="1">ASZ!AS105</f>
        <v>1000</v>
      </c>
      <c r="G54" s="853" t="e">
        <f ca="1">IF(F54="","",VLOOKUP(F54,ASZ!$AQ$59:$AR$104,2,FALSE))</f>
        <v>#N/A</v>
      </c>
      <c r="H54" s="854"/>
      <c r="I54" s="854"/>
      <c r="J54" s="854"/>
      <c r="K54" s="854"/>
      <c r="L54" s="854"/>
      <c r="M54" s="854"/>
      <c r="O54" s="859"/>
      <c r="P54" s="859"/>
      <c r="Q54" s="859"/>
      <c r="R54" s="859"/>
      <c r="X54" s="336">
        <f>Adatok!A13</f>
        <v>0</v>
      </c>
      <c r="AB54" s="337">
        <f t="shared" si="10"/>
        <v>0</v>
      </c>
      <c r="AC54" s="338">
        <f t="shared" si="11"/>
        <v>0</v>
      </c>
      <c r="AD54" s="337">
        <f t="shared" si="12"/>
        <v>0</v>
      </c>
      <c r="AE54" s="338">
        <f t="shared" si="13"/>
        <v>0</v>
      </c>
      <c r="AI54" s="232" t="s">
        <v>445</v>
      </c>
      <c r="AJ54" s="376" t="b">
        <v>0</v>
      </c>
      <c r="AK54" s="312"/>
      <c r="AM54" s="312"/>
      <c r="AN54" s="210" t="str">
        <f t="shared" ca="1" si="62"/>
        <v>–</v>
      </c>
      <c r="AO54" s="340" t="str">
        <f t="shared" si="63"/>
        <v/>
      </c>
      <c r="AP54" s="338" t="e">
        <f t="shared" ca="1" si="14"/>
        <v>#N/A</v>
      </c>
      <c r="AQ54" s="210" t="e">
        <f t="shared" ca="1" si="15"/>
        <v>#N/A</v>
      </c>
      <c r="AR54" s="312"/>
      <c r="AY54" s="341">
        <f t="shared" ca="1" si="16"/>
        <v>-999999999.972</v>
      </c>
      <c r="AZ54" s="377" t="str">
        <f t="shared" si="83"/>
        <v/>
      </c>
      <c r="BA54" s="343">
        <f t="shared" ca="1" si="64"/>
        <v>-999999999.972</v>
      </c>
      <c r="BB54" s="349">
        <v>13</v>
      </c>
      <c r="BC54" s="378">
        <f t="shared" si="65"/>
        <v>0</v>
      </c>
      <c r="BD54" s="346">
        <f t="shared" ca="1" si="66"/>
        <v>0</v>
      </c>
      <c r="BE54" s="346">
        <f t="shared" ca="1" si="17"/>
        <v>0</v>
      </c>
      <c r="BF54" s="346">
        <f t="shared" ca="1" si="18"/>
        <v>0</v>
      </c>
      <c r="BG54" s="346">
        <f t="shared" ca="1" si="19"/>
        <v>0</v>
      </c>
      <c r="BH54" s="346">
        <f t="shared" ca="1" si="20"/>
        <v>0</v>
      </c>
      <c r="BI54" s="346">
        <f t="shared" ca="1" si="21"/>
        <v>0</v>
      </c>
      <c r="BJ54" s="346">
        <f t="shared" ca="1" si="67"/>
        <v>0</v>
      </c>
      <c r="BK54" s="347">
        <f t="shared" ca="1" si="68"/>
        <v>0</v>
      </c>
      <c r="BL54" s="346">
        <f t="shared" si="22"/>
        <v>0</v>
      </c>
      <c r="BM54" s="346">
        <f t="shared" ca="1" si="23"/>
        <v>0</v>
      </c>
      <c r="BN54" s="346">
        <f t="shared" ca="1" si="69"/>
        <v>0</v>
      </c>
      <c r="BO54" s="347">
        <f t="shared" ca="1" si="24"/>
        <v>0</v>
      </c>
      <c r="BP54" s="348">
        <v>2.799999999999999E-2</v>
      </c>
      <c r="BQ54" s="349">
        <f t="shared" ca="1" si="25"/>
        <v>0</v>
      </c>
      <c r="BS54" s="346">
        <f t="shared" ca="1" si="26"/>
        <v>0</v>
      </c>
      <c r="BT54" s="346">
        <f t="shared" ca="1" si="27"/>
        <v>0</v>
      </c>
      <c r="BU54" s="346">
        <f t="shared" ca="1" si="28"/>
        <v>0</v>
      </c>
      <c r="BV54" s="346">
        <f t="shared" ca="1" si="29"/>
        <v>0</v>
      </c>
      <c r="BW54" s="346">
        <f t="shared" ca="1" si="30"/>
        <v>0</v>
      </c>
      <c r="BX54" s="346">
        <f t="shared" ca="1" si="31"/>
        <v>0</v>
      </c>
      <c r="BZ54" s="346">
        <f t="shared" ca="1" si="32"/>
        <v>0</v>
      </c>
      <c r="CA54" s="346">
        <f t="shared" ca="1" si="33"/>
        <v>0</v>
      </c>
      <c r="CB54" s="346">
        <f t="shared" ca="1" si="34"/>
        <v>0</v>
      </c>
      <c r="CC54" s="346">
        <f t="shared" ca="1" si="35"/>
        <v>0</v>
      </c>
      <c r="CD54" s="346">
        <f t="shared" ca="1" si="36"/>
        <v>0</v>
      </c>
      <c r="CE54" s="346">
        <f t="shared" ca="1" si="37"/>
        <v>0</v>
      </c>
      <c r="CH54" s="350"/>
      <c r="CI54" s="353">
        <f t="shared" ca="1" si="70"/>
        <v>1.2999999999999999E-2</v>
      </c>
      <c r="CJ54" s="352">
        <f t="shared" ca="1" si="71"/>
        <v>0</v>
      </c>
      <c r="CK54" s="353">
        <f t="shared" ca="1" si="72"/>
        <v>0</v>
      </c>
      <c r="CL54" s="354">
        <v>13</v>
      </c>
      <c r="CM54" s="350"/>
      <c r="CN54" s="300"/>
      <c r="CO54" s="356" t="str">
        <f ca="1">IF(OR(CO41=$BM80,CO41=$BO80),$BC80,"")</f>
        <v/>
      </c>
      <c r="CP54" s="357" t="str">
        <f t="shared" ca="1" si="73"/>
        <v/>
      </c>
      <c r="CQ54" s="385"/>
      <c r="CR54" s="356" t="str">
        <f ca="1">IF(OR(CR41=$BM80,CR41=$BO80),$BC80,"")</f>
        <v/>
      </c>
      <c r="CS54" s="357" t="str">
        <f t="shared" ca="1" si="74"/>
        <v/>
      </c>
      <c r="CT54" s="385"/>
      <c r="CU54" s="356" t="str">
        <f ca="1">IF(OR(CU41=$BM80,CU41=$BO80),$BC80,"")</f>
        <v/>
      </c>
      <c r="CV54" s="357" t="str">
        <f t="shared" ca="1" si="75"/>
        <v/>
      </c>
      <c r="CW54" s="385"/>
      <c r="CX54" s="356" t="str">
        <f ca="1">IF(OR(CX41=$BM80,CX41=$BO80),$BC80,"")</f>
        <v/>
      </c>
      <c r="CY54" s="357" t="str">
        <f t="shared" ca="1" si="76"/>
        <v/>
      </c>
      <c r="CZ54" s="385"/>
      <c r="DA54" s="356" t="str">
        <f ca="1">IF(OR(DA41=$BM80,DA41=$BO80),$BC80,"")</f>
        <v/>
      </c>
      <c r="DB54" s="357" t="str">
        <f t="shared" ca="1" si="77"/>
        <v/>
      </c>
      <c r="DC54" s="385"/>
      <c r="DD54" s="356" t="str">
        <f ca="1">IF(OR(DD41=$BM80,DD41=$BO80),$BC80,"")</f>
        <v/>
      </c>
      <c r="DE54" s="357" t="str">
        <f t="shared" ca="1" si="78"/>
        <v/>
      </c>
      <c r="DF54" s="385"/>
      <c r="DG54" s="350"/>
      <c r="DH54" s="300"/>
      <c r="DI54" s="395" t="str">
        <f t="shared" ref="DI54:DI62" ca="1" si="109">DI43</f>
        <v>Bakafogó-Honvéd-Sashegy SE</v>
      </c>
      <c r="DJ54" s="360" t="str">
        <f t="shared" ref="DJ54:DJ62" ca="1" si="110">IF(OR(DI54="",DP54="",DI54=DP54),"",CONCATENATE(DI54,DP54))</f>
        <v/>
      </c>
      <c r="DK54" s="360" t="str">
        <f t="shared" ca="1" si="89"/>
        <v/>
      </c>
      <c r="DL54" s="354" t="str">
        <f t="shared" ca="1" si="90"/>
        <v/>
      </c>
      <c r="DM54" s="354" t="str">
        <f t="shared" ca="1" si="91"/>
        <v/>
      </c>
      <c r="DN54" s="361" t="str">
        <f t="shared" ca="1" si="92"/>
        <v/>
      </c>
      <c r="DO54" s="362" t="str">
        <f t="shared" ca="1" si="93"/>
        <v/>
      </c>
      <c r="DP54" s="379" t="str">
        <f ca="1">DP53</f>
        <v>Bakafogó-Honvéd-Sashegy SE</v>
      </c>
      <c r="DQ54" s="302"/>
      <c r="DR54" s="364"/>
      <c r="DS54" s="302"/>
      <c r="DU54" s="365"/>
      <c r="DV54" s="366" t="str">
        <f ca="1">IF(OR(NOT($AJ$44),AND(DI41,DV43="")),DI43,"")</f>
        <v>Bakafogó-Honvéd-Sashegy SE</v>
      </c>
      <c r="DW54" s="365"/>
      <c r="DX54" s="366">
        <f t="shared" ca="1" si="94"/>
        <v>1</v>
      </c>
      <c r="DY54" s="366">
        <f t="shared" ca="1" si="95"/>
        <v>1</v>
      </c>
      <c r="DZ54" s="366">
        <f t="shared" ca="1" si="96"/>
        <v>5</v>
      </c>
      <c r="EA54" s="366">
        <f t="shared" ca="1" si="97"/>
        <v>4</v>
      </c>
      <c r="EB54" s="366">
        <f t="shared" ref="EB54:EB62" ca="1" si="111">DZ54-EA54</f>
        <v>1</v>
      </c>
      <c r="EC54" s="366">
        <f t="shared" ref="EC54:EC62" ca="1" si="112">IF(EA54=0,0,DZ54/EA54)</f>
        <v>1.25</v>
      </c>
      <c r="ED54" s="366">
        <f t="shared" ca="1" si="98"/>
        <v>4</v>
      </c>
      <c r="EE54" s="396">
        <f t="shared" ref="EE54:EE62" ca="1" si="113">ED54*1000000+IF($AJ$44,EC54,EB54)*1000*0</f>
        <v>4000000</v>
      </c>
      <c r="EF54" s="366">
        <f t="shared" ca="1" si="99"/>
        <v>0</v>
      </c>
      <c r="EG54" s="366">
        <f t="shared" ca="1" si="100"/>
        <v>0</v>
      </c>
      <c r="EH54" s="366">
        <f t="shared" ref="EH54:EH62" ca="1" si="114">EF54-EG54</f>
        <v>0</v>
      </c>
      <c r="EI54" s="366">
        <f t="shared" ref="EI54:EI62" ca="1" si="115">IF(OR(ISERR(EE54),ISNA(EE54)),0,EE54)+IF($AJ$54,EH54,0)</f>
        <v>4000000</v>
      </c>
      <c r="EJ54" s="366">
        <f ca="1">IF(EI54=0,0,RANK(EI54,EI53:EI62,1))</f>
        <v>10</v>
      </c>
      <c r="EK54" s="366">
        <f t="shared" ca="1" si="81"/>
        <v>400000</v>
      </c>
      <c r="EL54" s="365"/>
      <c r="EN54" s="396" t="s">
        <v>504</v>
      </c>
      <c r="EO54" s="365"/>
      <c r="EP54" s="365"/>
      <c r="EQ54" s="365"/>
      <c r="ER54" s="404" t="str">
        <f ca="1">IF(EU42="","",VLOOKUP(EU42,yyy.aa1.10,4,FALSE))</f>
        <v/>
      </c>
      <c r="ES54" s="371" t="str">
        <f ca="1">IF(OR(ER54="",EY54="",ER54=EY54),"",CONCATENATE(ER54,EY54))</f>
        <v/>
      </c>
      <c r="ET54" s="405" t="str">
        <f ca="1">IF(OR(ES54="",EY53&gt;2),"",CONCATENATE(VLOOKUP(ES54,games.a,9,FALSE),VLOOKUP(ES54,games.a,12,FALSE)))</f>
        <v/>
      </c>
      <c r="EU54" s="406"/>
      <c r="EV54" s="407"/>
      <c r="EW54" s="408" t="str">
        <f ca="1">IF(ES54="","",VLOOKUP(ES54,games.a,6,FALSE))</f>
        <v/>
      </c>
      <c r="EX54" s="409" t="str">
        <f ca="1">IF(ES54="","",VLOOKUP(ES54,games.a,7,FALSE))</f>
        <v/>
      </c>
      <c r="EY54" s="410" t="str">
        <f ca="1">ER54</f>
        <v/>
      </c>
      <c r="EZ54" s="411"/>
      <c r="FA54" s="412"/>
      <c r="FB54" s="365"/>
      <c r="FC54" s="366"/>
      <c r="FD54" s="373"/>
      <c r="FE54" s="333"/>
      <c r="FO54" s="300"/>
      <c r="FP54" s="395" t="str">
        <f t="shared" ref="FP54:FP62" ca="1" si="116">FP43</f>
        <v/>
      </c>
      <c r="FQ54" s="360" t="str">
        <f t="shared" ref="FQ54:FQ62" ca="1" si="117">IF(OR(FP54="",FZ54="",FP54=FZ54),"",CONCATENATE(FP54,FZ54))</f>
        <v/>
      </c>
      <c r="FR54" s="360" t="str">
        <f t="shared" ca="1" si="101"/>
        <v/>
      </c>
      <c r="FS54" s="360" t="str">
        <f t="shared" ca="1" si="102"/>
        <v/>
      </c>
      <c r="FT54" s="360" t="str">
        <f t="shared" ca="1" si="103"/>
        <v/>
      </c>
      <c r="FU54" s="360" t="str">
        <f t="shared" ca="1" si="104"/>
        <v/>
      </c>
      <c r="FV54" s="360" t="str">
        <f t="shared" ca="1" si="105"/>
        <v/>
      </c>
      <c r="FW54" s="360" t="str">
        <f t="shared" ca="1" si="106"/>
        <v/>
      </c>
      <c r="FX54" s="360" t="str">
        <f t="shared" ca="1" si="107"/>
        <v/>
      </c>
      <c r="FY54" s="360" t="str">
        <f t="shared" ca="1" si="108"/>
        <v/>
      </c>
      <c r="FZ54" s="379" t="str">
        <f ca="1">FZ53</f>
        <v/>
      </c>
      <c r="GA54" s="302"/>
      <c r="GB54" s="364"/>
      <c r="GC54" s="302"/>
    </row>
    <row r="55" spans="3:185" ht="16.5" customHeight="1" x14ac:dyDescent="0.25">
      <c r="E55" s="514" t="s">
        <v>497</v>
      </c>
      <c r="F55" s="513" t="str">
        <f t="shared" ref="F55:F60" ca="1" si="118">IF(ISNA(V56),"–",VLOOKUP(V56,games.a,4,FALSE)&amp;"–"&amp;VLOOKUP(V56,games.a,5,FALSE)&amp;IF(VLOOKUP(V56,games.a,6,FALSE)="",""," "&amp;VLOOKUP(V56,games.a,6,FALSE)&amp;"–"&amp;VLOOKUP(V56,games.a,7,FALSE)))</f>
        <v>–</v>
      </c>
      <c r="G55" s="513"/>
      <c r="H55" s="513"/>
      <c r="I55" s="513"/>
      <c r="J55" s="513"/>
      <c r="K55" s="513"/>
      <c r="L55" s="513"/>
      <c r="M55" s="513"/>
      <c r="X55" s="336">
        <f>Adatok!A14</f>
        <v>0</v>
      </c>
      <c r="AB55" s="337">
        <f t="shared" si="10"/>
        <v>0</v>
      </c>
      <c r="AC55" s="338">
        <f t="shared" si="11"/>
        <v>0</v>
      </c>
      <c r="AD55" s="337">
        <f t="shared" si="12"/>
        <v>0</v>
      </c>
      <c r="AE55" s="338">
        <f t="shared" si="13"/>
        <v>0</v>
      </c>
      <c r="AK55" s="312"/>
      <c r="AM55" s="312"/>
      <c r="AN55" s="210" t="str">
        <f t="shared" ca="1" si="62"/>
        <v>–</v>
      </c>
      <c r="AO55" s="340" t="str">
        <f t="shared" si="63"/>
        <v/>
      </c>
      <c r="AP55" s="338" t="e">
        <f t="shared" ca="1" si="14"/>
        <v>#N/A</v>
      </c>
      <c r="AQ55" s="210" t="e">
        <f t="shared" ca="1" si="15"/>
        <v>#N/A</v>
      </c>
      <c r="AR55" s="312"/>
      <c r="AY55" s="341">
        <f t="shared" ca="1" si="16"/>
        <v>-999999999.97300005</v>
      </c>
      <c r="AZ55" s="377" t="str">
        <f t="shared" si="83"/>
        <v/>
      </c>
      <c r="BA55" s="343">
        <f t="shared" ca="1" si="64"/>
        <v>-999999999.97300005</v>
      </c>
      <c r="BB55" s="349">
        <v>14</v>
      </c>
      <c r="BC55" s="378">
        <f t="shared" si="65"/>
        <v>0</v>
      </c>
      <c r="BD55" s="346">
        <f t="shared" ca="1" si="66"/>
        <v>0</v>
      </c>
      <c r="BE55" s="346">
        <f t="shared" ca="1" si="17"/>
        <v>0</v>
      </c>
      <c r="BF55" s="346">
        <f t="shared" ca="1" si="18"/>
        <v>0</v>
      </c>
      <c r="BG55" s="346">
        <f t="shared" ca="1" si="19"/>
        <v>0</v>
      </c>
      <c r="BH55" s="346">
        <f t="shared" ca="1" si="20"/>
        <v>0</v>
      </c>
      <c r="BI55" s="346">
        <f t="shared" ca="1" si="21"/>
        <v>0</v>
      </c>
      <c r="BJ55" s="346">
        <f t="shared" ca="1" si="67"/>
        <v>0</v>
      </c>
      <c r="BK55" s="347">
        <f t="shared" ca="1" si="68"/>
        <v>0</v>
      </c>
      <c r="BL55" s="346">
        <f t="shared" si="22"/>
        <v>0</v>
      </c>
      <c r="BM55" s="346">
        <f t="shared" ca="1" si="23"/>
        <v>0</v>
      </c>
      <c r="BN55" s="346">
        <f t="shared" ca="1" si="69"/>
        <v>0</v>
      </c>
      <c r="BO55" s="347">
        <f t="shared" ca="1" si="24"/>
        <v>0</v>
      </c>
      <c r="BP55" s="348">
        <v>2.6999999999999989E-2</v>
      </c>
      <c r="BQ55" s="349">
        <f t="shared" ca="1" si="25"/>
        <v>0</v>
      </c>
      <c r="BS55" s="346">
        <f t="shared" ca="1" si="26"/>
        <v>0</v>
      </c>
      <c r="BT55" s="346">
        <f t="shared" ca="1" si="27"/>
        <v>0</v>
      </c>
      <c r="BU55" s="346">
        <f t="shared" ca="1" si="28"/>
        <v>0</v>
      </c>
      <c r="BV55" s="346">
        <f t="shared" ca="1" si="29"/>
        <v>0</v>
      </c>
      <c r="BW55" s="346">
        <f t="shared" ca="1" si="30"/>
        <v>0</v>
      </c>
      <c r="BX55" s="346">
        <f t="shared" ca="1" si="31"/>
        <v>0</v>
      </c>
      <c r="BZ55" s="346">
        <f t="shared" ca="1" si="32"/>
        <v>0</v>
      </c>
      <c r="CA55" s="346">
        <f t="shared" ca="1" si="33"/>
        <v>0</v>
      </c>
      <c r="CB55" s="346">
        <f t="shared" ca="1" si="34"/>
        <v>0</v>
      </c>
      <c r="CC55" s="346">
        <f t="shared" ca="1" si="35"/>
        <v>0</v>
      </c>
      <c r="CD55" s="346">
        <f t="shared" ca="1" si="36"/>
        <v>0</v>
      </c>
      <c r="CE55" s="346">
        <f t="shared" ca="1" si="37"/>
        <v>0</v>
      </c>
      <c r="CH55" s="350"/>
      <c r="CI55" s="353">
        <f t="shared" ca="1" si="70"/>
        <v>1.4E-2</v>
      </c>
      <c r="CJ55" s="352">
        <f t="shared" ca="1" si="71"/>
        <v>0</v>
      </c>
      <c r="CK55" s="353">
        <f t="shared" ca="1" si="72"/>
        <v>0</v>
      </c>
      <c r="CL55" s="354">
        <v>14</v>
      </c>
      <c r="CM55" s="350"/>
      <c r="CN55" s="300"/>
      <c r="CO55" s="356" t="str">
        <f ca="1">IF(OR(CO41=$BM81,CO41=$BO81),$BC81,"")</f>
        <v/>
      </c>
      <c r="CP55" s="357" t="str">
        <f t="shared" ca="1" si="73"/>
        <v/>
      </c>
      <c r="CQ55" s="385"/>
      <c r="CR55" s="356" t="str">
        <f ca="1">IF(OR(CR41=$BM81,CR41=$BO81),$BC81,"")</f>
        <v/>
      </c>
      <c r="CS55" s="357" t="str">
        <f t="shared" ca="1" si="74"/>
        <v/>
      </c>
      <c r="CT55" s="385"/>
      <c r="CU55" s="356" t="str">
        <f ca="1">IF(OR(CU41=$BM81,CU41=$BO81),$BC81,"")</f>
        <v/>
      </c>
      <c r="CV55" s="357" t="str">
        <f t="shared" ca="1" si="75"/>
        <v/>
      </c>
      <c r="CW55" s="385"/>
      <c r="CX55" s="356" t="str">
        <f ca="1">IF(OR(CX41=$BM81,CX41=$BO81),$BC81,"")</f>
        <v/>
      </c>
      <c r="CY55" s="357" t="str">
        <f t="shared" ca="1" si="76"/>
        <v/>
      </c>
      <c r="CZ55" s="385"/>
      <c r="DA55" s="356" t="str">
        <f ca="1">IF(OR(DA41=$BM81,DA41=$BO81),$BC81,"")</f>
        <v/>
      </c>
      <c r="DB55" s="357" t="str">
        <f t="shared" ca="1" si="77"/>
        <v/>
      </c>
      <c r="DC55" s="385"/>
      <c r="DD55" s="356" t="str">
        <f ca="1">IF(OR(DD41=$BM81,DD41=$BO81),$BC81,"")</f>
        <v/>
      </c>
      <c r="DE55" s="357" t="str">
        <f t="shared" ca="1" si="78"/>
        <v/>
      </c>
      <c r="DF55" s="385"/>
      <c r="DG55" s="350"/>
      <c r="DH55" s="300"/>
      <c r="DI55" s="395" t="str">
        <f t="shared" ca="1" si="109"/>
        <v/>
      </c>
      <c r="DJ55" s="360" t="str">
        <f t="shared" ca="1" si="110"/>
        <v/>
      </c>
      <c r="DK55" s="360" t="str">
        <f t="shared" ca="1" si="89"/>
        <v/>
      </c>
      <c r="DL55" s="354" t="str">
        <f t="shared" ca="1" si="90"/>
        <v/>
      </c>
      <c r="DM55" s="354" t="str">
        <f t="shared" ca="1" si="91"/>
        <v/>
      </c>
      <c r="DN55" s="361" t="str">
        <f t="shared" ca="1" si="92"/>
        <v/>
      </c>
      <c r="DO55" s="362" t="str">
        <f t="shared" ca="1" si="93"/>
        <v/>
      </c>
      <c r="DP55" s="379" t="str">
        <f t="shared" ref="DP55:DP62" ca="1" si="119">DP54</f>
        <v>Bakafogó-Honvéd-Sashegy SE</v>
      </c>
      <c r="DQ55" s="302"/>
      <c r="DR55" s="364"/>
      <c r="DS55" s="302"/>
      <c r="DU55" s="365"/>
      <c r="DV55" s="366" t="str">
        <f ca="1">IF(OR(NOT($AJ$44),AND(DI41,DV44="")),DI44,"")</f>
        <v/>
      </c>
      <c r="DW55" s="365"/>
      <c r="DX55" s="366">
        <f t="shared" ca="1" si="94"/>
        <v>0</v>
      </c>
      <c r="DY55" s="366">
        <f t="shared" ca="1" si="95"/>
        <v>0</v>
      </c>
      <c r="DZ55" s="366">
        <f t="shared" ca="1" si="96"/>
        <v>0</v>
      </c>
      <c r="EA55" s="366">
        <f t="shared" ca="1" si="97"/>
        <v>0</v>
      </c>
      <c r="EB55" s="366">
        <f t="shared" ca="1" si="111"/>
        <v>0</v>
      </c>
      <c r="EC55" s="366">
        <f t="shared" ca="1" si="112"/>
        <v>0</v>
      </c>
      <c r="ED55" s="366">
        <f t="shared" ca="1" si="98"/>
        <v>0</v>
      </c>
      <c r="EE55" s="396">
        <f t="shared" ca="1" si="113"/>
        <v>0</v>
      </c>
      <c r="EF55" s="366">
        <f t="shared" ca="1" si="99"/>
        <v>0</v>
      </c>
      <c r="EG55" s="366">
        <f t="shared" ca="1" si="100"/>
        <v>0</v>
      </c>
      <c r="EH55" s="366">
        <f t="shared" ca="1" si="114"/>
        <v>0</v>
      </c>
      <c r="EI55" s="366">
        <f t="shared" ca="1" si="115"/>
        <v>0</v>
      </c>
      <c r="EJ55" s="366">
        <f ca="1">IF(EI55=0,0,RANK(EI55,EI53:EI62,1))</f>
        <v>0</v>
      </c>
      <c r="EK55" s="366">
        <f t="shared" ca="1" si="81"/>
        <v>0</v>
      </c>
      <c r="EL55" s="365"/>
      <c r="EN55" s="397" t="s">
        <v>505</v>
      </c>
      <c r="EO55" s="365"/>
      <c r="EP55" s="365"/>
      <c r="EQ55" s="365"/>
      <c r="ER55" s="404" t="str">
        <f ca="1">IF(EU43="","",VLOOKUP(EU43,yyy.aa1.10,4,FALSE))</f>
        <v/>
      </c>
      <c r="ES55" s="371" t="str">
        <f ca="1">IF(OR(ER55="",EY55="",ER55=EY55),"",CONCATENATE(ER55,EY55))</f>
        <v/>
      </c>
      <c r="ET55" s="405" t="str">
        <f ca="1">IF(OR(ES55="",EY53&gt;2),"",CONCATENATE(VLOOKUP(ES55,games.a,9,FALSE),VLOOKUP(ES55,games.a,12,FALSE)))</f>
        <v/>
      </c>
      <c r="EU55" s="413"/>
      <c r="EV55" s="414"/>
      <c r="EW55" s="408" t="str">
        <f ca="1">IF(ES55="","",VLOOKUP(ES55,games.a,6,FALSE))</f>
        <v/>
      </c>
      <c r="EX55" s="409" t="str">
        <f ca="1">IF(ES55="","",VLOOKUP(ES55,games.a,7,FALSE))</f>
        <v/>
      </c>
      <c r="EY55" s="415" t="str">
        <f ca="1">EY54</f>
        <v/>
      </c>
      <c r="EZ55" s="416"/>
      <c r="FA55" s="417"/>
      <c r="FB55" s="365"/>
      <c r="FC55" s="366"/>
      <c r="FD55" s="373"/>
      <c r="FE55" s="333"/>
      <c r="FK55" s="311"/>
      <c r="FO55" s="300"/>
      <c r="FP55" s="395" t="str">
        <f t="shared" ca="1" si="116"/>
        <v/>
      </c>
      <c r="FQ55" s="360" t="str">
        <f t="shared" ca="1" si="117"/>
        <v/>
      </c>
      <c r="FR55" s="360" t="str">
        <f t="shared" ca="1" si="101"/>
        <v/>
      </c>
      <c r="FS55" s="360" t="str">
        <f t="shared" ca="1" si="102"/>
        <v/>
      </c>
      <c r="FT55" s="360" t="str">
        <f t="shared" ca="1" si="103"/>
        <v/>
      </c>
      <c r="FU55" s="360" t="str">
        <f t="shared" ca="1" si="104"/>
        <v/>
      </c>
      <c r="FV55" s="360" t="str">
        <f t="shared" ca="1" si="105"/>
        <v/>
      </c>
      <c r="FW55" s="360" t="str">
        <f t="shared" ca="1" si="106"/>
        <v/>
      </c>
      <c r="FX55" s="360" t="str">
        <f t="shared" ca="1" si="107"/>
        <v/>
      </c>
      <c r="FY55" s="360" t="str">
        <f t="shared" ca="1" si="108"/>
        <v/>
      </c>
      <c r="FZ55" s="379" t="str">
        <f t="shared" ref="FZ55:FZ62" ca="1" si="120">FZ54</f>
        <v/>
      </c>
      <c r="GA55" s="302"/>
      <c r="GB55" s="364"/>
      <c r="GC55" s="302"/>
    </row>
    <row r="56" spans="3:185" ht="16.5" customHeight="1" x14ac:dyDescent="0.25">
      <c r="E56" s="514" t="s">
        <v>498</v>
      </c>
      <c r="F56" s="513" t="str">
        <f t="shared" ca="1" si="118"/>
        <v>–</v>
      </c>
      <c r="G56" s="513"/>
      <c r="H56" s="513"/>
      <c r="I56" s="513"/>
      <c r="J56" s="513"/>
      <c r="K56" s="513"/>
      <c r="L56" s="513"/>
      <c r="M56" s="513"/>
      <c r="V56" s="179" t="e">
        <f ca="1">VLOOKUP($G$54&amp;E55,ASZ!$BB$43:$BD$390,3,FALSE)</f>
        <v>#N/A</v>
      </c>
      <c r="X56" s="336">
        <f>Adatok!A15</f>
        <v>0</v>
      </c>
      <c r="AB56" s="337">
        <f t="shared" si="10"/>
        <v>0</v>
      </c>
      <c r="AC56" s="338">
        <f t="shared" si="11"/>
        <v>0</v>
      </c>
      <c r="AD56" s="337">
        <f t="shared" si="12"/>
        <v>0</v>
      </c>
      <c r="AE56" s="338">
        <f t="shared" si="13"/>
        <v>0</v>
      </c>
      <c r="AI56" s="310" t="s">
        <v>198</v>
      </c>
      <c r="AJ56" s="311"/>
      <c r="AK56" s="312"/>
      <c r="AM56" s="312"/>
      <c r="AN56" s="210" t="str">
        <f t="shared" ca="1" si="62"/>
        <v>–</v>
      </c>
      <c r="AO56" s="340" t="str">
        <f t="shared" si="63"/>
        <v/>
      </c>
      <c r="AP56" s="338" t="e">
        <f t="shared" ca="1" si="14"/>
        <v>#N/A</v>
      </c>
      <c r="AQ56" s="210" t="e">
        <f t="shared" ca="1" si="15"/>
        <v>#N/A</v>
      </c>
      <c r="AR56" s="312"/>
      <c r="AY56" s="341">
        <f t="shared" ca="1" si="16"/>
        <v>-999999999.97399998</v>
      </c>
      <c r="AZ56" s="377" t="str">
        <f t="shared" si="83"/>
        <v/>
      </c>
      <c r="BA56" s="343">
        <f t="shared" ca="1" si="64"/>
        <v>-999999999.97399998</v>
      </c>
      <c r="BB56" s="349">
        <v>15</v>
      </c>
      <c r="BC56" s="378">
        <f t="shared" si="65"/>
        <v>0</v>
      </c>
      <c r="BD56" s="346">
        <f t="shared" ca="1" si="66"/>
        <v>0</v>
      </c>
      <c r="BE56" s="346">
        <f t="shared" ca="1" si="17"/>
        <v>0</v>
      </c>
      <c r="BF56" s="346">
        <f t="shared" ca="1" si="18"/>
        <v>0</v>
      </c>
      <c r="BG56" s="346">
        <f t="shared" ca="1" si="19"/>
        <v>0</v>
      </c>
      <c r="BH56" s="346">
        <f t="shared" ca="1" si="20"/>
        <v>0</v>
      </c>
      <c r="BI56" s="346">
        <f t="shared" ca="1" si="21"/>
        <v>0</v>
      </c>
      <c r="BJ56" s="346">
        <f t="shared" ca="1" si="67"/>
        <v>0</v>
      </c>
      <c r="BK56" s="347">
        <f t="shared" ca="1" si="68"/>
        <v>0</v>
      </c>
      <c r="BL56" s="346">
        <f t="shared" si="22"/>
        <v>0</v>
      </c>
      <c r="BM56" s="346">
        <f t="shared" ca="1" si="23"/>
        <v>0</v>
      </c>
      <c r="BN56" s="346">
        <f t="shared" ca="1" si="69"/>
        <v>0</v>
      </c>
      <c r="BO56" s="347">
        <f t="shared" ca="1" si="24"/>
        <v>0</v>
      </c>
      <c r="BP56" s="348">
        <v>2.5999999999999988E-2</v>
      </c>
      <c r="BQ56" s="349">
        <f t="shared" ca="1" si="25"/>
        <v>0</v>
      </c>
      <c r="BS56" s="346">
        <f t="shared" ca="1" si="26"/>
        <v>0</v>
      </c>
      <c r="BT56" s="346">
        <f t="shared" ca="1" si="27"/>
        <v>0</v>
      </c>
      <c r="BU56" s="346">
        <f t="shared" ca="1" si="28"/>
        <v>0</v>
      </c>
      <c r="BV56" s="346">
        <f t="shared" ca="1" si="29"/>
        <v>0</v>
      </c>
      <c r="BW56" s="346">
        <f t="shared" ca="1" si="30"/>
        <v>0</v>
      </c>
      <c r="BX56" s="346">
        <f t="shared" ca="1" si="31"/>
        <v>0</v>
      </c>
      <c r="BZ56" s="346">
        <f t="shared" ca="1" si="32"/>
        <v>0</v>
      </c>
      <c r="CA56" s="346">
        <f t="shared" ca="1" si="33"/>
        <v>0</v>
      </c>
      <c r="CB56" s="346">
        <f t="shared" ca="1" si="34"/>
        <v>0</v>
      </c>
      <c r="CC56" s="346">
        <f t="shared" ca="1" si="35"/>
        <v>0</v>
      </c>
      <c r="CD56" s="346">
        <f t="shared" ca="1" si="36"/>
        <v>0</v>
      </c>
      <c r="CE56" s="346">
        <f t="shared" ca="1" si="37"/>
        <v>0</v>
      </c>
      <c r="CH56" s="350"/>
      <c r="CI56" s="353">
        <f t="shared" ca="1" si="70"/>
        <v>1.4999999999999999E-2</v>
      </c>
      <c r="CJ56" s="352">
        <f t="shared" ca="1" si="71"/>
        <v>0</v>
      </c>
      <c r="CK56" s="353">
        <f t="shared" ca="1" si="72"/>
        <v>0</v>
      </c>
      <c r="CL56" s="354">
        <v>15</v>
      </c>
      <c r="CM56" s="350"/>
      <c r="CN56" s="300"/>
      <c r="CO56" s="356" t="str">
        <f ca="1">IF(OR(CO41=$BM82,CO41=$BO82),$BC82,"")</f>
        <v/>
      </c>
      <c r="CP56" s="357" t="str">
        <f t="shared" ca="1" si="73"/>
        <v/>
      </c>
      <c r="CQ56" s="385"/>
      <c r="CR56" s="356" t="str">
        <f ca="1">IF(OR(CR41=$BM82,CR41=$BO82),$BC82,"")</f>
        <v/>
      </c>
      <c r="CS56" s="357" t="str">
        <f t="shared" ca="1" si="74"/>
        <v/>
      </c>
      <c r="CT56" s="385"/>
      <c r="CU56" s="356" t="str">
        <f ca="1">IF(OR(CU41=$BM82,CU41=$BO82),$BC82,"")</f>
        <v/>
      </c>
      <c r="CV56" s="357" t="str">
        <f t="shared" ca="1" si="75"/>
        <v/>
      </c>
      <c r="CW56" s="385"/>
      <c r="CX56" s="356" t="str">
        <f ca="1">IF(OR(CX41=$BM82,CX41=$BO82),$BC82,"")</f>
        <v/>
      </c>
      <c r="CY56" s="357" t="str">
        <f t="shared" ca="1" si="76"/>
        <v/>
      </c>
      <c r="CZ56" s="385"/>
      <c r="DA56" s="356" t="str">
        <f ca="1">IF(OR(DA41=$BM82,DA41=$BO82),$BC82,"")</f>
        <v/>
      </c>
      <c r="DB56" s="357" t="str">
        <f t="shared" ca="1" si="77"/>
        <v/>
      </c>
      <c r="DC56" s="385"/>
      <c r="DD56" s="356" t="str">
        <f ca="1">IF(OR(DD41=$BM82,DD41=$BO82),$BC82,"")</f>
        <v/>
      </c>
      <c r="DE56" s="357" t="str">
        <f t="shared" ca="1" si="78"/>
        <v/>
      </c>
      <c r="DF56" s="385"/>
      <c r="DG56" s="350"/>
      <c r="DH56" s="300"/>
      <c r="DI56" s="395" t="str">
        <f t="shared" ca="1" si="109"/>
        <v/>
      </c>
      <c r="DJ56" s="360" t="str">
        <f t="shared" ca="1" si="110"/>
        <v/>
      </c>
      <c r="DK56" s="360" t="str">
        <f t="shared" ca="1" si="89"/>
        <v/>
      </c>
      <c r="DL56" s="354" t="str">
        <f t="shared" ca="1" si="90"/>
        <v/>
      </c>
      <c r="DM56" s="354" t="str">
        <f t="shared" ca="1" si="91"/>
        <v/>
      </c>
      <c r="DN56" s="361" t="str">
        <f t="shared" ca="1" si="92"/>
        <v/>
      </c>
      <c r="DO56" s="362" t="str">
        <f t="shared" ca="1" si="93"/>
        <v/>
      </c>
      <c r="DP56" s="379" t="str">
        <f t="shared" ca="1" si="119"/>
        <v>Bakafogó-Honvéd-Sashegy SE</v>
      </c>
      <c r="DQ56" s="302"/>
      <c r="DR56" s="364"/>
      <c r="DS56" s="302"/>
      <c r="DU56" s="365"/>
      <c r="DV56" s="366" t="str">
        <f ca="1">IF(OR(NOT($AJ$44),AND(DI41,DV45="")),DI45,"")</f>
        <v/>
      </c>
      <c r="DW56" s="365"/>
      <c r="DX56" s="366">
        <f t="shared" ca="1" si="94"/>
        <v>0</v>
      </c>
      <c r="DY56" s="366">
        <f t="shared" ca="1" si="95"/>
        <v>0</v>
      </c>
      <c r="DZ56" s="366">
        <f t="shared" ca="1" si="96"/>
        <v>0</v>
      </c>
      <c r="EA56" s="366">
        <f t="shared" ca="1" si="97"/>
        <v>0</v>
      </c>
      <c r="EB56" s="366">
        <f t="shared" ca="1" si="111"/>
        <v>0</v>
      </c>
      <c r="EC56" s="366">
        <f t="shared" ca="1" si="112"/>
        <v>0</v>
      </c>
      <c r="ED56" s="366">
        <f t="shared" ca="1" si="98"/>
        <v>0</v>
      </c>
      <c r="EE56" s="396">
        <f t="shared" ca="1" si="113"/>
        <v>0</v>
      </c>
      <c r="EF56" s="366">
        <f t="shared" ca="1" si="99"/>
        <v>0</v>
      </c>
      <c r="EG56" s="366">
        <f t="shared" ca="1" si="100"/>
        <v>0</v>
      </c>
      <c r="EH56" s="366">
        <f t="shared" ca="1" si="114"/>
        <v>0</v>
      </c>
      <c r="EI56" s="366">
        <f t="shared" ca="1" si="115"/>
        <v>0</v>
      </c>
      <c r="EJ56" s="366">
        <f ca="1">IF(EI56=0,0,RANK(EI56,EI53:EI62,1))</f>
        <v>0</v>
      </c>
      <c r="EK56" s="366">
        <f t="shared" ca="1" si="81"/>
        <v>0</v>
      </c>
      <c r="EL56" s="365"/>
      <c r="EO56" s="365"/>
      <c r="EP56" s="365"/>
      <c r="EQ56" s="365"/>
      <c r="ER56" s="404" t="str">
        <f ca="1">IF(EU44="","",VLOOKUP(EU44,yyy.aa1.10,4,FALSE))</f>
        <v/>
      </c>
      <c r="ES56" s="371" t="str">
        <f ca="1">IF(OR(ER56="",EY56="",ER56=EY56),"",CONCATENATE(ER56,EY56))</f>
        <v/>
      </c>
      <c r="ET56" s="405" t="str">
        <f ca="1">IF(OR(ES56="",EY53&gt;2),"",CONCATENATE(VLOOKUP(ES56,games.a,9,FALSE),VLOOKUP(ES56,games.a,12,FALSE)))</f>
        <v/>
      </c>
      <c r="EU56" s="413"/>
      <c r="EV56" s="414"/>
      <c r="EW56" s="408" t="str">
        <f ca="1">IF(ES56="","",VLOOKUP(ES56,games.a,6,FALSE))</f>
        <v/>
      </c>
      <c r="EX56" s="409" t="str">
        <f ca="1">IF(ES56="","",VLOOKUP(ES56,games.a,7,FALSE))</f>
        <v/>
      </c>
      <c r="EY56" s="415" t="str">
        <f ca="1">EY55</f>
        <v/>
      </c>
      <c r="EZ56" s="416"/>
      <c r="FA56" s="417"/>
      <c r="FB56" s="365"/>
      <c r="FC56" s="366"/>
      <c r="FD56" s="373"/>
      <c r="FE56" s="333"/>
      <c r="FJ56" s="232" t="s">
        <v>234</v>
      </c>
      <c r="FK56" s="376" t="b">
        <v>0</v>
      </c>
      <c r="FO56" s="300"/>
      <c r="FP56" s="395" t="str">
        <f t="shared" ca="1" si="116"/>
        <v/>
      </c>
      <c r="FQ56" s="360" t="str">
        <f t="shared" ca="1" si="117"/>
        <v/>
      </c>
      <c r="FR56" s="360" t="str">
        <f t="shared" ca="1" si="101"/>
        <v/>
      </c>
      <c r="FS56" s="360" t="str">
        <f t="shared" ca="1" si="102"/>
        <v/>
      </c>
      <c r="FT56" s="360" t="str">
        <f t="shared" ca="1" si="103"/>
        <v/>
      </c>
      <c r="FU56" s="360" t="str">
        <f t="shared" ca="1" si="104"/>
        <v/>
      </c>
      <c r="FV56" s="360" t="str">
        <f t="shared" ca="1" si="105"/>
        <v/>
      </c>
      <c r="FW56" s="360" t="str">
        <f t="shared" ca="1" si="106"/>
        <v/>
      </c>
      <c r="FX56" s="360" t="str">
        <f t="shared" ca="1" si="107"/>
        <v/>
      </c>
      <c r="FY56" s="360" t="str">
        <f t="shared" ca="1" si="108"/>
        <v/>
      </c>
      <c r="FZ56" s="379" t="str">
        <f t="shared" ca="1" si="120"/>
        <v/>
      </c>
      <c r="GA56" s="302"/>
      <c r="GB56" s="364"/>
      <c r="GC56" s="302"/>
    </row>
    <row r="57" spans="3:185" ht="16.5" customHeight="1" x14ac:dyDescent="0.25">
      <c r="E57" s="514" t="s">
        <v>499</v>
      </c>
      <c r="F57" s="513" t="str">
        <f t="shared" ca="1" si="118"/>
        <v>–</v>
      </c>
      <c r="G57" s="513"/>
      <c r="H57" s="513"/>
      <c r="I57" s="513"/>
      <c r="J57" s="513"/>
      <c r="K57" s="513"/>
      <c r="L57" s="513"/>
      <c r="M57" s="513"/>
      <c r="V57" s="179" t="e">
        <f ca="1">VLOOKUP($G$54&amp;E56,ASZ!$BB$43:$BD$390,3,FALSE)</f>
        <v>#N/A</v>
      </c>
      <c r="X57" s="336">
        <f>Adatok!A16</f>
        <v>0</v>
      </c>
      <c r="AB57" s="337">
        <f t="shared" si="10"/>
        <v>0</v>
      </c>
      <c r="AC57" s="338">
        <f t="shared" si="11"/>
        <v>0</v>
      </c>
      <c r="AD57" s="337">
        <f t="shared" si="12"/>
        <v>0</v>
      </c>
      <c r="AE57" s="338">
        <f t="shared" si="13"/>
        <v>0</v>
      </c>
      <c r="AI57" s="232" t="s">
        <v>181</v>
      </c>
      <c r="AJ57" s="418">
        <v>1</v>
      </c>
      <c r="AK57" s="312"/>
      <c r="AM57" s="312"/>
      <c r="AN57" s="210" t="str">
        <f t="shared" ca="1" si="62"/>
        <v>–</v>
      </c>
      <c r="AO57" s="340" t="str">
        <f t="shared" si="63"/>
        <v/>
      </c>
      <c r="AP57" s="338" t="e">
        <f t="shared" ca="1" si="14"/>
        <v>#N/A</v>
      </c>
      <c r="AQ57" s="210" t="e">
        <f t="shared" ca="1" si="15"/>
        <v>#N/A</v>
      </c>
      <c r="AR57" s="312"/>
      <c r="AY57" s="341">
        <f t="shared" ca="1" si="16"/>
        <v>-999999999.97500002</v>
      </c>
      <c r="AZ57" s="377" t="str">
        <f t="shared" si="83"/>
        <v/>
      </c>
      <c r="BA57" s="343">
        <f t="shared" ca="1" si="64"/>
        <v>-999999999.97500002</v>
      </c>
      <c r="BB57" s="349">
        <v>16</v>
      </c>
      <c r="BC57" s="378">
        <f t="shared" si="65"/>
        <v>0</v>
      </c>
      <c r="BD57" s="346">
        <f t="shared" ca="1" si="66"/>
        <v>0</v>
      </c>
      <c r="BE57" s="346">
        <f t="shared" ca="1" si="17"/>
        <v>0</v>
      </c>
      <c r="BF57" s="346">
        <f t="shared" ca="1" si="18"/>
        <v>0</v>
      </c>
      <c r="BG57" s="346">
        <f t="shared" ca="1" si="19"/>
        <v>0</v>
      </c>
      <c r="BH57" s="346">
        <f t="shared" ca="1" si="20"/>
        <v>0</v>
      </c>
      <c r="BI57" s="346">
        <f t="shared" ca="1" si="21"/>
        <v>0</v>
      </c>
      <c r="BJ57" s="346">
        <f t="shared" ca="1" si="67"/>
        <v>0</v>
      </c>
      <c r="BK57" s="347">
        <f t="shared" ca="1" si="68"/>
        <v>0</v>
      </c>
      <c r="BL57" s="346">
        <f t="shared" si="22"/>
        <v>0</v>
      </c>
      <c r="BM57" s="346">
        <f t="shared" ca="1" si="23"/>
        <v>0</v>
      </c>
      <c r="BN57" s="346">
        <f t="shared" ca="1" si="69"/>
        <v>0</v>
      </c>
      <c r="BO57" s="347">
        <f t="shared" ca="1" si="24"/>
        <v>0</v>
      </c>
      <c r="BP57" s="348">
        <v>2.5000000000000001E-2</v>
      </c>
      <c r="BQ57" s="349">
        <f t="shared" ca="1" si="25"/>
        <v>0</v>
      </c>
      <c r="BS57" s="346">
        <f t="shared" ca="1" si="26"/>
        <v>0</v>
      </c>
      <c r="BT57" s="346">
        <f t="shared" ca="1" si="27"/>
        <v>0</v>
      </c>
      <c r="BU57" s="346">
        <f t="shared" ca="1" si="28"/>
        <v>0</v>
      </c>
      <c r="BV57" s="346">
        <f t="shared" ca="1" si="29"/>
        <v>0</v>
      </c>
      <c r="BW57" s="346">
        <f t="shared" ca="1" si="30"/>
        <v>0</v>
      </c>
      <c r="BX57" s="346">
        <f t="shared" ca="1" si="31"/>
        <v>0</v>
      </c>
      <c r="BZ57" s="346">
        <f t="shared" ca="1" si="32"/>
        <v>0</v>
      </c>
      <c r="CA57" s="346">
        <f t="shared" ca="1" si="33"/>
        <v>0</v>
      </c>
      <c r="CB57" s="346">
        <f t="shared" ca="1" si="34"/>
        <v>0</v>
      </c>
      <c r="CC57" s="346">
        <f t="shared" ca="1" si="35"/>
        <v>0</v>
      </c>
      <c r="CD57" s="346">
        <f t="shared" ca="1" si="36"/>
        <v>0</v>
      </c>
      <c r="CE57" s="346">
        <f t="shared" ca="1" si="37"/>
        <v>0</v>
      </c>
      <c r="CH57" s="350"/>
      <c r="CI57" s="353">
        <f t="shared" ca="1" si="70"/>
        <v>1.6E-2</v>
      </c>
      <c r="CJ57" s="352">
        <f t="shared" ca="1" si="71"/>
        <v>0</v>
      </c>
      <c r="CK57" s="353">
        <f t="shared" ca="1" si="72"/>
        <v>0</v>
      </c>
      <c r="CL57" s="354">
        <v>16</v>
      </c>
      <c r="CM57" s="350"/>
      <c r="CN57" s="300"/>
      <c r="CO57" s="356" t="str">
        <f ca="1">IF(OR(CO41=$BM83,CO41=$BO83),$BC83,"")</f>
        <v/>
      </c>
      <c r="CP57" s="357" t="str">
        <f t="shared" ca="1" si="73"/>
        <v/>
      </c>
      <c r="CQ57" s="385"/>
      <c r="CR57" s="356" t="str">
        <f ca="1">IF(OR(CR41=$BM83,CR41=$BO83),$BC83,"")</f>
        <v/>
      </c>
      <c r="CS57" s="357" t="str">
        <f t="shared" ca="1" si="74"/>
        <v/>
      </c>
      <c r="CT57" s="385"/>
      <c r="CU57" s="356" t="str">
        <f ca="1">IF(OR(CU41=$BM83,CU41=$BO83),$BC83,"")</f>
        <v/>
      </c>
      <c r="CV57" s="357" t="str">
        <f t="shared" ca="1" si="75"/>
        <v/>
      </c>
      <c r="CW57" s="385"/>
      <c r="CX57" s="356" t="str">
        <f ca="1">IF(OR(CX41=$BM83,CX41=$BO83),$BC83,"")</f>
        <v/>
      </c>
      <c r="CY57" s="357" t="str">
        <f t="shared" ca="1" si="76"/>
        <v/>
      </c>
      <c r="CZ57" s="385"/>
      <c r="DA57" s="356" t="str">
        <f ca="1">IF(OR(DA41=$BM83,DA41=$BO83),$BC83,"")</f>
        <v/>
      </c>
      <c r="DB57" s="357" t="str">
        <f t="shared" ca="1" si="77"/>
        <v/>
      </c>
      <c r="DC57" s="385"/>
      <c r="DD57" s="356" t="str">
        <f ca="1">IF(OR(DD41=$BM83,DD41=$BO83),$BC83,"")</f>
        <v/>
      </c>
      <c r="DE57" s="357" t="str">
        <f t="shared" ca="1" si="78"/>
        <v/>
      </c>
      <c r="DF57" s="385"/>
      <c r="DG57" s="350"/>
      <c r="DH57" s="300"/>
      <c r="DI57" s="395" t="str">
        <f t="shared" ca="1" si="109"/>
        <v/>
      </c>
      <c r="DJ57" s="360" t="str">
        <f t="shared" ca="1" si="110"/>
        <v/>
      </c>
      <c r="DK57" s="360" t="str">
        <f t="shared" ca="1" si="89"/>
        <v/>
      </c>
      <c r="DL57" s="354" t="str">
        <f t="shared" ca="1" si="90"/>
        <v/>
      </c>
      <c r="DM57" s="354" t="str">
        <f t="shared" ca="1" si="91"/>
        <v/>
      </c>
      <c r="DN57" s="361" t="str">
        <f t="shared" ca="1" si="92"/>
        <v/>
      </c>
      <c r="DO57" s="362" t="str">
        <f t="shared" ca="1" si="93"/>
        <v/>
      </c>
      <c r="DP57" s="379" t="str">
        <f t="shared" ca="1" si="119"/>
        <v>Bakafogó-Honvéd-Sashegy SE</v>
      </c>
      <c r="DQ57" s="302"/>
      <c r="DR57" s="364"/>
      <c r="DS57" s="302"/>
      <c r="DU57" s="365"/>
      <c r="DV57" s="366" t="str">
        <f ca="1">IF(OR(NOT($AJ$44),AND(DI41,DV46="")),DI46,"")</f>
        <v/>
      </c>
      <c r="DW57" s="365"/>
      <c r="DX57" s="366">
        <f t="shared" ca="1" si="94"/>
        <v>0</v>
      </c>
      <c r="DY57" s="366">
        <f t="shared" ca="1" si="95"/>
        <v>0</v>
      </c>
      <c r="DZ57" s="366">
        <f t="shared" ca="1" si="96"/>
        <v>0</v>
      </c>
      <c r="EA57" s="366">
        <f t="shared" ca="1" si="97"/>
        <v>0</v>
      </c>
      <c r="EB57" s="366">
        <f t="shared" ca="1" si="111"/>
        <v>0</v>
      </c>
      <c r="EC57" s="366">
        <f t="shared" ca="1" si="112"/>
        <v>0</v>
      </c>
      <c r="ED57" s="366">
        <f t="shared" ca="1" si="98"/>
        <v>0</v>
      </c>
      <c r="EE57" s="396">
        <f t="shared" ca="1" si="113"/>
        <v>0</v>
      </c>
      <c r="EF57" s="366">
        <f t="shared" ca="1" si="99"/>
        <v>0</v>
      </c>
      <c r="EG57" s="366">
        <f t="shared" ca="1" si="100"/>
        <v>0</v>
      </c>
      <c r="EH57" s="366">
        <f t="shared" ca="1" si="114"/>
        <v>0</v>
      </c>
      <c r="EI57" s="366">
        <f t="shared" ca="1" si="115"/>
        <v>0</v>
      </c>
      <c r="EJ57" s="366">
        <f ca="1">IF(EI57=0,0,RANK(EI57,EI53:EI62,1))</f>
        <v>0</v>
      </c>
      <c r="EK57" s="366">
        <f t="shared" ca="1" si="81"/>
        <v>0</v>
      </c>
      <c r="EL57" s="365"/>
      <c r="EO57" s="365"/>
      <c r="EP57" s="365"/>
      <c r="EQ57" s="365"/>
      <c r="ER57" s="404" t="str">
        <f ca="1">IF(EU45="","",VLOOKUP(EU45,yyy.aa1.10,4,FALSE))</f>
        <v/>
      </c>
      <c r="ES57" s="371" t="str">
        <f ca="1">IF(OR(ER57="",EY57="",ER57=EY57),"",CONCATENATE(ER57,EY57))</f>
        <v/>
      </c>
      <c r="ET57" s="405" t="str">
        <f ca="1">IF(OR(ES57="",EY53&gt;2),"",CONCATENATE(VLOOKUP(ES57,games.a,9,FALSE),VLOOKUP(ES57,games.a,12,FALSE)))</f>
        <v/>
      </c>
      <c r="EU57" s="413"/>
      <c r="EV57" s="414"/>
      <c r="EW57" s="408" t="str">
        <f ca="1">IF(ES57="","",VLOOKUP(ES57,games.a,6,FALSE))</f>
        <v/>
      </c>
      <c r="EX57" s="409" t="str">
        <f ca="1">IF(ES57="","",VLOOKUP(ES57,games.a,7,FALSE))</f>
        <v/>
      </c>
      <c r="EY57" s="415" t="str">
        <f ca="1">EY56</f>
        <v/>
      </c>
      <c r="EZ57" s="416"/>
      <c r="FA57" s="417"/>
      <c r="FB57" s="365"/>
      <c r="FC57" s="366"/>
      <c r="FD57" s="373"/>
      <c r="FE57" s="333"/>
      <c r="FJ57" s="177"/>
      <c r="FK57" s="177"/>
      <c r="FL57" s="177"/>
      <c r="FM57" s="177"/>
      <c r="FO57" s="300"/>
      <c r="FP57" s="395" t="str">
        <f t="shared" ca="1" si="116"/>
        <v/>
      </c>
      <c r="FQ57" s="360" t="str">
        <f t="shared" ca="1" si="117"/>
        <v/>
      </c>
      <c r="FR57" s="360" t="str">
        <f t="shared" ca="1" si="101"/>
        <v/>
      </c>
      <c r="FS57" s="360" t="str">
        <f t="shared" ca="1" si="102"/>
        <v/>
      </c>
      <c r="FT57" s="360" t="str">
        <f t="shared" ca="1" si="103"/>
        <v/>
      </c>
      <c r="FU57" s="360" t="str">
        <f t="shared" ca="1" si="104"/>
        <v/>
      </c>
      <c r="FV57" s="360" t="str">
        <f t="shared" ca="1" si="105"/>
        <v/>
      </c>
      <c r="FW57" s="360" t="str">
        <f t="shared" ca="1" si="106"/>
        <v/>
      </c>
      <c r="FX57" s="360" t="str">
        <f t="shared" ca="1" si="107"/>
        <v/>
      </c>
      <c r="FY57" s="360" t="str">
        <f t="shared" ca="1" si="108"/>
        <v/>
      </c>
      <c r="FZ57" s="379" t="str">
        <f t="shared" ca="1" si="120"/>
        <v/>
      </c>
      <c r="GA57" s="302"/>
      <c r="GB57" s="364"/>
      <c r="GC57" s="302"/>
    </row>
    <row r="58" spans="3:185" ht="16.5" customHeight="1" x14ac:dyDescent="0.25">
      <c r="E58" s="514" t="s">
        <v>500</v>
      </c>
      <c r="F58" s="513" t="str">
        <f t="shared" ca="1" si="118"/>
        <v>–</v>
      </c>
      <c r="G58" s="513"/>
      <c r="H58" s="513"/>
      <c r="I58" s="513"/>
      <c r="J58" s="513"/>
      <c r="K58" s="513"/>
      <c r="L58" s="513"/>
      <c r="M58" s="513"/>
      <c r="V58" s="179" t="e">
        <f ca="1">VLOOKUP($G$54&amp;E57,ASZ!$BB$43:$BD$390,3,FALSE)</f>
        <v>#N/A</v>
      </c>
      <c r="X58" s="336">
        <f>Adatok!A17</f>
        <v>0</v>
      </c>
      <c r="AB58" s="337">
        <f t="shared" si="10"/>
        <v>0</v>
      </c>
      <c r="AC58" s="338">
        <f t="shared" si="11"/>
        <v>0</v>
      </c>
      <c r="AD58" s="337">
        <f t="shared" si="12"/>
        <v>0</v>
      </c>
      <c r="AE58" s="338">
        <f t="shared" si="13"/>
        <v>0</v>
      </c>
      <c r="AI58" s="232" t="s">
        <v>376</v>
      </c>
      <c r="AJ58" s="419">
        <v>1</v>
      </c>
      <c r="AK58" s="312"/>
      <c r="AM58" s="312"/>
      <c r="AN58" s="210" t="str">
        <f t="shared" ca="1" si="62"/>
        <v>–</v>
      </c>
      <c r="AO58" s="340" t="str">
        <f t="shared" si="63"/>
        <v/>
      </c>
      <c r="AP58" s="338" t="e">
        <f t="shared" ca="1" si="14"/>
        <v>#N/A</v>
      </c>
      <c r="AQ58" s="210" t="e">
        <f t="shared" ca="1" si="15"/>
        <v>#N/A</v>
      </c>
      <c r="AR58" s="312"/>
      <c r="AY58" s="341">
        <f t="shared" ca="1" si="16"/>
        <v>-999999999.97599995</v>
      </c>
      <c r="AZ58" s="377" t="str">
        <f t="shared" si="83"/>
        <v/>
      </c>
      <c r="BA58" s="343">
        <f t="shared" ca="1" si="64"/>
        <v>-999999999.97599995</v>
      </c>
      <c r="BB58" s="349">
        <v>17</v>
      </c>
      <c r="BC58" s="378">
        <f t="shared" si="65"/>
        <v>0</v>
      </c>
      <c r="BD58" s="346">
        <f t="shared" ca="1" si="66"/>
        <v>0</v>
      </c>
      <c r="BE58" s="346">
        <f t="shared" ca="1" si="17"/>
        <v>0</v>
      </c>
      <c r="BF58" s="346">
        <f t="shared" ca="1" si="18"/>
        <v>0</v>
      </c>
      <c r="BG58" s="346">
        <f t="shared" ca="1" si="19"/>
        <v>0</v>
      </c>
      <c r="BH58" s="346">
        <f t="shared" ca="1" si="20"/>
        <v>0</v>
      </c>
      <c r="BI58" s="346">
        <f t="shared" ca="1" si="21"/>
        <v>0</v>
      </c>
      <c r="BJ58" s="346">
        <f t="shared" ca="1" si="67"/>
        <v>0</v>
      </c>
      <c r="BK58" s="347">
        <f t="shared" ca="1" si="68"/>
        <v>0</v>
      </c>
      <c r="BL58" s="346">
        <f t="shared" si="22"/>
        <v>0</v>
      </c>
      <c r="BM58" s="346">
        <f t="shared" ca="1" si="23"/>
        <v>0</v>
      </c>
      <c r="BN58" s="346">
        <f t="shared" ca="1" si="69"/>
        <v>0</v>
      </c>
      <c r="BO58" s="347">
        <f t="shared" ca="1" si="24"/>
        <v>0</v>
      </c>
      <c r="BP58" s="348">
        <v>2.3999999999999987E-2</v>
      </c>
      <c r="BQ58" s="349">
        <f t="shared" ca="1" si="25"/>
        <v>0</v>
      </c>
      <c r="BS58" s="346">
        <f t="shared" ca="1" si="26"/>
        <v>0</v>
      </c>
      <c r="BT58" s="346">
        <f t="shared" ca="1" si="27"/>
        <v>0</v>
      </c>
      <c r="BU58" s="346">
        <f t="shared" ca="1" si="28"/>
        <v>0</v>
      </c>
      <c r="BV58" s="346">
        <f t="shared" ca="1" si="29"/>
        <v>0</v>
      </c>
      <c r="BW58" s="346">
        <f t="shared" ca="1" si="30"/>
        <v>0</v>
      </c>
      <c r="BX58" s="346">
        <f t="shared" ca="1" si="31"/>
        <v>0</v>
      </c>
      <c r="BZ58" s="346">
        <f t="shared" ca="1" si="32"/>
        <v>0</v>
      </c>
      <c r="CA58" s="346">
        <f t="shared" ca="1" si="33"/>
        <v>0</v>
      </c>
      <c r="CB58" s="346">
        <f t="shared" ca="1" si="34"/>
        <v>0</v>
      </c>
      <c r="CC58" s="346">
        <f t="shared" ca="1" si="35"/>
        <v>0</v>
      </c>
      <c r="CD58" s="346">
        <f t="shared" ca="1" si="36"/>
        <v>0</v>
      </c>
      <c r="CE58" s="346">
        <f t="shared" ca="1" si="37"/>
        <v>0</v>
      </c>
      <c r="CH58" s="350"/>
      <c r="CI58" s="353">
        <f t="shared" ca="1" si="70"/>
        <v>1.7000000000000001E-2</v>
      </c>
      <c r="CJ58" s="352">
        <f t="shared" ca="1" si="71"/>
        <v>0</v>
      </c>
      <c r="CK58" s="353">
        <f t="shared" ca="1" si="72"/>
        <v>0</v>
      </c>
      <c r="CL58" s="354">
        <v>17</v>
      </c>
      <c r="CM58" s="350"/>
      <c r="CN58" s="300"/>
      <c r="CO58" s="356" t="str">
        <f ca="1">IF(OR(CO41=$BM84,CO41=$BO84),$BC84,"")</f>
        <v/>
      </c>
      <c r="CP58" s="357" t="str">
        <f t="shared" ca="1" si="73"/>
        <v/>
      </c>
      <c r="CQ58" s="385"/>
      <c r="CR58" s="356" t="str">
        <f ca="1">IF(OR(CR41=$BM84,CR41=$BO84),$BC84,"")</f>
        <v/>
      </c>
      <c r="CS58" s="357" t="str">
        <f t="shared" ca="1" si="74"/>
        <v/>
      </c>
      <c r="CT58" s="385"/>
      <c r="CU58" s="356" t="str">
        <f ca="1">IF(OR(CU41=$BM84,CU41=$BO84),$BC84,"")</f>
        <v/>
      </c>
      <c r="CV58" s="357" t="str">
        <f t="shared" ca="1" si="75"/>
        <v/>
      </c>
      <c r="CW58" s="385"/>
      <c r="CX58" s="356" t="str">
        <f ca="1">IF(OR(CX41=$BM84,CX41=$BO84),$BC84,"")</f>
        <v/>
      </c>
      <c r="CY58" s="357" t="str">
        <f t="shared" ca="1" si="76"/>
        <v/>
      </c>
      <c r="CZ58" s="385"/>
      <c r="DA58" s="356" t="str">
        <f ca="1">IF(OR(DA41=$BM84,DA41=$BO84),$BC84,"")</f>
        <v/>
      </c>
      <c r="DB58" s="357" t="str">
        <f t="shared" ca="1" si="77"/>
        <v/>
      </c>
      <c r="DC58" s="385"/>
      <c r="DD58" s="356" t="str">
        <f ca="1">IF(OR(DD41=$BM84,DD41=$BO84),$BC84,"")</f>
        <v/>
      </c>
      <c r="DE58" s="357" t="str">
        <f t="shared" ca="1" si="78"/>
        <v/>
      </c>
      <c r="DF58" s="385"/>
      <c r="DG58" s="350"/>
      <c r="DH58" s="300"/>
      <c r="DI58" s="395" t="str">
        <f t="shared" ca="1" si="109"/>
        <v/>
      </c>
      <c r="DJ58" s="360" t="str">
        <f t="shared" ca="1" si="110"/>
        <v/>
      </c>
      <c r="DK58" s="360" t="str">
        <f t="shared" ca="1" si="89"/>
        <v/>
      </c>
      <c r="DL58" s="354" t="str">
        <f t="shared" ca="1" si="90"/>
        <v/>
      </c>
      <c r="DM58" s="354" t="str">
        <f t="shared" ca="1" si="91"/>
        <v/>
      </c>
      <c r="DN58" s="361" t="str">
        <f t="shared" ca="1" si="92"/>
        <v/>
      </c>
      <c r="DO58" s="362" t="str">
        <f t="shared" ca="1" si="93"/>
        <v/>
      </c>
      <c r="DP58" s="379" t="str">
        <f t="shared" ca="1" si="119"/>
        <v>Bakafogó-Honvéd-Sashegy SE</v>
      </c>
      <c r="DQ58" s="302"/>
      <c r="DR58" s="364"/>
      <c r="DS58" s="302"/>
      <c r="DU58" s="365"/>
      <c r="DV58" s="366" t="str">
        <f ca="1">IF(OR(NOT($AJ$44),AND(DI41,DV47="")),DI47,"")</f>
        <v/>
      </c>
      <c r="DW58" s="365"/>
      <c r="DX58" s="366">
        <f t="shared" ca="1" si="94"/>
        <v>0</v>
      </c>
      <c r="DY58" s="366">
        <f t="shared" ca="1" si="95"/>
        <v>0</v>
      </c>
      <c r="DZ58" s="366">
        <f t="shared" ca="1" si="96"/>
        <v>0</v>
      </c>
      <c r="EA58" s="366">
        <f t="shared" ca="1" si="97"/>
        <v>0</v>
      </c>
      <c r="EB58" s="366">
        <f t="shared" ca="1" si="111"/>
        <v>0</v>
      </c>
      <c r="EC58" s="366">
        <f t="shared" ca="1" si="112"/>
        <v>0</v>
      </c>
      <c r="ED58" s="366">
        <f t="shared" ca="1" si="98"/>
        <v>0</v>
      </c>
      <c r="EE58" s="396">
        <f t="shared" ca="1" si="113"/>
        <v>0</v>
      </c>
      <c r="EF58" s="366">
        <f t="shared" ca="1" si="99"/>
        <v>0</v>
      </c>
      <c r="EG58" s="366">
        <f t="shared" ca="1" si="100"/>
        <v>0</v>
      </c>
      <c r="EH58" s="366">
        <f t="shared" ca="1" si="114"/>
        <v>0</v>
      </c>
      <c r="EI58" s="366">
        <f t="shared" ca="1" si="115"/>
        <v>0</v>
      </c>
      <c r="EJ58" s="366">
        <f ca="1">IF(EI58=0,0,RANK(EI58,EI53:EI62,1))</f>
        <v>0</v>
      </c>
      <c r="EK58" s="366">
        <f t="shared" ca="1" si="81"/>
        <v>0</v>
      </c>
      <c r="EL58" s="365"/>
      <c r="EO58" s="365"/>
      <c r="EP58" s="365"/>
      <c r="EQ58" s="365"/>
      <c r="ER58" s="404" t="str">
        <f ca="1">IF(EU46="","",VLOOKUP(EU46,yyy.aa1.10,4,FALSE))</f>
        <v/>
      </c>
      <c r="ES58" s="371" t="str">
        <f ca="1">IF(OR(ER58="",EY58="",ER58=EY58),"",CONCATENATE(ER58,EY58))</f>
        <v/>
      </c>
      <c r="ET58" s="405" t="str">
        <f ca="1">IF(OR(ES58="",EY53&gt;2),"",CONCATENATE(VLOOKUP(ES58,games.a,9,FALSE),VLOOKUP(ES58,games.a,12,FALSE)))</f>
        <v/>
      </c>
      <c r="EU58" s="420"/>
      <c r="EV58" s="421"/>
      <c r="EW58" s="408" t="str">
        <f ca="1">IF(ES58="","",VLOOKUP(ES58,games.a,6,FALSE))</f>
        <v/>
      </c>
      <c r="EX58" s="409" t="str">
        <f ca="1">IF(ES58="","",VLOOKUP(ES58,games.a,7,FALSE))</f>
        <v/>
      </c>
      <c r="EY58" s="415" t="str">
        <f ca="1">EY57</f>
        <v/>
      </c>
      <c r="EZ58" s="416"/>
      <c r="FA58" s="417"/>
      <c r="FB58" s="365"/>
      <c r="FC58" s="366"/>
      <c r="FD58" s="373"/>
      <c r="FE58" s="333"/>
      <c r="FG58" s="376"/>
      <c r="FH58" s="376"/>
      <c r="FI58" s="382" t="str">
        <f>CONCATENATE("rank.a",FH58)</f>
        <v>rank.a</v>
      </c>
      <c r="FJ58" s="383" t="b">
        <f t="shared" ref="FJ58:FJ67" ca="1" si="121">AND($FK$56,FG58&lt;&gt;"",FH58&lt;&gt;"",IF(FH58=2,$AJ$75,$AJ$69))</f>
        <v>0</v>
      </c>
      <c r="FK58" s="384" t="str">
        <f ca="1">IF(NOT(FJ58),"",VLOOKUP(FG58,INDIRECT(FI58),2,FALSE))</f>
        <v/>
      </c>
      <c r="FL58" s="177"/>
      <c r="FM58" s="177"/>
      <c r="FO58" s="300"/>
      <c r="FP58" s="395" t="str">
        <f t="shared" ca="1" si="116"/>
        <v/>
      </c>
      <c r="FQ58" s="360" t="str">
        <f t="shared" ca="1" si="117"/>
        <v/>
      </c>
      <c r="FR58" s="360" t="str">
        <f t="shared" ca="1" si="101"/>
        <v/>
      </c>
      <c r="FS58" s="360" t="str">
        <f t="shared" ca="1" si="102"/>
        <v/>
      </c>
      <c r="FT58" s="360" t="str">
        <f t="shared" ca="1" si="103"/>
        <v/>
      </c>
      <c r="FU58" s="360" t="str">
        <f t="shared" ca="1" si="104"/>
        <v/>
      </c>
      <c r="FV58" s="360" t="str">
        <f t="shared" ca="1" si="105"/>
        <v/>
      </c>
      <c r="FW58" s="360" t="str">
        <f t="shared" ca="1" si="106"/>
        <v/>
      </c>
      <c r="FX58" s="360" t="str">
        <f t="shared" ca="1" si="107"/>
        <v/>
      </c>
      <c r="FY58" s="360" t="str">
        <f t="shared" ca="1" si="108"/>
        <v/>
      </c>
      <c r="FZ58" s="379" t="str">
        <f t="shared" ca="1" si="120"/>
        <v/>
      </c>
      <c r="GA58" s="302"/>
      <c r="GB58" s="364"/>
      <c r="GC58" s="302"/>
    </row>
    <row r="59" spans="3:185" ht="16.5" customHeight="1" x14ac:dyDescent="0.25">
      <c r="E59" s="514" t="s">
        <v>501</v>
      </c>
      <c r="F59" s="513" t="str">
        <f t="shared" ca="1" si="118"/>
        <v>–</v>
      </c>
      <c r="G59" s="513"/>
      <c r="H59" s="513"/>
      <c r="I59" s="513"/>
      <c r="J59" s="513"/>
      <c r="K59" s="513"/>
      <c r="L59" s="513"/>
      <c r="M59" s="513"/>
      <c r="O59" s="506" t="s">
        <v>450</v>
      </c>
      <c r="P59" s="851" t="s">
        <v>451</v>
      </c>
      <c r="Q59" s="852"/>
      <c r="R59" s="852"/>
      <c r="V59" s="179" t="e">
        <f ca="1">VLOOKUP($G$54&amp;E58,ASZ!$BB$43:$BD$390,3,FALSE)</f>
        <v>#N/A</v>
      </c>
      <c r="X59" s="336">
        <f>Adatok!A18</f>
        <v>0</v>
      </c>
      <c r="AB59" s="337">
        <f t="shared" si="10"/>
        <v>0</v>
      </c>
      <c r="AC59" s="338">
        <f t="shared" si="11"/>
        <v>0</v>
      </c>
      <c r="AD59" s="337">
        <f t="shared" si="12"/>
        <v>0</v>
      </c>
      <c r="AE59" s="338">
        <f t="shared" si="13"/>
        <v>0</v>
      </c>
      <c r="AI59" s="232" t="s">
        <v>376</v>
      </c>
      <c r="AJ59" s="419" t="str">
        <f>IF($AJ$58=1,"table.av","table.ad.av")</f>
        <v>table.av</v>
      </c>
      <c r="AK59" s="312"/>
      <c r="AM59" s="312"/>
      <c r="AN59" s="210" t="str">
        <f t="shared" ca="1" si="62"/>
        <v>–</v>
      </c>
      <c r="AO59" s="340" t="str">
        <f t="shared" si="63"/>
        <v/>
      </c>
      <c r="AP59" s="338" t="e">
        <f t="shared" ca="1" si="14"/>
        <v>#N/A</v>
      </c>
      <c r="AQ59" s="210" t="e">
        <f t="shared" ca="1" si="15"/>
        <v>#N/A</v>
      </c>
      <c r="AR59" s="312"/>
      <c r="AY59" s="341">
        <f t="shared" ca="1" si="16"/>
        <v>-999999999.977</v>
      </c>
      <c r="AZ59" s="377" t="str">
        <f t="shared" si="83"/>
        <v/>
      </c>
      <c r="BA59" s="343">
        <f t="shared" ca="1" si="64"/>
        <v>-999999999.977</v>
      </c>
      <c r="BB59" s="349">
        <v>18</v>
      </c>
      <c r="BC59" s="378">
        <f t="shared" si="65"/>
        <v>0</v>
      </c>
      <c r="BD59" s="346">
        <f t="shared" ca="1" si="66"/>
        <v>0</v>
      </c>
      <c r="BE59" s="346">
        <f t="shared" ca="1" si="17"/>
        <v>0</v>
      </c>
      <c r="BF59" s="346">
        <f t="shared" ca="1" si="18"/>
        <v>0</v>
      </c>
      <c r="BG59" s="346">
        <f t="shared" ca="1" si="19"/>
        <v>0</v>
      </c>
      <c r="BH59" s="346">
        <f t="shared" ca="1" si="20"/>
        <v>0</v>
      </c>
      <c r="BI59" s="346">
        <f t="shared" ca="1" si="21"/>
        <v>0</v>
      </c>
      <c r="BJ59" s="346">
        <f t="shared" ca="1" si="67"/>
        <v>0</v>
      </c>
      <c r="BK59" s="347">
        <f t="shared" ca="1" si="68"/>
        <v>0</v>
      </c>
      <c r="BL59" s="346">
        <f t="shared" si="22"/>
        <v>0</v>
      </c>
      <c r="BM59" s="346">
        <f t="shared" ca="1" si="23"/>
        <v>0</v>
      </c>
      <c r="BN59" s="346">
        <f t="shared" ca="1" si="69"/>
        <v>0</v>
      </c>
      <c r="BO59" s="347">
        <f t="shared" ca="1" si="24"/>
        <v>0</v>
      </c>
      <c r="BP59" s="348">
        <v>2.2999999999999986E-2</v>
      </c>
      <c r="BQ59" s="349">
        <f t="shared" ca="1" si="25"/>
        <v>0</v>
      </c>
      <c r="BS59" s="346">
        <f t="shared" ca="1" si="26"/>
        <v>0</v>
      </c>
      <c r="BT59" s="346">
        <f t="shared" ca="1" si="27"/>
        <v>0</v>
      </c>
      <c r="BU59" s="346">
        <f t="shared" ca="1" si="28"/>
        <v>0</v>
      </c>
      <c r="BV59" s="346">
        <f t="shared" ca="1" si="29"/>
        <v>0</v>
      </c>
      <c r="BW59" s="346">
        <f t="shared" ca="1" si="30"/>
        <v>0</v>
      </c>
      <c r="BX59" s="346">
        <f t="shared" ca="1" si="31"/>
        <v>0</v>
      </c>
      <c r="BZ59" s="346">
        <f t="shared" ca="1" si="32"/>
        <v>0</v>
      </c>
      <c r="CA59" s="346">
        <f t="shared" ca="1" si="33"/>
        <v>0</v>
      </c>
      <c r="CB59" s="346">
        <f t="shared" ca="1" si="34"/>
        <v>0</v>
      </c>
      <c r="CC59" s="346">
        <f t="shared" ca="1" si="35"/>
        <v>0</v>
      </c>
      <c r="CD59" s="346">
        <f t="shared" ca="1" si="36"/>
        <v>0</v>
      </c>
      <c r="CE59" s="346">
        <f t="shared" ca="1" si="37"/>
        <v>0</v>
      </c>
      <c r="CH59" s="350"/>
      <c r="CI59" s="353">
        <f t="shared" ca="1" si="70"/>
        <v>1.7999999999999999E-2</v>
      </c>
      <c r="CJ59" s="352">
        <f t="shared" ca="1" si="71"/>
        <v>0</v>
      </c>
      <c r="CK59" s="353">
        <f t="shared" ca="1" si="72"/>
        <v>0</v>
      </c>
      <c r="CL59" s="354">
        <v>18</v>
      </c>
      <c r="CM59" s="350"/>
      <c r="CN59" s="300"/>
      <c r="CO59" s="356" t="str">
        <f ca="1">IF(OR(CO41=$BM85,CO41=$BO85),$BC85,"")</f>
        <v/>
      </c>
      <c r="CP59" s="357" t="str">
        <f t="shared" ca="1" si="73"/>
        <v/>
      </c>
      <c r="CQ59" s="385"/>
      <c r="CR59" s="356" t="str">
        <f ca="1">IF(OR(CR41=$BM85,CR41=$BO85),$BC85,"")</f>
        <v/>
      </c>
      <c r="CS59" s="357" t="str">
        <f t="shared" ca="1" si="74"/>
        <v/>
      </c>
      <c r="CT59" s="385"/>
      <c r="CU59" s="356" t="str">
        <f ca="1">IF(OR(CU41=$BM85,CU41=$BO85),$BC85,"")</f>
        <v/>
      </c>
      <c r="CV59" s="357" t="str">
        <f t="shared" ca="1" si="75"/>
        <v/>
      </c>
      <c r="CW59" s="385"/>
      <c r="CX59" s="356" t="str">
        <f ca="1">IF(OR(CX41=$BM85,CX41=$BO85),$BC85,"")</f>
        <v/>
      </c>
      <c r="CY59" s="357" t="str">
        <f t="shared" ca="1" si="76"/>
        <v/>
      </c>
      <c r="CZ59" s="385"/>
      <c r="DA59" s="356" t="str">
        <f ca="1">IF(OR(DA41=$BM85,DA41=$BO85),$BC85,"")</f>
        <v/>
      </c>
      <c r="DB59" s="357" t="str">
        <f t="shared" ca="1" si="77"/>
        <v/>
      </c>
      <c r="DC59" s="385"/>
      <c r="DD59" s="356" t="str">
        <f ca="1">IF(OR(DD41=$BM85,DD41=$BO85),$BC85,"")</f>
        <v/>
      </c>
      <c r="DE59" s="357" t="str">
        <f t="shared" ca="1" si="78"/>
        <v/>
      </c>
      <c r="DF59" s="385"/>
      <c r="DG59" s="350"/>
      <c r="DH59" s="300"/>
      <c r="DI59" s="395" t="str">
        <f t="shared" ca="1" si="109"/>
        <v/>
      </c>
      <c r="DJ59" s="360" t="str">
        <f t="shared" ca="1" si="110"/>
        <v/>
      </c>
      <c r="DK59" s="360" t="str">
        <f t="shared" ca="1" si="89"/>
        <v/>
      </c>
      <c r="DL59" s="354" t="str">
        <f t="shared" ca="1" si="90"/>
        <v/>
      </c>
      <c r="DM59" s="354" t="str">
        <f t="shared" ca="1" si="91"/>
        <v/>
      </c>
      <c r="DN59" s="361" t="str">
        <f t="shared" ca="1" si="92"/>
        <v/>
      </c>
      <c r="DO59" s="362" t="str">
        <f t="shared" ca="1" si="93"/>
        <v/>
      </c>
      <c r="DP59" s="379" t="str">
        <f t="shared" ca="1" si="119"/>
        <v>Bakafogó-Honvéd-Sashegy SE</v>
      </c>
      <c r="DQ59" s="302"/>
      <c r="DR59" s="364"/>
      <c r="DS59" s="302"/>
      <c r="DU59" s="365"/>
      <c r="DV59" s="366" t="str">
        <f ca="1">IF(OR(NOT($AJ$44),AND(DI41,DV48="")),DI48,"")</f>
        <v/>
      </c>
      <c r="DW59" s="365"/>
      <c r="DX59" s="366">
        <f t="shared" ca="1" si="94"/>
        <v>0</v>
      </c>
      <c r="DY59" s="366">
        <f t="shared" ca="1" si="95"/>
        <v>0</v>
      </c>
      <c r="DZ59" s="366">
        <f t="shared" ca="1" si="96"/>
        <v>0</v>
      </c>
      <c r="EA59" s="366">
        <f t="shared" ca="1" si="97"/>
        <v>0</v>
      </c>
      <c r="EB59" s="366">
        <f t="shared" ca="1" si="111"/>
        <v>0</v>
      </c>
      <c r="EC59" s="366">
        <f t="shared" ca="1" si="112"/>
        <v>0</v>
      </c>
      <c r="ED59" s="366">
        <f t="shared" ca="1" si="98"/>
        <v>0</v>
      </c>
      <c r="EE59" s="396">
        <f t="shared" ca="1" si="113"/>
        <v>0</v>
      </c>
      <c r="EF59" s="366">
        <f t="shared" ca="1" si="99"/>
        <v>0</v>
      </c>
      <c r="EG59" s="366">
        <f t="shared" ca="1" si="100"/>
        <v>0</v>
      </c>
      <c r="EH59" s="366">
        <f t="shared" ca="1" si="114"/>
        <v>0</v>
      </c>
      <c r="EI59" s="366">
        <f t="shared" ca="1" si="115"/>
        <v>0</v>
      </c>
      <c r="EJ59" s="366">
        <f ca="1">IF(EI59=0,0,RANK(EI59,EI53:EI62,1))</f>
        <v>0</v>
      </c>
      <c r="EK59" s="366">
        <f t="shared" ca="1" si="81"/>
        <v>0</v>
      </c>
      <c r="EL59" s="365"/>
      <c r="EO59" s="365"/>
      <c r="EP59" s="365"/>
      <c r="EQ59" s="365"/>
      <c r="ER59" s="398"/>
      <c r="ES59" s="329" t="s">
        <v>157</v>
      </c>
      <c r="ET59" s="329" t="s">
        <v>158</v>
      </c>
      <c r="EU59" s="399"/>
      <c r="EV59" s="400"/>
      <c r="EW59" s="401" t="s">
        <v>160</v>
      </c>
      <c r="EX59" s="402" t="s">
        <v>135</v>
      </c>
      <c r="EY59" s="398"/>
      <c r="EZ59" s="365"/>
      <c r="FA59" s="365"/>
      <c r="FB59" s="365"/>
      <c r="FC59" s="366"/>
      <c r="FD59" s="373"/>
      <c r="FE59" s="333"/>
      <c r="FG59" s="376"/>
      <c r="FH59" s="376"/>
      <c r="FI59" s="382" t="str">
        <f t="shared" ref="FI59:FI67" si="122">CONCATENATE("rank.a",FH59)</f>
        <v>rank.a</v>
      </c>
      <c r="FJ59" s="383" t="b">
        <f t="shared" ca="1" si="121"/>
        <v>0</v>
      </c>
      <c r="FK59" s="387" t="str">
        <f t="shared" ref="FK59:FK67" ca="1" si="123">IF(NOT(FJ59),"",VLOOKUP(FG59,INDIRECT(FI59),2,FALSE))</f>
        <v/>
      </c>
      <c r="FL59" s="177"/>
      <c r="FM59" s="177"/>
      <c r="FO59" s="300"/>
      <c r="FP59" s="395" t="str">
        <f t="shared" ca="1" si="116"/>
        <v/>
      </c>
      <c r="FQ59" s="360" t="str">
        <f t="shared" ca="1" si="117"/>
        <v/>
      </c>
      <c r="FR59" s="360" t="str">
        <f t="shared" ca="1" si="101"/>
        <v/>
      </c>
      <c r="FS59" s="360" t="str">
        <f t="shared" ca="1" si="102"/>
        <v/>
      </c>
      <c r="FT59" s="360" t="str">
        <f t="shared" ca="1" si="103"/>
        <v/>
      </c>
      <c r="FU59" s="360" t="str">
        <f t="shared" ca="1" si="104"/>
        <v/>
      </c>
      <c r="FV59" s="360" t="str">
        <f t="shared" ca="1" si="105"/>
        <v/>
      </c>
      <c r="FW59" s="360" t="str">
        <f t="shared" ca="1" si="106"/>
        <v/>
      </c>
      <c r="FX59" s="360" t="str">
        <f t="shared" ca="1" si="107"/>
        <v/>
      </c>
      <c r="FY59" s="360" t="str">
        <f t="shared" ca="1" si="108"/>
        <v/>
      </c>
      <c r="FZ59" s="379" t="str">
        <f t="shared" ca="1" si="120"/>
        <v/>
      </c>
      <c r="GA59" s="302"/>
      <c r="GB59" s="364"/>
      <c r="GC59" s="302"/>
    </row>
    <row r="60" spans="3:185" ht="16.5" customHeight="1" x14ac:dyDescent="0.25">
      <c r="E60" s="514" t="s">
        <v>502</v>
      </c>
      <c r="F60" s="513" t="str">
        <f t="shared" ca="1" si="118"/>
        <v>–</v>
      </c>
      <c r="G60" s="513"/>
      <c r="H60" s="513"/>
      <c r="I60" s="513"/>
      <c r="J60" s="513"/>
      <c r="K60" s="513"/>
      <c r="L60" s="513"/>
      <c r="M60" s="513"/>
      <c r="O60" s="507"/>
      <c r="P60" s="845"/>
      <c r="Q60" s="846"/>
      <c r="R60" s="847"/>
      <c r="V60" s="179" t="e">
        <f ca="1">VLOOKUP($G$54&amp;E59,ASZ!$BB$43:$BD$390,3,FALSE)</f>
        <v>#N/A</v>
      </c>
      <c r="X60" s="336">
        <f>Adatok!A19</f>
        <v>0</v>
      </c>
      <c r="AB60" s="337">
        <f t="shared" si="10"/>
        <v>0</v>
      </c>
      <c r="AC60" s="338">
        <f t="shared" si="11"/>
        <v>0</v>
      </c>
      <c r="AD60" s="337">
        <f t="shared" si="12"/>
        <v>0</v>
      </c>
      <c r="AE60" s="338">
        <f t="shared" si="13"/>
        <v>0</v>
      </c>
      <c r="AK60" s="312"/>
      <c r="AM60" s="312"/>
      <c r="AN60" s="210" t="str">
        <f t="shared" ca="1" si="62"/>
        <v>–</v>
      </c>
      <c r="AO60" s="340" t="str">
        <f t="shared" si="63"/>
        <v/>
      </c>
      <c r="AP60" s="338" t="e">
        <f t="shared" ca="1" si="14"/>
        <v>#N/A</v>
      </c>
      <c r="AQ60" s="210" t="e">
        <f t="shared" ca="1" si="15"/>
        <v>#N/A</v>
      </c>
      <c r="AR60" s="312"/>
      <c r="AY60" s="341">
        <f t="shared" ca="1" si="16"/>
        <v>-999999999.97800004</v>
      </c>
      <c r="AZ60" s="377" t="str">
        <f t="shared" si="83"/>
        <v/>
      </c>
      <c r="BA60" s="343">
        <f t="shared" ca="1" si="64"/>
        <v>-999999999.97800004</v>
      </c>
      <c r="BB60" s="349">
        <v>19</v>
      </c>
      <c r="BC60" s="378">
        <f t="shared" si="65"/>
        <v>0</v>
      </c>
      <c r="BD60" s="346">
        <f t="shared" ca="1" si="66"/>
        <v>0</v>
      </c>
      <c r="BE60" s="346">
        <f t="shared" ca="1" si="17"/>
        <v>0</v>
      </c>
      <c r="BF60" s="346">
        <f t="shared" ca="1" si="18"/>
        <v>0</v>
      </c>
      <c r="BG60" s="346">
        <f t="shared" ca="1" si="19"/>
        <v>0</v>
      </c>
      <c r="BH60" s="346">
        <f t="shared" ca="1" si="20"/>
        <v>0</v>
      </c>
      <c r="BI60" s="346">
        <f t="shared" ca="1" si="21"/>
        <v>0</v>
      </c>
      <c r="BJ60" s="346">
        <f t="shared" ca="1" si="67"/>
        <v>0</v>
      </c>
      <c r="BK60" s="347">
        <f t="shared" ca="1" si="68"/>
        <v>0</v>
      </c>
      <c r="BL60" s="346">
        <f t="shared" si="22"/>
        <v>0</v>
      </c>
      <c r="BM60" s="346">
        <f t="shared" ca="1" si="23"/>
        <v>0</v>
      </c>
      <c r="BN60" s="346">
        <f t="shared" ca="1" si="69"/>
        <v>0</v>
      </c>
      <c r="BO60" s="347">
        <f t="shared" ca="1" si="24"/>
        <v>0</v>
      </c>
      <c r="BP60" s="348">
        <v>2.1999999999999985E-2</v>
      </c>
      <c r="BQ60" s="349">
        <f t="shared" ca="1" si="25"/>
        <v>0</v>
      </c>
      <c r="BS60" s="346">
        <f t="shared" ca="1" si="26"/>
        <v>0</v>
      </c>
      <c r="BT60" s="346">
        <f t="shared" ca="1" si="27"/>
        <v>0</v>
      </c>
      <c r="BU60" s="346">
        <f t="shared" ca="1" si="28"/>
        <v>0</v>
      </c>
      <c r="BV60" s="346">
        <f t="shared" ca="1" si="29"/>
        <v>0</v>
      </c>
      <c r="BW60" s="346">
        <f t="shared" ca="1" si="30"/>
        <v>0</v>
      </c>
      <c r="BX60" s="346">
        <f t="shared" ca="1" si="31"/>
        <v>0</v>
      </c>
      <c r="BZ60" s="346">
        <f t="shared" ca="1" si="32"/>
        <v>0</v>
      </c>
      <c r="CA60" s="346">
        <f t="shared" ca="1" si="33"/>
        <v>0</v>
      </c>
      <c r="CB60" s="346">
        <f t="shared" ca="1" si="34"/>
        <v>0</v>
      </c>
      <c r="CC60" s="346">
        <f t="shared" ca="1" si="35"/>
        <v>0</v>
      </c>
      <c r="CD60" s="346">
        <f t="shared" ca="1" si="36"/>
        <v>0</v>
      </c>
      <c r="CE60" s="346">
        <f t="shared" ca="1" si="37"/>
        <v>0</v>
      </c>
      <c r="CH60" s="350"/>
      <c r="CI60" s="353">
        <f t="shared" ca="1" si="70"/>
        <v>1.9E-2</v>
      </c>
      <c r="CJ60" s="352">
        <f t="shared" ca="1" si="71"/>
        <v>0</v>
      </c>
      <c r="CK60" s="353">
        <f t="shared" ca="1" si="72"/>
        <v>0</v>
      </c>
      <c r="CL60" s="354">
        <v>19</v>
      </c>
      <c r="CM60" s="350"/>
      <c r="CN60" s="300"/>
      <c r="CO60" s="356" t="str">
        <f ca="1">IF(OR(CO41=$BM86,CO41=$BO86),$BC86,"")</f>
        <v/>
      </c>
      <c r="CP60" s="357" t="str">
        <f t="shared" ca="1" si="73"/>
        <v/>
      </c>
      <c r="CQ60" s="385"/>
      <c r="CR60" s="356" t="str">
        <f ca="1">IF(OR(CR41=$BM86,CR41=$BO86),$BC86,"")</f>
        <v/>
      </c>
      <c r="CS60" s="357" t="str">
        <f t="shared" ca="1" si="74"/>
        <v/>
      </c>
      <c r="CT60" s="385"/>
      <c r="CU60" s="356" t="str">
        <f ca="1">IF(OR(CU41=$BM86,CU41=$BO86),$BC86,"")</f>
        <v/>
      </c>
      <c r="CV60" s="357" t="str">
        <f t="shared" ca="1" si="75"/>
        <v/>
      </c>
      <c r="CW60" s="385"/>
      <c r="CX60" s="356" t="str">
        <f ca="1">IF(OR(CX41=$BM86,CX41=$BO86),$BC86,"")</f>
        <v/>
      </c>
      <c r="CY60" s="357" t="str">
        <f t="shared" ca="1" si="76"/>
        <v/>
      </c>
      <c r="CZ60" s="385"/>
      <c r="DA60" s="356" t="str">
        <f ca="1">IF(OR(DA41=$BM86,DA41=$BO86),$BC86,"")</f>
        <v/>
      </c>
      <c r="DB60" s="357" t="str">
        <f t="shared" ca="1" si="77"/>
        <v/>
      </c>
      <c r="DC60" s="385"/>
      <c r="DD60" s="356" t="str">
        <f ca="1">IF(OR(DD41=$BM86,DD41=$BO86),$BC86,"")</f>
        <v/>
      </c>
      <c r="DE60" s="357" t="str">
        <f t="shared" ca="1" si="78"/>
        <v/>
      </c>
      <c r="DF60" s="385"/>
      <c r="DG60" s="350"/>
      <c r="DH60" s="300"/>
      <c r="DI60" s="395" t="str">
        <f t="shared" ca="1" si="109"/>
        <v/>
      </c>
      <c r="DJ60" s="360" t="str">
        <f t="shared" ca="1" si="110"/>
        <v/>
      </c>
      <c r="DK60" s="360" t="str">
        <f t="shared" ca="1" si="89"/>
        <v/>
      </c>
      <c r="DL60" s="354" t="str">
        <f t="shared" ca="1" si="90"/>
        <v/>
      </c>
      <c r="DM60" s="354" t="str">
        <f t="shared" ca="1" si="91"/>
        <v/>
      </c>
      <c r="DN60" s="361" t="str">
        <f t="shared" ca="1" si="92"/>
        <v/>
      </c>
      <c r="DO60" s="362" t="str">
        <f t="shared" ca="1" si="93"/>
        <v/>
      </c>
      <c r="DP60" s="379" t="str">
        <f t="shared" ca="1" si="119"/>
        <v>Bakafogó-Honvéd-Sashegy SE</v>
      </c>
      <c r="DQ60" s="302"/>
      <c r="DR60" s="364"/>
      <c r="DS60" s="302"/>
      <c r="DU60" s="365"/>
      <c r="DV60" s="366" t="str">
        <f ca="1">IF(OR(NOT($AJ$44),AND(DI41,DV49="")),DI49,"")</f>
        <v/>
      </c>
      <c r="DW60" s="365"/>
      <c r="DX60" s="366">
        <f t="shared" ca="1" si="94"/>
        <v>0</v>
      </c>
      <c r="DY60" s="366">
        <f t="shared" ca="1" si="95"/>
        <v>0</v>
      </c>
      <c r="DZ60" s="366">
        <f t="shared" ca="1" si="96"/>
        <v>0</v>
      </c>
      <c r="EA60" s="366">
        <f t="shared" ca="1" si="97"/>
        <v>0</v>
      </c>
      <c r="EB60" s="366">
        <f t="shared" ca="1" si="111"/>
        <v>0</v>
      </c>
      <c r="EC60" s="366">
        <f t="shared" ca="1" si="112"/>
        <v>0</v>
      </c>
      <c r="ED60" s="366">
        <f t="shared" ca="1" si="98"/>
        <v>0</v>
      </c>
      <c r="EE60" s="396">
        <f t="shared" ca="1" si="113"/>
        <v>0</v>
      </c>
      <c r="EF60" s="366">
        <f t="shared" ca="1" si="99"/>
        <v>0</v>
      </c>
      <c r="EG60" s="366">
        <f t="shared" ca="1" si="100"/>
        <v>0</v>
      </c>
      <c r="EH60" s="366">
        <f t="shared" ca="1" si="114"/>
        <v>0</v>
      </c>
      <c r="EI60" s="366">
        <f t="shared" ca="1" si="115"/>
        <v>0</v>
      </c>
      <c r="EJ60" s="366">
        <f ca="1">IF(EI60=0,0,RANK(EI60,EI53:EI62,1))</f>
        <v>0</v>
      </c>
      <c r="EK60" s="366">
        <f t="shared" ca="1" si="81"/>
        <v>0</v>
      </c>
      <c r="EL60" s="365"/>
      <c r="EO60" s="365"/>
      <c r="EP60" s="365"/>
      <c r="EQ60" s="365"/>
      <c r="ER60" s="404" t="str">
        <f ca="1">ER54</f>
        <v/>
      </c>
      <c r="ES60" s="371" t="str">
        <f ca="1">IF(OR(ER60="",EY60="",ER60=EY60),"",CONCATENATE(ER60,EY60))</f>
        <v/>
      </c>
      <c r="ET60" s="422" t="str">
        <f ca="1">IF(OR(ES60="",EY53&gt;2),"",CONCATENATE(VLOOKUP(ES60,games.a,9,FALSE),VLOOKUP(ES60,games.a,12,FALSE)))</f>
        <v/>
      </c>
      <c r="EU60" s="406"/>
      <c r="EV60" s="407"/>
      <c r="EW60" s="423" t="str">
        <f ca="1">IF(ES60="","",VLOOKUP(ES60,games.a,6,FALSE))</f>
        <v/>
      </c>
      <c r="EX60" s="409" t="str">
        <f ca="1">IF(ES60="","",VLOOKUP(ES60,games.a,7,FALSE))</f>
        <v/>
      </c>
      <c r="EY60" s="410" t="str">
        <f ca="1">ER55</f>
        <v/>
      </c>
      <c r="EZ60" s="411"/>
      <c r="FA60" s="412"/>
      <c r="FB60" s="365"/>
      <c r="FC60" s="366"/>
      <c r="FD60" s="373"/>
      <c r="FE60" s="333"/>
      <c r="FG60" s="376"/>
      <c r="FH60" s="376"/>
      <c r="FI60" s="382" t="str">
        <f t="shared" si="122"/>
        <v>rank.a</v>
      </c>
      <c r="FJ60" s="383" t="b">
        <f t="shared" ca="1" si="121"/>
        <v>0</v>
      </c>
      <c r="FK60" s="387" t="str">
        <f t="shared" ca="1" si="123"/>
        <v/>
      </c>
      <c r="FL60" s="177"/>
      <c r="FM60" s="177"/>
      <c r="FO60" s="300"/>
      <c r="FP60" s="395" t="str">
        <f t="shared" ca="1" si="116"/>
        <v/>
      </c>
      <c r="FQ60" s="360" t="str">
        <f t="shared" ca="1" si="117"/>
        <v/>
      </c>
      <c r="FR60" s="360" t="str">
        <f t="shared" ca="1" si="101"/>
        <v/>
      </c>
      <c r="FS60" s="360" t="str">
        <f t="shared" ca="1" si="102"/>
        <v/>
      </c>
      <c r="FT60" s="360" t="str">
        <f t="shared" ca="1" si="103"/>
        <v/>
      </c>
      <c r="FU60" s="360" t="str">
        <f t="shared" ca="1" si="104"/>
        <v/>
      </c>
      <c r="FV60" s="360" t="str">
        <f t="shared" ca="1" si="105"/>
        <v/>
      </c>
      <c r="FW60" s="360" t="str">
        <f t="shared" ca="1" si="106"/>
        <v/>
      </c>
      <c r="FX60" s="360" t="str">
        <f t="shared" ca="1" si="107"/>
        <v/>
      </c>
      <c r="FY60" s="360" t="str">
        <f t="shared" ca="1" si="108"/>
        <v/>
      </c>
      <c r="FZ60" s="379" t="str">
        <f t="shared" ca="1" si="120"/>
        <v/>
      </c>
      <c r="GA60" s="302"/>
      <c r="GB60" s="364"/>
      <c r="GC60" s="302"/>
    </row>
    <row r="61" spans="3:185" ht="16.5" customHeight="1" x14ac:dyDescent="0.25">
      <c r="O61" s="508"/>
      <c r="P61" s="848"/>
      <c r="Q61" s="849"/>
      <c r="R61" s="850"/>
      <c r="V61" s="179" t="e">
        <f ca="1">VLOOKUP($G$54&amp;E60,ASZ!$BB$43:$BD$390,3,FALSE)</f>
        <v>#N/A</v>
      </c>
      <c r="X61" s="336">
        <f>Adatok!A20</f>
        <v>0</v>
      </c>
      <c r="AB61" s="337">
        <f t="shared" si="10"/>
        <v>0</v>
      </c>
      <c r="AC61" s="338">
        <f t="shared" si="11"/>
        <v>0</v>
      </c>
      <c r="AD61" s="337">
        <f t="shared" si="12"/>
        <v>0</v>
      </c>
      <c r="AE61" s="338">
        <f t="shared" si="13"/>
        <v>0</v>
      </c>
      <c r="AI61" s="232" t="s">
        <v>182</v>
      </c>
      <c r="AJ61" s="389">
        <v>1</v>
      </c>
      <c r="AK61" s="312"/>
      <c r="AM61" s="312"/>
      <c r="AN61" s="210" t="str">
        <f t="shared" ca="1" si="62"/>
        <v>–</v>
      </c>
      <c r="AO61" s="340" t="str">
        <f t="shared" si="63"/>
        <v/>
      </c>
      <c r="AP61" s="338" t="e">
        <f t="shared" ca="1" si="14"/>
        <v>#N/A</v>
      </c>
      <c r="AQ61" s="210" t="e">
        <f t="shared" ca="1" si="15"/>
        <v>#N/A</v>
      </c>
      <c r="AR61" s="312"/>
      <c r="AY61" s="341">
        <f t="shared" ca="1" si="16"/>
        <v>-999999999.97899997</v>
      </c>
      <c r="AZ61" s="377" t="str">
        <f t="shared" si="83"/>
        <v/>
      </c>
      <c r="BA61" s="343">
        <f t="shared" ca="1" si="64"/>
        <v>-999999999.97899997</v>
      </c>
      <c r="BB61" s="349">
        <v>20</v>
      </c>
      <c r="BC61" s="378">
        <f t="shared" si="65"/>
        <v>0</v>
      </c>
      <c r="BD61" s="346">
        <f t="shared" ca="1" si="66"/>
        <v>0</v>
      </c>
      <c r="BE61" s="346">
        <f t="shared" ca="1" si="17"/>
        <v>0</v>
      </c>
      <c r="BF61" s="346">
        <f t="shared" ca="1" si="18"/>
        <v>0</v>
      </c>
      <c r="BG61" s="346">
        <f t="shared" ca="1" si="19"/>
        <v>0</v>
      </c>
      <c r="BH61" s="346">
        <f t="shared" ca="1" si="20"/>
        <v>0</v>
      </c>
      <c r="BI61" s="346">
        <f t="shared" ca="1" si="21"/>
        <v>0</v>
      </c>
      <c r="BJ61" s="346">
        <f t="shared" ca="1" si="67"/>
        <v>0</v>
      </c>
      <c r="BK61" s="347">
        <f t="shared" ca="1" si="68"/>
        <v>0</v>
      </c>
      <c r="BL61" s="346">
        <f t="shared" si="22"/>
        <v>0</v>
      </c>
      <c r="BM61" s="346">
        <f t="shared" ca="1" si="23"/>
        <v>0</v>
      </c>
      <c r="BN61" s="346">
        <f t="shared" ca="1" si="69"/>
        <v>0</v>
      </c>
      <c r="BO61" s="347">
        <f t="shared" ca="1" si="24"/>
        <v>0</v>
      </c>
      <c r="BP61" s="348">
        <v>2.0999999999999984E-2</v>
      </c>
      <c r="BQ61" s="349">
        <f t="shared" ca="1" si="25"/>
        <v>0</v>
      </c>
      <c r="BS61" s="346">
        <f t="shared" ca="1" si="26"/>
        <v>0</v>
      </c>
      <c r="BT61" s="346">
        <f t="shared" ca="1" si="27"/>
        <v>0</v>
      </c>
      <c r="BU61" s="346">
        <f t="shared" ca="1" si="28"/>
        <v>0</v>
      </c>
      <c r="BV61" s="346">
        <f t="shared" ca="1" si="29"/>
        <v>0</v>
      </c>
      <c r="BW61" s="346">
        <f t="shared" ca="1" si="30"/>
        <v>0</v>
      </c>
      <c r="BX61" s="346">
        <f t="shared" ca="1" si="31"/>
        <v>0</v>
      </c>
      <c r="BZ61" s="346">
        <f t="shared" ca="1" si="32"/>
        <v>0</v>
      </c>
      <c r="CA61" s="346">
        <f t="shared" ca="1" si="33"/>
        <v>0</v>
      </c>
      <c r="CB61" s="346">
        <f t="shared" ca="1" si="34"/>
        <v>0</v>
      </c>
      <c r="CC61" s="346">
        <f t="shared" ca="1" si="35"/>
        <v>0</v>
      </c>
      <c r="CD61" s="346">
        <f t="shared" ca="1" si="36"/>
        <v>0</v>
      </c>
      <c r="CE61" s="346">
        <f t="shared" ca="1" si="37"/>
        <v>0</v>
      </c>
      <c r="CH61" s="350"/>
      <c r="CI61" s="353">
        <f t="shared" ca="1" si="70"/>
        <v>0.02</v>
      </c>
      <c r="CJ61" s="352">
        <f t="shared" ca="1" si="71"/>
        <v>0</v>
      </c>
      <c r="CK61" s="353">
        <f t="shared" ca="1" si="72"/>
        <v>0</v>
      </c>
      <c r="CL61" s="354">
        <v>20</v>
      </c>
      <c r="CM61" s="350"/>
      <c r="CN61" s="300"/>
      <c r="CO61" s="356" t="str">
        <f ca="1">IF(OR(CO41=$BM87,CO41=$BO87),$BC87,"")</f>
        <v/>
      </c>
      <c r="CP61" s="357" t="str">
        <f t="shared" ca="1" si="73"/>
        <v/>
      </c>
      <c r="CQ61" s="385"/>
      <c r="CR61" s="356" t="str">
        <f ca="1">IF(OR(CR41=$BM87,CR41=$BO87),$BC87,"")</f>
        <v/>
      </c>
      <c r="CS61" s="357" t="str">
        <f t="shared" ca="1" si="74"/>
        <v/>
      </c>
      <c r="CT61" s="385"/>
      <c r="CU61" s="356" t="str">
        <f ca="1">IF(OR(CU41=$BM87,CU41=$BO87),$BC87,"")</f>
        <v/>
      </c>
      <c r="CV61" s="357" t="str">
        <f t="shared" ca="1" si="75"/>
        <v/>
      </c>
      <c r="CW61" s="385"/>
      <c r="CX61" s="356" t="str">
        <f ca="1">IF(OR(CX41=$BM87,CX41=$BO87),$BC87,"")</f>
        <v/>
      </c>
      <c r="CY61" s="357" t="str">
        <f t="shared" ca="1" si="76"/>
        <v/>
      </c>
      <c r="CZ61" s="385"/>
      <c r="DA61" s="356" t="str">
        <f ca="1">IF(OR(DA41=$BM87,DA41=$BO87),$BC87,"")</f>
        <v/>
      </c>
      <c r="DB61" s="357" t="str">
        <f t="shared" ca="1" si="77"/>
        <v/>
      </c>
      <c r="DC61" s="385"/>
      <c r="DD61" s="356" t="str">
        <f ca="1">IF(OR(DD41=$BM87,DD41=$BO87),$BC87,"")</f>
        <v/>
      </c>
      <c r="DE61" s="357" t="str">
        <f t="shared" ca="1" si="78"/>
        <v/>
      </c>
      <c r="DF61" s="385"/>
      <c r="DG61" s="350"/>
      <c r="DH61" s="300"/>
      <c r="DI61" s="395" t="str">
        <f t="shared" ca="1" si="109"/>
        <v/>
      </c>
      <c r="DJ61" s="360" t="str">
        <f t="shared" ca="1" si="110"/>
        <v/>
      </c>
      <c r="DK61" s="360" t="str">
        <f t="shared" ca="1" si="89"/>
        <v/>
      </c>
      <c r="DL61" s="354" t="str">
        <f t="shared" ca="1" si="90"/>
        <v/>
      </c>
      <c r="DM61" s="354" t="str">
        <f t="shared" ca="1" si="91"/>
        <v/>
      </c>
      <c r="DN61" s="361" t="str">
        <f t="shared" ca="1" si="92"/>
        <v/>
      </c>
      <c r="DO61" s="362" t="str">
        <f t="shared" ca="1" si="93"/>
        <v/>
      </c>
      <c r="DP61" s="379" t="str">
        <f t="shared" ca="1" si="119"/>
        <v>Bakafogó-Honvéd-Sashegy SE</v>
      </c>
      <c r="DQ61" s="302"/>
      <c r="DR61" s="364"/>
      <c r="DS61" s="302"/>
      <c r="DU61" s="365"/>
      <c r="DV61" s="366" t="str">
        <f ca="1">IF(OR(NOT($AJ$44),AND(DI41,DV50="")),DI50,"")</f>
        <v/>
      </c>
      <c r="DW61" s="365"/>
      <c r="DX61" s="366">
        <f t="shared" ca="1" si="94"/>
        <v>0</v>
      </c>
      <c r="DY61" s="366">
        <f t="shared" ca="1" si="95"/>
        <v>0</v>
      </c>
      <c r="DZ61" s="366">
        <f t="shared" ca="1" si="96"/>
        <v>0</v>
      </c>
      <c r="EA61" s="366">
        <f t="shared" ca="1" si="97"/>
        <v>0</v>
      </c>
      <c r="EB61" s="366">
        <f t="shared" ca="1" si="111"/>
        <v>0</v>
      </c>
      <c r="EC61" s="366">
        <f t="shared" ca="1" si="112"/>
        <v>0</v>
      </c>
      <c r="ED61" s="366">
        <f t="shared" ca="1" si="98"/>
        <v>0</v>
      </c>
      <c r="EE61" s="396">
        <f t="shared" ca="1" si="113"/>
        <v>0</v>
      </c>
      <c r="EF61" s="366">
        <f t="shared" ca="1" si="99"/>
        <v>0</v>
      </c>
      <c r="EG61" s="366">
        <f t="shared" ca="1" si="100"/>
        <v>0</v>
      </c>
      <c r="EH61" s="366">
        <f t="shared" ca="1" si="114"/>
        <v>0</v>
      </c>
      <c r="EI61" s="366">
        <f t="shared" ca="1" si="115"/>
        <v>0</v>
      </c>
      <c r="EJ61" s="366">
        <f ca="1">IF(EI61=0,0,RANK(EI61,EI53:EI62,1))</f>
        <v>0</v>
      </c>
      <c r="EK61" s="366">
        <f t="shared" ca="1" si="81"/>
        <v>0</v>
      </c>
      <c r="EL61" s="365"/>
      <c r="EO61" s="365"/>
      <c r="EP61" s="365"/>
      <c r="EQ61" s="365"/>
      <c r="ER61" s="404" t="str">
        <f ca="1">ER55</f>
        <v/>
      </c>
      <c r="ES61" s="371" t="str">
        <f ca="1">IF(OR(ER61="",EY61="",ER61=EY61),"",CONCATENATE(ER61,EY61))</f>
        <v/>
      </c>
      <c r="ET61" s="422" t="str">
        <f ca="1">IF(OR(ES61="",EY53&gt;2),"",CONCATENATE(VLOOKUP(ES61,games.a,9,FALSE),VLOOKUP(ES61,games.a,12,FALSE)))</f>
        <v/>
      </c>
      <c r="EU61" s="413"/>
      <c r="EV61" s="414"/>
      <c r="EW61" s="423" t="str">
        <f ca="1">IF(ES61="","",VLOOKUP(ES61,games.a,6,FALSE))</f>
        <v/>
      </c>
      <c r="EX61" s="409" t="str">
        <f ca="1">IF(ES61="","",VLOOKUP(ES61,games.a,7,FALSE))</f>
        <v/>
      </c>
      <c r="EY61" s="415" t="str">
        <f ca="1">EY60</f>
        <v/>
      </c>
      <c r="EZ61" s="416"/>
      <c r="FA61" s="417"/>
      <c r="FB61" s="365"/>
      <c r="FC61" s="366"/>
      <c r="FD61" s="373"/>
      <c r="FE61" s="333"/>
      <c r="FG61" s="376"/>
      <c r="FH61" s="376"/>
      <c r="FI61" s="382" t="str">
        <f t="shared" si="122"/>
        <v>rank.a</v>
      </c>
      <c r="FJ61" s="383" t="b">
        <f t="shared" ca="1" si="121"/>
        <v>0</v>
      </c>
      <c r="FK61" s="387" t="str">
        <f t="shared" ca="1" si="123"/>
        <v/>
      </c>
      <c r="FL61" s="177"/>
      <c r="FM61" s="177"/>
      <c r="FO61" s="300"/>
      <c r="FP61" s="395" t="str">
        <f t="shared" ca="1" si="116"/>
        <v/>
      </c>
      <c r="FQ61" s="360" t="str">
        <f t="shared" ca="1" si="117"/>
        <v/>
      </c>
      <c r="FR61" s="360" t="str">
        <f t="shared" ca="1" si="101"/>
        <v/>
      </c>
      <c r="FS61" s="360" t="str">
        <f t="shared" ca="1" si="102"/>
        <v/>
      </c>
      <c r="FT61" s="360" t="str">
        <f t="shared" ca="1" si="103"/>
        <v/>
      </c>
      <c r="FU61" s="360" t="str">
        <f t="shared" ca="1" si="104"/>
        <v/>
      </c>
      <c r="FV61" s="360" t="str">
        <f t="shared" ca="1" si="105"/>
        <v/>
      </c>
      <c r="FW61" s="360" t="str">
        <f t="shared" ca="1" si="106"/>
        <v/>
      </c>
      <c r="FX61" s="360" t="str">
        <f t="shared" ca="1" si="107"/>
        <v/>
      </c>
      <c r="FY61" s="360" t="str">
        <f t="shared" ca="1" si="108"/>
        <v/>
      </c>
      <c r="FZ61" s="379" t="str">
        <f t="shared" ca="1" si="120"/>
        <v/>
      </c>
      <c r="GA61" s="302"/>
      <c r="GB61" s="364"/>
      <c r="GC61" s="302"/>
    </row>
    <row r="62" spans="3:185" ht="16.5" customHeight="1" x14ac:dyDescent="0.25">
      <c r="O62" s="508"/>
      <c r="P62" s="848"/>
      <c r="Q62" s="849"/>
      <c r="R62" s="850"/>
      <c r="X62" s="336">
        <f>Adatok!A21</f>
        <v>0</v>
      </c>
      <c r="AB62" s="337">
        <f t="shared" si="10"/>
        <v>0</v>
      </c>
      <c r="AC62" s="338">
        <f t="shared" si="11"/>
        <v>0</v>
      </c>
      <c r="AD62" s="337">
        <f t="shared" si="12"/>
        <v>0</v>
      </c>
      <c r="AE62" s="338">
        <f t="shared" si="13"/>
        <v>0</v>
      </c>
      <c r="AI62" s="232" t="s">
        <v>183</v>
      </c>
      <c r="AJ62" s="376">
        <f>AJ61</f>
        <v>1</v>
      </c>
      <c r="AN62" s="210" t="str">
        <f t="shared" ca="1" si="62"/>
        <v>–</v>
      </c>
      <c r="AO62" s="340" t="str">
        <f t="shared" si="63"/>
        <v/>
      </c>
      <c r="AP62" s="338" t="e">
        <f t="shared" ca="1" si="14"/>
        <v>#N/A</v>
      </c>
      <c r="AQ62" s="210" t="e">
        <f t="shared" ca="1" si="15"/>
        <v>#N/A</v>
      </c>
      <c r="AY62" s="341">
        <f t="shared" ca="1" si="16"/>
        <v>-999999999.98000002</v>
      </c>
      <c r="AZ62" s="377" t="str">
        <f t="shared" si="83"/>
        <v/>
      </c>
      <c r="BA62" s="343">
        <f t="shared" ca="1" si="64"/>
        <v>-999999999.98000002</v>
      </c>
      <c r="BB62" s="349">
        <v>21</v>
      </c>
      <c r="BC62" s="378">
        <f t="shared" si="65"/>
        <v>0</v>
      </c>
      <c r="BD62" s="346">
        <f ca="1">BE62+BF62+BG62</f>
        <v>0</v>
      </c>
      <c r="BE62" s="346">
        <f t="shared" ca="1" si="17"/>
        <v>0</v>
      </c>
      <c r="BF62" s="346">
        <f t="shared" ca="1" si="18"/>
        <v>0</v>
      </c>
      <c r="BG62" s="346">
        <f t="shared" ca="1" si="19"/>
        <v>0</v>
      </c>
      <c r="BH62" s="346">
        <f t="shared" ca="1" si="20"/>
        <v>0</v>
      </c>
      <c r="BI62" s="346">
        <f t="shared" ca="1" si="21"/>
        <v>0</v>
      </c>
      <c r="BJ62" s="346">
        <f t="shared" ca="1" si="67"/>
        <v>0</v>
      </c>
      <c r="BK62" s="347">
        <f t="shared" ca="1" si="68"/>
        <v>0</v>
      </c>
      <c r="BL62" s="346">
        <f t="shared" si="22"/>
        <v>0</v>
      </c>
      <c r="BM62" s="346">
        <f t="shared" ca="1" si="23"/>
        <v>0</v>
      </c>
      <c r="BN62" s="346">
        <f t="shared" ca="1" si="69"/>
        <v>0</v>
      </c>
      <c r="BO62" s="347">
        <f t="shared" ca="1" si="24"/>
        <v>0</v>
      </c>
      <c r="BP62" s="348">
        <v>0.02</v>
      </c>
      <c r="BQ62" s="349">
        <f t="shared" ca="1" si="25"/>
        <v>0</v>
      </c>
      <c r="BS62" s="346">
        <f t="shared" ca="1" si="26"/>
        <v>0</v>
      </c>
      <c r="BT62" s="346">
        <f t="shared" ca="1" si="27"/>
        <v>0</v>
      </c>
      <c r="BU62" s="346">
        <f t="shared" ca="1" si="28"/>
        <v>0</v>
      </c>
      <c r="BV62" s="346">
        <f t="shared" ca="1" si="29"/>
        <v>0</v>
      </c>
      <c r="BW62" s="346">
        <f t="shared" ca="1" si="30"/>
        <v>0</v>
      </c>
      <c r="BX62" s="346">
        <f t="shared" ca="1" si="31"/>
        <v>0</v>
      </c>
      <c r="BZ62" s="346">
        <f t="shared" ca="1" si="32"/>
        <v>0</v>
      </c>
      <c r="CA62" s="346">
        <f t="shared" ca="1" si="33"/>
        <v>0</v>
      </c>
      <c r="CB62" s="346">
        <f t="shared" ca="1" si="34"/>
        <v>0</v>
      </c>
      <c r="CC62" s="346">
        <f t="shared" ca="1" si="35"/>
        <v>0</v>
      </c>
      <c r="CD62" s="346">
        <f t="shared" ca="1" si="36"/>
        <v>0</v>
      </c>
      <c r="CE62" s="346">
        <f t="shared" ca="1" si="37"/>
        <v>0</v>
      </c>
      <c r="CH62" s="350"/>
      <c r="CI62" s="353">
        <f t="shared" ca="1" si="70"/>
        <v>2.1000000000000001E-2</v>
      </c>
      <c r="CJ62" s="352">
        <f t="shared" ca="1" si="71"/>
        <v>0</v>
      </c>
      <c r="CK62" s="353">
        <f t="shared" ca="1" si="72"/>
        <v>0</v>
      </c>
      <c r="CL62" s="354">
        <v>21</v>
      </c>
      <c r="CM62" s="350"/>
      <c r="CO62" s="356" t="str">
        <f ca="1">IF(OR(CO41=$BM88,CO41=$BO88),$BC88,"")</f>
        <v/>
      </c>
      <c r="CP62" s="357" t="str">
        <f t="shared" ca="1" si="73"/>
        <v/>
      </c>
      <c r="CQ62" s="385"/>
      <c r="CR62" s="356" t="str">
        <f ca="1">IF(OR(CR41=$BM88,CR41=$BO88),$BC88,"")</f>
        <v/>
      </c>
      <c r="CS62" s="357" t="str">
        <f t="shared" ca="1" si="74"/>
        <v/>
      </c>
      <c r="CT62" s="385"/>
      <c r="CU62" s="356" t="str">
        <f ca="1">IF(OR(CU41=$BM88,CU41=$BO88),$BC88,"")</f>
        <v/>
      </c>
      <c r="CV62" s="357" t="str">
        <f t="shared" ca="1" si="75"/>
        <v/>
      </c>
      <c r="CW62" s="385"/>
      <c r="CX62" s="356" t="str">
        <f ca="1">IF(OR(CX41=$BM88,CX41=$BO88),$BC88,"")</f>
        <v/>
      </c>
      <c r="CY62" s="357" t="str">
        <f t="shared" ca="1" si="76"/>
        <v/>
      </c>
      <c r="CZ62" s="385"/>
      <c r="DA62" s="356" t="str">
        <f ca="1">IF(OR(DA41=$BM88,DA41=$BO88),$BC88,"")</f>
        <v/>
      </c>
      <c r="DB62" s="357" t="str">
        <f t="shared" ca="1" si="77"/>
        <v/>
      </c>
      <c r="DC62" s="385"/>
      <c r="DD62" s="356" t="str">
        <f ca="1">IF(OR(DD41=$BM88,DD41=$BO88),$BC88,"")</f>
        <v/>
      </c>
      <c r="DE62" s="357" t="str">
        <f t="shared" ca="1" si="78"/>
        <v/>
      </c>
      <c r="DF62" s="385"/>
      <c r="DG62" s="350"/>
      <c r="DH62" s="300"/>
      <c r="DI62" s="395" t="str">
        <f t="shared" ca="1" si="109"/>
        <v/>
      </c>
      <c r="DJ62" s="360" t="str">
        <f t="shared" ca="1" si="110"/>
        <v/>
      </c>
      <c r="DK62" s="360" t="str">
        <f t="shared" ca="1" si="89"/>
        <v/>
      </c>
      <c r="DL62" s="354" t="str">
        <f t="shared" ca="1" si="90"/>
        <v/>
      </c>
      <c r="DM62" s="354" t="str">
        <f t="shared" ca="1" si="91"/>
        <v/>
      </c>
      <c r="DN62" s="361" t="str">
        <f t="shared" ca="1" si="92"/>
        <v/>
      </c>
      <c r="DO62" s="362" t="str">
        <f t="shared" ca="1" si="93"/>
        <v/>
      </c>
      <c r="DP62" s="379" t="str">
        <f t="shared" ca="1" si="119"/>
        <v>Bakafogó-Honvéd-Sashegy SE</v>
      </c>
      <c r="DQ62" s="302"/>
      <c r="DR62" s="364"/>
      <c r="DS62" s="302"/>
      <c r="DU62" s="424"/>
      <c r="DV62" s="366" t="str">
        <f ca="1">IF(OR(NOT($AJ$44),AND(DI41,DV51="")),DI51,"")</f>
        <v/>
      </c>
      <c r="DW62" s="365"/>
      <c r="DX62" s="366">
        <f t="shared" ca="1" si="94"/>
        <v>0</v>
      </c>
      <c r="DY62" s="366">
        <f t="shared" ca="1" si="95"/>
        <v>0</v>
      </c>
      <c r="DZ62" s="366">
        <f t="shared" ca="1" si="96"/>
        <v>0</v>
      </c>
      <c r="EA62" s="366">
        <f t="shared" ca="1" si="97"/>
        <v>0</v>
      </c>
      <c r="EB62" s="366">
        <f t="shared" ca="1" si="111"/>
        <v>0</v>
      </c>
      <c r="EC62" s="366">
        <f t="shared" ca="1" si="112"/>
        <v>0</v>
      </c>
      <c r="ED62" s="366">
        <f t="shared" ca="1" si="98"/>
        <v>0</v>
      </c>
      <c r="EE62" s="396">
        <f t="shared" ca="1" si="113"/>
        <v>0</v>
      </c>
      <c r="EF62" s="366">
        <f t="shared" ca="1" si="99"/>
        <v>0</v>
      </c>
      <c r="EG62" s="366">
        <f t="shared" ca="1" si="100"/>
        <v>0</v>
      </c>
      <c r="EH62" s="366">
        <f t="shared" ca="1" si="114"/>
        <v>0</v>
      </c>
      <c r="EI62" s="366">
        <f t="shared" ca="1" si="115"/>
        <v>0</v>
      </c>
      <c r="EJ62" s="366">
        <f ca="1">IF(EI62=0,0,RANK(EI62,EI53:EI62,1))</f>
        <v>0</v>
      </c>
      <c r="EK62" s="366">
        <f t="shared" ca="1" si="81"/>
        <v>0</v>
      </c>
      <c r="EL62" s="365"/>
      <c r="EO62" s="424"/>
      <c r="EP62" s="424"/>
      <c r="EQ62" s="424"/>
      <c r="ER62" s="404" t="str">
        <f ca="1">ER56</f>
        <v/>
      </c>
      <c r="ES62" s="371" t="str">
        <f ca="1">IF(OR(ER62="",EY62="",ER62=EY62),"",CONCATENATE(ER62,EY62))</f>
        <v/>
      </c>
      <c r="ET62" s="422" t="str">
        <f ca="1">IF(OR(ES62="",EY53&gt;2),"",CONCATENATE(VLOOKUP(ES62,games.a,9,FALSE),VLOOKUP(ES62,games.a,12,FALSE)))</f>
        <v/>
      </c>
      <c r="EU62" s="413"/>
      <c r="EV62" s="414"/>
      <c r="EW62" s="423" t="str">
        <f ca="1">IF(ES62="","",VLOOKUP(ES62,games.a,6,FALSE))</f>
        <v/>
      </c>
      <c r="EX62" s="409" t="str">
        <f ca="1">IF(ES62="","",VLOOKUP(ES62,games.a,7,FALSE))</f>
        <v/>
      </c>
      <c r="EY62" s="415" t="str">
        <f ca="1">EY61</f>
        <v/>
      </c>
      <c r="EZ62" s="416"/>
      <c r="FA62" s="417"/>
      <c r="FB62" s="424"/>
      <c r="FC62" s="366"/>
      <c r="FD62" s="425"/>
      <c r="FE62" s="333"/>
      <c r="FG62" s="376"/>
      <c r="FH62" s="376"/>
      <c r="FI62" s="382" t="str">
        <f t="shared" si="122"/>
        <v>rank.a</v>
      </c>
      <c r="FJ62" s="383" t="b">
        <f t="shared" ca="1" si="121"/>
        <v>0</v>
      </c>
      <c r="FK62" s="387" t="str">
        <f t="shared" ca="1" si="123"/>
        <v/>
      </c>
      <c r="FL62" s="177"/>
      <c r="FM62" s="177"/>
      <c r="FO62" s="300"/>
      <c r="FP62" s="395" t="str">
        <f t="shared" ca="1" si="116"/>
        <v/>
      </c>
      <c r="FQ62" s="360" t="str">
        <f t="shared" ca="1" si="117"/>
        <v/>
      </c>
      <c r="FR62" s="360" t="str">
        <f t="shared" ca="1" si="101"/>
        <v/>
      </c>
      <c r="FS62" s="360" t="str">
        <f t="shared" ca="1" si="102"/>
        <v/>
      </c>
      <c r="FT62" s="360" t="str">
        <f t="shared" ca="1" si="103"/>
        <v/>
      </c>
      <c r="FU62" s="360" t="str">
        <f t="shared" ca="1" si="104"/>
        <v/>
      </c>
      <c r="FV62" s="360" t="str">
        <f t="shared" ca="1" si="105"/>
        <v/>
      </c>
      <c r="FW62" s="360" t="str">
        <f t="shared" ca="1" si="106"/>
        <v/>
      </c>
      <c r="FX62" s="360" t="str">
        <f t="shared" ca="1" si="107"/>
        <v/>
      </c>
      <c r="FY62" s="360" t="str">
        <f t="shared" ca="1" si="108"/>
        <v/>
      </c>
      <c r="FZ62" s="379" t="str">
        <f t="shared" ca="1" si="120"/>
        <v/>
      </c>
      <c r="GA62" s="302"/>
      <c r="GB62" s="364"/>
      <c r="GC62" s="302"/>
    </row>
    <row r="63" spans="3:185" ht="16.5" hidden="1" customHeight="1" x14ac:dyDescent="0.25">
      <c r="O63" s="508"/>
      <c r="P63" s="848"/>
      <c r="Q63" s="849"/>
      <c r="R63" s="850"/>
      <c r="X63" s="336">
        <f>Adatok!A22</f>
        <v>0</v>
      </c>
      <c r="AB63" s="337">
        <f t="shared" si="10"/>
        <v>0</v>
      </c>
      <c r="AC63" s="338">
        <f t="shared" si="11"/>
        <v>0</v>
      </c>
      <c r="AD63" s="337">
        <f t="shared" si="12"/>
        <v>0</v>
      </c>
      <c r="AE63" s="338">
        <f t="shared" si="13"/>
        <v>0</v>
      </c>
      <c r="AI63" s="232" t="s">
        <v>180</v>
      </c>
      <c r="AJ63" s="389" t="b">
        <f>P43=AJ62</f>
        <v>1</v>
      </c>
      <c r="AN63" s="210" t="str">
        <f t="shared" ca="1" si="62"/>
        <v>–</v>
      </c>
      <c r="AO63" s="340" t="str">
        <f t="shared" si="63"/>
        <v/>
      </c>
      <c r="AP63" s="338" t="e">
        <f t="shared" ca="1" si="14"/>
        <v>#N/A</v>
      </c>
      <c r="AQ63" s="210" t="e">
        <f t="shared" ca="1" si="15"/>
        <v>#N/A</v>
      </c>
      <c r="AY63" s="341">
        <f t="shared" ca="1" si="16"/>
        <v>-999999999.98099995</v>
      </c>
      <c r="AZ63" s="377" t="str">
        <f t="shared" si="83"/>
        <v/>
      </c>
      <c r="BA63" s="343">
        <f t="shared" ca="1" si="64"/>
        <v>-999999999.98099995</v>
      </c>
      <c r="BB63" s="349">
        <v>22</v>
      </c>
      <c r="BC63" s="378">
        <f t="shared" si="65"/>
        <v>0</v>
      </c>
      <c r="BD63" s="346">
        <f ca="1">BE63+BF63+BG63</f>
        <v>0</v>
      </c>
      <c r="BE63" s="346">
        <f t="shared" ca="1" si="17"/>
        <v>0</v>
      </c>
      <c r="BF63" s="346">
        <f t="shared" ca="1" si="18"/>
        <v>0</v>
      </c>
      <c r="BG63" s="346">
        <f t="shared" ca="1" si="19"/>
        <v>0</v>
      </c>
      <c r="BH63" s="346">
        <f t="shared" ca="1" si="20"/>
        <v>0</v>
      </c>
      <c r="BI63" s="346">
        <f t="shared" ca="1" si="21"/>
        <v>0</v>
      </c>
      <c r="BJ63" s="346">
        <f t="shared" ca="1" si="67"/>
        <v>0</v>
      </c>
      <c r="BK63" s="347">
        <f t="shared" ca="1" si="68"/>
        <v>0</v>
      </c>
      <c r="BL63" s="346">
        <f t="shared" si="22"/>
        <v>0</v>
      </c>
      <c r="BM63" s="346">
        <f t="shared" ca="1" si="23"/>
        <v>0</v>
      </c>
      <c r="BN63" s="346">
        <f t="shared" ca="1" si="69"/>
        <v>0</v>
      </c>
      <c r="BO63" s="347">
        <f t="shared" ca="1" si="24"/>
        <v>0</v>
      </c>
      <c r="BP63" s="348">
        <v>1.8999999999999982E-2</v>
      </c>
      <c r="BQ63" s="349">
        <f t="shared" ca="1" si="25"/>
        <v>0</v>
      </c>
      <c r="BS63" s="346">
        <f t="shared" ca="1" si="26"/>
        <v>0</v>
      </c>
      <c r="BT63" s="346">
        <f t="shared" ca="1" si="27"/>
        <v>0</v>
      </c>
      <c r="BU63" s="346">
        <f t="shared" ca="1" si="28"/>
        <v>0</v>
      </c>
      <c r="BV63" s="346">
        <f t="shared" ca="1" si="29"/>
        <v>0</v>
      </c>
      <c r="BW63" s="346">
        <f t="shared" ca="1" si="30"/>
        <v>0</v>
      </c>
      <c r="BX63" s="346">
        <f t="shared" ca="1" si="31"/>
        <v>0</v>
      </c>
      <c r="BZ63" s="346">
        <f t="shared" ca="1" si="32"/>
        <v>0</v>
      </c>
      <c r="CA63" s="346">
        <f t="shared" ca="1" si="33"/>
        <v>0</v>
      </c>
      <c r="CB63" s="346">
        <f t="shared" ca="1" si="34"/>
        <v>0</v>
      </c>
      <c r="CC63" s="346">
        <f t="shared" ca="1" si="35"/>
        <v>0</v>
      </c>
      <c r="CD63" s="346">
        <f t="shared" ca="1" si="36"/>
        <v>0</v>
      </c>
      <c r="CE63" s="346">
        <f t="shared" ca="1" si="37"/>
        <v>0</v>
      </c>
      <c r="CH63" s="350"/>
      <c r="CI63" s="353">
        <f t="shared" ca="1" si="70"/>
        <v>2.1999999999999999E-2</v>
      </c>
      <c r="CJ63" s="352">
        <f t="shared" ca="1" si="71"/>
        <v>0</v>
      </c>
      <c r="CK63" s="353">
        <f t="shared" ca="1" si="72"/>
        <v>0</v>
      </c>
      <c r="CL63" s="354">
        <v>22</v>
      </c>
      <c r="CM63" s="350"/>
      <c r="CO63" s="356" t="str">
        <f ca="1">IF(OR(CO41=$BM89,CO41=$BO89),$BC89,"")</f>
        <v/>
      </c>
      <c r="CP63" s="357" t="str">
        <f t="shared" ca="1" si="73"/>
        <v/>
      </c>
      <c r="CQ63" s="385"/>
      <c r="CR63" s="356" t="str">
        <f ca="1">IF(OR(CR41=$BM89,CR41=$BO89),$BC89,"")</f>
        <v/>
      </c>
      <c r="CS63" s="357" t="str">
        <f t="shared" ca="1" si="74"/>
        <v/>
      </c>
      <c r="CT63" s="385"/>
      <c r="CU63" s="356" t="str">
        <f ca="1">IF(OR(CU41=$BM89,CU41=$BO89),$BC89,"")</f>
        <v/>
      </c>
      <c r="CV63" s="357" t="str">
        <f t="shared" ca="1" si="75"/>
        <v/>
      </c>
      <c r="CW63" s="385"/>
      <c r="CX63" s="356" t="str">
        <f ca="1">IF(OR(CX41=$BM89,CX41=$BO89),$BC89,"")</f>
        <v/>
      </c>
      <c r="CY63" s="357" t="str">
        <f t="shared" ca="1" si="76"/>
        <v/>
      </c>
      <c r="CZ63" s="385"/>
      <c r="DA63" s="356" t="str">
        <f ca="1">IF(OR(DA41=$BM89,DA41=$BO89),$BC89,"")</f>
        <v/>
      </c>
      <c r="DB63" s="357" t="str">
        <f t="shared" ca="1" si="77"/>
        <v/>
      </c>
      <c r="DC63" s="385"/>
      <c r="DD63" s="356" t="str">
        <f ca="1">IF(OR(DD41=$BM89,DD41=$BO89),$BC89,"")</f>
        <v/>
      </c>
      <c r="DE63" s="357" t="str">
        <f t="shared" ca="1" si="78"/>
        <v/>
      </c>
      <c r="DF63" s="385"/>
      <c r="DG63" s="350"/>
      <c r="DH63" s="300"/>
      <c r="DI63" s="301"/>
      <c r="DJ63" s="324" t="s">
        <v>157</v>
      </c>
      <c r="DK63" s="324" t="s">
        <v>158</v>
      </c>
      <c r="DL63" s="325" t="s">
        <v>159</v>
      </c>
      <c r="DM63" s="325"/>
      <c r="DN63" s="326" t="s">
        <v>160</v>
      </c>
      <c r="DO63" s="325" t="s">
        <v>135</v>
      </c>
      <c r="DP63" s="302"/>
      <c r="DQ63" s="302"/>
      <c r="DR63" s="364"/>
      <c r="DS63" s="302"/>
      <c r="DU63" s="424"/>
      <c r="EL63" s="365"/>
      <c r="EO63" s="424"/>
      <c r="EP63" s="424"/>
      <c r="EQ63" s="424"/>
      <c r="ER63" s="404" t="str">
        <f ca="1">ER57</f>
        <v/>
      </c>
      <c r="ES63" s="371" t="str">
        <f ca="1">IF(OR(ER63="",EY63="",ER63=EY63),"",CONCATENATE(ER63,EY63))</f>
        <v/>
      </c>
      <c r="ET63" s="422" t="str">
        <f ca="1">IF(OR(ES63="",EY53&gt;2),"",CONCATENATE(VLOOKUP(ES63,games.a,9,FALSE),VLOOKUP(ES63,games.a,12,FALSE)))</f>
        <v/>
      </c>
      <c r="EU63" s="413"/>
      <c r="EV63" s="414"/>
      <c r="EW63" s="423" t="str">
        <f ca="1">IF(ES63="","",VLOOKUP(ES63,games.a,6,FALSE))</f>
        <v/>
      </c>
      <c r="EX63" s="409" t="str">
        <f ca="1">IF(ES63="","",VLOOKUP(ES63,games.a,7,FALSE))</f>
        <v/>
      </c>
      <c r="EY63" s="415" t="str">
        <f ca="1">EY62</f>
        <v/>
      </c>
      <c r="EZ63" s="416"/>
      <c r="FA63" s="417"/>
      <c r="FB63" s="424"/>
      <c r="FC63" s="366"/>
      <c r="FD63" s="425"/>
      <c r="FE63" s="333"/>
      <c r="FG63" s="376"/>
      <c r="FH63" s="376"/>
      <c r="FI63" s="382" t="str">
        <f t="shared" si="122"/>
        <v>rank.a</v>
      </c>
      <c r="FJ63" s="383" t="b">
        <f t="shared" ca="1" si="121"/>
        <v>0</v>
      </c>
      <c r="FK63" s="387" t="str">
        <f t="shared" ca="1" si="123"/>
        <v/>
      </c>
      <c r="FL63" s="177"/>
      <c r="FM63" s="177"/>
      <c r="FO63" s="300"/>
      <c r="FP63" s="301"/>
      <c r="FQ63" s="324" t="s">
        <v>157</v>
      </c>
      <c r="FR63" s="324" t="s">
        <v>237</v>
      </c>
      <c r="FS63" s="324" t="s">
        <v>239</v>
      </c>
      <c r="FT63" s="324" t="s">
        <v>240</v>
      </c>
      <c r="FU63" s="324" t="s">
        <v>238</v>
      </c>
      <c r="FV63" s="324" t="s">
        <v>241</v>
      </c>
      <c r="FW63" s="324" t="s">
        <v>242</v>
      </c>
      <c r="FX63" s="326" t="s">
        <v>160</v>
      </c>
      <c r="FY63" s="325" t="s">
        <v>135</v>
      </c>
      <c r="FZ63" s="302"/>
      <c r="GA63" s="302"/>
      <c r="GB63" s="364"/>
      <c r="GC63" s="302"/>
    </row>
    <row r="64" spans="3:185" ht="16.5" hidden="1" customHeight="1" x14ac:dyDescent="0.25">
      <c r="O64" s="508"/>
      <c r="P64" s="848"/>
      <c r="Q64" s="849"/>
      <c r="R64" s="850"/>
      <c r="X64" s="336">
        <f>Adatok!A23</f>
        <v>0</v>
      </c>
      <c r="AB64" s="337">
        <f t="shared" si="10"/>
        <v>0</v>
      </c>
      <c r="AC64" s="338">
        <f t="shared" si="11"/>
        <v>0</v>
      </c>
      <c r="AD64" s="337">
        <f t="shared" si="12"/>
        <v>0</v>
      </c>
      <c r="AE64" s="338">
        <f t="shared" si="13"/>
        <v>0</v>
      </c>
      <c r="AI64" s="232" t="s">
        <v>184</v>
      </c>
      <c r="AJ64" s="389">
        <f>X69</f>
        <v>20</v>
      </c>
      <c r="AN64" s="210" t="str">
        <f t="shared" ca="1" si="62"/>
        <v>–</v>
      </c>
      <c r="AO64" s="340" t="str">
        <f t="shared" si="63"/>
        <v/>
      </c>
      <c r="AP64" s="338" t="e">
        <f t="shared" ca="1" si="14"/>
        <v>#N/A</v>
      </c>
      <c r="AQ64" s="210" t="e">
        <f t="shared" ca="1" si="15"/>
        <v>#N/A</v>
      </c>
      <c r="AY64" s="341">
        <f t="shared" ca="1" si="16"/>
        <v>-999999999.98199999</v>
      </c>
      <c r="AZ64" s="377" t="str">
        <f t="shared" si="83"/>
        <v/>
      </c>
      <c r="BA64" s="343">
        <f t="shared" ca="1" si="64"/>
        <v>-999999999.98199999</v>
      </c>
      <c r="BB64" s="349">
        <v>23</v>
      </c>
      <c r="BC64" s="378">
        <f t="shared" si="65"/>
        <v>0</v>
      </c>
      <c r="BD64" s="346">
        <f ca="1">BE64+BF64+BG64</f>
        <v>0</v>
      </c>
      <c r="BE64" s="346">
        <f t="shared" ca="1" si="17"/>
        <v>0</v>
      </c>
      <c r="BF64" s="346">
        <f t="shared" ca="1" si="18"/>
        <v>0</v>
      </c>
      <c r="BG64" s="346">
        <f t="shared" ca="1" si="19"/>
        <v>0</v>
      </c>
      <c r="BH64" s="346">
        <f t="shared" ca="1" si="20"/>
        <v>0</v>
      </c>
      <c r="BI64" s="346">
        <f t="shared" ca="1" si="21"/>
        <v>0</v>
      </c>
      <c r="BJ64" s="346">
        <f t="shared" ca="1" si="67"/>
        <v>0</v>
      </c>
      <c r="BK64" s="347">
        <f t="shared" ca="1" si="68"/>
        <v>0</v>
      </c>
      <c r="BL64" s="346">
        <f t="shared" si="22"/>
        <v>0</v>
      </c>
      <c r="BM64" s="346">
        <f t="shared" ca="1" si="23"/>
        <v>0</v>
      </c>
      <c r="BN64" s="346">
        <f t="shared" ca="1" si="69"/>
        <v>0</v>
      </c>
      <c r="BO64" s="347">
        <f t="shared" ca="1" si="24"/>
        <v>0</v>
      </c>
      <c r="BP64" s="348">
        <v>1.7999999999999981E-2</v>
      </c>
      <c r="BQ64" s="349">
        <f t="shared" ca="1" si="25"/>
        <v>0</v>
      </c>
      <c r="BS64" s="346">
        <f t="shared" ca="1" si="26"/>
        <v>0</v>
      </c>
      <c r="BT64" s="346">
        <f t="shared" ca="1" si="27"/>
        <v>0</v>
      </c>
      <c r="BU64" s="346">
        <f t="shared" ca="1" si="28"/>
        <v>0</v>
      </c>
      <c r="BV64" s="346">
        <f t="shared" ca="1" si="29"/>
        <v>0</v>
      </c>
      <c r="BW64" s="346">
        <f t="shared" ca="1" si="30"/>
        <v>0</v>
      </c>
      <c r="BX64" s="346">
        <f t="shared" ca="1" si="31"/>
        <v>0</v>
      </c>
      <c r="BZ64" s="346">
        <f t="shared" ca="1" si="32"/>
        <v>0</v>
      </c>
      <c r="CA64" s="346">
        <f t="shared" ca="1" si="33"/>
        <v>0</v>
      </c>
      <c r="CB64" s="346">
        <f t="shared" ca="1" si="34"/>
        <v>0</v>
      </c>
      <c r="CC64" s="346">
        <f t="shared" ca="1" si="35"/>
        <v>0</v>
      </c>
      <c r="CD64" s="346">
        <f t="shared" ca="1" si="36"/>
        <v>0</v>
      </c>
      <c r="CE64" s="346">
        <f t="shared" ca="1" si="37"/>
        <v>0</v>
      </c>
      <c r="CH64" s="350"/>
      <c r="CI64" s="353">
        <f t="shared" ca="1" si="70"/>
        <v>2.3E-2</v>
      </c>
      <c r="CJ64" s="352">
        <f t="shared" ca="1" si="71"/>
        <v>0</v>
      </c>
      <c r="CK64" s="353">
        <f t="shared" ca="1" si="72"/>
        <v>0</v>
      </c>
      <c r="CL64" s="354">
        <v>23</v>
      </c>
      <c r="CM64" s="350"/>
      <c r="CO64" s="356" t="str">
        <f ca="1">IF(OR(CO41=$BM90,CO41=$BO90),$BC90,"")</f>
        <v/>
      </c>
      <c r="CP64" s="357" t="str">
        <f t="shared" ca="1" si="73"/>
        <v/>
      </c>
      <c r="CQ64" s="385"/>
      <c r="CR64" s="356" t="str">
        <f ca="1">IF(OR(CR41=$BM90,CR41=$BO90),$BC90,"")</f>
        <v/>
      </c>
      <c r="CS64" s="357" t="str">
        <f t="shared" ca="1" si="74"/>
        <v/>
      </c>
      <c r="CT64" s="385"/>
      <c r="CU64" s="356" t="str">
        <f ca="1">IF(OR(CU41=$BM90,CU41=$BO90),$BC90,"")</f>
        <v/>
      </c>
      <c r="CV64" s="357" t="str">
        <f t="shared" ca="1" si="75"/>
        <v/>
      </c>
      <c r="CW64" s="385"/>
      <c r="CX64" s="356" t="str">
        <f ca="1">IF(OR(CX41=$BM90,CX41=$BO90),$BC90,"")</f>
        <v/>
      </c>
      <c r="CY64" s="357" t="str">
        <f t="shared" ca="1" si="76"/>
        <v/>
      </c>
      <c r="CZ64" s="385"/>
      <c r="DA64" s="356" t="str">
        <f ca="1">IF(OR(DA41=$BM90,DA41=$BO90),$BC90,"")</f>
        <v/>
      </c>
      <c r="DB64" s="357" t="str">
        <f t="shared" ca="1" si="77"/>
        <v/>
      </c>
      <c r="DC64" s="385"/>
      <c r="DD64" s="356" t="str">
        <f ca="1">IF(OR(DD41=$BM90,DD41=$BO90),$BC90,"")</f>
        <v/>
      </c>
      <c r="DE64" s="357" t="str">
        <f t="shared" ca="1" si="78"/>
        <v/>
      </c>
      <c r="DF64" s="385"/>
      <c r="DG64" s="350"/>
      <c r="DH64" s="300"/>
      <c r="DI64" s="395" t="str">
        <f ca="1">DI53</f>
        <v>Vakana</v>
      </c>
      <c r="DJ64" s="360" t="str">
        <f ca="1">IF(OR(DI64="",DP64="",DI64=DP64),"",CONCATENATE(DI64,DP64))</f>
        <v/>
      </c>
      <c r="DK64" s="360" t="str">
        <f t="shared" ref="DK64:DK73" ca="1" si="124">IF($DJ64="","",CONCATENATE(VLOOKUP($DJ64,games.a,9,FALSE),VLOOKUP($DJ64,games.a,12,FALSE)))</f>
        <v/>
      </c>
      <c r="DL64" s="354" t="str">
        <f t="shared" ref="DL64:DL73" ca="1" si="125">IF($DJ64="","",VLOOKUP($DJ64,games.a,10,FALSE))</f>
        <v/>
      </c>
      <c r="DM64" s="354" t="str">
        <f t="shared" ref="DM64:DM73" ca="1" si="126">IF($DJ64="","",VLOOKUP($DJ64,games.a,13,FALSE))</f>
        <v/>
      </c>
      <c r="DN64" s="361" t="str">
        <f t="shared" ref="DN64:DN73" ca="1" si="127">IF($DJ64="","",VLOOKUP($DJ64,games.a,6,FALSE))</f>
        <v/>
      </c>
      <c r="DO64" s="362" t="str">
        <f t="shared" ref="DO64:DO73" ca="1" si="128">IF($DJ64="","",VLOOKUP($DJ64,games.a,7,FALSE))</f>
        <v/>
      </c>
      <c r="DP64" s="363" t="str">
        <f ca="1">DI44</f>
        <v/>
      </c>
      <c r="DQ64" s="302"/>
      <c r="DR64" s="364"/>
      <c r="DS64" s="302"/>
      <c r="DU64" s="424"/>
      <c r="EL64" s="365"/>
      <c r="EM64" s="424"/>
      <c r="EN64" s="424"/>
      <c r="EO64" s="424"/>
      <c r="EP64" s="424"/>
      <c r="EQ64" s="424"/>
      <c r="ER64" s="404" t="str">
        <f ca="1">ER58</f>
        <v/>
      </c>
      <c r="ES64" s="371" t="str">
        <f ca="1">IF(OR(ER64="",EY64="",ER64=EY64),"",CONCATENATE(ER64,EY64))</f>
        <v/>
      </c>
      <c r="ET64" s="422" t="str">
        <f ca="1">IF(OR(ES64="",EY53&gt;2),"",CONCATENATE(VLOOKUP(ES64,games.a,9,FALSE),VLOOKUP(ES64,games.a,12,FALSE)))</f>
        <v/>
      </c>
      <c r="EU64" s="420"/>
      <c r="EV64" s="421"/>
      <c r="EW64" s="423" t="str">
        <f ca="1">IF(ES64="","",VLOOKUP(ES64,games.a,6,FALSE))</f>
        <v/>
      </c>
      <c r="EX64" s="409" t="str">
        <f ca="1">IF(ES64="","",VLOOKUP(ES64,games.a,7,FALSE))</f>
        <v/>
      </c>
      <c r="EY64" s="415" t="str">
        <f ca="1">EY63</f>
        <v/>
      </c>
      <c r="EZ64" s="416"/>
      <c r="FA64" s="417"/>
      <c r="FB64" s="424"/>
      <c r="FC64" s="366"/>
      <c r="FD64" s="425"/>
      <c r="FE64" s="333"/>
      <c r="FG64" s="376"/>
      <c r="FH64" s="376"/>
      <c r="FI64" s="382" t="str">
        <f t="shared" si="122"/>
        <v>rank.a</v>
      </c>
      <c r="FJ64" s="383" t="b">
        <f t="shared" ca="1" si="121"/>
        <v>0</v>
      </c>
      <c r="FK64" s="387" t="str">
        <f t="shared" ca="1" si="123"/>
        <v/>
      </c>
      <c r="FL64" s="177"/>
      <c r="FM64" s="177"/>
      <c r="FO64" s="300"/>
      <c r="FP64" s="395" t="str">
        <f ca="1">FP53</f>
        <v/>
      </c>
      <c r="FQ64" s="360" t="str">
        <f ca="1">IF(OR(FP64="",FZ64="",FP64=FZ64),"",CONCATENATE(FP64,FZ64))</f>
        <v/>
      </c>
      <c r="FR64" s="360" t="str">
        <f t="shared" ref="FR64:FR73" ca="1" si="129">IF($FQ64="","",VLOOKUP($FQ64,games.a,9,FALSE))</f>
        <v/>
      </c>
      <c r="FS64" s="360" t="str">
        <f t="shared" ref="FS64:FS73" ca="1" si="130">IF($FQ64="","",VLOOKUP($FQ64,games.a,10,FALSE))</f>
        <v/>
      </c>
      <c r="FT64" s="360" t="str">
        <f t="shared" ref="FT64:FT73" ca="1" si="131">IF($FQ64="","",VLOOKUP($FQ64,games.a,11,FALSE))</f>
        <v/>
      </c>
      <c r="FU64" s="360" t="str">
        <f t="shared" ref="FU64:FU73" ca="1" si="132">IF($FQ64="","",VLOOKUP($FQ64,games.a,12,FALSE))</f>
        <v/>
      </c>
      <c r="FV64" s="360" t="str">
        <f t="shared" ref="FV64:FV73" ca="1" si="133">IF($FQ64="","",VLOOKUP($FQ64,games.a,13,FALSE))</f>
        <v/>
      </c>
      <c r="FW64" s="360" t="str">
        <f t="shared" ref="FW64:FW73" ca="1" si="134">IF($FQ64="","",VLOOKUP($FQ64,games.a,14,FALSE))</f>
        <v/>
      </c>
      <c r="FX64" s="360" t="str">
        <f t="shared" ref="FX64:FX73" ca="1" si="135">IF($FQ64="","",VLOOKUP($FQ64,games.a,6,FALSE))</f>
        <v/>
      </c>
      <c r="FY64" s="360" t="str">
        <f t="shared" ref="FY64:FY73" ca="1" si="136">IF($FQ64="","",VLOOKUP($FQ64,games.a,7,FALSE))</f>
        <v/>
      </c>
      <c r="FZ64" s="363" t="str">
        <f ca="1">FP44</f>
        <v/>
      </c>
      <c r="GA64" s="302"/>
      <c r="GB64" s="364"/>
      <c r="GC64" s="302"/>
    </row>
    <row r="65" spans="15:185" ht="16.5" hidden="1" customHeight="1" x14ac:dyDescent="0.25">
      <c r="O65" s="508"/>
      <c r="P65" s="848"/>
      <c r="Q65" s="849"/>
      <c r="R65" s="850"/>
      <c r="W65" s="426"/>
      <c r="X65" s="336">
        <f>Adatok!A24</f>
        <v>0</v>
      </c>
      <c r="AB65" s="337">
        <f t="shared" si="10"/>
        <v>0</v>
      </c>
      <c r="AC65" s="338">
        <f t="shared" si="11"/>
        <v>0</v>
      </c>
      <c r="AD65" s="337">
        <f t="shared" si="12"/>
        <v>0</v>
      </c>
      <c r="AE65" s="338">
        <f t="shared" si="13"/>
        <v>0</v>
      </c>
      <c r="AI65" s="232" t="s">
        <v>185</v>
      </c>
      <c r="AJ65" s="376">
        <v>22</v>
      </c>
      <c r="AN65" s="210" t="str">
        <f t="shared" ca="1" si="62"/>
        <v>–</v>
      </c>
      <c r="AO65" s="340" t="str">
        <f t="shared" si="63"/>
        <v/>
      </c>
      <c r="AP65" s="338" t="e">
        <f t="shared" ca="1" si="14"/>
        <v>#N/A</v>
      </c>
      <c r="AQ65" s="210" t="e">
        <f t="shared" ca="1" si="15"/>
        <v>#N/A</v>
      </c>
      <c r="AY65" s="341">
        <f t="shared" ca="1" si="16"/>
        <v>-999999999.98300004</v>
      </c>
      <c r="AZ65" s="377" t="str">
        <f t="shared" si="83"/>
        <v/>
      </c>
      <c r="BA65" s="343">
        <f t="shared" ca="1" si="64"/>
        <v>-999999999.98300004</v>
      </c>
      <c r="BB65" s="349">
        <v>24</v>
      </c>
      <c r="BC65" s="378">
        <f t="shared" si="65"/>
        <v>0</v>
      </c>
      <c r="BD65" s="346">
        <f ca="1">BE65+BF65+BG65</f>
        <v>0</v>
      </c>
      <c r="BE65" s="346">
        <f t="shared" ca="1" si="17"/>
        <v>0</v>
      </c>
      <c r="BF65" s="346">
        <f t="shared" ca="1" si="18"/>
        <v>0</v>
      </c>
      <c r="BG65" s="346">
        <f t="shared" ca="1" si="19"/>
        <v>0</v>
      </c>
      <c r="BH65" s="346">
        <f t="shared" ca="1" si="20"/>
        <v>0</v>
      </c>
      <c r="BI65" s="346">
        <f t="shared" ca="1" si="21"/>
        <v>0</v>
      </c>
      <c r="BJ65" s="346">
        <f t="shared" ca="1" si="67"/>
        <v>0</v>
      </c>
      <c r="BK65" s="347">
        <f t="shared" ca="1" si="68"/>
        <v>0</v>
      </c>
      <c r="BL65" s="346">
        <f t="shared" si="22"/>
        <v>0</v>
      </c>
      <c r="BM65" s="346">
        <f t="shared" ca="1" si="23"/>
        <v>0</v>
      </c>
      <c r="BN65" s="346">
        <f t="shared" ca="1" si="69"/>
        <v>0</v>
      </c>
      <c r="BO65" s="347">
        <f t="shared" ca="1" si="24"/>
        <v>0</v>
      </c>
      <c r="BP65" s="348">
        <v>1.699999999999998E-2</v>
      </c>
      <c r="BQ65" s="349">
        <f t="shared" ca="1" si="25"/>
        <v>0</v>
      </c>
      <c r="BS65" s="346">
        <f t="shared" ca="1" si="26"/>
        <v>0</v>
      </c>
      <c r="BT65" s="346">
        <f t="shared" ca="1" si="27"/>
        <v>0</v>
      </c>
      <c r="BU65" s="346">
        <f t="shared" ca="1" si="28"/>
        <v>0</v>
      </c>
      <c r="BV65" s="346">
        <f t="shared" ca="1" si="29"/>
        <v>0</v>
      </c>
      <c r="BW65" s="346">
        <f t="shared" ca="1" si="30"/>
        <v>0</v>
      </c>
      <c r="BX65" s="346">
        <f t="shared" ca="1" si="31"/>
        <v>0</v>
      </c>
      <c r="BZ65" s="346">
        <f t="shared" ca="1" si="32"/>
        <v>0</v>
      </c>
      <c r="CA65" s="346">
        <f t="shared" ca="1" si="33"/>
        <v>0</v>
      </c>
      <c r="CB65" s="346">
        <f t="shared" ca="1" si="34"/>
        <v>0</v>
      </c>
      <c r="CC65" s="346">
        <f t="shared" ca="1" si="35"/>
        <v>0</v>
      </c>
      <c r="CD65" s="346">
        <f t="shared" ca="1" si="36"/>
        <v>0</v>
      </c>
      <c r="CE65" s="346">
        <f t="shared" ca="1" si="37"/>
        <v>0</v>
      </c>
      <c r="CH65" s="350"/>
      <c r="CI65" s="353">
        <f t="shared" ca="1" si="70"/>
        <v>2.4E-2</v>
      </c>
      <c r="CJ65" s="352">
        <f t="shared" ca="1" si="71"/>
        <v>0</v>
      </c>
      <c r="CK65" s="353">
        <f t="shared" ca="1" si="72"/>
        <v>0</v>
      </c>
      <c r="CL65" s="354">
        <v>24</v>
      </c>
      <c r="CM65" s="350"/>
      <c r="CO65" s="356" t="str">
        <f ca="1">IF(OR(CO41=$BM91,CO41=$BO91),$BC91,"")</f>
        <v/>
      </c>
      <c r="CP65" s="357" t="str">
        <f t="shared" ca="1" si="73"/>
        <v/>
      </c>
      <c r="CQ65" s="357"/>
      <c r="CR65" s="356" t="str">
        <f ca="1">IF(OR(CR41=$BM91,CR41=$BO91),$BC91,"")</f>
        <v/>
      </c>
      <c r="CS65" s="357" t="str">
        <f t="shared" ca="1" si="74"/>
        <v/>
      </c>
      <c r="CT65" s="357"/>
      <c r="CU65" s="356" t="str">
        <f ca="1">IF(OR(CU41=$BM91,CU41=$BO91),$BC91,"")</f>
        <v/>
      </c>
      <c r="CV65" s="357" t="str">
        <f t="shared" ca="1" si="75"/>
        <v/>
      </c>
      <c r="CW65" s="357"/>
      <c r="CX65" s="356" t="str">
        <f ca="1">IF(OR(CX41=$BM91,CX41=$BO91),$BC91,"")</f>
        <v/>
      </c>
      <c r="CY65" s="357" t="str">
        <f t="shared" ca="1" si="76"/>
        <v/>
      </c>
      <c r="CZ65" s="357"/>
      <c r="DA65" s="356" t="str">
        <f ca="1">IF(OR(DA41=$BM91,DA41=$BO91),$BC91,"")</f>
        <v/>
      </c>
      <c r="DB65" s="357" t="str">
        <f t="shared" ca="1" si="77"/>
        <v/>
      </c>
      <c r="DC65" s="357"/>
      <c r="DD65" s="356" t="str">
        <f ca="1">IF(OR(DD41=$BM91,DD41=$BO91),$BC91,"")</f>
        <v/>
      </c>
      <c r="DE65" s="357" t="str">
        <f t="shared" ca="1" si="78"/>
        <v/>
      </c>
      <c r="DF65" s="357"/>
      <c r="DG65" s="350"/>
      <c r="DH65" s="300"/>
      <c r="DI65" s="395" t="str">
        <f t="shared" ref="DI65:DI73" ca="1" si="137">DI54</f>
        <v>Bakafogó-Honvéd-Sashegy SE</v>
      </c>
      <c r="DJ65" s="360" t="str">
        <f t="shared" ref="DJ65:DJ73" ca="1" si="138">IF(OR(DI65="",DP65="",DI65=DP65),"",CONCATENATE(DI65,DP65))</f>
        <v/>
      </c>
      <c r="DK65" s="360" t="str">
        <f t="shared" ca="1" si="124"/>
        <v/>
      </c>
      <c r="DL65" s="354" t="str">
        <f t="shared" ca="1" si="125"/>
        <v/>
      </c>
      <c r="DM65" s="354" t="str">
        <f t="shared" ca="1" si="126"/>
        <v/>
      </c>
      <c r="DN65" s="361" t="str">
        <f t="shared" ca="1" si="127"/>
        <v/>
      </c>
      <c r="DO65" s="362" t="str">
        <f t="shared" ca="1" si="128"/>
        <v/>
      </c>
      <c r="DP65" s="379" t="str">
        <f ca="1">DP64</f>
        <v/>
      </c>
      <c r="DQ65" s="302"/>
      <c r="DR65" s="364"/>
      <c r="DS65" s="302"/>
      <c r="DU65" s="424"/>
      <c r="EL65" s="365"/>
      <c r="EM65" s="424"/>
      <c r="EN65" s="424"/>
      <c r="EO65" s="424"/>
      <c r="EP65" s="424"/>
      <c r="EQ65" s="424"/>
      <c r="ER65" s="398"/>
      <c r="ES65" s="329" t="s">
        <v>157</v>
      </c>
      <c r="ET65" s="329" t="s">
        <v>158</v>
      </c>
      <c r="EU65" s="399"/>
      <c r="EV65" s="400"/>
      <c r="EW65" s="401" t="s">
        <v>160</v>
      </c>
      <c r="EX65" s="402" t="s">
        <v>135</v>
      </c>
      <c r="EY65" s="398"/>
      <c r="EZ65" s="365"/>
      <c r="FA65" s="365"/>
      <c r="FB65" s="424"/>
      <c r="FC65" s="366"/>
      <c r="FD65" s="425"/>
      <c r="FE65" s="333"/>
      <c r="FG65" s="376"/>
      <c r="FH65" s="376"/>
      <c r="FI65" s="382" t="str">
        <f t="shared" si="122"/>
        <v>rank.a</v>
      </c>
      <c r="FJ65" s="383" t="b">
        <f t="shared" ca="1" si="121"/>
        <v>0</v>
      </c>
      <c r="FK65" s="387" t="str">
        <f t="shared" ca="1" si="123"/>
        <v/>
      </c>
      <c r="FL65" s="177"/>
      <c r="FM65" s="177"/>
      <c r="FO65" s="300"/>
      <c r="FP65" s="395" t="str">
        <f t="shared" ref="FP65:FP73" ca="1" si="139">FP54</f>
        <v/>
      </c>
      <c r="FQ65" s="360" t="str">
        <f t="shared" ref="FQ65:FQ73" ca="1" si="140">IF(OR(FP65="",FZ65="",FP65=FZ65),"",CONCATENATE(FP65,FZ65))</f>
        <v/>
      </c>
      <c r="FR65" s="360" t="str">
        <f t="shared" ca="1" si="129"/>
        <v/>
      </c>
      <c r="FS65" s="360" t="str">
        <f t="shared" ca="1" si="130"/>
        <v/>
      </c>
      <c r="FT65" s="360" t="str">
        <f t="shared" ca="1" si="131"/>
        <v/>
      </c>
      <c r="FU65" s="360" t="str">
        <f t="shared" ca="1" si="132"/>
        <v/>
      </c>
      <c r="FV65" s="360" t="str">
        <f t="shared" ca="1" si="133"/>
        <v/>
      </c>
      <c r="FW65" s="360" t="str">
        <f t="shared" ca="1" si="134"/>
        <v/>
      </c>
      <c r="FX65" s="360" t="str">
        <f t="shared" ca="1" si="135"/>
        <v/>
      </c>
      <c r="FY65" s="360" t="str">
        <f t="shared" ca="1" si="136"/>
        <v/>
      </c>
      <c r="FZ65" s="379" t="str">
        <f ca="1">FZ64</f>
        <v/>
      </c>
      <c r="GA65" s="302"/>
      <c r="GB65" s="364"/>
      <c r="GC65" s="302"/>
    </row>
    <row r="66" spans="15:185" ht="16.5" hidden="1" customHeight="1" x14ac:dyDescent="0.25">
      <c r="O66" s="508"/>
      <c r="P66" s="848"/>
      <c r="Q66" s="849"/>
      <c r="R66" s="850"/>
      <c r="W66" s="232" t="s">
        <v>165</v>
      </c>
      <c r="X66" s="339">
        <f>24-COUNTIF(X42:X65,0)</f>
        <v>11</v>
      </c>
      <c r="AI66" s="232" t="s">
        <v>186</v>
      </c>
      <c r="AJ66" s="389" t="b">
        <f>R43=AJ65</f>
        <v>1</v>
      </c>
      <c r="BA66" s="299"/>
      <c r="CH66" s="350"/>
      <c r="CI66" s="350"/>
      <c r="CJ66" s="350"/>
      <c r="CK66" s="350"/>
      <c r="CL66" s="350"/>
      <c r="CM66" s="350"/>
      <c r="DG66" s="350"/>
      <c r="DH66" s="300"/>
      <c r="DI66" s="395" t="str">
        <f t="shared" ca="1" si="137"/>
        <v/>
      </c>
      <c r="DJ66" s="360" t="str">
        <f t="shared" ca="1" si="138"/>
        <v/>
      </c>
      <c r="DK66" s="360" t="str">
        <f t="shared" ca="1" si="124"/>
        <v/>
      </c>
      <c r="DL66" s="354" t="str">
        <f t="shared" ca="1" si="125"/>
        <v/>
      </c>
      <c r="DM66" s="354" t="str">
        <f t="shared" ca="1" si="126"/>
        <v/>
      </c>
      <c r="DN66" s="361" t="str">
        <f t="shared" ca="1" si="127"/>
        <v/>
      </c>
      <c r="DO66" s="362" t="str">
        <f t="shared" ca="1" si="128"/>
        <v/>
      </c>
      <c r="DP66" s="379" t="str">
        <f t="shared" ref="DP66:DP73" ca="1" si="141">DP65</f>
        <v/>
      </c>
      <c r="DQ66" s="302"/>
      <c r="DR66" s="364"/>
      <c r="DS66" s="302"/>
      <c r="DU66" s="424"/>
      <c r="EL66" s="365"/>
      <c r="EM66" s="424"/>
      <c r="EN66" s="424"/>
      <c r="EO66" s="424"/>
      <c r="EP66" s="424"/>
      <c r="EQ66" s="424"/>
      <c r="ER66" s="404" t="str">
        <f ca="1">ER60</f>
        <v/>
      </c>
      <c r="ES66" s="371" t="str">
        <f ca="1">IF(OR(ER66="",EY66="",ER66=EY66),"",CONCATENATE(ER66,EY66))</f>
        <v/>
      </c>
      <c r="ET66" s="422" t="str">
        <f ca="1">IF(OR(ES66="",EY53&gt;2),"",CONCATENATE(VLOOKUP(ES66,games.a,9,FALSE),VLOOKUP(ES66,games.a,12,FALSE)))</f>
        <v/>
      </c>
      <c r="EU66" s="406"/>
      <c r="EV66" s="407"/>
      <c r="EW66" s="423" t="str">
        <f ca="1">IF(ES66="","",VLOOKUP(ES66,games.a,6,FALSE))</f>
        <v/>
      </c>
      <c r="EX66" s="409" t="str">
        <f ca="1">IF(ES66="","",VLOOKUP(ES66,games.a,7,FALSE))</f>
        <v/>
      </c>
      <c r="EY66" s="410" t="str">
        <f ca="1">ER56</f>
        <v/>
      </c>
      <c r="EZ66" s="411"/>
      <c r="FA66" s="412"/>
      <c r="FB66" s="424"/>
      <c r="FC66" s="424"/>
      <c r="FD66" s="425"/>
      <c r="FE66" s="333"/>
      <c r="FG66" s="376"/>
      <c r="FH66" s="376"/>
      <c r="FI66" s="382" t="str">
        <f t="shared" si="122"/>
        <v>rank.a</v>
      </c>
      <c r="FJ66" s="383" t="b">
        <f t="shared" ca="1" si="121"/>
        <v>0</v>
      </c>
      <c r="FK66" s="387" t="str">
        <f t="shared" ca="1" si="123"/>
        <v/>
      </c>
      <c r="FL66" s="177"/>
      <c r="FM66" s="177"/>
      <c r="FO66" s="300"/>
      <c r="FP66" s="395" t="str">
        <f t="shared" ca="1" si="139"/>
        <v/>
      </c>
      <c r="FQ66" s="360" t="str">
        <f t="shared" ca="1" si="140"/>
        <v/>
      </c>
      <c r="FR66" s="360" t="str">
        <f t="shared" ca="1" si="129"/>
        <v/>
      </c>
      <c r="FS66" s="360" t="str">
        <f t="shared" ca="1" si="130"/>
        <v/>
      </c>
      <c r="FT66" s="360" t="str">
        <f t="shared" ca="1" si="131"/>
        <v/>
      </c>
      <c r="FU66" s="360" t="str">
        <f t="shared" ca="1" si="132"/>
        <v/>
      </c>
      <c r="FV66" s="360" t="str">
        <f t="shared" ca="1" si="133"/>
        <v/>
      </c>
      <c r="FW66" s="360" t="str">
        <f t="shared" ca="1" si="134"/>
        <v/>
      </c>
      <c r="FX66" s="360" t="str">
        <f t="shared" ca="1" si="135"/>
        <v/>
      </c>
      <c r="FY66" s="360" t="str">
        <f t="shared" ca="1" si="136"/>
        <v/>
      </c>
      <c r="FZ66" s="379" t="str">
        <f t="shared" ref="FZ66:FZ73" ca="1" si="142">FZ65</f>
        <v/>
      </c>
      <c r="GA66" s="302"/>
      <c r="GB66" s="364"/>
      <c r="GC66" s="302"/>
    </row>
    <row r="67" spans="15:185" ht="16.5" hidden="1" customHeight="1" x14ac:dyDescent="0.25">
      <c r="O67" s="508"/>
      <c r="P67" s="848"/>
      <c r="Q67" s="849"/>
      <c r="R67" s="850"/>
      <c r="W67" s="429" t="s">
        <v>166</v>
      </c>
      <c r="X67" s="389">
        <f>IF(X66=0,0,(EVEN(X66)-1)*2)</f>
        <v>22</v>
      </c>
      <c r="AB67" s="337">
        <f t="shared" ref="AB67:AB76" si="143">IF(X72=0,0,BP94)</f>
        <v>0</v>
      </c>
      <c r="AC67" s="338">
        <f t="shared" ref="AC67:AC76" si="144">X72</f>
        <v>0</v>
      </c>
      <c r="AD67" s="337"/>
      <c r="AE67" s="389">
        <f>24-COUNT(AE42:AE65)</f>
        <v>11</v>
      </c>
      <c r="AI67" s="179"/>
      <c r="AJ67" s="179"/>
      <c r="AY67" s="313" t="s">
        <v>188</v>
      </c>
      <c r="AZ67" s="314"/>
      <c r="BA67" s="315"/>
      <c r="BB67" s="315"/>
      <c r="BC67" s="316" t="s">
        <v>188</v>
      </c>
      <c r="BD67" s="318" t="s">
        <v>120</v>
      </c>
      <c r="BE67" s="318" t="s">
        <v>121</v>
      </c>
      <c r="BF67" s="318" t="s">
        <v>134</v>
      </c>
      <c r="BG67" s="318" t="s">
        <v>122</v>
      </c>
      <c r="BH67" s="318" t="s">
        <v>123</v>
      </c>
      <c r="BI67" s="318" t="s">
        <v>124</v>
      </c>
      <c r="BJ67" s="318" t="s">
        <v>125</v>
      </c>
      <c r="BK67" s="318" t="s">
        <v>191</v>
      </c>
      <c r="BL67" s="318" t="s">
        <v>207</v>
      </c>
      <c r="BM67" s="318" t="s">
        <v>126</v>
      </c>
      <c r="BN67" s="318" t="s">
        <v>197</v>
      </c>
      <c r="BO67" s="318" t="s">
        <v>192</v>
      </c>
      <c r="BP67" s="318" t="s">
        <v>127</v>
      </c>
      <c r="BQ67" s="318" t="s">
        <v>208</v>
      </c>
      <c r="BS67" s="318" t="s">
        <v>196</v>
      </c>
      <c r="BT67" s="318" t="s">
        <v>121</v>
      </c>
      <c r="BU67" s="318" t="s">
        <v>134</v>
      </c>
      <c r="BV67" s="318" t="s">
        <v>122</v>
      </c>
      <c r="BW67" s="318" t="s">
        <v>123</v>
      </c>
      <c r="BX67" s="318" t="s">
        <v>124</v>
      </c>
      <c r="BZ67" s="318" t="s">
        <v>196</v>
      </c>
      <c r="CA67" s="318" t="s">
        <v>121</v>
      </c>
      <c r="CB67" s="318" t="s">
        <v>134</v>
      </c>
      <c r="CC67" s="318" t="s">
        <v>122</v>
      </c>
      <c r="CD67" s="318" t="s">
        <v>123</v>
      </c>
      <c r="CE67" s="318" t="s">
        <v>124</v>
      </c>
      <c r="CH67" s="350"/>
      <c r="CI67" s="318" t="s">
        <v>212</v>
      </c>
      <c r="CJ67" s="318" t="s">
        <v>213</v>
      </c>
      <c r="CK67" s="318" t="s">
        <v>214</v>
      </c>
      <c r="CL67" s="296"/>
      <c r="CM67" s="296"/>
      <c r="CO67" s="320" t="str">
        <f>IF(CN68=0,"xxx",VLOOKUP(CN68,CI68:CL77,IF($AJ$44,3,2),FALSE))</f>
        <v>xxx</v>
      </c>
      <c r="CP67" s="321"/>
      <c r="CQ67" s="322" t="s">
        <v>220</v>
      </c>
      <c r="CR67" s="320" t="str">
        <f>IF(CN69=0,"xxx",VLOOKUP(CN69,CI68:CL77,IF($AJ$44,3,2),FALSE))</f>
        <v>xxx</v>
      </c>
      <c r="CS67" s="321"/>
      <c r="CT67" s="322" t="s">
        <v>221</v>
      </c>
      <c r="CU67" s="320" t="str">
        <f>IF(CN70=0,"xxx",VLOOKUP(CN70,CI68:CL77,IF($AJ$44,3,2),FALSE))</f>
        <v>xxx</v>
      </c>
      <c r="CV67" s="321"/>
      <c r="CW67" s="322" t="s">
        <v>222</v>
      </c>
      <c r="DG67" s="350"/>
      <c r="DH67" s="300"/>
      <c r="DI67" s="395" t="str">
        <f t="shared" ca="1" si="137"/>
        <v/>
      </c>
      <c r="DJ67" s="360" t="str">
        <f t="shared" ca="1" si="138"/>
        <v/>
      </c>
      <c r="DK67" s="360" t="str">
        <f t="shared" ca="1" si="124"/>
        <v/>
      </c>
      <c r="DL67" s="354" t="str">
        <f t="shared" ca="1" si="125"/>
        <v/>
      </c>
      <c r="DM67" s="354" t="str">
        <f t="shared" ca="1" si="126"/>
        <v/>
      </c>
      <c r="DN67" s="361" t="str">
        <f t="shared" ca="1" si="127"/>
        <v/>
      </c>
      <c r="DO67" s="362" t="str">
        <f t="shared" ca="1" si="128"/>
        <v/>
      </c>
      <c r="DP67" s="379" t="str">
        <f t="shared" ca="1" si="141"/>
        <v/>
      </c>
      <c r="DQ67" s="302"/>
      <c r="DR67" s="364"/>
      <c r="DS67" s="302"/>
      <c r="DU67" s="424"/>
      <c r="EL67" s="424"/>
      <c r="EM67" s="424"/>
      <c r="EN67" s="424"/>
      <c r="EO67" s="424"/>
      <c r="EP67" s="424"/>
      <c r="EQ67" s="424"/>
      <c r="ER67" s="404" t="str">
        <f ca="1">ER61</f>
        <v/>
      </c>
      <c r="ES67" s="371" t="str">
        <f ca="1">IF(OR(ER67="",EY67="",ER67=EY67),"",CONCATENATE(ER67,EY67))</f>
        <v/>
      </c>
      <c r="ET67" s="422" t="str">
        <f ca="1">IF(OR(ES67="",EY53&gt;2),"",CONCATENATE(VLOOKUP(ES67,games.a,9,FALSE),VLOOKUP(ES67,games.a,12,FALSE)))</f>
        <v/>
      </c>
      <c r="EU67" s="413"/>
      <c r="EV67" s="414"/>
      <c r="EW67" s="423" t="str">
        <f ca="1">IF(ES67="","",VLOOKUP(ES67,games.a,6,FALSE))</f>
        <v/>
      </c>
      <c r="EX67" s="409" t="str">
        <f ca="1">IF(ES67="","",VLOOKUP(ES67,games.a,7,FALSE))</f>
        <v/>
      </c>
      <c r="EY67" s="415" t="str">
        <f ca="1">EY66</f>
        <v/>
      </c>
      <c r="EZ67" s="416"/>
      <c r="FA67" s="417"/>
      <c r="FB67" s="424"/>
      <c r="FC67" s="424"/>
      <c r="FD67" s="425"/>
      <c r="FE67" s="333"/>
      <c r="FG67" s="376"/>
      <c r="FH67" s="376"/>
      <c r="FI67" s="382" t="str">
        <f t="shared" si="122"/>
        <v>rank.a</v>
      </c>
      <c r="FJ67" s="383" t="b">
        <f t="shared" ca="1" si="121"/>
        <v>0</v>
      </c>
      <c r="FK67" s="387" t="str">
        <f t="shared" ca="1" si="123"/>
        <v/>
      </c>
      <c r="FL67" s="177"/>
      <c r="FM67" s="177"/>
      <c r="FO67" s="300"/>
      <c r="FP67" s="395" t="str">
        <f t="shared" ca="1" si="139"/>
        <v/>
      </c>
      <c r="FQ67" s="360" t="str">
        <f t="shared" ca="1" si="140"/>
        <v/>
      </c>
      <c r="FR67" s="360" t="str">
        <f t="shared" ca="1" si="129"/>
        <v/>
      </c>
      <c r="FS67" s="360" t="str">
        <f t="shared" ca="1" si="130"/>
        <v/>
      </c>
      <c r="FT67" s="360" t="str">
        <f t="shared" ca="1" si="131"/>
        <v/>
      </c>
      <c r="FU67" s="360" t="str">
        <f t="shared" ca="1" si="132"/>
        <v/>
      </c>
      <c r="FV67" s="360" t="str">
        <f t="shared" ca="1" si="133"/>
        <v/>
      </c>
      <c r="FW67" s="360" t="str">
        <f t="shared" ca="1" si="134"/>
        <v/>
      </c>
      <c r="FX67" s="360" t="str">
        <f t="shared" ca="1" si="135"/>
        <v/>
      </c>
      <c r="FY67" s="360" t="str">
        <f t="shared" ca="1" si="136"/>
        <v/>
      </c>
      <c r="FZ67" s="379" t="str">
        <f t="shared" ca="1" si="142"/>
        <v/>
      </c>
      <c r="GA67" s="302"/>
      <c r="GB67" s="364"/>
      <c r="GC67" s="302"/>
    </row>
    <row r="68" spans="15:185" ht="16.5" hidden="1" customHeight="1" x14ac:dyDescent="0.25">
      <c r="O68" s="508"/>
      <c r="P68" s="848"/>
      <c r="Q68" s="849"/>
      <c r="R68" s="850"/>
      <c r="W68" s="232" t="s">
        <v>167</v>
      </c>
      <c r="X68" s="376">
        <f>X66</f>
        <v>11</v>
      </c>
      <c r="AB68" s="337">
        <f t="shared" si="143"/>
        <v>0</v>
      </c>
      <c r="AC68" s="338">
        <f t="shared" si="144"/>
        <v>0</v>
      </c>
      <c r="AD68" s="337"/>
      <c r="AE68" s="363" t="str">
        <f>CONCATENATE("ASZTAB!",ADDRESS(ROW(AE42),COLUMN(AE42)),":",ADDRESS(AE67+ROW(AE42)-1,COLUMN(AE42)))</f>
        <v>ASZTAB!$AE$42:$AE$52</v>
      </c>
      <c r="AI68" s="232" t="s">
        <v>199</v>
      </c>
      <c r="AJ68" s="389" t="b">
        <f ca="1">SUM(BD42:BD65)*2/$X$68&gt;=$X$69</f>
        <v>1</v>
      </c>
      <c r="AU68" s="349">
        <v>1</v>
      </c>
      <c r="AV68" s="430" t="str">
        <f t="shared" ref="AV68:AV91" ca="1" si="145">VLOOKUP($AY68,table.aa1,3,FALSE)</f>
        <v>BBK</v>
      </c>
      <c r="AW68" s="349">
        <v>1</v>
      </c>
      <c r="AY68" s="431">
        <f ca="1">LARGE(BA$68:BA$91,BB68)</f>
        <v>52256086.038999997</v>
      </c>
      <c r="AZ68" s="377">
        <v>1</v>
      </c>
      <c r="BA68" s="343">
        <f ca="1">IF($AJ$44,BO68*100,IF($AJ$43,BM68*10,BM68))*1000000+IF($AJ$52,BE68*10000,0)+IF($AJ$44,BK68,BJ68)*1000/IF(OR($AJ$43,$AJ$52),10,1)+IF($AJ$44,0,IF($AJ$43,BH68/10,BH68))+BP68+BQ68-IF(BC68=0,1000000000,0)</f>
        <v>20376041.039999999</v>
      </c>
      <c r="BB68" s="349">
        <v>1</v>
      </c>
      <c r="BC68" s="378" t="str">
        <f>X42</f>
        <v>Bakafogó-Honvéd-Sashegy SE</v>
      </c>
      <c r="BD68" s="346">
        <f ca="1">BE68+BF68+BG68</f>
        <v>20</v>
      </c>
      <c r="BE68" s="346">
        <f ca="1">BT68+CA68</f>
        <v>6</v>
      </c>
      <c r="BF68" s="346">
        <f ca="1">BU68+CB68</f>
        <v>2</v>
      </c>
      <c r="BG68" s="346">
        <f ca="1">BV68+CC68</f>
        <v>12</v>
      </c>
      <c r="BH68" s="346">
        <f ca="1">BW68+CD68</f>
        <v>41</v>
      </c>
      <c r="BI68" s="346">
        <f ca="1">BX68+CE68</f>
        <v>65</v>
      </c>
      <c r="BJ68" s="346">
        <f ca="1">BH68-BI68</f>
        <v>-24</v>
      </c>
      <c r="BK68" s="347">
        <f ca="1">IF(BI68=0,0,BH68/BI68)</f>
        <v>0.63076923076923075</v>
      </c>
      <c r="BL68" s="346">
        <f t="shared" ref="BL68:BL91" si="146">IF(ISNA(VLOOKUP(BC68,penalty.a,2,FALSE)),0,VLOOKUP(BC68,penalty.a,2,FALSE))</f>
        <v>0</v>
      </c>
      <c r="BM68" s="346">
        <f t="shared" ref="BM68:BM91" ca="1" si="147">$AJ$48*BE68+BF68-BL68</f>
        <v>20</v>
      </c>
      <c r="BN68" s="346">
        <f ca="1">BE68*2+BG68-BL68</f>
        <v>24</v>
      </c>
      <c r="BO68" s="347">
        <f t="shared" ref="BO68:BO91" ca="1" si="148">IF(BD68=0,BN68,IF(BN68=0,0,BN68/BD68/2))</f>
        <v>0.6</v>
      </c>
      <c r="BP68" s="348">
        <v>0.04</v>
      </c>
      <c r="BQ68" s="349">
        <f t="shared" ref="BQ68:BQ91" ca="1" si="149">IF(ISNA(VLOOKUP(BC68,eee.aa,16,FALSE)),0,VLOOKUP(BC68,eee.aa,16,FALSE))</f>
        <v>400000</v>
      </c>
      <c r="BS68" s="346">
        <f t="shared" ref="BS68:BS91" ca="1" si="150">COUNTIF(lossh.aa,CONCATENATE($BC68,"ooo"))</f>
        <v>0</v>
      </c>
      <c r="BT68" s="346">
        <f t="shared" ref="BT68:BT91" ca="1" si="151">COUNTIF(winh.aa,$BC68)</f>
        <v>3</v>
      </c>
      <c r="BU68" s="346">
        <f t="shared" ref="BU68:BU91" ca="1" si="152">COUNTIF(drawh.aa,$BC68)</f>
        <v>2</v>
      </c>
      <c r="BV68" s="346">
        <f t="shared" ref="BV68:BV91" ca="1" si="153">COUNTIF(lossh.aa,$BC68)+BS68</f>
        <v>5</v>
      </c>
      <c r="BW68" s="346">
        <f t="shared" ref="BW68:BW91" ca="1" si="154">SUMIF(home.aa,$BC68,GAA.aa)</f>
        <v>21</v>
      </c>
      <c r="BX68" s="346">
        <f t="shared" ref="BX68:BX91" ca="1" si="155">SUMIF(home.aa,$BC68,GBB.aa)</f>
        <v>31</v>
      </c>
      <c r="BZ68" s="346">
        <f t="shared" ref="BZ68:BZ91" ca="1" si="156">COUNTIF(lossa.aa,CONCATENATE($BC68,"ooo"))</f>
        <v>0</v>
      </c>
      <c r="CA68" s="346">
        <f t="shared" ref="CA68:CA91" ca="1" si="157">COUNTIF(wina.aa,$BC68)</f>
        <v>3</v>
      </c>
      <c r="CB68" s="346">
        <f t="shared" ref="CB68:CB91" ca="1" si="158">COUNTIF(drawa.aa,$BC68)</f>
        <v>0</v>
      </c>
      <c r="CC68" s="346">
        <f t="shared" ref="CC68:CC91" ca="1" si="159">COUNTIF(lossa.aa,$BC68)+BZ68</f>
        <v>7</v>
      </c>
      <c r="CD68" s="346">
        <f t="shared" ref="CD68:CD91" ca="1" si="160">SUMIF(away.aa,$BC68,GBB.aa)</f>
        <v>20</v>
      </c>
      <c r="CE68" s="346">
        <f t="shared" ref="CE68:CE91" ca="1" si="161">SUMIF(away.aa,$BC68,GAA.aa)</f>
        <v>34</v>
      </c>
      <c r="CH68" s="350"/>
      <c r="CI68" s="351">
        <f>IF($AJ$44,COUNTIF($BO$106:$BO$115,CK68)*IF(CK68=0,0,1),COUNTIF($BM$106:$BM$115,CJ68)*IF(CJ68=0,0,1))+CL68/1000</f>
        <v>1E-3</v>
      </c>
      <c r="CJ68" s="352">
        <f>LARGE($BM$106:$BM$115,CL68)</f>
        <v>0</v>
      </c>
      <c r="CK68" s="353">
        <f>LARGE($BO$106:$BO$115,CL68)</f>
        <v>0</v>
      </c>
      <c r="CL68" s="354">
        <v>1</v>
      </c>
      <c r="CM68" s="350"/>
      <c r="CN68" s="355">
        <f>IF(LARGE(CI68:CI77,CL68)&lt;2,0,LARGE(CI68:CI77,CL68))</f>
        <v>0</v>
      </c>
      <c r="CO68" s="356" t="str">
        <f>IF(OR(CO67=$BM106,CO67=$BO106),$BC106,"")</f>
        <v/>
      </c>
      <c r="CP68" s="357" t="str">
        <f>IF(CO68="","",$CL68)</f>
        <v/>
      </c>
      <c r="CQ68" s="358" t="str">
        <f>IF(ISERR(LARGE(CP68:CP77,$CL68)),"",LARGE(CP68:CP77,$CL68))</f>
        <v/>
      </c>
      <c r="CR68" s="356" t="str">
        <f>IF(OR(CR67=$BM106,CR67=$BO106),$BC106,"")</f>
        <v/>
      </c>
      <c r="CS68" s="357" t="str">
        <f>IF(CR68="","",$CL68)</f>
        <v/>
      </c>
      <c r="CT68" s="358" t="str">
        <f>IF(ISERR(LARGE(CS68:CS77,$CL68)),"",LARGE(CS68:CS77,$CL68))</f>
        <v/>
      </c>
      <c r="CU68" s="356" t="str">
        <f>IF(OR(CU67=$BM106,CU67=$BO106),$BC106,"")</f>
        <v/>
      </c>
      <c r="CV68" s="357" t="str">
        <f>IF(CU68="","",$CL68)</f>
        <v/>
      </c>
      <c r="CW68" s="358" t="str">
        <f>IF(ISERR(LARGE(CV68:CV77,$CL68)),"",LARGE(CV68:CV77,$CL68))</f>
        <v/>
      </c>
      <c r="DG68" s="350"/>
      <c r="DH68" s="300"/>
      <c r="DI68" s="395" t="str">
        <f t="shared" ca="1" si="137"/>
        <v/>
      </c>
      <c r="DJ68" s="360" t="str">
        <f t="shared" ca="1" si="138"/>
        <v/>
      </c>
      <c r="DK68" s="360" t="str">
        <f t="shared" ca="1" si="124"/>
        <v/>
      </c>
      <c r="DL68" s="354" t="str">
        <f t="shared" ca="1" si="125"/>
        <v/>
      </c>
      <c r="DM68" s="354" t="str">
        <f t="shared" ca="1" si="126"/>
        <v/>
      </c>
      <c r="DN68" s="361" t="str">
        <f t="shared" ca="1" si="127"/>
        <v/>
      </c>
      <c r="DO68" s="362" t="str">
        <f t="shared" ca="1" si="128"/>
        <v/>
      </c>
      <c r="DP68" s="379" t="str">
        <f t="shared" ca="1" si="141"/>
        <v/>
      </c>
      <c r="DQ68" s="302"/>
      <c r="DR68" s="364"/>
      <c r="DS68" s="302"/>
      <c r="DU68" s="424"/>
      <c r="EL68" s="424"/>
      <c r="EM68" s="424"/>
      <c r="EN68" s="424"/>
      <c r="EO68" s="424"/>
      <c r="EP68" s="424"/>
      <c r="EQ68" s="424"/>
      <c r="ER68" s="404" t="str">
        <f ca="1">ER62</f>
        <v/>
      </c>
      <c r="ES68" s="371" t="str">
        <f ca="1">IF(OR(ER68="",EY68="",ER68=EY68),"",CONCATENATE(ER68,EY68))</f>
        <v/>
      </c>
      <c r="ET68" s="422" t="str">
        <f ca="1">IF(OR(ES68="",EY53&gt;2),"",CONCATENATE(VLOOKUP(ES68,games.a,9,FALSE),VLOOKUP(ES68,games.a,12,FALSE)))</f>
        <v/>
      </c>
      <c r="EU68" s="413"/>
      <c r="EV68" s="414"/>
      <c r="EW68" s="423" t="str">
        <f ca="1">IF(ES68="","",VLOOKUP(ES68,games.a,6,FALSE))</f>
        <v/>
      </c>
      <c r="EX68" s="409" t="str">
        <f ca="1">IF(ES68="","",VLOOKUP(ES68,games.a,7,FALSE))</f>
        <v/>
      </c>
      <c r="EY68" s="415" t="str">
        <f ca="1">EY67</f>
        <v/>
      </c>
      <c r="EZ68" s="416"/>
      <c r="FA68" s="417"/>
      <c r="FB68" s="424"/>
      <c r="FC68" s="424"/>
      <c r="FD68" s="425"/>
      <c r="FE68" s="333"/>
      <c r="FJ68" s="177"/>
      <c r="FK68" s="177"/>
      <c r="FL68" s="177"/>
      <c r="FM68" s="177"/>
      <c r="FO68" s="300"/>
      <c r="FP68" s="395" t="str">
        <f t="shared" ca="1" si="139"/>
        <v/>
      </c>
      <c r="FQ68" s="360" t="str">
        <f t="shared" ca="1" si="140"/>
        <v/>
      </c>
      <c r="FR68" s="360" t="str">
        <f t="shared" ca="1" si="129"/>
        <v/>
      </c>
      <c r="FS68" s="360" t="str">
        <f t="shared" ca="1" si="130"/>
        <v/>
      </c>
      <c r="FT68" s="360" t="str">
        <f t="shared" ca="1" si="131"/>
        <v/>
      </c>
      <c r="FU68" s="360" t="str">
        <f t="shared" ca="1" si="132"/>
        <v/>
      </c>
      <c r="FV68" s="360" t="str">
        <f t="shared" ca="1" si="133"/>
        <v/>
      </c>
      <c r="FW68" s="360" t="str">
        <f t="shared" ca="1" si="134"/>
        <v/>
      </c>
      <c r="FX68" s="360" t="str">
        <f t="shared" ca="1" si="135"/>
        <v/>
      </c>
      <c r="FY68" s="360" t="str">
        <f t="shared" ca="1" si="136"/>
        <v/>
      </c>
      <c r="FZ68" s="379" t="str">
        <f t="shared" ca="1" si="142"/>
        <v/>
      </c>
      <c r="GA68" s="302"/>
      <c r="GB68" s="364"/>
      <c r="GC68" s="302"/>
    </row>
    <row r="69" spans="15:185" ht="16.5" customHeight="1" x14ac:dyDescent="0.25">
      <c r="O69" s="507"/>
      <c r="P69" s="845"/>
      <c r="Q69" s="846"/>
      <c r="R69" s="847"/>
      <c r="W69" s="429" t="s">
        <v>168</v>
      </c>
      <c r="X69" s="376">
        <v>20</v>
      </c>
      <c r="AB69" s="337">
        <f t="shared" si="143"/>
        <v>0</v>
      </c>
      <c r="AC69" s="338">
        <f t="shared" si="144"/>
        <v>0</v>
      </c>
      <c r="AD69" s="337"/>
      <c r="AI69" s="232" t="s">
        <v>200</v>
      </c>
      <c r="AJ69" s="389" t="b">
        <f ca="1">SUM(BD68:BD91)/$X$68=$X$69</f>
        <v>1</v>
      </c>
      <c r="AU69" s="349">
        <v>2</v>
      </c>
      <c r="AV69" s="430" t="str">
        <f t="shared" ca="1" si="145"/>
        <v>K&amp;H</v>
      </c>
      <c r="AW69" s="349">
        <v>2</v>
      </c>
      <c r="AY69" s="431">
        <f t="shared" ref="AY69:AY91" ca="1" si="162">LARGE(BA$68:BA$91,BB69)</f>
        <v>52083107.033</v>
      </c>
      <c r="AZ69" s="377">
        <f ca="1">IF(AY69&lt;-999999990,"",IF(ABS(AY68-AY69)&lt;0.03,AZ68,BB69))</f>
        <v>2</v>
      </c>
      <c r="BA69" s="343">
        <f t="shared" ref="BA69:BA91" ca="1" si="163">IF($AJ$44,BO69*100,IF($AJ$43,BM69*10,BM69))*1000000+IF($AJ$52,BE69*10000,0)+IF($AJ$44,BK69,BJ69)*1000/IF(OR($AJ$43,$AJ$52),10,1)+IF($AJ$44,0,IF($AJ$43,BH69/10,BH69))+BP69+BQ69-IF(BC69=0,1000000000,0)</f>
        <v>52256086.038999997</v>
      </c>
      <c r="BB69" s="349">
        <v>2</v>
      </c>
      <c r="BC69" s="378" t="str">
        <f t="shared" ref="BC69:BC91" si="164">X43</f>
        <v>BBK</v>
      </c>
      <c r="BD69" s="346">
        <f t="shared" ref="BD69:BD91" ca="1" si="165">BE69+BF69+BG69</f>
        <v>20</v>
      </c>
      <c r="BE69" s="346">
        <f t="shared" ref="BE69:BE91" ca="1" si="166">BT69+CA69</f>
        <v>17</v>
      </c>
      <c r="BF69" s="346">
        <f t="shared" ref="BF69:BF91" ca="1" si="167">BU69+CB69</f>
        <v>1</v>
      </c>
      <c r="BG69" s="346">
        <f t="shared" ref="BG69:BG91" ca="1" si="168">BV69+CC69</f>
        <v>2</v>
      </c>
      <c r="BH69" s="346">
        <f t="shared" ref="BH69:BH91" ca="1" si="169">BW69+CD69</f>
        <v>86</v>
      </c>
      <c r="BI69" s="346">
        <f t="shared" ref="BI69:BI91" ca="1" si="170">BX69+CE69</f>
        <v>30</v>
      </c>
      <c r="BJ69" s="346">
        <f t="shared" ref="BJ69:BJ91" ca="1" si="171">BH69-BI69</f>
        <v>56</v>
      </c>
      <c r="BK69" s="347">
        <f t="shared" ref="BK69:BK91" ca="1" si="172">IF(BI69=0,0,BH69/BI69)</f>
        <v>2.8666666666666667</v>
      </c>
      <c r="BL69" s="346">
        <f t="shared" si="146"/>
        <v>0</v>
      </c>
      <c r="BM69" s="346">
        <f t="shared" ca="1" si="147"/>
        <v>52</v>
      </c>
      <c r="BN69" s="346">
        <f t="shared" ref="BN69:BN91" ca="1" si="173">BE69*2+BG69-BL69</f>
        <v>36</v>
      </c>
      <c r="BO69" s="347">
        <f t="shared" ca="1" si="148"/>
        <v>0.9</v>
      </c>
      <c r="BP69" s="348">
        <v>3.9E-2</v>
      </c>
      <c r="BQ69" s="349">
        <f t="shared" ca="1" si="149"/>
        <v>200000</v>
      </c>
      <c r="BS69" s="346">
        <f t="shared" ca="1" si="150"/>
        <v>0</v>
      </c>
      <c r="BT69" s="346">
        <f t="shared" ca="1" si="151"/>
        <v>7</v>
      </c>
      <c r="BU69" s="346">
        <f t="shared" ca="1" si="152"/>
        <v>1</v>
      </c>
      <c r="BV69" s="346">
        <f t="shared" ca="1" si="153"/>
        <v>2</v>
      </c>
      <c r="BW69" s="346">
        <f t="shared" ca="1" si="154"/>
        <v>35</v>
      </c>
      <c r="BX69" s="346">
        <f t="shared" ca="1" si="155"/>
        <v>16</v>
      </c>
      <c r="BZ69" s="346">
        <f t="shared" ca="1" si="156"/>
        <v>0</v>
      </c>
      <c r="CA69" s="346">
        <f t="shared" ca="1" si="157"/>
        <v>10</v>
      </c>
      <c r="CB69" s="346">
        <f t="shared" ca="1" si="158"/>
        <v>0</v>
      </c>
      <c r="CC69" s="346">
        <f t="shared" ca="1" si="159"/>
        <v>0</v>
      </c>
      <c r="CD69" s="346">
        <f t="shared" ca="1" si="160"/>
        <v>51</v>
      </c>
      <c r="CE69" s="346">
        <f t="shared" ca="1" si="161"/>
        <v>14</v>
      </c>
      <c r="CH69" s="350"/>
      <c r="CI69" s="353">
        <f t="shared" ref="CI69:CI77" si="174">IF($AJ$44,COUNTIF($BO$106:$BO$115,CK69)*IF(OR(CK69=CK68,CK69=0),0,1),COUNTIF($BM$106:$BM$115,CJ69)*IF(OR(CJ69=CJ68,CJ69=0),0,1))+CL69/1000</f>
        <v>2E-3</v>
      </c>
      <c r="CJ69" s="352">
        <f t="shared" ref="CJ69:CJ77" si="175">LARGE($BM$106:$BM$115,CL69)</f>
        <v>0</v>
      </c>
      <c r="CK69" s="353">
        <f t="shared" ref="CK69:CK77" si="176">LARGE($BO$106:$BO$115,CL69)</f>
        <v>0</v>
      </c>
      <c r="CL69" s="354">
        <v>2</v>
      </c>
      <c r="CM69" s="350"/>
      <c r="CN69" s="355">
        <f>IF(LARGE(CI68:CI77,CL69)&lt;2,0,LARGE(CI68:CI77,CL69))</f>
        <v>0</v>
      </c>
      <c r="CO69" s="356" t="str">
        <f>IF(OR(CO67=$BM107,CO67=$BO107),$BC107,"")</f>
        <v/>
      </c>
      <c r="CP69" s="357" t="str">
        <f t="shared" ref="CP69:CP77" si="177">IF(CO69="","",$CL69)</f>
        <v/>
      </c>
      <c r="CQ69" s="358" t="str">
        <f>IF(ISERR(LARGE(CP68:CP77,$CL69)),"",LARGE(CP68:CP77,$CL69))</f>
        <v/>
      </c>
      <c r="CR69" s="356" t="str">
        <f>IF(OR(CR67=$BM107,CR67=$BO107),$BC107,"")</f>
        <v/>
      </c>
      <c r="CS69" s="357" t="str">
        <f t="shared" ref="CS69:CS77" si="178">IF(CR69="","",$CL69)</f>
        <v/>
      </c>
      <c r="CT69" s="358" t="str">
        <f>IF(ISERR(LARGE(CS68:CS77,$CL69)),"",LARGE(CS68:CS77,$CL69))</f>
        <v/>
      </c>
      <c r="CU69" s="356" t="str">
        <f>IF(OR(CU67=$BM107,CU67=$BO107),$BC107,"")</f>
        <v/>
      </c>
      <c r="CV69" s="357" t="str">
        <f t="shared" ref="CV69:CV77" si="179">IF(CU69="","",$CL69)</f>
        <v/>
      </c>
      <c r="CW69" s="358" t="str">
        <f>IF(ISERR(LARGE(CV68:CV77,$CL69)),"",LARGE(CV68:CV77,$CL69))</f>
        <v/>
      </c>
      <c r="DG69" s="350"/>
      <c r="DH69" s="300"/>
      <c r="DI69" s="395" t="str">
        <f t="shared" ca="1" si="137"/>
        <v/>
      </c>
      <c r="DJ69" s="360" t="str">
        <f t="shared" ca="1" si="138"/>
        <v/>
      </c>
      <c r="DK69" s="360" t="str">
        <f t="shared" ca="1" si="124"/>
        <v/>
      </c>
      <c r="DL69" s="354" t="str">
        <f t="shared" ca="1" si="125"/>
        <v/>
      </c>
      <c r="DM69" s="354" t="str">
        <f t="shared" ca="1" si="126"/>
        <v/>
      </c>
      <c r="DN69" s="361" t="str">
        <f t="shared" ca="1" si="127"/>
        <v/>
      </c>
      <c r="DO69" s="362" t="str">
        <f t="shared" ca="1" si="128"/>
        <v/>
      </c>
      <c r="DP69" s="379" t="str">
        <f t="shared" ca="1" si="141"/>
        <v/>
      </c>
      <c r="DQ69" s="302"/>
      <c r="DR69" s="364"/>
      <c r="DS69" s="302"/>
      <c r="DU69" s="424"/>
      <c r="EL69" s="424"/>
      <c r="EM69" s="424"/>
      <c r="EN69" s="424"/>
      <c r="EO69" s="424"/>
      <c r="EP69" s="424"/>
      <c r="EQ69" s="424"/>
      <c r="ER69" s="404" t="str">
        <f ca="1">ER63</f>
        <v/>
      </c>
      <c r="ES69" s="371" t="str">
        <f ca="1">IF(OR(ER69="",EY69="",ER69=EY69),"",CONCATENATE(ER69,EY69))</f>
        <v/>
      </c>
      <c r="ET69" s="422" t="str">
        <f ca="1">IF(OR(ES69="",EY53&gt;2),"",CONCATENATE(VLOOKUP(ES69,games.a,9,FALSE),VLOOKUP(ES69,games.a,12,FALSE)))</f>
        <v/>
      </c>
      <c r="EU69" s="413"/>
      <c r="EV69" s="414"/>
      <c r="EW69" s="423" t="str">
        <f ca="1">IF(ES69="","",VLOOKUP(ES69,games.a,6,FALSE))</f>
        <v/>
      </c>
      <c r="EX69" s="409" t="str">
        <f ca="1">IF(ES69="","",VLOOKUP(ES69,games.a,7,FALSE))</f>
        <v/>
      </c>
      <c r="EY69" s="415" t="str">
        <f ca="1">EY68</f>
        <v/>
      </c>
      <c r="EZ69" s="416"/>
      <c r="FA69" s="417"/>
      <c r="FB69" s="424"/>
      <c r="FC69" s="424"/>
      <c r="FD69" s="425"/>
      <c r="FE69" s="333"/>
      <c r="FJ69" s="177"/>
      <c r="FK69" s="177"/>
      <c r="FL69" s="177"/>
      <c r="FM69" s="177"/>
      <c r="FO69" s="300"/>
      <c r="FP69" s="395" t="str">
        <f t="shared" ca="1" si="139"/>
        <v/>
      </c>
      <c r="FQ69" s="360" t="str">
        <f t="shared" ca="1" si="140"/>
        <v/>
      </c>
      <c r="FR69" s="360" t="str">
        <f t="shared" ca="1" si="129"/>
        <v/>
      </c>
      <c r="FS69" s="360" t="str">
        <f t="shared" ca="1" si="130"/>
        <v/>
      </c>
      <c r="FT69" s="360" t="str">
        <f t="shared" ca="1" si="131"/>
        <v/>
      </c>
      <c r="FU69" s="360" t="str">
        <f t="shared" ca="1" si="132"/>
        <v/>
      </c>
      <c r="FV69" s="360" t="str">
        <f t="shared" ca="1" si="133"/>
        <v/>
      </c>
      <c r="FW69" s="360" t="str">
        <f t="shared" ca="1" si="134"/>
        <v/>
      </c>
      <c r="FX69" s="360" t="str">
        <f t="shared" ca="1" si="135"/>
        <v/>
      </c>
      <c r="FY69" s="360" t="str">
        <f t="shared" ca="1" si="136"/>
        <v/>
      </c>
      <c r="FZ69" s="379" t="str">
        <f t="shared" ca="1" si="142"/>
        <v/>
      </c>
      <c r="GA69" s="302"/>
      <c r="GB69" s="364"/>
      <c r="GC69" s="302"/>
    </row>
    <row r="70" spans="15:185" ht="16.5" customHeight="1" x14ac:dyDescent="0.25">
      <c r="AB70" s="337">
        <f t="shared" si="143"/>
        <v>0</v>
      </c>
      <c r="AC70" s="338">
        <f t="shared" si="144"/>
        <v>0</v>
      </c>
      <c r="AD70" s="337"/>
      <c r="AI70" s="232" t="s">
        <v>201</v>
      </c>
      <c r="AJ70" s="389" t="b">
        <f ca="1">AND($AJ$57=1,$AJ$63,IF($AJ$44,TRUE,$AJ$68),OR($AJ$53,$AJ$54))</f>
        <v>1</v>
      </c>
      <c r="AU70" s="349">
        <v>3</v>
      </c>
      <c r="AV70" s="430" t="str">
        <f t="shared" ca="1" si="145"/>
        <v>BHD</v>
      </c>
      <c r="AW70" s="349">
        <v>3</v>
      </c>
      <c r="AY70" s="431">
        <f t="shared" ca="1" si="162"/>
        <v>45038070.038000003</v>
      </c>
      <c r="AZ70" s="377">
        <f t="shared" ref="AZ70:AZ91" ca="1" si="180">IF(AY70&lt;-999999990,"",IF(ABS(AY69-AY70)&lt;0.03,AZ69,BB70))</f>
        <v>3</v>
      </c>
      <c r="BA70" s="343">
        <f t="shared" ca="1" si="163"/>
        <v>45038070.038000003</v>
      </c>
      <c r="BB70" s="349">
        <v>3</v>
      </c>
      <c r="BC70" s="378" t="str">
        <f t="shared" si="164"/>
        <v>BHD</v>
      </c>
      <c r="BD70" s="346">
        <f t="shared" ca="1" si="165"/>
        <v>20</v>
      </c>
      <c r="BE70" s="346">
        <f t="shared" ca="1" si="166"/>
        <v>14</v>
      </c>
      <c r="BF70" s="346">
        <f t="shared" ca="1" si="167"/>
        <v>3</v>
      </c>
      <c r="BG70" s="346">
        <f t="shared" ca="1" si="168"/>
        <v>3</v>
      </c>
      <c r="BH70" s="346">
        <f t="shared" ca="1" si="169"/>
        <v>70</v>
      </c>
      <c r="BI70" s="346">
        <f t="shared" ca="1" si="170"/>
        <v>32</v>
      </c>
      <c r="BJ70" s="346">
        <f t="shared" ca="1" si="171"/>
        <v>38</v>
      </c>
      <c r="BK70" s="347">
        <f t="shared" ca="1" si="172"/>
        <v>2.1875</v>
      </c>
      <c r="BL70" s="346">
        <f t="shared" si="146"/>
        <v>0</v>
      </c>
      <c r="BM70" s="346">
        <f t="shared" ca="1" si="147"/>
        <v>45</v>
      </c>
      <c r="BN70" s="346">
        <f t="shared" ca="1" si="173"/>
        <v>31</v>
      </c>
      <c r="BO70" s="347">
        <f t="shared" ca="1" si="148"/>
        <v>0.77500000000000002</v>
      </c>
      <c r="BP70" s="348">
        <v>3.7999999999999999E-2</v>
      </c>
      <c r="BQ70" s="349">
        <f t="shared" ca="1" si="149"/>
        <v>0</v>
      </c>
      <c r="BS70" s="346">
        <f t="shared" ca="1" si="150"/>
        <v>0</v>
      </c>
      <c r="BT70" s="346">
        <f t="shared" ca="1" si="151"/>
        <v>8</v>
      </c>
      <c r="BU70" s="346">
        <f t="shared" ca="1" si="152"/>
        <v>0</v>
      </c>
      <c r="BV70" s="346">
        <f t="shared" ca="1" si="153"/>
        <v>2</v>
      </c>
      <c r="BW70" s="346">
        <f t="shared" ca="1" si="154"/>
        <v>42</v>
      </c>
      <c r="BX70" s="346">
        <f t="shared" ca="1" si="155"/>
        <v>21</v>
      </c>
      <c r="BZ70" s="346">
        <f t="shared" ca="1" si="156"/>
        <v>0</v>
      </c>
      <c r="CA70" s="346">
        <f t="shared" ca="1" si="157"/>
        <v>6</v>
      </c>
      <c r="CB70" s="346">
        <f t="shared" ca="1" si="158"/>
        <v>3</v>
      </c>
      <c r="CC70" s="346">
        <f t="shared" ca="1" si="159"/>
        <v>1</v>
      </c>
      <c r="CD70" s="346">
        <f t="shared" ca="1" si="160"/>
        <v>28</v>
      </c>
      <c r="CE70" s="346">
        <f t="shared" ca="1" si="161"/>
        <v>11</v>
      </c>
      <c r="CH70" s="350"/>
      <c r="CI70" s="353">
        <f t="shared" si="174"/>
        <v>3.0000000000000001E-3</v>
      </c>
      <c r="CJ70" s="352">
        <f t="shared" si="175"/>
        <v>0</v>
      </c>
      <c r="CK70" s="353">
        <f t="shared" si="176"/>
        <v>0</v>
      </c>
      <c r="CL70" s="354">
        <v>3</v>
      </c>
      <c r="CM70" s="350"/>
      <c r="CN70" s="355">
        <f>IF(LARGE(CI68:CI77,CL70)&lt;2,0,LARGE(CI68:CI77,CL70))</f>
        <v>0</v>
      </c>
      <c r="CO70" s="356" t="str">
        <f>IF(OR(CO67=$BM108,CO67=$BO108),$BC108,"")</f>
        <v/>
      </c>
      <c r="CP70" s="357" t="str">
        <f t="shared" si="177"/>
        <v/>
      </c>
      <c r="CQ70" s="358" t="str">
        <f>IF(ISERR(LARGE(CP68:CP77,$CL70)),"",LARGE(CP68:CP77,$CL70))</f>
        <v/>
      </c>
      <c r="CR70" s="356" t="str">
        <f>IF(OR(CR67=$BM108,CR67=$BO108),$BC108,"")</f>
        <v/>
      </c>
      <c r="CS70" s="357" t="str">
        <f t="shared" si="178"/>
        <v/>
      </c>
      <c r="CT70" s="358" t="str">
        <f>IF(ISERR(LARGE(CS68:CS77,$CL70)),"",LARGE(CS68:CS77,$CL70))</f>
        <v/>
      </c>
      <c r="CU70" s="356" t="str">
        <f>IF(OR(CU67=$BM108,CU67=$BO108),$BC108,"")</f>
        <v/>
      </c>
      <c r="CV70" s="357" t="str">
        <f t="shared" si="179"/>
        <v/>
      </c>
      <c r="CW70" s="385"/>
      <c r="DG70" s="350"/>
      <c r="DH70" s="300"/>
      <c r="DI70" s="395" t="str">
        <f t="shared" ca="1" si="137"/>
        <v/>
      </c>
      <c r="DJ70" s="360" t="str">
        <f t="shared" ca="1" si="138"/>
        <v/>
      </c>
      <c r="DK70" s="360" t="str">
        <f t="shared" ca="1" si="124"/>
        <v/>
      </c>
      <c r="DL70" s="354" t="str">
        <f t="shared" ca="1" si="125"/>
        <v/>
      </c>
      <c r="DM70" s="354" t="str">
        <f t="shared" ca="1" si="126"/>
        <v/>
      </c>
      <c r="DN70" s="361" t="str">
        <f t="shared" ca="1" si="127"/>
        <v/>
      </c>
      <c r="DO70" s="362" t="str">
        <f t="shared" ca="1" si="128"/>
        <v/>
      </c>
      <c r="DP70" s="379" t="str">
        <f t="shared" ca="1" si="141"/>
        <v/>
      </c>
      <c r="DQ70" s="302"/>
      <c r="DR70" s="364"/>
      <c r="DS70" s="302"/>
      <c r="DU70" s="424"/>
      <c r="EL70" s="424"/>
      <c r="EM70" s="424"/>
      <c r="EN70" s="424"/>
      <c r="EO70" s="424"/>
      <c r="EP70" s="424"/>
      <c r="EQ70" s="424"/>
      <c r="ER70" s="404" t="str">
        <f ca="1">ER64</f>
        <v/>
      </c>
      <c r="ES70" s="371" t="str">
        <f ca="1">IF(OR(ER70="",EY70="",ER70=EY70),"",CONCATENATE(ER70,EY70))</f>
        <v/>
      </c>
      <c r="ET70" s="422" t="str">
        <f ca="1">IF(OR(ES70="",EY53&gt;2),"",CONCATENATE(VLOOKUP(ES70,games.a,9,FALSE),VLOOKUP(ES70,games.a,12,FALSE)))</f>
        <v/>
      </c>
      <c r="EU70" s="420"/>
      <c r="EV70" s="421"/>
      <c r="EW70" s="423" t="str">
        <f ca="1">IF(ES70="","",VLOOKUP(ES70,games.a,6,FALSE))</f>
        <v/>
      </c>
      <c r="EX70" s="409" t="str">
        <f ca="1">IF(ES70="","",VLOOKUP(ES70,games.a,7,FALSE))</f>
        <v/>
      </c>
      <c r="EY70" s="415" t="str">
        <f ca="1">EY69</f>
        <v/>
      </c>
      <c r="EZ70" s="416"/>
      <c r="FA70" s="417"/>
      <c r="FB70" s="424"/>
      <c r="FC70" s="424"/>
      <c r="FD70" s="425"/>
      <c r="FE70" s="333"/>
      <c r="FJ70" s="232" t="s">
        <v>235</v>
      </c>
      <c r="FK70" s="376" t="b">
        <v>0</v>
      </c>
      <c r="FL70" s="177"/>
      <c r="FM70" s="177"/>
      <c r="FO70" s="300"/>
      <c r="FP70" s="395" t="str">
        <f t="shared" ca="1" si="139"/>
        <v/>
      </c>
      <c r="FQ70" s="360" t="str">
        <f t="shared" ca="1" si="140"/>
        <v/>
      </c>
      <c r="FR70" s="360" t="str">
        <f t="shared" ca="1" si="129"/>
        <v/>
      </c>
      <c r="FS70" s="360" t="str">
        <f t="shared" ca="1" si="130"/>
        <v/>
      </c>
      <c r="FT70" s="360" t="str">
        <f t="shared" ca="1" si="131"/>
        <v/>
      </c>
      <c r="FU70" s="360" t="str">
        <f t="shared" ca="1" si="132"/>
        <v/>
      </c>
      <c r="FV70" s="360" t="str">
        <f t="shared" ca="1" si="133"/>
        <v/>
      </c>
      <c r="FW70" s="360" t="str">
        <f t="shared" ca="1" si="134"/>
        <v/>
      </c>
      <c r="FX70" s="360" t="str">
        <f t="shared" ca="1" si="135"/>
        <v/>
      </c>
      <c r="FY70" s="360" t="str">
        <f t="shared" ca="1" si="136"/>
        <v/>
      </c>
      <c r="FZ70" s="379" t="str">
        <f t="shared" ca="1" si="142"/>
        <v/>
      </c>
      <c r="GA70" s="302"/>
      <c r="GB70" s="364"/>
      <c r="GC70" s="302"/>
    </row>
    <row r="71" spans="15:185" ht="16.5" customHeight="1" x14ac:dyDescent="0.25">
      <c r="W71" s="232" t="s">
        <v>195</v>
      </c>
      <c r="X71" s="376" t="b">
        <v>0</v>
      </c>
      <c r="AB71" s="337">
        <f t="shared" si="143"/>
        <v>0</v>
      </c>
      <c r="AC71" s="338">
        <f t="shared" si="144"/>
        <v>0</v>
      </c>
      <c r="AD71" s="337"/>
      <c r="AI71" s="232" t="s">
        <v>202</v>
      </c>
      <c r="AJ71" s="389" t="b">
        <f>AND($AJ$57=1,$AJ$63)</f>
        <v>1</v>
      </c>
      <c r="AU71" s="349">
        <v>4</v>
      </c>
      <c r="AV71" s="430" t="str">
        <f t="shared" ca="1" si="145"/>
        <v>Zrínyigyöngye</v>
      </c>
      <c r="AW71" s="349">
        <v>4</v>
      </c>
      <c r="AY71" s="431">
        <f t="shared" ca="1" si="162"/>
        <v>41032073.030000001</v>
      </c>
      <c r="AZ71" s="377">
        <f t="shared" ca="1" si="180"/>
        <v>4</v>
      </c>
      <c r="BA71" s="343">
        <f t="shared" ca="1" si="163"/>
        <v>12943027.037</v>
      </c>
      <c r="BB71" s="349">
        <v>4</v>
      </c>
      <c r="BC71" s="378" t="str">
        <f t="shared" si="164"/>
        <v>Bőrdíszmű</v>
      </c>
      <c r="BD71" s="346">
        <f t="shared" ca="1" si="165"/>
        <v>20</v>
      </c>
      <c r="BE71" s="346">
        <f t="shared" ca="1" si="166"/>
        <v>4</v>
      </c>
      <c r="BF71" s="346">
        <f t="shared" ca="1" si="167"/>
        <v>1</v>
      </c>
      <c r="BG71" s="346">
        <f t="shared" ca="1" si="168"/>
        <v>15</v>
      </c>
      <c r="BH71" s="346">
        <f t="shared" ca="1" si="169"/>
        <v>27</v>
      </c>
      <c r="BI71" s="346">
        <f t="shared" ca="1" si="170"/>
        <v>84</v>
      </c>
      <c r="BJ71" s="346">
        <f t="shared" ca="1" si="171"/>
        <v>-57</v>
      </c>
      <c r="BK71" s="347">
        <f t="shared" ca="1" si="172"/>
        <v>0.32142857142857145</v>
      </c>
      <c r="BL71" s="346">
        <f t="shared" si="146"/>
        <v>0</v>
      </c>
      <c r="BM71" s="346">
        <f t="shared" ca="1" si="147"/>
        <v>13</v>
      </c>
      <c r="BN71" s="346">
        <f t="shared" ca="1" si="173"/>
        <v>23</v>
      </c>
      <c r="BO71" s="347">
        <f t="shared" ca="1" si="148"/>
        <v>0.57499999999999996</v>
      </c>
      <c r="BP71" s="348">
        <v>3.6999999999999998E-2</v>
      </c>
      <c r="BQ71" s="349">
        <f t="shared" ca="1" si="149"/>
        <v>0</v>
      </c>
      <c r="BS71" s="346">
        <f t="shared" ca="1" si="150"/>
        <v>0</v>
      </c>
      <c r="BT71" s="346">
        <f t="shared" ca="1" si="151"/>
        <v>0</v>
      </c>
      <c r="BU71" s="346">
        <f t="shared" ca="1" si="152"/>
        <v>1</v>
      </c>
      <c r="BV71" s="346">
        <f t="shared" ca="1" si="153"/>
        <v>9</v>
      </c>
      <c r="BW71" s="346">
        <f t="shared" ca="1" si="154"/>
        <v>11</v>
      </c>
      <c r="BX71" s="346">
        <f t="shared" ca="1" si="155"/>
        <v>50</v>
      </c>
      <c r="BZ71" s="346">
        <f t="shared" ca="1" si="156"/>
        <v>0</v>
      </c>
      <c r="CA71" s="346">
        <f t="shared" ca="1" si="157"/>
        <v>4</v>
      </c>
      <c r="CB71" s="346">
        <f t="shared" ca="1" si="158"/>
        <v>0</v>
      </c>
      <c r="CC71" s="346">
        <f t="shared" ca="1" si="159"/>
        <v>6</v>
      </c>
      <c r="CD71" s="346">
        <f t="shared" ca="1" si="160"/>
        <v>16</v>
      </c>
      <c r="CE71" s="346">
        <f t="shared" ca="1" si="161"/>
        <v>34</v>
      </c>
      <c r="CH71" s="350"/>
      <c r="CI71" s="353">
        <f t="shared" si="174"/>
        <v>4.0000000000000001E-3</v>
      </c>
      <c r="CJ71" s="352">
        <f t="shared" si="175"/>
        <v>0</v>
      </c>
      <c r="CK71" s="353">
        <f t="shared" si="176"/>
        <v>0</v>
      </c>
      <c r="CL71" s="354">
        <v>4</v>
      </c>
      <c r="CM71" s="350"/>
      <c r="CN71" s="300"/>
      <c r="CO71" s="356" t="str">
        <f>IF(OR(CO67=$BM109,CO67=$BO109),$BC109,"")</f>
        <v/>
      </c>
      <c r="CP71" s="357" t="str">
        <f t="shared" si="177"/>
        <v/>
      </c>
      <c r="CQ71" s="358" t="str">
        <f>IF(ISERR(LARGE(CP68:CP77,$CL71)),"",LARGE(CP68:CP77,$CL71))</f>
        <v/>
      </c>
      <c r="CR71" s="356" t="str">
        <f>IF(OR(CR67=$BM109,CR67=$BO109),$BC109,"")</f>
        <v/>
      </c>
      <c r="CS71" s="357" t="str">
        <f t="shared" si="178"/>
        <v/>
      </c>
      <c r="CT71" s="385"/>
      <c r="CU71" s="356" t="str">
        <f>IF(OR(CU67=$BM109,CU67=$BO109),$BC109,"")</f>
        <v/>
      </c>
      <c r="CV71" s="357" t="str">
        <f t="shared" si="179"/>
        <v/>
      </c>
      <c r="CW71" s="385"/>
      <c r="DG71" s="350"/>
      <c r="DH71" s="300"/>
      <c r="DI71" s="395" t="str">
        <f t="shared" ca="1" si="137"/>
        <v/>
      </c>
      <c r="DJ71" s="360" t="str">
        <f t="shared" ca="1" si="138"/>
        <v/>
      </c>
      <c r="DK71" s="360" t="str">
        <f t="shared" ca="1" si="124"/>
        <v/>
      </c>
      <c r="DL71" s="354" t="str">
        <f t="shared" ca="1" si="125"/>
        <v/>
      </c>
      <c r="DM71" s="354" t="str">
        <f t="shared" ca="1" si="126"/>
        <v/>
      </c>
      <c r="DN71" s="361" t="str">
        <f t="shared" ca="1" si="127"/>
        <v/>
      </c>
      <c r="DO71" s="362" t="str">
        <f t="shared" ca="1" si="128"/>
        <v/>
      </c>
      <c r="DP71" s="379" t="str">
        <f t="shared" ca="1" si="141"/>
        <v/>
      </c>
      <c r="DQ71" s="302"/>
      <c r="DR71" s="364"/>
      <c r="DS71" s="302"/>
      <c r="DU71" s="424"/>
      <c r="EL71" s="424"/>
      <c r="EM71" s="424"/>
      <c r="EN71" s="424"/>
      <c r="EO71" s="424"/>
      <c r="EP71" s="424"/>
      <c r="EQ71" s="424"/>
      <c r="ER71" s="398"/>
      <c r="ES71" s="329" t="s">
        <v>157</v>
      </c>
      <c r="ET71" s="329" t="s">
        <v>158</v>
      </c>
      <c r="EU71" s="399"/>
      <c r="EV71" s="400"/>
      <c r="EW71" s="401" t="s">
        <v>160</v>
      </c>
      <c r="EX71" s="402" t="s">
        <v>135</v>
      </c>
      <c r="EY71" s="398"/>
      <c r="EZ71" s="365"/>
      <c r="FA71" s="365"/>
      <c r="FB71" s="424"/>
      <c r="FC71" s="424"/>
      <c r="FD71" s="425"/>
      <c r="FE71" s="333"/>
      <c r="FJ71" s="177"/>
      <c r="FK71" s="177"/>
      <c r="FL71" s="177"/>
      <c r="FM71" s="177"/>
      <c r="FO71" s="300"/>
      <c r="FP71" s="395" t="str">
        <f t="shared" ca="1" si="139"/>
        <v/>
      </c>
      <c r="FQ71" s="360" t="str">
        <f t="shared" ca="1" si="140"/>
        <v/>
      </c>
      <c r="FR71" s="360" t="str">
        <f t="shared" ca="1" si="129"/>
        <v/>
      </c>
      <c r="FS71" s="360" t="str">
        <f t="shared" ca="1" si="130"/>
        <v/>
      </c>
      <c r="FT71" s="360" t="str">
        <f t="shared" ca="1" si="131"/>
        <v/>
      </c>
      <c r="FU71" s="360" t="str">
        <f t="shared" ca="1" si="132"/>
        <v/>
      </c>
      <c r="FV71" s="360" t="str">
        <f t="shared" ca="1" si="133"/>
        <v/>
      </c>
      <c r="FW71" s="360" t="str">
        <f t="shared" ca="1" si="134"/>
        <v/>
      </c>
      <c r="FX71" s="360" t="str">
        <f t="shared" ca="1" si="135"/>
        <v/>
      </c>
      <c r="FY71" s="360" t="str">
        <f t="shared" ca="1" si="136"/>
        <v/>
      </c>
      <c r="FZ71" s="379" t="str">
        <f t="shared" ca="1" si="142"/>
        <v/>
      </c>
      <c r="GA71" s="302"/>
      <c r="GB71" s="364"/>
      <c r="GC71" s="302"/>
    </row>
    <row r="72" spans="15:185" ht="16.5" customHeight="1" x14ac:dyDescent="0.25">
      <c r="W72" s="232" t="s">
        <v>171</v>
      </c>
      <c r="X72" s="432">
        <f>Adatok!B1</f>
        <v>0</v>
      </c>
      <c r="AB72" s="337">
        <f t="shared" si="143"/>
        <v>0</v>
      </c>
      <c r="AC72" s="338">
        <f t="shared" si="144"/>
        <v>0</v>
      </c>
      <c r="AD72" s="337"/>
      <c r="AI72" s="232" t="s">
        <v>393</v>
      </c>
      <c r="AJ72" s="389" t="b">
        <f ca="1">AND($AJ$63,$R$43&gt;1,ASZ!$AT$105&gt;1)</f>
        <v>1</v>
      </c>
      <c r="AU72" s="349">
        <v>5</v>
      </c>
      <c r="AV72" s="430" t="str">
        <f t="shared" ca="1" si="145"/>
        <v>Élelmesek</v>
      </c>
      <c r="AW72" s="349">
        <v>5</v>
      </c>
      <c r="AY72" s="431">
        <f t="shared" ca="1" si="162"/>
        <v>25289055.035</v>
      </c>
      <c r="AZ72" s="377">
        <f t="shared" ca="1" si="180"/>
        <v>5</v>
      </c>
      <c r="BA72" s="343">
        <f t="shared" ca="1" si="163"/>
        <v>13943044.036</v>
      </c>
      <c r="BB72" s="349">
        <v>5</v>
      </c>
      <c r="BC72" s="378" t="str">
        <f t="shared" si="164"/>
        <v>Carbonász</v>
      </c>
      <c r="BD72" s="346">
        <f t="shared" ca="1" si="165"/>
        <v>20</v>
      </c>
      <c r="BE72" s="346">
        <f t="shared" ca="1" si="166"/>
        <v>4</v>
      </c>
      <c r="BF72" s="346">
        <f t="shared" ca="1" si="167"/>
        <v>2</v>
      </c>
      <c r="BG72" s="346">
        <f t="shared" ca="1" si="168"/>
        <v>14</v>
      </c>
      <c r="BH72" s="346">
        <f t="shared" ca="1" si="169"/>
        <v>44</v>
      </c>
      <c r="BI72" s="346">
        <f t="shared" ca="1" si="170"/>
        <v>101</v>
      </c>
      <c r="BJ72" s="346">
        <f t="shared" ca="1" si="171"/>
        <v>-57</v>
      </c>
      <c r="BK72" s="347">
        <f t="shared" ca="1" si="172"/>
        <v>0.43564356435643564</v>
      </c>
      <c r="BL72" s="346">
        <f t="shared" si="146"/>
        <v>0</v>
      </c>
      <c r="BM72" s="346">
        <f t="shared" ca="1" si="147"/>
        <v>14</v>
      </c>
      <c r="BN72" s="346">
        <f t="shared" ca="1" si="173"/>
        <v>22</v>
      </c>
      <c r="BO72" s="347">
        <f t="shared" ca="1" si="148"/>
        <v>0.55000000000000004</v>
      </c>
      <c r="BP72" s="348">
        <v>3.5999999999999997E-2</v>
      </c>
      <c r="BQ72" s="349">
        <f t="shared" ca="1" si="149"/>
        <v>0</v>
      </c>
      <c r="BS72" s="346">
        <f t="shared" ca="1" si="150"/>
        <v>0</v>
      </c>
      <c r="BT72" s="346">
        <f t="shared" ca="1" si="151"/>
        <v>3</v>
      </c>
      <c r="BU72" s="346">
        <f t="shared" ca="1" si="152"/>
        <v>0</v>
      </c>
      <c r="BV72" s="346">
        <f t="shared" ca="1" si="153"/>
        <v>7</v>
      </c>
      <c r="BW72" s="346">
        <f t="shared" ca="1" si="154"/>
        <v>24</v>
      </c>
      <c r="BX72" s="346">
        <f t="shared" ca="1" si="155"/>
        <v>51</v>
      </c>
      <c r="BZ72" s="346">
        <f t="shared" ca="1" si="156"/>
        <v>0</v>
      </c>
      <c r="CA72" s="346">
        <f t="shared" ca="1" si="157"/>
        <v>1</v>
      </c>
      <c r="CB72" s="346">
        <f t="shared" ca="1" si="158"/>
        <v>2</v>
      </c>
      <c r="CC72" s="346">
        <f t="shared" ca="1" si="159"/>
        <v>7</v>
      </c>
      <c r="CD72" s="346">
        <f t="shared" ca="1" si="160"/>
        <v>20</v>
      </c>
      <c r="CE72" s="346">
        <f t="shared" ca="1" si="161"/>
        <v>50</v>
      </c>
      <c r="CH72" s="350"/>
      <c r="CI72" s="353">
        <f t="shared" si="174"/>
        <v>5.0000000000000001E-3</v>
      </c>
      <c r="CJ72" s="352">
        <f t="shared" si="175"/>
        <v>0</v>
      </c>
      <c r="CK72" s="353">
        <f t="shared" si="176"/>
        <v>0</v>
      </c>
      <c r="CL72" s="354">
        <v>5</v>
      </c>
      <c r="CM72" s="350"/>
      <c r="CN72" s="300"/>
      <c r="CO72" s="356" t="str">
        <f>IF(OR(CO67=$BM110,CO67=$BO110),$BC110,"")</f>
        <v/>
      </c>
      <c r="CP72" s="357" t="str">
        <f t="shared" si="177"/>
        <v/>
      </c>
      <c r="CQ72" s="358" t="str">
        <f>IF(ISERR(LARGE(CP68:CP77,$CL72)),"",LARGE(CP68:CP77,$CL72))</f>
        <v/>
      </c>
      <c r="CR72" s="356" t="str">
        <f>IF(OR(CR67=$BM110,CR67=$BO110),$BC110,"")</f>
        <v/>
      </c>
      <c r="CS72" s="357" t="str">
        <f t="shared" si="178"/>
        <v/>
      </c>
      <c r="CT72" s="385"/>
      <c r="CU72" s="356" t="str">
        <f>IF(OR(CU67=$BM110,CU67=$BO110),$BC110,"")</f>
        <v/>
      </c>
      <c r="CV72" s="357" t="str">
        <f t="shared" si="179"/>
        <v/>
      </c>
      <c r="CW72" s="385"/>
      <c r="DG72" s="350"/>
      <c r="DH72" s="300"/>
      <c r="DI72" s="395" t="str">
        <f t="shared" ca="1" si="137"/>
        <v/>
      </c>
      <c r="DJ72" s="360" t="str">
        <f t="shared" ca="1" si="138"/>
        <v/>
      </c>
      <c r="DK72" s="360" t="str">
        <f t="shared" ca="1" si="124"/>
        <v/>
      </c>
      <c r="DL72" s="354" t="str">
        <f t="shared" ca="1" si="125"/>
        <v/>
      </c>
      <c r="DM72" s="354" t="str">
        <f t="shared" ca="1" si="126"/>
        <v/>
      </c>
      <c r="DN72" s="361" t="str">
        <f t="shared" ca="1" si="127"/>
        <v/>
      </c>
      <c r="DO72" s="362" t="str">
        <f t="shared" ca="1" si="128"/>
        <v/>
      </c>
      <c r="DP72" s="379" t="str">
        <f t="shared" ca="1" si="141"/>
        <v/>
      </c>
      <c r="DQ72" s="302"/>
      <c r="DR72" s="364"/>
      <c r="DS72" s="302"/>
      <c r="DU72" s="424"/>
      <c r="EL72" s="424"/>
      <c r="EM72" s="424"/>
      <c r="EN72" s="424"/>
      <c r="EO72" s="424"/>
      <c r="EP72" s="424"/>
      <c r="EQ72" s="424"/>
      <c r="ER72" s="404" t="str">
        <f ca="1">ER66</f>
        <v/>
      </c>
      <c r="ES72" s="371" t="str">
        <f ca="1">IF(OR(ER72="",EY72="",ER72=EY72),"",CONCATENATE(ER72,EY72))</f>
        <v/>
      </c>
      <c r="ET72" s="422" t="str">
        <f ca="1">IF(OR(ES72="",EY53&gt;2),"",CONCATENATE(VLOOKUP(ES72,games.a,9,FALSE),VLOOKUP(ES72,games.a,12,FALSE)))</f>
        <v/>
      </c>
      <c r="EU72" s="406"/>
      <c r="EV72" s="407"/>
      <c r="EW72" s="423" t="str">
        <f ca="1">IF(ES72="","",VLOOKUP(ES72,games.a,6,FALSE))</f>
        <v/>
      </c>
      <c r="EX72" s="409" t="str">
        <f ca="1">IF(ES72="","",VLOOKUP(ES72,games.a,7,FALSE))</f>
        <v/>
      </c>
      <c r="EY72" s="410" t="str">
        <f ca="1">ER57</f>
        <v/>
      </c>
      <c r="EZ72" s="411"/>
      <c r="FA72" s="412"/>
      <c r="FB72" s="424"/>
      <c r="FC72" s="424"/>
      <c r="FD72" s="425"/>
      <c r="FE72" s="333"/>
      <c r="FG72" s="376"/>
      <c r="FH72" s="376"/>
      <c r="FI72" s="382" t="str">
        <f>CONCATENATE("rank.a",FH72)</f>
        <v>rank.a</v>
      </c>
      <c r="FJ72" s="383" t="b">
        <f t="shared" ref="FJ72:FJ78" ca="1" si="181">AND($FK$70,FG72&lt;&gt;"",FH72&lt;&gt;"",IF(FH72=2,$AJ$75,$AJ$69))</f>
        <v>0</v>
      </c>
      <c r="FK72" s="384" t="str">
        <f ca="1">IF(NOT(FJ72),"",VLOOKUP(FG72,INDIRECT(FI72),2,FALSE))</f>
        <v/>
      </c>
      <c r="FL72" s="177"/>
      <c r="FM72" s="177"/>
      <c r="FO72" s="300"/>
      <c r="FP72" s="395" t="str">
        <f t="shared" ca="1" si="139"/>
        <v/>
      </c>
      <c r="FQ72" s="360" t="str">
        <f t="shared" ca="1" si="140"/>
        <v/>
      </c>
      <c r="FR72" s="360" t="str">
        <f t="shared" ca="1" si="129"/>
        <v/>
      </c>
      <c r="FS72" s="360" t="str">
        <f t="shared" ca="1" si="130"/>
        <v/>
      </c>
      <c r="FT72" s="360" t="str">
        <f t="shared" ca="1" si="131"/>
        <v/>
      </c>
      <c r="FU72" s="360" t="str">
        <f t="shared" ca="1" si="132"/>
        <v/>
      </c>
      <c r="FV72" s="360" t="str">
        <f t="shared" ca="1" si="133"/>
        <v/>
      </c>
      <c r="FW72" s="360" t="str">
        <f t="shared" ca="1" si="134"/>
        <v/>
      </c>
      <c r="FX72" s="360" t="str">
        <f t="shared" ca="1" si="135"/>
        <v/>
      </c>
      <c r="FY72" s="360" t="str">
        <f t="shared" ca="1" si="136"/>
        <v/>
      </c>
      <c r="FZ72" s="379" t="str">
        <f t="shared" ca="1" si="142"/>
        <v/>
      </c>
      <c r="GA72" s="302"/>
      <c r="GB72" s="364"/>
      <c r="GC72" s="302"/>
    </row>
    <row r="73" spans="15:185" ht="16.5" customHeight="1" x14ac:dyDescent="0.25">
      <c r="X73" s="432">
        <f>Adatok!B2</f>
        <v>0</v>
      </c>
      <c r="AB73" s="337">
        <f t="shared" si="143"/>
        <v>0</v>
      </c>
      <c r="AC73" s="338">
        <f t="shared" si="144"/>
        <v>0</v>
      </c>
      <c r="AD73" s="337"/>
      <c r="AU73" s="349">
        <v>6</v>
      </c>
      <c r="AV73" s="430" t="str">
        <f t="shared" ca="1" si="145"/>
        <v>Hercules-Ludovika</v>
      </c>
      <c r="AW73" s="349">
        <v>6</v>
      </c>
      <c r="AY73" s="431">
        <f t="shared" ca="1" si="162"/>
        <v>25237056.034000002</v>
      </c>
      <c r="AZ73" s="377">
        <f t="shared" ca="1" si="180"/>
        <v>6</v>
      </c>
      <c r="BA73" s="343">
        <f t="shared" ca="1" si="163"/>
        <v>25289055.035</v>
      </c>
      <c r="BB73" s="349">
        <v>6</v>
      </c>
      <c r="BC73" s="378" t="str">
        <f t="shared" si="164"/>
        <v>Élelmesek</v>
      </c>
      <c r="BD73" s="346">
        <f t="shared" ca="1" si="165"/>
        <v>20</v>
      </c>
      <c r="BE73" s="346">
        <f t="shared" ca="1" si="166"/>
        <v>7</v>
      </c>
      <c r="BF73" s="346">
        <f t="shared" ca="1" si="167"/>
        <v>4</v>
      </c>
      <c r="BG73" s="346">
        <f t="shared" ca="1" si="168"/>
        <v>9</v>
      </c>
      <c r="BH73" s="346">
        <f t="shared" ca="1" si="169"/>
        <v>55</v>
      </c>
      <c r="BI73" s="346">
        <f t="shared" ca="1" si="170"/>
        <v>46</v>
      </c>
      <c r="BJ73" s="346">
        <f t="shared" ca="1" si="171"/>
        <v>9</v>
      </c>
      <c r="BK73" s="347">
        <f t="shared" ca="1" si="172"/>
        <v>1.1956521739130435</v>
      </c>
      <c r="BL73" s="346">
        <f t="shared" si="146"/>
        <v>0</v>
      </c>
      <c r="BM73" s="346">
        <f t="shared" ca="1" si="147"/>
        <v>25</v>
      </c>
      <c r="BN73" s="346">
        <f t="shared" ca="1" si="173"/>
        <v>23</v>
      </c>
      <c r="BO73" s="347">
        <f t="shared" ca="1" si="148"/>
        <v>0.57499999999999996</v>
      </c>
      <c r="BP73" s="348">
        <v>3.5000000000000003E-2</v>
      </c>
      <c r="BQ73" s="349">
        <f t="shared" ca="1" si="149"/>
        <v>280000</v>
      </c>
      <c r="BS73" s="346">
        <f t="shared" ca="1" si="150"/>
        <v>0</v>
      </c>
      <c r="BT73" s="346">
        <f t="shared" ca="1" si="151"/>
        <v>3</v>
      </c>
      <c r="BU73" s="346">
        <f t="shared" ca="1" si="152"/>
        <v>3</v>
      </c>
      <c r="BV73" s="346">
        <f t="shared" ca="1" si="153"/>
        <v>4</v>
      </c>
      <c r="BW73" s="346">
        <f t="shared" ca="1" si="154"/>
        <v>27</v>
      </c>
      <c r="BX73" s="346">
        <f t="shared" ca="1" si="155"/>
        <v>24</v>
      </c>
      <c r="BZ73" s="346">
        <f t="shared" ca="1" si="156"/>
        <v>0</v>
      </c>
      <c r="CA73" s="346">
        <f t="shared" ca="1" si="157"/>
        <v>4</v>
      </c>
      <c r="CB73" s="346">
        <f t="shared" ca="1" si="158"/>
        <v>1</v>
      </c>
      <c r="CC73" s="346">
        <f t="shared" ca="1" si="159"/>
        <v>5</v>
      </c>
      <c r="CD73" s="346">
        <f t="shared" ca="1" si="160"/>
        <v>28</v>
      </c>
      <c r="CE73" s="346">
        <f t="shared" ca="1" si="161"/>
        <v>22</v>
      </c>
      <c r="CH73" s="350"/>
      <c r="CI73" s="353">
        <f t="shared" si="174"/>
        <v>6.0000000000000001E-3</v>
      </c>
      <c r="CJ73" s="352">
        <f t="shared" si="175"/>
        <v>0</v>
      </c>
      <c r="CK73" s="353">
        <f t="shared" si="176"/>
        <v>0</v>
      </c>
      <c r="CL73" s="354">
        <v>6</v>
      </c>
      <c r="CM73" s="350"/>
      <c r="CN73" s="300"/>
      <c r="CO73" s="356" t="str">
        <f>IF(OR(CO67=$BM111,CO67=$BO111),$BC111,"")</f>
        <v/>
      </c>
      <c r="CP73" s="357" t="str">
        <f t="shared" si="177"/>
        <v/>
      </c>
      <c r="CQ73" s="385"/>
      <c r="CR73" s="356" t="str">
        <f>IF(OR(CR67=$BM111,CR67=$BO111),$BC111,"")</f>
        <v/>
      </c>
      <c r="CS73" s="357" t="str">
        <f t="shared" si="178"/>
        <v/>
      </c>
      <c r="CT73" s="385"/>
      <c r="CU73" s="356" t="str">
        <f>IF(OR(CU67=$BM111,CU67=$BO111),$BC111,"")</f>
        <v/>
      </c>
      <c r="CV73" s="357" t="str">
        <f t="shared" si="179"/>
        <v/>
      </c>
      <c r="CW73" s="385"/>
      <c r="DG73" s="350"/>
      <c r="DH73" s="300"/>
      <c r="DI73" s="395" t="str">
        <f t="shared" ca="1" si="137"/>
        <v/>
      </c>
      <c r="DJ73" s="360" t="str">
        <f t="shared" ca="1" si="138"/>
        <v/>
      </c>
      <c r="DK73" s="360" t="str">
        <f t="shared" ca="1" si="124"/>
        <v/>
      </c>
      <c r="DL73" s="354" t="str">
        <f t="shared" ca="1" si="125"/>
        <v/>
      </c>
      <c r="DM73" s="354" t="str">
        <f t="shared" ca="1" si="126"/>
        <v/>
      </c>
      <c r="DN73" s="361" t="str">
        <f t="shared" ca="1" si="127"/>
        <v/>
      </c>
      <c r="DO73" s="362" t="str">
        <f t="shared" ca="1" si="128"/>
        <v/>
      </c>
      <c r="DP73" s="379" t="str">
        <f t="shared" ca="1" si="141"/>
        <v/>
      </c>
      <c r="DQ73" s="302"/>
      <c r="DR73" s="364"/>
      <c r="DS73" s="302"/>
      <c r="DU73" s="424"/>
      <c r="EL73" s="424"/>
      <c r="EM73" s="424"/>
      <c r="EN73" s="424"/>
      <c r="EO73" s="424"/>
      <c r="EP73" s="424"/>
      <c r="EQ73" s="424"/>
      <c r="ER73" s="404" t="str">
        <f ca="1">ER67</f>
        <v/>
      </c>
      <c r="ES73" s="371" t="str">
        <f ca="1">IF(OR(ER73="",EY73="",ER73=EY73),"",CONCATENATE(ER73,EY73))</f>
        <v/>
      </c>
      <c r="ET73" s="422" t="str">
        <f ca="1">IF(OR(ES73="",EY53&gt;2),"",CONCATENATE(VLOOKUP(ES73,games.a,9,FALSE),VLOOKUP(ES73,games.a,12,FALSE)))</f>
        <v/>
      </c>
      <c r="EU73" s="413"/>
      <c r="EV73" s="414"/>
      <c r="EW73" s="423" t="str">
        <f ca="1">IF(ES73="","",VLOOKUP(ES73,games.a,6,FALSE))</f>
        <v/>
      </c>
      <c r="EX73" s="409" t="str">
        <f ca="1">IF(ES73="","",VLOOKUP(ES73,games.a,7,FALSE))</f>
        <v/>
      </c>
      <c r="EY73" s="415" t="str">
        <f ca="1">EY72</f>
        <v/>
      </c>
      <c r="EZ73" s="416"/>
      <c r="FA73" s="417"/>
      <c r="FB73" s="424"/>
      <c r="FC73" s="424"/>
      <c r="FD73" s="425"/>
      <c r="FE73" s="333"/>
      <c r="FG73" s="376"/>
      <c r="FH73" s="376"/>
      <c r="FI73" s="382" t="str">
        <f t="shared" ref="FI73:FI78" si="182">CONCATENATE("rank.a",FH73)</f>
        <v>rank.a</v>
      </c>
      <c r="FJ73" s="383" t="b">
        <f t="shared" ca="1" si="181"/>
        <v>0</v>
      </c>
      <c r="FK73" s="387" t="str">
        <f t="shared" ref="FK73:FK78" ca="1" si="183">IF(NOT(FJ73),"",VLOOKUP(FG73,INDIRECT(FI73),2,FALSE))</f>
        <v/>
      </c>
      <c r="FL73" s="177"/>
      <c r="FM73" s="177"/>
      <c r="FO73" s="300"/>
      <c r="FP73" s="395" t="str">
        <f t="shared" ca="1" si="139"/>
        <v/>
      </c>
      <c r="FQ73" s="360" t="str">
        <f t="shared" ca="1" si="140"/>
        <v/>
      </c>
      <c r="FR73" s="360" t="str">
        <f t="shared" ca="1" si="129"/>
        <v/>
      </c>
      <c r="FS73" s="360" t="str">
        <f t="shared" ca="1" si="130"/>
        <v/>
      </c>
      <c r="FT73" s="360" t="str">
        <f t="shared" ca="1" si="131"/>
        <v/>
      </c>
      <c r="FU73" s="360" t="str">
        <f t="shared" ca="1" si="132"/>
        <v/>
      </c>
      <c r="FV73" s="360" t="str">
        <f t="shared" ca="1" si="133"/>
        <v/>
      </c>
      <c r="FW73" s="360" t="str">
        <f t="shared" ca="1" si="134"/>
        <v/>
      </c>
      <c r="FX73" s="360" t="str">
        <f t="shared" ca="1" si="135"/>
        <v/>
      </c>
      <c r="FY73" s="360" t="str">
        <f t="shared" ca="1" si="136"/>
        <v/>
      </c>
      <c r="FZ73" s="379" t="str">
        <f t="shared" ca="1" si="142"/>
        <v/>
      </c>
      <c r="GA73" s="302"/>
      <c r="GB73" s="364"/>
      <c r="GC73" s="302"/>
    </row>
    <row r="74" spans="15:185" ht="16.5" customHeight="1" x14ac:dyDescent="0.25">
      <c r="X74" s="432">
        <f>Adatok!B3</f>
        <v>0</v>
      </c>
      <c r="AB74" s="337">
        <f t="shared" si="143"/>
        <v>0</v>
      </c>
      <c r="AC74" s="338">
        <f t="shared" si="144"/>
        <v>0</v>
      </c>
      <c r="AD74" s="337"/>
      <c r="AI74" s="232" t="s">
        <v>203</v>
      </c>
      <c r="AJ74" s="389" t="b">
        <f>IF(NOT($X$71),FALSE,SUM(BD94:BD103)*2/$X$84&gt;=$X$85)</f>
        <v>0</v>
      </c>
      <c r="AU74" s="349">
        <v>7</v>
      </c>
      <c r="AV74" s="430" t="str">
        <f t="shared" ca="1" si="145"/>
        <v>Bakafogó-Honvéd-Sashegy SE</v>
      </c>
      <c r="AW74" s="349">
        <v>7</v>
      </c>
      <c r="AY74" s="431">
        <f t="shared" ca="1" si="162"/>
        <v>20376041.039999999</v>
      </c>
      <c r="AZ74" s="377">
        <f t="shared" ca="1" si="180"/>
        <v>7</v>
      </c>
      <c r="BA74" s="343">
        <f t="shared" ca="1" si="163"/>
        <v>25237056.034000002</v>
      </c>
      <c r="BB74" s="349">
        <v>7</v>
      </c>
      <c r="BC74" s="378" t="str">
        <f t="shared" si="164"/>
        <v>Hercules-Ludovika</v>
      </c>
      <c r="BD74" s="346">
        <f t="shared" ca="1" si="165"/>
        <v>20</v>
      </c>
      <c r="BE74" s="346">
        <f t="shared" ca="1" si="166"/>
        <v>8</v>
      </c>
      <c r="BF74" s="346">
        <f t="shared" ca="1" si="167"/>
        <v>1</v>
      </c>
      <c r="BG74" s="346">
        <f t="shared" ca="1" si="168"/>
        <v>11</v>
      </c>
      <c r="BH74" s="346">
        <f t="shared" ca="1" si="169"/>
        <v>56</v>
      </c>
      <c r="BI74" s="346">
        <f t="shared" ca="1" si="170"/>
        <v>59</v>
      </c>
      <c r="BJ74" s="346">
        <f t="shared" ca="1" si="171"/>
        <v>-3</v>
      </c>
      <c r="BK74" s="347">
        <f t="shared" ca="1" si="172"/>
        <v>0.94915254237288138</v>
      </c>
      <c r="BL74" s="346">
        <f t="shared" si="146"/>
        <v>0</v>
      </c>
      <c r="BM74" s="346">
        <f t="shared" ca="1" si="147"/>
        <v>25</v>
      </c>
      <c r="BN74" s="346">
        <f t="shared" ca="1" si="173"/>
        <v>27</v>
      </c>
      <c r="BO74" s="347">
        <f t="shared" ca="1" si="148"/>
        <v>0.67500000000000004</v>
      </c>
      <c r="BP74" s="348">
        <v>3.3999999999999996E-2</v>
      </c>
      <c r="BQ74" s="349">
        <f t="shared" ca="1" si="149"/>
        <v>240000</v>
      </c>
      <c r="BS74" s="346">
        <f t="shared" ca="1" si="150"/>
        <v>0</v>
      </c>
      <c r="BT74" s="346">
        <f t="shared" ca="1" si="151"/>
        <v>6</v>
      </c>
      <c r="BU74" s="346">
        <f t="shared" ca="1" si="152"/>
        <v>0</v>
      </c>
      <c r="BV74" s="346">
        <f t="shared" ca="1" si="153"/>
        <v>4</v>
      </c>
      <c r="BW74" s="346">
        <f t="shared" ca="1" si="154"/>
        <v>34</v>
      </c>
      <c r="BX74" s="346">
        <f t="shared" ca="1" si="155"/>
        <v>25</v>
      </c>
      <c r="BZ74" s="346">
        <f t="shared" ca="1" si="156"/>
        <v>0</v>
      </c>
      <c r="CA74" s="346">
        <f t="shared" ca="1" si="157"/>
        <v>2</v>
      </c>
      <c r="CB74" s="346">
        <f t="shared" ca="1" si="158"/>
        <v>1</v>
      </c>
      <c r="CC74" s="346">
        <f t="shared" ca="1" si="159"/>
        <v>7</v>
      </c>
      <c r="CD74" s="346">
        <f t="shared" ca="1" si="160"/>
        <v>22</v>
      </c>
      <c r="CE74" s="346">
        <f t="shared" ca="1" si="161"/>
        <v>34</v>
      </c>
      <c r="CH74" s="350"/>
      <c r="CI74" s="353">
        <f t="shared" si="174"/>
        <v>7.0000000000000001E-3</v>
      </c>
      <c r="CJ74" s="352">
        <f t="shared" si="175"/>
        <v>0</v>
      </c>
      <c r="CK74" s="353">
        <f t="shared" si="176"/>
        <v>0</v>
      </c>
      <c r="CL74" s="354">
        <v>7</v>
      </c>
      <c r="CM74" s="350"/>
      <c r="CN74" s="300"/>
      <c r="CO74" s="356" t="str">
        <f>IF(OR(CO67=$BM112,CO67=$BO112),$BC112,"")</f>
        <v/>
      </c>
      <c r="CP74" s="357" t="str">
        <f t="shared" si="177"/>
        <v/>
      </c>
      <c r="CQ74" s="385"/>
      <c r="CR74" s="356" t="str">
        <f>IF(OR(CR67=$BM112,CR67=$BO112),$BC112,"")</f>
        <v/>
      </c>
      <c r="CS74" s="357" t="str">
        <f t="shared" si="178"/>
        <v/>
      </c>
      <c r="CT74" s="385"/>
      <c r="CU74" s="356" t="str">
        <f>IF(OR(CU67=$BM112,CU67=$BO112),$BC112,"")</f>
        <v/>
      </c>
      <c r="CV74" s="357" t="str">
        <f t="shared" si="179"/>
        <v/>
      </c>
      <c r="CW74" s="385"/>
      <c r="DG74" s="350"/>
      <c r="DH74" s="300"/>
      <c r="DI74" s="301"/>
      <c r="DJ74" s="324" t="s">
        <v>157</v>
      </c>
      <c r="DK74" s="324" t="s">
        <v>158</v>
      </c>
      <c r="DL74" s="325" t="s">
        <v>159</v>
      </c>
      <c r="DM74" s="325"/>
      <c r="DN74" s="326" t="s">
        <v>160</v>
      </c>
      <c r="DO74" s="325" t="s">
        <v>135</v>
      </c>
      <c r="DP74" s="302"/>
      <c r="DQ74" s="302"/>
      <c r="DR74" s="364"/>
      <c r="DS74" s="302"/>
      <c r="DU74" s="424"/>
      <c r="EL74" s="424"/>
      <c r="EM74" s="424"/>
      <c r="EN74" s="424"/>
      <c r="EO74" s="424"/>
      <c r="EP74" s="424"/>
      <c r="EQ74" s="424"/>
      <c r="ER74" s="404" t="str">
        <f ca="1">ER68</f>
        <v/>
      </c>
      <c r="ES74" s="371" t="str">
        <f ca="1">IF(OR(ER74="",EY74="",ER74=EY74),"",CONCATENATE(ER74,EY74))</f>
        <v/>
      </c>
      <c r="ET74" s="422" t="str">
        <f ca="1">IF(OR(ES74="",EY53&gt;2),"",CONCATENATE(VLOOKUP(ES74,games.a,9,FALSE),VLOOKUP(ES74,games.a,12,FALSE)))</f>
        <v/>
      </c>
      <c r="EU74" s="413"/>
      <c r="EV74" s="414"/>
      <c r="EW74" s="423" t="str">
        <f ca="1">IF(ES74="","",VLOOKUP(ES74,games.a,6,FALSE))</f>
        <v/>
      </c>
      <c r="EX74" s="409" t="str">
        <f ca="1">IF(ES74="","",VLOOKUP(ES74,games.a,7,FALSE))</f>
        <v/>
      </c>
      <c r="EY74" s="415" t="str">
        <f ca="1">EY73</f>
        <v/>
      </c>
      <c r="EZ74" s="416"/>
      <c r="FA74" s="417"/>
      <c r="FB74" s="424"/>
      <c r="FC74" s="424"/>
      <c r="FD74" s="425"/>
      <c r="FE74" s="333"/>
      <c r="FG74" s="376"/>
      <c r="FH74" s="376"/>
      <c r="FI74" s="382" t="str">
        <f t="shared" si="182"/>
        <v>rank.a</v>
      </c>
      <c r="FJ74" s="383" t="b">
        <f t="shared" ca="1" si="181"/>
        <v>0</v>
      </c>
      <c r="FK74" s="387" t="str">
        <f t="shared" ca="1" si="183"/>
        <v/>
      </c>
      <c r="FL74" s="177"/>
      <c r="FM74" s="177"/>
      <c r="FO74" s="300"/>
      <c r="FP74" s="301"/>
      <c r="FQ74" s="324" t="s">
        <v>157</v>
      </c>
      <c r="FR74" s="324" t="s">
        <v>237</v>
      </c>
      <c r="FS74" s="324" t="s">
        <v>239</v>
      </c>
      <c r="FT74" s="324" t="s">
        <v>240</v>
      </c>
      <c r="FU74" s="324" t="s">
        <v>238</v>
      </c>
      <c r="FV74" s="324" t="s">
        <v>241</v>
      </c>
      <c r="FW74" s="324" t="s">
        <v>242</v>
      </c>
      <c r="FX74" s="326" t="s">
        <v>160</v>
      </c>
      <c r="FY74" s="325" t="s">
        <v>135</v>
      </c>
      <c r="FZ74" s="302"/>
      <c r="GA74" s="302"/>
      <c r="GB74" s="364"/>
      <c r="GC74" s="302"/>
    </row>
    <row r="75" spans="15:185" ht="16.5" customHeight="1" x14ac:dyDescent="0.25">
      <c r="X75" s="432">
        <f>Adatok!B4</f>
        <v>0</v>
      </c>
      <c r="AB75" s="337">
        <f t="shared" si="143"/>
        <v>0</v>
      </c>
      <c r="AC75" s="338">
        <f t="shared" si="144"/>
        <v>0</v>
      </c>
      <c r="AD75" s="337"/>
      <c r="AI75" s="232" t="s">
        <v>204</v>
      </c>
      <c r="AJ75" s="389" t="b">
        <f>IF(NOT($X$71),FALSE,SUM(BD106:BD115)/$X$84=$X$85)</f>
        <v>0</v>
      </c>
      <c r="AU75" s="349">
        <v>8</v>
      </c>
      <c r="AV75" s="430" t="str">
        <f t="shared" ca="1" si="145"/>
        <v>Vakana</v>
      </c>
      <c r="AW75" s="349">
        <v>8</v>
      </c>
      <c r="AY75" s="431">
        <f t="shared" ca="1" si="162"/>
        <v>20329034.030999999</v>
      </c>
      <c r="AZ75" s="377">
        <f t="shared" ca="1" si="180"/>
        <v>8</v>
      </c>
      <c r="BA75" s="343">
        <f t="shared" ca="1" si="163"/>
        <v>52083107.033</v>
      </c>
      <c r="BB75" s="349">
        <v>8</v>
      </c>
      <c r="BC75" s="378" t="str">
        <f t="shared" si="164"/>
        <v>K&amp;H</v>
      </c>
      <c r="BD75" s="346">
        <f t="shared" ca="1" si="165"/>
        <v>20</v>
      </c>
      <c r="BE75" s="346">
        <f t="shared" ca="1" si="166"/>
        <v>17</v>
      </c>
      <c r="BF75" s="346">
        <f t="shared" ca="1" si="167"/>
        <v>1</v>
      </c>
      <c r="BG75" s="346">
        <f t="shared" ca="1" si="168"/>
        <v>2</v>
      </c>
      <c r="BH75" s="346">
        <f t="shared" ca="1" si="169"/>
        <v>107</v>
      </c>
      <c r="BI75" s="346">
        <f t="shared" ca="1" si="170"/>
        <v>24</v>
      </c>
      <c r="BJ75" s="346">
        <f t="shared" ca="1" si="171"/>
        <v>83</v>
      </c>
      <c r="BK75" s="347">
        <f t="shared" ca="1" si="172"/>
        <v>4.458333333333333</v>
      </c>
      <c r="BL75" s="346">
        <f t="shared" si="146"/>
        <v>0</v>
      </c>
      <c r="BM75" s="346">
        <f t="shared" ca="1" si="147"/>
        <v>52</v>
      </c>
      <c r="BN75" s="346">
        <f t="shared" ca="1" si="173"/>
        <v>36</v>
      </c>
      <c r="BO75" s="347">
        <f t="shared" ca="1" si="148"/>
        <v>0.9</v>
      </c>
      <c r="BP75" s="348">
        <v>3.2999999999999995E-2</v>
      </c>
      <c r="BQ75" s="349">
        <f t="shared" ca="1" si="149"/>
        <v>0</v>
      </c>
      <c r="BS75" s="346">
        <f t="shared" ca="1" si="150"/>
        <v>0</v>
      </c>
      <c r="BT75" s="346">
        <f t="shared" ca="1" si="151"/>
        <v>8</v>
      </c>
      <c r="BU75" s="346">
        <f t="shared" ca="1" si="152"/>
        <v>1</v>
      </c>
      <c r="BV75" s="346">
        <f t="shared" ca="1" si="153"/>
        <v>1</v>
      </c>
      <c r="BW75" s="346">
        <f t="shared" ca="1" si="154"/>
        <v>51</v>
      </c>
      <c r="BX75" s="346">
        <f t="shared" ca="1" si="155"/>
        <v>15</v>
      </c>
      <c r="BZ75" s="346">
        <f t="shared" ca="1" si="156"/>
        <v>0</v>
      </c>
      <c r="CA75" s="346">
        <f t="shared" ca="1" si="157"/>
        <v>9</v>
      </c>
      <c r="CB75" s="346">
        <f t="shared" ca="1" si="158"/>
        <v>0</v>
      </c>
      <c r="CC75" s="346">
        <f t="shared" ca="1" si="159"/>
        <v>1</v>
      </c>
      <c r="CD75" s="346">
        <f t="shared" ca="1" si="160"/>
        <v>56</v>
      </c>
      <c r="CE75" s="346">
        <f t="shared" ca="1" si="161"/>
        <v>9</v>
      </c>
      <c r="CH75" s="350"/>
      <c r="CI75" s="353">
        <f t="shared" si="174"/>
        <v>8.0000000000000002E-3</v>
      </c>
      <c r="CJ75" s="352">
        <f t="shared" si="175"/>
        <v>0</v>
      </c>
      <c r="CK75" s="353">
        <f t="shared" si="176"/>
        <v>0</v>
      </c>
      <c r="CL75" s="354">
        <v>8</v>
      </c>
      <c r="CM75" s="350"/>
      <c r="CN75" s="300"/>
      <c r="CO75" s="356" t="str">
        <f>IF(OR(CO67=$BM113,CO67=$BO113),$BC113,"")</f>
        <v/>
      </c>
      <c r="CP75" s="357" t="str">
        <f t="shared" si="177"/>
        <v/>
      </c>
      <c r="CQ75" s="385"/>
      <c r="CR75" s="356" t="str">
        <f>IF(OR(CR67=$BM113,CR67=$BO113),$BC113,"")</f>
        <v/>
      </c>
      <c r="CS75" s="357" t="str">
        <f t="shared" si="178"/>
        <v/>
      </c>
      <c r="CT75" s="385"/>
      <c r="CU75" s="356" t="str">
        <f>IF(OR(CU67=$BM113,CU67=$BO113),$BC113,"")</f>
        <v/>
      </c>
      <c r="CV75" s="357" t="str">
        <f t="shared" si="179"/>
        <v/>
      </c>
      <c r="CW75" s="385"/>
      <c r="DG75" s="350"/>
      <c r="DH75" s="300"/>
      <c r="DI75" s="395" t="str">
        <f ca="1">DI64</f>
        <v>Vakana</v>
      </c>
      <c r="DJ75" s="360" t="str">
        <f ca="1">IF(OR(DI75="",DP75="",DI75=DP75),"",CONCATENATE(DI75,DP75))</f>
        <v/>
      </c>
      <c r="DK75" s="360" t="str">
        <f t="shared" ref="DK75:DK84" ca="1" si="184">IF($DJ75="","",CONCATENATE(VLOOKUP($DJ75,games.a,9,FALSE),VLOOKUP($DJ75,games.a,12,FALSE)))</f>
        <v/>
      </c>
      <c r="DL75" s="354" t="str">
        <f t="shared" ref="DL75:DL84" ca="1" si="185">IF($DJ75="","",VLOOKUP($DJ75,games.a,10,FALSE))</f>
        <v/>
      </c>
      <c r="DM75" s="354" t="str">
        <f t="shared" ref="DM75:DM84" ca="1" si="186">IF($DJ75="","",VLOOKUP($DJ75,games.a,13,FALSE))</f>
        <v/>
      </c>
      <c r="DN75" s="361" t="str">
        <f t="shared" ref="DN75:DN84" ca="1" si="187">IF($DJ75="","",VLOOKUP($DJ75,games.a,6,FALSE))</f>
        <v/>
      </c>
      <c r="DO75" s="362" t="str">
        <f t="shared" ref="DO75:DO84" ca="1" si="188">IF($DJ75="","",VLOOKUP($DJ75,games.a,7,FALSE))</f>
        <v/>
      </c>
      <c r="DP75" s="363" t="str">
        <f ca="1">DI45</f>
        <v/>
      </c>
      <c r="DQ75" s="302"/>
      <c r="DR75" s="364"/>
      <c r="DS75" s="302"/>
      <c r="DU75" s="424"/>
      <c r="DV75" s="424"/>
      <c r="DW75" s="424"/>
      <c r="DX75" s="424"/>
      <c r="DY75" s="424"/>
      <c r="DZ75" s="424"/>
      <c r="EA75" s="424"/>
      <c r="EB75" s="424"/>
      <c r="EC75" s="424"/>
      <c r="ED75" s="424"/>
      <c r="EE75" s="424"/>
      <c r="EF75" s="424"/>
      <c r="EG75" s="424"/>
      <c r="EH75" s="424"/>
      <c r="EI75" s="424"/>
      <c r="EJ75" s="424"/>
      <c r="EK75" s="424"/>
      <c r="EL75" s="424"/>
      <c r="EM75" s="424"/>
      <c r="EN75" s="424"/>
      <c r="EO75" s="424"/>
      <c r="EP75" s="424"/>
      <c r="EQ75" s="424"/>
      <c r="ER75" s="404" t="str">
        <f ca="1">ER69</f>
        <v/>
      </c>
      <c r="ES75" s="371" t="str">
        <f ca="1">IF(OR(ER75="",EY75="",ER75=EY75),"",CONCATENATE(ER75,EY75))</f>
        <v/>
      </c>
      <c r="ET75" s="422" t="str">
        <f ca="1">IF(OR(ES75="",EY53&gt;2),"",CONCATENATE(VLOOKUP(ES75,games.a,9,FALSE),VLOOKUP(ES75,games.a,12,FALSE)))</f>
        <v/>
      </c>
      <c r="EU75" s="413"/>
      <c r="EV75" s="414"/>
      <c r="EW75" s="423" t="str">
        <f ca="1">IF(ES75="","",VLOOKUP(ES75,games.a,6,FALSE))</f>
        <v/>
      </c>
      <c r="EX75" s="409" t="str">
        <f ca="1">IF(ES75="","",VLOOKUP(ES75,games.a,7,FALSE))</f>
        <v/>
      </c>
      <c r="EY75" s="415" t="str">
        <f ca="1">EY74</f>
        <v/>
      </c>
      <c r="EZ75" s="416"/>
      <c r="FA75" s="417"/>
      <c r="FB75" s="424"/>
      <c r="FC75" s="424"/>
      <c r="FD75" s="425"/>
      <c r="FE75" s="333"/>
      <c r="FG75" s="376"/>
      <c r="FH75" s="376"/>
      <c r="FI75" s="382" t="str">
        <f t="shared" si="182"/>
        <v>rank.a</v>
      </c>
      <c r="FJ75" s="383" t="b">
        <f t="shared" ca="1" si="181"/>
        <v>0</v>
      </c>
      <c r="FK75" s="387" t="str">
        <f t="shared" ca="1" si="183"/>
        <v/>
      </c>
      <c r="FL75" s="177"/>
      <c r="FM75" s="177"/>
      <c r="FO75" s="300"/>
      <c r="FP75" s="395" t="str">
        <f ca="1">FP64</f>
        <v/>
      </c>
      <c r="FQ75" s="360" t="str">
        <f ca="1">IF(OR(FP75="",FZ75="",FP75=FZ75),"",CONCATENATE(FP75,FZ75))</f>
        <v/>
      </c>
      <c r="FR75" s="360" t="str">
        <f t="shared" ref="FR75:FR84" ca="1" si="189">IF($FQ75="","",VLOOKUP($FQ75,games.a,9,FALSE))</f>
        <v/>
      </c>
      <c r="FS75" s="360" t="str">
        <f t="shared" ref="FS75:FS84" ca="1" si="190">IF($FQ75="","",VLOOKUP($FQ75,games.a,10,FALSE))</f>
        <v/>
      </c>
      <c r="FT75" s="360" t="str">
        <f t="shared" ref="FT75:FT84" ca="1" si="191">IF($FQ75="","",VLOOKUP($FQ75,games.a,11,FALSE))</f>
        <v/>
      </c>
      <c r="FU75" s="360" t="str">
        <f t="shared" ref="FU75:FU84" ca="1" si="192">IF($FQ75="","",VLOOKUP($FQ75,games.a,12,FALSE))</f>
        <v/>
      </c>
      <c r="FV75" s="360" t="str">
        <f t="shared" ref="FV75:FV84" ca="1" si="193">IF($FQ75="","",VLOOKUP($FQ75,games.a,13,FALSE))</f>
        <v/>
      </c>
      <c r="FW75" s="360" t="str">
        <f t="shared" ref="FW75:FW84" ca="1" si="194">IF($FQ75="","",VLOOKUP($FQ75,games.a,14,FALSE))</f>
        <v/>
      </c>
      <c r="FX75" s="360" t="str">
        <f t="shared" ref="FX75:FX84" ca="1" si="195">IF($FQ75="","",VLOOKUP($FQ75,games.a,6,FALSE))</f>
        <v/>
      </c>
      <c r="FY75" s="360" t="str">
        <f t="shared" ref="FY75:FY84" ca="1" si="196">IF($FQ75="","",VLOOKUP($FQ75,games.a,7,FALSE))</f>
        <v/>
      </c>
      <c r="FZ75" s="363" t="str">
        <f ca="1">FP45</f>
        <v/>
      </c>
      <c r="GA75" s="302"/>
      <c r="GB75" s="364"/>
      <c r="GC75" s="302"/>
    </row>
    <row r="76" spans="15:185" ht="16.5" customHeight="1" x14ac:dyDescent="0.25">
      <c r="X76" s="432">
        <f>Adatok!B5</f>
        <v>0</v>
      </c>
      <c r="AB76" s="337">
        <f t="shared" si="143"/>
        <v>0</v>
      </c>
      <c r="AC76" s="338">
        <f t="shared" si="144"/>
        <v>0</v>
      </c>
      <c r="AD76" s="337"/>
      <c r="AI76" s="232" t="s">
        <v>205</v>
      </c>
      <c r="AJ76" s="389" t="b">
        <f>AND($AJ$57=1,$AJ$63,IF($AJ$44,TRUE,$AJ$74),OR($AJ$53,$AJ$54))</f>
        <v>0</v>
      </c>
      <c r="AU76" s="349">
        <v>9</v>
      </c>
      <c r="AV76" s="430" t="str">
        <f t="shared" ca="1" si="145"/>
        <v>Carbonász</v>
      </c>
      <c r="AW76" s="349">
        <v>9</v>
      </c>
      <c r="AY76" s="431">
        <f t="shared" ca="1" si="162"/>
        <v>13943044.036</v>
      </c>
      <c r="AZ76" s="377">
        <f t="shared" ca="1" si="180"/>
        <v>9</v>
      </c>
      <c r="BA76" s="343">
        <f t="shared" ca="1" si="163"/>
        <v>11954027.032</v>
      </c>
      <c r="BB76" s="349">
        <v>9</v>
      </c>
      <c r="BC76" s="378" t="str">
        <f t="shared" si="164"/>
        <v>Royal Guard's</v>
      </c>
      <c r="BD76" s="346">
        <f t="shared" ca="1" si="165"/>
        <v>20</v>
      </c>
      <c r="BE76" s="346">
        <f t="shared" ca="1" si="166"/>
        <v>3</v>
      </c>
      <c r="BF76" s="346">
        <f t="shared" ca="1" si="167"/>
        <v>3</v>
      </c>
      <c r="BG76" s="346">
        <f t="shared" ca="1" si="168"/>
        <v>14</v>
      </c>
      <c r="BH76" s="346">
        <f t="shared" ca="1" si="169"/>
        <v>27</v>
      </c>
      <c r="BI76" s="346">
        <f t="shared" ca="1" si="170"/>
        <v>73</v>
      </c>
      <c r="BJ76" s="346">
        <f t="shared" ca="1" si="171"/>
        <v>-46</v>
      </c>
      <c r="BK76" s="347">
        <f t="shared" ca="1" si="172"/>
        <v>0.36986301369863012</v>
      </c>
      <c r="BL76" s="346">
        <f t="shared" si="146"/>
        <v>0</v>
      </c>
      <c r="BM76" s="346">
        <f t="shared" ca="1" si="147"/>
        <v>12</v>
      </c>
      <c r="BN76" s="346">
        <f t="shared" ca="1" si="173"/>
        <v>20</v>
      </c>
      <c r="BO76" s="347">
        <f t="shared" ca="1" si="148"/>
        <v>0.5</v>
      </c>
      <c r="BP76" s="348">
        <v>3.1999999999999994E-2</v>
      </c>
      <c r="BQ76" s="349">
        <f t="shared" ca="1" si="149"/>
        <v>0</v>
      </c>
      <c r="BS76" s="346">
        <f t="shared" ca="1" si="150"/>
        <v>0</v>
      </c>
      <c r="BT76" s="346">
        <f t="shared" ca="1" si="151"/>
        <v>2</v>
      </c>
      <c r="BU76" s="346">
        <f t="shared" ca="1" si="152"/>
        <v>2</v>
      </c>
      <c r="BV76" s="346">
        <f t="shared" ca="1" si="153"/>
        <v>6</v>
      </c>
      <c r="BW76" s="346">
        <f t="shared" ca="1" si="154"/>
        <v>15</v>
      </c>
      <c r="BX76" s="346">
        <f t="shared" ca="1" si="155"/>
        <v>26</v>
      </c>
      <c r="BZ76" s="346">
        <f t="shared" ca="1" si="156"/>
        <v>0</v>
      </c>
      <c r="CA76" s="346">
        <f t="shared" ca="1" si="157"/>
        <v>1</v>
      </c>
      <c r="CB76" s="346">
        <f t="shared" ca="1" si="158"/>
        <v>1</v>
      </c>
      <c r="CC76" s="346">
        <f t="shared" ca="1" si="159"/>
        <v>8</v>
      </c>
      <c r="CD76" s="346">
        <f t="shared" ca="1" si="160"/>
        <v>12</v>
      </c>
      <c r="CE76" s="346">
        <f t="shared" ca="1" si="161"/>
        <v>47</v>
      </c>
      <c r="CH76" s="350"/>
      <c r="CI76" s="353">
        <f t="shared" si="174"/>
        <v>8.9999999999999993E-3</v>
      </c>
      <c r="CJ76" s="352">
        <f t="shared" si="175"/>
        <v>0</v>
      </c>
      <c r="CK76" s="353">
        <f t="shared" si="176"/>
        <v>0</v>
      </c>
      <c r="CL76" s="354">
        <v>9</v>
      </c>
      <c r="CM76" s="350"/>
      <c r="CN76" s="300"/>
      <c r="CO76" s="356" t="str">
        <f>IF(OR(CO67=$BM114,CO67=$BO114),$BC114,"")</f>
        <v/>
      </c>
      <c r="CP76" s="357" t="str">
        <f t="shared" si="177"/>
        <v/>
      </c>
      <c r="CQ76" s="385"/>
      <c r="CR76" s="356" t="str">
        <f>IF(OR(CR67=$BM114,CR67=$BO114),$BC114,"")</f>
        <v/>
      </c>
      <c r="CS76" s="357" t="str">
        <f t="shared" si="178"/>
        <v/>
      </c>
      <c r="CT76" s="385"/>
      <c r="CU76" s="356" t="str">
        <f>IF(OR(CU67=$BM114,CU67=$BO114),$BC114,"")</f>
        <v/>
      </c>
      <c r="CV76" s="357" t="str">
        <f t="shared" si="179"/>
        <v/>
      </c>
      <c r="CW76" s="385"/>
      <c r="DG76" s="350"/>
      <c r="DH76" s="300"/>
      <c r="DI76" s="395" t="str">
        <f t="shared" ref="DI76:DI84" ca="1" si="197">DI65</f>
        <v>Bakafogó-Honvéd-Sashegy SE</v>
      </c>
      <c r="DJ76" s="360" t="str">
        <f t="shared" ref="DJ76:DJ84" ca="1" si="198">IF(OR(DI76="",DP76="",DI76=DP76),"",CONCATENATE(DI76,DP76))</f>
        <v/>
      </c>
      <c r="DK76" s="360" t="str">
        <f t="shared" ca="1" si="184"/>
        <v/>
      </c>
      <c r="DL76" s="354" t="str">
        <f t="shared" ca="1" si="185"/>
        <v/>
      </c>
      <c r="DM76" s="354" t="str">
        <f t="shared" ca="1" si="186"/>
        <v/>
      </c>
      <c r="DN76" s="361" t="str">
        <f t="shared" ca="1" si="187"/>
        <v/>
      </c>
      <c r="DO76" s="362" t="str">
        <f t="shared" ca="1" si="188"/>
        <v/>
      </c>
      <c r="DP76" s="379" t="str">
        <f ca="1">DP75</f>
        <v/>
      </c>
      <c r="DQ76" s="302"/>
      <c r="DR76" s="364"/>
      <c r="DS76" s="302"/>
      <c r="DU76" s="424"/>
      <c r="DV76" s="424"/>
      <c r="DW76" s="424"/>
      <c r="DX76" s="424"/>
      <c r="DY76" s="424"/>
      <c r="DZ76" s="424"/>
      <c r="EA76" s="424"/>
      <c r="EB76" s="424"/>
      <c r="EC76" s="424"/>
      <c r="ED76" s="424"/>
      <c r="EE76" s="424"/>
      <c r="EF76" s="424"/>
      <c r="EG76" s="424"/>
      <c r="EH76" s="424"/>
      <c r="EI76" s="424"/>
      <c r="EJ76" s="424"/>
      <c r="EK76" s="424"/>
      <c r="EL76" s="424"/>
      <c r="EM76" s="424"/>
      <c r="EN76" s="424"/>
      <c r="EO76" s="424"/>
      <c r="EP76" s="424"/>
      <c r="EQ76" s="424"/>
      <c r="ER76" s="404" t="str">
        <f ca="1">ER70</f>
        <v/>
      </c>
      <c r="ES76" s="371" t="str">
        <f ca="1">IF(OR(ER76="",EY76="",ER76=EY76),"",CONCATENATE(ER76,EY76))</f>
        <v/>
      </c>
      <c r="ET76" s="422" t="str">
        <f ca="1">IF(OR(ES76="",EY53&gt;2),"",CONCATENATE(VLOOKUP(ES76,games.a,9,FALSE),VLOOKUP(ES76,games.a,12,FALSE)))</f>
        <v/>
      </c>
      <c r="EU76" s="420"/>
      <c r="EV76" s="421"/>
      <c r="EW76" s="423" t="str">
        <f ca="1">IF(ES76="","",VLOOKUP(ES76,games.a,6,FALSE))</f>
        <v/>
      </c>
      <c r="EX76" s="409" t="str">
        <f ca="1">IF(ES76="","",VLOOKUP(ES76,games.a,7,FALSE))</f>
        <v/>
      </c>
      <c r="EY76" s="415" t="str">
        <f ca="1">EY75</f>
        <v/>
      </c>
      <c r="EZ76" s="416"/>
      <c r="FA76" s="417"/>
      <c r="FB76" s="424"/>
      <c r="FC76" s="424"/>
      <c r="FD76" s="425"/>
      <c r="FE76" s="333"/>
      <c r="FG76" s="376"/>
      <c r="FH76" s="376"/>
      <c r="FI76" s="382" t="str">
        <f t="shared" si="182"/>
        <v>rank.a</v>
      </c>
      <c r="FJ76" s="383" t="b">
        <f t="shared" ca="1" si="181"/>
        <v>0</v>
      </c>
      <c r="FK76" s="387" t="str">
        <f t="shared" ca="1" si="183"/>
        <v/>
      </c>
      <c r="FL76" s="177"/>
      <c r="FM76" s="177"/>
      <c r="FO76" s="300"/>
      <c r="FP76" s="395" t="str">
        <f t="shared" ref="FP76:FP84" ca="1" si="199">FP65</f>
        <v/>
      </c>
      <c r="FQ76" s="360" t="str">
        <f t="shared" ref="FQ76:FQ84" ca="1" si="200">IF(OR(FP76="",FZ76="",FP76=FZ76),"",CONCATENATE(FP76,FZ76))</f>
        <v/>
      </c>
      <c r="FR76" s="360" t="str">
        <f t="shared" ca="1" si="189"/>
        <v/>
      </c>
      <c r="FS76" s="360" t="str">
        <f t="shared" ca="1" si="190"/>
        <v/>
      </c>
      <c r="FT76" s="360" t="str">
        <f t="shared" ca="1" si="191"/>
        <v/>
      </c>
      <c r="FU76" s="360" t="str">
        <f t="shared" ca="1" si="192"/>
        <v/>
      </c>
      <c r="FV76" s="360" t="str">
        <f t="shared" ca="1" si="193"/>
        <v/>
      </c>
      <c r="FW76" s="360" t="str">
        <f t="shared" ca="1" si="194"/>
        <v/>
      </c>
      <c r="FX76" s="360" t="str">
        <f t="shared" ca="1" si="195"/>
        <v/>
      </c>
      <c r="FY76" s="360" t="str">
        <f t="shared" ca="1" si="196"/>
        <v/>
      </c>
      <c r="FZ76" s="379" t="str">
        <f ca="1">FZ75</f>
        <v/>
      </c>
      <c r="GA76" s="302"/>
      <c r="GB76" s="364"/>
      <c r="GC76" s="302"/>
    </row>
    <row r="77" spans="15:185" ht="16.5" customHeight="1" x14ac:dyDescent="0.25">
      <c r="X77" s="432">
        <f>Adatok!B6</f>
        <v>0</v>
      </c>
      <c r="AI77" s="232" t="s">
        <v>206</v>
      </c>
      <c r="AJ77" s="389" t="b">
        <f>AND($AJ$57=1,$AJ$63)</f>
        <v>1</v>
      </c>
      <c r="AU77" s="349">
        <v>10</v>
      </c>
      <c r="AV77" s="430" t="str">
        <f t="shared" ca="1" si="145"/>
        <v>Bőrdíszmű</v>
      </c>
      <c r="AW77" s="349">
        <v>10</v>
      </c>
      <c r="AY77" s="431">
        <f t="shared" ca="1" si="162"/>
        <v>12943027.037</v>
      </c>
      <c r="AZ77" s="377">
        <f t="shared" ca="1" si="180"/>
        <v>10</v>
      </c>
      <c r="BA77" s="343">
        <f t="shared" ca="1" si="163"/>
        <v>20329034.030999999</v>
      </c>
      <c r="BB77" s="349">
        <v>10</v>
      </c>
      <c r="BC77" s="378" t="str">
        <f t="shared" si="164"/>
        <v>Vakana</v>
      </c>
      <c r="BD77" s="346">
        <f t="shared" ca="1" si="165"/>
        <v>20</v>
      </c>
      <c r="BE77" s="346">
        <f t="shared" ca="1" si="166"/>
        <v>6</v>
      </c>
      <c r="BF77" s="346">
        <f t="shared" ca="1" si="167"/>
        <v>2</v>
      </c>
      <c r="BG77" s="346">
        <f t="shared" ca="1" si="168"/>
        <v>12</v>
      </c>
      <c r="BH77" s="346">
        <f t="shared" ca="1" si="169"/>
        <v>34</v>
      </c>
      <c r="BI77" s="346">
        <f t="shared" ca="1" si="170"/>
        <v>65</v>
      </c>
      <c r="BJ77" s="346">
        <f t="shared" ca="1" si="171"/>
        <v>-31</v>
      </c>
      <c r="BK77" s="347">
        <f t="shared" ca="1" si="172"/>
        <v>0.52307692307692311</v>
      </c>
      <c r="BL77" s="346">
        <f t="shared" si="146"/>
        <v>0</v>
      </c>
      <c r="BM77" s="346">
        <f t="shared" ca="1" si="147"/>
        <v>20</v>
      </c>
      <c r="BN77" s="346">
        <f t="shared" ca="1" si="173"/>
        <v>24</v>
      </c>
      <c r="BO77" s="347">
        <f t="shared" ca="1" si="148"/>
        <v>0.6</v>
      </c>
      <c r="BP77" s="348">
        <v>3.0999999999999993E-2</v>
      </c>
      <c r="BQ77" s="349">
        <f t="shared" ca="1" si="149"/>
        <v>360000</v>
      </c>
      <c r="BS77" s="346">
        <f t="shared" ca="1" si="150"/>
        <v>0</v>
      </c>
      <c r="BT77" s="346">
        <f t="shared" ca="1" si="151"/>
        <v>3</v>
      </c>
      <c r="BU77" s="346">
        <f t="shared" ca="1" si="152"/>
        <v>0</v>
      </c>
      <c r="BV77" s="346">
        <f t="shared" ca="1" si="153"/>
        <v>7</v>
      </c>
      <c r="BW77" s="346">
        <f t="shared" ca="1" si="154"/>
        <v>14</v>
      </c>
      <c r="BX77" s="346">
        <f t="shared" ca="1" si="155"/>
        <v>34</v>
      </c>
      <c r="BZ77" s="346">
        <f t="shared" ca="1" si="156"/>
        <v>0</v>
      </c>
      <c r="CA77" s="346">
        <f t="shared" ca="1" si="157"/>
        <v>3</v>
      </c>
      <c r="CB77" s="346">
        <f t="shared" ca="1" si="158"/>
        <v>2</v>
      </c>
      <c r="CC77" s="346">
        <f t="shared" ca="1" si="159"/>
        <v>5</v>
      </c>
      <c r="CD77" s="346">
        <f t="shared" ca="1" si="160"/>
        <v>20</v>
      </c>
      <c r="CE77" s="346">
        <f t="shared" ca="1" si="161"/>
        <v>31</v>
      </c>
      <c r="CH77" s="350"/>
      <c r="CI77" s="353">
        <f t="shared" si="174"/>
        <v>0.01</v>
      </c>
      <c r="CJ77" s="352">
        <f t="shared" si="175"/>
        <v>0</v>
      </c>
      <c r="CK77" s="353">
        <f t="shared" si="176"/>
        <v>0</v>
      </c>
      <c r="CL77" s="354">
        <v>10</v>
      </c>
      <c r="CM77" s="350"/>
      <c r="CN77" s="300"/>
      <c r="CO77" s="356" t="str">
        <f>IF(OR(CO67=$BM115,CO67=$BO115),$BC115,"")</f>
        <v/>
      </c>
      <c r="CP77" s="357" t="str">
        <f t="shared" si="177"/>
        <v/>
      </c>
      <c r="CQ77" s="357"/>
      <c r="CR77" s="356" t="str">
        <f>IF(OR(CR67=$BM115,CR67=$BO115),$BC115,"")</f>
        <v/>
      </c>
      <c r="CS77" s="357" t="str">
        <f t="shared" si="178"/>
        <v/>
      </c>
      <c r="CT77" s="357"/>
      <c r="CU77" s="356" t="str">
        <f>IF(OR(CU67=$BM115,CU67=$BO115),$BC115,"")</f>
        <v/>
      </c>
      <c r="CV77" s="357" t="str">
        <f t="shared" si="179"/>
        <v/>
      </c>
      <c r="CW77" s="357"/>
      <c r="DG77" s="350"/>
      <c r="DH77" s="300"/>
      <c r="DI77" s="395" t="str">
        <f t="shared" ca="1" si="197"/>
        <v/>
      </c>
      <c r="DJ77" s="360" t="str">
        <f t="shared" ca="1" si="198"/>
        <v/>
      </c>
      <c r="DK77" s="360" t="str">
        <f t="shared" ca="1" si="184"/>
        <v/>
      </c>
      <c r="DL77" s="354" t="str">
        <f t="shared" ca="1" si="185"/>
        <v/>
      </c>
      <c r="DM77" s="354" t="str">
        <f t="shared" ca="1" si="186"/>
        <v/>
      </c>
      <c r="DN77" s="361" t="str">
        <f t="shared" ca="1" si="187"/>
        <v/>
      </c>
      <c r="DO77" s="362" t="str">
        <f t="shared" ca="1" si="188"/>
        <v/>
      </c>
      <c r="DP77" s="379" t="str">
        <f t="shared" ref="DP77:DP84" ca="1" si="201">DP76</f>
        <v/>
      </c>
      <c r="DQ77" s="302"/>
      <c r="DR77" s="364"/>
      <c r="DS77" s="302"/>
      <c r="DU77" s="424"/>
      <c r="DV77" s="424"/>
      <c r="DW77" s="424"/>
      <c r="DX77" s="424"/>
      <c r="DY77" s="424"/>
      <c r="DZ77" s="424"/>
      <c r="EA77" s="424"/>
      <c r="EB77" s="424"/>
      <c r="EC77" s="424"/>
      <c r="ED77" s="424"/>
      <c r="EE77" s="424"/>
      <c r="EF77" s="424"/>
      <c r="EG77" s="424"/>
      <c r="EH77" s="424"/>
      <c r="EI77" s="424"/>
      <c r="EJ77" s="424"/>
      <c r="EK77" s="424"/>
      <c r="EL77" s="424"/>
      <c r="EM77" s="424"/>
      <c r="EN77" s="424"/>
      <c r="EO77" s="424"/>
      <c r="EP77" s="424"/>
      <c r="EQ77" s="424"/>
      <c r="ER77" s="398"/>
      <c r="ES77" s="329" t="s">
        <v>157</v>
      </c>
      <c r="ET77" s="329" t="s">
        <v>158</v>
      </c>
      <c r="EU77" s="399"/>
      <c r="EV77" s="400"/>
      <c r="EW77" s="401" t="s">
        <v>160</v>
      </c>
      <c r="EX77" s="402" t="s">
        <v>135</v>
      </c>
      <c r="EY77" s="398"/>
      <c r="EZ77" s="365"/>
      <c r="FA77" s="365"/>
      <c r="FB77" s="424"/>
      <c r="FC77" s="424"/>
      <c r="FD77" s="425"/>
      <c r="FE77" s="333"/>
      <c r="FG77" s="376"/>
      <c r="FH77" s="376"/>
      <c r="FI77" s="382" t="str">
        <f t="shared" si="182"/>
        <v>rank.a</v>
      </c>
      <c r="FJ77" s="383" t="b">
        <f t="shared" ca="1" si="181"/>
        <v>0</v>
      </c>
      <c r="FK77" s="387" t="str">
        <f t="shared" ca="1" si="183"/>
        <v/>
      </c>
      <c r="FL77" s="177"/>
      <c r="FM77" s="177"/>
      <c r="FO77" s="300"/>
      <c r="FP77" s="395" t="str">
        <f t="shared" ca="1" si="199"/>
        <v/>
      </c>
      <c r="FQ77" s="360" t="str">
        <f t="shared" ca="1" si="200"/>
        <v/>
      </c>
      <c r="FR77" s="360" t="str">
        <f t="shared" ca="1" si="189"/>
        <v/>
      </c>
      <c r="FS77" s="360" t="str">
        <f t="shared" ca="1" si="190"/>
        <v/>
      </c>
      <c r="FT77" s="360" t="str">
        <f t="shared" ca="1" si="191"/>
        <v/>
      </c>
      <c r="FU77" s="360" t="str">
        <f t="shared" ca="1" si="192"/>
        <v/>
      </c>
      <c r="FV77" s="360" t="str">
        <f t="shared" ca="1" si="193"/>
        <v/>
      </c>
      <c r="FW77" s="360" t="str">
        <f t="shared" ca="1" si="194"/>
        <v/>
      </c>
      <c r="FX77" s="360" t="str">
        <f t="shared" ca="1" si="195"/>
        <v/>
      </c>
      <c r="FY77" s="360" t="str">
        <f t="shared" ca="1" si="196"/>
        <v/>
      </c>
      <c r="FZ77" s="379" t="str">
        <f t="shared" ref="FZ77:FZ84" ca="1" si="202">FZ76</f>
        <v/>
      </c>
      <c r="GA77" s="302"/>
      <c r="GB77" s="364"/>
      <c r="GC77" s="302"/>
    </row>
    <row r="78" spans="15:185" ht="16.5" customHeight="1" x14ac:dyDescent="0.25">
      <c r="X78" s="432">
        <f>Adatok!B7</f>
        <v>0</v>
      </c>
      <c r="AB78" s="310" t="s">
        <v>175</v>
      </c>
      <c r="AC78" s="311"/>
      <c r="AD78" s="311"/>
      <c r="AE78" s="311"/>
      <c r="AI78" s="232" t="s">
        <v>395</v>
      </c>
      <c r="AJ78" s="389" t="b">
        <f ca="1">AND($AJ$63,$R$43&gt;1,ASZ!$AT$105&gt;1)</f>
        <v>1</v>
      </c>
      <c r="AU78" s="349">
        <v>11</v>
      </c>
      <c r="AV78" s="430" t="str">
        <f t="shared" ca="1" si="145"/>
        <v>Royal Guard's</v>
      </c>
      <c r="AW78" s="349">
        <v>11</v>
      </c>
      <c r="AY78" s="431">
        <f t="shared" ca="1" si="162"/>
        <v>11954027.032</v>
      </c>
      <c r="AZ78" s="377">
        <f t="shared" ca="1" si="180"/>
        <v>11</v>
      </c>
      <c r="BA78" s="343">
        <f t="shared" ca="1" si="163"/>
        <v>41032073.030000001</v>
      </c>
      <c r="BB78" s="349">
        <v>11</v>
      </c>
      <c r="BC78" s="378" t="str">
        <f t="shared" si="164"/>
        <v>Zrínyigyöngye</v>
      </c>
      <c r="BD78" s="346">
        <f t="shared" ca="1" si="165"/>
        <v>20</v>
      </c>
      <c r="BE78" s="346">
        <f t="shared" ca="1" si="166"/>
        <v>13</v>
      </c>
      <c r="BF78" s="346">
        <f t="shared" ca="1" si="167"/>
        <v>2</v>
      </c>
      <c r="BG78" s="346">
        <f t="shared" ca="1" si="168"/>
        <v>5</v>
      </c>
      <c r="BH78" s="346">
        <f t="shared" ca="1" si="169"/>
        <v>73</v>
      </c>
      <c r="BI78" s="346">
        <f t="shared" ca="1" si="170"/>
        <v>41</v>
      </c>
      <c r="BJ78" s="346">
        <f t="shared" ca="1" si="171"/>
        <v>32</v>
      </c>
      <c r="BK78" s="347">
        <f t="shared" ca="1" si="172"/>
        <v>1.7804878048780488</v>
      </c>
      <c r="BL78" s="346">
        <f t="shared" si="146"/>
        <v>0</v>
      </c>
      <c r="BM78" s="346">
        <f t="shared" ca="1" si="147"/>
        <v>41</v>
      </c>
      <c r="BN78" s="346">
        <f t="shared" ca="1" si="173"/>
        <v>31</v>
      </c>
      <c r="BO78" s="347">
        <f t="shared" ca="1" si="148"/>
        <v>0.77500000000000002</v>
      </c>
      <c r="BP78" s="348">
        <v>0.03</v>
      </c>
      <c r="BQ78" s="349">
        <f t="shared" ca="1" si="149"/>
        <v>0</v>
      </c>
      <c r="BS78" s="346">
        <f t="shared" ca="1" si="150"/>
        <v>0</v>
      </c>
      <c r="BT78" s="346">
        <f t="shared" ca="1" si="151"/>
        <v>7</v>
      </c>
      <c r="BU78" s="346">
        <f t="shared" ca="1" si="152"/>
        <v>1</v>
      </c>
      <c r="BV78" s="346">
        <f t="shared" ca="1" si="153"/>
        <v>2</v>
      </c>
      <c r="BW78" s="346">
        <f t="shared" ca="1" si="154"/>
        <v>34</v>
      </c>
      <c r="BX78" s="346">
        <f t="shared" ca="1" si="155"/>
        <v>19</v>
      </c>
      <c r="BZ78" s="346">
        <f t="shared" ca="1" si="156"/>
        <v>0</v>
      </c>
      <c r="CA78" s="346">
        <f t="shared" ca="1" si="157"/>
        <v>6</v>
      </c>
      <c r="CB78" s="346">
        <f t="shared" ca="1" si="158"/>
        <v>1</v>
      </c>
      <c r="CC78" s="346">
        <f t="shared" ca="1" si="159"/>
        <v>3</v>
      </c>
      <c r="CD78" s="346">
        <f t="shared" ca="1" si="160"/>
        <v>39</v>
      </c>
      <c r="CE78" s="346">
        <f t="shared" ca="1" si="161"/>
        <v>22</v>
      </c>
      <c r="CH78" s="350"/>
      <c r="CI78" s="350"/>
      <c r="CJ78" s="350"/>
      <c r="CK78" s="350"/>
      <c r="CL78" s="350"/>
      <c r="CM78" s="350"/>
      <c r="CN78" s="300"/>
      <c r="DG78" s="350"/>
      <c r="DH78" s="300"/>
      <c r="DI78" s="395" t="str">
        <f t="shared" ca="1" si="197"/>
        <v/>
      </c>
      <c r="DJ78" s="360" t="str">
        <f t="shared" ca="1" si="198"/>
        <v/>
      </c>
      <c r="DK78" s="360" t="str">
        <f t="shared" ca="1" si="184"/>
        <v/>
      </c>
      <c r="DL78" s="354" t="str">
        <f t="shared" ca="1" si="185"/>
        <v/>
      </c>
      <c r="DM78" s="354" t="str">
        <f t="shared" ca="1" si="186"/>
        <v/>
      </c>
      <c r="DN78" s="361" t="str">
        <f t="shared" ca="1" si="187"/>
        <v/>
      </c>
      <c r="DO78" s="362" t="str">
        <f t="shared" ca="1" si="188"/>
        <v/>
      </c>
      <c r="DP78" s="379" t="str">
        <f t="shared" ca="1" si="201"/>
        <v/>
      </c>
      <c r="DQ78" s="302"/>
      <c r="DR78" s="364"/>
      <c r="DS78" s="302"/>
      <c r="DU78" s="424"/>
      <c r="DV78" s="424"/>
      <c r="DW78" s="424"/>
      <c r="DX78" s="424"/>
      <c r="DY78" s="424"/>
      <c r="DZ78" s="424"/>
      <c r="EA78" s="424"/>
      <c r="EB78" s="424"/>
      <c r="EC78" s="424"/>
      <c r="ED78" s="424"/>
      <c r="EE78" s="424"/>
      <c r="EF78" s="424"/>
      <c r="EG78" s="424"/>
      <c r="EH78" s="424"/>
      <c r="EI78" s="424"/>
      <c r="EJ78" s="424"/>
      <c r="EK78" s="424"/>
      <c r="EL78" s="424"/>
      <c r="EM78" s="424"/>
      <c r="EN78" s="424"/>
      <c r="EO78" s="424"/>
      <c r="EP78" s="424"/>
      <c r="EQ78" s="424"/>
      <c r="ER78" s="404" t="str">
        <f ca="1">ER72</f>
        <v/>
      </c>
      <c r="ES78" s="371" t="str">
        <f ca="1">IF(OR(ER78="",EY78="",ER78=EY78),"",CONCATENATE(ER78,EY78))</f>
        <v/>
      </c>
      <c r="ET78" s="422" t="str">
        <f ca="1">IF(OR(ES78="",EY53&gt;2),"",CONCATENATE(VLOOKUP(ES78,games.a,9,FALSE),VLOOKUP(ES78,games.a,12,FALSE)))</f>
        <v/>
      </c>
      <c r="EU78" s="406"/>
      <c r="EV78" s="407"/>
      <c r="EW78" s="423" t="str">
        <f ca="1">IF(ES78="","",VLOOKUP(ES78,games.a,6,FALSE))</f>
        <v/>
      </c>
      <c r="EX78" s="409" t="str">
        <f ca="1">IF(ES78="","",VLOOKUP(ES78,games.a,7,FALSE))</f>
        <v/>
      </c>
      <c r="EY78" s="410" t="str">
        <f ca="1">ER58</f>
        <v/>
      </c>
      <c r="EZ78" s="411"/>
      <c r="FA78" s="412"/>
      <c r="FB78" s="424"/>
      <c r="FC78" s="424"/>
      <c r="FD78" s="425"/>
      <c r="FE78" s="333"/>
      <c r="FG78" s="376"/>
      <c r="FH78" s="376"/>
      <c r="FI78" s="382" t="str">
        <f t="shared" si="182"/>
        <v>rank.a</v>
      </c>
      <c r="FJ78" s="383" t="b">
        <f t="shared" ca="1" si="181"/>
        <v>0</v>
      </c>
      <c r="FK78" s="387" t="str">
        <f t="shared" ca="1" si="183"/>
        <v/>
      </c>
      <c r="FL78" s="177"/>
      <c r="FM78" s="177"/>
      <c r="FO78" s="300"/>
      <c r="FP78" s="395" t="str">
        <f t="shared" ca="1" si="199"/>
        <v/>
      </c>
      <c r="FQ78" s="360" t="str">
        <f t="shared" ca="1" si="200"/>
        <v/>
      </c>
      <c r="FR78" s="360" t="str">
        <f t="shared" ca="1" si="189"/>
        <v/>
      </c>
      <c r="FS78" s="360" t="str">
        <f t="shared" ca="1" si="190"/>
        <v/>
      </c>
      <c r="FT78" s="360" t="str">
        <f t="shared" ca="1" si="191"/>
        <v/>
      </c>
      <c r="FU78" s="360" t="str">
        <f t="shared" ca="1" si="192"/>
        <v/>
      </c>
      <c r="FV78" s="360" t="str">
        <f t="shared" ca="1" si="193"/>
        <v/>
      </c>
      <c r="FW78" s="360" t="str">
        <f t="shared" ca="1" si="194"/>
        <v/>
      </c>
      <c r="FX78" s="360" t="str">
        <f t="shared" ca="1" si="195"/>
        <v/>
      </c>
      <c r="FY78" s="360" t="str">
        <f t="shared" ca="1" si="196"/>
        <v/>
      </c>
      <c r="FZ78" s="379" t="str">
        <f t="shared" ca="1" si="202"/>
        <v/>
      </c>
      <c r="GA78" s="302"/>
      <c r="GB78" s="364"/>
      <c r="GC78" s="302"/>
    </row>
    <row r="79" spans="15:185" ht="16.5" customHeight="1" x14ac:dyDescent="0.25">
      <c r="X79" s="432">
        <f>Adatok!B8</f>
        <v>0</v>
      </c>
      <c r="AC79" s="433" t="b">
        <v>1</v>
      </c>
      <c r="AI79" s="179"/>
      <c r="AJ79" s="179"/>
      <c r="AU79" s="349">
        <v>12</v>
      </c>
      <c r="AV79" s="430">
        <f t="shared" ca="1" si="145"/>
        <v>0</v>
      </c>
      <c r="AW79" s="349">
        <v>12</v>
      </c>
      <c r="AY79" s="431">
        <f t="shared" ca="1" si="162"/>
        <v>-999999999.97099996</v>
      </c>
      <c r="AZ79" s="377" t="str">
        <f t="shared" ca="1" si="180"/>
        <v/>
      </c>
      <c r="BA79" s="343">
        <f t="shared" ca="1" si="163"/>
        <v>-999999999.97099996</v>
      </c>
      <c r="BB79" s="349">
        <v>12</v>
      </c>
      <c r="BC79" s="378">
        <f t="shared" si="164"/>
        <v>0</v>
      </c>
      <c r="BD79" s="346">
        <f t="shared" ca="1" si="165"/>
        <v>0</v>
      </c>
      <c r="BE79" s="346">
        <f t="shared" ca="1" si="166"/>
        <v>0</v>
      </c>
      <c r="BF79" s="346">
        <f t="shared" ca="1" si="167"/>
        <v>0</v>
      </c>
      <c r="BG79" s="346">
        <f t="shared" ca="1" si="168"/>
        <v>0</v>
      </c>
      <c r="BH79" s="346">
        <f t="shared" ca="1" si="169"/>
        <v>0</v>
      </c>
      <c r="BI79" s="346">
        <f t="shared" ca="1" si="170"/>
        <v>0</v>
      </c>
      <c r="BJ79" s="346">
        <f t="shared" ca="1" si="171"/>
        <v>0</v>
      </c>
      <c r="BK79" s="347">
        <f t="shared" ca="1" si="172"/>
        <v>0</v>
      </c>
      <c r="BL79" s="346">
        <f t="shared" si="146"/>
        <v>0</v>
      </c>
      <c r="BM79" s="346">
        <f t="shared" ca="1" si="147"/>
        <v>0</v>
      </c>
      <c r="BN79" s="346">
        <f t="shared" ca="1" si="173"/>
        <v>0</v>
      </c>
      <c r="BO79" s="347">
        <f t="shared" ca="1" si="148"/>
        <v>0</v>
      </c>
      <c r="BP79" s="348">
        <v>2.8999999999999991E-2</v>
      </c>
      <c r="BQ79" s="349">
        <f t="shared" ca="1" si="149"/>
        <v>0</v>
      </c>
      <c r="BS79" s="346">
        <f t="shared" ca="1" si="150"/>
        <v>0</v>
      </c>
      <c r="BT79" s="346">
        <f t="shared" ca="1" si="151"/>
        <v>0</v>
      </c>
      <c r="BU79" s="346">
        <f t="shared" ca="1" si="152"/>
        <v>0</v>
      </c>
      <c r="BV79" s="346">
        <f t="shared" ca="1" si="153"/>
        <v>0</v>
      </c>
      <c r="BW79" s="346">
        <f t="shared" ca="1" si="154"/>
        <v>0</v>
      </c>
      <c r="BX79" s="346">
        <f t="shared" ca="1" si="155"/>
        <v>0</v>
      </c>
      <c r="BZ79" s="346">
        <f t="shared" ca="1" si="156"/>
        <v>0</v>
      </c>
      <c r="CA79" s="346">
        <f t="shared" ca="1" si="157"/>
        <v>0</v>
      </c>
      <c r="CB79" s="346">
        <f t="shared" ca="1" si="158"/>
        <v>0</v>
      </c>
      <c r="CC79" s="346">
        <f t="shared" ca="1" si="159"/>
        <v>0</v>
      </c>
      <c r="CD79" s="346">
        <f t="shared" ca="1" si="160"/>
        <v>0</v>
      </c>
      <c r="CE79" s="346">
        <f t="shared" ca="1" si="161"/>
        <v>0</v>
      </c>
      <c r="CH79" s="350"/>
      <c r="CI79" s="350"/>
      <c r="CJ79" s="350"/>
      <c r="CK79" s="350"/>
      <c r="CL79" s="350"/>
      <c r="CM79" s="350"/>
      <c r="CN79" s="300"/>
      <c r="DG79" s="350"/>
      <c r="DH79" s="300"/>
      <c r="DI79" s="395" t="str">
        <f t="shared" ca="1" si="197"/>
        <v/>
      </c>
      <c r="DJ79" s="360" t="str">
        <f t="shared" ca="1" si="198"/>
        <v/>
      </c>
      <c r="DK79" s="360" t="str">
        <f t="shared" ca="1" si="184"/>
        <v/>
      </c>
      <c r="DL79" s="354" t="str">
        <f t="shared" ca="1" si="185"/>
        <v/>
      </c>
      <c r="DM79" s="354" t="str">
        <f t="shared" ca="1" si="186"/>
        <v/>
      </c>
      <c r="DN79" s="361" t="str">
        <f t="shared" ca="1" si="187"/>
        <v/>
      </c>
      <c r="DO79" s="362" t="str">
        <f t="shared" ca="1" si="188"/>
        <v/>
      </c>
      <c r="DP79" s="379" t="str">
        <f t="shared" ca="1" si="201"/>
        <v/>
      </c>
      <c r="DQ79" s="302"/>
      <c r="DR79" s="364"/>
      <c r="DS79" s="302"/>
      <c r="DU79" s="424"/>
      <c r="DV79" s="424"/>
      <c r="DW79" s="424"/>
      <c r="DX79" s="424"/>
      <c r="DY79" s="424"/>
      <c r="DZ79" s="424"/>
      <c r="EA79" s="424"/>
      <c r="EB79" s="424"/>
      <c r="EC79" s="424"/>
      <c r="ED79" s="424"/>
      <c r="EE79" s="424"/>
      <c r="EF79" s="424"/>
      <c r="EG79" s="424"/>
      <c r="EH79" s="424"/>
      <c r="EI79" s="424"/>
      <c r="EJ79" s="424"/>
      <c r="EK79" s="424"/>
      <c r="EL79" s="424"/>
      <c r="EM79" s="424"/>
      <c r="EN79" s="424"/>
      <c r="EO79" s="424"/>
      <c r="EP79" s="424"/>
      <c r="EQ79" s="424"/>
      <c r="ER79" s="404" t="str">
        <f ca="1">ER73</f>
        <v/>
      </c>
      <c r="ES79" s="371" t="str">
        <f ca="1">IF(OR(ER79="",EY79="",ER79=EY79),"",CONCATENATE(ER79,EY79))</f>
        <v/>
      </c>
      <c r="ET79" s="422" t="str">
        <f ca="1">IF(OR(ES79="",EY53&gt;2),"",CONCATENATE(VLOOKUP(ES79,games.a,9,FALSE),VLOOKUP(ES79,games.a,12,FALSE)))</f>
        <v/>
      </c>
      <c r="EU79" s="413"/>
      <c r="EV79" s="414"/>
      <c r="EW79" s="423" t="str">
        <f ca="1">IF(ES79="","",VLOOKUP(ES79,games.a,6,FALSE))</f>
        <v/>
      </c>
      <c r="EX79" s="409" t="str">
        <f ca="1">IF(ES79="","",VLOOKUP(ES79,games.a,7,FALSE))</f>
        <v/>
      </c>
      <c r="EY79" s="415" t="str">
        <f ca="1">EY78</f>
        <v/>
      </c>
      <c r="EZ79" s="416"/>
      <c r="FA79" s="417"/>
      <c r="FB79" s="424"/>
      <c r="FC79" s="424"/>
      <c r="FD79" s="425"/>
      <c r="FE79" s="333"/>
      <c r="FJ79" s="177"/>
      <c r="FK79" s="177"/>
      <c r="FL79" s="177"/>
      <c r="FM79" s="177"/>
      <c r="FO79" s="300"/>
      <c r="FP79" s="395" t="str">
        <f t="shared" ca="1" si="199"/>
        <v/>
      </c>
      <c r="FQ79" s="360" t="str">
        <f t="shared" ca="1" si="200"/>
        <v/>
      </c>
      <c r="FR79" s="360" t="str">
        <f t="shared" ca="1" si="189"/>
        <v/>
      </c>
      <c r="FS79" s="360" t="str">
        <f t="shared" ca="1" si="190"/>
        <v/>
      </c>
      <c r="FT79" s="360" t="str">
        <f t="shared" ca="1" si="191"/>
        <v/>
      </c>
      <c r="FU79" s="360" t="str">
        <f t="shared" ca="1" si="192"/>
        <v/>
      </c>
      <c r="FV79" s="360" t="str">
        <f t="shared" ca="1" si="193"/>
        <v/>
      </c>
      <c r="FW79" s="360" t="str">
        <f t="shared" ca="1" si="194"/>
        <v/>
      </c>
      <c r="FX79" s="360" t="str">
        <f t="shared" ca="1" si="195"/>
        <v/>
      </c>
      <c r="FY79" s="360" t="str">
        <f t="shared" ca="1" si="196"/>
        <v/>
      </c>
      <c r="FZ79" s="379" t="str">
        <f t="shared" ca="1" si="202"/>
        <v/>
      </c>
      <c r="GA79" s="302"/>
      <c r="GB79" s="364"/>
      <c r="GC79" s="302"/>
    </row>
    <row r="80" spans="15:185" ht="16.5" customHeight="1" x14ac:dyDescent="0.25">
      <c r="X80" s="432">
        <f>Adatok!B9</f>
        <v>0</v>
      </c>
      <c r="AC80" s="336" t="b">
        <v>0</v>
      </c>
      <c r="AI80" s="179"/>
      <c r="AJ80" s="179"/>
      <c r="AU80" s="349">
        <v>13</v>
      </c>
      <c r="AV80" s="430">
        <f t="shared" ca="1" si="145"/>
        <v>0</v>
      </c>
      <c r="AW80" s="349">
        <v>13</v>
      </c>
      <c r="AY80" s="431">
        <f t="shared" ca="1" si="162"/>
        <v>-999999999.972</v>
      </c>
      <c r="AZ80" s="377" t="str">
        <f t="shared" ca="1" si="180"/>
        <v/>
      </c>
      <c r="BA80" s="343">
        <f t="shared" ca="1" si="163"/>
        <v>-999999999.972</v>
      </c>
      <c r="BB80" s="349">
        <v>13</v>
      </c>
      <c r="BC80" s="378">
        <f t="shared" si="164"/>
        <v>0</v>
      </c>
      <c r="BD80" s="346">
        <f t="shared" ca="1" si="165"/>
        <v>0</v>
      </c>
      <c r="BE80" s="346">
        <f t="shared" ca="1" si="166"/>
        <v>0</v>
      </c>
      <c r="BF80" s="346">
        <f t="shared" ca="1" si="167"/>
        <v>0</v>
      </c>
      <c r="BG80" s="346">
        <f t="shared" ca="1" si="168"/>
        <v>0</v>
      </c>
      <c r="BH80" s="346">
        <f t="shared" ca="1" si="169"/>
        <v>0</v>
      </c>
      <c r="BI80" s="346">
        <f t="shared" ca="1" si="170"/>
        <v>0</v>
      </c>
      <c r="BJ80" s="346">
        <f t="shared" ca="1" si="171"/>
        <v>0</v>
      </c>
      <c r="BK80" s="347">
        <f t="shared" ca="1" si="172"/>
        <v>0</v>
      </c>
      <c r="BL80" s="346">
        <f t="shared" si="146"/>
        <v>0</v>
      </c>
      <c r="BM80" s="346">
        <f t="shared" ca="1" si="147"/>
        <v>0</v>
      </c>
      <c r="BN80" s="346">
        <f t="shared" ca="1" si="173"/>
        <v>0</v>
      </c>
      <c r="BO80" s="347">
        <f t="shared" ca="1" si="148"/>
        <v>0</v>
      </c>
      <c r="BP80" s="348">
        <v>2.799999999999999E-2</v>
      </c>
      <c r="BQ80" s="349">
        <f t="shared" ca="1" si="149"/>
        <v>0</v>
      </c>
      <c r="BS80" s="346">
        <f t="shared" ca="1" si="150"/>
        <v>0</v>
      </c>
      <c r="BT80" s="346">
        <f t="shared" ca="1" si="151"/>
        <v>0</v>
      </c>
      <c r="BU80" s="346">
        <f t="shared" ca="1" si="152"/>
        <v>0</v>
      </c>
      <c r="BV80" s="346">
        <f t="shared" ca="1" si="153"/>
        <v>0</v>
      </c>
      <c r="BW80" s="346">
        <f t="shared" ca="1" si="154"/>
        <v>0</v>
      </c>
      <c r="BX80" s="346">
        <f t="shared" ca="1" si="155"/>
        <v>0</v>
      </c>
      <c r="BZ80" s="346">
        <f t="shared" ca="1" si="156"/>
        <v>0</v>
      </c>
      <c r="CA80" s="346">
        <f t="shared" ca="1" si="157"/>
        <v>0</v>
      </c>
      <c r="CB80" s="346">
        <f t="shared" ca="1" si="158"/>
        <v>0</v>
      </c>
      <c r="CC80" s="346">
        <f t="shared" ca="1" si="159"/>
        <v>0</v>
      </c>
      <c r="CD80" s="346">
        <f t="shared" ca="1" si="160"/>
        <v>0</v>
      </c>
      <c r="CE80" s="346">
        <f t="shared" ca="1" si="161"/>
        <v>0</v>
      </c>
      <c r="CH80" s="350"/>
      <c r="CI80" s="350"/>
      <c r="CJ80" s="350"/>
      <c r="CK80" s="350"/>
      <c r="CL80" s="350"/>
      <c r="CM80" s="350"/>
      <c r="CN80" s="300"/>
      <c r="DG80" s="350"/>
      <c r="DH80" s="300"/>
      <c r="DI80" s="395" t="str">
        <f t="shared" ca="1" si="197"/>
        <v/>
      </c>
      <c r="DJ80" s="360" t="str">
        <f t="shared" ca="1" si="198"/>
        <v/>
      </c>
      <c r="DK80" s="360" t="str">
        <f t="shared" ca="1" si="184"/>
        <v/>
      </c>
      <c r="DL80" s="354" t="str">
        <f t="shared" ca="1" si="185"/>
        <v/>
      </c>
      <c r="DM80" s="354" t="str">
        <f t="shared" ca="1" si="186"/>
        <v/>
      </c>
      <c r="DN80" s="361" t="str">
        <f t="shared" ca="1" si="187"/>
        <v/>
      </c>
      <c r="DO80" s="362" t="str">
        <f t="shared" ca="1" si="188"/>
        <v/>
      </c>
      <c r="DP80" s="379" t="str">
        <f t="shared" ca="1" si="201"/>
        <v/>
      </c>
      <c r="DQ80" s="302"/>
      <c r="DR80" s="364"/>
      <c r="DS80" s="302"/>
      <c r="DU80" s="424"/>
      <c r="DV80" s="424"/>
      <c r="DW80" s="424"/>
      <c r="DX80" s="424"/>
      <c r="DY80" s="424"/>
      <c r="DZ80" s="424"/>
      <c r="EA80" s="424"/>
      <c r="EB80" s="424"/>
      <c r="EC80" s="424"/>
      <c r="ED80" s="424"/>
      <c r="EE80" s="424"/>
      <c r="EF80" s="424"/>
      <c r="EG80" s="424"/>
      <c r="EH80" s="424"/>
      <c r="EI80" s="424"/>
      <c r="EJ80" s="424"/>
      <c r="EK80" s="424"/>
      <c r="EL80" s="424"/>
      <c r="EM80" s="424"/>
      <c r="EN80" s="424"/>
      <c r="EO80" s="424"/>
      <c r="EP80" s="424"/>
      <c r="EQ80" s="424"/>
      <c r="ER80" s="404" t="str">
        <f ca="1">ER74</f>
        <v/>
      </c>
      <c r="ES80" s="371" t="str">
        <f ca="1">IF(OR(ER80="",EY80="",ER80=EY80),"",CONCATENATE(ER80,EY80))</f>
        <v/>
      </c>
      <c r="ET80" s="422" t="str">
        <f ca="1">IF(OR(ES80="",EY53&gt;2),"",CONCATENATE(VLOOKUP(ES80,games.a,9,FALSE),VLOOKUP(ES80,games.a,12,FALSE)))</f>
        <v/>
      </c>
      <c r="EU80" s="413"/>
      <c r="EV80" s="414"/>
      <c r="EW80" s="423" t="str">
        <f ca="1">IF(ES80="","",VLOOKUP(ES80,games.a,6,FALSE))</f>
        <v/>
      </c>
      <c r="EX80" s="409" t="str">
        <f ca="1">IF(ES80="","",VLOOKUP(ES80,games.a,7,FALSE))</f>
        <v/>
      </c>
      <c r="EY80" s="415" t="str">
        <f ca="1">EY79</f>
        <v/>
      </c>
      <c r="EZ80" s="416"/>
      <c r="FA80" s="417"/>
      <c r="FB80" s="424"/>
      <c r="FC80" s="424"/>
      <c r="FD80" s="425"/>
      <c r="FE80" s="333"/>
      <c r="FJ80" s="177"/>
      <c r="FK80" s="177"/>
      <c r="FL80" s="177"/>
      <c r="FM80" s="177"/>
      <c r="FO80" s="300"/>
      <c r="FP80" s="395" t="str">
        <f t="shared" ca="1" si="199"/>
        <v/>
      </c>
      <c r="FQ80" s="360" t="str">
        <f t="shared" ca="1" si="200"/>
        <v/>
      </c>
      <c r="FR80" s="360" t="str">
        <f t="shared" ca="1" si="189"/>
        <v/>
      </c>
      <c r="FS80" s="360" t="str">
        <f t="shared" ca="1" si="190"/>
        <v/>
      </c>
      <c r="FT80" s="360" t="str">
        <f t="shared" ca="1" si="191"/>
        <v/>
      </c>
      <c r="FU80" s="360" t="str">
        <f t="shared" ca="1" si="192"/>
        <v/>
      </c>
      <c r="FV80" s="360" t="str">
        <f t="shared" ca="1" si="193"/>
        <v/>
      </c>
      <c r="FW80" s="360" t="str">
        <f t="shared" ca="1" si="194"/>
        <v/>
      </c>
      <c r="FX80" s="360" t="str">
        <f t="shared" ca="1" si="195"/>
        <v/>
      </c>
      <c r="FY80" s="360" t="str">
        <f t="shared" ca="1" si="196"/>
        <v/>
      </c>
      <c r="FZ80" s="379" t="str">
        <f t="shared" ca="1" si="202"/>
        <v/>
      </c>
      <c r="GA80" s="302"/>
      <c r="GB80" s="364"/>
      <c r="GC80" s="302"/>
    </row>
    <row r="81" spans="23:185" ht="16.5" customHeight="1" x14ac:dyDescent="0.25">
      <c r="W81" s="426"/>
      <c r="X81" s="432">
        <f>Adatok!B10</f>
        <v>0</v>
      </c>
      <c r="AI81" s="179"/>
      <c r="AJ81" s="179"/>
      <c r="AU81" s="349">
        <v>14</v>
      </c>
      <c r="AV81" s="430">
        <f t="shared" ca="1" si="145"/>
        <v>0</v>
      </c>
      <c r="AW81" s="349">
        <v>14</v>
      </c>
      <c r="AY81" s="431">
        <f t="shared" ca="1" si="162"/>
        <v>-999999999.97300005</v>
      </c>
      <c r="AZ81" s="377" t="str">
        <f t="shared" ca="1" si="180"/>
        <v/>
      </c>
      <c r="BA81" s="343">
        <f t="shared" ca="1" si="163"/>
        <v>-999999999.97300005</v>
      </c>
      <c r="BB81" s="349">
        <v>14</v>
      </c>
      <c r="BC81" s="378">
        <f t="shared" si="164"/>
        <v>0</v>
      </c>
      <c r="BD81" s="346">
        <f t="shared" ca="1" si="165"/>
        <v>0</v>
      </c>
      <c r="BE81" s="346">
        <f t="shared" ca="1" si="166"/>
        <v>0</v>
      </c>
      <c r="BF81" s="346">
        <f t="shared" ca="1" si="167"/>
        <v>0</v>
      </c>
      <c r="BG81" s="346">
        <f t="shared" ca="1" si="168"/>
        <v>0</v>
      </c>
      <c r="BH81" s="346">
        <f t="shared" ca="1" si="169"/>
        <v>0</v>
      </c>
      <c r="BI81" s="346">
        <f t="shared" ca="1" si="170"/>
        <v>0</v>
      </c>
      <c r="BJ81" s="346">
        <f t="shared" ca="1" si="171"/>
        <v>0</v>
      </c>
      <c r="BK81" s="347">
        <f t="shared" ca="1" si="172"/>
        <v>0</v>
      </c>
      <c r="BL81" s="346">
        <f t="shared" si="146"/>
        <v>0</v>
      </c>
      <c r="BM81" s="346">
        <f t="shared" ca="1" si="147"/>
        <v>0</v>
      </c>
      <c r="BN81" s="346">
        <f t="shared" ca="1" si="173"/>
        <v>0</v>
      </c>
      <c r="BO81" s="347">
        <f t="shared" ca="1" si="148"/>
        <v>0</v>
      </c>
      <c r="BP81" s="348">
        <v>2.6999999999999989E-2</v>
      </c>
      <c r="BQ81" s="349">
        <f t="shared" ca="1" si="149"/>
        <v>0</v>
      </c>
      <c r="BS81" s="346">
        <f t="shared" ca="1" si="150"/>
        <v>0</v>
      </c>
      <c r="BT81" s="346">
        <f t="shared" ca="1" si="151"/>
        <v>0</v>
      </c>
      <c r="BU81" s="346">
        <f t="shared" ca="1" si="152"/>
        <v>0</v>
      </c>
      <c r="BV81" s="346">
        <f t="shared" ca="1" si="153"/>
        <v>0</v>
      </c>
      <c r="BW81" s="346">
        <f t="shared" ca="1" si="154"/>
        <v>0</v>
      </c>
      <c r="BX81" s="346">
        <f t="shared" ca="1" si="155"/>
        <v>0</v>
      </c>
      <c r="BZ81" s="346">
        <f t="shared" ca="1" si="156"/>
        <v>0</v>
      </c>
      <c r="CA81" s="346">
        <f t="shared" ca="1" si="157"/>
        <v>0</v>
      </c>
      <c r="CB81" s="346">
        <f t="shared" ca="1" si="158"/>
        <v>0</v>
      </c>
      <c r="CC81" s="346">
        <f t="shared" ca="1" si="159"/>
        <v>0</v>
      </c>
      <c r="CD81" s="346">
        <f t="shared" ca="1" si="160"/>
        <v>0</v>
      </c>
      <c r="CE81" s="346">
        <f t="shared" ca="1" si="161"/>
        <v>0</v>
      </c>
      <c r="CH81" s="350"/>
      <c r="CI81" s="350"/>
      <c r="CJ81" s="350"/>
      <c r="CK81" s="350"/>
      <c r="CL81" s="350"/>
      <c r="CM81" s="350"/>
      <c r="CN81" s="300"/>
      <c r="DG81" s="350"/>
      <c r="DH81" s="300"/>
      <c r="DI81" s="395" t="str">
        <f t="shared" ca="1" si="197"/>
        <v/>
      </c>
      <c r="DJ81" s="360" t="str">
        <f t="shared" ca="1" si="198"/>
        <v/>
      </c>
      <c r="DK81" s="360" t="str">
        <f t="shared" ca="1" si="184"/>
        <v/>
      </c>
      <c r="DL81" s="354" t="str">
        <f t="shared" ca="1" si="185"/>
        <v/>
      </c>
      <c r="DM81" s="354" t="str">
        <f t="shared" ca="1" si="186"/>
        <v/>
      </c>
      <c r="DN81" s="361" t="str">
        <f t="shared" ca="1" si="187"/>
        <v/>
      </c>
      <c r="DO81" s="362" t="str">
        <f t="shared" ca="1" si="188"/>
        <v/>
      </c>
      <c r="DP81" s="379" t="str">
        <f t="shared" ca="1" si="201"/>
        <v/>
      </c>
      <c r="DQ81" s="302"/>
      <c r="DR81" s="364"/>
      <c r="DS81" s="302"/>
      <c r="DU81" s="424"/>
      <c r="DV81" s="424"/>
      <c r="DW81" s="424"/>
      <c r="DX81" s="424"/>
      <c r="DY81" s="424"/>
      <c r="DZ81" s="424"/>
      <c r="EA81" s="424"/>
      <c r="EB81" s="424"/>
      <c r="EC81" s="424"/>
      <c r="ED81" s="424"/>
      <c r="EE81" s="424"/>
      <c r="EF81" s="424"/>
      <c r="EG81" s="424"/>
      <c r="EH81" s="424"/>
      <c r="EI81" s="424"/>
      <c r="EJ81" s="424"/>
      <c r="EK81" s="424"/>
      <c r="EL81" s="424"/>
      <c r="EM81" s="424"/>
      <c r="EN81" s="424"/>
      <c r="EO81" s="424"/>
      <c r="EP81" s="424"/>
      <c r="EQ81" s="424"/>
      <c r="ER81" s="404" t="str">
        <f ca="1">ER75</f>
        <v/>
      </c>
      <c r="ES81" s="371" t="str">
        <f ca="1">IF(OR(ER81="",EY81="",ER81=EY81),"",CONCATENATE(ER81,EY81))</f>
        <v/>
      </c>
      <c r="ET81" s="422" t="str">
        <f ca="1">IF(OR(ES81="",EY53&gt;2),"",CONCATENATE(VLOOKUP(ES81,games.a,9,FALSE),VLOOKUP(ES81,games.a,12,FALSE)))</f>
        <v/>
      </c>
      <c r="EU81" s="413"/>
      <c r="EV81" s="414"/>
      <c r="EW81" s="423" t="str">
        <f ca="1">IF(ES81="","",VLOOKUP(ES81,games.a,6,FALSE))</f>
        <v/>
      </c>
      <c r="EX81" s="409" t="str">
        <f ca="1">IF(ES81="","",VLOOKUP(ES81,games.a,7,FALSE))</f>
        <v/>
      </c>
      <c r="EY81" s="415" t="str">
        <f ca="1">EY80</f>
        <v/>
      </c>
      <c r="EZ81" s="416"/>
      <c r="FA81" s="417"/>
      <c r="FB81" s="424"/>
      <c r="FC81" s="424"/>
      <c r="FD81" s="425"/>
      <c r="FE81" s="333"/>
      <c r="FJ81" s="232" t="s">
        <v>236</v>
      </c>
      <c r="FK81" s="376" t="b">
        <v>0</v>
      </c>
      <c r="FL81" s="177"/>
      <c r="FM81" s="177"/>
      <c r="FO81" s="300"/>
      <c r="FP81" s="395" t="str">
        <f t="shared" ca="1" si="199"/>
        <v/>
      </c>
      <c r="FQ81" s="360" t="str">
        <f t="shared" ca="1" si="200"/>
        <v/>
      </c>
      <c r="FR81" s="360" t="str">
        <f t="shared" ca="1" si="189"/>
        <v/>
      </c>
      <c r="FS81" s="360" t="str">
        <f t="shared" ca="1" si="190"/>
        <v/>
      </c>
      <c r="FT81" s="360" t="str">
        <f t="shared" ca="1" si="191"/>
        <v/>
      </c>
      <c r="FU81" s="360" t="str">
        <f t="shared" ca="1" si="192"/>
        <v/>
      </c>
      <c r="FV81" s="360" t="str">
        <f t="shared" ca="1" si="193"/>
        <v/>
      </c>
      <c r="FW81" s="360" t="str">
        <f t="shared" ca="1" si="194"/>
        <v/>
      </c>
      <c r="FX81" s="360" t="str">
        <f t="shared" ca="1" si="195"/>
        <v/>
      </c>
      <c r="FY81" s="360" t="str">
        <f t="shared" ca="1" si="196"/>
        <v/>
      </c>
      <c r="FZ81" s="379" t="str">
        <f t="shared" ca="1" si="202"/>
        <v/>
      </c>
      <c r="GA81" s="302"/>
      <c r="GB81" s="364"/>
      <c r="GC81" s="302"/>
    </row>
    <row r="82" spans="23:185" ht="16.5" customHeight="1" x14ac:dyDescent="0.25">
      <c r="W82" s="232" t="s">
        <v>165</v>
      </c>
      <c r="X82" s="339">
        <f>10-COUNTIF(X72:X81,0)</f>
        <v>0</v>
      </c>
      <c r="AI82" s="179"/>
      <c r="AJ82" s="179"/>
      <c r="AU82" s="349">
        <v>15</v>
      </c>
      <c r="AV82" s="430">
        <f t="shared" ca="1" si="145"/>
        <v>0</v>
      </c>
      <c r="AW82" s="349">
        <v>15</v>
      </c>
      <c r="AY82" s="431">
        <f t="shared" ca="1" si="162"/>
        <v>-999999999.97399998</v>
      </c>
      <c r="AZ82" s="377" t="str">
        <f t="shared" ca="1" si="180"/>
        <v/>
      </c>
      <c r="BA82" s="343">
        <f t="shared" ca="1" si="163"/>
        <v>-999999999.97399998</v>
      </c>
      <c r="BB82" s="349">
        <v>15</v>
      </c>
      <c r="BC82" s="378">
        <f t="shared" si="164"/>
        <v>0</v>
      </c>
      <c r="BD82" s="346">
        <f t="shared" ca="1" si="165"/>
        <v>0</v>
      </c>
      <c r="BE82" s="346">
        <f t="shared" ca="1" si="166"/>
        <v>0</v>
      </c>
      <c r="BF82" s="346">
        <f t="shared" ca="1" si="167"/>
        <v>0</v>
      </c>
      <c r="BG82" s="346">
        <f t="shared" ca="1" si="168"/>
        <v>0</v>
      </c>
      <c r="BH82" s="346">
        <f t="shared" ca="1" si="169"/>
        <v>0</v>
      </c>
      <c r="BI82" s="346">
        <f t="shared" ca="1" si="170"/>
        <v>0</v>
      </c>
      <c r="BJ82" s="346">
        <f t="shared" ca="1" si="171"/>
        <v>0</v>
      </c>
      <c r="BK82" s="347">
        <f t="shared" ca="1" si="172"/>
        <v>0</v>
      </c>
      <c r="BL82" s="346">
        <f t="shared" si="146"/>
        <v>0</v>
      </c>
      <c r="BM82" s="346">
        <f t="shared" ca="1" si="147"/>
        <v>0</v>
      </c>
      <c r="BN82" s="346">
        <f t="shared" ca="1" si="173"/>
        <v>0</v>
      </c>
      <c r="BO82" s="347">
        <f t="shared" ca="1" si="148"/>
        <v>0</v>
      </c>
      <c r="BP82" s="348">
        <v>2.5999999999999988E-2</v>
      </c>
      <c r="BQ82" s="349">
        <f t="shared" ca="1" si="149"/>
        <v>0</v>
      </c>
      <c r="BS82" s="346">
        <f t="shared" ca="1" si="150"/>
        <v>0</v>
      </c>
      <c r="BT82" s="346">
        <f t="shared" ca="1" si="151"/>
        <v>0</v>
      </c>
      <c r="BU82" s="346">
        <f t="shared" ca="1" si="152"/>
        <v>0</v>
      </c>
      <c r="BV82" s="346">
        <f t="shared" ca="1" si="153"/>
        <v>0</v>
      </c>
      <c r="BW82" s="346">
        <f t="shared" ca="1" si="154"/>
        <v>0</v>
      </c>
      <c r="BX82" s="346">
        <f t="shared" ca="1" si="155"/>
        <v>0</v>
      </c>
      <c r="BZ82" s="346">
        <f t="shared" ca="1" si="156"/>
        <v>0</v>
      </c>
      <c r="CA82" s="346">
        <f t="shared" ca="1" si="157"/>
        <v>0</v>
      </c>
      <c r="CB82" s="346">
        <f t="shared" ca="1" si="158"/>
        <v>0</v>
      </c>
      <c r="CC82" s="346">
        <f t="shared" ca="1" si="159"/>
        <v>0</v>
      </c>
      <c r="CD82" s="346">
        <f t="shared" ca="1" si="160"/>
        <v>0</v>
      </c>
      <c r="CE82" s="346">
        <f t="shared" ca="1" si="161"/>
        <v>0</v>
      </c>
      <c r="CH82" s="350"/>
      <c r="CI82" s="350"/>
      <c r="CJ82" s="350"/>
      <c r="CK82" s="350"/>
      <c r="CL82" s="350"/>
      <c r="CM82" s="350"/>
      <c r="CN82" s="300"/>
      <c r="DG82" s="350"/>
      <c r="DH82" s="300"/>
      <c r="DI82" s="395" t="str">
        <f t="shared" ca="1" si="197"/>
        <v/>
      </c>
      <c r="DJ82" s="360" t="str">
        <f t="shared" ca="1" si="198"/>
        <v/>
      </c>
      <c r="DK82" s="360" t="str">
        <f t="shared" ca="1" si="184"/>
        <v/>
      </c>
      <c r="DL82" s="354" t="str">
        <f t="shared" ca="1" si="185"/>
        <v/>
      </c>
      <c r="DM82" s="354" t="str">
        <f t="shared" ca="1" si="186"/>
        <v/>
      </c>
      <c r="DN82" s="361" t="str">
        <f t="shared" ca="1" si="187"/>
        <v/>
      </c>
      <c r="DO82" s="362" t="str">
        <f t="shared" ca="1" si="188"/>
        <v/>
      </c>
      <c r="DP82" s="379" t="str">
        <f t="shared" ca="1" si="201"/>
        <v/>
      </c>
      <c r="DQ82" s="302"/>
      <c r="DR82" s="364"/>
      <c r="DS82" s="302"/>
      <c r="DU82" s="424"/>
      <c r="DV82" s="424"/>
      <c r="DW82" s="424"/>
      <c r="DX82" s="424"/>
      <c r="DY82" s="424"/>
      <c r="DZ82" s="424"/>
      <c r="EA82" s="424"/>
      <c r="EB82" s="424"/>
      <c r="EC82" s="424"/>
      <c r="ED82" s="424"/>
      <c r="EE82" s="424"/>
      <c r="EF82" s="424"/>
      <c r="EG82" s="424"/>
      <c r="EH82" s="424"/>
      <c r="EI82" s="424"/>
      <c r="EJ82" s="424"/>
      <c r="EK82" s="424"/>
      <c r="EL82" s="424"/>
      <c r="EM82" s="424"/>
      <c r="EN82" s="424"/>
      <c r="EO82" s="424"/>
      <c r="EP82" s="424"/>
      <c r="EQ82" s="424"/>
      <c r="ER82" s="404" t="str">
        <f ca="1">ER76</f>
        <v/>
      </c>
      <c r="ES82" s="371" t="str">
        <f ca="1">IF(OR(ER82="",EY82="",ER82=EY82),"",CONCATENATE(ER82,EY82))</f>
        <v/>
      </c>
      <c r="ET82" s="422" t="str">
        <f ca="1">IF(OR(ES82="",EY53&gt;2),"",CONCATENATE(VLOOKUP(ES82,games.a,9,FALSE),VLOOKUP(ES82,games.a,12,FALSE)))</f>
        <v/>
      </c>
      <c r="EU82" s="420"/>
      <c r="EV82" s="421"/>
      <c r="EW82" s="423" t="str">
        <f ca="1">IF(ES82="","",VLOOKUP(ES82,games.a,6,FALSE))</f>
        <v/>
      </c>
      <c r="EX82" s="409" t="str">
        <f ca="1">IF(ES82="","",VLOOKUP(ES82,games.a,7,FALSE))</f>
        <v/>
      </c>
      <c r="EY82" s="415" t="str">
        <f ca="1">EY81</f>
        <v/>
      </c>
      <c r="EZ82" s="416"/>
      <c r="FA82" s="417"/>
      <c r="FB82" s="424"/>
      <c r="FC82" s="424"/>
      <c r="FD82" s="425"/>
      <c r="FE82" s="333"/>
      <c r="FJ82" s="177"/>
      <c r="FK82" s="177"/>
      <c r="FL82" s="177"/>
      <c r="FM82" s="177"/>
      <c r="FO82" s="300"/>
      <c r="FP82" s="395" t="str">
        <f t="shared" ca="1" si="199"/>
        <v/>
      </c>
      <c r="FQ82" s="360" t="str">
        <f t="shared" ca="1" si="200"/>
        <v/>
      </c>
      <c r="FR82" s="360" t="str">
        <f t="shared" ca="1" si="189"/>
        <v/>
      </c>
      <c r="FS82" s="360" t="str">
        <f t="shared" ca="1" si="190"/>
        <v/>
      </c>
      <c r="FT82" s="360" t="str">
        <f t="shared" ca="1" si="191"/>
        <v/>
      </c>
      <c r="FU82" s="360" t="str">
        <f t="shared" ca="1" si="192"/>
        <v/>
      </c>
      <c r="FV82" s="360" t="str">
        <f t="shared" ca="1" si="193"/>
        <v/>
      </c>
      <c r="FW82" s="360" t="str">
        <f t="shared" ca="1" si="194"/>
        <v/>
      </c>
      <c r="FX82" s="360" t="str">
        <f t="shared" ca="1" si="195"/>
        <v/>
      </c>
      <c r="FY82" s="360" t="str">
        <f t="shared" ca="1" si="196"/>
        <v/>
      </c>
      <c r="FZ82" s="379" t="str">
        <f t="shared" ca="1" si="202"/>
        <v/>
      </c>
      <c r="GA82" s="302"/>
      <c r="GB82" s="364"/>
      <c r="GC82" s="302"/>
    </row>
    <row r="83" spans="23:185" ht="16.5" customHeight="1" x14ac:dyDescent="0.25">
      <c r="W83" s="429" t="s">
        <v>166</v>
      </c>
      <c r="X83" s="389">
        <f>IF(X82=0,0,(EVEN(X82)-1)*2)</f>
        <v>0</v>
      </c>
      <c r="AI83" s="179"/>
      <c r="AJ83" s="179"/>
      <c r="AU83" s="349">
        <v>16</v>
      </c>
      <c r="AV83" s="430">
        <f t="shared" ca="1" si="145"/>
        <v>0</v>
      </c>
      <c r="AW83" s="349">
        <v>16</v>
      </c>
      <c r="AY83" s="431">
        <f t="shared" ca="1" si="162"/>
        <v>-999999999.97500002</v>
      </c>
      <c r="AZ83" s="377" t="str">
        <f t="shared" ca="1" si="180"/>
        <v/>
      </c>
      <c r="BA83" s="343">
        <f t="shared" ca="1" si="163"/>
        <v>-999999999.97500002</v>
      </c>
      <c r="BB83" s="349">
        <v>16</v>
      </c>
      <c r="BC83" s="378">
        <f t="shared" si="164"/>
        <v>0</v>
      </c>
      <c r="BD83" s="346">
        <f t="shared" ca="1" si="165"/>
        <v>0</v>
      </c>
      <c r="BE83" s="346">
        <f t="shared" ca="1" si="166"/>
        <v>0</v>
      </c>
      <c r="BF83" s="346">
        <f t="shared" ca="1" si="167"/>
        <v>0</v>
      </c>
      <c r="BG83" s="346">
        <f t="shared" ca="1" si="168"/>
        <v>0</v>
      </c>
      <c r="BH83" s="346">
        <f t="shared" ca="1" si="169"/>
        <v>0</v>
      </c>
      <c r="BI83" s="346">
        <f t="shared" ca="1" si="170"/>
        <v>0</v>
      </c>
      <c r="BJ83" s="346">
        <f t="shared" ca="1" si="171"/>
        <v>0</v>
      </c>
      <c r="BK83" s="347">
        <f t="shared" ca="1" si="172"/>
        <v>0</v>
      </c>
      <c r="BL83" s="346">
        <f t="shared" si="146"/>
        <v>0</v>
      </c>
      <c r="BM83" s="346">
        <f t="shared" ca="1" si="147"/>
        <v>0</v>
      </c>
      <c r="BN83" s="346">
        <f t="shared" ca="1" si="173"/>
        <v>0</v>
      </c>
      <c r="BO83" s="347">
        <f t="shared" ca="1" si="148"/>
        <v>0</v>
      </c>
      <c r="BP83" s="348">
        <v>2.5000000000000001E-2</v>
      </c>
      <c r="BQ83" s="349">
        <f t="shared" ca="1" si="149"/>
        <v>0</v>
      </c>
      <c r="BS83" s="346">
        <f t="shared" ca="1" si="150"/>
        <v>0</v>
      </c>
      <c r="BT83" s="346">
        <f t="shared" ca="1" si="151"/>
        <v>0</v>
      </c>
      <c r="BU83" s="346">
        <f t="shared" ca="1" si="152"/>
        <v>0</v>
      </c>
      <c r="BV83" s="346">
        <f t="shared" ca="1" si="153"/>
        <v>0</v>
      </c>
      <c r="BW83" s="346">
        <f t="shared" ca="1" si="154"/>
        <v>0</v>
      </c>
      <c r="BX83" s="346">
        <f t="shared" ca="1" si="155"/>
        <v>0</v>
      </c>
      <c r="BZ83" s="346">
        <f t="shared" ca="1" si="156"/>
        <v>0</v>
      </c>
      <c r="CA83" s="346">
        <f t="shared" ca="1" si="157"/>
        <v>0</v>
      </c>
      <c r="CB83" s="346">
        <f t="shared" ca="1" si="158"/>
        <v>0</v>
      </c>
      <c r="CC83" s="346">
        <f t="shared" ca="1" si="159"/>
        <v>0</v>
      </c>
      <c r="CD83" s="346">
        <f t="shared" ca="1" si="160"/>
        <v>0</v>
      </c>
      <c r="CE83" s="346">
        <f t="shared" ca="1" si="161"/>
        <v>0</v>
      </c>
      <c r="CH83" s="350"/>
      <c r="CI83" s="350"/>
      <c r="CJ83" s="350"/>
      <c r="CK83" s="350"/>
      <c r="CL83" s="350"/>
      <c r="CM83" s="350"/>
      <c r="CN83" s="300"/>
      <c r="DG83" s="350"/>
      <c r="DH83" s="300"/>
      <c r="DI83" s="395" t="str">
        <f t="shared" ca="1" si="197"/>
        <v/>
      </c>
      <c r="DJ83" s="360" t="str">
        <f t="shared" ca="1" si="198"/>
        <v/>
      </c>
      <c r="DK83" s="360" t="str">
        <f t="shared" ca="1" si="184"/>
        <v/>
      </c>
      <c r="DL83" s="354" t="str">
        <f t="shared" ca="1" si="185"/>
        <v/>
      </c>
      <c r="DM83" s="354" t="str">
        <f t="shared" ca="1" si="186"/>
        <v/>
      </c>
      <c r="DN83" s="361" t="str">
        <f t="shared" ca="1" si="187"/>
        <v/>
      </c>
      <c r="DO83" s="362" t="str">
        <f t="shared" ca="1" si="188"/>
        <v/>
      </c>
      <c r="DP83" s="379" t="str">
        <f t="shared" ca="1" si="201"/>
        <v/>
      </c>
      <c r="DQ83" s="302"/>
      <c r="DR83" s="364"/>
      <c r="DS83" s="302"/>
      <c r="DU83" s="424"/>
      <c r="DV83" s="424"/>
      <c r="DW83" s="424"/>
      <c r="DX83" s="424"/>
      <c r="DY83" s="424"/>
      <c r="DZ83" s="424"/>
      <c r="EA83" s="424"/>
      <c r="EB83" s="424"/>
      <c r="EC83" s="424"/>
      <c r="ED83" s="424"/>
      <c r="EE83" s="424"/>
      <c r="EF83" s="424"/>
      <c r="EG83" s="424"/>
      <c r="EH83" s="424"/>
      <c r="EI83" s="424"/>
      <c r="EJ83" s="424"/>
      <c r="EK83" s="424"/>
      <c r="EL83" s="424"/>
      <c r="EM83" s="424"/>
      <c r="EN83" s="424"/>
      <c r="EO83" s="424"/>
      <c r="EP83" s="424"/>
      <c r="EQ83" s="424"/>
      <c r="ER83" s="424"/>
      <c r="ES83" s="424"/>
      <c r="ET83" s="424"/>
      <c r="EU83" s="424"/>
      <c r="EV83" s="424"/>
      <c r="EW83" s="424"/>
      <c r="EX83" s="424"/>
      <c r="EY83" s="424"/>
      <c r="EZ83" s="424"/>
      <c r="FA83" s="424"/>
      <c r="FB83" s="424"/>
      <c r="FC83" s="424"/>
      <c r="FD83" s="425"/>
      <c r="FE83" s="333"/>
      <c r="FG83" s="376"/>
      <c r="FH83" s="376"/>
      <c r="FI83" s="382" t="str">
        <f>CONCATENATE("rank.a",FH83)</f>
        <v>rank.a</v>
      </c>
      <c r="FJ83" s="383" t="b">
        <f t="shared" ref="FJ83:FJ89" ca="1" si="203">AND($FK$81,FG83&lt;&gt;"",FH83&lt;&gt;"",IF(FH83=2,$AJ$75,$AJ$69))</f>
        <v>0</v>
      </c>
      <c r="FK83" s="384" t="str">
        <f ca="1">IF(NOT(FJ83),"",VLOOKUP(FG83,INDIRECT(FI83),2,FALSE))</f>
        <v/>
      </c>
      <c r="FL83" s="177"/>
      <c r="FM83" s="177"/>
      <c r="FO83" s="300"/>
      <c r="FP83" s="395" t="str">
        <f t="shared" ca="1" si="199"/>
        <v/>
      </c>
      <c r="FQ83" s="360" t="str">
        <f t="shared" ca="1" si="200"/>
        <v/>
      </c>
      <c r="FR83" s="360" t="str">
        <f t="shared" ca="1" si="189"/>
        <v/>
      </c>
      <c r="FS83" s="360" t="str">
        <f t="shared" ca="1" si="190"/>
        <v/>
      </c>
      <c r="FT83" s="360" t="str">
        <f t="shared" ca="1" si="191"/>
        <v/>
      </c>
      <c r="FU83" s="360" t="str">
        <f t="shared" ca="1" si="192"/>
        <v/>
      </c>
      <c r="FV83" s="360" t="str">
        <f t="shared" ca="1" si="193"/>
        <v/>
      </c>
      <c r="FW83" s="360" t="str">
        <f t="shared" ca="1" si="194"/>
        <v/>
      </c>
      <c r="FX83" s="360" t="str">
        <f t="shared" ca="1" si="195"/>
        <v/>
      </c>
      <c r="FY83" s="360" t="str">
        <f t="shared" ca="1" si="196"/>
        <v/>
      </c>
      <c r="FZ83" s="379" t="str">
        <f t="shared" ca="1" si="202"/>
        <v/>
      </c>
      <c r="GA83" s="302"/>
      <c r="GB83" s="364"/>
      <c r="GC83" s="302"/>
    </row>
    <row r="84" spans="23:185" ht="16.5" customHeight="1" x14ac:dyDescent="0.25">
      <c r="W84" s="232" t="s">
        <v>172</v>
      </c>
      <c r="X84" s="376">
        <f>X82</f>
        <v>0</v>
      </c>
      <c r="AI84" s="179"/>
      <c r="AJ84" s="179"/>
      <c r="AU84" s="349">
        <v>17</v>
      </c>
      <c r="AV84" s="430">
        <f t="shared" ca="1" si="145"/>
        <v>0</v>
      </c>
      <c r="AW84" s="349">
        <v>17</v>
      </c>
      <c r="AY84" s="431">
        <f t="shared" ca="1" si="162"/>
        <v>-999999999.97599995</v>
      </c>
      <c r="AZ84" s="377" t="str">
        <f t="shared" ca="1" si="180"/>
        <v/>
      </c>
      <c r="BA84" s="343">
        <f t="shared" ca="1" si="163"/>
        <v>-999999999.97599995</v>
      </c>
      <c r="BB84" s="349">
        <v>17</v>
      </c>
      <c r="BC84" s="378">
        <f t="shared" si="164"/>
        <v>0</v>
      </c>
      <c r="BD84" s="346">
        <f t="shared" ca="1" si="165"/>
        <v>0</v>
      </c>
      <c r="BE84" s="346">
        <f t="shared" ca="1" si="166"/>
        <v>0</v>
      </c>
      <c r="BF84" s="346">
        <f t="shared" ca="1" si="167"/>
        <v>0</v>
      </c>
      <c r="BG84" s="346">
        <f t="shared" ca="1" si="168"/>
        <v>0</v>
      </c>
      <c r="BH84" s="346">
        <f t="shared" ca="1" si="169"/>
        <v>0</v>
      </c>
      <c r="BI84" s="346">
        <f t="shared" ca="1" si="170"/>
        <v>0</v>
      </c>
      <c r="BJ84" s="346">
        <f t="shared" ca="1" si="171"/>
        <v>0</v>
      </c>
      <c r="BK84" s="347">
        <f t="shared" ca="1" si="172"/>
        <v>0</v>
      </c>
      <c r="BL84" s="346">
        <f t="shared" si="146"/>
        <v>0</v>
      </c>
      <c r="BM84" s="346">
        <f t="shared" ca="1" si="147"/>
        <v>0</v>
      </c>
      <c r="BN84" s="346">
        <f t="shared" ca="1" si="173"/>
        <v>0</v>
      </c>
      <c r="BO84" s="347">
        <f t="shared" ca="1" si="148"/>
        <v>0</v>
      </c>
      <c r="BP84" s="348">
        <v>2.3999999999999987E-2</v>
      </c>
      <c r="BQ84" s="349">
        <f t="shared" ca="1" si="149"/>
        <v>0</v>
      </c>
      <c r="BS84" s="346">
        <f t="shared" ca="1" si="150"/>
        <v>0</v>
      </c>
      <c r="BT84" s="346">
        <f t="shared" ca="1" si="151"/>
        <v>0</v>
      </c>
      <c r="BU84" s="346">
        <f t="shared" ca="1" si="152"/>
        <v>0</v>
      </c>
      <c r="BV84" s="346">
        <f t="shared" ca="1" si="153"/>
        <v>0</v>
      </c>
      <c r="BW84" s="346">
        <f t="shared" ca="1" si="154"/>
        <v>0</v>
      </c>
      <c r="BX84" s="346">
        <f t="shared" ca="1" si="155"/>
        <v>0</v>
      </c>
      <c r="BZ84" s="346">
        <f t="shared" ca="1" si="156"/>
        <v>0</v>
      </c>
      <c r="CA84" s="346">
        <f t="shared" ca="1" si="157"/>
        <v>0</v>
      </c>
      <c r="CB84" s="346">
        <f t="shared" ca="1" si="158"/>
        <v>0</v>
      </c>
      <c r="CC84" s="346">
        <f t="shared" ca="1" si="159"/>
        <v>0</v>
      </c>
      <c r="CD84" s="346">
        <f t="shared" ca="1" si="160"/>
        <v>0</v>
      </c>
      <c r="CE84" s="346">
        <f t="shared" ca="1" si="161"/>
        <v>0</v>
      </c>
      <c r="CH84" s="350"/>
      <c r="CI84" s="350"/>
      <c r="CJ84" s="350"/>
      <c r="CK84" s="350"/>
      <c r="CL84" s="350"/>
      <c r="CM84" s="350"/>
      <c r="CN84" s="300"/>
      <c r="DG84" s="350"/>
      <c r="DH84" s="300"/>
      <c r="DI84" s="395" t="str">
        <f t="shared" ca="1" si="197"/>
        <v/>
      </c>
      <c r="DJ84" s="360" t="str">
        <f t="shared" ca="1" si="198"/>
        <v/>
      </c>
      <c r="DK84" s="360" t="str">
        <f t="shared" ca="1" si="184"/>
        <v/>
      </c>
      <c r="DL84" s="354" t="str">
        <f t="shared" ca="1" si="185"/>
        <v/>
      </c>
      <c r="DM84" s="354" t="str">
        <f t="shared" ca="1" si="186"/>
        <v/>
      </c>
      <c r="DN84" s="361" t="str">
        <f t="shared" ca="1" si="187"/>
        <v/>
      </c>
      <c r="DO84" s="362" t="str">
        <f t="shared" ca="1" si="188"/>
        <v/>
      </c>
      <c r="DP84" s="379" t="str">
        <f t="shared" ca="1" si="201"/>
        <v/>
      </c>
      <c r="DQ84" s="302"/>
      <c r="DR84" s="364"/>
      <c r="DS84" s="302"/>
      <c r="DU84" s="424"/>
      <c r="DV84" s="424"/>
      <c r="DW84" s="424"/>
      <c r="DX84" s="424"/>
      <c r="DY84" s="424"/>
      <c r="DZ84" s="424"/>
      <c r="EA84" s="424"/>
      <c r="EB84" s="424"/>
      <c r="EC84" s="424"/>
      <c r="ED84" s="424"/>
      <c r="EE84" s="424"/>
      <c r="EF84" s="424"/>
      <c r="EG84" s="424"/>
      <c r="EH84" s="424"/>
      <c r="EI84" s="424"/>
      <c r="EJ84" s="424"/>
      <c r="EK84" s="424"/>
      <c r="EL84" s="424"/>
      <c r="EM84" s="424"/>
      <c r="EN84" s="424"/>
      <c r="EO84" s="424"/>
      <c r="EP84" s="424"/>
      <c r="EQ84" s="424"/>
      <c r="ER84" s="398"/>
      <c r="ES84" s="329" t="s">
        <v>157</v>
      </c>
      <c r="ET84" s="329" t="s">
        <v>158</v>
      </c>
      <c r="EU84" s="399"/>
      <c r="EV84" s="400"/>
      <c r="EW84" s="401" t="s">
        <v>160</v>
      </c>
      <c r="EX84" s="402" t="s">
        <v>135</v>
      </c>
      <c r="EY84" s="365"/>
      <c r="EZ84" s="365"/>
      <c r="FA84" s="365"/>
      <c r="FB84" s="424"/>
      <c r="FC84" s="424"/>
      <c r="FD84" s="425"/>
      <c r="FE84" s="333"/>
      <c r="FG84" s="376"/>
      <c r="FH84" s="376"/>
      <c r="FI84" s="382" t="str">
        <f t="shared" ref="FI84:FI89" si="204">CONCATENATE("rank.a",FH84)</f>
        <v>rank.a</v>
      </c>
      <c r="FJ84" s="383" t="b">
        <f t="shared" ca="1" si="203"/>
        <v>0</v>
      </c>
      <c r="FK84" s="387" t="str">
        <f t="shared" ref="FK84:FK89" ca="1" si="205">IF(NOT(FJ84),"",VLOOKUP(FG84,INDIRECT(FI84),2,FALSE))</f>
        <v/>
      </c>
      <c r="FL84" s="177"/>
      <c r="FM84" s="177"/>
      <c r="FO84" s="300"/>
      <c r="FP84" s="395" t="str">
        <f t="shared" ca="1" si="199"/>
        <v/>
      </c>
      <c r="FQ84" s="360" t="str">
        <f t="shared" ca="1" si="200"/>
        <v/>
      </c>
      <c r="FR84" s="360" t="str">
        <f t="shared" ca="1" si="189"/>
        <v/>
      </c>
      <c r="FS84" s="360" t="str">
        <f t="shared" ca="1" si="190"/>
        <v/>
      </c>
      <c r="FT84" s="360" t="str">
        <f t="shared" ca="1" si="191"/>
        <v/>
      </c>
      <c r="FU84" s="360" t="str">
        <f t="shared" ca="1" si="192"/>
        <v/>
      </c>
      <c r="FV84" s="360" t="str">
        <f t="shared" ca="1" si="193"/>
        <v/>
      </c>
      <c r="FW84" s="360" t="str">
        <f t="shared" ca="1" si="194"/>
        <v/>
      </c>
      <c r="FX84" s="360" t="str">
        <f t="shared" ca="1" si="195"/>
        <v/>
      </c>
      <c r="FY84" s="360" t="str">
        <f t="shared" ca="1" si="196"/>
        <v/>
      </c>
      <c r="FZ84" s="379" t="str">
        <f t="shared" ca="1" si="202"/>
        <v/>
      </c>
      <c r="GA84" s="302"/>
      <c r="GB84" s="364"/>
      <c r="GC84" s="302"/>
    </row>
    <row r="85" spans="23:185" ht="16.5" customHeight="1" x14ac:dyDescent="0.25">
      <c r="W85" s="429" t="s">
        <v>173</v>
      </c>
      <c r="X85" s="376">
        <f>X83</f>
        <v>0</v>
      </c>
      <c r="AU85" s="349">
        <v>18</v>
      </c>
      <c r="AV85" s="430">
        <f t="shared" ca="1" si="145"/>
        <v>0</v>
      </c>
      <c r="AW85" s="349">
        <v>18</v>
      </c>
      <c r="AY85" s="431">
        <f t="shared" ca="1" si="162"/>
        <v>-999999999.977</v>
      </c>
      <c r="AZ85" s="377" t="str">
        <f t="shared" ca="1" si="180"/>
        <v/>
      </c>
      <c r="BA85" s="343">
        <f t="shared" ca="1" si="163"/>
        <v>-999999999.977</v>
      </c>
      <c r="BB85" s="349">
        <v>18</v>
      </c>
      <c r="BC85" s="378">
        <f t="shared" si="164"/>
        <v>0</v>
      </c>
      <c r="BD85" s="346">
        <f t="shared" ca="1" si="165"/>
        <v>0</v>
      </c>
      <c r="BE85" s="346">
        <f t="shared" ca="1" si="166"/>
        <v>0</v>
      </c>
      <c r="BF85" s="346">
        <f t="shared" ca="1" si="167"/>
        <v>0</v>
      </c>
      <c r="BG85" s="346">
        <f t="shared" ca="1" si="168"/>
        <v>0</v>
      </c>
      <c r="BH85" s="346">
        <f t="shared" ca="1" si="169"/>
        <v>0</v>
      </c>
      <c r="BI85" s="346">
        <f t="shared" ca="1" si="170"/>
        <v>0</v>
      </c>
      <c r="BJ85" s="346">
        <f t="shared" ca="1" si="171"/>
        <v>0</v>
      </c>
      <c r="BK85" s="347">
        <f t="shared" ca="1" si="172"/>
        <v>0</v>
      </c>
      <c r="BL85" s="346">
        <f t="shared" si="146"/>
        <v>0</v>
      </c>
      <c r="BM85" s="346">
        <f t="shared" ca="1" si="147"/>
        <v>0</v>
      </c>
      <c r="BN85" s="346">
        <f t="shared" ca="1" si="173"/>
        <v>0</v>
      </c>
      <c r="BO85" s="347">
        <f t="shared" ca="1" si="148"/>
        <v>0</v>
      </c>
      <c r="BP85" s="348">
        <v>2.2999999999999986E-2</v>
      </c>
      <c r="BQ85" s="349">
        <f t="shared" ca="1" si="149"/>
        <v>0</v>
      </c>
      <c r="BS85" s="346">
        <f t="shared" ca="1" si="150"/>
        <v>0</v>
      </c>
      <c r="BT85" s="346">
        <f t="shared" ca="1" si="151"/>
        <v>0</v>
      </c>
      <c r="BU85" s="346">
        <f t="shared" ca="1" si="152"/>
        <v>0</v>
      </c>
      <c r="BV85" s="346">
        <f t="shared" ca="1" si="153"/>
        <v>0</v>
      </c>
      <c r="BW85" s="346">
        <f t="shared" ca="1" si="154"/>
        <v>0</v>
      </c>
      <c r="BX85" s="346">
        <f t="shared" ca="1" si="155"/>
        <v>0</v>
      </c>
      <c r="BZ85" s="346">
        <f t="shared" ca="1" si="156"/>
        <v>0</v>
      </c>
      <c r="CA85" s="346">
        <f t="shared" ca="1" si="157"/>
        <v>0</v>
      </c>
      <c r="CB85" s="346">
        <f t="shared" ca="1" si="158"/>
        <v>0</v>
      </c>
      <c r="CC85" s="346">
        <f t="shared" ca="1" si="159"/>
        <v>0</v>
      </c>
      <c r="CD85" s="346">
        <f t="shared" ca="1" si="160"/>
        <v>0</v>
      </c>
      <c r="CE85" s="346">
        <f t="shared" ca="1" si="161"/>
        <v>0</v>
      </c>
      <c r="CH85" s="350"/>
      <c r="CI85" s="350"/>
      <c r="CJ85" s="350"/>
      <c r="CK85" s="350"/>
      <c r="CL85" s="350"/>
      <c r="CM85" s="350"/>
      <c r="CN85" s="300"/>
      <c r="DG85" s="350"/>
      <c r="DH85" s="300"/>
      <c r="DI85" s="301"/>
      <c r="DJ85" s="324" t="s">
        <v>157</v>
      </c>
      <c r="DK85" s="324" t="s">
        <v>158</v>
      </c>
      <c r="DL85" s="325" t="s">
        <v>159</v>
      </c>
      <c r="DM85" s="325"/>
      <c r="DN85" s="326" t="s">
        <v>160</v>
      </c>
      <c r="DO85" s="325" t="s">
        <v>135</v>
      </c>
      <c r="DP85" s="302"/>
      <c r="DQ85" s="302"/>
      <c r="DR85" s="364"/>
      <c r="DS85" s="302"/>
      <c r="DU85" s="424"/>
      <c r="DV85" s="424"/>
      <c r="DW85" s="424"/>
      <c r="DX85" s="424"/>
      <c r="DY85" s="424"/>
      <c r="DZ85" s="424"/>
      <c r="EA85" s="424"/>
      <c r="EB85" s="424"/>
      <c r="EC85" s="424"/>
      <c r="ED85" s="424"/>
      <c r="EE85" s="424"/>
      <c r="EF85" s="424"/>
      <c r="EG85" s="424"/>
      <c r="EH85" s="424"/>
      <c r="EI85" s="424"/>
      <c r="EJ85" s="424"/>
      <c r="EK85" s="424"/>
      <c r="EL85" s="424"/>
      <c r="EM85" s="424"/>
      <c r="EN85" s="424"/>
      <c r="EO85" s="424"/>
      <c r="EP85" s="424"/>
      <c r="EQ85" s="424"/>
      <c r="ER85" s="404" t="str">
        <f ca="1">IF(EX42="","",VLOOKUP(EX42,yyy.aa1.10,7,FALSE))</f>
        <v/>
      </c>
      <c r="ES85" s="371" t="str">
        <f ca="1">IF(OR(ER85="",EY85="",ER85=EY85),"",CONCATENATE(ER85,EY85))</f>
        <v/>
      </c>
      <c r="ET85" s="369" t="str">
        <f ca="1">IF(ES85="","",CONCATENATE(VLOOKUP(ES85,games.a,9,FALSE),VLOOKUP(ES85,games.a,12,FALSE)))</f>
        <v/>
      </c>
      <c r="EU85" s="406"/>
      <c r="EV85" s="407"/>
      <c r="EW85" s="423" t="str">
        <f ca="1">IF(ES85="","",VLOOKUP(ES85,games.a,6,FALSE))</f>
        <v/>
      </c>
      <c r="EX85" s="409" t="str">
        <f ca="1">IF(ES85="","",VLOOKUP(ES85,games.a,7,FALSE))</f>
        <v/>
      </c>
      <c r="EY85" s="410" t="str">
        <f ca="1">ER85</f>
        <v/>
      </c>
      <c r="EZ85" s="411"/>
      <c r="FA85" s="412"/>
      <c r="FB85" s="424"/>
      <c r="FC85" s="424"/>
      <c r="FD85" s="425"/>
      <c r="FE85" s="333"/>
      <c r="FG85" s="376"/>
      <c r="FH85" s="376"/>
      <c r="FI85" s="382" t="str">
        <f t="shared" si="204"/>
        <v>rank.a</v>
      </c>
      <c r="FJ85" s="383" t="b">
        <f t="shared" ca="1" si="203"/>
        <v>0</v>
      </c>
      <c r="FK85" s="387" t="str">
        <f t="shared" ca="1" si="205"/>
        <v/>
      </c>
      <c r="FL85" s="177"/>
      <c r="FM85" s="177"/>
      <c r="FO85" s="300"/>
      <c r="FP85" s="301"/>
      <c r="FQ85" s="324" t="s">
        <v>157</v>
      </c>
      <c r="FR85" s="324" t="s">
        <v>237</v>
      </c>
      <c r="FS85" s="324" t="s">
        <v>239</v>
      </c>
      <c r="FT85" s="324" t="s">
        <v>240</v>
      </c>
      <c r="FU85" s="324" t="s">
        <v>238</v>
      </c>
      <c r="FV85" s="324" t="s">
        <v>241</v>
      </c>
      <c r="FW85" s="324" t="s">
        <v>242</v>
      </c>
      <c r="FX85" s="326" t="s">
        <v>160</v>
      </c>
      <c r="FY85" s="325" t="s">
        <v>135</v>
      </c>
      <c r="FZ85" s="302"/>
      <c r="GA85" s="302"/>
      <c r="GB85" s="364"/>
      <c r="GC85" s="302"/>
    </row>
    <row r="86" spans="23:185" ht="16.5" customHeight="1" x14ac:dyDescent="0.25">
      <c r="AU86" s="349">
        <v>19</v>
      </c>
      <c r="AV86" s="430">
        <f t="shared" ca="1" si="145"/>
        <v>0</v>
      </c>
      <c r="AW86" s="349">
        <v>19</v>
      </c>
      <c r="AY86" s="431">
        <f t="shared" ca="1" si="162"/>
        <v>-999999999.97800004</v>
      </c>
      <c r="AZ86" s="377" t="str">
        <f t="shared" ca="1" si="180"/>
        <v/>
      </c>
      <c r="BA86" s="343">
        <f t="shared" ca="1" si="163"/>
        <v>-999999999.97800004</v>
      </c>
      <c r="BB86" s="349">
        <v>19</v>
      </c>
      <c r="BC86" s="378">
        <f t="shared" si="164"/>
        <v>0</v>
      </c>
      <c r="BD86" s="346">
        <f t="shared" ca="1" si="165"/>
        <v>0</v>
      </c>
      <c r="BE86" s="346">
        <f t="shared" ca="1" si="166"/>
        <v>0</v>
      </c>
      <c r="BF86" s="346">
        <f t="shared" ca="1" si="167"/>
        <v>0</v>
      </c>
      <c r="BG86" s="346">
        <f t="shared" ca="1" si="168"/>
        <v>0</v>
      </c>
      <c r="BH86" s="346">
        <f t="shared" ca="1" si="169"/>
        <v>0</v>
      </c>
      <c r="BI86" s="346">
        <f t="shared" ca="1" si="170"/>
        <v>0</v>
      </c>
      <c r="BJ86" s="346">
        <f t="shared" ca="1" si="171"/>
        <v>0</v>
      </c>
      <c r="BK86" s="347">
        <f t="shared" ca="1" si="172"/>
        <v>0</v>
      </c>
      <c r="BL86" s="346">
        <f t="shared" si="146"/>
        <v>0</v>
      </c>
      <c r="BM86" s="346">
        <f t="shared" ca="1" si="147"/>
        <v>0</v>
      </c>
      <c r="BN86" s="346">
        <f t="shared" ca="1" si="173"/>
        <v>0</v>
      </c>
      <c r="BO86" s="347">
        <f t="shared" ca="1" si="148"/>
        <v>0</v>
      </c>
      <c r="BP86" s="348">
        <v>2.1999999999999985E-2</v>
      </c>
      <c r="BQ86" s="349">
        <f t="shared" ca="1" si="149"/>
        <v>0</v>
      </c>
      <c r="BS86" s="346">
        <f t="shared" ca="1" si="150"/>
        <v>0</v>
      </c>
      <c r="BT86" s="346">
        <f t="shared" ca="1" si="151"/>
        <v>0</v>
      </c>
      <c r="BU86" s="346">
        <f t="shared" ca="1" si="152"/>
        <v>0</v>
      </c>
      <c r="BV86" s="346">
        <f t="shared" ca="1" si="153"/>
        <v>0</v>
      </c>
      <c r="BW86" s="346">
        <f t="shared" ca="1" si="154"/>
        <v>0</v>
      </c>
      <c r="BX86" s="346">
        <f t="shared" ca="1" si="155"/>
        <v>0</v>
      </c>
      <c r="BZ86" s="346">
        <f t="shared" ca="1" si="156"/>
        <v>0</v>
      </c>
      <c r="CA86" s="346">
        <f t="shared" ca="1" si="157"/>
        <v>0</v>
      </c>
      <c r="CB86" s="346">
        <f t="shared" ca="1" si="158"/>
        <v>0</v>
      </c>
      <c r="CC86" s="346">
        <f t="shared" ca="1" si="159"/>
        <v>0</v>
      </c>
      <c r="CD86" s="346">
        <f t="shared" ca="1" si="160"/>
        <v>0</v>
      </c>
      <c r="CE86" s="346">
        <f t="shared" ca="1" si="161"/>
        <v>0</v>
      </c>
      <c r="CH86" s="350"/>
      <c r="CI86" s="350"/>
      <c r="CJ86" s="350"/>
      <c r="CK86" s="350"/>
      <c r="CL86" s="350"/>
      <c r="CM86" s="350"/>
      <c r="CN86" s="300"/>
      <c r="DG86" s="350"/>
      <c r="DH86" s="300"/>
      <c r="DI86" s="395" t="str">
        <f ca="1">DI75</f>
        <v>Vakana</v>
      </c>
      <c r="DJ86" s="360" t="str">
        <f ca="1">IF(OR(DI86="",DP86="",DI86=DP86),"",CONCATENATE(DI86,DP86))</f>
        <v/>
      </c>
      <c r="DK86" s="360" t="str">
        <f t="shared" ref="DK86:DK95" ca="1" si="206">IF($DJ86="","",CONCATENATE(VLOOKUP($DJ86,games.a,9,FALSE),VLOOKUP($DJ86,games.a,12,FALSE)))</f>
        <v/>
      </c>
      <c r="DL86" s="354" t="str">
        <f t="shared" ref="DL86:DL95" ca="1" si="207">IF($DJ86="","",VLOOKUP($DJ86,games.a,10,FALSE))</f>
        <v/>
      </c>
      <c r="DM86" s="354" t="str">
        <f t="shared" ref="DM86:DM95" ca="1" si="208">IF($DJ86="","",VLOOKUP($DJ86,games.a,13,FALSE))</f>
        <v/>
      </c>
      <c r="DN86" s="361" t="str">
        <f t="shared" ref="DN86:DN95" ca="1" si="209">IF($DJ86="","",VLOOKUP($DJ86,games.a,6,FALSE))</f>
        <v/>
      </c>
      <c r="DO86" s="362" t="str">
        <f t="shared" ref="DO86:DO95" ca="1" si="210">IF($DJ86="","",VLOOKUP($DJ86,games.a,7,FALSE))</f>
        <v/>
      </c>
      <c r="DP86" s="363" t="str">
        <f ca="1">DI46</f>
        <v/>
      </c>
      <c r="DQ86" s="302"/>
      <c r="DR86" s="364"/>
      <c r="DS86" s="302"/>
      <c r="DU86" s="424"/>
      <c r="DV86" s="424"/>
      <c r="DW86" s="424"/>
      <c r="DX86" s="424"/>
      <c r="DY86" s="424"/>
      <c r="DZ86" s="424"/>
      <c r="EA86" s="424"/>
      <c r="EB86" s="424"/>
      <c r="EC86" s="424"/>
      <c r="ED86" s="424"/>
      <c r="EE86" s="424"/>
      <c r="EF86" s="424"/>
      <c r="EG86" s="424"/>
      <c r="EH86" s="424"/>
      <c r="EI86" s="424"/>
      <c r="EJ86" s="424"/>
      <c r="EK86" s="424"/>
      <c r="EL86" s="424"/>
      <c r="EM86" s="424"/>
      <c r="EN86" s="424"/>
      <c r="EO86" s="424"/>
      <c r="EP86" s="424"/>
      <c r="EQ86" s="424"/>
      <c r="ER86" s="404" t="str">
        <f ca="1">IF(EX43="","",VLOOKUP(EX43,yyy.aa1.10,7,FALSE))</f>
        <v/>
      </c>
      <c r="ES86" s="371" t="str">
        <f ca="1">IF(OR(ER86="",EY86="",ER86=EY86),"",CONCATENATE(ER86,EY86))</f>
        <v/>
      </c>
      <c r="ET86" s="369" t="str">
        <f ca="1">IF(ES86="","",CONCATENATE(VLOOKUP(ES86,games.a,9,FALSE),VLOOKUP(ES86,games.a,12,FALSE)))</f>
        <v/>
      </c>
      <c r="EU86" s="413"/>
      <c r="EV86" s="414"/>
      <c r="EW86" s="423" t="str">
        <f ca="1">IF(ES86="","",VLOOKUP(ES86,games.a,6,FALSE))</f>
        <v/>
      </c>
      <c r="EX86" s="409" t="str">
        <f ca="1">IF(ES86="","",VLOOKUP(ES86,games.a,7,FALSE))</f>
        <v/>
      </c>
      <c r="EY86" s="415" t="str">
        <f ca="1">EY85</f>
        <v/>
      </c>
      <c r="EZ86" s="416"/>
      <c r="FA86" s="417"/>
      <c r="FB86" s="424"/>
      <c r="FC86" s="424"/>
      <c r="FD86" s="425"/>
      <c r="FE86" s="333"/>
      <c r="FG86" s="376"/>
      <c r="FH86" s="376"/>
      <c r="FI86" s="382" t="str">
        <f t="shared" si="204"/>
        <v>rank.a</v>
      </c>
      <c r="FJ86" s="383" t="b">
        <f t="shared" ca="1" si="203"/>
        <v>0</v>
      </c>
      <c r="FK86" s="387" t="str">
        <f t="shared" ca="1" si="205"/>
        <v/>
      </c>
      <c r="FL86" s="177"/>
      <c r="FM86" s="177"/>
      <c r="FO86" s="300"/>
      <c r="FP86" s="395" t="str">
        <f ca="1">FP75</f>
        <v/>
      </c>
      <c r="FQ86" s="360" t="str">
        <f ca="1">IF(OR(FP86="",FZ86="",FP86=FZ86),"",CONCATENATE(FP86,FZ86))</f>
        <v/>
      </c>
      <c r="FR86" s="360" t="str">
        <f t="shared" ref="FR86:FR95" ca="1" si="211">IF($FQ86="","",VLOOKUP($FQ86,games.a,9,FALSE))</f>
        <v/>
      </c>
      <c r="FS86" s="360" t="str">
        <f t="shared" ref="FS86:FS95" ca="1" si="212">IF($FQ86="","",VLOOKUP($FQ86,games.a,10,FALSE))</f>
        <v/>
      </c>
      <c r="FT86" s="360" t="str">
        <f t="shared" ref="FT86:FT95" ca="1" si="213">IF($FQ86="","",VLOOKUP($FQ86,games.a,11,FALSE))</f>
        <v/>
      </c>
      <c r="FU86" s="360" t="str">
        <f t="shared" ref="FU86:FU95" ca="1" si="214">IF($FQ86="","",VLOOKUP($FQ86,games.a,12,FALSE))</f>
        <v/>
      </c>
      <c r="FV86" s="360" t="str">
        <f t="shared" ref="FV86:FV95" ca="1" si="215">IF($FQ86="","",VLOOKUP($FQ86,games.a,13,FALSE))</f>
        <v/>
      </c>
      <c r="FW86" s="360" t="str">
        <f t="shared" ref="FW86:FW95" ca="1" si="216">IF($FQ86="","",VLOOKUP($FQ86,games.a,14,FALSE))</f>
        <v/>
      </c>
      <c r="FX86" s="360" t="str">
        <f t="shared" ref="FX86:FX95" ca="1" si="217">IF($FQ86="","",VLOOKUP($FQ86,games.a,6,FALSE))</f>
        <v/>
      </c>
      <c r="FY86" s="360" t="str">
        <f t="shared" ref="FY86:FY95" ca="1" si="218">IF($FQ86="","",VLOOKUP($FQ86,games.a,7,FALSE))</f>
        <v/>
      </c>
      <c r="FZ86" s="363" t="str">
        <f ca="1">FP46</f>
        <v/>
      </c>
      <c r="GA86" s="302"/>
      <c r="GB86" s="364"/>
      <c r="GC86" s="302"/>
    </row>
    <row r="87" spans="23:185" ht="16.5" customHeight="1" x14ac:dyDescent="0.25">
      <c r="AO87" s="434"/>
      <c r="AP87" s="434"/>
      <c r="AQ87" s="434"/>
      <c r="AU87" s="349">
        <v>20</v>
      </c>
      <c r="AV87" s="430">
        <f t="shared" ca="1" si="145"/>
        <v>0</v>
      </c>
      <c r="AW87" s="349">
        <v>20</v>
      </c>
      <c r="AY87" s="431">
        <f t="shared" ca="1" si="162"/>
        <v>-999999999.97899997</v>
      </c>
      <c r="AZ87" s="377" t="str">
        <f t="shared" ca="1" si="180"/>
        <v/>
      </c>
      <c r="BA87" s="343">
        <f t="shared" ca="1" si="163"/>
        <v>-999999999.97899997</v>
      </c>
      <c r="BB87" s="349">
        <v>20</v>
      </c>
      <c r="BC87" s="378">
        <f t="shared" si="164"/>
        <v>0</v>
      </c>
      <c r="BD87" s="346">
        <f t="shared" ca="1" si="165"/>
        <v>0</v>
      </c>
      <c r="BE87" s="346">
        <f t="shared" ca="1" si="166"/>
        <v>0</v>
      </c>
      <c r="BF87" s="346">
        <f t="shared" ca="1" si="167"/>
        <v>0</v>
      </c>
      <c r="BG87" s="346">
        <f t="shared" ca="1" si="168"/>
        <v>0</v>
      </c>
      <c r="BH87" s="346">
        <f t="shared" ca="1" si="169"/>
        <v>0</v>
      </c>
      <c r="BI87" s="346">
        <f t="shared" ca="1" si="170"/>
        <v>0</v>
      </c>
      <c r="BJ87" s="346">
        <f t="shared" ca="1" si="171"/>
        <v>0</v>
      </c>
      <c r="BK87" s="347">
        <f t="shared" ca="1" si="172"/>
        <v>0</v>
      </c>
      <c r="BL87" s="346">
        <f t="shared" si="146"/>
        <v>0</v>
      </c>
      <c r="BM87" s="346">
        <f t="shared" ca="1" si="147"/>
        <v>0</v>
      </c>
      <c r="BN87" s="346">
        <f t="shared" ca="1" si="173"/>
        <v>0</v>
      </c>
      <c r="BO87" s="347">
        <f t="shared" ca="1" si="148"/>
        <v>0</v>
      </c>
      <c r="BP87" s="348">
        <v>2.0999999999999984E-2</v>
      </c>
      <c r="BQ87" s="349">
        <f t="shared" ca="1" si="149"/>
        <v>0</v>
      </c>
      <c r="BS87" s="346">
        <f t="shared" ca="1" si="150"/>
        <v>0</v>
      </c>
      <c r="BT87" s="346">
        <f t="shared" ca="1" si="151"/>
        <v>0</v>
      </c>
      <c r="BU87" s="346">
        <f t="shared" ca="1" si="152"/>
        <v>0</v>
      </c>
      <c r="BV87" s="346">
        <f t="shared" ca="1" si="153"/>
        <v>0</v>
      </c>
      <c r="BW87" s="346">
        <f t="shared" ca="1" si="154"/>
        <v>0</v>
      </c>
      <c r="BX87" s="346">
        <f t="shared" ca="1" si="155"/>
        <v>0</v>
      </c>
      <c r="BZ87" s="346">
        <f t="shared" ca="1" si="156"/>
        <v>0</v>
      </c>
      <c r="CA87" s="346">
        <f t="shared" ca="1" si="157"/>
        <v>0</v>
      </c>
      <c r="CB87" s="346">
        <f t="shared" ca="1" si="158"/>
        <v>0</v>
      </c>
      <c r="CC87" s="346">
        <f t="shared" ca="1" si="159"/>
        <v>0</v>
      </c>
      <c r="CD87" s="346">
        <f t="shared" ca="1" si="160"/>
        <v>0</v>
      </c>
      <c r="CE87" s="346">
        <f t="shared" ca="1" si="161"/>
        <v>0</v>
      </c>
      <c r="CH87" s="350"/>
      <c r="CI87" s="350"/>
      <c r="CJ87" s="350"/>
      <c r="CK87" s="350"/>
      <c r="CL87" s="350"/>
      <c r="CM87" s="350"/>
      <c r="CN87" s="300"/>
      <c r="DG87" s="350"/>
      <c r="DH87" s="300"/>
      <c r="DI87" s="395" t="str">
        <f t="shared" ref="DI87:DI95" ca="1" si="219">DI76</f>
        <v>Bakafogó-Honvéd-Sashegy SE</v>
      </c>
      <c r="DJ87" s="360" t="str">
        <f t="shared" ref="DJ87:DJ95" ca="1" si="220">IF(OR(DI87="",DP87="",DI87=DP87),"",CONCATENATE(DI87,DP87))</f>
        <v/>
      </c>
      <c r="DK87" s="360" t="str">
        <f t="shared" ca="1" si="206"/>
        <v/>
      </c>
      <c r="DL87" s="354" t="str">
        <f t="shared" ca="1" si="207"/>
        <v/>
      </c>
      <c r="DM87" s="354" t="str">
        <f t="shared" ca="1" si="208"/>
        <v/>
      </c>
      <c r="DN87" s="361" t="str">
        <f t="shared" ca="1" si="209"/>
        <v/>
      </c>
      <c r="DO87" s="362" t="str">
        <f t="shared" ca="1" si="210"/>
        <v/>
      </c>
      <c r="DP87" s="379" t="str">
        <f ca="1">DP86</f>
        <v/>
      </c>
      <c r="DQ87" s="302"/>
      <c r="DR87" s="364"/>
      <c r="DS87" s="302"/>
      <c r="DU87" s="424"/>
      <c r="DV87" s="424"/>
      <c r="DW87" s="424"/>
      <c r="DX87" s="424"/>
      <c r="DY87" s="424"/>
      <c r="DZ87" s="424"/>
      <c r="EA87" s="424"/>
      <c r="EB87" s="424"/>
      <c r="EC87" s="424"/>
      <c r="ED87" s="424"/>
      <c r="EE87" s="424"/>
      <c r="EF87" s="424"/>
      <c r="EG87" s="424"/>
      <c r="EH87" s="424"/>
      <c r="EI87" s="424"/>
      <c r="EJ87" s="424"/>
      <c r="EK87" s="424"/>
      <c r="EL87" s="424"/>
      <c r="EM87" s="424"/>
      <c r="EN87" s="424"/>
      <c r="EO87" s="424"/>
      <c r="EP87" s="424"/>
      <c r="EQ87" s="424"/>
      <c r="ER87" s="398"/>
      <c r="ES87" s="329" t="s">
        <v>157</v>
      </c>
      <c r="ET87" s="329" t="s">
        <v>158</v>
      </c>
      <c r="EU87" s="399"/>
      <c r="EV87" s="400"/>
      <c r="EW87" s="401" t="s">
        <v>160</v>
      </c>
      <c r="EX87" s="402" t="s">
        <v>135</v>
      </c>
      <c r="EY87" s="398"/>
      <c r="EZ87" s="365"/>
      <c r="FA87" s="365"/>
      <c r="FB87" s="424"/>
      <c r="FC87" s="424"/>
      <c r="FD87" s="425"/>
      <c r="FE87" s="333"/>
      <c r="FG87" s="376"/>
      <c r="FH87" s="376"/>
      <c r="FI87" s="382" t="str">
        <f t="shared" si="204"/>
        <v>rank.a</v>
      </c>
      <c r="FJ87" s="383" t="b">
        <f t="shared" ca="1" si="203"/>
        <v>0</v>
      </c>
      <c r="FK87" s="387" t="str">
        <f t="shared" ca="1" si="205"/>
        <v/>
      </c>
      <c r="FL87" s="177"/>
      <c r="FM87" s="177"/>
      <c r="FO87" s="300"/>
      <c r="FP87" s="395" t="str">
        <f t="shared" ref="FP87:FP95" ca="1" si="221">FP76</f>
        <v/>
      </c>
      <c r="FQ87" s="360" t="str">
        <f t="shared" ref="FQ87:FQ95" ca="1" si="222">IF(OR(FP87="",FZ87="",FP87=FZ87),"",CONCATENATE(FP87,FZ87))</f>
        <v/>
      </c>
      <c r="FR87" s="360" t="str">
        <f t="shared" ca="1" si="211"/>
        <v/>
      </c>
      <c r="FS87" s="360" t="str">
        <f t="shared" ca="1" si="212"/>
        <v/>
      </c>
      <c r="FT87" s="360" t="str">
        <f t="shared" ca="1" si="213"/>
        <v/>
      </c>
      <c r="FU87" s="360" t="str">
        <f t="shared" ca="1" si="214"/>
        <v/>
      </c>
      <c r="FV87" s="360" t="str">
        <f t="shared" ca="1" si="215"/>
        <v/>
      </c>
      <c r="FW87" s="360" t="str">
        <f t="shared" ca="1" si="216"/>
        <v/>
      </c>
      <c r="FX87" s="360" t="str">
        <f t="shared" ca="1" si="217"/>
        <v/>
      </c>
      <c r="FY87" s="360" t="str">
        <f t="shared" ca="1" si="218"/>
        <v/>
      </c>
      <c r="FZ87" s="379" t="str">
        <f ca="1">FZ86</f>
        <v/>
      </c>
      <c r="GA87" s="302"/>
      <c r="GB87" s="364"/>
      <c r="GC87" s="302"/>
    </row>
    <row r="88" spans="23:185" ht="16.5" customHeight="1" x14ac:dyDescent="0.25">
      <c r="AU88" s="349">
        <v>21</v>
      </c>
      <c r="AV88" s="430">
        <f t="shared" ca="1" si="145"/>
        <v>0</v>
      </c>
      <c r="AW88" s="349">
        <v>21</v>
      </c>
      <c r="AY88" s="431">
        <f t="shared" ca="1" si="162"/>
        <v>-999999999.98000002</v>
      </c>
      <c r="AZ88" s="377" t="str">
        <f t="shared" ca="1" si="180"/>
        <v/>
      </c>
      <c r="BA88" s="343">
        <f t="shared" ca="1" si="163"/>
        <v>-999999999.98000002</v>
      </c>
      <c r="BB88" s="349">
        <v>21</v>
      </c>
      <c r="BC88" s="378">
        <f t="shared" si="164"/>
        <v>0</v>
      </c>
      <c r="BD88" s="346">
        <f t="shared" ca="1" si="165"/>
        <v>0</v>
      </c>
      <c r="BE88" s="346">
        <f t="shared" ca="1" si="166"/>
        <v>0</v>
      </c>
      <c r="BF88" s="346">
        <f t="shared" ca="1" si="167"/>
        <v>0</v>
      </c>
      <c r="BG88" s="346">
        <f t="shared" ca="1" si="168"/>
        <v>0</v>
      </c>
      <c r="BH88" s="346">
        <f t="shared" ca="1" si="169"/>
        <v>0</v>
      </c>
      <c r="BI88" s="346">
        <f t="shared" ca="1" si="170"/>
        <v>0</v>
      </c>
      <c r="BJ88" s="346">
        <f t="shared" ca="1" si="171"/>
        <v>0</v>
      </c>
      <c r="BK88" s="347">
        <f t="shared" ca="1" si="172"/>
        <v>0</v>
      </c>
      <c r="BL88" s="346">
        <f t="shared" si="146"/>
        <v>0</v>
      </c>
      <c r="BM88" s="346">
        <f t="shared" ca="1" si="147"/>
        <v>0</v>
      </c>
      <c r="BN88" s="346">
        <f t="shared" ca="1" si="173"/>
        <v>0</v>
      </c>
      <c r="BO88" s="347">
        <f t="shared" ca="1" si="148"/>
        <v>0</v>
      </c>
      <c r="BP88" s="348">
        <v>0.02</v>
      </c>
      <c r="BQ88" s="349">
        <f t="shared" ca="1" si="149"/>
        <v>0</v>
      </c>
      <c r="BS88" s="346">
        <f t="shared" ca="1" si="150"/>
        <v>0</v>
      </c>
      <c r="BT88" s="346">
        <f t="shared" ca="1" si="151"/>
        <v>0</v>
      </c>
      <c r="BU88" s="346">
        <f t="shared" ca="1" si="152"/>
        <v>0</v>
      </c>
      <c r="BV88" s="346">
        <f t="shared" ca="1" si="153"/>
        <v>0</v>
      </c>
      <c r="BW88" s="346">
        <f t="shared" ca="1" si="154"/>
        <v>0</v>
      </c>
      <c r="BX88" s="346">
        <f t="shared" ca="1" si="155"/>
        <v>0</v>
      </c>
      <c r="BZ88" s="346">
        <f t="shared" ca="1" si="156"/>
        <v>0</v>
      </c>
      <c r="CA88" s="346">
        <f t="shared" ca="1" si="157"/>
        <v>0</v>
      </c>
      <c r="CB88" s="346">
        <f t="shared" ca="1" si="158"/>
        <v>0</v>
      </c>
      <c r="CC88" s="346">
        <f t="shared" ca="1" si="159"/>
        <v>0</v>
      </c>
      <c r="CD88" s="346">
        <f t="shared" ca="1" si="160"/>
        <v>0</v>
      </c>
      <c r="CE88" s="346">
        <f t="shared" ca="1" si="161"/>
        <v>0</v>
      </c>
      <c r="CH88" s="350"/>
      <c r="CI88" s="350"/>
      <c r="CJ88" s="350"/>
      <c r="CK88" s="350"/>
      <c r="CL88" s="350"/>
      <c r="CM88" s="350"/>
      <c r="DG88" s="350"/>
      <c r="DH88" s="300"/>
      <c r="DI88" s="395" t="str">
        <f t="shared" ca="1" si="219"/>
        <v/>
      </c>
      <c r="DJ88" s="360" t="str">
        <f t="shared" ca="1" si="220"/>
        <v/>
      </c>
      <c r="DK88" s="360" t="str">
        <f t="shared" ca="1" si="206"/>
        <v/>
      </c>
      <c r="DL88" s="354" t="str">
        <f t="shared" ca="1" si="207"/>
        <v/>
      </c>
      <c r="DM88" s="354" t="str">
        <f t="shared" ca="1" si="208"/>
        <v/>
      </c>
      <c r="DN88" s="361" t="str">
        <f t="shared" ca="1" si="209"/>
        <v/>
      </c>
      <c r="DO88" s="362" t="str">
        <f t="shared" ca="1" si="210"/>
        <v/>
      </c>
      <c r="DP88" s="379" t="str">
        <f t="shared" ref="DP88:DP95" ca="1" si="223">DP87</f>
        <v/>
      </c>
      <c r="DQ88" s="302"/>
      <c r="DR88" s="364"/>
      <c r="DS88" s="302"/>
      <c r="DU88" s="424"/>
      <c r="DV88" s="424"/>
      <c r="DW88" s="424"/>
      <c r="DX88" s="424"/>
      <c r="DY88" s="424"/>
      <c r="DZ88" s="424"/>
      <c r="EA88" s="424"/>
      <c r="EB88" s="424"/>
      <c r="EC88" s="424"/>
      <c r="ED88" s="424"/>
      <c r="EE88" s="424"/>
      <c r="EF88" s="424"/>
      <c r="EG88" s="424"/>
      <c r="EH88" s="424"/>
      <c r="EI88" s="424"/>
      <c r="EJ88" s="424"/>
      <c r="EK88" s="424"/>
      <c r="EL88" s="424"/>
      <c r="EM88" s="424"/>
      <c r="EN88" s="424"/>
      <c r="EO88" s="424"/>
      <c r="EP88" s="424"/>
      <c r="EQ88" s="424"/>
      <c r="ER88" s="404" t="str">
        <f ca="1">ER85</f>
        <v/>
      </c>
      <c r="ES88" s="371" t="str">
        <f ca="1">IF(OR(ER88="",EY88="",ER88=EY88),"",CONCATENATE(ER88,EY88))</f>
        <v/>
      </c>
      <c r="ET88" s="369" t="str">
        <f ca="1">IF(ES88="","",CONCATENATE(VLOOKUP(ES88,games.a,9,FALSE),VLOOKUP(ES88,games.a,12,FALSE)))</f>
        <v/>
      </c>
      <c r="EU88" s="406"/>
      <c r="EV88" s="407"/>
      <c r="EW88" s="423" t="str">
        <f ca="1">IF(ES88="","",VLOOKUP(ES88,games.a,6,FALSE))</f>
        <v/>
      </c>
      <c r="EX88" s="409" t="str">
        <f ca="1">IF(ES88="","",VLOOKUP(ES88,games.a,7,FALSE))</f>
        <v/>
      </c>
      <c r="EY88" s="410" t="str">
        <f ca="1">ER86</f>
        <v/>
      </c>
      <c r="EZ88" s="411"/>
      <c r="FA88" s="412"/>
      <c r="FB88" s="424"/>
      <c r="FC88" s="424"/>
      <c r="FD88" s="425"/>
      <c r="FE88" s="333"/>
      <c r="FG88" s="376"/>
      <c r="FH88" s="376"/>
      <c r="FI88" s="382" t="str">
        <f t="shared" si="204"/>
        <v>rank.a</v>
      </c>
      <c r="FJ88" s="383" t="b">
        <f t="shared" ca="1" si="203"/>
        <v>0</v>
      </c>
      <c r="FK88" s="387" t="str">
        <f t="shared" ca="1" si="205"/>
        <v/>
      </c>
      <c r="FO88" s="300"/>
      <c r="FP88" s="395" t="str">
        <f t="shared" ca="1" si="221"/>
        <v/>
      </c>
      <c r="FQ88" s="360" t="str">
        <f t="shared" ca="1" si="222"/>
        <v/>
      </c>
      <c r="FR88" s="360" t="str">
        <f t="shared" ca="1" si="211"/>
        <v/>
      </c>
      <c r="FS88" s="360" t="str">
        <f t="shared" ca="1" si="212"/>
        <v/>
      </c>
      <c r="FT88" s="360" t="str">
        <f t="shared" ca="1" si="213"/>
        <v/>
      </c>
      <c r="FU88" s="360" t="str">
        <f t="shared" ca="1" si="214"/>
        <v/>
      </c>
      <c r="FV88" s="360" t="str">
        <f t="shared" ca="1" si="215"/>
        <v/>
      </c>
      <c r="FW88" s="360" t="str">
        <f t="shared" ca="1" si="216"/>
        <v/>
      </c>
      <c r="FX88" s="360" t="str">
        <f t="shared" ca="1" si="217"/>
        <v/>
      </c>
      <c r="FY88" s="360" t="str">
        <f t="shared" ca="1" si="218"/>
        <v/>
      </c>
      <c r="FZ88" s="379" t="str">
        <f t="shared" ref="FZ88:FZ95" ca="1" si="224">FZ87</f>
        <v/>
      </c>
      <c r="GA88" s="302"/>
      <c r="GB88" s="364"/>
      <c r="GC88" s="302"/>
    </row>
    <row r="89" spans="23:185" ht="16.5" customHeight="1" x14ac:dyDescent="0.25">
      <c r="AU89" s="349">
        <v>22</v>
      </c>
      <c r="AV89" s="430">
        <f t="shared" ca="1" si="145"/>
        <v>0</v>
      </c>
      <c r="AW89" s="349">
        <v>22</v>
      </c>
      <c r="AY89" s="431">
        <f t="shared" ca="1" si="162"/>
        <v>-999999999.98099995</v>
      </c>
      <c r="AZ89" s="377" t="str">
        <f t="shared" ca="1" si="180"/>
        <v/>
      </c>
      <c r="BA89" s="343">
        <f t="shared" ca="1" si="163"/>
        <v>-999999999.98099995</v>
      </c>
      <c r="BB89" s="349">
        <v>22</v>
      </c>
      <c r="BC89" s="378">
        <f t="shared" si="164"/>
        <v>0</v>
      </c>
      <c r="BD89" s="346">
        <f t="shared" ca="1" si="165"/>
        <v>0</v>
      </c>
      <c r="BE89" s="346">
        <f t="shared" ca="1" si="166"/>
        <v>0</v>
      </c>
      <c r="BF89" s="346">
        <f t="shared" ca="1" si="167"/>
        <v>0</v>
      </c>
      <c r="BG89" s="346">
        <f t="shared" ca="1" si="168"/>
        <v>0</v>
      </c>
      <c r="BH89" s="346">
        <f t="shared" ca="1" si="169"/>
        <v>0</v>
      </c>
      <c r="BI89" s="346">
        <f t="shared" ca="1" si="170"/>
        <v>0</v>
      </c>
      <c r="BJ89" s="346">
        <f t="shared" ca="1" si="171"/>
        <v>0</v>
      </c>
      <c r="BK89" s="347">
        <f t="shared" ca="1" si="172"/>
        <v>0</v>
      </c>
      <c r="BL89" s="346">
        <f t="shared" si="146"/>
        <v>0</v>
      </c>
      <c r="BM89" s="346">
        <f t="shared" ca="1" si="147"/>
        <v>0</v>
      </c>
      <c r="BN89" s="346">
        <f t="shared" ca="1" si="173"/>
        <v>0</v>
      </c>
      <c r="BO89" s="347">
        <f t="shared" ca="1" si="148"/>
        <v>0</v>
      </c>
      <c r="BP89" s="348">
        <v>1.8999999999999982E-2</v>
      </c>
      <c r="BQ89" s="349">
        <f t="shared" ca="1" si="149"/>
        <v>0</v>
      </c>
      <c r="BS89" s="346">
        <f t="shared" ca="1" si="150"/>
        <v>0</v>
      </c>
      <c r="BT89" s="346">
        <f t="shared" ca="1" si="151"/>
        <v>0</v>
      </c>
      <c r="BU89" s="346">
        <f t="shared" ca="1" si="152"/>
        <v>0</v>
      </c>
      <c r="BV89" s="346">
        <f t="shared" ca="1" si="153"/>
        <v>0</v>
      </c>
      <c r="BW89" s="346">
        <f t="shared" ca="1" si="154"/>
        <v>0</v>
      </c>
      <c r="BX89" s="346">
        <f t="shared" ca="1" si="155"/>
        <v>0</v>
      </c>
      <c r="BZ89" s="346">
        <f t="shared" ca="1" si="156"/>
        <v>0</v>
      </c>
      <c r="CA89" s="346">
        <f t="shared" ca="1" si="157"/>
        <v>0</v>
      </c>
      <c r="CB89" s="346">
        <f t="shared" ca="1" si="158"/>
        <v>0</v>
      </c>
      <c r="CC89" s="346">
        <f t="shared" ca="1" si="159"/>
        <v>0</v>
      </c>
      <c r="CD89" s="346">
        <f t="shared" ca="1" si="160"/>
        <v>0</v>
      </c>
      <c r="CE89" s="346">
        <f t="shared" ca="1" si="161"/>
        <v>0</v>
      </c>
      <c r="CH89" s="350"/>
      <c r="CI89" s="350"/>
      <c r="CJ89" s="350"/>
      <c r="CK89" s="350"/>
      <c r="CL89" s="350"/>
      <c r="CM89" s="350"/>
      <c r="DG89" s="350"/>
      <c r="DH89" s="300"/>
      <c r="DI89" s="395" t="str">
        <f t="shared" ca="1" si="219"/>
        <v/>
      </c>
      <c r="DJ89" s="360" t="str">
        <f t="shared" ca="1" si="220"/>
        <v/>
      </c>
      <c r="DK89" s="360" t="str">
        <f t="shared" ca="1" si="206"/>
        <v/>
      </c>
      <c r="DL89" s="354" t="str">
        <f t="shared" ca="1" si="207"/>
        <v/>
      </c>
      <c r="DM89" s="354" t="str">
        <f t="shared" ca="1" si="208"/>
        <v/>
      </c>
      <c r="DN89" s="361" t="str">
        <f t="shared" ca="1" si="209"/>
        <v/>
      </c>
      <c r="DO89" s="362" t="str">
        <f t="shared" ca="1" si="210"/>
        <v/>
      </c>
      <c r="DP89" s="379" t="str">
        <f t="shared" ca="1" si="223"/>
        <v/>
      </c>
      <c r="DQ89" s="302"/>
      <c r="DR89" s="364"/>
      <c r="DS89" s="302"/>
      <c r="DU89" s="424"/>
      <c r="DV89" s="424"/>
      <c r="DW89" s="424"/>
      <c r="DX89" s="424"/>
      <c r="DY89" s="424"/>
      <c r="DZ89" s="424"/>
      <c r="EA89" s="424"/>
      <c r="EB89" s="424"/>
      <c r="EC89" s="424"/>
      <c r="ED89" s="424"/>
      <c r="EE89" s="424"/>
      <c r="EF89" s="424"/>
      <c r="EG89" s="424"/>
      <c r="EH89" s="424"/>
      <c r="EI89" s="424"/>
      <c r="EJ89" s="424"/>
      <c r="EK89" s="424"/>
      <c r="EL89" s="424"/>
      <c r="EM89" s="424"/>
      <c r="EN89" s="424"/>
      <c r="EO89" s="424"/>
      <c r="EP89" s="424"/>
      <c r="EQ89" s="424"/>
      <c r="ER89" s="404" t="str">
        <f ca="1">ER86</f>
        <v/>
      </c>
      <c r="ES89" s="371" t="str">
        <f ca="1">IF(OR(ER89="",EY89="",ER89=EY89),"",CONCATENATE(ER89,EY89))</f>
        <v/>
      </c>
      <c r="ET89" s="369" t="str">
        <f ca="1">IF(ES89="","",CONCATENATE(VLOOKUP(ES89,games.a,9,FALSE),VLOOKUP(ES89,games.a,12,FALSE)))</f>
        <v/>
      </c>
      <c r="EU89" s="420"/>
      <c r="EV89" s="421"/>
      <c r="EW89" s="423" t="str">
        <f ca="1">IF(ES89="","",VLOOKUP(ES89,games.a,6,FALSE))</f>
        <v/>
      </c>
      <c r="EX89" s="409" t="str">
        <f ca="1">IF(ES89="","",VLOOKUP(ES89,games.a,7,FALSE))</f>
        <v/>
      </c>
      <c r="EY89" s="415" t="str">
        <f ca="1">EY88</f>
        <v/>
      </c>
      <c r="EZ89" s="416"/>
      <c r="FA89" s="417"/>
      <c r="FB89" s="424"/>
      <c r="FC89" s="424"/>
      <c r="FD89" s="425"/>
      <c r="FE89" s="333"/>
      <c r="FG89" s="376"/>
      <c r="FH89" s="376"/>
      <c r="FI89" s="382" t="str">
        <f t="shared" si="204"/>
        <v>rank.a</v>
      </c>
      <c r="FJ89" s="383" t="b">
        <f t="shared" ca="1" si="203"/>
        <v>0</v>
      </c>
      <c r="FK89" s="387" t="str">
        <f t="shared" ca="1" si="205"/>
        <v/>
      </c>
      <c r="FO89" s="300"/>
      <c r="FP89" s="395" t="str">
        <f t="shared" ca="1" si="221"/>
        <v/>
      </c>
      <c r="FQ89" s="360" t="str">
        <f t="shared" ca="1" si="222"/>
        <v/>
      </c>
      <c r="FR89" s="360" t="str">
        <f t="shared" ca="1" si="211"/>
        <v/>
      </c>
      <c r="FS89" s="360" t="str">
        <f t="shared" ca="1" si="212"/>
        <v/>
      </c>
      <c r="FT89" s="360" t="str">
        <f t="shared" ca="1" si="213"/>
        <v/>
      </c>
      <c r="FU89" s="360" t="str">
        <f t="shared" ca="1" si="214"/>
        <v/>
      </c>
      <c r="FV89" s="360" t="str">
        <f t="shared" ca="1" si="215"/>
        <v/>
      </c>
      <c r="FW89" s="360" t="str">
        <f t="shared" ca="1" si="216"/>
        <v/>
      </c>
      <c r="FX89" s="360" t="str">
        <f t="shared" ca="1" si="217"/>
        <v/>
      </c>
      <c r="FY89" s="360" t="str">
        <f t="shared" ca="1" si="218"/>
        <v/>
      </c>
      <c r="FZ89" s="379" t="str">
        <f t="shared" ca="1" si="224"/>
        <v/>
      </c>
      <c r="GA89" s="302"/>
      <c r="GB89" s="364"/>
      <c r="GC89" s="302"/>
    </row>
    <row r="90" spans="23:185" ht="16.5" customHeight="1" x14ac:dyDescent="0.25">
      <c r="AU90" s="349">
        <v>23</v>
      </c>
      <c r="AV90" s="430">
        <f t="shared" ca="1" si="145"/>
        <v>0</v>
      </c>
      <c r="AW90" s="349">
        <v>23</v>
      </c>
      <c r="AY90" s="431">
        <f t="shared" ca="1" si="162"/>
        <v>-999999999.98199999</v>
      </c>
      <c r="AZ90" s="377" t="str">
        <f t="shared" ca="1" si="180"/>
        <v/>
      </c>
      <c r="BA90" s="343">
        <f t="shared" ca="1" si="163"/>
        <v>-999999999.98199999</v>
      </c>
      <c r="BB90" s="349">
        <v>23</v>
      </c>
      <c r="BC90" s="378">
        <f t="shared" si="164"/>
        <v>0</v>
      </c>
      <c r="BD90" s="346">
        <f t="shared" ca="1" si="165"/>
        <v>0</v>
      </c>
      <c r="BE90" s="346">
        <f t="shared" ca="1" si="166"/>
        <v>0</v>
      </c>
      <c r="BF90" s="346">
        <f t="shared" ca="1" si="167"/>
        <v>0</v>
      </c>
      <c r="BG90" s="346">
        <f t="shared" ca="1" si="168"/>
        <v>0</v>
      </c>
      <c r="BH90" s="346">
        <f t="shared" ca="1" si="169"/>
        <v>0</v>
      </c>
      <c r="BI90" s="346">
        <f t="shared" ca="1" si="170"/>
        <v>0</v>
      </c>
      <c r="BJ90" s="346">
        <f t="shared" ca="1" si="171"/>
        <v>0</v>
      </c>
      <c r="BK90" s="347">
        <f t="shared" ca="1" si="172"/>
        <v>0</v>
      </c>
      <c r="BL90" s="346">
        <f t="shared" si="146"/>
        <v>0</v>
      </c>
      <c r="BM90" s="346">
        <f t="shared" ca="1" si="147"/>
        <v>0</v>
      </c>
      <c r="BN90" s="346">
        <f t="shared" ca="1" si="173"/>
        <v>0</v>
      </c>
      <c r="BO90" s="347">
        <f t="shared" ca="1" si="148"/>
        <v>0</v>
      </c>
      <c r="BP90" s="348">
        <v>1.7999999999999981E-2</v>
      </c>
      <c r="BQ90" s="349">
        <f t="shared" ca="1" si="149"/>
        <v>0</v>
      </c>
      <c r="BS90" s="346">
        <f t="shared" ca="1" si="150"/>
        <v>0</v>
      </c>
      <c r="BT90" s="346">
        <f t="shared" ca="1" si="151"/>
        <v>0</v>
      </c>
      <c r="BU90" s="346">
        <f t="shared" ca="1" si="152"/>
        <v>0</v>
      </c>
      <c r="BV90" s="346">
        <f t="shared" ca="1" si="153"/>
        <v>0</v>
      </c>
      <c r="BW90" s="346">
        <f t="shared" ca="1" si="154"/>
        <v>0</v>
      </c>
      <c r="BX90" s="346">
        <f t="shared" ca="1" si="155"/>
        <v>0</v>
      </c>
      <c r="BZ90" s="346">
        <f t="shared" ca="1" si="156"/>
        <v>0</v>
      </c>
      <c r="CA90" s="346">
        <f t="shared" ca="1" si="157"/>
        <v>0</v>
      </c>
      <c r="CB90" s="346">
        <f t="shared" ca="1" si="158"/>
        <v>0</v>
      </c>
      <c r="CC90" s="346">
        <f t="shared" ca="1" si="159"/>
        <v>0</v>
      </c>
      <c r="CD90" s="346">
        <f t="shared" ca="1" si="160"/>
        <v>0</v>
      </c>
      <c r="CE90" s="346">
        <f t="shared" ca="1" si="161"/>
        <v>0</v>
      </c>
      <c r="CH90" s="350"/>
      <c r="CI90" s="350"/>
      <c r="CJ90" s="350"/>
      <c r="CK90" s="350"/>
      <c r="CL90" s="350"/>
      <c r="CM90" s="350"/>
      <c r="DG90" s="350"/>
      <c r="DH90" s="300"/>
      <c r="DI90" s="395" t="str">
        <f t="shared" ca="1" si="219"/>
        <v/>
      </c>
      <c r="DJ90" s="360" t="str">
        <f t="shared" ca="1" si="220"/>
        <v/>
      </c>
      <c r="DK90" s="360" t="str">
        <f t="shared" ca="1" si="206"/>
        <v/>
      </c>
      <c r="DL90" s="354" t="str">
        <f t="shared" ca="1" si="207"/>
        <v/>
      </c>
      <c r="DM90" s="354" t="str">
        <f t="shared" ca="1" si="208"/>
        <v/>
      </c>
      <c r="DN90" s="361" t="str">
        <f t="shared" ca="1" si="209"/>
        <v/>
      </c>
      <c r="DO90" s="362" t="str">
        <f t="shared" ca="1" si="210"/>
        <v/>
      </c>
      <c r="DP90" s="379" t="str">
        <f t="shared" ca="1" si="223"/>
        <v/>
      </c>
      <c r="DQ90" s="302"/>
      <c r="DR90" s="364"/>
      <c r="DS90" s="302"/>
      <c r="DU90" s="424"/>
      <c r="DV90" s="424"/>
      <c r="DW90" s="424"/>
      <c r="DX90" s="424"/>
      <c r="DY90" s="424"/>
      <c r="DZ90" s="424"/>
      <c r="EA90" s="424"/>
      <c r="EB90" s="424"/>
      <c r="EC90" s="424"/>
      <c r="ED90" s="424"/>
      <c r="EE90" s="424"/>
      <c r="EF90" s="424"/>
      <c r="EG90" s="424"/>
      <c r="EH90" s="424"/>
      <c r="EI90" s="424"/>
      <c r="EJ90" s="424"/>
      <c r="EK90" s="424"/>
      <c r="EL90" s="424"/>
      <c r="EM90" s="424"/>
      <c r="EN90" s="424"/>
      <c r="EO90" s="424"/>
      <c r="EP90" s="424"/>
      <c r="EQ90" s="424"/>
      <c r="ER90" s="424"/>
      <c r="ES90" s="424"/>
      <c r="ET90" s="424"/>
      <c r="EU90" s="424"/>
      <c r="EV90" s="424"/>
      <c r="EW90" s="424"/>
      <c r="EX90" s="424"/>
      <c r="EY90" s="424"/>
      <c r="EZ90" s="424"/>
      <c r="FA90" s="424"/>
      <c r="FB90" s="424"/>
      <c r="FC90" s="424"/>
      <c r="FD90" s="425"/>
      <c r="FE90" s="333"/>
      <c r="FO90" s="300"/>
      <c r="FP90" s="395" t="str">
        <f t="shared" ca="1" si="221"/>
        <v/>
      </c>
      <c r="FQ90" s="360" t="str">
        <f t="shared" ca="1" si="222"/>
        <v/>
      </c>
      <c r="FR90" s="360" t="str">
        <f t="shared" ca="1" si="211"/>
        <v/>
      </c>
      <c r="FS90" s="360" t="str">
        <f t="shared" ca="1" si="212"/>
        <v/>
      </c>
      <c r="FT90" s="360" t="str">
        <f t="shared" ca="1" si="213"/>
        <v/>
      </c>
      <c r="FU90" s="360" t="str">
        <f t="shared" ca="1" si="214"/>
        <v/>
      </c>
      <c r="FV90" s="360" t="str">
        <f t="shared" ca="1" si="215"/>
        <v/>
      </c>
      <c r="FW90" s="360" t="str">
        <f t="shared" ca="1" si="216"/>
        <v/>
      </c>
      <c r="FX90" s="360" t="str">
        <f t="shared" ca="1" si="217"/>
        <v/>
      </c>
      <c r="FY90" s="360" t="str">
        <f t="shared" ca="1" si="218"/>
        <v/>
      </c>
      <c r="FZ90" s="379" t="str">
        <f t="shared" ca="1" si="224"/>
        <v/>
      </c>
      <c r="GA90" s="302"/>
      <c r="GB90" s="364"/>
      <c r="GC90" s="302"/>
    </row>
    <row r="91" spans="23:185" ht="16.5" customHeight="1" x14ac:dyDescent="0.25">
      <c r="AU91" s="349">
        <v>24</v>
      </c>
      <c r="AV91" s="430">
        <f t="shared" ca="1" si="145"/>
        <v>0</v>
      </c>
      <c r="AW91" s="349">
        <v>24</v>
      </c>
      <c r="AY91" s="431">
        <f t="shared" ca="1" si="162"/>
        <v>-999999999.98300004</v>
      </c>
      <c r="AZ91" s="377" t="str">
        <f t="shared" ca="1" si="180"/>
        <v/>
      </c>
      <c r="BA91" s="343">
        <f t="shared" ca="1" si="163"/>
        <v>-999999999.98300004</v>
      </c>
      <c r="BB91" s="349">
        <v>24</v>
      </c>
      <c r="BC91" s="378">
        <f t="shared" si="164"/>
        <v>0</v>
      </c>
      <c r="BD91" s="346">
        <f t="shared" ca="1" si="165"/>
        <v>0</v>
      </c>
      <c r="BE91" s="346">
        <f t="shared" ca="1" si="166"/>
        <v>0</v>
      </c>
      <c r="BF91" s="346">
        <f t="shared" ca="1" si="167"/>
        <v>0</v>
      </c>
      <c r="BG91" s="346">
        <f t="shared" ca="1" si="168"/>
        <v>0</v>
      </c>
      <c r="BH91" s="346">
        <f t="shared" ca="1" si="169"/>
        <v>0</v>
      </c>
      <c r="BI91" s="346">
        <f t="shared" ca="1" si="170"/>
        <v>0</v>
      </c>
      <c r="BJ91" s="346">
        <f t="shared" ca="1" si="171"/>
        <v>0</v>
      </c>
      <c r="BK91" s="347">
        <f t="shared" ca="1" si="172"/>
        <v>0</v>
      </c>
      <c r="BL91" s="346">
        <f t="shared" si="146"/>
        <v>0</v>
      </c>
      <c r="BM91" s="346">
        <f t="shared" ca="1" si="147"/>
        <v>0</v>
      </c>
      <c r="BN91" s="346">
        <f t="shared" ca="1" si="173"/>
        <v>0</v>
      </c>
      <c r="BO91" s="347">
        <f t="shared" ca="1" si="148"/>
        <v>0</v>
      </c>
      <c r="BP91" s="348">
        <v>1.699999999999998E-2</v>
      </c>
      <c r="BQ91" s="349">
        <f t="shared" ca="1" si="149"/>
        <v>0</v>
      </c>
      <c r="BS91" s="346">
        <f t="shared" ca="1" si="150"/>
        <v>0</v>
      </c>
      <c r="BT91" s="346">
        <f t="shared" ca="1" si="151"/>
        <v>0</v>
      </c>
      <c r="BU91" s="346">
        <f t="shared" ca="1" si="152"/>
        <v>0</v>
      </c>
      <c r="BV91" s="346">
        <f t="shared" ca="1" si="153"/>
        <v>0</v>
      </c>
      <c r="BW91" s="346">
        <f t="shared" ca="1" si="154"/>
        <v>0</v>
      </c>
      <c r="BX91" s="346">
        <f t="shared" ca="1" si="155"/>
        <v>0</v>
      </c>
      <c r="BZ91" s="346">
        <f t="shared" ca="1" si="156"/>
        <v>0</v>
      </c>
      <c r="CA91" s="346">
        <f t="shared" ca="1" si="157"/>
        <v>0</v>
      </c>
      <c r="CB91" s="346">
        <f t="shared" ca="1" si="158"/>
        <v>0</v>
      </c>
      <c r="CC91" s="346">
        <f t="shared" ca="1" si="159"/>
        <v>0</v>
      </c>
      <c r="CD91" s="346">
        <f t="shared" ca="1" si="160"/>
        <v>0</v>
      </c>
      <c r="CE91" s="346">
        <f t="shared" ca="1" si="161"/>
        <v>0</v>
      </c>
      <c r="CH91" s="350"/>
      <c r="CI91" s="350"/>
      <c r="CJ91" s="350"/>
      <c r="CK91" s="350"/>
      <c r="CL91" s="350"/>
      <c r="CM91" s="350"/>
      <c r="DG91" s="350"/>
      <c r="DH91" s="300"/>
      <c r="DI91" s="395" t="str">
        <f t="shared" ca="1" si="219"/>
        <v/>
      </c>
      <c r="DJ91" s="360" t="str">
        <f t="shared" ca="1" si="220"/>
        <v/>
      </c>
      <c r="DK91" s="360" t="str">
        <f t="shared" ca="1" si="206"/>
        <v/>
      </c>
      <c r="DL91" s="354" t="str">
        <f t="shared" ca="1" si="207"/>
        <v/>
      </c>
      <c r="DM91" s="354" t="str">
        <f t="shared" ca="1" si="208"/>
        <v/>
      </c>
      <c r="DN91" s="361" t="str">
        <f t="shared" ca="1" si="209"/>
        <v/>
      </c>
      <c r="DO91" s="362" t="str">
        <f t="shared" ca="1" si="210"/>
        <v/>
      </c>
      <c r="DP91" s="379" t="str">
        <f t="shared" ca="1" si="223"/>
        <v/>
      </c>
      <c r="DQ91" s="302"/>
      <c r="DR91" s="364"/>
      <c r="DS91" s="302"/>
      <c r="DU91" s="424"/>
      <c r="DV91" s="424"/>
      <c r="DW91" s="424"/>
      <c r="DX91" s="424"/>
      <c r="DY91" s="424"/>
      <c r="DZ91" s="424"/>
      <c r="EA91" s="424"/>
      <c r="EB91" s="424"/>
      <c r="EC91" s="424"/>
      <c r="ED91" s="424"/>
      <c r="EE91" s="424"/>
      <c r="EF91" s="424"/>
      <c r="EG91" s="424"/>
      <c r="EH91" s="424"/>
      <c r="EI91" s="424"/>
      <c r="EJ91" s="424"/>
      <c r="EK91" s="424"/>
      <c r="EL91" s="424"/>
      <c r="EM91" s="424"/>
      <c r="EN91" s="424"/>
      <c r="EO91" s="424"/>
      <c r="EP91" s="424"/>
      <c r="EQ91" s="424"/>
      <c r="ER91" s="398"/>
      <c r="ES91" s="329" t="s">
        <v>157</v>
      </c>
      <c r="ET91" s="329" t="s">
        <v>158</v>
      </c>
      <c r="EU91" s="399"/>
      <c r="EV91" s="400"/>
      <c r="EW91" s="401" t="s">
        <v>160</v>
      </c>
      <c r="EX91" s="402" t="s">
        <v>135</v>
      </c>
      <c r="EY91" s="365"/>
      <c r="EZ91" s="365"/>
      <c r="FA91" s="365"/>
      <c r="FB91" s="424"/>
      <c r="FC91" s="424"/>
      <c r="FD91" s="425"/>
      <c r="FE91" s="333"/>
      <c r="FJ91" s="177"/>
      <c r="FK91" s="177"/>
      <c r="FO91" s="300"/>
      <c r="FP91" s="395" t="str">
        <f t="shared" ca="1" si="221"/>
        <v/>
      </c>
      <c r="FQ91" s="360" t="str">
        <f t="shared" ca="1" si="222"/>
        <v/>
      </c>
      <c r="FR91" s="360" t="str">
        <f t="shared" ca="1" si="211"/>
        <v/>
      </c>
      <c r="FS91" s="360" t="str">
        <f t="shared" ca="1" si="212"/>
        <v/>
      </c>
      <c r="FT91" s="360" t="str">
        <f t="shared" ca="1" si="213"/>
        <v/>
      </c>
      <c r="FU91" s="360" t="str">
        <f t="shared" ca="1" si="214"/>
        <v/>
      </c>
      <c r="FV91" s="360" t="str">
        <f t="shared" ca="1" si="215"/>
        <v/>
      </c>
      <c r="FW91" s="360" t="str">
        <f t="shared" ca="1" si="216"/>
        <v/>
      </c>
      <c r="FX91" s="360" t="str">
        <f t="shared" ca="1" si="217"/>
        <v/>
      </c>
      <c r="FY91" s="360" t="str">
        <f t="shared" ca="1" si="218"/>
        <v/>
      </c>
      <c r="FZ91" s="379" t="str">
        <f t="shared" ca="1" si="224"/>
        <v/>
      </c>
      <c r="GA91" s="302"/>
      <c r="GB91" s="364"/>
      <c r="GC91" s="302"/>
    </row>
    <row r="92" spans="23:185" ht="16.5" customHeight="1" x14ac:dyDescent="0.25">
      <c r="CH92" s="350"/>
      <c r="CI92" s="350"/>
      <c r="CJ92" s="350"/>
      <c r="CK92" s="350"/>
      <c r="CL92" s="350"/>
      <c r="CM92" s="350"/>
      <c r="DG92" s="350"/>
      <c r="DH92" s="300"/>
      <c r="DI92" s="395" t="str">
        <f t="shared" ca="1" si="219"/>
        <v/>
      </c>
      <c r="DJ92" s="360" t="str">
        <f t="shared" ca="1" si="220"/>
        <v/>
      </c>
      <c r="DK92" s="360" t="str">
        <f t="shared" ca="1" si="206"/>
        <v/>
      </c>
      <c r="DL92" s="354" t="str">
        <f t="shared" ca="1" si="207"/>
        <v/>
      </c>
      <c r="DM92" s="354" t="str">
        <f t="shared" ca="1" si="208"/>
        <v/>
      </c>
      <c r="DN92" s="361" t="str">
        <f t="shared" ca="1" si="209"/>
        <v/>
      </c>
      <c r="DO92" s="362" t="str">
        <f t="shared" ca="1" si="210"/>
        <v/>
      </c>
      <c r="DP92" s="379" t="str">
        <f t="shared" ca="1" si="223"/>
        <v/>
      </c>
      <c r="DQ92" s="302"/>
      <c r="DR92" s="364"/>
      <c r="DS92" s="302"/>
      <c r="DU92" s="424"/>
      <c r="DV92" s="424"/>
      <c r="DW92" s="424"/>
      <c r="DX92" s="424"/>
      <c r="DY92" s="424"/>
      <c r="DZ92" s="424"/>
      <c r="EA92" s="424"/>
      <c r="EB92" s="424"/>
      <c r="EC92" s="424"/>
      <c r="ED92" s="424"/>
      <c r="EE92" s="424"/>
      <c r="EF92" s="424"/>
      <c r="EG92" s="424"/>
      <c r="EH92" s="424"/>
      <c r="EI92" s="424"/>
      <c r="EJ92" s="424"/>
      <c r="EK92" s="424"/>
      <c r="EL92" s="424"/>
      <c r="EM92" s="424"/>
      <c r="EN92" s="424"/>
      <c r="EO92" s="424"/>
      <c r="EP92" s="424"/>
      <c r="EQ92" s="424"/>
      <c r="ER92" s="404" t="str">
        <f ca="1">IF(FA42="","",VLOOKUP(FA42,yyy.aa1.10,10,FALSE))</f>
        <v/>
      </c>
      <c r="ES92" s="371" t="str">
        <f ca="1">IF(OR(ER92="",EY92="",ER92=EY92),"",CONCATENATE(ER92,EY92))</f>
        <v/>
      </c>
      <c r="ET92" s="369" t="str">
        <f ca="1">IF(ES92="","",CONCATENATE(VLOOKUP(ES92,games.a,9,FALSE),VLOOKUP(ES92,games.a,12,FALSE)))</f>
        <v/>
      </c>
      <c r="EU92" s="406"/>
      <c r="EV92" s="407"/>
      <c r="EW92" s="423" t="str">
        <f ca="1">IF(ES92="","",VLOOKUP(ES92,games.a,6,FALSE))</f>
        <v/>
      </c>
      <c r="EX92" s="409" t="str">
        <f ca="1">IF(ES92="","",VLOOKUP(ES92,games.a,7,FALSE))</f>
        <v/>
      </c>
      <c r="EY92" s="410" t="str">
        <f ca="1">ER92</f>
        <v/>
      </c>
      <c r="EZ92" s="411"/>
      <c r="FA92" s="412"/>
      <c r="FB92" s="424"/>
      <c r="FC92" s="424"/>
      <c r="FD92" s="425"/>
      <c r="FE92" s="333"/>
      <c r="FJ92" s="232" t="s">
        <v>282</v>
      </c>
      <c r="FK92" s="376" t="b">
        <v>1</v>
      </c>
      <c r="FL92" s="177"/>
      <c r="FO92" s="300"/>
      <c r="FP92" s="395" t="str">
        <f t="shared" ca="1" si="221"/>
        <v/>
      </c>
      <c r="FQ92" s="360" t="str">
        <f t="shared" ca="1" si="222"/>
        <v/>
      </c>
      <c r="FR92" s="360" t="str">
        <f t="shared" ca="1" si="211"/>
        <v/>
      </c>
      <c r="FS92" s="360" t="str">
        <f t="shared" ca="1" si="212"/>
        <v/>
      </c>
      <c r="FT92" s="360" t="str">
        <f t="shared" ca="1" si="213"/>
        <v/>
      </c>
      <c r="FU92" s="360" t="str">
        <f t="shared" ca="1" si="214"/>
        <v/>
      </c>
      <c r="FV92" s="360" t="str">
        <f t="shared" ca="1" si="215"/>
        <v/>
      </c>
      <c r="FW92" s="360" t="str">
        <f t="shared" ca="1" si="216"/>
        <v/>
      </c>
      <c r="FX92" s="360" t="str">
        <f t="shared" ca="1" si="217"/>
        <v/>
      </c>
      <c r="FY92" s="360" t="str">
        <f t="shared" ca="1" si="218"/>
        <v/>
      </c>
      <c r="FZ92" s="379" t="str">
        <f t="shared" ca="1" si="224"/>
        <v/>
      </c>
      <c r="GA92" s="302"/>
      <c r="GB92" s="364"/>
      <c r="GC92" s="302"/>
    </row>
    <row r="93" spans="23:185" ht="16.5" customHeight="1" x14ac:dyDescent="0.25">
      <c r="AN93" s="310" t="s">
        <v>377</v>
      </c>
      <c r="AY93" s="313" t="s">
        <v>189</v>
      </c>
      <c r="AZ93" s="314"/>
      <c r="BA93" s="315"/>
      <c r="BB93" s="315"/>
      <c r="BC93" s="316" t="s">
        <v>189</v>
      </c>
      <c r="BD93" s="318" t="s">
        <v>120</v>
      </c>
      <c r="BE93" s="318" t="s">
        <v>121</v>
      </c>
      <c r="BF93" s="318" t="s">
        <v>134</v>
      </c>
      <c r="BG93" s="318" t="s">
        <v>122</v>
      </c>
      <c r="BH93" s="318" t="s">
        <v>123</v>
      </c>
      <c r="BI93" s="318" t="s">
        <v>124</v>
      </c>
      <c r="BJ93" s="318" t="s">
        <v>125</v>
      </c>
      <c r="BK93" s="318" t="s">
        <v>191</v>
      </c>
      <c r="BL93" s="318" t="s">
        <v>207</v>
      </c>
      <c r="BM93" s="318" t="s">
        <v>126</v>
      </c>
      <c r="BN93" s="318" t="s">
        <v>197</v>
      </c>
      <c r="BO93" s="318" t="s">
        <v>192</v>
      </c>
      <c r="BP93" s="318" t="s">
        <v>127</v>
      </c>
      <c r="BQ93" s="318" t="s">
        <v>208</v>
      </c>
      <c r="BS93" s="318" t="s">
        <v>196</v>
      </c>
      <c r="BT93" s="318" t="s">
        <v>121</v>
      </c>
      <c r="BU93" s="318" t="s">
        <v>134</v>
      </c>
      <c r="BV93" s="318" t="s">
        <v>122</v>
      </c>
      <c r="BW93" s="318" t="s">
        <v>123</v>
      </c>
      <c r="BX93" s="318" t="s">
        <v>124</v>
      </c>
      <c r="BZ93" s="318" t="s">
        <v>196</v>
      </c>
      <c r="CA93" s="318" t="s">
        <v>121</v>
      </c>
      <c r="CB93" s="318" t="s">
        <v>134</v>
      </c>
      <c r="CC93" s="318" t="s">
        <v>122</v>
      </c>
      <c r="CD93" s="318" t="s">
        <v>123</v>
      </c>
      <c r="CE93" s="318" t="s">
        <v>124</v>
      </c>
      <c r="CH93" s="350"/>
      <c r="CI93" s="350"/>
      <c r="CJ93" s="350"/>
      <c r="CK93" s="350"/>
      <c r="CL93" s="350"/>
      <c r="CM93" s="350"/>
      <c r="DG93" s="350"/>
      <c r="DH93" s="300"/>
      <c r="DI93" s="395" t="str">
        <f t="shared" ca="1" si="219"/>
        <v/>
      </c>
      <c r="DJ93" s="360" t="str">
        <f t="shared" ca="1" si="220"/>
        <v/>
      </c>
      <c r="DK93" s="360" t="str">
        <f t="shared" ca="1" si="206"/>
        <v/>
      </c>
      <c r="DL93" s="354" t="str">
        <f t="shared" ca="1" si="207"/>
        <v/>
      </c>
      <c r="DM93" s="354" t="str">
        <f t="shared" ca="1" si="208"/>
        <v/>
      </c>
      <c r="DN93" s="361" t="str">
        <f t="shared" ca="1" si="209"/>
        <v/>
      </c>
      <c r="DO93" s="362" t="str">
        <f t="shared" ca="1" si="210"/>
        <v/>
      </c>
      <c r="DP93" s="379" t="str">
        <f t="shared" ca="1" si="223"/>
        <v/>
      </c>
      <c r="DQ93" s="302"/>
      <c r="DR93" s="364"/>
      <c r="DS93" s="302"/>
      <c r="DU93" s="424"/>
      <c r="DV93" s="424"/>
      <c r="DW93" s="424"/>
      <c r="DX93" s="424"/>
      <c r="DY93" s="424"/>
      <c r="DZ93" s="424"/>
      <c r="EA93" s="424"/>
      <c r="EB93" s="424"/>
      <c r="EC93" s="424"/>
      <c r="ED93" s="424"/>
      <c r="EE93" s="424"/>
      <c r="EF93" s="424"/>
      <c r="EG93" s="424"/>
      <c r="EH93" s="424"/>
      <c r="EI93" s="424"/>
      <c r="EJ93" s="424"/>
      <c r="EK93" s="424"/>
      <c r="EL93" s="424"/>
      <c r="EM93" s="424"/>
      <c r="EN93" s="424"/>
      <c r="EO93" s="424"/>
      <c r="EP93" s="424"/>
      <c r="EQ93" s="424"/>
      <c r="ER93" s="404" t="str">
        <f ca="1">IF(FA43="","",VLOOKUP(FA43,yyy.aa1.10,10,FALSE))</f>
        <v/>
      </c>
      <c r="ES93" s="371" t="str">
        <f ca="1">IF(OR(ER93="",EY93="",ER93=EY93),"",CONCATENATE(ER93,EY93))</f>
        <v/>
      </c>
      <c r="ET93" s="369" t="str">
        <f ca="1">IF(ES93="","",CONCATENATE(VLOOKUP(ES93,games.a,9,FALSE),VLOOKUP(ES93,games.a,12,FALSE)))</f>
        <v/>
      </c>
      <c r="EU93" s="413"/>
      <c r="EV93" s="414"/>
      <c r="EW93" s="423" t="str">
        <f ca="1">IF(ES93="","",VLOOKUP(ES93,games.a,6,FALSE))</f>
        <v/>
      </c>
      <c r="EX93" s="409" t="str">
        <f ca="1">IF(ES93="","",VLOOKUP(ES93,games.a,7,FALSE))</f>
        <v/>
      </c>
      <c r="EY93" s="415" t="str">
        <f ca="1">EY92</f>
        <v/>
      </c>
      <c r="EZ93" s="416"/>
      <c r="FA93" s="417"/>
      <c r="FB93" s="424"/>
      <c r="FC93" s="424"/>
      <c r="FD93" s="425"/>
      <c r="FE93" s="333"/>
      <c r="FJ93" s="177"/>
      <c r="FK93" s="177"/>
      <c r="FO93" s="300"/>
      <c r="FP93" s="395" t="str">
        <f t="shared" ca="1" si="221"/>
        <v/>
      </c>
      <c r="FQ93" s="360" t="str">
        <f t="shared" ca="1" si="222"/>
        <v/>
      </c>
      <c r="FR93" s="360" t="str">
        <f t="shared" ca="1" si="211"/>
        <v/>
      </c>
      <c r="FS93" s="360" t="str">
        <f t="shared" ca="1" si="212"/>
        <v/>
      </c>
      <c r="FT93" s="360" t="str">
        <f t="shared" ca="1" si="213"/>
        <v/>
      </c>
      <c r="FU93" s="360" t="str">
        <f t="shared" ca="1" si="214"/>
        <v/>
      </c>
      <c r="FV93" s="360" t="str">
        <f t="shared" ca="1" si="215"/>
        <v/>
      </c>
      <c r="FW93" s="360" t="str">
        <f t="shared" ca="1" si="216"/>
        <v/>
      </c>
      <c r="FX93" s="360" t="str">
        <f t="shared" ca="1" si="217"/>
        <v/>
      </c>
      <c r="FY93" s="360" t="str">
        <f t="shared" ca="1" si="218"/>
        <v/>
      </c>
      <c r="FZ93" s="379" t="str">
        <f t="shared" ca="1" si="224"/>
        <v/>
      </c>
      <c r="GA93" s="302"/>
      <c r="GB93" s="364"/>
      <c r="GC93" s="302"/>
    </row>
    <row r="94" spans="23:185" ht="16.5" customHeight="1" x14ac:dyDescent="0.25">
      <c r="AN94" s="210" t="str">
        <f ca="1">IF(VLOOKUP($AY94,INDIRECT(CONCATENATE($AJ$59,2)),3,FALSE)=0,"–",VLOOKUP($AY94,INDIRECT(CONCATENATE($AJ$59,2)),3,FALSE))</f>
        <v>–</v>
      </c>
      <c r="AO94" s="340">
        <f>AZ94</f>
        <v>1</v>
      </c>
      <c r="AP94" s="338" t="e">
        <f t="shared" ref="AP94:AP103" ca="1" si="225">VLOOKUP($AN94,table.n.av2,6,FALSE)</f>
        <v>#N/A</v>
      </c>
      <c r="AQ94" s="210" t="e">
        <f t="shared" ref="AQ94:AQ103" ca="1" si="226">VLOOKUP($AN94,table.n.av2,7,FALSE)</f>
        <v>#N/A</v>
      </c>
      <c r="AY94" s="341">
        <f>LARGE(IF($AJ$58=1,$BA$94:$BA$103,$BA$173:$BA$182),BB94)</f>
        <v>-999999999.98399997</v>
      </c>
      <c r="AZ94" s="377">
        <v>1</v>
      </c>
      <c r="BA94" s="343">
        <f>IF($AJ$44,BO94*100,IF($AJ$43,BM94*10,BM94))*1000000+IF($AJ$52,BE94*10000,0)+IF($AJ$44,BK94,BJ94)*1000/IF(OR($AJ$43,$AJ$52),10,1)+IF($AJ$44,0,IF($AJ$43,BH94/10,BH94))+BP94+IF($AJ$76,BQ94,0)-IF(BC94=0,1000000000,0)</f>
        <v>-999999999.98399997</v>
      </c>
      <c r="BB94" s="349">
        <v>1</v>
      </c>
      <c r="BC94" s="378">
        <f>X72</f>
        <v>0</v>
      </c>
      <c r="BD94" s="346">
        <f>BE94+BF94+BG94</f>
        <v>0</v>
      </c>
      <c r="BE94" s="346">
        <f t="shared" ref="BE94:BE103" si="227">IF(NOT($X$71),0,IF($AJ$57=1,BT94+CA94,IF($AJ$57=2,BT94,IF($AJ$57=3,CA94,""))))</f>
        <v>0</v>
      </c>
      <c r="BF94" s="346">
        <f t="shared" ref="BF94:BF103" si="228">IF(NOT($X$71),0,IF($AJ$57=1,BU94+CB94,IF($AJ$57=2,BU94,IF($AJ$57=3,CB94,""))))</f>
        <v>0</v>
      </c>
      <c r="BG94" s="346">
        <f t="shared" ref="BG94:BG103" si="229">IF(NOT($X$71),0,IF($AJ$57=1,BV94+CC94,IF($AJ$57=2,BV94,IF($AJ$57=3,CC94,""))))</f>
        <v>0</v>
      </c>
      <c r="BH94" s="346">
        <f t="shared" ref="BH94:BH103" si="230">IF(NOT($X$71),0,IF($AJ$57=1,BW94+CD94,IF($AJ$57=2,BW94,IF($AJ$57=3,CD94,""))))</f>
        <v>0</v>
      </c>
      <c r="BI94" s="346">
        <f t="shared" ref="BI94:BI103" si="231">IF(NOT($X$71),0,IF($AJ$57=1,BX94+CE94,IF($AJ$57=2,BX94,IF($AJ$57=3,CE94,""))))</f>
        <v>0</v>
      </c>
      <c r="BJ94" s="346">
        <f>BH94-BI94</f>
        <v>0</v>
      </c>
      <c r="BK94" s="347">
        <f>IF(BI94=0,0,BH94/BI94)</f>
        <v>0</v>
      </c>
      <c r="BL94" s="346">
        <f t="shared" ref="BL94:BL103" si="232">IF(NOT($X$71),0,IF($AJ$77,IF(ISNA(VLOOKUP(BC94,penalty.a,2,FALSE)),0,VLOOKUP(BC94,penalty.a,2,FALSE)),0))</f>
        <v>0</v>
      </c>
      <c r="BM94" s="346">
        <f t="shared" ref="BM94:BM103" si="233">IF(NOT($X$71),0,$AJ$48*BE94+BF94-BL94)</f>
        <v>0</v>
      </c>
      <c r="BN94" s="346">
        <f>IF(NOT($X$71),0,BE94*2+BG94-BL94)</f>
        <v>0</v>
      </c>
      <c r="BO94" s="347">
        <f t="shared" ref="BO94:BO103" si="234">IF(NOT($X$71),0,IF(BD94=0,BN94,IF(BN94=0,0,BN94/BD94/2)))</f>
        <v>0</v>
      </c>
      <c r="BP94" s="348">
        <v>1.599999999999998E-2</v>
      </c>
      <c r="BQ94" s="349">
        <f t="shared" ref="BQ94:BQ103" ca="1" si="235">IF(ISNA(VLOOKUP(BC94,eee.av,16,FALSE)),0,VLOOKUP(BC94,eee.av,16,FALSE))</f>
        <v>0</v>
      </c>
      <c r="BS94" s="346">
        <f t="shared" ref="BS94:BS103" si="236">IF(NOT($X$71),0,COUNTIF(lossh.av,CONCATENATE($BC94,"ooo")))</f>
        <v>0</v>
      </c>
      <c r="BT94" s="346">
        <f t="shared" ref="BT94:BT103" si="237">IF(NOT($X$71),0,COUNTIF(winh.av,$BC94))</f>
        <v>0</v>
      </c>
      <c r="BU94" s="346">
        <f t="shared" ref="BU94:BU103" si="238">IF(NOT($X$71),0,COUNTIF(drawh.av,$BC94))</f>
        <v>0</v>
      </c>
      <c r="BV94" s="346">
        <f t="shared" ref="BV94:BV103" si="239">IF(NOT($X$71),0,COUNTIF(lossh.av,$BC94))+BS94</f>
        <v>0</v>
      </c>
      <c r="BW94" s="346">
        <f t="shared" ref="BW94:BW103" si="240">IF(NOT($X$71),0,SUMIF(home.av,$BC94,GAA.av))</f>
        <v>0</v>
      </c>
      <c r="BX94" s="346">
        <f t="shared" ref="BX94:BX103" si="241">IF(NOT($X$71),0,SUMIF(home.av,$BC94,GBB.av))</f>
        <v>0</v>
      </c>
      <c r="BZ94" s="346">
        <f t="shared" ref="BZ94:BZ103" si="242">IF(NOT($X$71),0,COUNTIF(lossa.av,CONCATENATE($BC94,"ooo")))</f>
        <v>0</v>
      </c>
      <c r="CA94" s="346">
        <f t="shared" ref="CA94:CA103" si="243">IF(NOT($X$71),0,COUNTIF(wina.av,$BC94))</f>
        <v>0</v>
      </c>
      <c r="CB94" s="346">
        <f t="shared" ref="CB94:CB103" si="244">IF(NOT($X$71),0,COUNTIF(drawa.av,$BC94))</f>
        <v>0</v>
      </c>
      <c r="CC94" s="346">
        <f t="shared" ref="CC94:CC103" si="245">IF(NOT($X$71),0,COUNTIF(lossa.av,$BC94))+BZ94</f>
        <v>0</v>
      </c>
      <c r="CD94" s="346">
        <f t="shared" ref="CD94:CD103" si="246">IF(NOT($X$71),0,SUMIF(away.av,$BC94,GBB.av))</f>
        <v>0</v>
      </c>
      <c r="CE94" s="346">
        <f t="shared" ref="CE94:CE103" si="247">IF(NOT($X$71),0,SUMIF(away.av,$BC94,GAA.av))</f>
        <v>0</v>
      </c>
      <c r="CH94" s="350"/>
      <c r="CI94" s="350"/>
      <c r="CJ94" s="350"/>
      <c r="CK94" s="350"/>
      <c r="CL94" s="350"/>
      <c r="CM94" s="350"/>
      <c r="DG94" s="350"/>
      <c r="DH94" s="300"/>
      <c r="DI94" s="395" t="str">
        <f t="shared" ca="1" si="219"/>
        <v/>
      </c>
      <c r="DJ94" s="360" t="str">
        <f t="shared" ca="1" si="220"/>
        <v/>
      </c>
      <c r="DK94" s="360" t="str">
        <f t="shared" ca="1" si="206"/>
        <v/>
      </c>
      <c r="DL94" s="354" t="str">
        <f t="shared" ca="1" si="207"/>
        <v/>
      </c>
      <c r="DM94" s="354" t="str">
        <f t="shared" ca="1" si="208"/>
        <v/>
      </c>
      <c r="DN94" s="361" t="str">
        <f t="shared" ca="1" si="209"/>
        <v/>
      </c>
      <c r="DO94" s="362" t="str">
        <f t="shared" ca="1" si="210"/>
        <v/>
      </c>
      <c r="DP94" s="379" t="str">
        <f t="shared" ca="1" si="223"/>
        <v/>
      </c>
      <c r="DQ94" s="302"/>
      <c r="DR94" s="364"/>
      <c r="DS94" s="302"/>
      <c r="DU94" s="424"/>
      <c r="DV94" s="424"/>
      <c r="DW94" s="424"/>
      <c r="DX94" s="424"/>
      <c r="DY94" s="424"/>
      <c r="DZ94" s="424"/>
      <c r="EA94" s="424"/>
      <c r="EB94" s="424"/>
      <c r="EC94" s="424"/>
      <c r="ED94" s="424"/>
      <c r="EE94" s="424"/>
      <c r="EF94" s="424"/>
      <c r="EG94" s="424"/>
      <c r="EH94" s="424"/>
      <c r="EI94" s="424"/>
      <c r="EJ94" s="424"/>
      <c r="EK94" s="424"/>
      <c r="EL94" s="424"/>
      <c r="EM94" s="424"/>
      <c r="EN94" s="424"/>
      <c r="EO94" s="424"/>
      <c r="EP94" s="424"/>
      <c r="EQ94" s="424"/>
      <c r="ER94" s="398"/>
      <c r="ES94" s="329" t="s">
        <v>157</v>
      </c>
      <c r="ET94" s="329" t="s">
        <v>158</v>
      </c>
      <c r="EU94" s="399"/>
      <c r="EV94" s="400"/>
      <c r="EW94" s="401" t="s">
        <v>160</v>
      </c>
      <c r="EX94" s="402" t="s">
        <v>135</v>
      </c>
      <c r="EY94" s="398"/>
      <c r="EZ94" s="365"/>
      <c r="FA94" s="365"/>
      <c r="FB94" s="424"/>
      <c r="FC94" s="424"/>
      <c r="FD94" s="425"/>
      <c r="FE94" s="333"/>
      <c r="FG94" s="324" t="s">
        <v>127</v>
      </c>
      <c r="FH94" s="324" t="s">
        <v>252</v>
      </c>
      <c r="FL94" s="324" t="s">
        <v>293</v>
      </c>
      <c r="FO94" s="300"/>
      <c r="FP94" s="395" t="str">
        <f t="shared" ca="1" si="221"/>
        <v/>
      </c>
      <c r="FQ94" s="360" t="str">
        <f t="shared" ca="1" si="222"/>
        <v/>
      </c>
      <c r="FR94" s="360" t="str">
        <f t="shared" ca="1" si="211"/>
        <v/>
      </c>
      <c r="FS94" s="360" t="str">
        <f t="shared" ca="1" si="212"/>
        <v/>
      </c>
      <c r="FT94" s="360" t="str">
        <f t="shared" ca="1" si="213"/>
        <v/>
      </c>
      <c r="FU94" s="360" t="str">
        <f t="shared" ca="1" si="214"/>
        <v/>
      </c>
      <c r="FV94" s="360" t="str">
        <f t="shared" ca="1" si="215"/>
        <v/>
      </c>
      <c r="FW94" s="360" t="str">
        <f t="shared" ca="1" si="216"/>
        <v/>
      </c>
      <c r="FX94" s="360" t="str">
        <f t="shared" ca="1" si="217"/>
        <v/>
      </c>
      <c r="FY94" s="360" t="str">
        <f t="shared" ca="1" si="218"/>
        <v/>
      </c>
      <c r="FZ94" s="379" t="str">
        <f t="shared" ca="1" si="224"/>
        <v/>
      </c>
      <c r="GA94" s="302"/>
      <c r="GB94" s="364"/>
      <c r="GC94" s="302"/>
    </row>
    <row r="95" spans="23:185" ht="16.5" customHeight="1" x14ac:dyDescent="0.25">
      <c r="AN95" s="210" t="str">
        <f t="shared" ref="AN95:AN103" ca="1" si="248">IF(VLOOKUP($AY95,INDIRECT(CONCATENATE($AJ$59,2)),3,FALSE)=0,"–",VLOOKUP($AY95,INDIRECT(CONCATENATE($AJ$59,2)),3,FALSE))</f>
        <v>–</v>
      </c>
      <c r="AO95" s="340" t="str">
        <f t="shared" ref="AO95:AO103" si="249">AZ95</f>
        <v/>
      </c>
      <c r="AP95" s="338" t="e">
        <f t="shared" ca="1" si="225"/>
        <v>#N/A</v>
      </c>
      <c r="AQ95" s="210" t="e">
        <f t="shared" ca="1" si="226"/>
        <v>#N/A</v>
      </c>
      <c r="AY95" s="341">
        <f t="shared" ref="AY95:AY103" si="250">LARGE(IF($AJ$58=1,$BA$94:$BA$103,$BA$173:$BA$182),BB95)</f>
        <v>-999999999.98500001</v>
      </c>
      <c r="AZ95" s="377" t="str">
        <f>IF(BC95=0,"",IF(ABS(AY94-AY95)&lt;0.015,AZ94,BB95))</f>
        <v/>
      </c>
      <c r="BA95" s="343">
        <f t="shared" ref="BA95:BA103" si="251">IF($AJ$44,BO95*100,IF($AJ$43,BM95*10,BM95))*1000000+IF($AJ$52,BE95*10000,0)+IF($AJ$44,BK95,BJ95)*1000/IF(OR($AJ$43,$AJ$52),10,1)+IF($AJ$44,0,IF($AJ$43,BH95/10,BH95))+BP95+IF($AJ$76,BQ95,0)-IF(BC95=0,1000000000,0)</f>
        <v>-999999999.98500001</v>
      </c>
      <c r="BB95" s="349">
        <v>2</v>
      </c>
      <c r="BC95" s="378">
        <f t="shared" ref="BC95:BC103" si="252">X73</f>
        <v>0</v>
      </c>
      <c r="BD95" s="346">
        <f t="shared" ref="BD95:BD103" si="253">BE95+BF95+BG95</f>
        <v>0</v>
      </c>
      <c r="BE95" s="346">
        <f t="shared" si="227"/>
        <v>0</v>
      </c>
      <c r="BF95" s="346">
        <f t="shared" si="228"/>
        <v>0</v>
      </c>
      <c r="BG95" s="346">
        <f t="shared" si="229"/>
        <v>0</v>
      </c>
      <c r="BH95" s="346">
        <f t="shared" si="230"/>
        <v>0</v>
      </c>
      <c r="BI95" s="346">
        <f t="shared" si="231"/>
        <v>0</v>
      </c>
      <c r="BJ95" s="346">
        <f t="shared" ref="BJ95:BJ103" si="254">BH95-BI95</f>
        <v>0</v>
      </c>
      <c r="BK95" s="347">
        <f t="shared" ref="BK95:BK103" si="255">IF(BI95=0,0,BH95/BI95)</f>
        <v>0</v>
      </c>
      <c r="BL95" s="346">
        <f t="shared" si="232"/>
        <v>0</v>
      </c>
      <c r="BM95" s="346">
        <f t="shared" si="233"/>
        <v>0</v>
      </c>
      <c r="BN95" s="346">
        <f t="shared" ref="BN95:BN103" si="256">IF(NOT($X$71),0,BE95*2+BG95-BL95)</f>
        <v>0</v>
      </c>
      <c r="BO95" s="347">
        <f t="shared" si="234"/>
        <v>0</v>
      </c>
      <c r="BP95" s="348">
        <v>1.4999999999999999E-2</v>
      </c>
      <c r="BQ95" s="349">
        <f t="shared" ca="1" si="235"/>
        <v>0</v>
      </c>
      <c r="BS95" s="346">
        <f t="shared" si="236"/>
        <v>0</v>
      </c>
      <c r="BT95" s="346">
        <f t="shared" si="237"/>
        <v>0</v>
      </c>
      <c r="BU95" s="346">
        <f t="shared" si="238"/>
        <v>0</v>
      </c>
      <c r="BV95" s="346">
        <f t="shared" si="239"/>
        <v>0</v>
      </c>
      <c r="BW95" s="346">
        <f t="shared" si="240"/>
        <v>0</v>
      </c>
      <c r="BX95" s="346">
        <f t="shared" si="241"/>
        <v>0</v>
      </c>
      <c r="BZ95" s="346">
        <f t="shared" si="242"/>
        <v>0</v>
      </c>
      <c r="CA95" s="346">
        <f t="shared" si="243"/>
        <v>0</v>
      </c>
      <c r="CB95" s="346">
        <f t="shared" si="244"/>
        <v>0</v>
      </c>
      <c r="CC95" s="346">
        <f t="shared" si="245"/>
        <v>0</v>
      </c>
      <c r="CD95" s="346">
        <f t="shared" si="246"/>
        <v>0</v>
      </c>
      <c r="CE95" s="346">
        <f t="shared" si="247"/>
        <v>0</v>
      </c>
      <c r="CH95" s="350"/>
      <c r="CI95" s="350"/>
      <c r="CJ95" s="350"/>
      <c r="CK95" s="350"/>
      <c r="CL95" s="350"/>
      <c r="CM95" s="350"/>
      <c r="DG95" s="350"/>
      <c r="DH95" s="300"/>
      <c r="DI95" s="395" t="str">
        <f t="shared" ca="1" si="219"/>
        <v/>
      </c>
      <c r="DJ95" s="360" t="str">
        <f t="shared" ca="1" si="220"/>
        <v/>
      </c>
      <c r="DK95" s="360" t="str">
        <f t="shared" ca="1" si="206"/>
        <v/>
      </c>
      <c r="DL95" s="354" t="str">
        <f t="shared" ca="1" si="207"/>
        <v/>
      </c>
      <c r="DM95" s="354" t="str">
        <f t="shared" ca="1" si="208"/>
        <v/>
      </c>
      <c r="DN95" s="361" t="str">
        <f t="shared" ca="1" si="209"/>
        <v/>
      </c>
      <c r="DO95" s="362" t="str">
        <f t="shared" ca="1" si="210"/>
        <v/>
      </c>
      <c r="DP95" s="379" t="str">
        <f t="shared" ca="1" si="223"/>
        <v/>
      </c>
      <c r="DQ95" s="302"/>
      <c r="DR95" s="364"/>
      <c r="DS95" s="302"/>
      <c r="DU95" s="424"/>
      <c r="DV95" s="424"/>
      <c r="DW95" s="424"/>
      <c r="DX95" s="424"/>
      <c r="DY95" s="424"/>
      <c r="DZ95" s="424"/>
      <c r="EA95" s="424"/>
      <c r="EB95" s="424"/>
      <c r="EC95" s="424"/>
      <c r="ED95" s="424"/>
      <c r="EE95" s="424"/>
      <c r="EF95" s="424"/>
      <c r="EG95" s="424"/>
      <c r="EH95" s="424"/>
      <c r="EI95" s="424"/>
      <c r="EJ95" s="424"/>
      <c r="EK95" s="424"/>
      <c r="EL95" s="424"/>
      <c r="EM95" s="424"/>
      <c r="EN95" s="424"/>
      <c r="EO95" s="424"/>
      <c r="EP95" s="424"/>
      <c r="EQ95" s="424"/>
      <c r="ER95" s="404" t="str">
        <f ca="1">ER92</f>
        <v/>
      </c>
      <c r="ES95" s="371" t="str">
        <f ca="1">IF(OR(ER95="",EY95="",ER95=EY95),"",CONCATENATE(ER95,EY95))</f>
        <v/>
      </c>
      <c r="ET95" s="369" t="str">
        <f ca="1">IF(ES95="","",CONCATENATE(VLOOKUP(ES95,games.a,9,FALSE),VLOOKUP(ES95,games.a,12,FALSE)))</f>
        <v/>
      </c>
      <c r="EU95" s="406"/>
      <c r="EV95" s="407"/>
      <c r="EW95" s="423" t="str">
        <f ca="1">IF(ES95="","",VLOOKUP(ES95,games.a,6,FALSE))</f>
        <v/>
      </c>
      <c r="EX95" s="409" t="str">
        <f ca="1">IF(ES95="","",VLOOKUP(ES95,games.a,7,FALSE))</f>
        <v/>
      </c>
      <c r="EY95" s="410" t="str">
        <f ca="1">ER93</f>
        <v/>
      </c>
      <c r="EZ95" s="411"/>
      <c r="FA95" s="412"/>
      <c r="FB95" s="424"/>
      <c r="FC95" s="424"/>
      <c r="FD95" s="425"/>
      <c r="FE95" s="333"/>
      <c r="FG95" s="376">
        <v>1</v>
      </c>
      <c r="FH95" s="376">
        <v>1</v>
      </c>
      <c r="FI95" s="382" t="str">
        <f t="shared" ref="FI95:FI114" si="257">CONCATENATE("rank.a",FH95)</f>
        <v>rank.a1</v>
      </c>
      <c r="FJ95" s="383" t="b">
        <f t="shared" ref="FJ95:FJ114" ca="1" si="258">AND($FK$92,FG95&lt;&gt;"",FH95&lt;&gt;"",IF(FH95=2,$AJ$75,$AJ$69))</f>
        <v>1</v>
      </c>
      <c r="FK95" s="384" t="str">
        <f t="shared" ref="FK95:FK114" ca="1" si="259">IF(NOT(FJ95),"",VLOOKUP(FG95,INDIRECT(FI95),2,FALSE))</f>
        <v>BBK</v>
      </c>
      <c r="FL95" s="376">
        <f ca="1">FJ118</f>
        <v>12</v>
      </c>
      <c r="FO95" s="300"/>
      <c r="FP95" s="395" t="str">
        <f t="shared" ca="1" si="221"/>
        <v/>
      </c>
      <c r="FQ95" s="360" t="str">
        <f t="shared" ca="1" si="222"/>
        <v/>
      </c>
      <c r="FR95" s="360" t="str">
        <f t="shared" ca="1" si="211"/>
        <v/>
      </c>
      <c r="FS95" s="360" t="str">
        <f t="shared" ca="1" si="212"/>
        <v/>
      </c>
      <c r="FT95" s="360" t="str">
        <f t="shared" ca="1" si="213"/>
        <v/>
      </c>
      <c r="FU95" s="360" t="str">
        <f t="shared" ca="1" si="214"/>
        <v/>
      </c>
      <c r="FV95" s="360" t="str">
        <f t="shared" ca="1" si="215"/>
        <v/>
      </c>
      <c r="FW95" s="360" t="str">
        <f t="shared" ca="1" si="216"/>
        <v/>
      </c>
      <c r="FX95" s="360" t="str">
        <f t="shared" ca="1" si="217"/>
        <v/>
      </c>
      <c r="FY95" s="360" t="str">
        <f t="shared" ca="1" si="218"/>
        <v/>
      </c>
      <c r="FZ95" s="379" t="str">
        <f t="shared" ca="1" si="224"/>
        <v/>
      </c>
      <c r="GA95" s="302"/>
      <c r="GB95" s="364"/>
      <c r="GC95" s="302"/>
    </row>
    <row r="96" spans="23:185" x14ac:dyDescent="0.25">
      <c r="AN96" s="210" t="str">
        <f t="shared" ca="1" si="248"/>
        <v>–</v>
      </c>
      <c r="AO96" s="340" t="str">
        <f t="shared" si="249"/>
        <v/>
      </c>
      <c r="AP96" s="338" t="e">
        <f t="shared" ca="1" si="225"/>
        <v>#N/A</v>
      </c>
      <c r="AQ96" s="210" t="e">
        <f t="shared" ca="1" si="226"/>
        <v>#N/A</v>
      </c>
      <c r="AY96" s="341">
        <f t="shared" si="250"/>
        <v>-999999999.98599994</v>
      </c>
      <c r="AZ96" s="377" t="str">
        <f t="shared" ref="AZ96:AZ103" si="260">IF(BC96=0,"",IF(ABS(AY95-AY96)&lt;0.015,AZ95,BB96))</f>
        <v/>
      </c>
      <c r="BA96" s="343">
        <f t="shared" si="251"/>
        <v>-999999999.98599994</v>
      </c>
      <c r="BB96" s="349">
        <v>3</v>
      </c>
      <c r="BC96" s="378">
        <f t="shared" si="252"/>
        <v>0</v>
      </c>
      <c r="BD96" s="346">
        <f t="shared" si="253"/>
        <v>0</v>
      </c>
      <c r="BE96" s="346">
        <f t="shared" si="227"/>
        <v>0</v>
      </c>
      <c r="BF96" s="346">
        <f t="shared" si="228"/>
        <v>0</v>
      </c>
      <c r="BG96" s="346">
        <f t="shared" si="229"/>
        <v>0</v>
      </c>
      <c r="BH96" s="346">
        <f t="shared" si="230"/>
        <v>0</v>
      </c>
      <c r="BI96" s="346">
        <f t="shared" si="231"/>
        <v>0</v>
      </c>
      <c r="BJ96" s="346">
        <f t="shared" si="254"/>
        <v>0</v>
      </c>
      <c r="BK96" s="347">
        <f t="shared" si="255"/>
        <v>0</v>
      </c>
      <c r="BL96" s="346">
        <f t="shared" si="232"/>
        <v>0</v>
      </c>
      <c r="BM96" s="346">
        <f t="shared" si="233"/>
        <v>0</v>
      </c>
      <c r="BN96" s="346">
        <f t="shared" si="256"/>
        <v>0</v>
      </c>
      <c r="BO96" s="347">
        <f t="shared" si="234"/>
        <v>0</v>
      </c>
      <c r="BP96" s="348">
        <v>1.3999999999999978E-2</v>
      </c>
      <c r="BQ96" s="349">
        <f t="shared" ca="1" si="235"/>
        <v>0</v>
      </c>
      <c r="BS96" s="346">
        <f t="shared" si="236"/>
        <v>0</v>
      </c>
      <c r="BT96" s="346">
        <f t="shared" si="237"/>
        <v>0</v>
      </c>
      <c r="BU96" s="346">
        <f t="shared" si="238"/>
        <v>0</v>
      </c>
      <c r="BV96" s="346">
        <f t="shared" si="239"/>
        <v>0</v>
      </c>
      <c r="BW96" s="346">
        <f t="shared" si="240"/>
        <v>0</v>
      </c>
      <c r="BX96" s="346">
        <f t="shared" si="241"/>
        <v>0</v>
      </c>
      <c r="BZ96" s="346">
        <f t="shared" si="242"/>
        <v>0</v>
      </c>
      <c r="CA96" s="346">
        <f t="shared" si="243"/>
        <v>0</v>
      </c>
      <c r="CB96" s="346">
        <f t="shared" si="244"/>
        <v>0</v>
      </c>
      <c r="CC96" s="346">
        <f t="shared" si="245"/>
        <v>0</v>
      </c>
      <c r="CD96" s="346">
        <f t="shared" si="246"/>
        <v>0</v>
      </c>
      <c r="CE96" s="346">
        <f t="shared" si="247"/>
        <v>0</v>
      </c>
      <c r="CH96" s="350"/>
      <c r="CI96" s="350"/>
      <c r="CJ96" s="350"/>
      <c r="CK96" s="350"/>
      <c r="CL96" s="350"/>
      <c r="CM96" s="350"/>
      <c r="DG96" s="350"/>
      <c r="DH96" s="300"/>
      <c r="DI96" s="301"/>
      <c r="DJ96" s="324" t="s">
        <v>157</v>
      </c>
      <c r="DK96" s="324" t="s">
        <v>158</v>
      </c>
      <c r="DL96" s="325" t="s">
        <v>159</v>
      </c>
      <c r="DM96" s="325"/>
      <c r="DN96" s="326" t="s">
        <v>160</v>
      </c>
      <c r="DO96" s="325" t="s">
        <v>135</v>
      </c>
      <c r="DP96" s="302"/>
      <c r="DQ96" s="302"/>
      <c r="DR96" s="364"/>
      <c r="DS96" s="302"/>
      <c r="DU96" s="424"/>
      <c r="DV96" s="424"/>
      <c r="DW96" s="424"/>
      <c r="DX96" s="424"/>
      <c r="DY96" s="424"/>
      <c r="DZ96" s="424"/>
      <c r="EA96" s="424"/>
      <c r="EB96" s="424"/>
      <c r="EC96" s="424"/>
      <c r="ED96" s="424"/>
      <c r="EE96" s="424"/>
      <c r="EF96" s="424"/>
      <c r="EG96" s="424"/>
      <c r="EH96" s="424"/>
      <c r="EI96" s="424"/>
      <c r="EJ96" s="424"/>
      <c r="EK96" s="424"/>
      <c r="EL96" s="424"/>
      <c r="EM96" s="424"/>
      <c r="EN96" s="424"/>
      <c r="EO96" s="424"/>
      <c r="EP96" s="424"/>
      <c r="EQ96" s="424"/>
      <c r="ER96" s="404" t="str">
        <f ca="1">ER93</f>
        <v/>
      </c>
      <c r="ES96" s="371" t="str">
        <f ca="1">IF(OR(ER96="",EY96="",ER96=EY96),"",CONCATENATE(ER96,EY96))</f>
        <v/>
      </c>
      <c r="ET96" s="369" t="str">
        <f ca="1">IF(ES96="","",CONCATENATE(VLOOKUP(ES96,games.a,9,FALSE),VLOOKUP(ES96,games.a,12,FALSE)))</f>
        <v/>
      </c>
      <c r="EU96" s="420"/>
      <c r="EV96" s="421"/>
      <c r="EW96" s="423" t="str">
        <f ca="1">IF(ES96="","",VLOOKUP(ES96,games.a,6,FALSE))</f>
        <v/>
      </c>
      <c r="EX96" s="409" t="str">
        <f ca="1">IF(ES96="","",VLOOKUP(ES96,games.a,7,FALSE))</f>
        <v/>
      </c>
      <c r="EY96" s="415" t="str">
        <f ca="1">EY95</f>
        <v/>
      </c>
      <c r="EZ96" s="416"/>
      <c r="FA96" s="417"/>
      <c r="FB96" s="424"/>
      <c r="FC96" s="424"/>
      <c r="FD96" s="425"/>
      <c r="FE96" s="333"/>
      <c r="FG96" s="376">
        <v>2</v>
      </c>
      <c r="FH96" s="376">
        <v>1</v>
      </c>
      <c r="FI96" s="382" t="str">
        <f t="shared" si="257"/>
        <v>rank.a1</v>
      </c>
      <c r="FJ96" s="383" t="b">
        <f t="shared" ca="1" si="258"/>
        <v>1</v>
      </c>
      <c r="FK96" s="384" t="str">
        <f t="shared" ca="1" si="259"/>
        <v>K&amp;H</v>
      </c>
      <c r="FL96" s="376">
        <f t="shared" ref="FL96:FL105" ca="1" si="261">FJ119</f>
        <v>12</v>
      </c>
      <c r="FO96" s="300"/>
      <c r="FP96" s="301"/>
      <c r="FQ96" s="324" t="s">
        <v>157</v>
      </c>
      <c r="FR96" s="324" t="s">
        <v>237</v>
      </c>
      <c r="FS96" s="324" t="s">
        <v>239</v>
      </c>
      <c r="FT96" s="324" t="s">
        <v>240</v>
      </c>
      <c r="FU96" s="324" t="s">
        <v>238</v>
      </c>
      <c r="FV96" s="324" t="s">
        <v>241</v>
      </c>
      <c r="FW96" s="324" t="s">
        <v>242</v>
      </c>
      <c r="FX96" s="326" t="s">
        <v>160</v>
      </c>
      <c r="FY96" s="325" t="s">
        <v>135</v>
      </c>
      <c r="FZ96" s="302"/>
      <c r="GA96" s="302"/>
      <c r="GB96" s="364"/>
      <c r="GC96" s="302"/>
    </row>
    <row r="97" spans="36:185" x14ac:dyDescent="0.25">
      <c r="AN97" s="210" t="str">
        <f t="shared" ca="1" si="248"/>
        <v>–</v>
      </c>
      <c r="AO97" s="340" t="str">
        <f t="shared" si="249"/>
        <v/>
      </c>
      <c r="AP97" s="338" t="e">
        <f t="shared" ca="1" si="225"/>
        <v>#N/A</v>
      </c>
      <c r="AQ97" s="210" t="e">
        <f t="shared" ca="1" si="226"/>
        <v>#N/A</v>
      </c>
      <c r="AY97" s="341">
        <f t="shared" si="250"/>
        <v>-999999999.98699999</v>
      </c>
      <c r="AZ97" s="377" t="str">
        <f t="shared" si="260"/>
        <v/>
      </c>
      <c r="BA97" s="343">
        <f t="shared" si="251"/>
        <v>-999999999.98699999</v>
      </c>
      <c r="BB97" s="349">
        <v>4</v>
      </c>
      <c r="BC97" s="378">
        <f t="shared" si="252"/>
        <v>0</v>
      </c>
      <c r="BD97" s="346">
        <f t="shared" si="253"/>
        <v>0</v>
      </c>
      <c r="BE97" s="346">
        <f t="shared" si="227"/>
        <v>0</v>
      </c>
      <c r="BF97" s="346">
        <f t="shared" si="228"/>
        <v>0</v>
      </c>
      <c r="BG97" s="346">
        <f t="shared" si="229"/>
        <v>0</v>
      </c>
      <c r="BH97" s="346">
        <f t="shared" si="230"/>
        <v>0</v>
      </c>
      <c r="BI97" s="346">
        <f t="shared" si="231"/>
        <v>0</v>
      </c>
      <c r="BJ97" s="346">
        <f t="shared" si="254"/>
        <v>0</v>
      </c>
      <c r="BK97" s="347">
        <f t="shared" si="255"/>
        <v>0</v>
      </c>
      <c r="BL97" s="346">
        <f t="shared" si="232"/>
        <v>0</v>
      </c>
      <c r="BM97" s="346">
        <f t="shared" si="233"/>
        <v>0</v>
      </c>
      <c r="BN97" s="346">
        <f t="shared" si="256"/>
        <v>0</v>
      </c>
      <c r="BO97" s="347">
        <f t="shared" si="234"/>
        <v>0</v>
      </c>
      <c r="BP97" s="348">
        <v>1.2999999999999977E-2</v>
      </c>
      <c r="BQ97" s="349">
        <f t="shared" ca="1" si="235"/>
        <v>0</v>
      </c>
      <c r="BS97" s="346">
        <f t="shared" si="236"/>
        <v>0</v>
      </c>
      <c r="BT97" s="346">
        <f t="shared" si="237"/>
        <v>0</v>
      </c>
      <c r="BU97" s="346">
        <f t="shared" si="238"/>
        <v>0</v>
      </c>
      <c r="BV97" s="346">
        <f t="shared" si="239"/>
        <v>0</v>
      </c>
      <c r="BW97" s="346">
        <f t="shared" si="240"/>
        <v>0</v>
      </c>
      <c r="BX97" s="346">
        <f t="shared" si="241"/>
        <v>0</v>
      </c>
      <c r="BZ97" s="346">
        <f t="shared" si="242"/>
        <v>0</v>
      </c>
      <c r="CA97" s="346">
        <f t="shared" si="243"/>
        <v>0</v>
      </c>
      <c r="CB97" s="346">
        <f t="shared" si="244"/>
        <v>0</v>
      </c>
      <c r="CC97" s="346">
        <f t="shared" si="245"/>
        <v>0</v>
      </c>
      <c r="CD97" s="346">
        <f t="shared" si="246"/>
        <v>0</v>
      </c>
      <c r="CE97" s="346">
        <f t="shared" si="247"/>
        <v>0</v>
      </c>
      <c r="CH97" s="350"/>
      <c r="CI97" s="350"/>
      <c r="CJ97" s="350"/>
      <c r="CK97" s="350"/>
      <c r="CL97" s="350"/>
      <c r="CM97" s="350"/>
      <c r="DG97" s="350"/>
      <c r="DH97" s="300"/>
      <c r="DI97" s="395" t="str">
        <f ca="1">DI86</f>
        <v>Vakana</v>
      </c>
      <c r="DJ97" s="360" t="str">
        <f ca="1">IF(OR(DI97="",DP97="",DI97=DP97),"",CONCATENATE(DI97,DP97))</f>
        <v/>
      </c>
      <c r="DK97" s="360" t="str">
        <f t="shared" ref="DK97:DK106" ca="1" si="262">IF($DJ97="","",CONCATENATE(VLOOKUP($DJ97,games.a,9,FALSE),VLOOKUP($DJ97,games.a,12,FALSE)))</f>
        <v/>
      </c>
      <c r="DL97" s="354" t="str">
        <f t="shared" ref="DL97:DL106" ca="1" si="263">IF($DJ97="","",VLOOKUP($DJ97,games.a,10,FALSE))</f>
        <v/>
      </c>
      <c r="DM97" s="354" t="str">
        <f t="shared" ref="DM97:DM106" ca="1" si="264">IF($DJ97="","",VLOOKUP($DJ97,games.a,13,FALSE))</f>
        <v/>
      </c>
      <c r="DN97" s="361" t="str">
        <f t="shared" ref="DN97:DN106" ca="1" si="265">IF($DJ97="","",VLOOKUP($DJ97,games.a,6,FALSE))</f>
        <v/>
      </c>
      <c r="DO97" s="362" t="str">
        <f t="shared" ref="DO97:DO106" ca="1" si="266">IF($DJ97="","",VLOOKUP($DJ97,games.a,7,FALSE))</f>
        <v/>
      </c>
      <c r="DP97" s="363" t="str">
        <f ca="1">DI47</f>
        <v/>
      </c>
      <c r="DQ97" s="302"/>
      <c r="DR97" s="364"/>
      <c r="DS97" s="302"/>
      <c r="DU97" s="424"/>
      <c r="DV97" s="424"/>
      <c r="DW97" s="424"/>
      <c r="DX97" s="424"/>
      <c r="DY97" s="424"/>
      <c r="DZ97" s="424"/>
      <c r="EA97" s="424"/>
      <c r="EB97" s="424"/>
      <c r="EC97" s="424"/>
      <c r="ED97" s="424"/>
      <c r="EE97" s="424"/>
      <c r="EF97" s="424"/>
      <c r="EG97" s="424"/>
      <c r="EH97" s="424"/>
      <c r="EI97" s="424"/>
      <c r="EJ97" s="424"/>
      <c r="EK97" s="424"/>
      <c r="EL97" s="424"/>
      <c r="EM97" s="424"/>
      <c r="EN97" s="424"/>
      <c r="EO97" s="424"/>
      <c r="EP97" s="424"/>
      <c r="EQ97" s="424"/>
      <c r="ER97" s="424"/>
      <c r="ES97" s="424"/>
      <c r="ET97" s="424"/>
      <c r="EU97" s="424"/>
      <c r="EV97" s="424"/>
      <c r="EW97" s="424"/>
      <c r="EX97" s="424"/>
      <c r="EY97" s="424"/>
      <c r="EZ97" s="424"/>
      <c r="FA97" s="424"/>
      <c r="FB97" s="424"/>
      <c r="FC97" s="424"/>
      <c r="FD97" s="425"/>
      <c r="FE97" s="333"/>
      <c r="FG97" s="376">
        <v>3</v>
      </c>
      <c r="FH97" s="376">
        <v>1</v>
      </c>
      <c r="FI97" s="382" t="str">
        <f t="shared" si="257"/>
        <v>rank.a1</v>
      </c>
      <c r="FJ97" s="383" t="b">
        <f t="shared" ca="1" si="258"/>
        <v>1</v>
      </c>
      <c r="FK97" s="384" t="str">
        <f t="shared" ca="1" si="259"/>
        <v>BHD</v>
      </c>
      <c r="FL97" s="376">
        <f t="shared" ca="1" si="261"/>
        <v>8</v>
      </c>
      <c r="FO97" s="300"/>
      <c r="FP97" s="395" t="str">
        <f ca="1">FP86</f>
        <v/>
      </c>
      <c r="FQ97" s="360" t="str">
        <f ca="1">IF(OR(FP97="",FZ97="",FP97=FZ97),"",CONCATENATE(FP97,FZ97))</f>
        <v/>
      </c>
      <c r="FR97" s="360" t="str">
        <f t="shared" ref="FR97:FR106" ca="1" si="267">IF($FQ97="","",VLOOKUP($FQ97,games.a,9,FALSE))</f>
        <v/>
      </c>
      <c r="FS97" s="360" t="str">
        <f t="shared" ref="FS97:FS106" ca="1" si="268">IF($FQ97="","",VLOOKUP($FQ97,games.a,10,FALSE))</f>
        <v/>
      </c>
      <c r="FT97" s="360" t="str">
        <f t="shared" ref="FT97:FT106" ca="1" si="269">IF($FQ97="","",VLOOKUP($FQ97,games.a,11,FALSE))</f>
        <v/>
      </c>
      <c r="FU97" s="360" t="str">
        <f t="shared" ref="FU97:FU106" ca="1" si="270">IF($FQ97="","",VLOOKUP($FQ97,games.a,12,FALSE))</f>
        <v/>
      </c>
      <c r="FV97" s="360" t="str">
        <f t="shared" ref="FV97:FV106" ca="1" si="271">IF($FQ97="","",VLOOKUP($FQ97,games.a,13,FALSE))</f>
        <v/>
      </c>
      <c r="FW97" s="360" t="str">
        <f t="shared" ref="FW97:FW106" ca="1" si="272">IF($FQ97="","",VLOOKUP($FQ97,games.a,14,FALSE))</f>
        <v/>
      </c>
      <c r="FX97" s="360" t="str">
        <f t="shared" ref="FX97:FX106" ca="1" si="273">IF($FQ97="","",VLOOKUP($FQ97,games.a,6,FALSE))</f>
        <v/>
      </c>
      <c r="FY97" s="360" t="str">
        <f t="shared" ref="FY97:FY106" ca="1" si="274">IF($FQ97="","",VLOOKUP($FQ97,games.a,7,FALSE))</f>
        <v/>
      </c>
      <c r="FZ97" s="363" t="str">
        <f ca="1">FP47</f>
        <v/>
      </c>
      <c r="GA97" s="302"/>
      <c r="GB97" s="364"/>
      <c r="GC97" s="302"/>
    </row>
    <row r="98" spans="36:185" x14ac:dyDescent="0.25">
      <c r="AN98" s="210" t="str">
        <f t="shared" ca="1" si="248"/>
        <v>–</v>
      </c>
      <c r="AO98" s="340" t="str">
        <f t="shared" si="249"/>
        <v/>
      </c>
      <c r="AP98" s="338" t="e">
        <f t="shared" ca="1" si="225"/>
        <v>#N/A</v>
      </c>
      <c r="AQ98" s="210" t="e">
        <f t="shared" ca="1" si="226"/>
        <v>#N/A</v>
      </c>
      <c r="AY98" s="341">
        <f t="shared" si="250"/>
        <v>-999999999.98800004</v>
      </c>
      <c r="AZ98" s="377" t="str">
        <f t="shared" si="260"/>
        <v/>
      </c>
      <c r="BA98" s="343">
        <f t="shared" si="251"/>
        <v>-999999999.98800004</v>
      </c>
      <c r="BB98" s="349">
        <v>5</v>
      </c>
      <c r="BC98" s="378">
        <f t="shared" si="252"/>
        <v>0</v>
      </c>
      <c r="BD98" s="346">
        <f t="shared" si="253"/>
        <v>0</v>
      </c>
      <c r="BE98" s="346">
        <f t="shared" si="227"/>
        <v>0</v>
      </c>
      <c r="BF98" s="346">
        <f t="shared" si="228"/>
        <v>0</v>
      </c>
      <c r="BG98" s="346">
        <f t="shared" si="229"/>
        <v>0</v>
      </c>
      <c r="BH98" s="346">
        <f t="shared" si="230"/>
        <v>0</v>
      </c>
      <c r="BI98" s="346">
        <f t="shared" si="231"/>
        <v>0</v>
      </c>
      <c r="BJ98" s="346">
        <f t="shared" si="254"/>
        <v>0</v>
      </c>
      <c r="BK98" s="347">
        <f t="shared" si="255"/>
        <v>0</v>
      </c>
      <c r="BL98" s="346">
        <f t="shared" si="232"/>
        <v>0</v>
      </c>
      <c r="BM98" s="346">
        <f t="shared" si="233"/>
        <v>0</v>
      </c>
      <c r="BN98" s="346">
        <f t="shared" si="256"/>
        <v>0</v>
      </c>
      <c r="BO98" s="347">
        <f t="shared" si="234"/>
        <v>0</v>
      </c>
      <c r="BP98" s="348">
        <v>1.1999999999999976E-2</v>
      </c>
      <c r="BQ98" s="349">
        <f t="shared" ca="1" si="235"/>
        <v>0</v>
      </c>
      <c r="BS98" s="346">
        <f t="shared" si="236"/>
        <v>0</v>
      </c>
      <c r="BT98" s="346">
        <f t="shared" si="237"/>
        <v>0</v>
      </c>
      <c r="BU98" s="346">
        <f t="shared" si="238"/>
        <v>0</v>
      </c>
      <c r="BV98" s="346">
        <f t="shared" si="239"/>
        <v>0</v>
      </c>
      <c r="BW98" s="346">
        <f t="shared" si="240"/>
        <v>0</v>
      </c>
      <c r="BX98" s="346">
        <f t="shared" si="241"/>
        <v>0</v>
      </c>
      <c r="BZ98" s="346">
        <f t="shared" si="242"/>
        <v>0</v>
      </c>
      <c r="CA98" s="346">
        <f t="shared" si="243"/>
        <v>0</v>
      </c>
      <c r="CB98" s="346">
        <f t="shared" si="244"/>
        <v>0</v>
      </c>
      <c r="CC98" s="346">
        <f t="shared" si="245"/>
        <v>0</v>
      </c>
      <c r="CD98" s="346">
        <f t="shared" si="246"/>
        <v>0</v>
      </c>
      <c r="CE98" s="346">
        <f t="shared" si="247"/>
        <v>0</v>
      </c>
      <c r="CH98" s="350"/>
      <c r="CI98" s="350"/>
      <c r="CJ98" s="350"/>
      <c r="CK98" s="350"/>
      <c r="CL98" s="350"/>
      <c r="CM98" s="350"/>
      <c r="DG98" s="350"/>
      <c r="DH98" s="300"/>
      <c r="DI98" s="395" t="str">
        <f t="shared" ref="DI98:DI106" ca="1" si="275">DI87</f>
        <v>Bakafogó-Honvéd-Sashegy SE</v>
      </c>
      <c r="DJ98" s="360" t="str">
        <f t="shared" ref="DJ98:DJ106" ca="1" si="276">IF(OR(DI98="",DP98="",DI98=DP98),"",CONCATENATE(DI98,DP98))</f>
        <v/>
      </c>
      <c r="DK98" s="360" t="str">
        <f t="shared" ca="1" si="262"/>
        <v/>
      </c>
      <c r="DL98" s="354" t="str">
        <f t="shared" ca="1" si="263"/>
        <v/>
      </c>
      <c r="DM98" s="354" t="str">
        <f t="shared" ca="1" si="264"/>
        <v/>
      </c>
      <c r="DN98" s="361" t="str">
        <f t="shared" ca="1" si="265"/>
        <v/>
      </c>
      <c r="DO98" s="362" t="str">
        <f t="shared" ca="1" si="266"/>
        <v/>
      </c>
      <c r="DP98" s="379" t="str">
        <f ca="1">DP97</f>
        <v/>
      </c>
      <c r="DQ98" s="302"/>
      <c r="DR98" s="364"/>
      <c r="DS98" s="302"/>
      <c r="DU98" s="424"/>
      <c r="DV98" s="424"/>
      <c r="DW98" s="424"/>
      <c r="DX98" s="424"/>
      <c r="DY98" s="424"/>
      <c r="DZ98" s="424"/>
      <c r="EA98" s="424"/>
      <c r="EB98" s="424"/>
      <c r="EC98" s="424"/>
      <c r="ED98" s="424"/>
      <c r="EE98" s="424"/>
      <c r="EF98" s="424"/>
      <c r="EG98" s="424"/>
      <c r="EH98" s="424"/>
      <c r="EI98" s="424"/>
      <c r="EJ98" s="424"/>
      <c r="EK98" s="424"/>
      <c r="EL98" s="424"/>
      <c r="EM98" s="424"/>
      <c r="EN98" s="424"/>
      <c r="EO98" s="424"/>
      <c r="EP98" s="424"/>
      <c r="EQ98" s="424"/>
      <c r="ER98" s="424"/>
      <c r="ES98" s="424"/>
      <c r="ET98" s="424"/>
      <c r="EU98" s="424"/>
      <c r="EV98" s="424"/>
      <c r="EW98" s="424"/>
      <c r="EX98" s="424"/>
      <c r="EY98" s="424"/>
      <c r="EZ98" s="424"/>
      <c r="FA98" s="424"/>
      <c r="FB98" s="424"/>
      <c r="FC98" s="424"/>
      <c r="FD98" s="425"/>
      <c r="FE98" s="333"/>
      <c r="FG98" s="376">
        <v>4</v>
      </c>
      <c r="FH98" s="376">
        <v>1</v>
      </c>
      <c r="FI98" s="382" t="str">
        <f t="shared" si="257"/>
        <v>rank.a1</v>
      </c>
      <c r="FJ98" s="383" t="b">
        <f t="shared" ca="1" si="258"/>
        <v>1</v>
      </c>
      <c r="FK98" s="384" t="str">
        <f t="shared" ca="1" si="259"/>
        <v>Zrínyigyöngye</v>
      </c>
      <c r="FL98" s="376">
        <f t="shared" ca="1" si="261"/>
        <v>4</v>
      </c>
      <c r="FO98" s="300"/>
      <c r="FP98" s="395" t="str">
        <f t="shared" ref="FP98:FP106" ca="1" si="277">FP87</f>
        <v/>
      </c>
      <c r="FQ98" s="360" t="str">
        <f t="shared" ref="FQ98:FQ106" ca="1" si="278">IF(OR(FP98="",FZ98="",FP98=FZ98),"",CONCATENATE(FP98,FZ98))</f>
        <v/>
      </c>
      <c r="FR98" s="360" t="str">
        <f t="shared" ca="1" si="267"/>
        <v/>
      </c>
      <c r="FS98" s="360" t="str">
        <f t="shared" ca="1" si="268"/>
        <v/>
      </c>
      <c r="FT98" s="360" t="str">
        <f t="shared" ca="1" si="269"/>
        <v/>
      </c>
      <c r="FU98" s="360" t="str">
        <f t="shared" ca="1" si="270"/>
        <v/>
      </c>
      <c r="FV98" s="360" t="str">
        <f t="shared" ca="1" si="271"/>
        <v/>
      </c>
      <c r="FW98" s="360" t="str">
        <f t="shared" ca="1" si="272"/>
        <v/>
      </c>
      <c r="FX98" s="360" t="str">
        <f t="shared" ca="1" si="273"/>
        <v/>
      </c>
      <c r="FY98" s="360" t="str">
        <f t="shared" ca="1" si="274"/>
        <v/>
      </c>
      <c r="FZ98" s="379" t="str">
        <f ca="1">FZ97</f>
        <v/>
      </c>
      <c r="GA98" s="302"/>
      <c r="GB98" s="364"/>
      <c r="GC98" s="302"/>
    </row>
    <row r="99" spans="36:185" x14ac:dyDescent="0.25">
      <c r="AN99" s="210" t="str">
        <f t="shared" ca="1" si="248"/>
        <v>–</v>
      </c>
      <c r="AO99" s="340" t="str">
        <f t="shared" si="249"/>
        <v/>
      </c>
      <c r="AP99" s="338" t="e">
        <f t="shared" ca="1" si="225"/>
        <v>#N/A</v>
      </c>
      <c r="AQ99" s="210" t="e">
        <f t="shared" ca="1" si="226"/>
        <v>#N/A</v>
      </c>
      <c r="AY99" s="341">
        <f t="shared" si="250"/>
        <v>-999999999.98899996</v>
      </c>
      <c r="AZ99" s="377" t="str">
        <f t="shared" si="260"/>
        <v/>
      </c>
      <c r="BA99" s="343">
        <f t="shared" si="251"/>
        <v>-999999999.98899996</v>
      </c>
      <c r="BB99" s="349">
        <v>6</v>
      </c>
      <c r="BC99" s="378">
        <f t="shared" si="252"/>
        <v>0</v>
      </c>
      <c r="BD99" s="346">
        <f t="shared" si="253"/>
        <v>0</v>
      </c>
      <c r="BE99" s="346">
        <f t="shared" si="227"/>
        <v>0</v>
      </c>
      <c r="BF99" s="346">
        <f t="shared" si="228"/>
        <v>0</v>
      </c>
      <c r="BG99" s="346">
        <f t="shared" si="229"/>
        <v>0</v>
      </c>
      <c r="BH99" s="346">
        <f t="shared" si="230"/>
        <v>0</v>
      </c>
      <c r="BI99" s="346">
        <f t="shared" si="231"/>
        <v>0</v>
      </c>
      <c r="BJ99" s="346">
        <f t="shared" si="254"/>
        <v>0</v>
      </c>
      <c r="BK99" s="347">
        <f t="shared" si="255"/>
        <v>0</v>
      </c>
      <c r="BL99" s="346">
        <f t="shared" si="232"/>
        <v>0</v>
      </c>
      <c r="BM99" s="346">
        <f t="shared" si="233"/>
        <v>0</v>
      </c>
      <c r="BN99" s="346">
        <f t="shared" si="256"/>
        <v>0</v>
      </c>
      <c r="BO99" s="347">
        <f t="shared" si="234"/>
        <v>0</v>
      </c>
      <c r="BP99" s="348">
        <v>1.0999999999999975E-2</v>
      </c>
      <c r="BQ99" s="349">
        <f t="shared" ca="1" si="235"/>
        <v>0</v>
      </c>
      <c r="BS99" s="346">
        <f t="shared" si="236"/>
        <v>0</v>
      </c>
      <c r="BT99" s="346">
        <f t="shared" si="237"/>
        <v>0</v>
      </c>
      <c r="BU99" s="346">
        <f t="shared" si="238"/>
        <v>0</v>
      </c>
      <c r="BV99" s="346">
        <f t="shared" si="239"/>
        <v>0</v>
      </c>
      <c r="BW99" s="346">
        <f t="shared" si="240"/>
        <v>0</v>
      </c>
      <c r="BX99" s="346">
        <f t="shared" si="241"/>
        <v>0</v>
      </c>
      <c r="BZ99" s="346">
        <f t="shared" si="242"/>
        <v>0</v>
      </c>
      <c r="CA99" s="346">
        <f t="shared" si="243"/>
        <v>0</v>
      </c>
      <c r="CB99" s="346">
        <f t="shared" si="244"/>
        <v>0</v>
      </c>
      <c r="CC99" s="346">
        <f t="shared" si="245"/>
        <v>0</v>
      </c>
      <c r="CD99" s="346">
        <f t="shared" si="246"/>
        <v>0</v>
      </c>
      <c r="CE99" s="346">
        <f t="shared" si="247"/>
        <v>0</v>
      </c>
      <c r="CH99" s="350"/>
      <c r="CI99" s="350"/>
      <c r="CJ99" s="350"/>
      <c r="CK99" s="350"/>
      <c r="CL99" s="350"/>
      <c r="CM99" s="350"/>
      <c r="DG99" s="350"/>
      <c r="DH99" s="300"/>
      <c r="DI99" s="395" t="str">
        <f t="shared" ca="1" si="275"/>
        <v/>
      </c>
      <c r="DJ99" s="360" t="str">
        <f t="shared" ca="1" si="276"/>
        <v/>
      </c>
      <c r="DK99" s="360" t="str">
        <f t="shared" ca="1" si="262"/>
        <v/>
      </c>
      <c r="DL99" s="354" t="str">
        <f t="shared" ca="1" si="263"/>
        <v/>
      </c>
      <c r="DM99" s="354" t="str">
        <f t="shared" ca="1" si="264"/>
        <v/>
      </c>
      <c r="DN99" s="361" t="str">
        <f t="shared" ca="1" si="265"/>
        <v/>
      </c>
      <c r="DO99" s="362" t="str">
        <f t="shared" ca="1" si="266"/>
        <v/>
      </c>
      <c r="DP99" s="379" t="str">
        <f t="shared" ref="DP99:DP106" ca="1" si="279">DP98</f>
        <v/>
      </c>
      <c r="DQ99" s="302"/>
      <c r="DR99" s="364"/>
      <c r="DS99" s="302"/>
      <c r="DU99" s="424"/>
      <c r="DV99" s="424"/>
      <c r="DW99" s="424"/>
      <c r="DX99" s="424"/>
      <c r="DY99" s="424"/>
      <c r="DZ99" s="424"/>
      <c r="EA99" s="424"/>
      <c r="EB99" s="424"/>
      <c r="EC99" s="424"/>
      <c r="ED99" s="424"/>
      <c r="EE99" s="424"/>
      <c r="EF99" s="424"/>
      <c r="EG99" s="424"/>
      <c r="EH99" s="424"/>
      <c r="EI99" s="424"/>
      <c r="EJ99" s="424"/>
      <c r="EK99" s="424"/>
      <c r="EL99" s="424"/>
      <c r="EM99" s="424"/>
      <c r="EN99" s="424"/>
      <c r="EO99" s="424"/>
      <c r="EP99" s="424"/>
      <c r="EQ99" s="424"/>
      <c r="ER99" s="424"/>
      <c r="ES99" s="424"/>
      <c r="ET99" s="424"/>
      <c r="EU99" s="424"/>
      <c r="EV99" s="424"/>
      <c r="EW99" s="424"/>
      <c r="EX99" s="424"/>
      <c r="EY99" s="424"/>
      <c r="EZ99" s="424"/>
      <c r="FA99" s="424"/>
      <c r="FB99" s="424"/>
      <c r="FC99" s="424"/>
      <c r="FD99" s="425"/>
      <c r="FE99" s="333"/>
      <c r="FG99" s="376">
        <v>5</v>
      </c>
      <c r="FH99" s="376">
        <v>1</v>
      </c>
      <c r="FI99" s="382" t="str">
        <f t="shared" si="257"/>
        <v>rank.a1</v>
      </c>
      <c r="FJ99" s="383" t="b">
        <f t="shared" ca="1" si="258"/>
        <v>1</v>
      </c>
      <c r="FK99" s="384" t="str">
        <f t="shared" ca="1" si="259"/>
        <v>Élelmesek</v>
      </c>
      <c r="FL99" s="376">
        <f t="shared" ca="1" si="261"/>
        <v>0</v>
      </c>
      <c r="FO99" s="300"/>
      <c r="FP99" s="395" t="str">
        <f t="shared" ca="1" si="277"/>
        <v/>
      </c>
      <c r="FQ99" s="360" t="str">
        <f t="shared" ca="1" si="278"/>
        <v/>
      </c>
      <c r="FR99" s="360" t="str">
        <f t="shared" ca="1" si="267"/>
        <v/>
      </c>
      <c r="FS99" s="360" t="str">
        <f t="shared" ca="1" si="268"/>
        <v/>
      </c>
      <c r="FT99" s="360" t="str">
        <f t="shared" ca="1" si="269"/>
        <v/>
      </c>
      <c r="FU99" s="360" t="str">
        <f t="shared" ca="1" si="270"/>
        <v/>
      </c>
      <c r="FV99" s="360" t="str">
        <f t="shared" ca="1" si="271"/>
        <v/>
      </c>
      <c r="FW99" s="360" t="str">
        <f t="shared" ca="1" si="272"/>
        <v/>
      </c>
      <c r="FX99" s="360" t="str">
        <f t="shared" ca="1" si="273"/>
        <v/>
      </c>
      <c r="FY99" s="360" t="str">
        <f t="shared" ca="1" si="274"/>
        <v/>
      </c>
      <c r="FZ99" s="379" t="str">
        <f t="shared" ref="FZ99:FZ106" ca="1" si="280">FZ98</f>
        <v/>
      </c>
      <c r="GA99" s="302"/>
      <c r="GB99" s="364"/>
      <c r="GC99" s="302"/>
    </row>
    <row r="100" spans="36:185" x14ac:dyDescent="0.25">
      <c r="AN100" s="210" t="str">
        <f t="shared" ca="1" si="248"/>
        <v>–</v>
      </c>
      <c r="AO100" s="340" t="str">
        <f t="shared" si="249"/>
        <v/>
      </c>
      <c r="AP100" s="338" t="e">
        <f t="shared" ca="1" si="225"/>
        <v>#N/A</v>
      </c>
      <c r="AQ100" s="210" t="e">
        <f t="shared" ca="1" si="226"/>
        <v>#N/A</v>
      </c>
      <c r="AY100" s="341">
        <f t="shared" si="250"/>
        <v>-999999999.99000001</v>
      </c>
      <c r="AZ100" s="377" t="str">
        <f t="shared" si="260"/>
        <v/>
      </c>
      <c r="BA100" s="343">
        <f t="shared" si="251"/>
        <v>-999999999.99000001</v>
      </c>
      <c r="BB100" s="349">
        <v>7</v>
      </c>
      <c r="BC100" s="378">
        <f t="shared" si="252"/>
        <v>0</v>
      </c>
      <c r="BD100" s="346">
        <f t="shared" si="253"/>
        <v>0</v>
      </c>
      <c r="BE100" s="346">
        <f t="shared" si="227"/>
        <v>0</v>
      </c>
      <c r="BF100" s="346">
        <f t="shared" si="228"/>
        <v>0</v>
      </c>
      <c r="BG100" s="346">
        <f t="shared" si="229"/>
        <v>0</v>
      </c>
      <c r="BH100" s="346">
        <f t="shared" si="230"/>
        <v>0</v>
      </c>
      <c r="BI100" s="346">
        <f t="shared" si="231"/>
        <v>0</v>
      </c>
      <c r="BJ100" s="346">
        <f t="shared" si="254"/>
        <v>0</v>
      </c>
      <c r="BK100" s="347">
        <f t="shared" si="255"/>
        <v>0</v>
      </c>
      <c r="BL100" s="346">
        <f t="shared" si="232"/>
        <v>0</v>
      </c>
      <c r="BM100" s="346">
        <f t="shared" si="233"/>
        <v>0</v>
      </c>
      <c r="BN100" s="346">
        <f t="shared" si="256"/>
        <v>0</v>
      </c>
      <c r="BO100" s="347">
        <f t="shared" si="234"/>
        <v>0</v>
      </c>
      <c r="BP100" s="348">
        <v>9.9999999999999742E-3</v>
      </c>
      <c r="BQ100" s="349">
        <f t="shared" ca="1" si="235"/>
        <v>0</v>
      </c>
      <c r="BS100" s="346">
        <f t="shared" si="236"/>
        <v>0</v>
      </c>
      <c r="BT100" s="346">
        <f t="shared" si="237"/>
        <v>0</v>
      </c>
      <c r="BU100" s="346">
        <f t="shared" si="238"/>
        <v>0</v>
      </c>
      <c r="BV100" s="346">
        <f t="shared" si="239"/>
        <v>0</v>
      </c>
      <c r="BW100" s="346">
        <f t="shared" si="240"/>
        <v>0</v>
      </c>
      <c r="BX100" s="346">
        <f t="shared" si="241"/>
        <v>0</v>
      </c>
      <c r="BZ100" s="346">
        <f t="shared" si="242"/>
        <v>0</v>
      </c>
      <c r="CA100" s="346">
        <f t="shared" si="243"/>
        <v>0</v>
      </c>
      <c r="CB100" s="346">
        <f t="shared" si="244"/>
        <v>0</v>
      </c>
      <c r="CC100" s="346">
        <f t="shared" si="245"/>
        <v>0</v>
      </c>
      <c r="CD100" s="346">
        <f t="shared" si="246"/>
        <v>0</v>
      </c>
      <c r="CE100" s="346">
        <f t="shared" si="247"/>
        <v>0</v>
      </c>
      <c r="CH100" s="350"/>
      <c r="CI100" s="350"/>
      <c r="CJ100" s="350"/>
      <c r="CK100" s="350"/>
      <c r="CL100" s="350"/>
      <c r="CM100" s="350"/>
      <c r="DG100" s="350"/>
      <c r="DH100" s="300"/>
      <c r="DI100" s="395" t="str">
        <f t="shared" ca="1" si="275"/>
        <v/>
      </c>
      <c r="DJ100" s="360" t="str">
        <f t="shared" ca="1" si="276"/>
        <v/>
      </c>
      <c r="DK100" s="360" t="str">
        <f t="shared" ca="1" si="262"/>
        <v/>
      </c>
      <c r="DL100" s="354" t="str">
        <f t="shared" ca="1" si="263"/>
        <v/>
      </c>
      <c r="DM100" s="354" t="str">
        <f t="shared" ca="1" si="264"/>
        <v/>
      </c>
      <c r="DN100" s="361" t="str">
        <f t="shared" ca="1" si="265"/>
        <v/>
      </c>
      <c r="DO100" s="362" t="str">
        <f t="shared" ca="1" si="266"/>
        <v/>
      </c>
      <c r="DP100" s="379" t="str">
        <f t="shared" ca="1" si="279"/>
        <v/>
      </c>
      <c r="DQ100" s="302"/>
      <c r="DR100" s="364"/>
      <c r="DS100" s="302"/>
      <c r="DU100" s="424"/>
      <c r="DV100" s="424"/>
      <c r="DW100" s="424"/>
      <c r="DX100" s="424"/>
      <c r="DY100" s="424"/>
      <c r="DZ100" s="424"/>
      <c r="EA100" s="424"/>
      <c r="EB100" s="424"/>
      <c r="EC100" s="424"/>
      <c r="ED100" s="424"/>
      <c r="EE100" s="424"/>
      <c r="EF100" s="424"/>
      <c r="EG100" s="424"/>
      <c r="EH100" s="424"/>
      <c r="EI100" s="424"/>
      <c r="EJ100" s="424"/>
      <c r="EK100" s="424"/>
      <c r="EL100" s="424"/>
      <c r="EM100" s="424"/>
      <c r="EN100" s="424"/>
      <c r="EO100" s="424"/>
      <c r="EP100" s="424"/>
      <c r="EQ100" s="424"/>
      <c r="ER100" s="424"/>
      <c r="ES100" s="424"/>
      <c r="ET100" s="424"/>
      <c r="EU100" s="424"/>
      <c r="EV100" s="424"/>
      <c r="EW100" s="424"/>
      <c r="EX100" s="424"/>
      <c r="EY100" s="424"/>
      <c r="EZ100" s="424"/>
      <c r="FA100" s="424"/>
      <c r="FB100" s="424"/>
      <c r="FC100" s="424"/>
      <c r="FD100" s="425"/>
      <c r="FE100" s="333"/>
      <c r="FG100" s="376">
        <v>6</v>
      </c>
      <c r="FH100" s="376">
        <v>1</v>
      </c>
      <c r="FI100" s="382" t="str">
        <f t="shared" si="257"/>
        <v>rank.a1</v>
      </c>
      <c r="FJ100" s="383" t="b">
        <f t="shared" ca="1" si="258"/>
        <v>1</v>
      </c>
      <c r="FK100" s="384" t="str">
        <f t="shared" ca="1" si="259"/>
        <v>Hercules-Ludovika</v>
      </c>
      <c r="FL100" s="376">
        <f t="shared" si="261"/>
        <v>0</v>
      </c>
      <c r="FO100" s="300"/>
      <c r="FP100" s="395" t="str">
        <f t="shared" ca="1" si="277"/>
        <v/>
      </c>
      <c r="FQ100" s="360" t="str">
        <f t="shared" ca="1" si="278"/>
        <v/>
      </c>
      <c r="FR100" s="360" t="str">
        <f t="shared" ca="1" si="267"/>
        <v/>
      </c>
      <c r="FS100" s="360" t="str">
        <f t="shared" ca="1" si="268"/>
        <v/>
      </c>
      <c r="FT100" s="360" t="str">
        <f t="shared" ca="1" si="269"/>
        <v/>
      </c>
      <c r="FU100" s="360" t="str">
        <f t="shared" ca="1" si="270"/>
        <v/>
      </c>
      <c r="FV100" s="360" t="str">
        <f t="shared" ca="1" si="271"/>
        <v/>
      </c>
      <c r="FW100" s="360" t="str">
        <f t="shared" ca="1" si="272"/>
        <v/>
      </c>
      <c r="FX100" s="360" t="str">
        <f t="shared" ca="1" si="273"/>
        <v/>
      </c>
      <c r="FY100" s="360" t="str">
        <f t="shared" ca="1" si="274"/>
        <v/>
      </c>
      <c r="FZ100" s="379" t="str">
        <f t="shared" ca="1" si="280"/>
        <v/>
      </c>
      <c r="GA100" s="302"/>
      <c r="GB100" s="364"/>
      <c r="GC100" s="302"/>
    </row>
    <row r="101" spans="36:185" x14ac:dyDescent="0.25">
      <c r="AN101" s="210" t="str">
        <f t="shared" ca="1" si="248"/>
        <v>–</v>
      </c>
      <c r="AO101" s="340" t="str">
        <f t="shared" si="249"/>
        <v/>
      </c>
      <c r="AP101" s="338" t="e">
        <f t="shared" ca="1" si="225"/>
        <v>#N/A</v>
      </c>
      <c r="AQ101" s="210" t="e">
        <f t="shared" ca="1" si="226"/>
        <v>#N/A</v>
      </c>
      <c r="AY101" s="341">
        <f t="shared" si="250"/>
        <v>-999999999.99100006</v>
      </c>
      <c r="AZ101" s="377" t="str">
        <f t="shared" si="260"/>
        <v/>
      </c>
      <c r="BA101" s="343">
        <f t="shared" si="251"/>
        <v>-999999999.99100006</v>
      </c>
      <c r="BB101" s="349">
        <v>8</v>
      </c>
      <c r="BC101" s="378">
        <f t="shared" si="252"/>
        <v>0</v>
      </c>
      <c r="BD101" s="346">
        <f t="shared" si="253"/>
        <v>0</v>
      </c>
      <c r="BE101" s="346">
        <f t="shared" si="227"/>
        <v>0</v>
      </c>
      <c r="BF101" s="346">
        <f t="shared" si="228"/>
        <v>0</v>
      </c>
      <c r="BG101" s="346">
        <f t="shared" si="229"/>
        <v>0</v>
      </c>
      <c r="BH101" s="346">
        <f t="shared" si="230"/>
        <v>0</v>
      </c>
      <c r="BI101" s="346">
        <f t="shared" si="231"/>
        <v>0</v>
      </c>
      <c r="BJ101" s="346">
        <f t="shared" si="254"/>
        <v>0</v>
      </c>
      <c r="BK101" s="347">
        <f t="shared" si="255"/>
        <v>0</v>
      </c>
      <c r="BL101" s="346">
        <f t="shared" si="232"/>
        <v>0</v>
      </c>
      <c r="BM101" s="346">
        <f t="shared" si="233"/>
        <v>0</v>
      </c>
      <c r="BN101" s="346">
        <f t="shared" si="256"/>
        <v>0</v>
      </c>
      <c r="BO101" s="347">
        <f t="shared" si="234"/>
        <v>0</v>
      </c>
      <c r="BP101" s="348">
        <v>8.9999999999999733E-3</v>
      </c>
      <c r="BQ101" s="349">
        <f t="shared" ca="1" si="235"/>
        <v>0</v>
      </c>
      <c r="BS101" s="346">
        <f t="shared" si="236"/>
        <v>0</v>
      </c>
      <c r="BT101" s="346">
        <f t="shared" si="237"/>
        <v>0</v>
      </c>
      <c r="BU101" s="346">
        <f t="shared" si="238"/>
        <v>0</v>
      </c>
      <c r="BV101" s="346">
        <f t="shared" si="239"/>
        <v>0</v>
      </c>
      <c r="BW101" s="346">
        <f t="shared" si="240"/>
        <v>0</v>
      </c>
      <c r="BX101" s="346">
        <f t="shared" si="241"/>
        <v>0</v>
      </c>
      <c r="BZ101" s="346">
        <f t="shared" si="242"/>
        <v>0</v>
      </c>
      <c r="CA101" s="346">
        <f t="shared" si="243"/>
        <v>0</v>
      </c>
      <c r="CB101" s="346">
        <f t="shared" si="244"/>
        <v>0</v>
      </c>
      <c r="CC101" s="346">
        <f t="shared" si="245"/>
        <v>0</v>
      </c>
      <c r="CD101" s="346">
        <f t="shared" si="246"/>
        <v>0</v>
      </c>
      <c r="CE101" s="346">
        <f t="shared" si="247"/>
        <v>0</v>
      </c>
      <c r="CH101" s="350"/>
      <c r="CI101" s="350"/>
      <c r="CJ101" s="350"/>
      <c r="CK101" s="350"/>
      <c r="CL101" s="350"/>
      <c r="CM101" s="350"/>
      <c r="DG101" s="350"/>
      <c r="DH101" s="300"/>
      <c r="DI101" s="395" t="str">
        <f t="shared" ca="1" si="275"/>
        <v/>
      </c>
      <c r="DJ101" s="360" t="str">
        <f t="shared" ca="1" si="276"/>
        <v/>
      </c>
      <c r="DK101" s="360" t="str">
        <f t="shared" ca="1" si="262"/>
        <v/>
      </c>
      <c r="DL101" s="354" t="str">
        <f t="shared" ca="1" si="263"/>
        <v/>
      </c>
      <c r="DM101" s="354" t="str">
        <f t="shared" ca="1" si="264"/>
        <v/>
      </c>
      <c r="DN101" s="361" t="str">
        <f t="shared" ca="1" si="265"/>
        <v/>
      </c>
      <c r="DO101" s="362" t="str">
        <f t="shared" ca="1" si="266"/>
        <v/>
      </c>
      <c r="DP101" s="379" t="str">
        <f t="shared" ca="1" si="279"/>
        <v/>
      </c>
      <c r="DQ101" s="302"/>
      <c r="DR101" s="364"/>
      <c r="DS101" s="302"/>
      <c r="DU101" s="424"/>
      <c r="DV101" s="424"/>
      <c r="DW101" s="424"/>
      <c r="DX101" s="424"/>
      <c r="DY101" s="424"/>
      <c r="DZ101" s="424"/>
      <c r="EA101" s="424"/>
      <c r="EB101" s="424"/>
      <c r="EC101" s="424"/>
      <c r="ED101" s="424"/>
      <c r="EE101" s="424"/>
      <c r="EF101" s="424"/>
      <c r="EG101" s="424"/>
      <c r="EH101" s="424"/>
      <c r="EI101" s="424"/>
      <c r="EJ101" s="424"/>
      <c r="EK101" s="424"/>
      <c r="EL101" s="424"/>
      <c r="EM101" s="424"/>
      <c r="EN101" s="424"/>
      <c r="EO101" s="424"/>
      <c r="EP101" s="424"/>
      <c r="EQ101" s="424"/>
      <c r="ER101" s="424"/>
      <c r="ES101" s="424"/>
      <c r="ET101" s="424"/>
      <c r="EU101" s="424"/>
      <c r="EV101" s="424"/>
      <c r="EW101" s="424"/>
      <c r="EX101" s="424"/>
      <c r="EY101" s="424"/>
      <c r="EZ101" s="424"/>
      <c r="FA101" s="424"/>
      <c r="FB101" s="424"/>
      <c r="FC101" s="424"/>
      <c r="FD101" s="425"/>
      <c r="FE101" s="333"/>
      <c r="FG101" s="376">
        <v>7</v>
      </c>
      <c r="FH101" s="376">
        <v>1</v>
      </c>
      <c r="FI101" s="382" t="str">
        <f t="shared" si="257"/>
        <v>rank.a1</v>
      </c>
      <c r="FJ101" s="383" t="b">
        <f t="shared" ca="1" si="258"/>
        <v>1</v>
      </c>
      <c r="FK101" s="384" t="str">
        <f t="shared" ca="1" si="259"/>
        <v>Bakafogó-Honvéd-Sashegy SE</v>
      </c>
      <c r="FL101" s="376">
        <f t="shared" ca="1" si="261"/>
        <v>6</v>
      </c>
      <c r="FO101" s="300"/>
      <c r="FP101" s="395" t="str">
        <f t="shared" ca="1" si="277"/>
        <v/>
      </c>
      <c r="FQ101" s="360" t="str">
        <f t="shared" ca="1" si="278"/>
        <v/>
      </c>
      <c r="FR101" s="360" t="str">
        <f t="shared" ca="1" si="267"/>
        <v/>
      </c>
      <c r="FS101" s="360" t="str">
        <f t="shared" ca="1" si="268"/>
        <v/>
      </c>
      <c r="FT101" s="360" t="str">
        <f t="shared" ca="1" si="269"/>
        <v/>
      </c>
      <c r="FU101" s="360" t="str">
        <f t="shared" ca="1" si="270"/>
        <v/>
      </c>
      <c r="FV101" s="360" t="str">
        <f t="shared" ca="1" si="271"/>
        <v/>
      </c>
      <c r="FW101" s="360" t="str">
        <f t="shared" ca="1" si="272"/>
        <v/>
      </c>
      <c r="FX101" s="360" t="str">
        <f t="shared" ca="1" si="273"/>
        <v/>
      </c>
      <c r="FY101" s="360" t="str">
        <f t="shared" ca="1" si="274"/>
        <v/>
      </c>
      <c r="FZ101" s="379" t="str">
        <f t="shared" ca="1" si="280"/>
        <v/>
      </c>
      <c r="GA101" s="302"/>
      <c r="GB101" s="364"/>
      <c r="GC101" s="302"/>
    </row>
    <row r="102" spans="36:185" x14ac:dyDescent="0.25">
      <c r="AJ102" s="435"/>
      <c r="AN102" s="210" t="str">
        <f t="shared" ca="1" si="248"/>
        <v>–</v>
      </c>
      <c r="AO102" s="340" t="str">
        <f t="shared" si="249"/>
        <v/>
      </c>
      <c r="AP102" s="338" t="e">
        <f t="shared" ca="1" si="225"/>
        <v>#N/A</v>
      </c>
      <c r="AQ102" s="210" t="e">
        <f t="shared" ca="1" si="226"/>
        <v>#N/A</v>
      </c>
      <c r="AY102" s="341">
        <f t="shared" si="250"/>
        <v>-999999999.99199998</v>
      </c>
      <c r="AZ102" s="377" t="str">
        <f t="shared" si="260"/>
        <v/>
      </c>
      <c r="BA102" s="343">
        <f t="shared" si="251"/>
        <v>-999999999.99199998</v>
      </c>
      <c r="BB102" s="349">
        <v>9</v>
      </c>
      <c r="BC102" s="378">
        <f t="shared" si="252"/>
        <v>0</v>
      </c>
      <c r="BD102" s="346">
        <f t="shared" si="253"/>
        <v>0</v>
      </c>
      <c r="BE102" s="346">
        <f t="shared" si="227"/>
        <v>0</v>
      </c>
      <c r="BF102" s="346">
        <f t="shared" si="228"/>
        <v>0</v>
      </c>
      <c r="BG102" s="346">
        <f t="shared" si="229"/>
        <v>0</v>
      </c>
      <c r="BH102" s="346">
        <f t="shared" si="230"/>
        <v>0</v>
      </c>
      <c r="BI102" s="346">
        <f t="shared" si="231"/>
        <v>0</v>
      </c>
      <c r="BJ102" s="346">
        <f t="shared" si="254"/>
        <v>0</v>
      </c>
      <c r="BK102" s="347">
        <f t="shared" si="255"/>
        <v>0</v>
      </c>
      <c r="BL102" s="346">
        <f t="shared" si="232"/>
        <v>0</v>
      </c>
      <c r="BM102" s="346">
        <f t="shared" si="233"/>
        <v>0</v>
      </c>
      <c r="BN102" s="346">
        <f t="shared" si="256"/>
        <v>0</v>
      </c>
      <c r="BO102" s="347">
        <f t="shared" si="234"/>
        <v>0</v>
      </c>
      <c r="BP102" s="348">
        <v>7.9999999999999724E-3</v>
      </c>
      <c r="BQ102" s="349">
        <f t="shared" ca="1" si="235"/>
        <v>0</v>
      </c>
      <c r="BS102" s="346">
        <f t="shared" si="236"/>
        <v>0</v>
      </c>
      <c r="BT102" s="346">
        <f t="shared" si="237"/>
        <v>0</v>
      </c>
      <c r="BU102" s="346">
        <f t="shared" si="238"/>
        <v>0</v>
      </c>
      <c r="BV102" s="346">
        <f t="shared" si="239"/>
        <v>0</v>
      </c>
      <c r="BW102" s="346">
        <f t="shared" si="240"/>
        <v>0</v>
      </c>
      <c r="BX102" s="346">
        <f t="shared" si="241"/>
        <v>0</v>
      </c>
      <c r="BZ102" s="346">
        <f t="shared" si="242"/>
        <v>0</v>
      </c>
      <c r="CA102" s="346">
        <f t="shared" si="243"/>
        <v>0</v>
      </c>
      <c r="CB102" s="346">
        <f t="shared" si="244"/>
        <v>0</v>
      </c>
      <c r="CC102" s="346">
        <f t="shared" si="245"/>
        <v>0</v>
      </c>
      <c r="CD102" s="346">
        <f t="shared" si="246"/>
        <v>0</v>
      </c>
      <c r="CE102" s="346">
        <f t="shared" si="247"/>
        <v>0</v>
      </c>
      <c r="CH102" s="350"/>
      <c r="CI102" s="350"/>
      <c r="CJ102" s="350"/>
      <c r="CK102" s="350"/>
      <c r="CL102" s="350"/>
      <c r="CM102" s="350"/>
      <c r="DG102" s="350"/>
      <c r="DH102" s="300"/>
      <c r="DI102" s="395" t="str">
        <f t="shared" ca="1" si="275"/>
        <v/>
      </c>
      <c r="DJ102" s="360" t="str">
        <f t="shared" ca="1" si="276"/>
        <v/>
      </c>
      <c r="DK102" s="360" t="str">
        <f t="shared" ca="1" si="262"/>
        <v/>
      </c>
      <c r="DL102" s="354" t="str">
        <f t="shared" ca="1" si="263"/>
        <v/>
      </c>
      <c r="DM102" s="354" t="str">
        <f t="shared" ca="1" si="264"/>
        <v/>
      </c>
      <c r="DN102" s="361" t="str">
        <f t="shared" ca="1" si="265"/>
        <v/>
      </c>
      <c r="DO102" s="362" t="str">
        <f t="shared" ca="1" si="266"/>
        <v/>
      </c>
      <c r="DP102" s="379" t="str">
        <f t="shared" ca="1" si="279"/>
        <v/>
      </c>
      <c r="DQ102" s="302"/>
      <c r="DR102" s="364"/>
      <c r="DS102" s="302"/>
      <c r="DU102" s="424"/>
      <c r="DV102" s="424"/>
      <c r="DW102" s="424"/>
      <c r="DX102" s="424"/>
      <c r="DY102" s="424"/>
      <c r="DZ102" s="424"/>
      <c r="EA102" s="424"/>
      <c r="EB102" s="424"/>
      <c r="EC102" s="424"/>
      <c r="ED102" s="424"/>
      <c r="EE102" s="424"/>
      <c r="EF102" s="424"/>
      <c r="EG102" s="424"/>
      <c r="EH102" s="424"/>
      <c r="EI102" s="424"/>
      <c r="EJ102" s="424"/>
      <c r="EK102" s="424"/>
      <c r="EL102" s="424"/>
      <c r="EM102" s="424"/>
      <c r="EN102" s="424"/>
      <c r="EO102" s="424"/>
      <c r="EP102" s="424"/>
      <c r="EQ102" s="424"/>
      <c r="ER102" s="424"/>
      <c r="ES102" s="424"/>
      <c r="ET102" s="424"/>
      <c r="EU102" s="424"/>
      <c r="EV102" s="424"/>
      <c r="EW102" s="424"/>
      <c r="EX102" s="424"/>
      <c r="EY102" s="424"/>
      <c r="EZ102" s="424"/>
      <c r="FA102" s="424"/>
      <c r="FB102" s="424"/>
      <c r="FC102" s="424"/>
      <c r="FD102" s="425"/>
      <c r="FE102" s="333"/>
      <c r="FG102" s="376">
        <v>8</v>
      </c>
      <c r="FH102" s="376">
        <v>1</v>
      </c>
      <c r="FI102" s="382" t="str">
        <f t="shared" si="257"/>
        <v>rank.a1</v>
      </c>
      <c r="FJ102" s="383" t="b">
        <f t="shared" ca="1" si="258"/>
        <v>1</v>
      </c>
      <c r="FK102" s="384" t="str">
        <f t="shared" ca="1" si="259"/>
        <v>Vakana</v>
      </c>
      <c r="FL102" s="376">
        <f t="shared" ca="1" si="261"/>
        <v>6</v>
      </c>
      <c r="FO102" s="300"/>
      <c r="FP102" s="395" t="str">
        <f t="shared" ca="1" si="277"/>
        <v/>
      </c>
      <c r="FQ102" s="360" t="str">
        <f t="shared" ca="1" si="278"/>
        <v/>
      </c>
      <c r="FR102" s="360" t="str">
        <f t="shared" ca="1" si="267"/>
        <v/>
      </c>
      <c r="FS102" s="360" t="str">
        <f t="shared" ca="1" si="268"/>
        <v/>
      </c>
      <c r="FT102" s="360" t="str">
        <f t="shared" ca="1" si="269"/>
        <v/>
      </c>
      <c r="FU102" s="360" t="str">
        <f t="shared" ca="1" si="270"/>
        <v/>
      </c>
      <c r="FV102" s="360" t="str">
        <f t="shared" ca="1" si="271"/>
        <v/>
      </c>
      <c r="FW102" s="360" t="str">
        <f t="shared" ca="1" si="272"/>
        <v/>
      </c>
      <c r="FX102" s="360" t="str">
        <f t="shared" ca="1" si="273"/>
        <v/>
      </c>
      <c r="FY102" s="360" t="str">
        <f t="shared" ca="1" si="274"/>
        <v/>
      </c>
      <c r="FZ102" s="379" t="str">
        <f t="shared" ca="1" si="280"/>
        <v/>
      </c>
      <c r="GA102" s="302"/>
      <c r="GB102" s="364"/>
      <c r="GC102" s="302"/>
    </row>
    <row r="103" spans="36:185" x14ac:dyDescent="0.25">
      <c r="AN103" s="210" t="str">
        <f t="shared" ca="1" si="248"/>
        <v>–</v>
      </c>
      <c r="AO103" s="340" t="str">
        <f t="shared" si="249"/>
        <v/>
      </c>
      <c r="AP103" s="338" t="e">
        <f t="shared" ca="1" si="225"/>
        <v>#N/A</v>
      </c>
      <c r="AQ103" s="210" t="e">
        <f t="shared" ca="1" si="226"/>
        <v>#N/A</v>
      </c>
      <c r="AY103" s="341">
        <f t="shared" si="250"/>
        <v>-999999999.99300003</v>
      </c>
      <c r="AZ103" s="377" t="str">
        <f t="shared" si="260"/>
        <v/>
      </c>
      <c r="BA103" s="343">
        <f t="shared" si="251"/>
        <v>-999999999.99300003</v>
      </c>
      <c r="BB103" s="349">
        <v>10</v>
      </c>
      <c r="BC103" s="378">
        <f t="shared" si="252"/>
        <v>0</v>
      </c>
      <c r="BD103" s="346">
        <f t="shared" si="253"/>
        <v>0</v>
      </c>
      <c r="BE103" s="346">
        <f t="shared" si="227"/>
        <v>0</v>
      </c>
      <c r="BF103" s="346">
        <f t="shared" si="228"/>
        <v>0</v>
      </c>
      <c r="BG103" s="346">
        <f t="shared" si="229"/>
        <v>0</v>
      </c>
      <c r="BH103" s="346">
        <f t="shared" si="230"/>
        <v>0</v>
      </c>
      <c r="BI103" s="346">
        <f t="shared" si="231"/>
        <v>0</v>
      </c>
      <c r="BJ103" s="346">
        <f t="shared" si="254"/>
        <v>0</v>
      </c>
      <c r="BK103" s="347">
        <f t="shared" si="255"/>
        <v>0</v>
      </c>
      <c r="BL103" s="346">
        <f t="shared" si="232"/>
        <v>0</v>
      </c>
      <c r="BM103" s="346">
        <f t="shared" si="233"/>
        <v>0</v>
      </c>
      <c r="BN103" s="346">
        <f t="shared" si="256"/>
        <v>0</v>
      </c>
      <c r="BO103" s="347">
        <f t="shared" si="234"/>
        <v>0</v>
      </c>
      <c r="BP103" s="348">
        <v>6.9999999999999724E-3</v>
      </c>
      <c r="BQ103" s="349">
        <f t="shared" ca="1" si="235"/>
        <v>0</v>
      </c>
      <c r="BS103" s="346">
        <f t="shared" si="236"/>
        <v>0</v>
      </c>
      <c r="BT103" s="346">
        <f t="shared" si="237"/>
        <v>0</v>
      </c>
      <c r="BU103" s="346">
        <f t="shared" si="238"/>
        <v>0</v>
      </c>
      <c r="BV103" s="346">
        <f t="shared" si="239"/>
        <v>0</v>
      </c>
      <c r="BW103" s="346">
        <f t="shared" si="240"/>
        <v>0</v>
      </c>
      <c r="BX103" s="346">
        <f t="shared" si="241"/>
        <v>0</v>
      </c>
      <c r="BZ103" s="346">
        <f t="shared" si="242"/>
        <v>0</v>
      </c>
      <c r="CA103" s="346">
        <f t="shared" si="243"/>
        <v>0</v>
      </c>
      <c r="CB103" s="346">
        <f t="shared" si="244"/>
        <v>0</v>
      </c>
      <c r="CC103" s="346">
        <f t="shared" si="245"/>
        <v>0</v>
      </c>
      <c r="CD103" s="346">
        <f t="shared" si="246"/>
        <v>0</v>
      </c>
      <c r="CE103" s="346">
        <f t="shared" si="247"/>
        <v>0</v>
      </c>
      <c r="CH103" s="350"/>
      <c r="CI103" s="350"/>
      <c r="CJ103" s="350"/>
      <c r="CK103" s="350"/>
      <c r="CL103" s="350"/>
      <c r="CM103" s="350"/>
      <c r="DG103" s="350"/>
      <c r="DH103" s="300"/>
      <c r="DI103" s="395" t="str">
        <f t="shared" ca="1" si="275"/>
        <v/>
      </c>
      <c r="DJ103" s="360" t="str">
        <f t="shared" ca="1" si="276"/>
        <v/>
      </c>
      <c r="DK103" s="360" t="str">
        <f t="shared" ca="1" si="262"/>
        <v/>
      </c>
      <c r="DL103" s="354" t="str">
        <f t="shared" ca="1" si="263"/>
        <v/>
      </c>
      <c r="DM103" s="354" t="str">
        <f t="shared" ca="1" si="264"/>
        <v/>
      </c>
      <c r="DN103" s="361" t="str">
        <f t="shared" ca="1" si="265"/>
        <v/>
      </c>
      <c r="DO103" s="362" t="str">
        <f t="shared" ca="1" si="266"/>
        <v/>
      </c>
      <c r="DP103" s="379" t="str">
        <f t="shared" ca="1" si="279"/>
        <v/>
      </c>
      <c r="DQ103" s="302"/>
      <c r="DR103" s="364"/>
      <c r="DS103" s="302"/>
      <c r="DU103" s="424"/>
      <c r="DV103" s="424"/>
      <c r="DW103" s="424"/>
      <c r="DX103" s="424"/>
      <c r="DY103" s="424"/>
      <c r="DZ103" s="424"/>
      <c r="EA103" s="424"/>
      <c r="EB103" s="424"/>
      <c r="EC103" s="424"/>
      <c r="ED103" s="424"/>
      <c r="EE103" s="424"/>
      <c r="EF103" s="424"/>
      <c r="EG103" s="424"/>
      <c r="EH103" s="424"/>
      <c r="EI103" s="424"/>
      <c r="EJ103" s="424"/>
      <c r="EK103" s="424"/>
      <c r="EL103" s="424"/>
      <c r="EM103" s="424"/>
      <c r="EN103" s="424"/>
      <c r="EO103" s="424"/>
      <c r="EP103" s="424"/>
      <c r="EQ103" s="424"/>
      <c r="ER103" s="424"/>
      <c r="ES103" s="424"/>
      <c r="ET103" s="424"/>
      <c r="EU103" s="424"/>
      <c r="EV103" s="424"/>
      <c r="EW103" s="424"/>
      <c r="EX103" s="424"/>
      <c r="EY103" s="424"/>
      <c r="EZ103" s="424"/>
      <c r="FA103" s="424"/>
      <c r="FB103" s="424"/>
      <c r="FC103" s="424"/>
      <c r="FD103" s="425"/>
      <c r="FE103" s="333"/>
      <c r="FG103" s="376">
        <v>9</v>
      </c>
      <c r="FH103" s="376">
        <v>1</v>
      </c>
      <c r="FI103" s="382" t="str">
        <f t="shared" si="257"/>
        <v>rank.a1</v>
      </c>
      <c r="FJ103" s="383" t="b">
        <f t="shared" ca="1" si="258"/>
        <v>1</v>
      </c>
      <c r="FK103" s="384" t="str">
        <f t="shared" ca="1" si="259"/>
        <v>Carbonász</v>
      </c>
      <c r="FL103" s="376">
        <f t="shared" ca="1" si="261"/>
        <v>2</v>
      </c>
      <c r="FO103" s="300"/>
      <c r="FP103" s="395" t="str">
        <f t="shared" ca="1" si="277"/>
        <v/>
      </c>
      <c r="FQ103" s="360" t="str">
        <f t="shared" ca="1" si="278"/>
        <v/>
      </c>
      <c r="FR103" s="360" t="str">
        <f t="shared" ca="1" si="267"/>
        <v/>
      </c>
      <c r="FS103" s="360" t="str">
        <f t="shared" ca="1" si="268"/>
        <v/>
      </c>
      <c r="FT103" s="360" t="str">
        <f t="shared" ca="1" si="269"/>
        <v/>
      </c>
      <c r="FU103" s="360" t="str">
        <f t="shared" ca="1" si="270"/>
        <v/>
      </c>
      <c r="FV103" s="360" t="str">
        <f t="shared" ca="1" si="271"/>
        <v/>
      </c>
      <c r="FW103" s="360" t="str">
        <f t="shared" ca="1" si="272"/>
        <v/>
      </c>
      <c r="FX103" s="360" t="str">
        <f t="shared" ca="1" si="273"/>
        <v/>
      </c>
      <c r="FY103" s="360" t="str">
        <f t="shared" ca="1" si="274"/>
        <v/>
      </c>
      <c r="FZ103" s="379" t="str">
        <f t="shared" ca="1" si="280"/>
        <v/>
      </c>
      <c r="GA103" s="302"/>
      <c r="GB103" s="364"/>
      <c r="GC103" s="302"/>
    </row>
    <row r="104" spans="36:185" x14ac:dyDescent="0.25">
      <c r="CH104" s="350"/>
      <c r="CI104" s="350"/>
      <c r="CJ104" s="350"/>
      <c r="CK104" s="350"/>
      <c r="CL104" s="350"/>
      <c r="CM104" s="350"/>
      <c r="DG104" s="350"/>
      <c r="DH104" s="300"/>
      <c r="DI104" s="395" t="str">
        <f t="shared" ca="1" si="275"/>
        <v/>
      </c>
      <c r="DJ104" s="360" t="str">
        <f t="shared" ca="1" si="276"/>
        <v/>
      </c>
      <c r="DK104" s="360" t="str">
        <f t="shared" ca="1" si="262"/>
        <v/>
      </c>
      <c r="DL104" s="354" t="str">
        <f t="shared" ca="1" si="263"/>
        <v/>
      </c>
      <c r="DM104" s="354" t="str">
        <f t="shared" ca="1" si="264"/>
        <v/>
      </c>
      <c r="DN104" s="361" t="str">
        <f t="shared" ca="1" si="265"/>
        <v/>
      </c>
      <c r="DO104" s="362" t="str">
        <f t="shared" ca="1" si="266"/>
        <v/>
      </c>
      <c r="DP104" s="379" t="str">
        <f t="shared" ca="1" si="279"/>
        <v/>
      </c>
      <c r="DQ104" s="302"/>
      <c r="DR104" s="364"/>
      <c r="DS104" s="302"/>
      <c r="DU104" s="424"/>
      <c r="DV104" s="424"/>
      <c r="DW104" s="424"/>
      <c r="DX104" s="424"/>
      <c r="DY104" s="424"/>
      <c r="DZ104" s="424"/>
      <c r="EA104" s="424"/>
      <c r="EB104" s="424"/>
      <c r="EC104" s="424"/>
      <c r="ED104" s="424"/>
      <c r="EE104" s="424"/>
      <c r="EF104" s="424"/>
      <c r="EG104" s="424"/>
      <c r="EH104" s="424"/>
      <c r="EI104" s="424"/>
      <c r="EJ104" s="424"/>
      <c r="EK104" s="424"/>
      <c r="EL104" s="424"/>
      <c r="EM104" s="424"/>
      <c r="EN104" s="424"/>
      <c r="EO104" s="424"/>
      <c r="EP104" s="424"/>
      <c r="EQ104" s="424"/>
      <c r="ER104" s="424"/>
      <c r="ES104" s="424"/>
      <c r="ET104" s="424"/>
      <c r="EU104" s="424"/>
      <c r="EV104" s="424"/>
      <c r="EW104" s="424"/>
      <c r="EX104" s="424"/>
      <c r="EY104" s="424"/>
      <c r="EZ104" s="424"/>
      <c r="FA104" s="424"/>
      <c r="FB104" s="424"/>
      <c r="FC104" s="424"/>
      <c r="FD104" s="425"/>
      <c r="FE104" s="333"/>
      <c r="FG104" s="376">
        <v>10</v>
      </c>
      <c r="FH104" s="376">
        <v>1</v>
      </c>
      <c r="FI104" s="382" t="str">
        <f t="shared" si="257"/>
        <v>rank.a1</v>
      </c>
      <c r="FJ104" s="383" t="b">
        <f t="shared" ca="1" si="258"/>
        <v>1</v>
      </c>
      <c r="FK104" s="384" t="str">
        <f t="shared" ca="1" si="259"/>
        <v>Bőrdíszmű</v>
      </c>
      <c r="FL104" s="376">
        <f t="shared" ca="1" si="261"/>
        <v>1</v>
      </c>
      <c r="FO104" s="300"/>
      <c r="FP104" s="395" t="str">
        <f t="shared" ca="1" si="277"/>
        <v/>
      </c>
      <c r="FQ104" s="360" t="str">
        <f t="shared" ca="1" si="278"/>
        <v/>
      </c>
      <c r="FR104" s="360" t="str">
        <f t="shared" ca="1" si="267"/>
        <v/>
      </c>
      <c r="FS104" s="360" t="str">
        <f t="shared" ca="1" si="268"/>
        <v/>
      </c>
      <c r="FT104" s="360" t="str">
        <f t="shared" ca="1" si="269"/>
        <v/>
      </c>
      <c r="FU104" s="360" t="str">
        <f t="shared" ca="1" si="270"/>
        <v/>
      </c>
      <c r="FV104" s="360" t="str">
        <f t="shared" ca="1" si="271"/>
        <v/>
      </c>
      <c r="FW104" s="360" t="str">
        <f t="shared" ca="1" si="272"/>
        <v/>
      </c>
      <c r="FX104" s="360" t="str">
        <f t="shared" ca="1" si="273"/>
        <v/>
      </c>
      <c r="FY104" s="360" t="str">
        <f t="shared" ca="1" si="274"/>
        <v/>
      </c>
      <c r="FZ104" s="379" t="str">
        <f t="shared" ca="1" si="280"/>
        <v/>
      </c>
      <c r="GA104" s="302"/>
      <c r="GB104" s="364"/>
      <c r="GC104" s="302"/>
    </row>
    <row r="105" spans="36:185" ht="15.75" x14ac:dyDescent="0.25">
      <c r="AY105" s="313" t="s">
        <v>190</v>
      </c>
      <c r="AZ105" s="314"/>
      <c r="BA105" s="315"/>
      <c r="BB105" s="315"/>
      <c r="BC105" s="316" t="s">
        <v>190</v>
      </c>
      <c r="BD105" s="318" t="s">
        <v>120</v>
      </c>
      <c r="BE105" s="318" t="s">
        <v>121</v>
      </c>
      <c r="BF105" s="318" t="s">
        <v>134</v>
      </c>
      <c r="BG105" s="318" t="s">
        <v>122</v>
      </c>
      <c r="BH105" s="318" t="s">
        <v>123</v>
      </c>
      <c r="BI105" s="318" t="s">
        <v>124</v>
      </c>
      <c r="BJ105" s="318" t="s">
        <v>125</v>
      </c>
      <c r="BK105" s="318" t="s">
        <v>191</v>
      </c>
      <c r="BL105" s="318" t="s">
        <v>207</v>
      </c>
      <c r="BM105" s="318" t="s">
        <v>126</v>
      </c>
      <c r="BN105" s="318" t="s">
        <v>197</v>
      </c>
      <c r="BO105" s="318" t="s">
        <v>192</v>
      </c>
      <c r="BP105" s="318" t="s">
        <v>127</v>
      </c>
      <c r="BQ105" s="318" t="s">
        <v>208</v>
      </c>
      <c r="BS105" s="318" t="s">
        <v>196</v>
      </c>
      <c r="BT105" s="318" t="s">
        <v>121</v>
      </c>
      <c r="BU105" s="318" t="s">
        <v>134</v>
      </c>
      <c r="BV105" s="318" t="s">
        <v>122</v>
      </c>
      <c r="BW105" s="318" t="s">
        <v>123</v>
      </c>
      <c r="BX105" s="318" t="s">
        <v>124</v>
      </c>
      <c r="BZ105" s="318" t="s">
        <v>196</v>
      </c>
      <c r="CA105" s="318" t="s">
        <v>121</v>
      </c>
      <c r="CB105" s="318" t="s">
        <v>134</v>
      </c>
      <c r="CC105" s="318" t="s">
        <v>122</v>
      </c>
      <c r="CD105" s="318" t="s">
        <v>123</v>
      </c>
      <c r="CE105" s="318" t="s">
        <v>124</v>
      </c>
      <c r="CH105" s="350"/>
      <c r="CI105" s="350"/>
      <c r="CJ105" s="350"/>
      <c r="CK105" s="350"/>
      <c r="CL105" s="350"/>
      <c r="CM105" s="350"/>
      <c r="DG105" s="350"/>
      <c r="DH105" s="300"/>
      <c r="DI105" s="395" t="str">
        <f t="shared" ca="1" si="275"/>
        <v/>
      </c>
      <c r="DJ105" s="360" t="str">
        <f t="shared" ca="1" si="276"/>
        <v/>
      </c>
      <c r="DK105" s="360" t="str">
        <f t="shared" ca="1" si="262"/>
        <v/>
      </c>
      <c r="DL105" s="354" t="str">
        <f t="shared" ca="1" si="263"/>
        <v/>
      </c>
      <c r="DM105" s="354" t="str">
        <f t="shared" ca="1" si="264"/>
        <v/>
      </c>
      <c r="DN105" s="361" t="str">
        <f t="shared" ca="1" si="265"/>
        <v/>
      </c>
      <c r="DO105" s="362" t="str">
        <f t="shared" ca="1" si="266"/>
        <v/>
      </c>
      <c r="DP105" s="379" t="str">
        <f t="shared" ca="1" si="279"/>
        <v/>
      </c>
      <c r="DQ105" s="302"/>
      <c r="DR105" s="364"/>
      <c r="DS105" s="302"/>
      <c r="DU105" s="424"/>
      <c r="DV105" s="424"/>
      <c r="DW105" s="424"/>
      <c r="DX105" s="424"/>
      <c r="DY105" s="424"/>
      <c r="DZ105" s="424"/>
      <c r="EA105" s="424"/>
      <c r="EB105" s="424"/>
      <c r="EC105" s="424"/>
      <c r="ED105" s="424"/>
      <c r="EE105" s="424"/>
      <c r="EF105" s="424"/>
      <c r="EG105" s="424"/>
      <c r="EH105" s="424"/>
      <c r="EI105" s="424"/>
      <c r="EJ105" s="424"/>
      <c r="EK105" s="424"/>
      <c r="EL105" s="424"/>
      <c r="EM105" s="424"/>
      <c r="EN105" s="424"/>
      <c r="EO105" s="424"/>
      <c r="EP105" s="424"/>
      <c r="EQ105" s="424"/>
      <c r="ER105" s="424"/>
      <c r="ES105" s="424"/>
      <c r="ET105" s="424"/>
      <c r="EU105" s="424"/>
      <c r="EV105" s="424"/>
      <c r="EW105" s="424"/>
      <c r="EX105" s="424"/>
      <c r="EY105" s="424"/>
      <c r="EZ105" s="424"/>
      <c r="FA105" s="424"/>
      <c r="FB105" s="424"/>
      <c r="FC105" s="424"/>
      <c r="FD105" s="425"/>
      <c r="FE105" s="333"/>
      <c r="FG105" s="376">
        <v>11</v>
      </c>
      <c r="FH105" s="376">
        <v>1</v>
      </c>
      <c r="FI105" s="382" t="str">
        <f t="shared" si="257"/>
        <v>rank.a1</v>
      </c>
      <c r="FJ105" s="383" t="b">
        <f t="shared" ca="1" si="258"/>
        <v>1</v>
      </c>
      <c r="FK105" s="384" t="str">
        <f t="shared" ca="1" si="259"/>
        <v>Royal Guard's</v>
      </c>
      <c r="FL105" s="376">
        <f t="shared" si="261"/>
        <v>0</v>
      </c>
      <c r="FO105" s="300"/>
      <c r="FP105" s="395" t="str">
        <f t="shared" ca="1" si="277"/>
        <v/>
      </c>
      <c r="FQ105" s="360" t="str">
        <f t="shared" ca="1" si="278"/>
        <v/>
      </c>
      <c r="FR105" s="360" t="str">
        <f t="shared" ca="1" si="267"/>
        <v/>
      </c>
      <c r="FS105" s="360" t="str">
        <f t="shared" ca="1" si="268"/>
        <v/>
      </c>
      <c r="FT105" s="360" t="str">
        <f t="shared" ca="1" si="269"/>
        <v/>
      </c>
      <c r="FU105" s="360" t="str">
        <f t="shared" ca="1" si="270"/>
        <v/>
      </c>
      <c r="FV105" s="360" t="str">
        <f t="shared" ca="1" si="271"/>
        <v/>
      </c>
      <c r="FW105" s="360" t="str">
        <f t="shared" ca="1" si="272"/>
        <v/>
      </c>
      <c r="FX105" s="360" t="str">
        <f t="shared" ca="1" si="273"/>
        <v/>
      </c>
      <c r="FY105" s="360" t="str">
        <f t="shared" ca="1" si="274"/>
        <v/>
      </c>
      <c r="FZ105" s="379" t="str">
        <f t="shared" ca="1" si="280"/>
        <v/>
      </c>
      <c r="GA105" s="302"/>
      <c r="GB105" s="364"/>
      <c r="GC105" s="302"/>
    </row>
    <row r="106" spans="36:185" x14ac:dyDescent="0.25">
      <c r="AU106" s="349">
        <v>1</v>
      </c>
      <c r="AV106" s="430">
        <f t="shared" ref="AV106:AV115" ca="1" si="281">VLOOKUP($AY106,table.aa2,3,FALSE)</f>
        <v>0</v>
      </c>
      <c r="AW106" s="349">
        <v>1</v>
      </c>
      <c r="AY106" s="431">
        <f ca="1">LARGE(BA$106:BA$115,BB106)</f>
        <v>-999999999.98399997</v>
      </c>
      <c r="AZ106" s="377">
        <v>1</v>
      </c>
      <c r="BA106" s="343">
        <f ca="1">IF($AJ$44,BO106*100,IF($AJ$43,BM106*10,BM106))*1000000+IF($AJ$52,BE106*10000,0)+IF($AJ$44,BK106,BJ106)*1000/IF(OR($AJ$43,$AJ$52),10,1)+IF($AJ$44,0,IF($AJ$43,BH106/10,BH106))+BP106+BQ106-IF(BC106=0,1000000000,0)</f>
        <v>-999999999.98399997</v>
      </c>
      <c r="BB106" s="349">
        <v>1</v>
      </c>
      <c r="BC106" s="378">
        <f t="shared" ref="BC106:BC115" si="282">X72</f>
        <v>0</v>
      </c>
      <c r="BD106" s="346">
        <f>BE106+BF106+BG106</f>
        <v>0</v>
      </c>
      <c r="BE106" s="346">
        <f>BT106+CA106</f>
        <v>0</v>
      </c>
      <c r="BF106" s="346">
        <f>BU106+CB106</f>
        <v>0</v>
      </c>
      <c r="BG106" s="346">
        <f>BV106+CC106</f>
        <v>0</v>
      </c>
      <c r="BH106" s="346">
        <f>BW106+CD106</f>
        <v>0</v>
      </c>
      <c r="BI106" s="346">
        <f>BX106+CE106</f>
        <v>0</v>
      </c>
      <c r="BJ106" s="346">
        <f>BH106-BI106</f>
        <v>0</v>
      </c>
      <c r="BK106" s="347">
        <f>IF(BI106=0,0,BH106/BI106)</f>
        <v>0</v>
      </c>
      <c r="BL106" s="346">
        <f t="shared" ref="BL106:BL115" si="283">IF(NOT($X$71),0,IF(ISNA(VLOOKUP(BC106,penalty.a,2,FALSE)),0,VLOOKUP(BC106,penalty.a,2,FALSE)))</f>
        <v>0</v>
      </c>
      <c r="BM106" s="346">
        <f t="shared" ref="BM106:BM115" si="284">IF(NOT($X$71),0,$AJ$48*BE106+BF106-BL106)</f>
        <v>0</v>
      </c>
      <c r="BN106" s="346">
        <f>IF(NOT($X$71),0,BE106*2+BG106-BL106)</f>
        <v>0</v>
      </c>
      <c r="BO106" s="347">
        <f t="shared" ref="BO106:BO115" si="285">IF(NOT($X$71),0,IF(BD106=0,BN106,IF(BN106=0,0,BN106/BD106/2)))</f>
        <v>0</v>
      </c>
      <c r="BP106" s="348">
        <v>1.599999999999998E-2</v>
      </c>
      <c r="BQ106" s="349">
        <f t="shared" ref="BQ106:BQ115" ca="1" si="286">IF(ISNA(VLOOKUP(BC106,eee.aa,16,FALSE)),0,VLOOKUP(BC106,eee.aa,16,FALSE))</f>
        <v>0</v>
      </c>
      <c r="BS106" s="346">
        <f t="shared" ref="BS106:BS115" si="287">IF(NOT($X$71),0,COUNTIF(lossh.aa,CONCATENATE($BC106,"ooo")))</f>
        <v>0</v>
      </c>
      <c r="BT106" s="346">
        <f t="shared" ref="BT106:BT115" si="288">IF(NOT($X$71),0,COUNTIF(winh.aa,$BC106))</f>
        <v>0</v>
      </c>
      <c r="BU106" s="346">
        <f t="shared" ref="BU106:BU115" si="289">IF(NOT($X$71),0,COUNTIF(drawh.aa,$BC106))</f>
        <v>0</v>
      </c>
      <c r="BV106" s="346">
        <f t="shared" ref="BV106:BV115" si="290">IF(NOT($X$71),0,COUNTIF(lossh.aa,$BC106))+BS106</f>
        <v>0</v>
      </c>
      <c r="BW106" s="346">
        <f t="shared" ref="BW106:BW115" si="291">IF(NOT($X$71),0,SUMIF(home.aa,$BC106,GAA.aa))</f>
        <v>0</v>
      </c>
      <c r="BX106" s="346">
        <f t="shared" ref="BX106:BX115" si="292">IF(NOT($X$71),0,SUMIF(home.aa,$BC106,GBB.aa))</f>
        <v>0</v>
      </c>
      <c r="BZ106" s="346">
        <f t="shared" ref="BZ106:BZ115" si="293">IF(NOT($X$71),0,COUNTIF(lossa.aa,CONCATENATE($BC106,"ooo")))</f>
        <v>0</v>
      </c>
      <c r="CA106" s="346">
        <f t="shared" ref="CA106:CA115" si="294">IF(NOT($X$71),0,COUNTIF(wina.aa,$BC106))</f>
        <v>0</v>
      </c>
      <c r="CB106" s="346">
        <f t="shared" ref="CB106:CB115" si="295">IF(NOT($X$71),0,COUNTIF(drawa.aa,$BC106))</f>
        <v>0</v>
      </c>
      <c r="CC106" s="346">
        <f t="shared" ref="CC106:CC115" si="296">IF(NOT($X$71),0,COUNTIF(lossa.aa,$BC106))+BZ106</f>
        <v>0</v>
      </c>
      <c r="CD106" s="346">
        <f t="shared" ref="CD106:CD115" si="297">IF(NOT($X$71),0,SUMIF(away.aa,$BC106,GBB.aa))</f>
        <v>0</v>
      </c>
      <c r="CE106" s="346">
        <f t="shared" ref="CE106:CE115" si="298">IF(NOT($X$71),0,SUMIF(away.aa,$BC106,GAA.aa))</f>
        <v>0</v>
      </c>
      <c r="CH106" s="350"/>
      <c r="CI106" s="350"/>
      <c r="CJ106" s="350"/>
      <c r="CK106" s="350"/>
      <c r="CL106" s="350"/>
      <c r="CM106" s="350"/>
      <c r="DG106" s="350"/>
      <c r="DH106" s="300"/>
      <c r="DI106" s="395" t="str">
        <f t="shared" ca="1" si="275"/>
        <v/>
      </c>
      <c r="DJ106" s="360" t="str">
        <f t="shared" ca="1" si="276"/>
        <v/>
      </c>
      <c r="DK106" s="360" t="str">
        <f t="shared" ca="1" si="262"/>
        <v/>
      </c>
      <c r="DL106" s="354" t="str">
        <f t="shared" ca="1" si="263"/>
        <v/>
      </c>
      <c r="DM106" s="354" t="str">
        <f t="shared" ca="1" si="264"/>
        <v/>
      </c>
      <c r="DN106" s="361" t="str">
        <f t="shared" ca="1" si="265"/>
        <v/>
      </c>
      <c r="DO106" s="362" t="str">
        <f t="shared" ca="1" si="266"/>
        <v/>
      </c>
      <c r="DP106" s="379" t="str">
        <f t="shared" ca="1" si="279"/>
        <v/>
      </c>
      <c r="DQ106" s="302"/>
      <c r="DR106" s="364"/>
      <c r="DS106" s="302"/>
      <c r="DU106" s="424"/>
      <c r="DV106" s="424"/>
      <c r="DW106" s="424"/>
      <c r="DX106" s="424"/>
      <c r="DY106" s="424"/>
      <c r="DZ106" s="424"/>
      <c r="EA106" s="424"/>
      <c r="EB106" s="424"/>
      <c r="EC106" s="424"/>
      <c r="ED106" s="424"/>
      <c r="EE106" s="424"/>
      <c r="EF106" s="424"/>
      <c r="EG106" s="424"/>
      <c r="EH106" s="424"/>
      <c r="EI106" s="424"/>
      <c r="EJ106" s="424"/>
      <c r="EK106" s="424"/>
      <c r="EL106" s="424"/>
      <c r="EM106" s="424"/>
      <c r="EN106" s="424"/>
      <c r="EO106" s="424"/>
      <c r="EP106" s="424"/>
      <c r="EQ106" s="424"/>
      <c r="ER106" s="424"/>
      <c r="ES106" s="424"/>
      <c r="ET106" s="424"/>
      <c r="EU106" s="424"/>
      <c r="EV106" s="424"/>
      <c r="EW106" s="424"/>
      <c r="EX106" s="424"/>
      <c r="EY106" s="424"/>
      <c r="EZ106" s="424"/>
      <c r="FA106" s="424"/>
      <c r="FB106" s="424"/>
      <c r="FC106" s="424"/>
      <c r="FD106" s="425"/>
      <c r="FE106" s="333"/>
      <c r="FG106" s="376"/>
      <c r="FH106" s="376"/>
      <c r="FI106" s="382" t="str">
        <f t="shared" si="257"/>
        <v>rank.a</v>
      </c>
      <c r="FJ106" s="383" t="b">
        <f t="shared" ca="1" si="258"/>
        <v>0</v>
      </c>
      <c r="FK106" s="384" t="str">
        <f t="shared" ca="1" si="259"/>
        <v/>
      </c>
      <c r="FL106" s="376"/>
      <c r="FO106" s="300"/>
      <c r="FP106" s="395" t="str">
        <f t="shared" ca="1" si="277"/>
        <v/>
      </c>
      <c r="FQ106" s="360" t="str">
        <f t="shared" ca="1" si="278"/>
        <v/>
      </c>
      <c r="FR106" s="360" t="str">
        <f t="shared" ca="1" si="267"/>
        <v/>
      </c>
      <c r="FS106" s="360" t="str">
        <f t="shared" ca="1" si="268"/>
        <v/>
      </c>
      <c r="FT106" s="360" t="str">
        <f t="shared" ca="1" si="269"/>
        <v/>
      </c>
      <c r="FU106" s="360" t="str">
        <f t="shared" ca="1" si="270"/>
        <v/>
      </c>
      <c r="FV106" s="360" t="str">
        <f t="shared" ca="1" si="271"/>
        <v/>
      </c>
      <c r="FW106" s="360" t="str">
        <f t="shared" ca="1" si="272"/>
        <v/>
      </c>
      <c r="FX106" s="360" t="str">
        <f t="shared" ca="1" si="273"/>
        <v/>
      </c>
      <c r="FY106" s="360" t="str">
        <f t="shared" ca="1" si="274"/>
        <v/>
      </c>
      <c r="FZ106" s="379" t="str">
        <f t="shared" ca="1" si="280"/>
        <v/>
      </c>
      <c r="GA106" s="302"/>
      <c r="GB106" s="364"/>
      <c r="GC106" s="302"/>
    </row>
    <row r="107" spans="36:185" x14ac:dyDescent="0.25">
      <c r="AU107" s="349">
        <v>2</v>
      </c>
      <c r="AV107" s="430">
        <f t="shared" ca="1" si="281"/>
        <v>0</v>
      </c>
      <c r="AW107" s="349">
        <v>2</v>
      </c>
      <c r="AY107" s="431">
        <f t="shared" ref="AY107:AY115" ca="1" si="299">LARGE(BA$106:BA$115,BB107)</f>
        <v>-999999999.98500001</v>
      </c>
      <c r="AZ107" s="377" t="str">
        <f ca="1">IF(AY107&lt;-999999990,"",IF(ABS(AY106-AY107)&lt;0.015,AZ106,BB107))</f>
        <v/>
      </c>
      <c r="BA107" s="343">
        <f t="shared" ref="BA107:BA115" ca="1" si="300">IF($AJ$44,BO107*100,IF($AJ$43,BM107*10,BM107))*1000000+IF($AJ$52,BE107*10000,0)+IF($AJ$44,BK107,BJ107)*1000/IF(OR($AJ$43,$AJ$52),10,1)+IF($AJ$44,0,IF($AJ$43,BH107/10,BH107))+BP107+BQ107-IF(BC107=0,1000000000,0)</f>
        <v>-999999999.98500001</v>
      </c>
      <c r="BB107" s="349">
        <v>2</v>
      </c>
      <c r="BC107" s="378">
        <f t="shared" si="282"/>
        <v>0</v>
      </c>
      <c r="BD107" s="346">
        <f t="shared" ref="BD107:BD115" si="301">BE107+BF107+BG107</f>
        <v>0</v>
      </c>
      <c r="BE107" s="346">
        <f t="shared" ref="BE107:BE115" si="302">BT107+CA107</f>
        <v>0</v>
      </c>
      <c r="BF107" s="346">
        <f t="shared" ref="BF107:BF115" si="303">BU107+CB107</f>
        <v>0</v>
      </c>
      <c r="BG107" s="346">
        <f t="shared" ref="BG107:BG115" si="304">BV107+CC107</f>
        <v>0</v>
      </c>
      <c r="BH107" s="346">
        <f t="shared" ref="BH107:BH115" si="305">BW107+CD107</f>
        <v>0</v>
      </c>
      <c r="BI107" s="346">
        <f t="shared" ref="BI107:BI115" si="306">BX107+CE107</f>
        <v>0</v>
      </c>
      <c r="BJ107" s="346">
        <f t="shared" ref="BJ107:BJ115" si="307">BH107-BI107</f>
        <v>0</v>
      </c>
      <c r="BK107" s="347">
        <f t="shared" ref="BK107:BK115" si="308">IF(BI107=0,0,BH107/BI107)</f>
        <v>0</v>
      </c>
      <c r="BL107" s="346">
        <f t="shared" si="283"/>
        <v>0</v>
      </c>
      <c r="BM107" s="346">
        <f t="shared" si="284"/>
        <v>0</v>
      </c>
      <c r="BN107" s="346">
        <f t="shared" ref="BN107:BN115" si="309">IF(NOT($X$71),0,BE107*2+BG107-BL107)</f>
        <v>0</v>
      </c>
      <c r="BO107" s="347">
        <f t="shared" si="285"/>
        <v>0</v>
      </c>
      <c r="BP107" s="348">
        <v>1.4999999999999999E-2</v>
      </c>
      <c r="BQ107" s="349">
        <f t="shared" ca="1" si="286"/>
        <v>0</v>
      </c>
      <c r="BS107" s="346">
        <f t="shared" si="287"/>
        <v>0</v>
      </c>
      <c r="BT107" s="346">
        <f t="shared" si="288"/>
        <v>0</v>
      </c>
      <c r="BU107" s="346">
        <f t="shared" si="289"/>
        <v>0</v>
      </c>
      <c r="BV107" s="346">
        <f t="shared" si="290"/>
        <v>0</v>
      </c>
      <c r="BW107" s="346">
        <f t="shared" si="291"/>
        <v>0</v>
      </c>
      <c r="BX107" s="346">
        <f t="shared" si="292"/>
        <v>0</v>
      </c>
      <c r="BZ107" s="346">
        <f t="shared" si="293"/>
        <v>0</v>
      </c>
      <c r="CA107" s="346">
        <f t="shared" si="294"/>
        <v>0</v>
      </c>
      <c r="CB107" s="346">
        <f t="shared" si="295"/>
        <v>0</v>
      </c>
      <c r="CC107" s="346">
        <f t="shared" si="296"/>
        <v>0</v>
      </c>
      <c r="CD107" s="346">
        <f t="shared" si="297"/>
        <v>0</v>
      </c>
      <c r="CE107" s="346">
        <f t="shared" si="298"/>
        <v>0</v>
      </c>
      <c r="CH107" s="350"/>
      <c r="CI107" s="350"/>
      <c r="CJ107" s="350"/>
      <c r="CK107" s="350"/>
      <c r="CL107" s="350"/>
      <c r="CM107" s="350"/>
      <c r="DG107" s="350"/>
      <c r="DH107" s="300"/>
      <c r="DI107" s="301"/>
      <c r="DJ107" s="324" t="s">
        <v>157</v>
      </c>
      <c r="DK107" s="324" t="s">
        <v>158</v>
      </c>
      <c r="DL107" s="325" t="s">
        <v>159</v>
      </c>
      <c r="DM107" s="325"/>
      <c r="DN107" s="326" t="s">
        <v>160</v>
      </c>
      <c r="DO107" s="325" t="s">
        <v>135</v>
      </c>
      <c r="DP107" s="302"/>
      <c r="DQ107" s="302"/>
      <c r="DR107" s="364"/>
      <c r="DS107" s="302"/>
      <c r="DU107" s="424"/>
      <c r="DV107" s="424"/>
      <c r="DW107" s="424"/>
      <c r="DX107" s="424"/>
      <c r="DY107" s="424"/>
      <c r="DZ107" s="424"/>
      <c r="EA107" s="424"/>
      <c r="EB107" s="424"/>
      <c r="EC107" s="424"/>
      <c r="ED107" s="424"/>
      <c r="EE107" s="424"/>
      <c r="EF107" s="424"/>
      <c r="EG107" s="424"/>
      <c r="EH107" s="424"/>
      <c r="EI107" s="424"/>
      <c r="EJ107" s="424"/>
      <c r="EK107" s="424"/>
      <c r="EL107" s="424"/>
      <c r="EM107" s="424"/>
      <c r="EN107" s="424"/>
      <c r="EO107" s="424"/>
      <c r="EP107" s="424"/>
      <c r="EQ107" s="424"/>
      <c r="ER107" s="424"/>
      <c r="ES107" s="424"/>
      <c r="ET107" s="424"/>
      <c r="EU107" s="424"/>
      <c r="EV107" s="424"/>
      <c r="EW107" s="424"/>
      <c r="EX107" s="424"/>
      <c r="EY107" s="424"/>
      <c r="EZ107" s="424"/>
      <c r="FA107" s="424"/>
      <c r="FB107" s="424"/>
      <c r="FC107" s="424"/>
      <c r="FD107" s="425"/>
      <c r="FE107" s="333"/>
      <c r="FG107" s="376"/>
      <c r="FH107" s="376"/>
      <c r="FI107" s="382" t="str">
        <f t="shared" si="257"/>
        <v>rank.a</v>
      </c>
      <c r="FJ107" s="383" t="b">
        <f t="shared" ca="1" si="258"/>
        <v>0</v>
      </c>
      <c r="FK107" s="384" t="str">
        <f t="shared" ca="1" si="259"/>
        <v/>
      </c>
      <c r="FL107" s="376"/>
      <c r="FO107" s="300"/>
      <c r="FP107" s="301"/>
      <c r="FQ107" s="324" t="s">
        <v>157</v>
      </c>
      <c r="FR107" s="324" t="s">
        <v>237</v>
      </c>
      <c r="FS107" s="324" t="s">
        <v>239</v>
      </c>
      <c r="FT107" s="324" t="s">
        <v>240</v>
      </c>
      <c r="FU107" s="324" t="s">
        <v>238</v>
      </c>
      <c r="FV107" s="324" t="s">
        <v>241</v>
      </c>
      <c r="FW107" s="324" t="s">
        <v>242</v>
      </c>
      <c r="FX107" s="326" t="s">
        <v>160</v>
      </c>
      <c r="FY107" s="325" t="s">
        <v>135</v>
      </c>
      <c r="FZ107" s="302"/>
      <c r="GA107" s="302"/>
      <c r="GB107" s="364"/>
      <c r="GC107" s="302"/>
    </row>
    <row r="108" spans="36:185" x14ac:dyDescent="0.25">
      <c r="AU108" s="349">
        <v>3</v>
      </c>
      <c r="AV108" s="430">
        <f t="shared" ca="1" si="281"/>
        <v>0</v>
      </c>
      <c r="AW108" s="349">
        <v>3</v>
      </c>
      <c r="AY108" s="431">
        <f t="shared" ca="1" si="299"/>
        <v>-999999999.98599994</v>
      </c>
      <c r="AZ108" s="377" t="str">
        <f t="shared" ref="AZ108:AZ115" ca="1" si="310">IF(AY108&lt;-999999990,"",IF(ABS(AY107-AY108)&lt;0.015,AZ107,BB108))</f>
        <v/>
      </c>
      <c r="BA108" s="343">
        <f t="shared" ca="1" si="300"/>
        <v>-999999999.98599994</v>
      </c>
      <c r="BB108" s="349">
        <v>3</v>
      </c>
      <c r="BC108" s="378">
        <f t="shared" si="282"/>
        <v>0</v>
      </c>
      <c r="BD108" s="346">
        <f t="shared" si="301"/>
        <v>0</v>
      </c>
      <c r="BE108" s="346">
        <f t="shared" si="302"/>
        <v>0</v>
      </c>
      <c r="BF108" s="346">
        <f t="shared" si="303"/>
        <v>0</v>
      </c>
      <c r="BG108" s="346">
        <f t="shared" si="304"/>
        <v>0</v>
      </c>
      <c r="BH108" s="346">
        <f t="shared" si="305"/>
        <v>0</v>
      </c>
      <c r="BI108" s="346">
        <f t="shared" si="306"/>
        <v>0</v>
      </c>
      <c r="BJ108" s="346">
        <f t="shared" si="307"/>
        <v>0</v>
      </c>
      <c r="BK108" s="347">
        <f t="shared" si="308"/>
        <v>0</v>
      </c>
      <c r="BL108" s="346">
        <f t="shared" si="283"/>
        <v>0</v>
      </c>
      <c r="BM108" s="346">
        <f t="shared" si="284"/>
        <v>0</v>
      </c>
      <c r="BN108" s="346">
        <f t="shared" si="309"/>
        <v>0</v>
      </c>
      <c r="BO108" s="347">
        <f t="shared" si="285"/>
        <v>0</v>
      </c>
      <c r="BP108" s="348">
        <v>1.3999999999999978E-2</v>
      </c>
      <c r="BQ108" s="349">
        <f t="shared" ca="1" si="286"/>
        <v>0</v>
      </c>
      <c r="BS108" s="346">
        <f t="shared" si="287"/>
        <v>0</v>
      </c>
      <c r="BT108" s="346">
        <f t="shared" si="288"/>
        <v>0</v>
      </c>
      <c r="BU108" s="346">
        <f t="shared" si="289"/>
        <v>0</v>
      </c>
      <c r="BV108" s="346">
        <f t="shared" si="290"/>
        <v>0</v>
      </c>
      <c r="BW108" s="346">
        <f t="shared" si="291"/>
        <v>0</v>
      </c>
      <c r="BX108" s="346">
        <f t="shared" si="292"/>
        <v>0</v>
      </c>
      <c r="BZ108" s="346">
        <f t="shared" si="293"/>
        <v>0</v>
      </c>
      <c r="CA108" s="346">
        <f t="shared" si="294"/>
        <v>0</v>
      </c>
      <c r="CB108" s="346">
        <f t="shared" si="295"/>
        <v>0</v>
      </c>
      <c r="CC108" s="346">
        <f t="shared" si="296"/>
        <v>0</v>
      </c>
      <c r="CD108" s="346">
        <f t="shared" si="297"/>
        <v>0</v>
      </c>
      <c r="CE108" s="346">
        <f t="shared" si="298"/>
        <v>0</v>
      </c>
      <c r="CH108" s="350"/>
      <c r="CI108" s="350"/>
      <c r="CJ108" s="350"/>
      <c r="CK108" s="350"/>
      <c r="CL108" s="350"/>
      <c r="CM108" s="350"/>
      <c r="DG108" s="350"/>
      <c r="DH108" s="300"/>
      <c r="DI108" s="395" t="str">
        <f ca="1">DI97</f>
        <v>Vakana</v>
      </c>
      <c r="DJ108" s="360" t="str">
        <f ca="1">IF(OR(DI108="",DP108="",DI108=DP108),"",CONCATENATE(DI108,DP108))</f>
        <v/>
      </c>
      <c r="DK108" s="360" t="str">
        <f t="shared" ref="DK108:DK117" ca="1" si="311">IF($DJ108="","",CONCATENATE(VLOOKUP($DJ108,games.a,9,FALSE),VLOOKUP($DJ108,games.a,12,FALSE)))</f>
        <v/>
      </c>
      <c r="DL108" s="354" t="str">
        <f t="shared" ref="DL108:DL117" ca="1" si="312">IF($DJ108="","",VLOOKUP($DJ108,games.a,10,FALSE))</f>
        <v/>
      </c>
      <c r="DM108" s="354" t="str">
        <f t="shared" ref="DM108:DM117" ca="1" si="313">IF($DJ108="","",VLOOKUP($DJ108,games.a,13,FALSE))</f>
        <v/>
      </c>
      <c r="DN108" s="361" t="str">
        <f t="shared" ref="DN108:DN117" ca="1" si="314">IF($DJ108="","",VLOOKUP($DJ108,games.a,6,FALSE))</f>
        <v/>
      </c>
      <c r="DO108" s="362" t="str">
        <f t="shared" ref="DO108:DO117" ca="1" si="315">IF($DJ108="","",VLOOKUP($DJ108,games.a,7,FALSE))</f>
        <v/>
      </c>
      <c r="DP108" s="363" t="str">
        <f ca="1">DI48</f>
        <v/>
      </c>
      <c r="DQ108" s="302"/>
      <c r="DR108" s="364"/>
      <c r="DS108" s="302"/>
      <c r="DU108" s="424"/>
      <c r="DV108" s="424"/>
      <c r="DW108" s="424"/>
      <c r="DX108" s="424"/>
      <c r="DY108" s="424"/>
      <c r="DZ108" s="424"/>
      <c r="EA108" s="424"/>
      <c r="EB108" s="424"/>
      <c r="EC108" s="424"/>
      <c r="ED108" s="424"/>
      <c r="EE108" s="424"/>
      <c r="EF108" s="424"/>
      <c r="EG108" s="424"/>
      <c r="EH108" s="424"/>
      <c r="EI108" s="424"/>
      <c r="EJ108" s="424"/>
      <c r="EK108" s="424"/>
      <c r="EL108" s="424"/>
      <c r="EM108" s="424"/>
      <c r="EN108" s="424"/>
      <c r="EO108" s="424"/>
      <c r="EP108" s="424"/>
      <c r="EQ108" s="424"/>
      <c r="ER108" s="424"/>
      <c r="ES108" s="424"/>
      <c r="ET108" s="424"/>
      <c r="EU108" s="424"/>
      <c r="EV108" s="424"/>
      <c r="EW108" s="424"/>
      <c r="EX108" s="424"/>
      <c r="EY108" s="424"/>
      <c r="EZ108" s="424"/>
      <c r="FA108" s="424"/>
      <c r="FB108" s="424"/>
      <c r="FC108" s="424"/>
      <c r="FD108" s="425"/>
      <c r="FE108" s="333"/>
      <c r="FG108" s="376"/>
      <c r="FH108" s="376"/>
      <c r="FI108" s="382" t="str">
        <f t="shared" si="257"/>
        <v>rank.a</v>
      </c>
      <c r="FJ108" s="383" t="b">
        <f t="shared" ca="1" si="258"/>
        <v>0</v>
      </c>
      <c r="FK108" s="384" t="str">
        <f t="shared" ca="1" si="259"/>
        <v/>
      </c>
      <c r="FL108" s="376"/>
      <c r="FO108" s="300"/>
      <c r="FP108" s="395" t="str">
        <f ca="1">FP97</f>
        <v/>
      </c>
      <c r="FQ108" s="360" t="str">
        <f ca="1">IF(OR(FP108="",FZ108="",FP108=FZ108),"",CONCATENATE(FP108,FZ108))</f>
        <v/>
      </c>
      <c r="FR108" s="360" t="str">
        <f t="shared" ref="FR108:FR117" ca="1" si="316">IF($FQ108="","",VLOOKUP($FQ108,games.a,9,FALSE))</f>
        <v/>
      </c>
      <c r="FS108" s="360" t="str">
        <f t="shared" ref="FS108:FS117" ca="1" si="317">IF($FQ108="","",VLOOKUP($FQ108,games.a,10,FALSE))</f>
        <v/>
      </c>
      <c r="FT108" s="360" t="str">
        <f t="shared" ref="FT108:FT117" ca="1" si="318">IF($FQ108="","",VLOOKUP($FQ108,games.a,11,FALSE))</f>
        <v/>
      </c>
      <c r="FU108" s="360" t="str">
        <f t="shared" ref="FU108:FU117" ca="1" si="319">IF($FQ108="","",VLOOKUP($FQ108,games.a,12,FALSE))</f>
        <v/>
      </c>
      <c r="FV108" s="360" t="str">
        <f t="shared" ref="FV108:FV117" ca="1" si="320">IF($FQ108="","",VLOOKUP($FQ108,games.a,13,FALSE))</f>
        <v/>
      </c>
      <c r="FW108" s="360" t="str">
        <f t="shared" ref="FW108:FW117" ca="1" si="321">IF($FQ108="","",VLOOKUP($FQ108,games.a,14,FALSE))</f>
        <v/>
      </c>
      <c r="FX108" s="360" t="str">
        <f t="shared" ref="FX108:FX117" ca="1" si="322">IF($FQ108="","",VLOOKUP($FQ108,games.a,6,FALSE))</f>
        <v/>
      </c>
      <c r="FY108" s="360" t="str">
        <f t="shared" ref="FY108:FY117" ca="1" si="323">IF($FQ108="","",VLOOKUP($FQ108,games.a,7,FALSE))</f>
        <v/>
      </c>
      <c r="FZ108" s="363" t="str">
        <f ca="1">FP48</f>
        <v/>
      </c>
      <c r="GA108" s="302"/>
      <c r="GB108" s="364"/>
      <c r="GC108" s="302"/>
    </row>
    <row r="109" spans="36:185" x14ac:dyDescent="0.25">
      <c r="AU109" s="349">
        <v>4</v>
      </c>
      <c r="AV109" s="430">
        <f t="shared" ca="1" si="281"/>
        <v>0</v>
      </c>
      <c r="AW109" s="349">
        <v>4</v>
      </c>
      <c r="AY109" s="431">
        <f t="shared" ca="1" si="299"/>
        <v>-999999999.98699999</v>
      </c>
      <c r="AZ109" s="377" t="str">
        <f t="shared" ca="1" si="310"/>
        <v/>
      </c>
      <c r="BA109" s="343">
        <f t="shared" ca="1" si="300"/>
        <v>-999999999.98699999</v>
      </c>
      <c r="BB109" s="349">
        <v>4</v>
      </c>
      <c r="BC109" s="378">
        <f t="shared" si="282"/>
        <v>0</v>
      </c>
      <c r="BD109" s="346">
        <f t="shared" si="301"/>
        <v>0</v>
      </c>
      <c r="BE109" s="346">
        <f t="shared" si="302"/>
        <v>0</v>
      </c>
      <c r="BF109" s="346">
        <f t="shared" si="303"/>
        <v>0</v>
      </c>
      <c r="BG109" s="346">
        <f t="shared" si="304"/>
        <v>0</v>
      </c>
      <c r="BH109" s="346">
        <f t="shared" si="305"/>
        <v>0</v>
      </c>
      <c r="BI109" s="346">
        <f t="shared" si="306"/>
        <v>0</v>
      </c>
      <c r="BJ109" s="346">
        <f t="shared" si="307"/>
        <v>0</v>
      </c>
      <c r="BK109" s="347">
        <f t="shared" si="308"/>
        <v>0</v>
      </c>
      <c r="BL109" s="346">
        <f t="shared" si="283"/>
        <v>0</v>
      </c>
      <c r="BM109" s="346">
        <f t="shared" si="284"/>
        <v>0</v>
      </c>
      <c r="BN109" s="346">
        <f t="shared" si="309"/>
        <v>0</v>
      </c>
      <c r="BO109" s="347">
        <f t="shared" si="285"/>
        <v>0</v>
      </c>
      <c r="BP109" s="348">
        <v>1.2999999999999977E-2</v>
      </c>
      <c r="BQ109" s="349">
        <f t="shared" ca="1" si="286"/>
        <v>0</v>
      </c>
      <c r="BS109" s="346">
        <f t="shared" si="287"/>
        <v>0</v>
      </c>
      <c r="BT109" s="346">
        <f t="shared" si="288"/>
        <v>0</v>
      </c>
      <c r="BU109" s="346">
        <f t="shared" si="289"/>
        <v>0</v>
      </c>
      <c r="BV109" s="346">
        <f t="shared" si="290"/>
        <v>0</v>
      </c>
      <c r="BW109" s="346">
        <f t="shared" si="291"/>
        <v>0</v>
      </c>
      <c r="BX109" s="346">
        <f t="shared" si="292"/>
        <v>0</v>
      </c>
      <c r="BZ109" s="346">
        <f t="shared" si="293"/>
        <v>0</v>
      </c>
      <c r="CA109" s="346">
        <f t="shared" si="294"/>
        <v>0</v>
      </c>
      <c r="CB109" s="346">
        <f t="shared" si="295"/>
        <v>0</v>
      </c>
      <c r="CC109" s="346">
        <f t="shared" si="296"/>
        <v>0</v>
      </c>
      <c r="CD109" s="346">
        <f t="shared" si="297"/>
        <v>0</v>
      </c>
      <c r="CE109" s="346">
        <f t="shared" si="298"/>
        <v>0</v>
      </c>
      <c r="CH109" s="350"/>
      <c r="CI109" s="350"/>
      <c r="CJ109" s="350"/>
      <c r="CK109" s="350"/>
      <c r="CL109" s="350"/>
      <c r="CM109" s="350"/>
      <c r="DG109" s="350"/>
      <c r="DH109" s="300"/>
      <c r="DI109" s="395" t="str">
        <f t="shared" ref="DI109:DI117" ca="1" si="324">DI98</f>
        <v>Bakafogó-Honvéd-Sashegy SE</v>
      </c>
      <c r="DJ109" s="360" t="str">
        <f t="shared" ref="DJ109:DJ117" ca="1" si="325">IF(OR(DI109="",DP109="",DI109=DP109),"",CONCATENATE(DI109,DP109))</f>
        <v/>
      </c>
      <c r="DK109" s="360" t="str">
        <f t="shared" ca="1" si="311"/>
        <v/>
      </c>
      <c r="DL109" s="354" t="str">
        <f t="shared" ca="1" si="312"/>
        <v/>
      </c>
      <c r="DM109" s="354" t="str">
        <f t="shared" ca="1" si="313"/>
        <v/>
      </c>
      <c r="DN109" s="361" t="str">
        <f t="shared" ca="1" si="314"/>
        <v/>
      </c>
      <c r="DO109" s="362" t="str">
        <f t="shared" ca="1" si="315"/>
        <v/>
      </c>
      <c r="DP109" s="379" t="str">
        <f ca="1">DP108</f>
        <v/>
      </c>
      <c r="DQ109" s="302"/>
      <c r="DR109" s="364"/>
      <c r="DS109" s="302"/>
      <c r="DU109" s="424"/>
      <c r="DV109" s="424"/>
      <c r="DW109" s="424"/>
      <c r="DX109" s="424"/>
      <c r="DY109" s="424"/>
      <c r="DZ109" s="424"/>
      <c r="EA109" s="424"/>
      <c r="EB109" s="424"/>
      <c r="EC109" s="424"/>
      <c r="ED109" s="424"/>
      <c r="EE109" s="424"/>
      <c r="EF109" s="424"/>
      <c r="EG109" s="424"/>
      <c r="EH109" s="424"/>
      <c r="EI109" s="424"/>
      <c r="EJ109" s="424"/>
      <c r="EK109" s="424"/>
      <c r="EL109" s="424"/>
      <c r="EM109" s="424"/>
      <c r="EN109" s="424"/>
      <c r="EO109" s="424"/>
      <c r="EP109" s="424"/>
      <c r="EQ109" s="424"/>
      <c r="ER109" s="424"/>
      <c r="ES109" s="424"/>
      <c r="ET109" s="424"/>
      <c r="EU109" s="424"/>
      <c r="EV109" s="424"/>
      <c r="EW109" s="424"/>
      <c r="EX109" s="424"/>
      <c r="EY109" s="424"/>
      <c r="EZ109" s="424"/>
      <c r="FA109" s="424"/>
      <c r="FB109" s="424"/>
      <c r="FC109" s="424"/>
      <c r="FD109" s="425"/>
      <c r="FE109" s="333"/>
      <c r="FG109" s="376"/>
      <c r="FH109" s="376"/>
      <c r="FI109" s="382" t="str">
        <f t="shared" si="257"/>
        <v>rank.a</v>
      </c>
      <c r="FJ109" s="383" t="b">
        <f t="shared" ca="1" si="258"/>
        <v>0</v>
      </c>
      <c r="FK109" s="384" t="str">
        <f t="shared" ca="1" si="259"/>
        <v/>
      </c>
      <c r="FL109" s="376"/>
      <c r="FO109" s="300"/>
      <c r="FP109" s="395" t="str">
        <f t="shared" ref="FP109:FP117" ca="1" si="326">FP98</f>
        <v/>
      </c>
      <c r="FQ109" s="360" t="str">
        <f t="shared" ref="FQ109:FQ117" ca="1" si="327">IF(OR(FP109="",FZ109="",FP109=FZ109),"",CONCATENATE(FP109,FZ109))</f>
        <v/>
      </c>
      <c r="FR109" s="360" t="str">
        <f t="shared" ca="1" si="316"/>
        <v/>
      </c>
      <c r="FS109" s="360" t="str">
        <f t="shared" ca="1" si="317"/>
        <v/>
      </c>
      <c r="FT109" s="360" t="str">
        <f t="shared" ca="1" si="318"/>
        <v/>
      </c>
      <c r="FU109" s="360" t="str">
        <f t="shared" ca="1" si="319"/>
        <v/>
      </c>
      <c r="FV109" s="360" t="str">
        <f t="shared" ca="1" si="320"/>
        <v/>
      </c>
      <c r="FW109" s="360" t="str">
        <f t="shared" ca="1" si="321"/>
        <v/>
      </c>
      <c r="FX109" s="360" t="str">
        <f t="shared" ca="1" si="322"/>
        <v/>
      </c>
      <c r="FY109" s="360" t="str">
        <f t="shared" ca="1" si="323"/>
        <v/>
      </c>
      <c r="FZ109" s="379" t="str">
        <f ca="1">FZ108</f>
        <v/>
      </c>
      <c r="GA109" s="302"/>
      <c r="GB109" s="364"/>
      <c r="GC109" s="302"/>
    </row>
    <row r="110" spans="36:185" x14ac:dyDescent="0.25">
      <c r="AU110" s="349">
        <v>5</v>
      </c>
      <c r="AV110" s="430">
        <f t="shared" ca="1" si="281"/>
        <v>0</v>
      </c>
      <c r="AW110" s="349">
        <v>5</v>
      </c>
      <c r="AY110" s="431">
        <f t="shared" ca="1" si="299"/>
        <v>-999999999.98800004</v>
      </c>
      <c r="AZ110" s="377" t="str">
        <f t="shared" ca="1" si="310"/>
        <v/>
      </c>
      <c r="BA110" s="343">
        <f t="shared" ca="1" si="300"/>
        <v>-999999999.98800004</v>
      </c>
      <c r="BB110" s="349">
        <v>5</v>
      </c>
      <c r="BC110" s="378">
        <f t="shared" si="282"/>
        <v>0</v>
      </c>
      <c r="BD110" s="346">
        <f t="shared" si="301"/>
        <v>0</v>
      </c>
      <c r="BE110" s="346">
        <f t="shared" si="302"/>
        <v>0</v>
      </c>
      <c r="BF110" s="346">
        <f t="shared" si="303"/>
        <v>0</v>
      </c>
      <c r="BG110" s="346">
        <f t="shared" si="304"/>
        <v>0</v>
      </c>
      <c r="BH110" s="346">
        <f t="shared" si="305"/>
        <v>0</v>
      </c>
      <c r="BI110" s="346">
        <f t="shared" si="306"/>
        <v>0</v>
      </c>
      <c r="BJ110" s="346">
        <f t="shared" si="307"/>
        <v>0</v>
      </c>
      <c r="BK110" s="347">
        <f t="shared" si="308"/>
        <v>0</v>
      </c>
      <c r="BL110" s="346">
        <f t="shared" si="283"/>
        <v>0</v>
      </c>
      <c r="BM110" s="346">
        <f t="shared" si="284"/>
        <v>0</v>
      </c>
      <c r="BN110" s="346">
        <f t="shared" si="309"/>
        <v>0</v>
      </c>
      <c r="BO110" s="347">
        <f t="shared" si="285"/>
        <v>0</v>
      </c>
      <c r="BP110" s="348">
        <v>1.1999999999999976E-2</v>
      </c>
      <c r="BQ110" s="349">
        <f t="shared" ca="1" si="286"/>
        <v>0</v>
      </c>
      <c r="BS110" s="346">
        <f t="shared" si="287"/>
        <v>0</v>
      </c>
      <c r="BT110" s="346">
        <f t="shared" si="288"/>
        <v>0</v>
      </c>
      <c r="BU110" s="346">
        <f t="shared" si="289"/>
        <v>0</v>
      </c>
      <c r="BV110" s="346">
        <f t="shared" si="290"/>
        <v>0</v>
      </c>
      <c r="BW110" s="346">
        <f t="shared" si="291"/>
        <v>0</v>
      </c>
      <c r="BX110" s="346">
        <f t="shared" si="292"/>
        <v>0</v>
      </c>
      <c r="BZ110" s="346">
        <f t="shared" si="293"/>
        <v>0</v>
      </c>
      <c r="CA110" s="346">
        <f t="shared" si="294"/>
        <v>0</v>
      </c>
      <c r="CB110" s="346">
        <f t="shared" si="295"/>
        <v>0</v>
      </c>
      <c r="CC110" s="346">
        <f t="shared" si="296"/>
        <v>0</v>
      </c>
      <c r="CD110" s="346">
        <f t="shared" si="297"/>
        <v>0</v>
      </c>
      <c r="CE110" s="346">
        <f t="shared" si="298"/>
        <v>0</v>
      </c>
      <c r="CH110" s="350"/>
      <c r="CI110" s="350"/>
      <c r="CJ110" s="350"/>
      <c r="CK110" s="350"/>
      <c r="CL110" s="350"/>
      <c r="CM110" s="350"/>
      <c r="DG110" s="350"/>
      <c r="DH110" s="300"/>
      <c r="DI110" s="395" t="str">
        <f t="shared" ca="1" si="324"/>
        <v/>
      </c>
      <c r="DJ110" s="360" t="str">
        <f t="shared" ca="1" si="325"/>
        <v/>
      </c>
      <c r="DK110" s="360" t="str">
        <f t="shared" ca="1" si="311"/>
        <v/>
      </c>
      <c r="DL110" s="354" t="str">
        <f t="shared" ca="1" si="312"/>
        <v/>
      </c>
      <c r="DM110" s="354" t="str">
        <f t="shared" ca="1" si="313"/>
        <v/>
      </c>
      <c r="DN110" s="361" t="str">
        <f t="shared" ca="1" si="314"/>
        <v/>
      </c>
      <c r="DO110" s="362" t="str">
        <f t="shared" ca="1" si="315"/>
        <v/>
      </c>
      <c r="DP110" s="379" t="str">
        <f t="shared" ref="DP110:DP117" ca="1" si="328">DP109</f>
        <v/>
      </c>
      <c r="DQ110" s="302"/>
      <c r="DR110" s="364"/>
      <c r="DS110" s="302"/>
      <c r="DU110" s="424"/>
      <c r="DV110" s="424"/>
      <c r="DW110" s="424"/>
      <c r="DX110" s="424"/>
      <c r="DY110" s="424"/>
      <c r="DZ110" s="424"/>
      <c r="EA110" s="424"/>
      <c r="EB110" s="424"/>
      <c r="EC110" s="424"/>
      <c r="ED110" s="424"/>
      <c r="EE110" s="424"/>
      <c r="EF110" s="424"/>
      <c r="EG110" s="424"/>
      <c r="EH110" s="424"/>
      <c r="EI110" s="424"/>
      <c r="EJ110" s="424"/>
      <c r="EK110" s="424"/>
      <c r="EL110" s="424"/>
      <c r="EM110" s="424"/>
      <c r="EN110" s="424"/>
      <c r="EO110" s="424"/>
      <c r="EP110" s="424"/>
      <c r="EQ110" s="424"/>
      <c r="ER110" s="424"/>
      <c r="ES110" s="424"/>
      <c r="ET110" s="424"/>
      <c r="EU110" s="424"/>
      <c r="EV110" s="424"/>
      <c r="EW110" s="424"/>
      <c r="EX110" s="424"/>
      <c r="EY110" s="424"/>
      <c r="EZ110" s="424"/>
      <c r="FA110" s="424"/>
      <c r="FB110" s="424"/>
      <c r="FC110" s="424"/>
      <c r="FD110" s="425"/>
      <c r="FE110" s="333"/>
      <c r="FG110" s="376"/>
      <c r="FH110" s="376"/>
      <c r="FI110" s="382" t="str">
        <f t="shared" si="257"/>
        <v>rank.a</v>
      </c>
      <c r="FJ110" s="383" t="b">
        <f t="shared" ca="1" si="258"/>
        <v>0</v>
      </c>
      <c r="FK110" s="384" t="str">
        <f t="shared" ca="1" si="259"/>
        <v/>
      </c>
      <c r="FL110" s="376"/>
      <c r="FO110" s="300"/>
      <c r="FP110" s="395" t="str">
        <f t="shared" ca="1" si="326"/>
        <v/>
      </c>
      <c r="FQ110" s="360" t="str">
        <f t="shared" ca="1" si="327"/>
        <v/>
      </c>
      <c r="FR110" s="360" t="str">
        <f t="shared" ca="1" si="316"/>
        <v/>
      </c>
      <c r="FS110" s="360" t="str">
        <f t="shared" ca="1" si="317"/>
        <v/>
      </c>
      <c r="FT110" s="360" t="str">
        <f t="shared" ca="1" si="318"/>
        <v/>
      </c>
      <c r="FU110" s="360" t="str">
        <f t="shared" ca="1" si="319"/>
        <v/>
      </c>
      <c r="FV110" s="360" t="str">
        <f t="shared" ca="1" si="320"/>
        <v/>
      </c>
      <c r="FW110" s="360" t="str">
        <f t="shared" ca="1" si="321"/>
        <v/>
      </c>
      <c r="FX110" s="360" t="str">
        <f t="shared" ca="1" si="322"/>
        <v/>
      </c>
      <c r="FY110" s="360" t="str">
        <f t="shared" ca="1" si="323"/>
        <v/>
      </c>
      <c r="FZ110" s="379" t="str">
        <f t="shared" ref="FZ110:FZ117" ca="1" si="329">FZ109</f>
        <v/>
      </c>
      <c r="GA110" s="302"/>
      <c r="GB110" s="364"/>
      <c r="GC110" s="302"/>
    </row>
    <row r="111" spans="36:185" x14ac:dyDescent="0.25">
      <c r="AU111" s="349">
        <v>6</v>
      </c>
      <c r="AV111" s="430">
        <f t="shared" ca="1" si="281"/>
        <v>0</v>
      </c>
      <c r="AW111" s="349">
        <v>6</v>
      </c>
      <c r="AY111" s="431">
        <f t="shared" ca="1" si="299"/>
        <v>-999999999.98899996</v>
      </c>
      <c r="AZ111" s="377" t="str">
        <f t="shared" ca="1" si="310"/>
        <v/>
      </c>
      <c r="BA111" s="343">
        <f t="shared" ca="1" si="300"/>
        <v>-999999999.98899996</v>
      </c>
      <c r="BB111" s="349">
        <v>6</v>
      </c>
      <c r="BC111" s="378">
        <f t="shared" si="282"/>
        <v>0</v>
      </c>
      <c r="BD111" s="346">
        <f t="shared" si="301"/>
        <v>0</v>
      </c>
      <c r="BE111" s="346">
        <f t="shared" si="302"/>
        <v>0</v>
      </c>
      <c r="BF111" s="346">
        <f t="shared" si="303"/>
        <v>0</v>
      </c>
      <c r="BG111" s="346">
        <f t="shared" si="304"/>
        <v>0</v>
      </c>
      <c r="BH111" s="346">
        <f t="shared" si="305"/>
        <v>0</v>
      </c>
      <c r="BI111" s="346">
        <f t="shared" si="306"/>
        <v>0</v>
      </c>
      <c r="BJ111" s="346">
        <f t="shared" si="307"/>
        <v>0</v>
      </c>
      <c r="BK111" s="347">
        <f t="shared" si="308"/>
        <v>0</v>
      </c>
      <c r="BL111" s="346">
        <f t="shared" si="283"/>
        <v>0</v>
      </c>
      <c r="BM111" s="346">
        <f t="shared" si="284"/>
        <v>0</v>
      </c>
      <c r="BN111" s="346">
        <f t="shared" si="309"/>
        <v>0</v>
      </c>
      <c r="BO111" s="347">
        <f t="shared" si="285"/>
        <v>0</v>
      </c>
      <c r="BP111" s="348">
        <v>1.0999999999999975E-2</v>
      </c>
      <c r="BQ111" s="349">
        <f t="shared" ca="1" si="286"/>
        <v>0</v>
      </c>
      <c r="BS111" s="346">
        <f t="shared" si="287"/>
        <v>0</v>
      </c>
      <c r="BT111" s="346">
        <f t="shared" si="288"/>
        <v>0</v>
      </c>
      <c r="BU111" s="346">
        <f t="shared" si="289"/>
        <v>0</v>
      </c>
      <c r="BV111" s="346">
        <f t="shared" si="290"/>
        <v>0</v>
      </c>
      <c r="BW111" s="346">
        <f t="shared" si="291"/>
        <v>0</v>
      </c>
      <c r="BX111" s="346">
        <f t="shared" si="292"/>
        <v>0</v>
      </c>
      <c r="BZ111" s="346">
        <f t="shared" si="293"/>
        <v>0</v>
      </c>
      <c r="CA111" s="346">
        <f t="shared" si="294"/>
        <v>0</v>
      </c>
      <c r="CB111" s="346">
        <f t="shared" si="295"/>
        <v>0</v>
      </c>
      <c r="CC111" s="346">
        <f t="shared" si="296"/>
        <v>0</v>
      </c>
      <c r="CD111" s="346">
        <f t="shared" si="297"/>
        <v>0</v>
      </c>
      <c r="CE111" s="346">
        <f t="shared" si="298"/>
        <v>0</v>
      </c>
      <c r="CH111" s="350"/>
      <c r="CI111" s="350"/>
      <c r="CJ111" s="350"/>
      <c r="CK111" s="350"/>
      <c r="CL111" s="350"/>
      <c r="CM111" s="350"/>
      <c r="DG111" s="350"/>
      <c r="DH111" s="300"/>
      <c r="DI111" s="395" t="str">
        <f t="shared" ca="1" si="324"/>
        <v/>
      </c>
      <c r="DJ111" s="360" t="str">
        <f t="shared" ca="1" si="325"/>
        <v/>
      </c>
      <c r="DK111" s="360" t="str">
        <f t="shared" ca="1" si="311"/>
        <v/>
      </c>
      <c r="DL111" s="354" t="str">
        <f t="shared" ca="1" si="312"/>
        <v/>
      </c>
      <c r="DM111" s="354" t="str">
        <f t="shared" ca="1" si="313"/>
        <v/>
      </c>
      <c r="DN111" s="361" t="str">
        <f t="shared" ca="1" si="314"/>
        <v/>
      </c>
      <c r="DO111" s="362" t="str">
        <f t="shared" ca="1" si="315"/>
        <v/>
      </c>
      <c r="DP111" s="379" t="str">
        <f t="shared" ca="1" si="328"/>
        <v/>
      </c>
      <c r="DQ111" s="302"/>
      <c r="DR111" s="364"/>
      <c r="DS111" s="302"/>
      <c r="DU111" s="398"/>
      <c r="DV111" s="398"/>
      <c r="DW111" s="398"/>
      <c r="DX111" s="398"/>
      <c r="DY111" s="398"/>
      <c r="DZ111" s="398"/>
      <c r="EA111" s="398"/>
      <c r="EB111" s="398"/>
      <c r="EC111" s="398"/>
      <c r="ED111" s="398"/>
      <c r="EE111" s="398"/>
      <c r="EF111" s="398"/>
      <c r="EG111" s="398"/>
      <c r="EH111" s="398"/>
      <c r="EI111" s="398"/>
      <c r="EJ111" s="398"/>
      <c r="EK111" s="398"/>
      <c r="EL111" s="398"/>
      <c r="EM111" s="398"/>
      <c r="EN111" s="398"/>
      <c r="EO111" s="398"/>
      <c r="EP111" s="398"/>
      <c r="EQ111" s="398"/>
      <c r="ER111" s="398"/>
      <c r="ES111" s="398"/>
      <c r="ET111" s="398"/>
      <c r="EU111" s="398"/>
      <c r="EV111" s="398"/>
      <c r="EW111" s="398"/>
      <c r="EX111" s="398"/>
      <c r="EY111" s="398"/>
      <c r="EZ111" s="398"/>
      <c r="FA111" s="398"/>
      <c r="FB111" s="398"/>
      <c r="FC111" s="398"/>
      <c r="FD111" s="436"/>
      <c r="FE111" s="437"/>
      <c r="FG111" s="376"/>
      <c r="FH111" s="376"/>
      <c r="FI111" s="382" t="str">
        <f t="shared" si="257"/>
        <v>rank.a</v>
      </c>
      <c r="FJ111" s="383" t="b">
        <f t="shared" ca="1" si="258"/>
        <v>0</v>
      </c>
      <c r="FK111" s="384" t="str">
        <f t="shared" ca="1" si="259"/>
        <v/>
      </c>
      <c r="FL111" s="376"/>
      <c r="FO111" s="300"/>
      <c r="FP111" s="395" t="str">
        <f t="shared" ca="1" si="326"/>
        <v/>
      </c>
      <c r="FQ111" s="360" t="str">
        <f t="shared" ca="1" si="327"/>
        <v/>
      </c>
      <c r="FR111" s="360" t="str">
        <f t="shared" ca="1" si="316"/>
        <v/>
      </c>
      <c r="FS111" s="360" t="str">
        <f t="shared" ca="1" si="317"/>
        <v/>
      </c>
      <c r="FT111" s="360" t="str">
        <f t="shared" ca="1" si="318"/>
        <v/>
      </c>
      <c r="FU111" s="360" t="str">
        <f t="shared" ca="1" si="319"/>
        <v/>
      </c>
      <c r="FV111" s="360" t="str">
        <f t="shared" ca="1" si="320"/>
        <v/>
      </c>
      <c r="FW111" s="360" t="str">
        <f t="shared" ca="1" si="321"/>
        <v/>
      </c>
      <c r="FX111" s="360" t="str">
        <f t="shared" ca="1" si="322"/>
        <v/>
      </c>
      <c r="FY111" s="360" t="str">
        <f t="shared" ca="1" si="323"/>
        <v/>
      </c>
      <c r="FZ111" s="379" t="str">
        <f t="shared" ca="1" si="329"/>
        <v/>
      </c>
      <c r="GA111" s="302"/>
      <c r="GB111" s="364"/>
      <c r="GC111" s="302"/>
    </row>
    <row r="112" spans="36:185" x14ac:dyDescent="0.25">
      <c r="AU112" s="349">
        <v>7</v>
      </c>
      <c r="AV112" s="430">
        <f t="shared" ca="1" si="281"/>
        <v>0</v>
      </c>
      <c r="AW112" s="349">
        <v>7</v>
      </c>
      <c r="AY112" s="431">
        <f t="shared" ca="1" si="299"/>
        <v>-999999999.99000001</v>
      </c>
      <c r="AZ112" s="377" t="str">
        <f t="shared" ca="1" si="310"/>
        <v/>
      </c>
      <c r="BA112" s="343">
        <f t="shared" ca="1" si="300"/>
        <v>-999999999.99000001</v>
      </c>
      <c r="BB112" s="349">
        <v>7</v>
      </c>
      <c r="BC112" s="378">
        <f t="shared" si="282"/>
        <v>0</v>
      </c>
      <c r="BD112" s="346">
        <f t="shared" si="301"/>
        <v>0</v>
      </c>
      <c r="BE112" s="346">
        <f t="shared" si="302"/>
        <v>0</v>
      </c>
      <c r="BF112" s="346">
        <f t="shared" si="303"/>
        <v>0</v>
      </c>
      <c r="BG112" s="346">
        <f t="shared" si="304"/>
        <v>0</v>
      </c>
      <c r="BH112" s="346">
        <f t="shared" si="305"/>
        <v>0</v>
      </c>
      <c r="BI112" s="346">
        <f t="shared" si="306"/>
        <v>0</v>
      </c>
      <c r="BJ112" s="346">
        <f t="shared" si="307"/>
        <v>0</v>
      </c>
      <c r="BK112" s="347">
        <f t="shared" si="308"/>
        <v>0</v>
      </c>
      <c r="BL112" s="346">
        <f t="shared" si="283"/>
        <v>0</v>
      </c>
      <c r="BM112" s="346">
        <f t="shared" si="284"/>
        <v>0</v>
      </c>
      <c r="BN112" s="346">
        <f t="shared" si="309"/>
        <v>0</v>
      </c>
      <c r="BO112" s="347">
        <f t="shared" si="285"/>
        <v>0</v>
      </c>
      <c r="BP112" s="348">
        <v>9.9999999999999742E-3</v>
      </c>
      <c r="BQ112" s="349">
        <f t="shared" ca="1" si="286"/>
        <v>0</v>
      </c>
      <c r="BS112" s="346">
        <f t="shared" si="287"/>
        <v>0</v>
      </c>
      <c r="BT112" s="346">
        <f t="shared" si="288"/>
        <v>0</v>
      </c>
      <c r="BU112" s="346">
        <f t="shared" si="289"/>
        <v>0</v>
      </c>
      <c r="BV112" s="346">
        <f t="shared" si="290"/>
        <v>0</v>
      </c>
      <c r="BW112" s="346">
        <f t="shared" si="291"/>
        <v>0</v>
      </c>
      <c r="BX112" s="346">
        <f t="shared" si="292"/>
        <v>0</v>
      </c>
      <c r="BZ112" s="346">
        <f t="shared" si="293"/>
        <v>0</v>
      </c>
      <c r="CA112" s="346">
        <f t="shared" si="294"/>
        <v>0</v>
      </c>
      <c r="CB112" s="346">
        <f t="shared" si="295"/>
        <v>0</v>
      </c>
      <c r="CC112" s="346">
        <f t="shared" si="296"/>
        <v>0</v>
      </c>
      <c r="CD112" s="346">
        <f t="shared" si="297"/>
        <v>0</v>
      </c>
      <c r="CE112" s="346">
        <f t="shared" si="298"/>
        <v>0</v>
      </c>
      <c r="CH112" s="350"/>
      <c r="CI112" s="350"/>
      <c r="CJ112" s="350"/>
      <c r="CK112" s="350"/>
      <c r="CL112" s="350"/>
      <c r="CM112" s="350"/>
      <c r="DG112" s="350"/>
      <c r="DH112" s="300"/>
      <c r="DI112" s="395" t="str">
        <f t="shared" ca="1" si="324"/>
        <v/>
      </c>
      <c r="DJ112" s="360" t="str">
        <f t="shared" ca="1" si="325"/>
        <v/>
      </c>
      <c r="DK112" s="360" t="str">
        <f t="shared" ca="1" si="311"/>
        <v/>
      </c>
      <c r="DL112" s="354" t="str">
        <f t="shared" ca="1" si="312"/>
        <v/>
      </c>
      <c r="DM112" s="354" t="str">
        <f t="shared" ca="1" si="313"/>
        <v/>
      </c>
      <c r="DN112" s="361" t="str">
        <f t="shared" ca="1" si="314"/>
        <v/>
      </c>
      <c r="DO112" s="362" t="str">
        <f t="shared" ca="1" si="315"/>
        <v/>
      </c>
      <c r="DP112" s="379" t="str">
        <f t="shared" ca="1" si="328"/>
        <v/>
      </c>
      <c r="DQ112" s="302"/>
      <c r="DR112" s="364"/>
      <c r="DS112" s="302"/>
      <c r="DU112" s="398"/>
      <c r="DV112" s="398"/>
      <c r="DW112" s="398"/>
      <c r="DX112" s="398"/>
      <c r="DY112" s="398"/>
      <c r="DZ112" s="398"/>
      <c r="EA112" s="398"/>
      <c r="EB112" s="398"/>
      <c r="EC112" s="398"/>
      <c r="ED112" s="398"/>
      <c r="EE112" s="398"/>
      <c r="EF112" s="398"/>
      <c r="EG112" s="398"/>
      <c r="EH112" s="398"/>
      <c r="EI112" s="398"/>
      <c r="EJ112" s="398"/>
      <c r="EK112" s="398"/>
      <c r="EL112" s="398"/>
      <c r="EM112" s="398"/>
      <c r="EN112" s="398"/>
      <c r="EO112" s="398"/>
      <c r="EP112" s="398"/>
      <c r="EQ112" s="398"/>
      <c r="ER112" s="398"/>
      <c r="ES112" s="398"/>
      <c r="ET112" s="398"/>
      <c r="EU112" s="398"/>
      <c r="EV112" s="398"/>
      <c r="EW112" s="398"/>
      <c r="EX112" s="398"/>
      <c r="EY112" s="398"/>
      <c r="EZ112" s="398"/>
      <c r="FA112" s="398"/>
      <c r="FB112" s="398"/>
      <c r="FC112" s="398"/>
      <c r="FD112" s="436"/>
      <c r="FE112" s="437"/>
      <c r="FG112" s="376"/>
      <c r="FH112" s="376"/>
      <c r="FI112" s="382" t="str">
        <f t="shared" si="257"/>
        <v>rank.a</v>
      </c>
      <c r="FJ112" s="383" t="b">
        <f t="shared" ca="1" si="258"/>
        <v>0</v>
      </c>
      <c r="FK112" s="384" t="str">
        <f t="shared" ca="1" si="259"/>
        <v/>
      </c>
      <c r="FL112" s="376"/>
      <c r="FO112" s="300"/>
      <c r="FP112" s="395" t="str">
        <f t="shared" ca="1" si="326"/>
        <v/>
      </c>
      <c r="FQ112" s="360" t="str">
        <f t="shared" ca="1" si="327"/>
        <v/>
      </c>
      <c r="FR112" s="360" t="str">
        <f t="shared" ca="1" si="316"/>
        <v/>
      </c>
      <c r="FS112" s="360" t="str">
        <f t="shared" ca="1" si="317"/>
        <v/>
      </c>
      <c r="FT112" s="360" t="str">
        <f t="shared" ca="1" si="318"/>
        <v/>
      </c>
      <c r="FU112" s="360" t="str">
        <f t="shared" ca="1" si="319"/>
        <v/>
      </c>
      <c r="FV112" s="360" t="str">
        <f t="shared" ca="1" si="320"/>
        <v/>
      </c>
      <c r="FW112" s="360" t="str">
        <f t="shared" ca="1" si="321"/>
        <v/>
      </c>
      <c r="FX112" s="360" t="str">
        <f t="shared" ca="1" si="322"/>
        <v/>
      </c>
      <c r="FY112" s="360" t="str">
        <f t="shared" ca="1" si="323"/>
        <v/>
      </c>
      <c r="FZ112" s="379" t="str">
        <f t="shared" ca="1" si="329"/>
        <v/>
      </c>
      <c r="GA112" s="302"/>
      <c r="GB112" s="364"/>
      <c r="GC112" s="302"/>
    </row>
    <row r="113" spans="47:185" x14ac:dyDescent="0.25">
      <c r="AU113" s="349">
        <v>8</v>
      </c>
      <c r="AV113" s="430">
        <f t="shared" ca="1" si="281"/>
        <v>0</v>
      </c>
      <c r="AW113" s="349">
        <v>8</v>
      </c>
      <c r="AY113" s="431">
        <f t="shared" ca="1" si="299"/>
        <v>-999999999.99100006</v>
      </c>
      <c r="AZ113" s="377" t="str">
        <f t="shared" ca="1" si="310"/>
        <v/>
      </c>
      <c r="BA113" s="343">
        <f t="shared" ca="1" si="300"/>
        <v>-999999999.99100006</v>
      </c>
      <c r="BB113" s="349">
        <v>8</v>
      </c>
      <c r="BC113" s="378">
        <f t="shared" si="282"/>
        <v>0</v>
      </c>
      <c r="BD113" s="346">
        <f t="shared" si="301"/>
        <v>0</v>
      </c>
      <c r="BE113" s="346">
        <f t="shared" si="302"/>
        <v>0</v>
      </c>
      <c r="BF113" s="346">
        <f t="shared" si="303"/>
        <v>0</v>
      </c>
      <c r="BG113" s="346">
        <f t="shared" si="304"/>
        <v>0</v>
      </c>
      <c r="BH113" s="346">
        <f t="shared" si="305"/>
        <v>0</v>
      </c>
      <c r="BI113" s="346">
        <f t="shared" si="306"/>
        <v>0</v>
      </c>
      <c r="BJ113" s="346">
        <f t="shared" si="307"/>
        <v>0</v>
      </c>
      <c r="BK113" s="347">
        <f t="shared" si="308"/>
        <v>0</v>
      </c>
      <c r="BL113" s="346">
        <f t="shared" si="283"/>
        <v>0</v>
      </c>
      <c r="BM113" s="346">
        <f t="shared" si="284"/>
        <v>0</v>
      </c>
      <c r="BN113" s="346">
        <f t="shared" si="309"/>
        <v>0</v>
      </c>
      <c r="BO113" s="347">
        <f t="shared" si="285"/>
        <v>0</v>
      </c>
      <c r="BP113" s="348">
        <v>8.9999999999999733E-3</v>
      </c>
      <c r="BQ113" s="349">
        <f t="shared" ca="1" si="286"/>
        <v>0</v>
      </c>
      <c r="BS113" s="346">
        <f t="shared" si="287"/>
        <v>0</v>
      </c>
      <c r="BT113" s="346">
        <f t="shared" si="288"/>
        <v>0</v>
      </c>
      <c r="BU113" s="346">
        <f t="shared" si="289"/>
        <v>0</v>
      </c>
      <c r="BV113" s="346">
        <f t="shared" si="290"/>
        <v>0</v>
      </c>
      <c r="BW113" s="346">
        <f t="shared" si="291"/>
        <v>0</v>
      </c>
      <c r="BX113" s="346">
        <f t="shared" si="292"/>
        <v>0</v>
      </c>
      <c r="BZ113" s="346">
        <f t="shared" si="293"/>
        <v>0</v>
      </c>
      <c r="CA113" s="346">
        <f t="shared" si="294"/>
        <v>0</v>
      </c>
      <c r="CB113" s="346">
        <f t="shared" si="295"/>
        <v>0</v>
      </c>
      <c r="CC113" s="346">
        <f t="shared" si="296"/>
        <v>0</v>
      </c>
      <c r="CD113" s="346">
        <f t="shared" si="297"/>
        <v>0</v>
      </c>
      <c r="CE113" s="346">
        <f t="shared" si="298"/>
        <v>0</v>
      </c>
      <c r="CH113" s="350"/>
      <c r="CI113" s="350"/>
      <c r="CJ113" s="350"/>
      <c r="CK113" s="350"/>
      <c r="CL113" s="350"/>
      <c r="CM113" s="350"/>
      <c r="DG113" s="350"/>
      <c r="DH113" s="300"/>
      <c r="DI113" s="395" t="str">
        <f t="shared" ca="1" si="324"/>
        <v/>
      </c>
      <c r="DJ113" s="360" t="str">
        <f t="shared" ca="1" si="325"/>
        <v/>
      </c>
      <c r="DK113" s="360" t="str">
        <f t="shared" ca="1" si="311"/>
        <v/>
      </c>
      <c r="DL113" s="354" t="str">
        <f t="shared" ca="1" si="312"/>
        <v/>
      </c>
      <c r="DM113" s="354" t="str">
        <f t="shared" ca="1" si="313"/>
        <v/>
      </c>
      <c r="DN113" s="361" t="str">
        <f t="shared" ca="1" si="314"/>
        <v/>
      </c>
      <c r="DO113" s="362" t="str">
        <f t="shared" ca="1" si="315"/>
        <v/>
      </c>
      <c r="DP113" s="379" t="str">
        <f t="shared" ca="1" si="328"/>
        <v/>
      </c>
      <c r="DQ113" s="302"/>
      <c r="DR113" s="364"/>
      <c r="DS113" s="302"/>
      <c r="DU113" s="398"/>
      <c r="DV113" s="398"/>
      <c r="DW113" s="398"/>
      <c r="DX113" s="398"/>
      <c r="DY113" s="398"/>
      <c r="DZ113" s="398"/>
      <c r="EA113" s="398"/>
      <c r="EB113" s="398"/>
      <c r="EC113" s="398"/>
      <c r="ED113" s="398"/>
      <c r="EE113" s="398"/>
      <c r="EF113" s="398"/>
      <c r="EG113" s="398"/>
      <c r="EH113" s="398"/>
      <c r="EI113" s="398"/>
      <c r="EJ113" s="398"/>
      <c r="EK113" s="398"/>
      <c r="EL113" s="398"/>
      <c r="EM113" s="398"/>
      <c r="EN113" s="398"/>
      <c r="EO113" s="398"/>
      <c r="EP113" s="398"/>
      <c r="EQ113" s="398"/>
      <c r="ER113" s="398"/>
      <c r="ES113" s="398"/>
      <c r="ET113" s="398"/>
      <c r="EU113" s="398"/>
      <c r="EV113" s="398"/>
      <c r="EW113" s="398"/>
      <c r="EX113" s="398"/>
      <c r="EY113" s="398"/>
      <c r="EZ113" s="398"/>
      <c r="FA113" s="398"/>
      <c r="FB113" s="398"/>
      <c r="FC113" s="398"/>
      <c r="FD113" s="436"/>
      <c r="FE113" s="437"/>
      <c r="FG113" s="376"/>
      <c r="FH113" s="376"/>
      <c r="FI113" s="382" t="str">
        <f t="shared" si="257"/>
        <v>rank.a</v>
      </c>
      <c r="FJ113" s="383" t="b">
        <f t="shared" ca="1" si="258"/>
        <v>0</v>
      </c>
      <c r="FK113" s="384" t="str">
        <f t="shared" ca="1" si="259"/>
        <v/>
      </c>
      <c r="FL113" s="376"/>
      <c r="FO113" s="300"/>
      <c r="FP113" s="395" t="str">
        <f t="shared" ca="1" si="326"/>
        <v/>
      </c>
      <c r="FQ113" s="360" t="str">
        <f t="shared" ca="1" si="327"/>
        <v/>
      </c>
      <c r="FR113" s="360" t="str">
        <f t="shared" ca="1" si="316"/>
        <v/>
      </c>
      <c r="FS113" s="360" t="str">
        <f t="shared" ca="1" si="317"/>
        <v/>
      </c>
      <c r="FT113" s="360" t="str">
        <f t="shared" ca="1" si="318"/>
        <v/>
      </c>
      <c r="FU113" s="360" t="str">
        <f t="shared" ca="1" si="319"/>
        <v/>
      </c>
      <c r="FV113" s="360" t="str">
        <f t="shared" ca="1" si="320"/>
        <v/>
      </c>
      <c r="FW113" s="360" t="str">
        <f t="shared" ca="1" si="321"/>
        <v/>
      </c>
      <c r="FX113" s="360" t="str">
        <f t="shared" ca="1" si="322"/>
        <v/>
      </c>
      <c r="FY113" s="360" t="str">
        <f t="shared" ca="1" si="323"/>
        <v/>
      </c>
      <c r="FZ113" s="379" t="str">
        <f t="shared" ca="1" si="329"/>
        <v/>
      </c>
      <c r="GA113" s="302"/>
      <c r="GB113" s="364"/>
      <c r="GC113" s="302"/>
    </row>
    <row r="114" spans="47:185" x14ac:dyDescent="0.25">
      <c r="AU114" s="349">
        <v>9</v>
      </c>
      <c r="AV114" s="430">
        <f t="shared" ca="1" si="281"/>
        <v>0</v>
      </c>
      <c r="AW114" s="349">
        <v>9</v>
      </c>
      <c r="AY114" s="431">
        <f t="shared" ca="1" si="299"/>
        <v>-999999999.99199998</v>
      </c>
      <c r="AZ114" s="377" t="str">
        <f t="shared" ca="1" si="310"/>
        <v/>
      </c>
      <c r="BA114" s="343">
        <f t="shared" ca="1" si="300"/>
        <v>-999999999.99199998</v>
      </c>
      <c r="BB114" s="349">
        <v>9</v>
      </c>
      <c r="BC114" s="378">
        <f t="shared" si="282"/>
        <v>0</v>
      </c>
      <c r="BD114" s="346">
        <f t="shared" si="301"/>
        <v>0</v>
      </c>
      <c r="BE114" s="346">
        <f t="shared" si="302"/>
        <v>0</v>
      </c>
      <c r="BF114" s="346">
        <f t="shared" si="303"/>
        <v>0</v>
      </c>
      <c r="BG114" s="346">
        <f t="shared" si="304"/>
        <v>0</v>
      </c>
      <c r="BH114" s="346">
        <f t="shared" si="305"/>
        <v>0</v>
      </c>
      <c r="BI114" s="346">
        <f t="shared" si="306"/>
        <v>0</v>
      </c>
      <c r="BJ114" s="346">
        <f t="shared" si="307"/>
        <v>0</v>
      </c>
      <c r="BK114" s="347">
        <f t="shared" si="308"/>
        <v>0</v>
      </c>
      <c r="BL114" s="346">
        <f t="shared" si="283"/>
        <v>0</v>
      </c>
      <c r="BM114" s="346">
        <f t="shared" si="284"/>
        <v>0</v>
      </c>
      <c r="BN114" s="346">
        <f t="shared" si="309"/>
        <v>0</v>
      </c>
      <c r="BO114" s="347">
        <f t="shared" si="285"/>
        <v>0</v>
      </c>
      <c r="BP114" s="348">
        <v>7.9999999999999724E-3</v>
      </c>
      <c r="BQ114" s="349">
        <f t="shared" ca="1" si="286"/>
        <v>0</v>
      </c>
      <c r="BS114" s="346">
        <f t="shared" si="287"/>
        <v>0</v>
      </c>
      <c r="BT114" s="346">
        <f t="shared" si="288"/>
        <v>0</v>
      </c>
      <c r="BU114" s="346">
        <f t="shared" si="289"/>
        <v>0</v>
      </c>
      <c r="BV114" s="346">
        <f t="shared" si="290"/>
        <v>0</v>
      </c>
      <c r="BW114" s="346">
        <f t="shared" si="291"/>
        <v>0</v>
      </c>
      <c r="BX114" s="346">
        <f t="shared" si="292"/>
        <v>0</v>
      </c>
      <c r="BZ114" s="346">
        <f t="shared" si="293"/>
        <v>0</v>
      </c>
      <c r="CA114" s="346">
        <f t="shared" si="294"/>
        <v>0</v>
      </c>
      <c r="CB114" s="346">
        <f t="shared" si="295"/>
        <v>0</v>
      </c>
      <c r="CC114" s="346">
        <f t="shared" si="296"/>
        <v>0</v>
      </c>
      <c r="CD114" s="346">
        <f t="shared" si="297"/>
        <v>0</v>
      </c>
      <c r="CE114" s="346">
        <f t="shared" si="298"/>
        <v>0</v>
      </c>
      <c r="CH114" s="350"/>
      <c r="CI114" s="350"/>
      <c r="CJ114" s="350"/>
      <c r="CK114" s="350"/>
      <c r="CL114" s="350"/>
      <c r="CM114" s="350"/>
      <c r="DG114" s="350"/>
      <c r="DH114" s="300"/>
      <c r="DI114" s="395" t="str">
        <f t="shared" ca="1" si="324"/>
        <v/>
      </c>
      <c r="DJ114" s="360" t="str">
        <f t="shared" ca="1" si="325"/>
        <v/>
      </c>
      <c r="DK114" s="360" t="str">
        <f t="shared" ca="1" si="311"/>
        <v/>
      </c>
      <c r="DL114" s="354" t="str">
        <f t="shared" ca="1" si="312"/>
        <v/>
      </c>
      <c r="DM114" s="354" t="str">
        <f t="shared" ca="1" si="313"/>
        <v/>
      </c>
      <c r="DN114" s="361" t="str">
        <f t="shared" ca="1" si="314"/>
        <v/>
      </c>
      <c r="DO114" s="362" t="str">
        <f t="shared" ca="1" si="315"/>
        <v/>
      </c>
      <c r="DP114" s="379" t="str">
        <f t="shared" ca="1" si="328"/>
        <v/>
      </c>
      <c r="DQ114" s="302"/>
      <c r="DR114" s="364"/>
      <c r="DS114" s="302"/>
      <c r="DU114" s="398"/>
      <c r="DV114" s="398"/>
      <c r="DW114" s="398"/>
      <c r="DX114" s="398"/>
      <c r="DY114" s="398"/>
      <c r="DZ114" s="398"/>
      <c r="EA114" s="398"/>
      <c r="EB114" s="398"/>
      <c r="EC114" s="398"/>
      <c r="ED114" s="398"/>
      <c r="EE114" s="398"/>
      <c r="EF114" s="398"/>
      <c r="EG114" s="398"/>
      <c r="EH114" s="398"/>
      <c r="EI114" s="398"/>
      <c r="EJ114" s="398"/>
      <c r="EK114" s="398"/>
      <c r="EL114" s="398"/>
      <c r="EM114" s="398"/>
      <c r="EN114" s="398"/>
      <c r="EO114" s="398"/>
      <c r="EP114" s="398"/>
      <c r="EQ114" s="398"/>
      <c r="ER114" s="398"/>
      <c r="ES114" s="398"/>
      <c r="ET114" s="398"/>
      <c r="EU114" s="398"/>
      <c r="EV114" s="398"/>
      <c r="EW114" s="398"/>
      <c r="EX114" s="398"/>
      <c r="EY114" s="398"/>
      <c r="EZ114" s="398"/>
      <c r="FA114" s="398"/>
      <c r="FB114" s="398"/>
      <c r="FC114" s="398"/>
      <c r="FD114" s="436"/>
      <c r="FE114" s="437"/>
      <c r="FG114" s="376"/>
      <c r="FH114" s="376"/>
      <c r="FI114" s="382" t="str">
        <f t="shared" si="257"/>
        <v>rank.a</v>
      </c>
      <c r="FJ114" s="383" t="b">
        <f t="shared" ca="1" si="258"/>
        <v>0</v>
      </c>
      <c r="FK114" s="384" t="str">
        <f t="shared" ca="1" si="259"/>
        <v/>
      </c>
      <c r="FL114" s="376"/>
      <c r="FO114" s="300"/>
      <c r="FP114" s="395" t="str">
        <f t="shared" ca="1" si="326"/>
        <v/>
      </c>
      <c r="FQ114" s="360" t="str">
        <f t="shared" ca="1" si="327"/>
        <v/>
      </c>
      <c r="FR114" s="360" t="str">
        <f t="shared" ca="1" si="316"/>
        <v/>
      </c>
      <c r="FS114" s="360" t="str">
        <f t="shared" ca="1" si="317"/>
        <v/>
      </c>
      <c r="FT114" s="360" t="str">
        <f t="shared" ca="1" si="318"/>
        <v/>
      </c>
      <c r="FU114" s="360" t="str">
        <f t="shared" ca="1" si="319"/>
        <v/>
      </c>
      <c r="FV114" s="360" t="str">
        <f t="shared" ca="1" si="320"/>
        <v/>
      </c>
      <c r="FW114" s="360" t="str">
        <f t="shared" ca="1" si="321"/>
        <v/>
      </c>
      <c r="FX114" s="360" t="str">
        <f t="shared" ca="1" si="322"/>
        <v/>
      </c>
      <c r="FY114" s="360" t="str">
        <f t="shared" ca="1" si="323"/>
        <v/>
      </c>
      <c r="FZ114" s="379" t="str">
        <f t="shared" ca="1" si="329"/>
        <v/>
      </c>
      <c r="GA114" s="302"/>
      <c r="GB114" s="364"/>
      <c r="GC114" s="302"/>
    </row>
    <row r="115" spans="47:185" x14ac:dyDescent="0.25">
      <c r="AU115" s="349">
        <v>10</v>
      </c>
      <c r="AV115" s="430">
        <f t="shared" ca="1" si="281"/>
        <v>0</v>
      </c>
      <c r="AW115" s="349">
        <v>10</v>
      </c>
      <c r="AY115" s="431">
        <f t="shared" ca="1" si="299"/>
        <v>-999999999.99300003</v>
      </c>
      <c r="AZ115" s="377" t="str">
        <f t="shared" ca="1" si="310"/>
        <v/>
      </c>
      <c r="BA115" s="343">
        <f t="shared" ca="1" si="300"/>
        <v>-999999999.99300003</v>
      </c>
      <c r="BB115" s="349">
        <v>10</v>
      </c>
      <c r="BC115" s="378">
        <f t="shared" si="282"/>
        <v>0</v>
      </c>
      <c r="BD115" s="346">
        <f t="shared" si="301"/>
        <v>0</v>
      </c>
      <c r="BE115" s="346">
        <f t="shared" si="302"/>
        <v>0</v>
      </c>
      <c r="BF115" s="346">
        <f t="shared" si="303"/>
        <v>0</v>
      </c>
      <c r="BG115" s="346">
        <f t="shared" si="304"/>
        <v>0</v>
      </c>
      <c r="BH115" s="346">
        <f t="shared" si="305"/>
        <v>0</v>
      </c>
      <c r="BI115" s="346">
        <f t="shared" si="306"/>
        <v>0</v>
      </c>
      <c r="BJ115" s="346">
        <f t="shared" si="307"/>
        <v>0</v>
      </c>
      <c r="BK115" s="347">
        <f t="shared" si="308"/>
        <v>0</v>
      </c>
      <c r="BL115" s="346">
        <f t="shared" si="283"/>
        <v>0</v>
      </c>
      <c r="BM115" s="346">
        <f t="shared" si="284"/>
        <v>0</v>
      </c>
      <c r="BN115" s="346">
        <f t="shared" si="309"/>
        <v>0</v>
      </c>
      <c r="BO115" s="347">
        <f t="shared" si="285"/>
        <v>0</v>
      </c>
      <c r="BP115" s="348">
        <v>6.9999999999999724E-3</v>
      </c>
      <c r="BQ115" s="349">
        <f t="shared" ca="1" si="286"/>
        <v>0</v>
      </c>
      <c r="BS115" s="346">
        <f t="shared" si="287"/>
        <v>0</v>
      </c>
      <c r="BT115" s="346">
        <f t="shared" si="288"/>
        <v>0</v>
      </c>
      <c r="BU115" s="346">
        <f t="shared" si="289"/>
        <v>0</v>
      </c>
      <c r="BV115" s="346">
        <f t="shared" si="290"/>
        <v>0</v>
      </c>
      <c r="BW115" s="346">
        <f t="shared" si="291"/>
        <v>0</v>
      </c>
      <c r="BX115" s="346">
        <f t="shared" si="292"/>
        <v>0</v>
      </c>
      <c r="BZ115" s="346">
        <f t="shared" si="293"/>
        <v>0</v>
      </c>
      <c r="CA115" s="346">
        <f t="shared" si="294"/>
        <v>0</v>
      </c>
      <c r="CB115" s="346">
        <f t="shared" si="295"/>
        <v>0</v>
      </c>
      <c r="CC115" s="346">
        <f t="shared" si="296"/>
        <v>0</v>
      </c>
      <c r="CD115" s="346">
        <f t="shared" si="297"/>
        <v>0</v>
      </c>
      <c r="CE115" s="346">
        <f t="shared" si="298"/>
        <v>0</v>
      </c>
      <c r="CH115" s="350"/>
      <c r="CI115" s="350"/>
      <c r="CJ115" s="350"/>
      <c r="CK115" s="350"/>
      <c r="CL115" s="350"/>
      <c r="CM115" s="350"/>
      <c r="DG115" s="350"/>
      <c r="DH115" s="300"/>
      <c r="DI115" s="395" t="str">
        <f t="shared" ca="1" si="324"/>
        <v/>
      </c>
      <c r="DJ115" s="360" t="str">
        <f t="shared" ca="1" si="325"/>
        <v/>
      </c>
      <c r="DK115" s="360" t="str">
        <f t="shared" ca="1" si="311"/>
        <v/>
      </c>
      <c r="DL115" s="354" t="str">
        <f t="shared" ca="1" si="312"/>
        <v/>
      </c>
      <c r="DM115" s="354" t="str">
        <f t="shared" ca="1" si="313"/>
        <v/>
      </c>
      <c r="DN115" s="361" t="str">
        <f t="shared" ca="1" si="314"/>
        <v/>
      </c>
      <c r="DO115" s="362" t="str">
        <f t="shared" ca="1" si="315"/>
        <v/>
      </c>
      <c r="DP115" s="379" t="str">
        <f t="shared" ca="1" si="328"/>
        <v/>
      </c>
      <c r="DQ115" s="302"/>
      <c r="DR115" s="364"/>
      <c r="DS115" s="302"/>
      <c r="DU115" s="424"/>
      <c r="DV115" s="424"/>
      <c r="DW115" s="424"/>
      <c r="DX115" s="424"/>
      <c r="DY115" s="424"/>
      <c r="DZ115" s="424"/>
      <c r="EA115" s="424"/>
      <c r="EB115" s="424"/>
      <c r="EC115" s="424"/>
      <c r="ED115" s="424"/>
      <c r="EE115" s="424"/>
      <c r="EF115" s="424"/>
      <c r="EG115" s="424"/>
      <c r="EH115" s="424"/>
      <c r="EI115" s="424"/>
      <c r="EJ115" s="424"/>
      <c r="EK115" s="424"/>
      <c r="EL115" s="424"/>
      <c r="EM115" s="424"/>
      <c r="EN115" s="424"/>
      <c r="EO115" s="424"/>
      <c r="EP115" s="424"/>
      <c r="EQ115" s="424"/>
      <c r="ER115" s="424"/>
      <c r="ES115" s="424"/>
      <c r="ET115" s="424"/>
      <c r="EU115" s="424"/>
      <c r="EV115" s="424"/>
      <c r="EW115" s="424"/>
      <c r="EX115" s="424"/>
      <c r="EY115" s="424"/>
      <c r="EZ115" s="424"/>
      <c r="FA115" s="424"/>
      <c r="FB115" s="424"/>
      <c r="FC115" s="424"/>
      <c r="FD115" s="425"/>
      <c r="FE115" s="333"/>
      <c r="FO115" s="300"/>
      <c r="FP115" s="395" t="str">
        <f t="shared" ca="1" si="326"/>
        <v/>
      </c>
      <c r="FQ115" s="360" t="str">
        <f t="shared" ca="1" si="327"/>
        <v/>
      </c>
      <c r="FR115" s="360" t="str">
        <f t="shared" ca="1" si="316"/>
        <v/>
      </c>
      <c r="FS115" s="360" t="str">
        <f t="shared" ca="1" si="317"/>
        <v/>
      </c>
      <c r="FT115" s="360" t="str">
        <f t="shared" ca="1" si="318"/>
        <v/>
      </c>
      <c r="FU115" s="360" t="str">
        <f t="shared" ca="1" si="319"/>
        <v/>
      </c>
      <c r="FV115" s="360" t="str">
        <f t="shared" ca="1" si="320"/>
        <v/>
      </c>
      <c r="FW115" s="360" t="str">
        <f t="shared" ca="1" si="321"/>
        <v/>
      </c>
      <c r="FX115" s="360" t="str">
        <f t="shared" ca="1" si="322"/>
        <v/>
      </c>
      <c r="FY115" s="360" t="str">
        <f t="shared" ca="1" si="323"/>
        <v/>
      </c>
      <c r="FZ115" s="379" t="str">
        <f t="shared" ca="1" si="329"/>
        <v/>
      </c>
      <c r="GA115" s="302"/>
      <c r="GB115" s="364"/>
      <c r="GC115" s="302"/>
    </row>
    <row r="116" spans="47:185" x14ac:dyDescent="0.25">
      <c r="CH116" s="350"/>
      <c r="CI116" s="350"/>
      <c r="CJ116" s="350"/>
      <c r="CK116" s="350"/>
      <c r="CL116" s="350"/>
      <c r="CM116" s="350"/>
      <c r="DG116" s="350"/>
      <c r="DH116" s="300"/>
      <c r="DI116" s="395" t="str">
        <f t="shared" ca="1" si="324"/>
        <v/>
      </c>
      <c r="DJ116" s="360" t="str">
        <f t="shared" ca="1" si="325"/>
        <v/>
      </c>
      <c r="DK116" s="360" t="str">
        <f t="shared" ca="1" si="311"/>
        <v/>
      </c>
      <c r="DL116" s="354" t="str">
        <f t="shared" ca="1" si="312"/>
        <v/>
      </c>
      <c r="DM116" s="354" t="str">
        <f t="shared" ca="1" si="313"/>
        <v/>
      </c>
      <c r="DN116" s="361" t="str">
        <f t="shared" ca="1" si="314"/>
        <v/>
      </c>
      <c r="DO116" s="362" t="str">
        <f t="shared" ca="1" si="315"/>
        <v/>
      </c>
      <c r="DP116" s="379" t="str">
        <f t="shared" ca="1" si="328"/>
        <v/>
      </c>
      <c r="DQ116" s="302"/>
      <c r="DR116" s="364"/>
      <c r="DS116" s="302"/>
      <c r="DU116" s="424"/>
      <c r="DV116" s="424"/>
      <c r="DW116" s="424"/>
      <c r="DX116" s="424"/>
      <c r="DY116" s="424"/>
      <c r="DZ116" s="424"/>
      <c r="EA116" s="424"/>
      <c r="EB116" s="424"/>
      <c r="EC116" s="424"/>
      <c r="ED116" s="424"/>
      <c r="EE116" s="424"/>
      <c r="EF116" s="424"/>
      <c r="EG116" s="424"/>
      <c r="EH116" s="424"/>
      <c r="EI116" s="424"/>
      <c r="EJ116" s="424"/>
      <c r="EK116" s="424"/>
      <c r="EL116" s="424"/>
      <c r="EM116" s="424"/>
      <c r="EN116" s="424"/>
      <c r="EO116" s="424"/>
      <c r="EP116" s="424"/>
      <c r="EQ116" s="424"/>
      <c r="ER116" s="424"/>
      <c r="ES116" s="424"/>
      <c r="ET116" s="424"/>
      <c r="EU116" s="424"/>
      <c r="EV116" s="424"/>
      <c r="EW116" s="424"/>
      <c r="EX116" s="424"/>
      <c r="EY116" s="424"/>
      <c r="EZ116" s="424"/>
      <c r="FA116" s="424"/>
      <c r="FB116" s="424"/>
      <c r="FC116" s="424"/>
      <c r="FD116" s="425"/>
      <c r="FE116" s="333"/>
      <c r="FO116" s="300"/>
      <c r="FP116" s="395" t="str">
        <f t="shared" ca="1" si="326"/>
        <v/>
      </c>
      <c r="FQ116" s="360" t="str">
        <f t="shared" ca="1" si="327"/>
        <v/>
      </c>
      <c r="FR116" s="360" t="str">
        <f t="shared" ca="1" si="316"/>
        <v/>
      </c>
      <c r="FS116" s="360" t="str">
        <f t="shared" ca="1" si="317"/>
        <v/>
      </c>
      <c r="FT116" s="360" t="str">
        <f t="shared" ca="1" si="318"/>
        <v/>
      </c>
      <c r="FU116" s="360" t="str">
        <f t="shared" ca="1" si="319"/>
        <v/>
      </c>
      <c r="FV116" s="360" t="str">
        <f t="shared" ca="1" si="320"/>
        <v/>
      </c>
      <c r="FW116" s="360" t="str">
        <f t="shared" ca="1" si="321"/>
        <v/>
      </c>
      <c r="FX116" s="360" t="str">
        <f t="shared" ca="1" si="322"/>
        <v/>
      </c>
      <c r="FY116" s="360" t="str">
        <f t="shared" ca="1" si="323"/>
        <v/>
      </c>
      <c r="FZ116" s="379" t="str">
        <f t="shared" ca="1" si="329"/>
        <v/>
      </c>
      <c r="GA116" s="302"/>
      <c r="GB116" s="364"/>
      <c r="GC116" s="302"/>
    </row>
    <row r="117" spans="47:185" x14ac:dyDescent="0.25">
      <c r="CH117" s="350"/>
      <c r="CI117" s="350"/>
      <c r="CJ117" s="350"/>
      <c r="CK117" s="350"/>
      <c r="CL117" s="350"/>
      <c r="CM117" s="350"/>
      <c r="DG117" s="350"/>
      <c r="DH117" s="300"/>
      <c r="DI117" s="395" t="str">
        <f t="shared" ca="1" si="324"/>
        <v/>
      </c>
      <c r="DJ117" s="360" t="str">
        <f t="shared" ca="1" si="325"/>
        <v/>
      </c>
      <c r="DK117" s="360" t="str">
        <f t="shared" ca="1" si="311"/>
        <v/>
      </c>
      <c r="DL117" s="354" t="str">
        <f t="shared" ca="1" si="312"/>
        <v/>
      </c>
      <c r="DM117" s="354" t="str">
        <f t="shared" ca="1" si="313"/>
        <v/>
      </c>
      <c r="DN117" s="361" t="str">
        <f t="shared" ca="1" si="314"/>
        <v/>
      </c>
      <c r="DO117" s="362" t="str">
        <f t="shared" ca="1" si="315"/>
        <v/>
      </c>
      <c r="DP117" s="379" t="str">
        <f t="shared" ca="1" si="328"/>
        <v/>
      </c>
      <c r="DQ117" s="302"/>
      <c r="DR117" s="364"/>
      <c r="DS117" s="302"/>
      <c r="DU117" s="424"/>
      <c r="DV117" s="424"/>
      <c r="DW117" s="424"/>
      <c r="DX117" s="424"/>
      <c r="DY117" s="424"/>
      <c r="DZ117" s="424"/>
      <c r="EA117" s="424"/>
      <c r="EB117" s="424"/>
      <c r="EC117" s="424"/>
      <c r="ED117" s="424"/>
      <c r="EE117" s="424"/>
      <c r="EF117" s="424"/>
      <c r="EG117" s="424"/>
      <c r="EH117" s="424"/>
      <c r="EI117" s="424"/>
      <c r="EJ117" s="424"/>
      <c r="EK117" s="424"/>
      <c r="EL117" s="424"/>
      <c r="EM117" s="424"/>
      <c r="EN117" s="424"/>
      <c r="EO117" s="424"/>
      <c r="EP117" s="424"/>
      <c r="EQ117" s="424"/>
      <c r="ER117" s="424"/>
      <c r="ES117" s="424"/>
      <c r="ET117" s="424"/>
      <c r="EU117" s="424"/>
      <c r="EV117" s="424"/>
      <c r="EW117" s="424"/>
      <c r="EX117" s="424"/>
      <c r="EY117" s="424"/>
      <c r="EZ117" s="424"/>
      <c r="FA117" s="424"/>
      <c r="FB117" s="424"/>
      <c r="FC117" s="424"/>
      <c r="FD117" s="425"/>
      <c r="FE117" s="333"/>
      <c r="FO117" s="300"/>
      <c r="FP117" s="395" t="str">
        <f t="shared" ca="1" si="326"/>
        <v/>
      </c>
      <c r="FQ117" s="360" t="str">
        <f t="shared" ca="1" si="327"/>
        <v/>
      </c>
      <c r="FR117" s="360" t="str">
        <f t="shared" ca="1" si="316"/>
        <v/>
      </c>
      <c r="FS117" s="360" t="str">
        <f t="shared" ca="1" si="317"/>
        <v/>
      </c>
      <c r="FT117" s="360" t="str">
        <f t="shared" ca="1" si="318"/>
        <v/>
      </c>
      <c r="FU117" s="360" t="str">
        <f t="shared" ca="1" si="319"/>
        <v/>
      </c>
      <c r="FV117" s="360" t="str">
        <f t="shared" ca="1" si="320"/>
        <v/>
      </c>
      <c r="FW117" s="360" t="str">
        <f t="shared" ca="1" si="321"/>
        <v/>
      </c>
      <c r="FX117" s="360" t="str">
        <f t="shared" ca="1" si="322"/>
        <v/>
      </c>
      <c r="FY117" s="360" t="str">
        <f t="shared" ca="1" si="323"/>
        <v/>
      </c>
      <c r="FZ117" s="379" t="str">
        <f t="shared" ca="1" si="329"/>
        <v/>
      </c>
      <c r="GA117" s="302"/>
      <c r="GB117" s="364"/>
      <c r="GC117" s="302"/>
    </row>
    <row r="118" spans="47:185" x14ac:dyDescent="0.25">
      <c r="BA118" s="438" t="s">
        <v>378</v>
      </c>
      <c r="BB118" s="428"/>
      <c r="BC118" s="427"/>
      <c r="BD118" s="427"/>
      <c r="BG118" s="319">
        <v>1</v>
      </c>
      <c r="BH118" s="299">
        <v>4</v>
      </c>
      <c r="BI118" s="319">
        <v>5</v>
      </c>
      <c r="BJ118" s="319">
        <v>6</v>
      </c>
      <c r="BK118" s="319">
        <v>7</v>
      </c>
      <c r="BL118" s="319">
        <v>9</v>
      </c>
      <c r="BM118" s="319">
        <v>10</v>
      </c>
      <c r="BN118" s="319">
        <v>11</v>
      </c>
      <c r="BO118" s="319">
        <v>12</v>
      </c>
      <c r="BP118" s="319">
        <v>13</v>
      </c>
      <c r="BQ118" s="319">
        <v>14</v>
      </c>
      <c r="BR118" s="319"/>
      <c r="CH118" s="350"/>
      <c r="CI118" s="350"/>
      <c r="CJ118" s="350"/>
      <c r="CK118" s="350"/>
      <c r="CL118" s="350"/>
      <c r="CM118" s="350"/>
      <c r="DG118" s="350"/>
      <c r="DH118" s="300"/>
      <c r="DI118" s="301"/>
      <c r="DJ118" s="324" t="s">
        <v>157</v>
      </c>
      <c r="DK118" s="324" t="s">
        <v>158</v>
      </c>
      <c r="DL118" s="325" t="s">
        <v>159</v>
      </c>
      <c r="DM118" s="325"/>
      <c r="DN118" s="326" t="s">
        <v>160</v>
      </c>
      <c r="DO118" s="325" t="s">
        <v>135</v>
      </c>
      <c r="DP118" s="302"/>
      <c r="DQ118" s="302"/>
      <c r="DR118" s="364"/>
      <c r="DS118" s="302"/>
      <c r="DU118" s="424"/>
      <c r="DV118" s="424"/>
      <c r="DW118" s="424"/>
      <c r="DX118" s="424"/>
      <c r="DY118" s="424"/>
      <c r="DZ118" s="424"/>
      <c r="EA118" s="424"/>
      <c r="EB118" s="424"/>
      <c r="EC118" s="424"/>
      <c r="ED118" s="424"/>
      <c r="EE118" s="424"/>
      <c r="EF118" s="424"/>
      <c r="EG118" s="424"/>
      <c r="EH118" s="424"/>
      <c r="EI118" s="424"/>
      <c r="EJ118" s="424"/>
      <c r="EK118" s="424"/>
      <c r="EL118" s="424"/>
      <c r="EM118" s="424"/>
      <c r="EN118" s="424"/>
      <c r="EO118" s="424"/>
      <c r="EP118" s="424"/>
      <c r="EQ118" s="424"/>
      <c r="ER118" s="424"/>
      <c r="ES118" s="424"/>
      <c r="ET118" s="424"/>
      <c r="EU118" s="424"/>
      <c r="EV118" s="424"/>
      <c r="EW118" s="424"/>
      <c r="EX118" s="424"/>
      <c r="EY118" s="424"/>
      <c r="EZ118" s="424"/>
      <c r="FA118" s="424"/>
      <c r="FB118" s="424"/>
      <c r="FC118" s="424"/>
      <c r="FD118" s="425"/>
      <c r="FE118" s="333"/>
      <c r="FG118" s="517">
        <f t="shared" ref="FG118:FG128" ca="1" si="330">IF(FK118="",0,VLOOKUP(FK118,table.aur,11,FALSE))</f>
        <v>52</v>
      </c>
      <c r="FH118" s="444">
        <f ca="1">IF(FG118-FG119&gt;4,4,FG118-FG119)</f>
        <v>0</v>
      </c>
      <c r="FJ118" s="517">
        <f ca="1">SUM(FH118:FH$123)</f>
        <v>12</v>
      </c>
      <c r="FK118" s="516" t="str">
        <f ca="1">FK95</f>
        <v>BBK</v>
      </c>
      <c r="FO118" s="300"/>
      <c r="FP118" s="301"/>
      <c r="FQ118" s="324" t="s">
        <v>157</v>
      </c>
      <c r="FR118" s="324" t="s">
        <v>237</v>
      </c>
      <c r="FS118" s="324" t="s">
        <v>239</v>
      </c>
      <c r="FT118" s="324" t="s">
        <v>240</v>
      </c>
      <c r="FU118" s="324" t="s">
        <v>238</v>
      </c>
      <c r="FV118" s="324" t="s">
        <v>241</v>
      </c>
      <c r="FW118" s="324" t="s">
        <v>242</v>
      </c>
      <c r="FX118" s="326" t="s">
        <v>160</v>
      </c>
      <c r="FY118" s="325" t="s">
        <v>135</v>
      </c>
      <c r="FZ118" s="302"/>
      <c r="GA118" s="302"/>
      <c r="GB118" s="364"/>
      <c r="GC118" s="302"/>
    </row>
    <row r="119" spans="47:185" x14ac:dyDescent="0.25">
      <c r="BA119" s="439">
        <f ca="1">IF($AJ$58=2,BH42,BI42*-1)*1000000+IF($AJ$44,BK42,BJ42)*1000+BP42-IF(BC119=0,1000000000000,0)</f>
        <v>-65023999.960000001</v>
      </c>
      <c r="BB119" s="179"/>
      <c r="BC119" s="440" t="str">
        <f>X42</f>
        <v>Bakafogó-Honvéd-Sashegy SE</v>
      </c>
      <c r="BD119" s="427"/>
      <c r="BF119" s="178">
        <v>1</v>
      </c>
      <c r="BG119" s="349" t="str">
        <f t="shared" ref="BG119:BQ128" ca="1" si="331">INDEX(round.a,$BF119,BG$118)</f>
        <v>ZrínyigyöngyeK&amp;H</v>
      </c>
      <c r="BH119" s="349" t="str">
        <f t="shared" ca="1" si="331"/>
        <v>Zrínyigyöngye</v>
      </c>
      <c r="BI119" s="349" t="str">
        <f t="shared" ca="1" si="331"/>
        <v>K&amp;H</v>
      </c>
      <c r="BJ119" s="349">
        <f t="shared" ca="1" si="331"/>
        <v>1</v>
      </c>
      <c r="BK119" s="349">
        <f t="shared" ca="1" si="331"/>
        <v>5</v>
      </c>
      <c r="BL119" s="349" t="str">
        <f t="shared" ca="1" si="331"/>
        <v/>
      </c>
      <c r="BM119" s="349" t="str">
        <f t="shared" ca="1" si="331"/>
        <v/>
      </c>
      <c r="BN119" s="349" t="str">
        <f t="shared" ca="1" si="331"/>
        <v>Zrínyigyöngye</v>
      </c>
      <c r="BO119" s="349" t="str">
        <f t="shared" ca="1" si="331"/>
        <v>K&amp;H</v>
      </c>
      <c r="BP119" s="349" t="str">
        <f t="shared" ca="1" si="331"/>
        <v/>
      </c>
      <c r="BQ119" s="441" t="str">
        <f t="shared" ca="1" si="331"/>
        <v/>
      </c>
      <c r="CH119" s="350"/>
      <c r="CI119" s="350"/>
      <c r="CJ119" s="350"/>
      <c r="CK119" s="350"/>
      <c r="CL119" s="350"/>
      <c r="CM119" s="350"/>
      <c r="DG119" s="350"/>
      <c r="DH119" s="300"/>
      <c r="DI119" s="395" t="str">
        <f ca="1">DI108</f>
        <v>Vakana</v>
      </c>
      <c r="DJ119" s="360" t="str">
        <f ca="1">IF(OR(DI119="",DP119="",DI119=DP119),"",CONCATENATE(DI119,DP119))</f>
        <v/>
      </c>
      <c r="DK119" s="360" t="str">
        <f t="shared" ref="DK119:DK128" ca="1" si="332">IF($DJ119="","",CONCATENATE(VLOOKUP($DJ119,games.a,9,FALSE),VLOOKUP($DJ119,games.a,12,FALSE)))</f>
        <v/>
      </c>
      <c r="DL119" s="354" t="str">
        <f t="shared" ref="DL119:DL128" ca="1" si="333">IF($DJ119="","",VLOOKUP($DJ119,games.a,10,FALSE))</f>
        <v/>
      </c>
      <c r="DM119" s="354" t="str">
        <f t="shared" ref="DM119:DM128" ca="1" si="334">IF($DJ119="","",VLOOKUP($DJ119,games.a,13,FALSE))</f>
        <v/>
      </c>
      <c r="DN119" s="361" t="str">
        <f t="shared" ref="DN119:DN128" ca="1" si="335">IF($DJ119="","",VLOOKUP($DJ119,games.a,6,FALSE))</f>
        <v/>
      </c>
      <c r="DO119" s="362" t="str">
        <f t="shared" ref="DO119:DO128" ca="1" si="336">IF($DJ119="","",VLOOKUP($DJ119,games.a,7,FALSE))</f>
        <v/>
      </c>
      <c r="DP119" s="363" t="str">
        <f ca="1">DI49</f>
        <v/>
      </c>
      <c r="DQ119" s="302"/>
      <c r="DR119" s="364"/>
      <c r="DS119" s="302"/>
      <c r="DU119" s="424"/>
      <c r="DV119" s="424"/>
      <c r="DW119" s="424"/>
      <c r="DX119" s="424"/>
      <c r="DY119" s="424"/>
      <c r="DZ119" s="424"/>
      <c r="EA119" s="424"/>
      <c r="EB119" s="424"/>
      <c r="EC119" s="424"/>
      <c r="ED119" s="424"/>
      <c r="EE119" s="424"/>
      <c r="EF119" s="424"/>
      <c r="EG119" s="424"/>
      <c r="EH119" s="424"/>
      <c r="EI119" s="424"/>
      <c r="EJ119" s="424"/>
      <c r="EK119" s="424"/>
      <c r="EL119" s="424"/>
      <c r="EM119" s="424"/>
      <c r="EN119" s="424"/>
      <c r="EO119" s="424"/>
      <c r="EP119" s="424"/>
      <c r="EQ119" s="424"/>
      <c r="ER119" s="424"/>
      <c r="ES119" s="424"/>
      <c r="ET119" s="424"/>
      <c r="EU119" s="424"/>
      <c r="EV119" s="424"/>
      <c r="EW119" s="424"/>
      <c r="EX119" s="424"/>
      <c r="EY119" s="424"/>
      <c r="EZ119" s="424"/>
      <c r="FA119" s="424"/>
      <c r="FB119" s="424"/>
      <c r="FC119" s="424"/>
      <c r="FD119" s="425"/>
      <c r="FE119" s="333"/>
      <c r="FG119" s="517">
        <f t="shared" ca="1" si="330"/>
        <v>52</v>
      </c>
      <c r="FH119" s="444">
        <f ca="1">IF(FG119-FG120&gt;4,4,FG119-FG120)</f>
        <v>4</v>
      </c>
      <c r="FJ119" s="517">
        <f ca="1">SUM(FH119:FH$123)</f>
        <v>12</v>
      </c>
      <c r="FK119" s="516" t="str">
        <f t="shared" ref="FK119:FK128" ca="1" si="337">FK96</f>
        <v>K&amp;H</v>
      </c>
      <c r="FO119" s="300"/>
      <c r="FP119" s="395" t="str">
        <f ca="1">FP108</f>
        <v/>
      </c>
      <c r="FQ119" s="360" t="str">
        <f ca="1">IF(OR(FP119="",FZ119="",FP119=FZ119),"",CONCATENATE(FP119,FZ119))</f>
        <v/>
      </c>
      <c r="FR119" s="360" t="str">
        <f t="shared" ref="FR119:FR128" ca="1" si="338">IF($FQ119="","",VLOOKUP($FQ119,games.a,9,FALSE))</f>
        <v/>
      </c>
      <c r="FS119" s="360" t="str">
        <f t="shared" ref="FS119:FS128" ca="1" si="339">IF($FQ119="","",VLOOKUP($FQ119,games.a,10,FALSE))</f>
        <v/>
      </c>
      <c r="FT119" s="360" t="str">
        <f t="shared" ref="FT119:FT128" ca="1" si="340">IF($FQ119="","",VLOOKUP($FQ119,games.a,11,FALSE))</f>
        <v/>
      </c>
      <c r="FU119" s="360" t="str">
        <f t="shared" ref="FU119:FU128" ca="1" si="341">IF($FQ119="","",VLOOKUP($FQ119,games.a,12,FALSE))</f>
        <v/>
      </c>
      <c r="FV119" s="360" t="str">
        <f t="shared" ref="FV119:FV128" ca="1" si="342">IF($FQ119="","",VLOOKUP($FQ119,games.a,13,FALSE))</f>
        <v/>
      </c>
      <c r="FW119" s="360" t="str">
        <f t="shared" ref="FW119:FW128" ca="1" si="343">IF($FQ119="","",VLOOKUP($FQ119,games.a,14,FALSE))</f>
        <v/>
      </c>
      <c r="FX119" s="360" t="str">
        <f t="shared" ref="FX119:FX128" ca="1" si="344">IF($FQ119="","",VLOOKUP($FQ119,games.a,6,FALSE))</f>
        <v/>
      </c>
      <c r="FY119" s="360" t="str">
        <f t="shared" ref="FY119:FY128" ca="1" si="345">IF($FQ119="","",VLOOKUP($FQ119,games.a,7,FALSE))</f>
        <v/>
      </c>
      <c r="FZ119" s="363" t="str">
        <f ca="1">FP49</f>
        <v/>
      </c>
      <c r="GA119" s="302"/>
      <c r="GB119" s="364"/>
      <c r="GC119" s="302"/>
    </row>
    <row r="120" spans="47:185" x14ac:dyDescent="0.25">
      <c r="BA120" s="439">
        <f t="shared" ref="BA120:BA142" ca="1" si="346">IF($AJ$58=2,BH43,BI43*-1)*1000000+IF($AJ$44,BK43,BJ43)*1000+BP43-IF(BC120=0,1000000000000,0)</f>
        <v>-29943999.960999999</v>
      </c>
      <c r="BB120" s="179"/>
      <c r="BC120" s="440" t="str">
        <f t="shared" ref="BC120:BC142" si="347">X43</f>
        <v>BBK</v>
      </c>
      <c r="BD120" s="427"/>
      <c r="BF120" s="178">
        <v>2</v>
      </c>
      <c r="BG120" s="349" t="str">
        <f t="shared" ca="1" si="331"/>
        <v>VakanaÉlelmesek</v>
      </c>
      <c r="BH120" s="349" t="str">
        <f t="shared" ca="1" si="331"/>
        <v>Vakana</v>
      </c>
      <c r="BI120" s="349" t="str">
        <f t="shared" ca="1" si="331"/>
        <v>Élelmesek</v>
      </c>
      <c r="BJ120" s="349">
        <f t="shared" ca="1" si="331"/>
        <v>3</v>
      </c>
      <c r="BK120" s="349">
        <f t="shared" ca="1" si="331"/>
        <v>1</v>
      </c>
      <c r="BL120" s="349" t="str">
        <f t="shared" ca="1" si="331"/>
        <v>Vakana</v>
      </c>
      <c r="BM120" s="349" t="str">
        <f t="shared" ca="1" si="331"/>
        <v/>
      </c>
      <c r="BN120" s="349" t="str">
        <f t="shared" ca="1" si="331"/>
        <v/>
      </c>
      <c r="BO120" s="349" t="str">
        <f t="shared" ca="1" si="331"/>
        <v/>
      </c>
      <c r="BP120" s="349" t="str">
        <f t="shared" ca="1" si="331"/>
        <v/>
      </c>
      <c r="BQ120" s="441" t="str">
        <f t="shared" ca="1" si="331"/>
        <v>Élelmesek</v>
      </c>
      <c r="CH120" s="350"/>
      <c r="CI120" s="350"/>
      <c r="CJ120" s="350"/>
      <c r="CK120" s="350"/>
      <c r="CL120" s="350"/>
      <c r="CM120" s="350"/>
      <c r="DG120" s="350"/>
      <c r="DH120" s="300"/>
      <c r="DI120" s="395" t="str">
        <f t="shared" ref="DI120:DI128" ca="1" si="348">DI109</f>
        <v>Bakafogó-Honvéd-Sashegy SE</v>
      </c>
      <c r="DJ120" s="360" t="str">
        <f t="shared" ref="DJ120:DJ128" ca="1" si="349">IF(OR(DI120="",DP120="",DI120=DP120),"",CONCATENATE(DI120,DP120))</f>
        <v/>
      </c>
      <c r="DK120" s="360" t="str">
        <f t="shared" ca="1" si="332"/>
        <v/>
      </c>
      <c r="DL120" s="354" t="str">
        <f t="shared" ca="1" si="333"/>
        <v/>
      </c>
      <c r="DM120" s="354" t="str">
        <f t="shared" ca="1" si="334"/>
        <v/>
      </c>
      <c r="DN120" s="361" t="str">
        <f t="shared" ca="1" si="335"/>
        <v/>
      </c>
      <c r="DO120" s="362" t="str">
        <f t="shared" ca="1" si="336"/>
        <v/>
      </c>
      <c r="DP120" s="379" t="str">
        <f ca="1">DP119</f>
        <v/>
      </c>
      <c r="DQ120" s="302"/>
      <c r="DR120" s="364"/>
      <c r="DS120" s="302"/>
      <c r="DU120" s="424"/>
      <c r="DV120" s="424"/>
      <c r="DW120" s="424"/>
      <c r="DX120" s="424"/>
      <c r="DY120" s="424"/>
      <c r="DZ120" s="424"/>
      <c r="EA120" s="424"/>
      <c r="EB120" s="424"/>
      <c r="EC120" s="424"/>
      <c r="ED120" s="424"/>
      <c r="EE120" s="424"/>
      <c r="EF120" s="424"/>
      <c r="EG120" s="424"/>
      <c r="EH120" s="424"/>
      <c r="EI120" s="424"/>
      <c r="EJ120" s="424"/>
      <c r="EK120" s="424"/>
      <c r="EL120" s="424"/>
      <c r="EM120" s="424"/>
      <c r="EN120" s="424"/>
      <c r="EO120" s="424"/>
      <c r="EP120" s="424"/>
      <c r="EQ120" s="424"/>
      <c r="ER120" s="424"/>
      <c r="ES120" s="424"/>
      <c r="ET120" s="424"/>
      <c r="EU120" s="424"/>
      <c r="EV120" s="424"/>
      <c r="EW120" s="424"/>
      <c r="EX120" s="424"/>
      <c r="EY120" s="424"/>
      <c r="EZ120" s="424"/>
      <c r="FA120" s="424"/>
      <c r="FB120" s="424"/>
      <c r="FC120" s="424"/>
      <c r="FD120" s="425"/>
      <c r="FE120" s="333"/>
      <c r="FG120" s="517">
        <f t="shared" ca="1" si="330"/>
        <v>45</v>
      </c>
      <c r="FH120" s="444">
        <f ca="1">IF(FG120-FG121&gt;4,4,FG120-FG121)</f>
        <v>4</v>
      </c>
      <c r="FJ120" s="517">
        <f ca="1">SUM(FH120:FH$123)</f>
        <v>8</v>
      </c>
      <c r="FK120" s="516" t="str">
        <f t="shared" ca="1" si="337"/>
        <v>BHD</v>
      </c>
      <c r="FO120" s="300"/>
      <c r="FP120" s="395" t="str">
        <f t="shared" ref="FP120:FP128" ca="1" si="350">FP109</f>
        <v/>
      </c>
      <c r="FQ120" s="360" t="str">
        <f t="shared" ref="FQ120:FQ128" ca="1" si="351">IF(OR(FP120="",FZ120="",FP120=FZ120),"",CONCATENATE(FP120,FZ120))</f>
        <v/>
      </c>
      <c r="FR120" s="360" t="str">
        <f t="shared" ca="1" si="338"/>
        <v/>
      </c>
      <c r="FS120" s="360" t="str">
        <f t="shared" ca="1" si="339"/>
        <v/>
      </c>
      <c r="FT120" s="360" t="str">
        <f t="shared" ca="1" si="340"/>
        <v/>
      </c>
      <c r="FU120" s="360" t="str">
        <f t="shared" ca="1" si="341"/>
        <v/>
      </c>
      <c r="FV120" s="360" t="str">
        <f t="shared" ca="1" si="342"/>
        <v/>
      </c>
      <c r="FW120" s="360" t="str">
        <f t="shared" ca="1" si="343"/>
        <v/>
      </c>
      <c r="FX120" s="360" t="str">
        <f t="shared" ca="1" si="344"/>
        <v/>
      </c>
      <c r="FY120" s="360" t="str">
        <f t="shared" ca="1" si="345"/>
        <v/>
      </c>
      <c r="FZ120" s="379" t="str">
        <f ca="1">FZ119</f>
        <v/>
      </c>
      <c r="GA120" s="302"/>
      <c r="GB120" s="364"/>
      <c r="GC120" s="302"/>
    </row>
    <row r="121" spans="47:185" x14ac:dyDescent="0.25">
      <c r="BA121" s="439">
        <f t="shared" ca="1" si="346"/>
        <v>-31961999.962000001</v>
      </c>
      <c r="BB121" s="179"/>
      <c r="BC121" s="440" t="str">
        <f t="shared" si="347"/>
        <v>BHD</v>
      </c>
      <c r="BD121" s="427"/>
      <c r="BF121" s="178">
        <v>3</v>
      </c>
      <c r="BG121" s="349" t="str">
        <f t="shared" ca="1" si="331"/>
        <v>BBKBőrdíszmű</v>
      </c>
      <c r="BH121" s="349" t="str">
        <f t="shared" ca="1" si="331"/>
        <v>BBK</v>
      </c>
      <c r="BI121" s="349" t="str">
        <f t="shared" ca="1" si="331"/>
        <v>Bőrdíszmű</v>
      </c>
      <c r="BJ121" s="349">
        <f t="shared" ca="1" si="331"/>
        <v>0</v>
      </c>
      <c r="BK121" s="349">
        <f t="shared" ca="1" si="331"/>
        <v>2</v>
      </c>
      <c r="BL121" s="349" t="str">
        <f t="shared" ca="1" si="331"/>
        <v/>
      </c>
      <c r="BM121" s="349" t="str">
        <f t="shared" ca="1" si="331"/>
        <v/>
      </c>
      <c r="BN121" s="349" t="str">
        <f t="shared" ca="1" si="331"/>
        <v>BBK</v>
      </c>
      <c r="BO121" s="349" t="str">
        <f t="shared" ca="1" si="331"/>
        <v>Bőrdíszmű</v>
      </c>
      <c r="BP121" s="349" t="str">
        <f t="shared" ca="1" si="331"/>
        <v/>
      </c>
      <c r="BQ121" s="441" t="str">
        <f t="shared" ca="1" si="331"/>
        <v/>
      </c>
      <c r="CH121" s="350"/>
      <c r="CI121" s="350"/>
      <c r="CJ121" s="350"/>
      <c r="CK121" s="350"/>
      <c r="CL121" s="350"/>
      <c r="CM121" s="350"/>
      <c r="DG121" s="350"/>
      <c r="DH121" s="300"/>
      <c r="DI121" s="395" t="str">
        <f t="shared" ca="1" si="348"/>
        <v/>
      </c>
      <c r="DJ121" s="360" t="str">
        <f t="shared" ca="1" si="349"/>
        <v/>
      </c>
      <c r="DK121" s="360" t="str">
        <f t="shared" ca="1" si="332"/>
        <v/>
      </c>
      <c r="DL121" s="354" t="str">
        <f t="shared" ca="1" si="333"/>
        <v/>
      </c>
      <c r="DM121" s="354" t="str">
        <f t="shared" ca="1" si="334"/>
        <v/>
      </c>
      <c r="DN121" s="361" t="str">
        <f t="shared" ca="1" si="335"/>
        <v/>
      </c>
      <c r="DO121" s="362" t="str">
        <f t="shared" ca="1" si="336"/>
        <v/>
      </c>
      <c r="DP121" s="379" t="str">
        <f t="shared" ref="DP121:DP128" ca="1" si="352">DP120</f>
        <v/>
      </c>
      <c r="DQ121" s="302"/>
      <c r="DR121" s="364"/>
      <c r="DS121" s="302"/>
      <c r="DU121" s="424"/>
      <c r="DV121" s="424"/>
      <c r="DW121" s="424"/>
      <c r="DX121" s="424"/>
      <c r="DY121" s="424"/>
      <c r="DZ121" s="424"/>
      <c r="EA121" s="424"/>
      <c r="EB121" s="424"/>
      <c r="EC121" s="424"/>
      <c r="ED121" s="424"/>
      <c r="EE121" s="424"/>
      <c r="EF121" s="424"/>
      <c r="EG121" s="424"/>
      <c r="EH121" s="424"/>
      <c r="EI121" s="424"/>
      <c r="EJ121" s="424"/>
      <c r="EK121" s="424"/>
      <c r="EL121" s="424"/>
      <c r="EM121" s="424"/>
      <c r="EN121" s="424"/>
      <c r="EO121" s="424"/>
      <c r="EP121" s="424"/>
      <c r="EQ121" s="424"/>
      <c r="ER121" s="424"/>
      <c r="ES121" s="424"/>
      <c r="ET121" s="424"/>
      <c r="EU121" s="424"/>
      <c r="EV121" s="424"/>
      <c r="EW121" s="424"/>
      <c r="EX121" s="424"/>
      <c r="EY121" s="424"/>
      <c r="EZ121" s="424"/>
      <c r="FA121" s="424"/>
      <c r="FB121" s="424"/>
      <c r="FC121" s="424"/>
      <c r="FD121" s="425"/>
      <c r="FE121" s="333"/>
      <c r="FG121" s="517">
        <f t="shared" ca="1" si="330"/>
        <v>41</v>
      </c>
      <c r="FH121" s="444">
        <f ca="1">IF(FG121-FG122&gt;4,4,FG121-FG122)</f>
        <v>4</v>
      </c>
      <c r="FJ121" s="517">
        <f ca="1">SUM(FH121:FH$123)</f>
        <v>4</v>
      </c>
      <c r="FK121" s="516" t="str">
        <f t="shared" ca="1" si="337"/>
        <v>Zrínyigyöngye</v>
      </c>
      <c r="FO121" s="300"/>
      <c r="FP121" s="395" t="str">
        <f t="shared" ca="1" si="350"/>
        <v/>
      </c>
      <c r="FQ121" s="360" t="str">
        <f t="shared" ca="1" si="351"/>
        <v/>
      </c>
      <c r="FR121" s="360" t="str">
        <f t="shared" ca="1" si="338"/>
        <v/>
      </c>
      <c r="FS121" s="360" t="str">
        <f t="shared" ca="1" si="339"/>
        <v/>
      </c>
      <c r="FT121" s="360" t="str">
        <f t="shared" ca="1" si="340"/>
        <v/>
      </c>
      <c r="FU121" s="360" t="str">
        <f t="shared" ca="1" si="341"/>
        <v/>
      </c>
      <c r="FV121" s="360" t="str">
        <f t="shared" ca="1" si="342"/>
        <v/>
      </c>
      <c r="FW121" s="360" t="str">
        <f t="shared" ca="1" si="343"/>
        <v/>
      </c>
      <c r="FX121" s="360" t="str">
        <f t="shared" ca="1" si="344"/>
        <v/>
      </c>
      <c r="FY121" s="360" t="str">
        <f t="shared" ca="1" si="345"/>
        <v/>
      </c>
      <c r="FZ121" s="379" t="str">
        <f t="shared" ref="FZ121:FZ128" ca="1" si="353">FZ120</f>
        <v/>
      </c>
      <c r="GA121" s="302"/>
      <c r="GB121" s="364"/>
      <c r="GC121" s="302"/>
    </row>
    <row r="122" spans="47:185" x14ac:dyDescent="0.25">
      <c r="BA122" s="439">
        <f t="shared" ca="1" si="346"/>
        <v>-84056999.963</v>
      </c>
      <c r="BB122" s="179"/>
      <c r="BC122" s="440" t="str">
        <f t="shared" si="347"/>
        <v>Bőrdíszmű</v>
      </c>
      <c r="BD122" s="427"/>
      <c r="BF122" s="178">
        <v>4</v>
      </c>
      <c r="BG122" s="349" t="str">
        <f t="shared" ca="1" si="331"/>
        <v>BHDHercules-Ludovika</v>
      </c>
      <c r="BH122" s="349" t="str">
        <f t="shared" ca="1" si="331"/>
        <v>BHD</v>
      </c>
      <c r="BI122" s="349" t="str">
        <f t="shared" ca="1" si="331"/>
        <v>Hercules-Ludovika</v>
      </c>
      <c r="BJ122" s="349">
        <f t="shared" ca="1" si="331"/>
        <v>3</v>
      </c>
      <c r="BK122" s="349">
        <f t="shared" ca="1" si="331"/>
        <v>0</v>
      </c>
      <c r="BL122" s="349" t="str">
        <f t="shared" ca="1" si="331"/>
        <v>BHD</v>
      </c>
      <c r="BM122" s="349" t="str">
        <f t="shared" ca="1" si="331"/>
        <v/>
      </c>
      <c r="BN122" s="349" t="str">
        <f t="shared" ca="1" si="331"/>
        <v/>
      </c>
      <c r="BO122" s="349" t="str">
        <f t="shared" ca="1" si="331"/>
        <v/>
      </c>
      <c r="BP122" s="349" t="str">
        <f t="shared" ca="1" si="331"/>
        <v/>
      </c>
      <c r="BQ122" s="441" t="str">
        <f t="shared" ca="1" si="331"/>
        <v>Hercules-Ludovika</v>
      </c>
      <c r="CH122" s="350"/>
      <c r="CI122" s="350"/>
      <c r="CJ122" s="350"/>
      <c r="CK122" s="350"/>
      <c r="CL122" s="350"/>
      <c r="CM122" s="350"/>
      <c r="DG122" s="350"/>
      <c r="DH122" s="300"/>
      <c r="DI122" s="395" t="str">
        <f t="shared" ca="1" si="348"/>
        <v/>
      </c>
      <c r="DJ122" s="360" t="str">
        <f t="shared" ca="1" si="349"/>
        <v/>
      </c>
      <c r="DK122" s="360" t="str">
        <f t="shared" ca="1" si="332"/>
        <v/>
      </c>
      <c r="DL122" s="354" t="str">
        <f t="shared" ca="1" si="333"/>
        <v/>
      </c>
      <c r="DM122" s="354" t="str">
        <f t="shared" ca="1" si="334"/>
        <v/>
      </c>
      <c r="DN122" s="361" t="str">
        <f t="shared" ca="1" si="335"/>
        <v/>
      </c>
      <c r="DO122" s="362" t="str">
        <f t="shared" ca="1" si="336"/>
        <v/>
      </c>
      <c r="DP122" s="379" t="str">
        <f t="shared" ca="1" si="352"/>
        <v/>
      </c>
      <c r="DQ122" s="302"/>
      <c r="DR122" s="364"/>
      <c r="DS122" s="302"/>
      <c r="DU122" s="424"/>
      <c r="DV122" s="424"/>
      <c r="DW122" s="424"/>
      <c r="DX122" s="424"/>
      <c r="DY122" s="424"/>
      <c r="DZ122" s="424"/>
      <c r="EA122" s="424"/>
      <c r="EB122" s="424"/>
      <c r="EC122" s="424"/>
      <c r="ED122" s="424"/>
      <c r="EE122" s="424"/>
      <c r="EF122" s="424"/>
      <c r="EG122" s="424"/>
      <c r="EH122" s="424"/>
      <c r="EI122" s="424"/>
      <c r="EJ122" s="424"/>
      <c r="EK122" s="424"/>
      <c r="EL122" s="424"/>
      <c r="EM122" s="424"/>
      <c r="EN122" s="424"/>
      <c r="EO122" s="424"/>
      <c r="EP122" s="424"/>
      <c r="EQ122" s="424"/>
      <c r="ER122" s="424"/>
      <c r="ES122" s="424"/>
      <c r="ET122" s="424"/>
      <c r="EU122" s="424"/>
      <c r="EV122" s="424"/>
      <c r="EW122" s="424"/>
      <c r="EX122" s="424"/>
      <c r="EY122" s="424"/>
      <c r="EZ122" s="424"/>
      <c r="FA122" s="424"/>
      <c r="FB122" s="424"/>
      <c r="FC122" s="424"/>
      <c r="FD122" s="425"/>
      <c r="FE122" s="333"/>
      <c r="FG122" s="517">
        <f t="shared" ca="1" si="330"/>
        <v>25</v>
      </c>
      <c r="FH122" s="444">
        <f ca="1">IF(FG122-FG123&gt;4,4,FG122-FG123)</f>
        <v>0</v>
      </c>
      <c r="FJ122" s="517">
        <f ca="1">SUM(FH122:FH$123)</f>
        <v>0</v>
      </c>
      <c r="FK122" s="516" t="str">
        <f t="shared" ca="1" si="337"/>
        <v>Élelmesek</v>
      </c>
      <c r="FO122" s="300"/>
      <c r="FP122" s="395" t="str">
        <f t="shared" ca="1" si="350"/>
        <v/>
      </c>
      <c r="FQ122" s="360" t="str">
        <f t="shared" ca="1" si="351"/>
        <v/>
      </c>
      <c r="FR122" s="360" t="str">
        <f t="shared" ca="1" si="338"/>
        <v/>
      </c>
      <c r="FS122" s="360" t="str">
        <f t="shared" ca="1" si="339"/>
        <v/>
      </c>
      <c r="FT122" s="360" t="str">
        <f t="shared" ca="1" si="340"/>
        <v/>
      </c>
      <c r="FU122" s="360" t="str">
        <f t="shared" ca="1" si="341"/>
        <v/>
      </c>
      <c r="FV122" s="360" t="str">
        <f t="shared" ca="1" si="342"/>
        <v/>
      </c>
      <c r="FW122" s="360" t="str">
        <f t="shared" ca="1" si="343"/>
        <v/>
      </c>
      <c r="FX122" s="360" t="str">
        <f t="shared" ca="1" si="344"/>
        <v/>
      </c>
      <c r="FY122" s="360" t="str">
        <f t="shared" ca="1" si="345"/>
        <v/>
      </c>
      <c r="FZ122" s="379" t="str">
        <f t="shared" ca="1" si="353"/>
        <v/>
      </c>
      <c r="GA122" s="302"/>
      <c r="GB122" s="364"/>
      <c r="GC122" s="302"/>
    </row>
    <row r="123" spans="47:185" x14ac:dyDescent="0.25">
      <c r="BA123" s="439">
        <f t="shared" ca="1" si="346"/>
        <v>-101056999.964</v>
      </c>
      <c r="BB123" s="179"/>
      <c r="BC123" s="440" t="str">
        <f t="shared" si="347"/>
        <v>Carbonász</v>
      </c>
      <c r="BD123" s="427"/>
      <c r="BF123" s="178">
        <v>5</v>
      </c>
      <c r="BG123" s="349" t="str">
        <f t="shared" ca="1" si="331"/>
        <v>Royal Guard'sBakafogó-Honvéd-Sashegy SE</v>
      </c>
      <c r="BH123" s="349" t="str">
        <f t="shared" ca="1" si="331"/>
        <v>Royal Guard's</v>
      </c>
      <c r="BI123" s="349" t="str">
        <f t="shared" ca="1" si="331"/>
        <v>Bakafogó-Honvéd-Sashegy SE</v>
      </c>
      <c r="BJ123" s="349">
        <f t="shared" ca="1" si="331"/>
        <v>3</v>
      </c>
      <c r="BK123" s="349">
        <f t="shared" ca="1" si="331"/>
        <v>1</v>
      </c>
      <c r="BL123" s="349" t="str">
        <f t="shared" ca="1" si="331"/>
        <v>Royal Guard's</v>
      </c>
      <c r="BM123" s="349" t="str">
        <f t="shared" ca="1" si="331"/>
        <v/>
      </c>
      <c r="BN123" s="349" t="str">
        <f t="shared" ca="1" si="331"/>
        <v/>
      </c>
      <c r="BO123" s="349" t="str">
        <f t="shared" ca="1" si="331"/>
        <v/>
      </c>
      <c r="BP123" s="349" t="str">
        <f t="shared" ca="1" si="331"/>
        <v/>
      </c>
      <c r="BQ123" s="441" t="str">
        <f t="shared" ca="1" si="331"/>
        <v>Bakafogó-Honvéd-Sashegy SE</v>
      </c>
      <c r="CH123" s="350"/>
      <c r="CI123" s="350"/>
      <c r="CJ123" s="350"/>
      <c r="CK123" s="350"/>
      <c r="CL123" s="350"/>
      <c r="CM123" s="350"/>
      <c r="DG123" s="350"/>
      <c r="DH123" s="300"/>
      <c r="DI123" s="395" t="str">
        <f t="shared" ca="1" si="348"/>
        <v/>
      </c>
      <c r="DJ123" s="360" t="str">
        <f t="shared" ca="1" si="349"/>
        <v/>
      </c>
      <c r="DK123" s="360" t="str">
        <f t="shared" ca="1" si="332"/>
        <v/>
      </c>
      <c r="DL123" s="354" t="str">
        <f t="shared" ca="1" si="333"/>
        <v/>
      </c>
      <c r="DM123" s="354" t="str">
        <f t="shared" ca="1" si="334"/>
        <v/>
      </c>
      <c r="DN123" s="361" t="str">
        <f t="shared" ca="1" si="335"/>
        <v/>
      </c>
      <c r="DO123" s="362" t="str">
        <f t="shared" ca="1" si="336"/>
        <v/>
      </c>
      <c r="DP123" s="379" t="str">
        <f t="shared" ca="1" si="352"/>
        <v/>
      </c>
      <c r="DQ123" s="302"/>
      <c r="DR123" s="364"/>
      <c r="DS123" s="302"/>
      <c r="DU123" s="424"/>
      <c r="DV123" s="424"/>
      <c r="DW123" s="424"/>
      <c r="DX123" s="424"/>
      <c r="DY123" s="424"/>
      <c r="DZ123" s="424"/>
      <c r="EA123" s="424"/>
      <c r="EB123" s="424"/>
      <c r="EC123" s="424"/>
      <c r="ED123" s="424"/>
      <c r="EE123" s="424"/>
      <c r="EF123" s="424"/>
      <c r="EG123" s="424"/>
      <c r="EH123" s="424"/>
      <c r="EI123" s="424"/>
      <c r="EJ123" s="424"/>
      <c r="EK123" s="424"/>
      <c r="EL123" s="424"/>
      <c r="EM123" s="424"/>
      <c r="EN123" s="424"/>
      <c r="EO123" s="424"/>
      <c r="EP123" s="424"/>
      <c r="EQ123" s="424"/>
      <c r="ER123" s="424"/>
      <c r="ES123" s="424"/>
      <c r="ET123" s="424"/>
      <c r="EU123" s="424"/>
      <c r="EV123" s="424"/>
      <c r="EW123" s="424"/>
      <c r="EX123" s="424"/>
      <c r="EY123" s="424"/>
      <c r="EZ123" s="424"/>
      <c r="FA123" s="424"/>
      <c r="FB123" s="424"/>
      <c r="FC123" s="424"/>
      <c r="FD123" s="425"/>
      <c r="FE123" s="333"/>
      <c r="FF123" s="335"/>
      <c r="FG123" s="517">
        <f t="shared" ca="1" si="330"/>
        <v>25</v>
      </c>
      <c r="FH123" s="444">
        <v>0</v>
      </c>
      <c r="FI123" s="334"/>
      <c r="FJ123" s="517">
        <f>SUM(FH123:FH$123)</f>
        <v>0</v>
      </c>
      <c r="FK123" s="516" t="str">
        <f t="shared" ca="1" si="337"/>
        <v>Hercules-Ludovika</v>
      </c>
      <c r="FL123" s="335"/>
      <c r="FM123" s="335"/>
      <c r="FO123" s="300"/>
      <c r="FP123" s="395" t="str">
        <f t="shared" ca="1" si="350"/>
        <v/>
      </c>
      <c r="FQ123" s="360" t="str">
        <f t="shared" ca="1" si="351"/>
        <v/>
      </c>
      <c r="FR123" s="360" t="str">
        <f t="shared" ca="1" si="338"/>
        <v/>
      </c>
      <c r="FS123" s="360" t="str">
        <f t="shared" ca="1" si="339"/>
        <v/>
      </c>
      <c r="FT123" s="360" t="str">
        <f t="shared" ca="1" si="340"/>
        <v/>
      </c>
      <c r="FU123" s="360" t="str">
        <f t="shared" ca="1" si="341"/>
        <v/>
      </c>
      <c r="FV123" s="360" t="str">
        <f t="shared" ca="1" si="342"/>
        <v/>
      </c>
      <c r="FW123" s="360" t="str">
        <f t="shared" ca="1" si="343"/>
        <v/>
      </c>
      <c r="FX123" s="360" t="str">
        <f t="shared" ca="1" si="344"/>
        <v/>
      </c>
      <c r="FY123" s="360" t="str">
        <f t="shared" ca="1" si="345"/>
        <v/>
      </c>
      <c r="FZ123" s="379" t="str">
        <f t="shared" ca="1" si="353"/>
        <v/>
      </c>
      <c r="GA123" s="302"/>
      <c r="GB123" s="364"/>
      <c r="GC123" s="302"/>
    </row>
    <row r="124" spans="47:185" x14ac:dyDescent="0.25">
      <c r="BA124" s="439">
        <f t="shared" ca="1" si="346"/>
        <v>-45990999.965000004</v>
      </c>
      <c r="BB124" s="428"/>
      <c r="BC124" s="440" t="str">
        <f t="shared" si="347"/>
        <v>Élelmesek</v>
      </c>
      <c r="BD124" s="427"/>
      <c r="BF124" s="178">
        <v>6</v>
      </c>
      <c r="BG124" s="349" t="str">
        <f t="shared" ca="1" si="331"/>
        <v>Carbonászszabadnapos</v>
      </c>
      <c r="BH124" s="349" t="str">
        <f t="shared" ca="1" si="331"/>
        <v>Carbonász</v>
      </c>
      <c r="BI124" s="349" t="str">
        <f t="shared" ca="1" si="331"/>
        <v>szabadnapos</v>
      </c>
      <c r="BJ124" s="349" t="str">
        <f t="shared" ca="1" si="331"/>
        <v/>
      </c>
      <c r="BK124" s="349" t="str">
        <f t="shared" ca="1" si="331"/>
        <v/>
      </c>
      <c r="BL124" s="349" t="str">
        <f t="shared" ca="1" si="331"/>
        <v/>
      </c>
      <c r="BM124" s="349" t="str">
        <f t="shared" ca="1" si="331"/>
        <v/>
      </c>
      <c r="BN124" s="349" t="str">
        <f t="shared" ca="1" si="331"/>
        <v/>
      </c>
      <c r="BO124" s="349" t="str">
        <f t="shared" ca="1" si="331"/>
        <v/>
      </c>
      <c r="BP124" s="349" t="str">
        <f t="shared" ca="1" si="331"/>
        <v/>
      </c>
      <c r="BQ124" s="441" t="str">
        <f t="shared" ca="1" si="331"/>
        <v/>
      </c>
      <c r="CH124" s="350"/>
      <c r="CI124" s="350"/>
      <c r="CJ124" s="350"/>
      <c r="CK124" s="350"/>
      <c r="CL124" s="350"/>
      <c r="CM124" s="350"/>
      <c r="DG124" s="350"/>
      <c r="DH124" s="300"/>
      <c r="DI124" s="395" t="str">
        <f t="shared" ca="1" si="348"/>
        <v/>
      </c>
      <c r="DJ124" s="360" t="str">
        <f t="shared" ca="1" si="349"/>
        <v/>
      </c>
      <c r="DK124" s="360" t="str">
        <f t="shared" ca="1" si="332"/>
        <v/>
      </c>
      <c r="DL124" s="354" t="str">
        <f t="shared" ca="1" si="333"/>
        <v/>
      </c>
      <c r="DM124" s="354" t="str">
        <f t="shared" ca="1" si="334"/>
        <v/>
      </c>
      <c r="DN124" s="361" t="str">
        <f t="shared" ca="1" si="335"/>
        <v/>
      </c>
      <c r="DO124" s="362" t="str">
        <f t="shared" ca="1" si="336"/>
        <v/>
      </c>
      <c r="DP124" s="379" t="str">
        <f t="shared" ca="1" si="352"/>
        <v/>
      </c>
      <c r="DQ124" s="302"/>
      <c r="DR124" s="364"/>
      <c r="DS124" s="302"/>
      <c r="DU124" s="424"/>
      <c r="DV124" s="424"/>
      <c r="DW124" s="424"/>
      <c r="DX124" s="424"/>
      <c r="DY124" s="424"/>
      <c r="DZ124" s="424"/>
      <c r="EA124" s="424"/>
      <c r="EB124" s="424"/>
      <c r="EC124" s="424"/>
      <c r="ED124" s="424"/>
      <c r="EE124" s="424"/>
      <c r="EF124" s="424"/>
      <c r="EG124" s="424"/>
      <c r="EH124" s="424"/>
      <c r="EI124" s="424"/>
      <c r="EJ124" s="424"/>
      <c r="EK124" s="424"/>
      <c r="EL124" s="424"/>
      <c r="EM124" s="424"/>
      <c r="EN124" s="424"/>
      <c r="EO124" s="424"/>
      <c r="EP124" s="424"/>
      <c r="EQ124" s="424"/>
      <c r="ER124" s="424"/>
      <c r="ES124" s="424"/>
      <c r="ET124" s="424"/>
      <c r="EU124" s="424"/>
      <c r="EV124" s="424"/>
      <c r="EW124" s="424"/>
      <c r="EX124" s="424"/>
      <c r="EY124" s="424"/>
      <c r="EZ124" s="424"/>
      <c r="FA124" s="424"/>
      <c r="FB124" s="424"/>
      <c r="FC124" s="424"/>
      <c r="FD124" s="425"/>
      <c r="FE124" s="333"/>
      <c r="FG124" s="518">
        <f t="shared" ca="1" si="330"/>
        <v>20</v>
      </c>
      <c r="FH124" s="444">
        <f ca="1">IF(FG124-FG125&gt;4,4,FG124-FG125)</f>
        <v>0</v>
      </c>
      <c r="FJ124" s="517">
        <f ca="1">SUM(FH124:FH$128)</f>
        <v>6</v>
      </c>
      <c r="FK124" s="519" t="str">
        <f t="shared" ca="1" si="337"/>
        <v>Bakafogó-Honvéd-Sashegy SE</v>
      </c>
      <c r="FO124" s="300"/>
      <c r="FP124" s="395" t="str">
        <f t="shared" ca="1" si="350"/>
        <v/>
      </c>
      <c r="FQ124" s="360" t="str">
        <f t="shared" ca="1" si="351"/>
        <v/>
      </c>
      <c r="FR124" s="360" t="str">
        <f t="shared" ca="1" si="338"/>
        <v/>
      </c>
      <c r="FS124" s="360" t="str">
        <f t="shared" ca="1" si="339"/>
        <v/>
      </c>
      <c r="FT124" s="360" t="str">
        <f t="shared" ca="1" si="340"/>
        <v/>
      </c>
      <c r="FU124" s="360" t="str">
        <f t="shared" ca="1" si="341"/>
        <v/>
      </c>
      <c r="FV124" s="360" t="str">
        <f t="shared" ca="1" si="342"/>
        <v/>
      </c>
      <c r="FW124" s="360" t="str">
        <f t="shared" ca="1" si="343"/>
        <v/>
      </c>
      <c r="FX124" s="360" t="str">
        <f t="shared" ca="1" si="344"/>
        <v/>
      </c>
      <c r="FY124" s="360" t="str">
        <f t="shared" ca="1" si="345"/>
        <v/>
      </c>
      <c r="FZ124" s="379" t="str">
        <f t="shared" ca="1" si="353"/>
        <v/>
      </c>
      <c r="GA124" s="302"/>
      <c r="GB124" s="364"/>
      <c r="GC124" s="302"/>
    </row>
    <row r="125" spans="47:185" x14ac:dyDescent="0.25">
      <c r="BA125" s="439">
        <f t="shared" ca="1" si="346"/>
        <v>-59002999.965999998</v>
      </c>
      <c r="BB125" s="428"/>
      <c r="BC125" s="440" t="str">
        <f t="shared" si="347"/>
        <v>Hercules-Ludovika</v>
      </c>
      <c r="BD125" s="427"/>
      <c r="BF125" s="178">
        <v>7</v>
      </c>
      <c r="BG125" s="349" t="str">
        <f t="shared" ca="1" si="331"/>
        <v>00</v>
      </c>
      <c r="BH125" s="349">
        <f t="shared" ca="1" si="331"/>
        <v>0</v>
      </c>
      <c r="BI125" s="349">
        <f t="shared" ca="1" si="331"/>
        <v>0</v>
      </c>
      <c r="BJ125" s="349" t="str">
        <f t="shared" ca="1" si="331"/>
        <v/>
      </c>
      <c r="BK125" s="349" t="str">
        <f t="shared" ca="1" si="331"/>
        <v/>
      </c>
      <c r="BL125" s="349" t="str">
        <f t="shared" ca="1" si="331"/>
        <v/>
      </c>
      <c r="BM125" s="349" t="str">
        <f t="shared" ca="1" si="331"/>
        <v/>
      </c>
      <c r="BN125" s="349" t="str">
        <f t="shared" ca="1" si="331"/>
        <v/>
      </c>
      <c r="BO125" s="349" t="str">
        <f t="shared" ca="1" si="331"/>
        <v/>
      </c>
      <c r="BP125" s="349" t="str">
        <f t="shared" ca="1" si="331"/>
        <v/>
      </c>
      <c r="BQ125" s="441" t="str">
        <f t="shared" ca="1" si="331"/>
        <v/>
      </c>
      <c r="CH125" s="350"/>
      <c r="CI125" s="350"/>
      <c r="CJ125" s="350"/>
      <c r="CK125" s="350"/>
      <c r="CL125" s="350"/>
      <c r="CM125" s="350"/>
      <c r="DG125" s="350"/>
      <c r="DH125" s="300"/>
      <c r="DI125" s="395" t="str">
        <f t="shared" ca="1" si="348"/>
        <v/>
      </c>
      <c r="DJ125" s="360" t="str">
        <f t="shared" ca="1" si="349"/>
        <v/>
      </c>
      <c r="DK125" s="360" t="str">
        <f t="shared" ca="1" si="332"/>
        <v/>
      </c>
      <c r="DL125" s="354" t="str">
        <f t="shared" ca="1" si="333"/>
        <v/>
      </c>
      <c r="DM125" s="354" t="str">
        <f t="shared" ca="1" si="334"/>
        <v/>
      </c>
      <c r="DN125" s="361" t="str">
        <f t="shared" ca="1" si="335"/>
        <v/>
      </c>
      <c r="DO125" s="362" t="str">
        <f t="shared" ca="1" si="336"/>
        <v/>
      </c>
      <c r="DP125" s="379" t="str">
        <f t="shared" ca="1" si="352"/>
        <v/>
      </c>
      <c r="DQ125" s="302"/>
      <c r="DR125" s="364"/>
      <c r="DS125" s="302"/>
      <c r="DU125" s="424"/>
      <c r="DV125" s="424"/>
      <c r="DW125" s="424"/>
      <c r="DX125" s="424"/>
      <c r="DY125" s="424"/>
      <c r="DZ125" s="424"/>
      <c r="EA125" s="424"/>
      <c r="EB125" s="424"/>
      <c r="EC125" s="424"/>
      <c r="ED125" s="424"/>
      <c r="EE125" s="424"/>
      <c r="EF125" s="424"/>
      <c r="EG125" s="424"/>
      <c r="EH125" s="424"/>
      <c r="EI125" s="424"/>
      <c r="EJ125" s="424"/>
      <c r="EK125" s="424"/>
      <c r="EL125" s="424"/>
      <c r="EM125" s="424"/>
      <c r="EN125" s="424"/>
      <c r="EO125" s="424"/>
      <c r="EP125" s="424"/>
      <c r="EQ125" s="424"/>
      <c r="ER125" s="424"/>
      <c r="ES125" s="424"/>
      <c r="ET125" s="424"/>
      <c r="EU125" s="424"/>
      <c r="EV125" s="424"/>
      <c r="EW125" s="424"/>
      <c r="EX125" s="424"/>
      <c r="EY125" s="424"/>
      <c r="EZ125" s="424"/>
      <c r="FA125" s="424"/>
      <c r="FB125" s="424"/>
      <c r="FC125" s="424"/>
      <c r="FD125" s="425"/>
      <c r="FE125" s="333"/>
      <c r="FG125" s="517">
        <f t="shared" ca="1" si="330"/>
        <v>20</v>
      </c>
      <c r="FH125" s="444">
        <f ca="1">IF(FG125-FG126&gt;4,4,FG125-FG126)</f>
        <v>4</v>
      </c>
      <c r="FJ125" s="517">
        <f ca="1">SUM(FH125:FH$128)</f>
        <v>6</v>
      </c>
      <c r="FK125" s="516" t="str">
        <f t="shared" ca="1" si="337"/>
        <v>Vakana</v>
      </c>
      <c r="FO125" s="300"/>
      <c r="FP125" s="395" t="str">
        <f t="shared" ca="1" si="350"/>
        <v/>
      </c>
      <c r="FQ125" s="360" t="str">
        <f t="shared" ca="1" si="351"/>
        <v/>
      </c>
      <c r="FR125" s="360" t="str">
        <f t="shared" ca="1" si="338"/>
        <v/>
      </c>
      <c r="FS125" s="360" t="str">
        <f t="shared" ca="1" si="339"/>
        <v/>
      </c>
      <c r="FT125" s="360" t="str">
        <f t="shared" ca="1" si="340"/>
        <v/>
      </c>
      <c r="FU125" s="360" t="str">
        <f t="shared" ca="1" si="341"/>
        <v/>
      </c>
      <c r="FV125" s="360" t="str">
        <f t="shared" ca="1" si="342"/>
        <v/>
      </c>
      <c r="FW125" s="360" t="str">
        <f t="shared" ca="1" si="343"/>
        <v/>
      </c>
      <c r="FX125" s="360" t="str">
        <f t="shared" ca="1" si="344"/>
        <v/>
      </c>
      <c r="FY125" s="360" t="str">
        <f t="shared" ca="1" si="345"/>
        <v/>
      </c>
      <c r="FZ125" s="379" t="str">
        <f t="shared" ca="1" si="353"/>
        <v/>
      </c>
      <c r="GA125" s="302"/>
      <c r="GB125" s="364"/>
      <c r="GC125" s="302"/>
    </row>
    <row r="126" spans="47:185" x14ac:dyDescent="0.25">
      <c r="BA126" s="439">
        <f t="shared" ca="1" si="346"/>
        <v>-23916999.967</v>
      </c>
      <c r="BB126" s="428"/>
      <c r="BC126" s="440" t="str">
        <f t="shared" si="347"/>
        <v>K&amp;H</v>
      </c>
      <c r="BD126" s="427"/>
      <c r="BF126" s="178">
        <v>8</v>
      </c>
      <c r="BG126" s="349" t="str">
        <f t="shared" ca="1" si="331"/>
        <v>00</v>
      </c>
      <c r="BH126" s="349">
        <f t="shared" ca="1" si="331"/>
        <v>0</v>
      </c>
      <c r="BI126" s="349">
        <f t="shared" ca="1" si="331"/>
        <v>0</v>
      </c>
      <c r="BJ126" s="349" t="str">
        <f t="shared" ca="1" si="331"/>
        <v/>
      </c>
      <c r="BK126" s="349" t="str">
        <f t="shared" ca="1" si="331"/>
        <v/>
      </c>
      <c r="BL126" s="349" t="str">
        <f t="shared" ca="1" si="331"/>
        <v/>
      </c>
      <c r="BM126" s="349" t="str">
        <f t="shared" ca="1" si="331"/>
        <v/>
      </c>
      <c r="BN126" s="349" t="str">
        <f t="shared" ca="1" si="331"/>
        <v/>
      </c>
      <c r="BO126" s="349" t="str">
        <f t="shared" ca="1" si="331"/>
        <v/>
      </c>
      <c r="BP126" s="349" t="str">
        <f t="shared" ca="1" si="331"/>
        <v/>
      </c>
      <c r="BQ126" s="441" t="str">
        <f t="shared" ca="1" si="331"/>
        <v/>
      </c>
      <c r="CH126" s="350"/>
      <c r="CI126" s="350"/>
      <c r="CJ126" s="350"/>
      <c r="CK126" s="350"/>
      <c r="CL126" s="350"/>
      <c r="CM126" s="350"/>
      <c r="DG126" s="350"/>
      <c r="DH126" s="300"/>
      <c r="DI126" s="395" t="str">
        <f t="shared" ca="1" si="348"/>
        <v/>
      </c>
      <c r="DJ126" s="360" t="str">
        <f t="shared" ca="1" si="349"/>
        <v/>
      </c>
      <c r="DK126" s="360" t="str">
        <f t="shared" ca="1" si="332"/>
        <v/>
      </c>
      <c r="DL126" s="354" t="str">
        <f t="shared" ca="1" si="333"/>
        <v/>
      </c>
      <c r="DM126" s="354" t="str">
        <f t="shared" ca="1" si="334"/>
        <v/>
      </c>
      <c r="DN126" s="361" t="str">
        <f t="shared" ca="1" si="335"/>
        <v/>
      </c>
      <c r="DO126" s="362" t="str">
        <f t="shared" ca="1" si="336"/>
        <v/>
      </c>
      <c r="DP126" s="379" t="str">
        <f t="shared" ca="1" si="352"/>
        <v/>
      </c>
      <c r="DQ126" s="302"/>
      <c r="DR126" s="364"/>
      <c r="DS126" s="302"/>
      <c r="DU126" s="424"/>
      <c r="DV126" s="424"/>
      <c r="DW126" s="424"/>
      <c r="DX126" s="424"/>
      <c r="DY126" s="424"/>
      <c r="DZ126" s="424"/>
      <c r="EA126" s="424"/>
      <c r="EB126" s="424"/>
      <c r="EC126" s="424"/>
      <c r="ED126" s="424"/>
      <c r="EE126" s="424"/>
      <c r="EF126" s="424"/>
      <c r="EG126" s="424"/>
      <c r="EH126" s="424"/>
      <c r="EI126" s="424"/>
      <c r="EJ126" s="424"/>
      <c r="EK126" s="424"/>
      <c r="EL126" s="424"/>
      <c r="EM126" s="424"/>
      <c r="EN126" s="424"/>
      <c r="EO126" s="424"/>
      <c r="EP126" s="424"/>
      <c r="EQ126" s="424"/>
      <c r="ER126" s="424"/>
      <c r="ES126" s="424"/>
      <c r="ET126" s="424"/>
      <c r="EU126" s="424"/>
      <c r="EV126" s="424"/>
      <c r="EW126" s="424"/>
      <c r="EX126" s="424"/>
      <c r="EY126" s="424"/>
      <c r="EZ126" s="424"/>
      <c r="FA126" s="424"/>
      <c r="FB126" s="424"/>
      <c r="FC126" s="424"/>
      <c r="FD126" s="425"/>
      <c r="FE126" s="333"/>
      <c r="FG126" s="517">
        <f t="shared" ca="1" si="330"/>
        <v>14</v>
      </c>
      <c r="FH126" s="444">
        <f ca="1">IF(FG126-FG127&gt;4,4,FG126-FG127)</f>
        <v>1</v>
      </c>
      <c r="FJ126" s="517">
        <f ca="1">SUM(FH126:FH$128)</f>
        <v>2</v>
      </c>
      <c r="FK126" s="516" t="str">
        <f t="shared" ca="1" si="337"/>
        <v>Carbonász</v>
      </c>
      <c r="FO126" s="300"/>
      <c r="FP126" s="395" t="str">
        <f t="shared" ca="1" si="350"/>
        <v/>
      </c>
      <c r="FQ126" s="360" t="str">
        <f t="shared" ca="1" si="351"/>
        <v/>
      </c>
      <c r="FR126" s="360" t="str">
        <f t="shared" ca="1" si="338"/>
        <v/>
      </c>
      <c r="FS126" s="360" t="str">
        <f t="shared" ca="1" si="339"/>
        <v/>
      </c>
      <c r="FT126" s="360" t="str">
        <f t="shared" ca="1" si="340"/>
        <v/>
      </c>
      <c r="FU126" s="360" t="str">
        <f t="shared" ca="1" si="341"/>
        <v/>
      </c>
      <c r="FV126" s="360" t="str">
        <f t="shared" ca="1" si="342"/>
        <v/>
      </c>
      <c r="FW126" s="360" t="str">
        <f t="shared" ca="1" si="343"/>
        <v/>
      </c>
      <c r="FX126" s="360" t="str">
        <f t="shared" ca="1" si="344"/>
        <v/>
      </c>
      <c r="FY126" s="360" t="str">
        <f t="shared" ca="1" si="345"/>
        <v/>
      </c>
      <c r="FZ126" s="379" t="str">
        <f t="shared" ca="1" si="353"/>
        <v/>
      </c>
      <c r="GA126" s="302"/>
      <c r="GB126" s="364"/>
      <c r="GC126" s="302"/>
    </row>
    <row r="127" spans="47:185" x14ac:dyDescent="0.25">
      <c r="BA127" s="439">
        <f t="shared" ca="1" si="346"/>
        <v>-73045999.967999995</v>
      </c>
      <c r="BB127" s="428"/>
      <c r="BC127" s="440" t="str">
        <f t="shared" si="347"/>
        <v>Royal Guard's</v>
      </c>
      <c r="BD127" s="427"/>
      <c r="BF127" s="178">
        <v>9</v>
      </c>
      <c r="BG127" s="349" t="str">
        <f t="shared" ca="1" si="331"/>
        <v>00</v>
      </c>
      <c r="BH127" s="349">
        <f t="shared" ca="1" si="331"/>
        <v>0</v>
      </c>
      <c r="BI127" s="349">
        <f t="shared" ca="1" si="331"/>
        <v>0</v>
      </c>
      <c r="BJ127" s="349" t="str">
        <f t="shared" ca="1" si="331"/>
        <v/>
      </c>
      <c r="BK127" s="349" t="str">
        <f t="shared" ca="1" si="331"/>
        <v/>
      </c>
      <c r="BL127" s="349" t="str">
        <f t="shared" ca="1" si="331"/>
        <v/>
      </c>
      <c r="BM127" s="349" t="str">
        <f t="shared" ca="1" si="331"/>
        <v/>
      </c>
      <c r="BN127" s="349" t="str">
        <f t="shared" ca="1" si="331"/>
        <v/>
      </c>
      <c r="BO127" s="349" t="str">
        <f t="shared" ca="1" si="331"/>
        <v/>
      </c>
      <c r="BP127" s="349" t="str">
        <f t="shared" ca="1" si="331"/>
        <v/>
      </c>
      <c r="BQ127" s="441" t="str">
        <f t="shared" ca="1" si="331"/>
        <v/>
      </c>
      <c r="CH127" s="350"/>
      <c r="CI127" s="350"/>
      <c r="CJ127" s="350"/>
      <c r="CK127" s="350"/>
      <c r="CL127" s="350"/>
      <c r="CM127" s="350"/>
      <c r="DG127" s="350"/>
      <c r="DH127" s="300"/>
      <c r="DI127" s="395" t="str">
        <f t="shared" ca="1" si="348"/>
        <v/>
      </c>
      <c r="DJ127" s="360" t="str">
        <f t="shared" ca="1" si="349"/>
        <v/>
      </c>
      <c r="DK127" s="360" t="str">
        <f t="shared" ca="1" si="332"/>
        <v/>
      </c>
      <c r="DL127" s="354" t="str">
        <f t="shared" ca="1" si="333"/>
        <v/>
      </c>
      <c r="DM127" s="354" t="str">
        <f t="shared" ca="1" si="334"/>
        <v/>
      </c>
      <c r="DN127" s="361" t="str">
        <f t="shared" ca="1" si="335"/>
        <v/>
      </c>
      <c r="DO127" s="362" t="str">
        <f t="shared" ca="1" si="336"/>
        <v/>
      </c>
      <c r="DP127" s="379" t="str">
        <f t="shared" ca="1" si="352"/>
        <v/>
      </c>
      <c r="DQ127" s="302"/>
      <c r="DR127" s="364"/>
      <c r="DS127" s="302"/>
      <c r="DU127" s="424"/>
      <c r="DV127" s="424"/>
      <c r="DW127" s="424"/>
      <c r="DX127" s="424"/>
      <c r="DY127" s="424"/>
      <c r="DZ127" s="424"/>
      <c r="EA127" s="424"/>
      <c r="EB127" s="424"/>
      <c r="EC127" s="424"/>
      <c r="ED127" s="424"/>
      <c r="EE127" s="424"/>
      <c r="EF127" s="424"/>
      <c r="EG127" s="424"/>
      <c r="EH127" s="424"/>
      <c r="EI127" s="424"/>
      <c r="EJ127" s="424"/>
      <c r="EK127" s="424"/>
      <c r="EL127" s="424"/>
      <c r="EM127" s="424"/>
      <c r="EN127" s="424"/>
      <c r="EO127" s="424"/>
      <c r="EP127" s="424"/>
      <c r="EQ127" s="424"/>
      <c r="ER127" s="424"/>
      <c r="ES127" s="424"/>
      <c r="ET127" s="424"/>
      <c r="EU127" s="424"/>
      <c r="EV127" s="424"/>
      <c r="EW127" s="424"/>
      <c r="EX127" s="424"/>
      <c r="EY127" s="424"/>
      <c r="EZ127" s="424"/>
      <c r="FA127" s="424"/>
      <c r="FB127" s="424"/>
      <c r="FC127" s="424"/>
      <c r="FD127" s="425"/>
      <c r="FE127" s="333"/>
      <c r="FG127" s="517">
        <f t="shared" ca="1" si="330"/>
        <v>13</v>
      </c>
      <c r="FH127" s="444">
        <f ca="1">IF(FG127-FG128&gt;4,4,FG127-FG128)</f>
        <v>1</v>
      </c>
      <c r="FJ127" s="517">
        <f ca="1">SUM(FH127:FH$128)</f>
        <v>1</v>
      </c>
      <c r="FK127" s="516" t="str">
        <f t="shared" ca="1" si="337"/>
        <v>Bőrdíszmű</v>
      </c>
      <c r="FO127" s="300"/>
      <c r="FP127" s="395" t="str">
        <f t="shared" ca="1" si="350"/>
        <v/>
      </c>
      <c r="FQ127" s="360" t="str">
        <f t="shared" ca="1" si="351"/>
        <v/>
      </c>
      <c r="FR127" s="360" t="str">
        <f t="shared" ca="1" si="338"/>
        <v/>
      </c>
      <c r="FS127" s="360" t="str">
        <f t="shared" ca="1" si="339"/>
        <v/>
      </c>
      <c r="FT127" s="360" t="str">
        <f t="shared" ca="1" si="340"/>
        <v/>
      </c>
      <c r="FU127" s="360" t="str">
        <f t="shared" ca="1" si="341"/>
        <v/>
      </c>
      <c r="FV127" s="360" t="str">
        <f t="shared" ca="1" si="342"/>
        <v/>
      </c>
      <c r="FW127" s="360" t="str">
        <f t="shared" ca="1" si="343"/>
        <v/>
      </c>
      <c r="FX127" s="360" t="str">
        <f t="shared" ca="1" si="344"/>
        <v/>
      </c>
      <c r="FY127" s="360" t="str">
        <f t="shared" ca="1" si="345"/>
        <v/>
      </c>
      <c r="FZ127" s="379" t="str">
        <f t="shared" ca="1" si="353"/>
        <v/>
      </c>
      <c r="GA127" s="302"/>
      <c r="GB127" s="364"/>
      <c r="GC127" s="302"/>
    </row>
    <row r="128" spans="47:185" x14ac:dyDescent="0.25">
      <c r="BA128" s="439">
        <f t="shared" ca="1" si="346"/>
        <v>-65030999.968999997</v>
      </c>
      <c r="BB128" s="428"/>
      <c r="BC128" s="440" t="str">
        <f t="shared" si="347"/>
        <v>Vakana</v>
      </c>
      <c r="BD128" s="427"/>
      <c r="BF128" s="178">
        <v>10</v>
      </c>
      <c r="BG128" s="349" t="str">
        <f t="shared" ca="1" si="331"/>
        <v>00</v>
      </c>
      <c r="BH128" s="349">
        <f t="shared" ca="1" si="331"/>
        <v>0</v>
      </c>
      <c r="BI128" s="349">
        <f t="shared" ca="1" si="331"/>
        <v>0</v>
      </c>
      <c r="BJ128" s="349" t="str">
        <f t="shared" ca="1" si="331"/>
        <v/>
      </c>
      <c r="BK128" s="349" t="str">
        <f t="shared" ca="1" si="331"/>
        <v/>
      </c>
      <c r="BL128" s="349" t="str">
        <f t="shared" ca="1" si="331"/>
        <v/>
      </c>
      <c r="BM128" s="349" t="str">
        <f t="shared" ca="1" si="331"/>
        <v/>
      </c>
      <c r="BN128" s="349" t="str">
        <f t="shared" ca="1" si="331"/>
        <v/>
      </c>
      <c r="BO128" s="349" t="str">
        <f t="shared" ca="1" si="331"/>
        <v/>
      </c>
      <c r="BP128" s="349" t="str">
        <f t="shared" ca="1" si="331"/>
        <v/>
      </c>
      <c r="BQ128" s="441" t="str">
        <f t="shared" ca="1" si="331"/>
        <v/>
      </c>
      <c r="CH128" s="350"/>
      <c r="CI128" s="350"/>
      <c r="CJ128" s="350"/>
      <c r="CK128" s="350"/>
      <c r="CL128" s="350"/>
      <c r="CM128" s="350"/>
      <c r="DG128" s="350"/>
      <c r="DH128" s="300"/>
      <c r="DI128" s="395" t="str">
        <f t="shared" ca="1" si="348"/>
        <v/>
      </c>
      <c r="DJ128" s="360" t="str">
        <f t="shared" ca="1" si="349"/>
        <v/>
      </c>
      <c r="DK128" s="360" t="str">
        <f t="shared" ca="1" si="332"/>
        <v/>
      </c>
      <c r="DL128" s="354" t="str">
        <f t="shared" ca="1" si="333"/>
        <v/>
      </c>
      <c r="DM128" s="354" t="str">
        <f t="shared" ca="1" si="334"/>
        <v/>
      </c>
      <c r="DN128" s="361" t="str">
        <f t="shared" ca="1" si="335"/>
        <v/>
      </c>
      <c r="DO128" s="362" t="str">
        <f t="shared" ca="1" si="336"/>
        <v/>
      </c>
      <c r="DP128" s="379" t="str">
        <f t="shared" ca="1" si="352"/>
        <v/>
      </c>
      <c r="DQ128" s="302"/>
      <c r="DR128" s="364"/>
      <c r="DS128" s="302"/>
      <c r="DU128" s="424"/>
      <c r="DV128" s="424"/>
      <c r="DW128" s="424"/>
      <c r="DX128" s="424"/>
      <c r="DY128" s="424"/>
      <c r="DZ128" s="424"/>
      <c r="EA128" s="424"/>
      <c r="EB128" s="424"/>
      <c r="EC128" s="424"/>
      <c r="ED128" s="424"/>
      <c r="EE128" s="424"/>
      <c r="EF128" s="424"/>
      <c r="EG128" s="424"/>
      <c r="EH128" s="424"/>
      <c r="EI128" s="424"/>
      <c r="EJ128" s="424"/>
      <c r="EK128" s="424"/>
      <c r="EL128" s="424"/>
      <c r="EM128" s="424"/>
      <c r="EN128" s="424"/>
      <c r="EO128" s="424"/>
      <c r="EP128" s="424"/>
      <c r="EQ128" s="424"/>
      <c r="ER128" s="424"/>
      <c r="ES128" s="424"/>
      <c r="ET128" s="424"/>
      <c r="EU128" s="424"/>
      <c r="EV128" s="424"/>
      <c r="EW128" s="424"/>
      <c r="EX128" s="424"/>
      <c r="EY128" s="424"/>
      <c r="EZ128" s="424"/>
      <c r="FA128" s="424"/>
      <c r="FB128" s="424"/>
      <c r="FC128" s="424"/>
      <c r="FD128" s="425"/>
      <c r="FE128" s="333"/>
      <c r="FG128" s="517">
        <f t="shared" ca="1" si="330"/>
        <v>12</v>
      </c>
      <c r="FH128" s="444">
        <v>0</v>
      </c>
      <c r="FJ128" s="517">
        <f>SUM(FH128:FH$128)</f>
        <v>0</v>
      </c>
      <c r="FK128" s="516" t="str">
        <f t="shared" ca="1" si="337"/>
        <v>Royal Guard's</v>
      </c>
      <c r="FO128" s="300"/>
      <c r="FP128" s="395" t="str">
        <f t="shared" ca="1" si="350"/>
        <v/>
      </c>
      <c r="FQ128" s="360" t="str">
        <f t="shared" ca="1" si="351"/>
        <v/>
      </c>
      <c r="FR128" s="360" t="str">
        <f t="shared" ca="1" si="338"/>
        <v/>
      </c>
      <c r="FS128" s="360" t="str">
        <f t="shared" ca="1" si="339"/>
        <v/>
      </c>
      <c r="FT128" s="360" t="str">
        <f t="shared" ca="1" si="340"/>
        <v/>
      </c>
      <c r="FU128" s="360" t="str">
        <f t="shared" ca="1" si="341"/>
        <v/>
      </c>
      <c r="FV128" s="360" t="str">
        <f t="shared" ca="1" si="342"/>
        <v/>
      </c>
      <c r="FW128" s="360" t="str">
        <f t="shared" ca="1" si="343"/>
        <v/>
      </c>
      <c r="FX128" s="360" t="str">
        <f t="shared" ca="1" si="344"/>
        <v/>
      </c>
      <c r="FY128" s="360" t="str">
        <f t="shared" ca="1" si="345"/>
        <v/>
      </c>
      <c r="FZ128" s="379" t="str">
        <f t="shared" ca="1" si="353"/>
        <v/>
      </c>
      <c r="GA128" s="302"/>
      <c r="GB128" s="364"/>
      <c r="GC128" s="302"/>
    </row>
    <row r="129" spans="53:185" x14ac:dyDescent="0.25">
      <c r="BA129" s="439">
        <f t="shared" ca="1" si="346"/>
        <v>-40967999.969999999</v>
      </c>
      <c r="BB129" s="428"/>
      <c r="BC129" s="440" t="str">
        <f t="shared" si="347"/>
        <v>Zrínyigyöngye</v>
      </c>
      <c r="BD129" s="427"/>
      <c r="BF129" s="442">
        <v>11</v>
      </c>
      <c r="BG129" s="349" t="str">
        <f t="shared" ref="BG129:BQ142" ca="1" si="354">INDEX(round.a,$BF129,BG$118)</f>
        <v>00</v>
      </c>
      <c r="BH129" s="349">
        <f t="shared" ca="1" si="354"/>
        <v>0</v>
      </c>
      <c r="BI129" s="349">
        <f t="shared" ca="1" si="354"/>
        <v>0</v>
      </c>
      <c r="BJ129" s="349" t="str">
        <f t="shared" ca="1" si="354"/>
        <v/>
      </c>
      <c r="BK129" s="349" t="str">
        <f t="shared" ca="1" si="354"/>
        <v/>
      </c>
      <c r="BL129" s="349" t="str">
        <f t="shared" ca="1" si="354"/>
        <v/>
      </c>
      <c r="BM129" s="349" t="str">
        <f t="shared" ca="1" si="354"/>
        <v/>
      </c>
      <c r="BN129" s="349" t="str">
        <f t="shared" ca="1" si="354"/>
        <v/>
      </c>
      <c r="BO129" s="349" t="str">
        <f t="shared" ca="1" si="354"/>
        <v/>
      </c>
      <c r="BP129" s="349" t="str">
        <f t="shared" ca="1" si="354"/>
        <v/>
      </c>
      <c r="BQ129" s="441" t="str">
        <f t="shared" ca="1" si="354"/>
        <v/>
      </c>
      <c r="CH129" s="350"/>
      <c r="CI129" s="350"/>
      <c r="CJ129" s="350"/>
      <c r="CK129" s="350"/>
      <c r="CL129" s="350"/>
      <c r="CM129" s="350"/>
      <c r="DG129" s="350"/>
      <c r="DH129" s="300"/>
      <c r="DI129" s="301"/>
      <c r="DJ129" s="324" t="s">
        <v>157</v>
      </c>
      <c r="DK129" s="324" t="s">
        <v>158</v>
      </c>
      <c r="DL129" s="325" t="s">
        <v>159</v>
      </c>
      <c r="DM129" s="325"/>
      <c r="DN129" s="326" t="s">
        <v>160</v>
      </c>
      <c r="DO129" s="325" t="s">
        <v>135</v>
      </c>
      <c r="DP129" s="302"/>
      <c r="DQ129" s="302"/>
      <c r="DR129" s="364"/>
      <c r="DS129" s="302"/>
      <c r="DU129" s="424"/>
      <c r="DV129" s="424"/>
      <c r="DW129" s="424"/>
      <c r="DX129" s="424"/>
      <c r="DY129" s="424"/>
      <c r="DZ129" s="424"/>
      <c r="EA129" s="424"/>
      <c r="EB129" s="424"/>
      <c r="EC129" s="424"/>
      <c r="ED129" s="424"/>
      <c r="EE129" s="424"/>
      <c r="EF129" s="424"/>
      <c r="EG129" s="424"/>
      <c r="EH129" s="424"/>
      <c r="EI129" s="424"/>
      <c r="EJ129" s="424"/>
      <c r="EK129" s="424"/>
      <c r="EL129" s="424"/>
      <c r="EM129" s="424"/>
      <c r="EN129" s="424"/>
      <c r="EO129" s="424"/>
      <c r="EP129" s="424"/>
      <c r="EQ129" s="424"/>
      <c r="ER129" s="424"/>
      <c r="ES129" s="424"/>
      <c r="ET129" s="424"/>
      <c r="EU129" s="424"/>
      <c r="EV129" s="424"/>
      <c r="EW129" s="424"/>
      <c r="EX129" s="424"/>
      <c r="EY129" s="424"/>
      <c r="EZ129" s="424"/>
      <c r="FA129" s="424"/>
      <c r="FB129" s="424"/>
      <c r="FC129" s="424"/>
      <c r="FD129" s="425"/>
      <c r="FE129" s="333"/>
      <c r="FO129" s="300"/>
      <c r="FP129" s="301"/>
      <c r="FQ129" s="324" t="s">
        <v>157</v>
      </c>
      <c r="FR129" s="324" t="s">
        <v>237</v>
      </c>
      <c r="FS129" s="324" t="s">
        <v>239</v>
      </c>
      <c r="FT129" s="324" t="s">
        <v>240</v>
      </c>
      <c r="FU129" s="324" t="s">
        <v>238</v>
      </c>
      <c r="FV129" s="324" t="s">
        <v>241</v>
      </c>
      <c r="FW129" s="324" t="s">
        <v>242</v>
      </c>
      <c r="FX129" s="326" t="s">
        <v>160</v>
      </c>
      <c r="FY129" s="325" t="s">
        <v>135</v>
      </c>
      <c r="FZ129" s="302"/>
      <c r="GA129" s="302"/>
      <c r="GB129" s="364"/>
      <c r="GC129" s="302"/>
    </row>
    <row r="130" spans="53:185" x14ac:dyDescent="0.25">
      <c r="BA130" s="439">
        <f t="shared" ca="1" si="346"/>
        <v>-999999999999.97095</v>
      </c>
      <c r="BB130" s="428"/>
      <c r="BC130" s="440">
        <f t="shared" si="347"/>
        <v>0</v>
      </c>
      <c r="BD130" s="427"/>
      <c r="BF130" s="442">
        <v>12</v>
      </c>
      <c r="BG130" s="349" t="str">
        <f t="shared" ca="1" si="354"/>
        <v>00</v>
      </c>
      <c r="BH130" s="349">
        <f t="shared" ca="1" si="354"/>
        <v>0</v>
      </c>
      <c r="BI130" s="349">
        <f t="shared" ca="1" si="354"/>
        <v>0</v>
      </c>
      <c r="BJ130" s="349" t="str">
        <f t="shared" ca="1" si="354"/>
        <v/>
      </c>
      <c r="BK130" s="349" t="str">
        <f t="shared" ca="1" si="354"/>
        <v/>
      </c>
      <c r="BL130" s="349" t="str">
        <f t="shared" ca="1" si="354"/>
        <v/>
      </c>
      <c r="BM130" s="349" t="str">
        <f t="shared" ca="1" si="354"/>
        <v/>
      </c>
      <c r="BN130" s="349" t="str">
        <f t="shared" ca="1" si="354"/>
        <v/>
      </c>
      <c r="BO130" s="349" t="str">
        <f t="shared" ca="1" si="354"/>
        <v/>
      </c>
      <c r="BP130" s="349" t="str">
        <f t="shared" ca="1" si="354"/>
        <v/>
      </c>
      <c r="BQ130" s="441" t="str">
        <f t="shared" ca="1" si="354"/>
        <v/>
      </c>
      <c r="CH130" s="350"/>
      <c r="CI130" s="350"/>
      <c r="CJ130" s="350"/>
      <c r="CK130" s="350"/>
      <c r="CL130" s="350"/>
      <c r="CM130" s="350"/>
      <c r="DG130" s="350"/>
      <c r="DH130" s="300"/>
      <c r="DI130" s="395" t="str">
        <f ca="1">DI119</f>
        <v>Vakana</v>
      </c>
      <c r="DJ130" s="360" t="str">
        <f ca="1">IF(OR(DI130="",DP130="",DI130=DP130),"",CONCATENATE(DI130,DP130))</f>
        <v/>
      </c>
      <c r="DK130" s="360" t="str">
        <f t="shared" ref="DK130:DK139" ca="1" si="355">IF($DJ130="","",CONCATENATE(VLOOKUP($DJ130,games.a,9,FALSE),VLOOKUP($DJ130,games.a,12,FALSE)))</f>
        <v/>
      </c>
      <c r="DL130" s="354" t="str">
        <f t="shared" ref="DL130:DL139" ca="1" si="356">IF($DJ130="","",VLOOKUP($DJ130,games.a,10,FALSE))</f>
        <v/>
      </c>
      <c r="DM130" s="354" t="str">
        <f t="shared" ref="DM130:DM139" ca="1" si="357">IF($DJ130="","",VLOOKUP($DJ130,games.a,13,FALSE))</f>
        <v/>
      </c>
      <c r="DN130" s="361" t="str">
        <f t="shared" ref="DN130:DN139" ca="1" si="358">IF($DJ130="","",VLOOKUP($DJ130,games.a,6,FALSE))</f>
        <v/>
      </c>
      <c r="DO130" s="362" t="str">
        <f t="shared" ref="DO130:DO139" ca="1" si="359">IF($DJ130="","",VLOOKUP($DJ130,games.a,7,FALSE))</f>
        <v/>
      </c>
      <c r="DP130" s="363" t="str">
        <f ca="1">DI50</f>
        <v/>
      </c>
      <c r="DQ130" s="302"/>
      <c r="DR130" s="364"/>
      <c r="DS130" s="302"/>
      <c r="DU130" s="424"/>
      <c r="DV130" s="424"/>
      <c r="DW130" s="424"/>
      <c r="DX130" s="424"/>
      <c r="DY130" s="424"/>
      <c r="DZ130" s="424"/>
      <c r="EA130" s="424"/>
      <c r="EB130" s="424"/>
      <c r="EC130" s="424"/>
      <c r="ED130" s="424"/>
      <c r="EE130" s="424"/>
      <c r="EF130" s="424"/>
      <c r="EG130" s="424"/>
      <c r="EH130" s="424"/>
      <c r="EI130" s="424"/>
      <c r="EJ130" s="424"/>
      <c r="EK130" s="424"/>
      <c r="EL130" s="424"/>
      <c r="EM130" s="424"/>
      <c r="EN130" s="424"/>
      <c r="EO130" s="424"/>
      <c r="EP130" s="424"/>
      <c r="EQ130" s="424"/>
      <c r="ER130" s="424"/>
      <c r="ES130" s="424"/>
      <c r="ET130" s="424"/>
      <c r="EU130" s="424"/>
      <c r="EV130" s="424"/>
      <c r="EW130" s="424"/>
      <c r="EX130" s="424"/>
      <c r="EY130" s="424"/>
      <c r="EZ130" s="424"/>
      <c r="FA130" s="424"/>
      <c r="FB130" s="424"/>
      <c r="FC130" s="424"/>
      <c r="FD130" s="425"/>
      <c r="FE130" s="333"/>
      <c r="FO130" s="300"/>
      <c r="FP130" s="395" t="str">
        <f ca="1">FP119</f>
        <v/>
      </c>
      <c r="FQ130" s="360" t="str">
        <f ca="1">IF(OR(FP130="",FZ130="",FP130=FZ130),"",CONCATENATE(FP130,FZ130))</f>
        <v/>
      </c>
      <c r="FR130" s="360" t="str">
        <f t="shared" ref="FR130:FR139" ca="1" si="360">IF($FQ130="","",VLOOKUP($FQ130,games.a,9,FALSE))</f>
        <v/>
      </c>
      <c r="FS130" s="360" t="str">
        <f t="shared" ref="FS130:FS139" ca="1" si="361">IF($FQ130="","",VLOOKUP($FQ130,games.a,10,FALSE))</f>
        <v/>
      </c>
      <c r="FT130" s="360" t="str">
        <f t="shared" ref="FT130:FT139" ca="1" si="362">IF($FQ130="","",VLOOKUP($FQ130,games.a,11,FALSE))</f>
        <v/>
      </c>
      <c r="FU130" s="360" t="str">
        <f t="shared" ref="FU130:FU139" ca="1" si="363">IF($FQ130="","",VLOOKUP($FQ130,games.a,12,FALSE))</f>
        <v/>
      </c>
      <c r="FV130" s="360" t="str">
        <f t="shared" ref="FV130:FV139" ca="1" si="364">IF($FQ130="","",VLOOKUP($FQ130,games.a,13,FALSE))</f>
        <v/>
      </c>
      <c r="FW130" s="360" t="str">
        <f t="shared" ref="FW130:FW139" ca="1" si="365">IF($FQ130="","",VLOOKUP($FQ130,games.a,14,FALSE))</f>
        <v/>
      </c>
      <c r="FX130" s="360" t="str">
        <f t="shared" ref="FX130:FX139" ca="1" si="366">IF($FQ130="","",VLOOKUP($FQ130,games.a,6,FALSE))</f>
        <v/>
      </c>
      <c r="FY130" s="360" t="str">
        <f t="shared" ref="FY130:FY139" ca="1" si="367">IF($FQ130="","",VLOOKUP($FQ130,games.a,7,FALSE))</f>
        <v/>
      </c>
      <c r="FZ130" s="363" t="str">
        <f ca="1">FP50</f>
        <v/>
      </c>
      <c r="GA130" s="302"/>
      <c r="GB130" s="364"/>
      <c r="GC130" s="302"/>
    </row>
    <row r="131" spans="53:185" x14ac:dyDescent="0.25">
      <c r="BA131" s="439">
        <f t="shared" ca="1" si="346"/>
        <v>-999999999999.97205</v>
      </c>
      <c r="BB131" s="428"/>
      <c r="BC131" s="440">
        <f t="shared" si="347"/>
        <v>0</v>
      </c>
      <c r="BD131" s="427"/>
      <c r="BF131" s="442">
        <v>17</v>
      </c>
      <c r="BG131" s="349" t="e">
        <f t="shared" ca="1" si="354"/>
        <v>#REF!</v>
      </c>
      <c r="BH131" s="349" t="e">
        <f t="shared" ca="1" si="354"/>
        <v>#REF!</v>
      </c>
      <c r="BI131" s="349" t="e">
        <f t="shared" ca="1" si="354"/>
        <v>#REF!</v>
      </c>
      <c r="BJ131" s="349" t="e">
        <f t="shared" ca="1" si="354"/>
        <v>#REF!</v>
      </c>
      <c r="BK131" s="349" t="e">
        <f t="shared" ca="1" si="354"/>
        <v>#REF!</v>
      </c>
      <c r="BL131" s="349" t="e">
        <f t="shared" ca="1" si="354"/>
        <v>#REF!</v>
      </c>
      <c r="BM131" s="349" t="e">
        <f t="shared" ca="1" si="354"/>
        <v>#REF!</v>
      </c>
      <c r="BN131" s="349" t="e">
        <f t="shared" ca="1" si="354"/>
        <v>#REF!</v>
      </c>
      <c r="BO131" s="349" t="e">
        <f t="shared" ca="1" si="354"/>
        <v>#REF!</v>
      </c>
      <c r="BP131" s="349" t="e">
        <f t="shared" ca="1" si="354"/>
        <v>#REF!</v>
      </c>
      <c r="BQ131" s="441" t="e">
        <f t="shared" ca="1" si="354"/>
        <v>#REF!</v>
      </c>
      <c r="CH131" s="350"/>
      <c r="CI131" s="350"/>
      <c r="CJ131" s="350"/>
      <c r="CK131" s="350"/>
      <c r="CL131" s="350"/>
      <c r="CM131" s="350"/>
      <c r="DG131" s="350"/>
      <c r="DH131" s="300"/>
      <c r="DI131" s="395" t="str">
        <f t="shared" ref="DI131:DI139" ca="1" si="368">DI120</f>
        <v>Bakafogó-Honvéd-Sashegy SE</v>
      </c>
      <c r="DJ131" s="360" t="str">
        <f t="shared" ref="DJ131:DJ139" ca="1" si="369">IF(OR(DI131="",DP131="",DI131=DP131),"",CONCATENATE(DI131,DP131))</f>
        <v/>
      </c>
      <c r="DK131" s="360" t="str">
        <f t="shared" ca="1" si="355"/>
        <v/>
      </c>
      <c r="DL131" s="354" t="str">
        <f t="shared" ca="1" si="356"/>
        <v/>
      </c>
      <c r="DM131" s="354" t="str">
        <f t="shared" ca="1" si="357"/>
        <v/>
      </c>
      <c r="DN131" s="361" t="str">
        <f t="shared" ca="1" si="358"/>
        <v/>
      </c>
      <c r="DO131" s="362" t="str">
        <f t="shared" ca="1" si="359"/>
        <v/>
      </c>
      <c r="DP131" s="379" t="str">
        <f ca="1">DP130</f>
        <v/>
      </c>
      <c r="DQ131" s="302"/>
      <c r="DR131" s="364"/>
      <c r="DS131" s="302"/>
      <c r="DU131" s="424"/>
      <c r="DV131" s="424"/>
      <c r="DW131" s="424"/>
      <c r="DX131" s="424"/>
      <c r="DY131" s="424"/>
      <c r="DZ131" s="424"/>
      <c r="EA131" s="424"/>
      <c r="EB131" s="424"/>
      <c r="EC131" s="424"/>
      <c r="ED131" s="424"/>
      <c r="EE131" s="424"/>
      <c r="EF131" s="424"/>
      <c r="EG131" s="424"/>
      <c r="EH131" s="424"/>
      <c r="EI131" s="424"/>
      <c r="EJ131" s="424"/>
      <c r="EK131" s="424"/>
      <c r="EL131" s="424"/>
      <c r="EM131" s="424"/>
      <c r="EN131" s="424"/>
      <c r="EO131" s="424"/>
      <c r="EP131" s="424"/>
      <c r="EQ131" s="424"/>
      <c r="ER131" s="424"/>
      <c r="ES131" s="424"/>
      <c r="ET131" s="424"/>
      <c r="EU131" s="424"/>
      <c r="EV131" s="424"/>
      <c r="EW131" s="424"/>
      <c r="EX131" s="424"/>
      <c r="EY131" s="424"/>
      <c r="EZ131" s="424"/>
      <c r="FA131" s="424"/>
      <c r="FB131" s="424"/>
      <c r="FC131" s="424"/>
      <c r="FD131" s="425"/>
      <c r="FE131" s="333"/>
      <c r="FO131" s="300"/>
      <c r="FP131" s="395" t="str">
        <f t="shared" ref="FP131:FP139" ca="1" si="370">FP120</f>
        <v/>
      </c>
      <c r="FQ131" s="360" t="str">
        <f t="shared" ref="FQ131:FQ139" ca="1" si="371">IF(OR(FP131="",FZ131="",FP131=FZ131),"",CONCATENATE(FP131,FZ131))</f>
        <v/>
      </c>
      <c r="FR131" s="360" t="str">
        <f t="shared" ca="1" si="360"/>
        <v/>
      </c>
      <c r="FS131" s="360" t="str">
        <f t="shared" ca="1" si="361"/>
        <v/>
      </c>
      <c r="FT131" s="360" t="str">
        <f t="shared" ca="1" si="362"/>
        <v/>
      </c>
      <c r="FU131" s="360" t="str">
        <f t="shared" ca="1" si="363"/>
        <v/>
      </c>
      <c r="FV131" s="360" t="str">
        <f t="shared" ca="1" si="364"/>
        <v/>
      </c>
      <c r="FW131" s="360" t="str">
        <f t="shared" ca="1" si="365"/>
        <v/>
      </c>
      <c r="FX131" s="360" t="str">
        <f t="shared" ca="1" si="366"/>
        <v/>
      </c>
      <c r="FY131" s="360" t="str">
        <f t="shared" ca="1" si="367"/>
        <v/>
      </c>
      <c r="FZ131" s="379" t="str">
        <f ca="1">FZ130</f>
        <v/>
      </c>
      <c r="GA131" s="302"/>
      <c r="GB131" s="364"/>
      <c r="GC131" s="302"/>
    </row>
    <row r="132" spans="53:185" x14ac:dyDescent="0.25">
      <c r="BA132" s="439">
        <f t="shared" ca="1" si="346"/>
        <v>-999999999999.97302</v>
      </c>
      <c r="BB132" s="428"/>
      <c r="BC132" s="440">
        <f t="shared" si="347"/>
        <v>0</v>
      </c>
      <c r="BD132" s="427"/>
      <c r="BF132" s="442">
        <v>18</v>
      </c>
      <c r="BG132" s="349" t="e">
        <f t="shared" ca="1" si="354"/>
        <v>#REF!</v>
      </c>
      <c r="BH132" s="349" t="e">
        <f t="shared" ca="1" si="354"/>
        <v>#REF!</v>
      </c>
      <c r="BI132" s="349" t="e">
        <f t="shared" ca="1" si="354"/>
        <v>#REF!</v>
      </c>
      <c r="BJ132" s="349" t="e">
        <f t="shared" ca="1" si="354"/>
        <v>#REF!</v>
      </c>
      <c r="BK132" s="349" t="e">
        <f t="shared" ca="1" si="354"/>
        <v>#REF!</v>
      </c>
      <c r="BL132" s="349" t="e">
        <f t="shared" ca="1" si="354"/>
        <v>#REF!</v>
      </c>
      <c r="BM132" s="349" t="e">
        <f t="shared" ca="1" si="354"/>
        <v>#REF!</v>
      </c>
      <c r="BN132" s="349" t="e">
        <f t="shared" ca="1" si="354"/>
        <v>#REF!</v>
      </c>
      <c r="BO132" s="349" t="e">
        <f t="shared" ca="1" si="354"/>
        <v>#REF!</v>
      </c>
      <c r="BP132" s="349" t="e">
        <f t="shared" ca="1" si="354"/>
        <v>#REF!</v>
      </c>
      <c r="BQ132" s="441" t="e">
        <f t="shared" ca="1" si="354"/>
        <v>#REF!</v>
      </c>
      <c r="CH132" s="350"/>
      <c r="CI132" s="350"/>
      <c r="CJ132" s="350"/>
      <c r="CK132" s="350"/>
      <c r="CL132" s="350"/>
      <c r="CM132" s="350"/>
      <c r="DG132" s="350"/>
      <c r="DH132" s="300"/>
      <c r="DI132" s="395" t="str">
        <f t="shared" ca="1" si="368"/>
        <v/>
      </c>
      <c r="DJ132" s="360" t="str">
        <f t="shared" ca="1" si="369"/>
        <v/>
      </c>
      <c r="DK132" s="360" t="str">
        <f t="shared" ca="1" si="355"/>
        <v/>
      </c>
      <c r="DL132" s="354" t="str">
        <f t="shared" ca="1" si="356"/>
        <v/>
      </c>
      <c r="DM132" s="354" t="str">
        <f t="shared" ca="1" si="357"/>
        <v/>
      </c>
      <c r="DN132" s="361" t="str">
        <f t="shared" ca="1" si="358"/>
        <v/>
      </c>
      <c r="DO132" s="362" t="str">
        <f t="shared" ca="1" si="359"/>
        <v/>
      </c>
      <c r="DP132" s="379" t="str">
        <f t="shared" ref="DP132:DP139" ca="1" si="372">DP131</f>
        <v/>
      </c>
      <c r="DQ132" s="302"/>
      <c r="DR132" s="364"/>
      <c r="DS132" s="302"/>
      <c r="DU132" s="424"/>
      <c r="DV132" s="424"/>
      <c r="DW132" s="424"/>
      <c r="DX132" s="424"/>
      <c r="DY132" s="424"/>
      <c r="DZ132" s="424"/>
      <c r="EA132" s="424"/>
      <c r="EB132" s="424"/>
      <c r="EC132" s="424"/>
      <c r="ED132" s="424"/>
      <c r="EE132" s="424"/>
      <c r="EF132" s="424"/>
      <c r="EG132" s="424"/>
      <c r="EH132" s="424"/>
      <c r="EI132" s="424"/>
      <c r="EJ132" s="424"/>
      <c r="EK132" s="424"/>
      <c r="EL132" s="424"/>
      <c r="EM132" s="424"/>
      <c r="EN132" s="424"/>
      <c r="EO132" s="424"/>
      <c r="EP132" s="424"/>
      <c r="EQ132" s="424"/>
      <c r="ER132" s="424"/>
      <c r="ES132" s="424"/>
      <c r="ET132" s="424"/>
      <c r="EU132" s="424"/>
      <c r="EV132" s="424"/>
      <c r="EW132" s="424"/>
      <c r="EX132" s="424"/>
      <c r="EY132" s="424"/>
      <c r="EZ132" s="424"/>
      <c r="FA132" s="424"/>
      <c r="FB132" s="424"/>
      <c r="FC132" s="424"/>
      <c r="FD132" s="425"/>
      <c r="FE132" s="333"/>
      <c r="FO132" s="300"/>
      <c r="FP132" s="395" t="str">
        <f t="shared" ca="1" si="370"/>
        <v/>
      </c>
      <c r="FQ132" s="360" t="str">
        <f t="shared" ca="1" si="371"/>
        <v/>
      </c>
      <c r="FR132" s="360" t="str">
        <f t="shared" ca="1" si="360"/>
        <v/>
      </c>
      <c r="FS132" s="360" t="str">
        <f t="shared" ca="1" si="361"/>
        <v/>
      </c>
      <c r="FT132" s="360" t="str">
        <f t="shared" ca="1" si="362"/>
        <v/>
      </c>
      <c r="FU132" s="360" t="str">
        <f t="shared" ca="1" si="363"/>
        <v/>
      </c>
      <c r="FV132" s="360" t="str">
        <f t="shared" ca="1" si="364"/>
        <v/>
      </c>
      <c r="FW132" s="360" t="str">
        <f t="shared" ca="1" si="365"/>
        <v/>
      </c>
      <c r="FX132" s="360" t="str">
        <f t="shared" ca="1" si="366"/>
        <v/>
      </c>
      <c r="FY132" s="360" t="str">
        <f t="shared" ca="1" si="367"/>
        <v/>
      </c>
      <c r="FZ132" s="379" t="str">
        <f t="shared" ref="FZ132:FZ139" ca="1" si="373">FZ131</f>
        <v/>
      </c>
      <c r="GA132" s="302"/>
      <c r="GB132" s="364"/>
      <c r="GC132" s="302"/>
    </row>
    <row r="133" spans="53:185" x14ac:dyDescent="0.25">
      <c r="BA133" s="439">
        <f t="shared" ca="1" si="346"/>
        <v>-999999999999.974</v>
      </c>
      <c r="BB133" s="428"/>
      <c r="BC133" s="440">
        <f t="shared" si="347"/>
        <v>0</v>
      </c>
      <c r="BD133" s="427"/>
      <c r="BF133" s="442">
        <v>19</v>
      </c>
      <c r="BG133" s="349" t="e">
        <f t="shared" ca="1" si="354"/>
        <v>#REF!</v>
      </c>
      <c r="BH133" s="349" t="e">
        <f t="shared" ca="1" si="354"/>
        <v>#REF!</v>
      </c>
      <c r="BI133" s="349" t="e">
        <f t="shared" ca="1" si="354"/>
        <v>#REF!</v>
      </c>
      <c r="BJ133" s="349" t="e">
        <f t="shared" ca="1" si="354"/>
        <v>#REF!</v>
      </c>
      <c r="BK133" s="349" t="e">
        <f t="shared" ca="1" si="354"/>
        <v>#REF!</v>
      </c>
      <c r="BL133" s="349" t="e">
        <f t="shared" ca="1" si="354"/>
        <v>#REF!</v>
      </c>
      <c r="BM133" s="349" t="e">
        <f t="shared" ca="1" si="354"/>
        <v>#REF!</v>
      </c>
      <c r="BN133" s="349" t="e">
        <f t="shared" ca="1" si="354"/>
        <v>#REF!</v>
      </c>
      <c r="BO133" s="349" t="e">
        <f t="shared" ca="1" si="354"/>
        <v>#REF!</v>
      </c>
      <c r="BP133" s="349" t="e">
        <f t="shared" ca="1" si="354"/>
        <v>#REF!</v>
      </c>
      <c r="BQ133" s="441" t="e">
        <f t="shared" ca="1" si="354"/>
        <v>#REF!</v>
      </c>
      <c r="CH133" s="350"/>
      <c r="CI133" s="350"/>
      <c r="CJ133" s="350"/>
      <c r="CK133" s="350"/>
      <c r="CL133" s="350"/>
      <c r="CM133" s="350"/>
      <c r="DG133" s="350"/>
      <c r="DH133" s="300"/>
      <c r="DI133" s="395" t="str">
        <f t="shared" ca="1" si="368"/>
        <v/>
      </c>
      <c r="DJ133" s="360" t="str">
        <f t="shared" ca="1" si="369"/>
        <v/>
      </c>
      <c r="DK133" s="360" t="str">
        <f t="shared" ca="1" si="355"/>
        <v/>
      </c>
      <c r="DL133" s="354" t="str">
        <f t="shared" ca="1" si="356"/>
        <v/>
      </c>
      <c r="DM133" s="354" t="str">
        <f t="shared" ca="1" si="357"/>
        <v/>
      </c>
      <c r="DN133" s="361" t="str">
        <f t="shared" ca="1" si="358"/>
        <v/>
      </c>
      <c r="DO133" s="362" t="str">
        <f t="shared" ca="1" si="359"/>
        <v/>
      </c>
      <c r="DP133" s="379" t="str">
        <f t="shared" ca="1" si="372"/>
        <v/>
      </c>
      <c r="DQ133" s="302"/>
      <c r="DR133" s="364"/>
      <c r="DS133" s="302"/>
      <c r="DU133" s="424"/>
      <c r="DV133" s="424"/>
      <c r="DW133" s="424"/>
      <c r="DX133" s="424"/>
      <c r="DY133" s="424"/>
      <c r="DZ133" s="424"/>
      <c r="EA133" s="424"/>
      <c r="EB133" s="424"/>
      <c r="EC133" s="424"/>
      <c r="ED133" s="424"/>
      <c r="EE133" s="424"/>
      <c r="EF133" s="424"/>
      <c r="EG133" s="424"/>
      <c r="EH133" s="424"/>
      <c r="EI133" s="424"/>
      <c r="EJ133" s="424"/>
      <c r="EK133" s="424"/>
      <c r="EL133" s="424"/>
      <c r="EM133" s="424"/>
      <c r="EN133" s="424"/>
      <c r="EO133" s="424"/>
      <c r="EP133" s="424"/>
      <c r="EQ133" s="424"/>
      <c r="ER133" s="424"/>
      <c r="ES133" s="424"/>
      <c r="ET133" s="424"/>
      <c r="EU133" s="424"/>
      <c r="EV133" s="424"/>
      <c r="EW133" s="424"/>
      <c r="EX133" s="424"/>
      <c r="EY133" s="424"/>
      <c r="EZ133" s="424"/>
      <c r="FA133" s="424"/>
      <c r="FB133" s="424"/>
      <c r="FC133" s="424"/>
      <c r="FD133" s="425"/>
      <c r="FE133" s="333"/>
      <c r="FO133" s="300"/>
      <c r="FP133" s="395" t="str">
        <f t="shared" ca="1" si="370"/>
        <v/>
      </c>
      <c r="FQ133" s="360" t="str">
        <f t="shared" ca="1" si="371"/>
        <v/>
      </c>
      <c r="FR133" s="360" t="str">
        <f t="shared" ca="1" si="360"/>
        <v/>
      </c>
      <c r="FS133" s="360" t="str">
        <f t="shared" ca="1" si="361"/>
        <v/>
      </c>
      <c r="FT133" s="360" t="str">
        <f t="shared" ca="1" si="362"/>
        <v/>
      </c>
      <c r="FU133" s="360" t="str">
        <f t="shared" ca="1" si="363"/>
        <v/>
      </c>
      <c r="FV133" s="360" t="str">
        <f t="shared" ca="1" si="364"/>
        <v/>
      </c>
      <c r="FW133" s="360" t="str">
        <f t="shared" ca="1" si="365"/>
        <v/>
      </c>
      <c r="FX133" s="360" t="str">
        <f t="shared" ca="1" si="366"/>
        <v/>
      </c>
      <c r="FY133" s="360" t="str">
        <f t="shared" ca="1" si="367"/>
        <v/>
      </c>
      <c r="FZ133" s="379" t="str">
        <f t="shared" ca="1" si="373"/>
        <v/>
      </c>
      <c r="GA133" s="302"/>
      <c r="GB133" s="364"/>
      <c r="GC133" s="302"/>
    </row>
    <row r="134" spans="53:185" x14ac:dyDescent="0.25">
      <c r="BA134" s="439">
        <f t="shared" ca="1" si="346"/>
        <v>-999999999999.97498</v>
      </c>
      <c r="BB134" s="428"/>
      <c r="BC134" s="440">
        <f t="shared" si="347"/>
        <v>0</v>
      </c>
      <c r="BD134" s="427"/>
      <c r="BF134" s="442">
        <v>20</v>
      </c>
      <c r="BG134" s="349" t="e">
        <f t="shared" ca="1" si="354"/>
        <v>#REF!</v>
      </c>
      <c r="BH134" s="349" t="e">
        <f t="shared" ca="1" si="354"/>
        <v>#REF!</v>
      </c>
      <c r="BI134" s="349" t="e">
        <f t="shared" ca="1" si="354"/>
        <v>#REF!</v>
      </c>
      <c r="BJ134" s="349" t="e">
        <f t="shared" ca="1" si="354"/>
        <v>#REF!</v>
      </c>
      <c r="BK134" s="349" t="e">
        <f t="shared" ca="1" si="354"/>
        <v>#REF!</v>
      </c>
      <c r="BL134" s="349" t="e">
        <f t="shared" ca="1" si="354"/>
        <v>#REF!</v>
      </c>
      <c r="BM134" s="349" t="e">
        <f t="shared" ca="1" si="354"/>
        <v>#REF!</v>
      </c>
      <c r="BN134" s="349" t="e">
        <f t="shared" ca="1" si="354"/>
        <v>#REF!</v>
      </c>
      <c r="BO134" s="349" t="e">
        <f t="shared" ca="1" si="354"/>
        <v>#REF!</v>
      </c>
      <c r="BP134" s="349" t="e">
        <f t="shared" ca="1" si="354"/>
        <v>#REF!</v>
      </c>
      <c r="BQ134" s="441" t="e">
        <f t="shared" ca="1" si="354"/>
        <v>#REF!</v>
      </c>
      <c r="CH134" s="350"/>
      <c r="CI134" s="350"/>
      <c r="CJ134" s="350"/>
      <c r="CK134" s="350"/>
      <c r="CL134" s="350"/>
      <c r="CM134" s="350"/>
      <c r="DG134" s="350"/>
      <c r="DH134" s="300"/>
      <c r="DI134" s="395" t="str">
        <f t="shared" ca="1" si="368"/>
        <v/>
      </c>
      <c r="DJ134" s="360" t="str">
        <f t="shared" ca="1" si="369"/>
        <v/>
      </c>
      <c r="DK134" s="360" t="str">
        <f t="shared" ca="1" si="355"/>
        <v/>
      </c>
      <c r="DL134" s="354" t="str">
        <f t="shared" ca="1" si="356"/>
        <v/>
      </c>
      <c r="DM134" s="354" t="str">
        <f t="shared" ca="1" si="357"/>
        <v/>
      </c>
      <c r="DN134" s="361" t="str">
        <f t="shared" ca="1" si="358"/>
        <v/>
      </c>
      <c r="DO134" s="362" t="str">
        <f t="shared" ca="1" si="359"/>
        <v/>
      </c>
      <c r="DP134" s="379" t="str">
        <f t="shared" ca="1" si="372"/>
        <v/>
      </c>
      <c r="DQ134" s="302"/>
      <c r="DR134" s="364"/>
      <c r="DS134" s="302"/>
      <c r="DU134" s="424"/>
      <c r="DV134" s="424"/>
      <c r="DW134" s="424"/>
      <c r="DX134" s="424"/>
      <c r="DY134" s="424"/>
      <c r="DZ134" s="424"/>
      <c r="EA134" s="424"/>
      <c r="EB134" s="424"/>
      <c r="EC134" s="424"/>
      <c r="ED134" s="424"/>
      <c r="EE134" s="424"/>
      <c r="EF134" s="424"/>
      <c r="EG134" s="424"/>
      <c r="EH134" s="424"/>
      <c r="EI134" s="424"/>
      <c r="EJ134" s="424"/>
      <c r="EK134" s="424"/>
      <c r="EL134" s="424"/>
      <c r="EM134" s="424"/>
      <c r="EN134" s="424"/>
      <c r="EO134" s="424"/>
      <c r="EP134" s="424"/>
      <c r="EQ134" s="424"/>
      <c r="ER134" s="424"/>
      <c r="ES134" s="424"/>
      <c r="ET134" s="424"/>
      <c r="EU134" s="424"/>
      <c r="EV134" s="424"/>
      <c r="EW134" s="424"/>
      <c r="EX134" s="424"/>
      <c r="EY134" s="424"/>
      <c r="EZ134" s="424"/>
      <c r="FA134" s="424"/>
      <c r="FB134" s="424"/>
      <c r="FC134" s="424"/>
      <c r="FD134" s="425"/>
      <c r="FE134" s="333"/>
      <c r="FO134" s="300"/>
      <c r="FP134" s="395" t="str">
        <f t="shared" ca="1" si="370"/>
        <v/>
      </c>
      <c r="FQ134" s="360" t="str">
        <f t="shared" ca="1" si="371"/>
        <v/>
      </c>
      <c r="FR134" s="360" t="str">
        <f t="shared" ca="1" si="360"/>
        <v/>
      </c>
      <c r="FS134" s="360" t="str">
        <f t="shared" ca="1" si="361"/>
        <v/>
      </c>
      <c r="FT134" s="360" t="str">
        <f t="shared" ca="1" si="362"/>
        <v/>
      </c>
      <c r="FU134" s="360" t="str">
        <f t="shared" ca="1" si="363"/>
        <v/>
      </c>
      <c r="FV134" s="360" t="str">
        <f t="shared" ca="1" si="364"/>
        <v/>
      </c>
      <c r="FW134" s="360" t="str">
        <f t="shared" ca="1" si="365"/>
        <v/>
      </c>
      <c r="FX134" s="360" t="str">
        <f t="shared" ca="1" si="366"/>
        <v/>
      </c>
      <c r="FY134" s="360" t="str">
        <f t="shared" ca="1" si="367"/>
        <v/>
      </c>
      <c r="FZ134" s="379" t="str">
        <f t="shared" ca="1" si="373"/>
        <v/>
      </c>
      <c r="GA134" s="302"/>
      <c r="GB134" s="364"/>
      <c r="GC134" s="302"/>
    </row>
    <row r="135" spans="53:185" x14ac:dyDescent="0.25">
      <c r="BA135" s="439">
        <f t="shared" ca="1" si="346"/>
        <v>-999999999999.97595</v>
      </c>
      <c r="BB135" s="428"/>
      <c r="BC135" s="440">
        <f t="shared" si="347"/>
        <v>0</v>
      </c>
      <c r="BD135" s="427"/>
      <c r="BF135" s="442">
        <v>21</v>
      </c>
      <c r="BG135" s="349" t="e">
        <f t="shared" ca="1" si="354"/>
        <v>#REF!</v>
      </c>
      <c r="BH135" s="349" t="e">
        <f t="shared" ca="1" si="354"/>
        <v>#REF!</v>
      </c>
      <c r="BI135" s="349" t="e">
        <f t="shared" ca="1" si="354"/>
        <v>#REF!</v>
      </c>
      <c r="BJ135" s="349" t="e">
        <f t="shared" ca="1" si="354"/>
        <v>#REF!</v>
      </c>
      <c r="BK135" s="349" t="e">
        <f t="shared" ca="1" si="354"/>
        <v>#REF!</v>
      </c>
      <c r="BL135" s="349" t="e">
        <f t="shared" ca="1" si="354"/>
        <v>#REF!</v>
      </c>
      <c r="BM135" s="349" t="e">
        <f t="shared" ca="1" si="354"/>
        <v>#REF!</v>
      </c>
      <c r="BN135" s="349" t="e">
        <f t="shared" ca="1" si="354"/>
        <v>#REF!</v>
      </c>
      <c r="BO135" s="349" t="e">
        <f t="shared" ca="1" si="354"/>
        <v>#REF!</v>
      </c>
      <c r="BP135" s="349" t="e">
        <f t="shared" ca="1" si="354"/>
        <v>#REF!</v>
      </c>
      <c r="BQ135" s="441" t="e">
        <f t="shared" ca="1" si="354"/>
        <v>#REF!</v>
      </c>
      <c r="CH135" s="350"/>
      <c r="CI135" s="350"/>
      <c r="CJ135" s="350"/>
      <c r="CK135" s="350"/>
      <c r="CL135" s="350"/>
      <c r="CM135" s="350"/>
      <c r="DG135" s="350"/>
      <c r="DH135" s="300"/>
      <c r="DI135" s="395" t="str">
        <f t="shared" ca="1" si="368"/>
        <v/>
      </c>
      <c r="DJ135" s="360" t="str">
        <f t="shared" ca="1" si="369"/>
        <v/>
      </c>
      <c r="DK135" s="360" t="str">
        <f t="shared" ca="1" si="355"/>
        <v/>
      </c>
      <c r="DL135" s="354" t="str">
        <f t="shared" ca="1" si="356"/>
        <v/>
      </c>
      <c r="DM135" s="354" t="str">
        <f t="shared" ca="1" si="357"/>
        <v/>
      </c>
      <c r="DN135" s="361" t="str">
        <f t="shared" ca="1" si="358"/>
        <v/>
      </c>
      <c r="DO135" s="362" t="str">
        <f t="shared" ca="1" si="359"/>
        <v/>
      </c>
      <c r="DP135" s="379" t="str">
        <f t="shared" ca="1" si="372"/>
        <v/>
      </c>
      <c r="DQ135" s="302"/>
      <c r="DR135" s="364"/>
      <c r="DS135" s="302"/>
      <c r="DU135" s="424"/>
      <c r="DV135" s="424"/>
      <c r="DW135" s="424"/>
      <c r="DX135" s="424"/>
      <c r="DY135" s="424"/>
      <c r="DZ135" s="424"/>
      <c r="EA135" s="424"/>
      <c r="EB135" s="424"/>
      <c r="EC135" s="424"/>
      <c r="ED135" s="424"/>
      <c r="EE135" s="424"/>
      <c r="EF135" s="424"/>
      <c r="EG135" s="424"/>
      <c r="EH135" s="424"/>
      <c r="EI135" s="424"/>
      <c r="EJ135" s="424"/>
      <c r="EK135" s="424"/>
      <c r="EL135" s="424"/>
      <c r="EM135" s="424"/>
      <c r="EN135" s="424"/>
      <c r="EO135" s="424"/>
      <c r="EP135" s="424"/>
      <c r="EQ135" s="424"/>
      <c r="ER135" s="424"/>
      <c r="ES135" s="424"/>
      <c r="ET135" s="424"/>
      <c r="EU135" s="424"/>
      <c r="EV135" s="424"/>
      <c r="EW135" s="424"/>
      <c r="EX135" s="424"/>
      <c r="EY135" s="424"/>
      <c r="EZ135" s="424"/>
      <c r="FA135" s="424"/>
      <c r="FB135" s="424"/>
      <c r="FC135" s="424"/>
      <c r="FD135" s="425"/>
      <c r="FE135" s="333"/>
      <c r="FO135" s="300"/>
      <c r="FP135" s="395" t="str">
        <f t="shared" ca="1" si="370"/>
        <v/>
      </c>
      <c r="FQ135" s="360" t="str">
        <f t="shared" ca="1" si="371"/>
        <v/>
      </c>
      <c r="FR135" s="360" t="str">
        <f t="shared" ca="1" si="360"/>
        <v/>
      </c>
      <c r="FS135" s="360" t="str">
        <f t="shared" ca="1" si="361"/>
        <v/>
      </c>
      <c r="FT135" s="360" t="str">
        <f t="shared" ca="1" si="362"/>
        <v/>
      </c>
      <c r="FU135" s="360" t="str">
        <f t="shared" ca="1" si="363"/>
        <v/>
      </c>
      <c r="FV135" s="360" t="str">
        <f t="shared" ca="1" si="364"/>
        <v/>
      </c>
      <c r="FW135" s="360" t="str">
        <f t="shared" ca="1" si="365"/>
        <v/>
      </c>
      <c r="FX135" s="360" t="str">
        <f t="shared" ca="1" si="366"/>
        <v/>
      </c>
      <c r="FY135" s="360" t="str">
        <f t="shared" ca="1" si="367"/>
        <v/>
      </c>
      <c r="FZ135" s="379" t="str">
        <f t="shared" ca="1" si="373"/>
        <v/>
      </c>
      <c r="GA135" s="302"/>
      <c r="GB135" s="364"/>
      <c r="GC135" s="302"/>
    </row>
    <row r="136" spans="53:185" x14ac:dyDescent="0.25">
      <c r="BA136" s="439">
        <f t="shared" ca="1" si="346"/>
        <v>-999999999999.97705</v>
      </c>
      <c r="BB136" s="428"/>
      <c r="BC136" s="440">
        <f t="shared" si="347"/>
        <v>0</v>
      </c>
      <c r="BD136" s="427"/>
      <c r="BF136" s="442">
        <v>22</v>
      </c>
      <c r="BG136" s="349" t="e">
        <f t="shared" ca="1" si="354"/>
        <v>#REF!</v>
      </c>
      <c r="BH136" s="349" t="e">
        <f t="shared" ca="1" si="354"/>
        <v>#REF!</v>
      </c>
      <c r="BI136" s="349" t="e">
        <f t="shared" ca="1" si="354"/>
        <v>#REF!</v>
      </c>
      <c r="BJ136" s="349" t="e">
        <f t="shared" ca="1" si="354"/>
        <v>#REF!</v>
      </c>
      <c r="BK136" s="349" t="e">
        <f t="shared" ca="1" si="354"/>
        <v>#REF!</v>
      </c>
      <c r="BL136" s="349" t="e">
        <f t="shared" ca="1" si="354"/>
        <v>#REF!</v>
      </c>
      <c r="BM136" s="349" t="e">
        <f t="shared" ca="1" si="354"/>
        <v>#REF!</v>
      </c>
      <c r="BN136" s="349" t="e">
        <f t="shared" ca="1" si="354"/>
        <v>#REF!</v>
      </c>
      <c r="BO136" s="349" t="e">
        <f t="shared" ca="1" si="354"/>
        <v>#REF!</v>
      </c>
      <c r="BP136" s="349" t="e">
        <f t="shared" ca="1" si="354"/>
        <v>#REF!</v>
      </c>
      <c r="BQ136" s="441" t="e">
        <f t="shared" ca="1" si="354"/>
        <v>#REF!</v>
      </c>
      <c r="CH136" s="350"/>
      <c r="CI136" s="350"/>
      <c r="CJ136" s="350"/>
      <c r="CK136" s="350"/>
      <c r="CL136" s="350"/>
      <c r="CM136" s="350"/>
      <c r="DG136" s="350"/>
      <c r="DH136" s="300"/>
      <c r="DI136" s="395" t="str">
        <f t="shared" ca="1" si="368"/>
        <v/>
      </c>
      <c r="DJ136" s="360" t="str">
        <f t="shared" ca="1" si="369"/>
        <v/>
      </c>
      <c r="DK136" s="360" t="str">
        <f t="shared" ca="1" si="355"/>
        <v/>
      </c>
      <c r="DL136" s="354" t="str">
        <f t="shared" ca="1" si="356"/>
        <v/>
      </c>
      <c r="DM136" s="354" t="str">
        <f t="shared" ca="1" si="357"/>
        <v/>
      </c>
      <c r="DN136" s="361" t="str">
        <f t="shared" ca="1" si="358"/>
        <v/>
      </c>
      <c r="DO136" s="362" t="str">
        <f t="shared" ca="1" si="359"/>
        <v/>
      </c>
      <c r="DP136" s="379" t="str">
        <f t="shared" ca="1" si="372"/>
        <v/>
      </c>
      <c r="DQ136" s="302"/>
      <c r="DR136" s="364"/>
      <c r="DS136" s="302"/>
      <c r="DU136" s="424"/>
      <c r="DV136" s="424"/>
      <c r="DW136" s="424"/>
      <c r="DX136" s="424"/>
      <c r="DY136" s="424"/>
      <c r="DZ136" s="424"/>
      <c r="EA136" s="424"/>
      <c r="EB136" s="424"/>
      <c r="EC136" s="424"/>
      <c r="ED136" s="424"/>
      <c r="EE136" s="424"/>
      <c r="EF136" s="424"/>
      <c r="EG136" s="424"/>
      <c r="EH136" s="424"/>
      <c r="EI136" s="424"/>
      <c r="EJ136" s="424"/>
      <c r="EK136" s="424"/>
      <c r="EL136" s="424"/>
      <c r="EM136" s="424"/>
      <c r="EN136" s="424"/>
      <c r="EO136" s="424"/>
      <c r="EP136" s="424"/>
      <c r="EQ136" s="424"/>
      <c r="ER136" s="424"/>
      <c r="ES136" s="424"/>
      <c r="ET136" s="424"/>
      <c r="EU136" s="424"/>
      <c r="EV136" s="424"/>
      <c r="EW136" s="424"/>
      <c r="EX136" s="424"/>
      <c r="EY136" s="424"/>
      <c r="EZ136" s="424"/>
      <c r="FA136" s="424"/>
      <c r="FB136" s="424"/>
      <c r="FC136" s="424"/>
      <c r="FD136" s="425"/>
      <c r="FE136" s="333"/>
      <c r="FO136" s="300"/>
      <c r="FP136" s="395" t="str">
        <f t="shared" ca="1" si="370"/>
        <v/>
      </c>
      <c r="FQ136" s="360" t="str">
        <f t="shared" ca="1" si="371"/>
        <v/>
      </c>
      <c r="FR136" s="360" t="str">
        <f t="shared" ca="1" si="360"/>
        <v/>
      </c>
      <c r="FS136" s="360" t="str">
        <f t="shared" ca="1" si="361"/>
        <v/>
      </c>
      <c r="FT136" s="360" t="str">
        <f t="shared" ca="1" si="362"/>
        <v/>
      </c>
      <c r="FU136" s="360" t="str">
        <f t="shared" ca="1" si="363"/>
        <v/>
      </c>
      <c r="FV136" s="360" t="str">
        <f t="shared" ca="1" si="364"/>
        <v/>
      </c>
      <c r="FW136" s="360" t="str">
        <f t="shared" ca="1" si="365"/>
        <v/>
      </c>
      <c r="FX136" s="360" t="str">
        <f t="shared" ca="1" si="366"/>
        <v/>
      </c>
      <c r="FY136" s="360" t="str">
        <f t="shared" ca="1" si="367"/>
        <v/>
      </c>
      <c r="FZ136" s="379" t="str">
        <f t="shared" ca="1" si="373"/>
        <v/>
      </c>
      <c r="GA136" s="302"/>
      <c r="GB136" s="364"/>
      <c r="GC136" s="302"/>
    </row>
    <row r="137" spans="53:185" x14ac:dyDescent="0.25">
      <c r="BA137" s="439">
        <f t="shared" ca="1" si="346"/>
        <v>-999999999999.97803</v>
      </c>
      <c r="BB137" s="428"/>
      <c r="BC137" s="440">
        <f t="shared" si="347"/>
        <v>0</v>
      </c>
      <c r="BD137" s="427"/>
      <c r="BF137" s="442">
        <v>23</v>
      </c>
      <c r="BG137" s="349" t="e">
        <f t="shared" ca="1" si="354"/>
        <v>#REF!</v>
      </c>
      <c r="BH137" s="349" t="e">
        <f t="shared" ca="1" si="354"/>
        <v>#REF!</v>
      </c>
      <c r="BI137" s="349" t="e">
        <f t="shared" ca="1" si="354"/>
        <v>#REF!</v>
      </c>
      <c r="BJ137" s="349" t="e">
        <f t="shared" ca="1" si="354"/>
        <v>#REF!</v>
      </c>
      <c r="BK137" s="349" t="e">
        <f t="shared" ca="1" si="354"/>
        <v>#REF!</v>
      </c>
      <c r="BL137" s="349" t="e">
        <f t="shared" ca="1" si="354"/>
        <v>#REF!</v>
      </c>
      <c r="BM137" s="349" t="e">
        <f t="shared" ca="1" si="354"/>
        <v>#REF!</v>
      </c>
      <c r="BN137" s="349" t="e">
        <f t="shared" ca="1" si="354"/>
        <v>#REF!</v>
      </c>
      <c r="BO137" s="349" t="e">
        <f t="shared" ca="1" si="354"/>
        <v>#REF!</v>
      </c>
      <c r="BP137" s="349" t="e">
        <f t="shared" ca="1" si="354"/>
        <v>#REF!</v>
      </c>
      <c r="BQ137" s="441" t="e">
        <f t="shared" ca="1" si="354"/>
        <v>#REF!</v>
      </c>
      <c r="CH137" s="350"/>
      <c r="CI137" s="350"/>
      <c r="CJ137" s="350"/>
      <c r="CK137" s="350"/>
      <c r="CL137" s="350"/>
      <c r="CM137" s="350"/>
      <c r="DG137" s="350"/>
      <c r="DH137" s="300"/>
      <c r="DI137" s="395" t="str">
        <f t="shared" ca="1" si="368"/>
        <v/>
      </c>
      <c r="DJ137" s="360" t="str">
        <f t="shared" ca="1" si="369"/>
        <v/>
      </c>
      <c r="DK137" s="360" t="str">
        <f t="shared" ca="1" si="355"/>
        <v/>
      </c>
      <c r="DL137" s="354" t="str">
        <f t="shared" ca="1" si="356"/>
        <v/>
      </c>
      <c r="DM137" s="354" t="str">
        <f t="shared" ca="1" si="357"/>
        <v/>
      </c>
      <c r="DN137" s="361" t="str">
        <f t="shared" ca="1" si="358"/>
        <v/>
      </c>
      <c r="DO137" s="362" t="str">
        <f t="shared" ca="1" si="359"/>
        <v/>
      </c>
      <c r="DP137" s="379" t="str">
        <f t="shared" ca="1" si="372"/>
        <v/>
      </c>
      <c r="DQ137" s="302"/>
      <c r="DR137" s="364"/>
      <c r="DS137" s="302"/>
      <c r="DU137" s="424"/>
      <c r="DV137" s="424"/>
      <c r="DW137" s="424"/>
      <c r="DX137" s="424"/>
      <c r="DY137" s="424"/>
      <c r="DZ137" s="424"/>
      <c r="EA137" s="424"/>
      <c r="EB137" s="424"/>
      <c r="EC137" s="424"/>
      <c r="ED137" s="424"/>
      <c r="EE137" s="424"/>
      <c r="EF137" s="424"/>
      <c r="EG137" s="424"/>
      <c r="EH137" s="424"/>
      <c r="EI137" s="424"/>
      <c r="EJ137" s="424"/>
      <c r="EK137" s="424"/>
      <c r="EL137" s="424"/>
      <c r="EM137" s="424"/>
      <c r="EN137" s="424"/>
      <c r="EO137" s="424"/>
      <c r="EP137" s="424"/>
      <c r="EQ137" s="424"/>
      <c r="ER137" s="424"/>
      <c r="ES137" s="424"/>
      <c r="ET137" s="424"/>
      <c r="EU137" s="424"/>
      <c r="EV137" s="424"/>
      <c r="EW137" s="424"/>
      <c r="EX137" s="424"/>
      <c r="EY137" s="424"/>
      <c r="EZ137" s="424"/>
      <c r="FA137" s="424"/>
      <c r="FB137" s="424"/>
      <c r="FC137" s="424"/>
      <c r="FD137" s="425"/>
      <c r="FE137" s="333"/>
      <c r="FO137" s="300"/>
      <c r="FP137" s="395" t="str">
        <f t="shared" ca="1" si="370"/>
        <v/>
      </c>
      <c r="FQ137" s="360" t="str">
        <f t="shared" ca="1" si="371"/>
        <v/>
      </c>
      <c r="FR137" s="360" t="str">
        <f t="shared" ca="1" si="360"/>
        <v/>
      </c>
      <c r="FS137" s="360" t="str">
        <f t="shared" ca="1" si="361"/>
        <v/>
      </c>
      <c r="FT137" s="360" t="str">
        <f t="shared" ca="1" si="362"/>
        <v/>
      </c>
      <c r="FU137" s="360" t="str">
        <f t="shared" ca="1" si="363"/>
        <v/>
      </c>
      <c r="FV137" s="360" t="str">
        <f t="shared" ca="1" si="364"/>
        <v/>
      </c>
      <c r="FW137" s="360" t="str">
        <f t="shared" ca="1" si="365"/>
        <v/>
      </c>
      <c r="FX137" s="360" t="str">
        <f t="shared" ca="1" si="366"/>
        <v/>
      </c>
      <c r="FY137" s="360" t="str">
        <f t="shared" ca="1" si="367"/>
        <v/>
      </c>
      <c r="FZ137" s="379" t="str">
        <f t="shared" ca="1" si="373"/>
        <v/>
      </c>
      <c r="GA137" s="302"/>
      <c r="GB137" s="364"/>
      <c r="GC137" s="302"/>
    </row>
    <row r="138" spans="53:185" x14ac:dyDescent="0.25">
      <c r="BA138" s="439">
        <f t="shared" ca="1" si="346"/>
        <v>-999999999999.979</v>
      </c>
      <c r="BB138" s="428"/>
      <c r="BC138" s="440">
        <f t="shared" si="347"/>
        <v>0</v>
      </c>
      <c r="BD138" s="427"/>
      <c r="BF138" s="442">
        <v>24</v>
      </c>
      <c r="BG138" s="349" t="e">
        <f t="shared" ca="1" si="354"/>
        <v>#REF!</v>
      </c>
      <c r="BH138" s="349" t="e">
        <f t="shared" ca="1" si="354"/>
        <v>#REF!</v>
      </c>
      <c r="BI138" s="349" t="e">
        <f t="shared" ca="1" si="354"/>
        <v>#REF!</v>
      </c>
      <c r="BJ138" s="349" t="e">
        <f t="shared" ca="1" si="354"/>
        <v>#REF!</v>
      </c>
      <c r="BK138" s="349" t="e">
        <f t="shared" ca="1" si="354"/>
        <v>#REF!</v>
      </c>
      <c r="BL138" s="349" t="e">
        <f t="shared" ca="1" si="354"/>
        <v>#REF!</v>
      </c>
      <c r="BM138" s="349" t="e">
        <f t="shared" ca="1" si="354"/>
        <v>#REF!</v>
      </c>
      <c r="BN138" s="349" t="e">
        <f t="shared" ca="1" si="354"/>
        <v>#REF!</v>
      </c>
      <c r="BO138" s="349" t="e">
        <f t="shared" ca="1" si="354"/>
        <v>#REF!</v>
      </c>
      <c r="BP138" s="349" t="e">
        <f t="shared" ca="1" si="354"/>
        <v>#REF!</v>
      </c>
      <c r="BQ138" s="441" t="e">
        <f t="shared" ca="1" si="354"/>
        <v>#REF!</v>
      </c>
      <c r="CH138" s="350"/>
      <c r="CI138" s="350"/>
      <c r="CJ138" s="350"/>
      <c r="CK138" s="350"/>
      <c r="CL138" s="350"/>
      <c r="CM138" s="350"/>
      <c r="DG138" s="350"/>
      <c r="DH138" s="300"/>
      <c r="DI138" s="395" t="str">
        <f t="shared" ca="1" si="368"/>
        <v/>
      </c>
      <c r="DJ138" s="360" t="str">
        <f t="shared" ca="1" si="369"/>
        <v/>
      </c>
      <c r="DK138" s="360" t="str">
        <f t="shared" ca="1" si="355"/>
        <v/>
      </c>
      <c r="DL138" s="354" t="str">
        <f t="shared" ca="1" si="356"/>
        <v/>
      </c>
      <c r="DM138" s="354" t="str">
        <f t="shared" ca="1" si="357"/>
        <v/>
      </c>
      <c r="DN138" s="361" t="str">
        <f t="shared" ca="1" si="358"/>
        <v/>
      </c>
      <c r="DO138" s="362" t="str">
        <f t="shared" ca="1" si="359"/>
        <v/>
      </c>
      <c r="DP138" s="379" t="str">
        <f t="shared" ca="1" si="372"/>
        <v/>
      </c>
      <c r="DQ138" s="302"/>
      <c r="DR138" s="364"/>
      <c r="DS138" s="302"/>
      <c r="DU138" s="424"/>
      <c r="DV138" s="424"/>
      <c r="DW138" s="424"/>
      <c r="DX138" s="424"/>
      <c r="DY138" s="424"/>
      <c r="DZ138" s="424"/>
      <c r="EA138" s="424"/>
      <c r="EB138" s="424"/>
      <c r="EC138" s="424"/>
      <c r="ED138" s="424"/>
      <c r="EE138" s="424"/>
      <c r="EF138" s="424"/>
      <c r="EG138" s="424"/>
      <c r="EH138" s="424"/>
      <c r="EI138" s="424"/>
      <c r="EJ138" s="424"/>
      <c r="EK138" s="424"/>
      <c r="EL138" s="424"/>
      <c r="EM138" s="424"/>
      <c r="EN138" s="424"/>
      <c r="EO138" s="424"/>
      <c r="EP138" s="424"/>
      <c r="EQ138" s="424"/>
      <c r="ER138" s="424"/>
      <c r="ES138" s="424"/>
      <c r="ET138" s="424"/>
      <c r="EU138" s="424"/>
      <c r="EV138" s="424"/>
      <c r="EW138" s="424"/>
      <c r="EX138" s="424"/>
      <c r="EY138" s="424"/>
      <c r="EZ138" s="424"/>
      <c r="FA138" s="424"/>
      <c r="FB138" s="424"/>
      <c r="FC138" s="424"/>
      <c r="FD138" s="425"/>
      <c r="FE138" s="333"/>
      <c r="FO138" s="300"/>
      <c r="FP138" s="395" t="str">
        <f t="shared" ca="1" si="370"/>
        <v/>
      </c>
      <c r="FQ138" s="360" t="str">
        <f t="shared" ca="1" si="371"/>
        <v/>
      </c>
      <c r="FR138" s="360" t="str">
        <f t="shared" ca="1" si="360"/>
        <v/>
      </c>
      <c r="FS138" s="360" t="str">
        <f t="shared" ca="1" si="361"/>
        <v/>
      </c>
      <c r="FT138" s="360" t="str">
        <f t="shared" ca="1" si="362"/>
        <v/>
      </c>
      <c r="FU138" s="360" t="str">
        <f t="shared" ca="1" si="363"/>
        <v/>
      </c>
      <c r="FV138" s="360" t="str">
        <f t="shared" ca="1" si="364"/>
        <v/>
      </c>
      <c r="FW138" s="360" t="str">
        <f t="shared" ca="1" si="365"/>
        <v/>
      </c>
      <c r="FX138" s="360" t="str">
        <f t="shared" ca="1" si="366"/>
        <v/>
      </c>
      <c r="FY138" s="360" t="str">
        <f t="shared" ca="1" si="367"/>
        <v/>
      </c>
      <c r="FZ138" s="379" t="str">
        <f t="shared" ca="1" si="373"/>
        <v/>
      </c>
      <c r="GA138" s="302"/>
      <c r="GB138" s="364"/>
      <c r="GC138" s="302"/>
    </row>
    <row r="139" spans="53:185" x14ac:dyDescent="0.25">
      <c r="BA139" s="439">
        <f t="shared" ca="1" si="346"/>
        <v>-999999999999.97998</v>
      </c>
      <c r="BB139" s="428"/>
      <c r="BC139" s="440">
        <f t="shared" si="347"/>
        <v>0</v>
      </c>
      <c r="BD139" s="427"/>
      <c r="BF139" s="442">
        <v>25</v>
      </c>
      <c r="BG139" s="349" t="e">
        <f t="shared" ca="1" si="354"/>
        <v>#REF!</v>
      </c>
      <c r="BH139" s="349" t="e">
        <f t="shared" ca="1" si="354"/>
        <v>#REF!</v>
      </c>
      <c r="BI139" s="349" t="e">
        <f t="shared" ca="1" si="354"/>
        <v>#REF!</v>
      </c>
      <c r="BJ139" s="349" t="e">
        <f t="shared" ca="1" si="354"/>
        <v>#REF!</v>
      </c>
      <c r="BK139" s="349" t="e">
        <f t="shared" ca="1" si="354"/>
        <v>#REF!</v>
      </c>
      <c r="BL139" s="349" t="e">
        <f t="shared" ca="1" si="354"/>
        <v>#REF!</v>
      </c>
      <c r="BM139" s="349" t="e">
        <f t="shared" ca="1" si="354"/>
        <v>#REF!</v>
      </c>
      <c r="BN139" s="349" t="e">
        <f t="shared" ca="1" si="354"/>
        <v>#REF!</v>
      </c>
      <c r="BO139" s="349" t="e">
        <f t="shared" ca="1" si="354"/>
        <v>#REF!</v>
      </c>
      <c r="BP139" s="349" t="e">
        <f t="shared" ca="1" si="354"/>
        <v>#REF!</v>
      </c>
      <c r="BQ139" s="441" t="e">
        <f t="shared" ca="1" si="354"/>
        <v>#REF!</v>
      </c>
      <c r="CH139" s="350"/>
      <c r="CI139" s="350"/>
      <c r="CJ139" s="350"/>
      <c r="CK139" s="350"/>
      <c r="CL139" s="350"/>
      <c r="CM139" s="350"/>
      <c r="DG139" s="350"/>
      <c r="DH139" s="300"/>
      <c r="DI139" s="395" t="str">
        <f t="shared" ca="1" si="368"/>
        <v/>
      </c>
      <c r="DJ139" s="360" t="str">
        <f t="shared" ca="1" si="369"/>
        <v/>
      </c>
      <c r="DK139" s="360" t="str">
        <f t="shared" ca="1" si="355"/>
        <v/>
      </c>
      <c r="DL139" s="354" t="str">
        <f t="shared" ca="1" si="356"/>
        <v/>
      </c>
      <c r="DM139" s="354" t="str">
        <f t="shared" ca="1" si="357"/>
        <v/>
      </c>
      <c r="DN139" s="361" t="str">
        <f t="shared" ca="1" si="358"/>
        <v/>
      </c>
      <c r="DO139" s="362" t="str">
        <f t="shared" ca="1" si="359"/>
        <v/>
      </c>
      <c r="DP139" s="379" t="str">
        <f t="shared" ca="1" si="372"/>
        <v/>
      </c>
      <c r="DQ139" s="302"/>
      <c r="DR139" s="364"/>
      <c r="DS139" s="302"/>
      <c r="DU139" s="424"/>
      <c r="DV139" s="424"/>
      <c r="DW139" s="424"/>
      <c r="DX139" s="424"/>
      <c r="DY139" s="424"/>
      <c r="DZ139" s="424"/>
      <c r="EA139" s="424"/>
      <c r="EB139" s="424"/>
      <c r="EC139" s="424"/>
      <c r="ED139" s="424"/>
      <c r="EE139" s="424"/>
      <c r="EF139" s="424"/>
      <c r="EG139" s="424"/>
      <c r="EH139" s="424"/>
      <c r="EI139" s="424"/>
      <c r="EJ139" s="424"/>
      <c r="EK139" s="424"/>
      <c r="EL139" s="424"/>
      <c r="EM139" s="424"/>
      <c r="EN139" s="424"/>
      <c r="EO139" s="424"/>
      <c r="EP139" s="424"/>
      <c r="EQ139" s="424"/>
      <c r="ER139" s="424"/>
      <c r="ES139" s="424"/>
      <c r="ET139" s="424"/>
      <c r="EU139" s="424"/>
      <c r="EV139" s="424"/>
      <c r="EW139" s="424"/>
      <c r="EX139" s="424"/>
      <c r="EY139" s="424"/>
      <c r="EZ139" s="424"/>
      <c r="FA139" s="424"/>
      <c r="FB139" s="424"/>
      <c r="FC139" s="424"/>
      <c r="FD139" s="425"/>
      <c r="FE139" s="333"/>
      <c r="FO139" s="300"/>
      <c r="FP139" s="395" t="str">
        <f t="shared" ca="1" si="370"/>
        <v/>
      </c>
      <c r="FQ139" s="360" t="str">
        <f t="shared" ca="1" si="371"/>
        <v/>
      </c>
      <c r="FR139" s="360" t="str">
        <f t="shared" ca="1" si="360"/>
        <v/>
      </c>
      <c r="FS139" s="360" t="str">
        <f t="shared" ca="1" si="361"/>
        <v/>
      </c>
      <c r="FT139" s="360" t="str">
        <f t="shared" ca="1" si="362"/>
        <v/>
      </c>
      <c r="FU139" s="360" t="str">
        <f t="shared" ca="1" si="363"/>
        <v/>
      </c>
      <c r="FV139" s="360" t="str">
        <f t="shared" ca="1" si="364"/>
        <v/>
      </c>
      <c r="FW139" s="360" t="str">
        <f t="shared" ca="1" si="365"/>
        <v/>
      </c>
      <c r="FX139" s="360" t="str">
        <f t="shared" ca="1" si="366"/>
        <v/>
      </c>
      <c r="FY139" s="360" t="str">
        <f t="shared" ca="1" si="367"/>
        <v/>
      </c>
      <c r="FZ139" s="379" t="str">
        <f t="shared" ca="1" si="373"/>
        <v/>
      </c>
      <c r="GA139" s="302"/>
      <c r="GB139" s="364"/>
      <c r="GC139" s="302"/>
    </row>
    <row r="140" spans="53:185" x14ac:dyDescent="0.25">
      <c r="BA140" s="439">
        <f t="shared" ca="1" si="346"/>
        <v>-999999999999.98096</v>
      </c>
      <c r="BB140" s="428"/>
      <c r="BC140" s="440">
        <f t="shared" si="347"/>
        <v>0</v>
      </c>
      <c r="BD140" s="427"/>
      <c r="BF140" s="442">
        <v>26</v>
      </c>
      <c r="BG140" s="349" t="e">
        <f t="shared" ca="1" si="354"/>
        <v>#REF!</v>
      </c>
      <c r="BH140" s="349" t="e">
        <f t="shared" ca="1" si="354"/>
        <v>#REF!</v>
      </c>
      <c r="BI140" s="349" t="e">
        <f t="shared" ca="1" si="354"/>
        <v>#REF!</v>
      </c>
      <c r="BJ140" s="349" t="e">
        <f t="shared" ca="1" si="354"/>
        <v>#REF!</v>
      </c>
      <c r="BK140" s="349" t="e">
        <f t="shared" ca="1" si="354"/>
        <v>#REF!</v>
      </c>
      <c r="BL140" s="349" t="e">
        <f t="shared" ca="1" si="354"/>
        <v>#REF!</v>
      </c>
      <c r="BM140" s="349" t="e">
        <f t="shared" ca="1" si="354"/>
        <v>#REF!</v>
      </c>
      <c r="BN140" s="349" t="e">
        <f t="shared" ca="1" si="354"/>
        <v>#REF!</v>
      </c>
      <c r="BO140" s="349" t="e">
        <f t="shared" ca="1" si="354"/>
        <v>#REF!</v>
      </c>
      <c r="BP140" s="349" t="e">
        <f t="shared" ca="1" si="354"/>
        <v>#REF!</v>
      </c>
      <c r="BQ140" s="441" t="e">
        <f t="shared" ca="1" si="354"/>
        <v>#REF!</v>
      </c>
      <c r="CH140" s="350"/>
      <c r="CI140" s="350"/>
      <c r="CJ140" s="350"/>
      <c r="CK140" s="350"/>
      <c r="CL140" s="350"/>
      <c r="CM140" s="350"/>
      <c r="DG140" s="350"/>
      <c r="DH140" s="300"/>
      <c r="DI140" s="301"/>
      <c r="DJ140" s="324" t="s">
        <v>157</v>
      </c>
      <c r="DK140" s="324" t="s">
        <v>158</v>
      </c>
      <c r="DL140" s="325" t="s">
        <v>159</v>
      </c>
      <c r="DM140" s="325"/>
      <c r="DN140" s="326" t="s">
        <v>160</v>
      </c>
      <c r="DO140" s="325" t="s">
        <v>135</v>
      </c>
      <c r="DP140" s="302"/>
      <c r="DQ140" s="302"/>
      <c r="DR140" s="364"/>
      <c r="DS140" s="302"/>
      <c r="DU140" s="424"/>
      <c r="DV140" s="424"/>
      <c r="DW140" s="424"/>
      <c r="DX140" s="424"/>
      <c r="DY140" s="424"/>
      <c r="DZ140" s="424"/>
      <c r="EA140" s="424"/>
      <c r="EB140" s="424"/>
      <c r="EC140" s="424"/>
      <c r="ED140" s="424"/>
      <c r="EE140" s="424"/>
      <c r="EF140" s="424"/>
      <c r="EG140" s="424"/>
      <c r="EH140" s="424"/>
      <c r="EI140" s="424"/>
      <c r="EJ140" s="424"/>
      <c r="EK140" s="424"/>
      <c r="EL140" s="424"/>
      <c r="EM140" s="424"/>
      <c r="EN140" s="424"/>
      <c r="EO140" s="424"/>
      <c r="EP140" s="424"/>
      <c r="EQ140" s="424"/>
      <c r="ER140" s="424"/>
      <c r="ES140" s="424"/>
      <c r="ET140" s="424"/>
      <c r="EU140" s="424"/>
      <c r="EV140" s="424"/>
      <c r="EW140" s="424"/>
      <c r="EX140" s="424"/>
      <c r="EY140" s="424"/>
      <c r="EZ140" s="424"/>
      <c r="FA140" s="424"/>
      <c r="FB140" s="424"/>
      <c r="FC140" s="424"/>
      <c r="FD140" s="425"/>
      <c r="FE140" s="333"/>
      <c r="FO140" s="300"/>
      <c r="FP140" s="301"/>
      <c r="FQ140" s="324" t="s">
        <v>157</v>
      </c>
      <c r="FR140" s="324" t="s">
        <v>237</v>
      </c>
      <c r="FS140" s="324" t="s">
        <v>239</v>
      </c>
      <c r="FT140" s="324" t="s">
        <v>240</v>
      </c>
      <c r="FU140" s="324" t="s">
        <v>238</v>
      </c>
      <c r="FV140" s="324" t="s">
        <v>241</v>
      </c>
      <c r="FW140" s="324" t="s">
        <v>242</v>
      </c>
      <c r="FX140" s="326" t="s">
        <v>160</v>
      </c>
      <c r="FY140" s="325" t="s">
        <v>135</v>
      </c>
      <c r="FZ140" s="302"/>
      <c r="GA140" s="302"/>
      <c r="GB140" s="364"/>
      <c r="GC140" s="302"/>
    </row>
    <row r="141" spans="53:185" x14ac:dyDescent="0.25">
      <c r="BA141" s="439">
        <f t="shared" ca="1" si="346"/>
        <v>-999999999999.98206</v>
      </c>
      <c r="BB141" s="428"/>
      <c r="BC141" s="440">
        <f t="shared" si="347"/>
        <v>0</v>
      </c>
      <c r="BD141" s="427"/>
      <c r="BF141" s="442">
        <v>27</v>
      </c>
      <c r="BG141" s="349" t="e">
        <f t="shared" ca="1" si="354"/>
        <v>#REF!</v>
      </c>
      <c r="BH141" s="349" t="e">
        <f t="shared" ca="1" si="354"/>
        <v>#REF!</v>
      </c>
      <c r="BI141" s="349" t="e">
        <f t="shared" ca="1" si="354"/>
        <v>#REF!</v>
      </c>
      <c r="BJ141" s="349" t="e">
        <f t="shared" ca="1" si="354"/>
        <v>#REF!</v>
      </c>
      <c r="BK141" s="349" t="e">
        <f t="shared" ca="1" si="354"/>
        <v>#REF!</v>
      </c>
      <c r="BL141" s="349" t="e">
        <f t="shared" ca="1" si="354"/>
        <v>#REF!</v>
      </c>
      <c r="BM141" s="349" t="e">
        <f t="shared" ca="1" si="354"/>
        <v>#REF!</v>
      </c>
      <c r="BN141" s="349" t="e">
        <f t="shared" ca="1" si="354"/>
        <v>#REF!</v>
      </c>
      <c r="BO141" s="349" t="e">
        <f t="shared" ca="1" si="354"/>
        <v>#REF!</v>
      </c>
      <c r="BP141" s="349" t="e">
        <f t="shared" ca="1" si="354"/>
        <v>#REF!</v>
      </c>
      <c r="BQ141" s="441" t="e">
        <f t="shared" ca="1" si="354"/>
        <v>#REF!</v>
      </c>
      <c r="CH141" s="350"/>
      <c r="CI141" s="350"/>
      <c r="CJ141" s="350"/>
      <c r="CK141" s="350"/>
      <c r="CL141" s="350"/>
      <c r="CM141" s="350"/>
      <c r="DG141" s="350"/>
      <c r="DH141" s="300"/>
      <c r="DI141" s="395" t="str">
        <f ca="1">DI130</f>
        <v>Vakana</v>
      </c>
      <c r="DJ141" s="360" t="str">
        <f ca="1">IF(OR(DI141="",DP141="",DI141=DP141),"",CONCATENATE(DI141,DP141))</f>
        <v/>
      </c>
      <c r="DK141" s="360" t="str">
        <f t="shared" ref="DK141:DK150" ca="1" si="374">IF($DJ141="","",CONCATENATE(VLOOKUP($DJ141,games.a,9,FALSE),VLOOKUP($DJ141,games.a,12,FALSE)))</f>
        <v/>
      </c>
      <c r="DL141" s="354" t="str">
        <f t="shared" ref="DL141:DL150" ca="1" si="375">IF($DJ141="","",VLOOKUP($DJ141,games.a,10,FALSE))</f>
        <v/>
      </c>
      <c r="DM141" s="354" t="str">
        <f t="shared" ref="DM141:DM150" ca="1" si="376">IF($DJ141="","",VLOOKUP($DJ141,games.a,13,FALSE))</f>
        <v/>
      </c>
      <c r="DN141" s="361" t="str">
        <f t="shared" ref="DN141:DN150" ca="1" si="377">IF($DJ141="","",VLOOKUP($DJ141,games.a,6,FALSE))</f>
        <v/>
      </c>
      <c r="DO141" s="362" t="str">
        <f t="shared" ref="DO141:DO150" ca="1" si="378">IF($DJ141="","",VLOOKUP($DJ141,games.a,7,FALSE))</f>
        <v/>
      </c>
      <c r="DP141" s="363" t="str">
        <f ca="1">DI51</f>
        <v/>
      </c>
      <c r="DQ141" s="302"/>
      <c r="DR141" s="364"/>
      <c r="DS141" s="302"/>
      <c r="DU141" s="424"/>
      <c r="DV141" s="424"/>
      <c r="DW141" s="424"/>
      <c r="DX141" s="424"/>
      <c r="DY141" s="424"/>
      <c r="DZ141" s="424"/>
      <c r="EA141" s="424"/>
      <c r="EB141" s="424"/>
      <c r="EC141" s="424"/>
      <c r="ED141" s="424"/>
      <c r="EE141" s="424"/>
      <c r="EF141" s="424"/>
      <c r="EG141" s="424"/>
      <c r="EH141" s="424"/>
      <c r="EI141" s="424"/>
      <c r="EJ141" s="424"/>
      <c r="EK141" s="424"/>
      <c r="EL141" s="424"/>
      <c r="EM141" s="424"/>
      <c r="EN141" s="424"/>
      <c r="EO141" s="424"/>
      <c r="EP141" s="424"/>
      <c r="EQ141" s="424"/>
      <c r="ER141" s="424"/>
      <c r="ES141" s="424"/>
      <c r="ET141" s="424"/>
      <c r="EU141" s="424"/>
      <c r="EV141" s="424"/>
      <c r="EW141" s="424"/>
      <c r="EX141" s="424"/>
      <c r="EY141" s="424"/>
      <c r="EZ141" s="424"/>
      <c r="FA141" s="424"/>
      <c r="FB141" s="424"/>
      <c r="FC141" s="424"/>
      <c r="FD141" s="425"/>
      <c r="FE141" s="333"/>
      <c r="FO141" s="300"/>
      <c r="FP141" s="395" t="str">
        <f ca="1">FP130</f>
        <v/>
      </c>
      <c r="FQ141" s="360" t="str">
        <f ca="1">IF(OR(FP141="",FZ141="",FP141=FZ141),"",CONCATENATE(FP141,FZ141))</f>
        <v/>
      </c>
      <c r="FR141" s="360" t="str">
        <f t="shared" ref="FR141:FR150" ca="1" si="379">IF($FQ141="","",VLOOKUP($FQ141,games.a,9,FALSE))</f>
        <v/>
      </c>
      <c r="FS141" s="360" t="str">
        <f t="shared" ref="FS141:FS150" ca="1" si="380">IF($FQ141="","",VLOOKUP($FQ141,games.a,10,FALSE))</f>
        <v/>
      </c>
      <c r="FT141" s="360" t="str">
        <f t="shared" ref="FT141:FT150" ca="1" si="381">IF($FQ141="","",VLOOKUP($FQ141,games.a,11,FALSE))</f>
        <v/>
      </c>
      <c r="FU141" s="360" t="str">
        <f t="shared" ref="FU141:FU150" ca="1" si="382">IF($FQ141="","",VLOOKUP($FQ141,games.a,12,FALSE))</f>
        <v/>
      </c>
      <c r="FV141" s="360" t="str">
        <f t="shared" ref="FV141:FV150" ca="1" si="383">IF($FQ141="","",VLOOKUP($FQ141,games.a,13,FALSE))</f>
        <v/>
      </c>
      <c r="FW141" s="360" t="str">
        <f t="shared" ref="FW141:FW150" ca="1" si="384">IF($FQ141="","",VLOOKUP($FQ141,games.a,14,FALSE))</f>
        <v/>
      </c>
      <c r="FX141" s="360" t="str">
        <f t="shared" ref="FX141:FX150" ca="1" si="385">IF($FQ141="","",VLOOKUP($FQ141,games.a,6,FALSE))</f>
        <v/>
      </c>
      <c r="FY141" s="360" t="str">
        <f t="shared" ref="FY141:FY150" ca="1" si="386">IF($FQ141="","",VLOOKUP($FQ141,games.a,7,FALSE))</f>
        <v/>
      </c>
      <c r="FZ141" s="363" t="str">
        <f ca="1">FP51</f>
        <v/>
      </c>
      <c r="GA141" s="302"/>
      <c r="GB141" s="364"/>
      <c r="GC141" s="302"/>
    </row>
    <row r="142" spans="53:185" x14ac:dyDescent="0.25">
      <c r="BA142" s="439">
        <f t="shared" ca="1" si="346"/>
        <v>-999999999999.98303</v>
      </c>
      <c r="BB142" s="428"/>
      <c r="BC142" s="440">
        <f t="shared" si="347"/>
        <v>0</v>
      </c>
      <c r="BD142" s="427"/>
      <c r="BF142" s="442">
        <v>28</v>
      </c>
      <c r="BG142" s="349" t="e">
        <f t="shared" ca="1" si="354"/>
        <v>#REF!</v>
      </c>
      <c r="BH142" s="349" t="e">
        <f t="shared" ca="1" si="354"/>
        <v>#REF!</v>
      </c>
      <c r="BI142" s="349" t="e">
        <f t="shared" ca="1" si="354"/>
        <v>#REF!</v>
      </c>
      <c r="BJ142" s="349" t="e">
        <f t="shared" ca="1" si="354"/>
        <v>#REF!</v>
      </c>
      <c r="BK142" s="349" t="e">
        <f t="shared" ca="1" si="354"/>
        <v>#REF!</v>
      </c>
      <c r="BL142" s="349" t="e">
        <f t="shared" ca="1" si="354"/>
        <v>#REF!</v>
      </c>
      <c r="BM142" s="349" t="e">
        <f t="shared" ca="1" si="354"/>
        <v>#REF!</v>
      </c>
      <c r="BN142" s="349" t="e">
        <f t="shared" ca="1" si="354"/>
        <v>#REF!</v>
      </c>
      <c r="BO142" s="349" t="e">
        <f t="shared" ca="1" si="354"/>
        <v>#REF!</v>
      </c>
      <c r="BP142" s="349" t="e">
        <f t="shared" ca="1" si="354"/>
        <v>#REF!</v>
      </c>
      <c r="BQ142" s="441" t="e">
        <f t="shared" ca="1" si="354"/>
        <v>#REF!</v>
      </c>
      <c r="CH142" s="350"/>
      <c r="CI142" s="350"/>
      <c r="CJ142" s="350"/>
      <c r="CK142" s="350"/>
      <c r="CL142" s="350"/>
      <c r="CM142" s="350"/>
      <c r="DG142" s="350"/>
      <c r="DH142" s="300"/>
      <c r="DI142" s="395" t="str">
        <f t="shared" ref="DI142:DI150" ca="1" si="387">DI131</f>
        <v>Bakafogó-Honvéd-Sashegy SE</v>
      </c>
      <c r="DJ142" s="360" t="str">
        <f t="shared" ref="DJ142:DJ150" ca="1" si="388">IF(OR(DI142="",DP142="",DI142=DP142),"",CONCATENATE(DI142,DP142))</f>
        <v/>
      </c>
      <c r="DK142" s="360" t="str">
        <f t="shared" ca="1" si="374"/>
        <v/>
      </c>
      <c r="DL142" s="354" t="str">
        <f t="shared" ca="1" si="375"/>
        <v/>
      </c>
      <c r="DM142" s="354" t="str">
        <f t="shared" ca="1" si="376"/>
        <v/>
      </c>
      <c r="DN142" s="361" t="str">
        <f t="shared" ca="1" si="377"/>
        <v/>
      </c>
      <c r="DO142" s="362" t="str">
        <f t="shared" ca="1" si="378"/>
        <v/>
      </c>
      <c r="DP142" s="379" t="str">
        <f ca="1">DP141</f>
        <v/>
      </c>
      <c r="DQ142" s="302"/>
      <c r="DR142" s="364"/>
      <c r="DS142" s="302"/>
      <c r="DU142" s="424"/>
      <c r="DV142" s="424"/>
      <c r="DW142" s="424"/>
      <c r="DX142" s="424"/>
      <c r="DY142" s="424"/>
      <c r="DZ142" s="424"/>
      <c r="EA142" s="424"/>
      <c r="EB142" s="424"/>
      <c r="EC142" s="424"/>
      <c r="ED142" s="424"/>
      <c r="EE142" s="424"/>
      <c r="EF142" s="424"/>
      <c r="EG142" s="424"/>
      <c r="EH142" s="424"/>
      <c r="EI142" s="424"/>
      <c r="EJ142" s="424"/>
      <c r="EK142" s="424"/>
      <c r="EL142" s="424"/>
      <c r="EM142" s="424"/>
      <c r="EN142" s="424"/>
      <c r="EO142" s="424"/>
      <c r="EP142" s="424"/>
      <c r="EQ142" s="424"/>
      <c r="ER142" s="424"/>
      <c r="ES142" s="424"/>
      <c r="ET142" s="424"/>
      <c r="EU142" s="424"/>
      <c r="EV142" s="424"/>
      <c r="EW142" s="424"/>
      <c r="EX142" s="424"/>
      <c r="EY142" s="424"/>
      <c r="EZ142" s="424"/>
      <c r="FA142" s="424"/>
      <c r="FB142" s="424"/>
      <c r="FC142" s="424"/>
      <c r="FD142" s="425"/>
      <c r="FE142" s="333"/>
      <c r="FO142" s="300"/>
      <c r="FP142" s="395" t="str">
        <f t="shared" ref="FP142:FP150" ca="1" si="389">FP131</f>
        <v/>
      </c>
      <c r="FQ142" s="360" t="str">
        <f t="shared" ref="FQ142:FQ150" ca="1" si="390">IF(OR(FP142="",FZ142="",FP142=FZ142),"",CONCATENATE(FP142,FZ142))</f>
        <v/>
      </c>
      <c r="FR142" s="360" t="str">
        <f t="shared" ca="1" si="379"/>
        <v/>
      </c>
      <c r="FS142" s="360" t="str">
        <f t="shared" ca="1" si="380"/>
        <v/>
      </c>
      <c r="FT142" s="360" t="str">
        <f t="shared" ca="1" si="381"/>
        <v/>
      </c>
      <c r="FU142" s="360" t="str">
        <f t="shared" ca="1" si="382"/>
        <v/>
      </c>
      <c r="FV142" s="360" t="str">
        <f t="shared" ca="1" si="383"/>
        <v/>
      </c>
      <c r="FW142" s="360" t="str">
        <f t="shared" ca="1" si="384"/>
        <v/>
      </c>
      <c r="FX142" s="360" t="str">
        <f t="shared" ca="1" si="385"/>
        <v/>
      </c>
      <c r="FY142" s="360" t="str">
        <f t="shared" ca="1" si="386"/>
        <v/>
      </c>
      <c r="FZ142" s="379" t="str">
        <f ca="1">FZ141</f>
        <v/>
      </c>
      <c r="GA142" s="302"/>
      <c r="GB142" s="364"/>
      <c r="GC142" s="302"/>
    </row>
    <row r="143" spans="53:185" x14ac:dyDescent="0.25">
      <c r="BA143" s="428"/>
      <c r="BB143" s="428"/>
      <c r="CH143" s="350"/>
      <c r="CI143" s="350"/>
      <c r="CJ143" s="350"/>
      <c r="CK143" s="350"/>
      <c r="CL143" s="350"/>
      <c r="CM143" s="350"/>
      <c r="DG143" s="350"/>
      <c r="DH143" s="300"/>
      <c r="DI143" s="395" t="str">
        <f t="shared" ca="1" si="387"/>
        <v/>
      </c>
      <c r="DJ143" s="360" t="str">
        <f t="shared" ca="1" si="388"/>
        <v/>
      </c>
      <c r="DK143" s="360" t="str">
        <f t="shared" ca="1" si="374"/>
        <v/>
      </c>
      <c r="DL143" s="354" t="str">
        <f t="shared" ca="1" si="375"/>
        <v/>
      </c>
      <c r="DM143" s="354" t="str">
        <f t="shared" ca="1" si="376"/>
        <v/>
      </c>
      <c r="DN143" s="361" t="str">
        <f t="shared" ca="1" si="377"/>
        <v/>
      </c>
      <c r="DO143" s="362" t="str">
        <f t="shared" ca="1" si="378"/>
        <v/>
      </c>
      <c r="DP143" s="379" t="str">
        <f t="shared" ref="DP143:DP150" ca="1" si="391">DP142</f>
        <v/>
      </c>
      <c r="DQ143" s="302"/>
      <c r="DR143" s="364"/>
      <c r="DS143" s="302"/>
      <c r="DU143" s="424"/>
      <c r="DV143" s="424"/>
      <c r="DW143" s="424"/>
      <c r="DX143" s="424"/>
      <c r="DY143" s="424"/>
      <c r="DZ143" s="424"/>
      <c r="EA143" s="424"/>
      <c r="EB143" s="424"/>
      <c r="EC143" s="424"/>
      <c r="ED143" s="424"/>
      <c r="EE143" s="424"/>
      <c r="EF143" s="424"/>
      <c r="EG143" s="424"/>
      <c r="EH143" s="424"/>
      <c r="EI143" s="424"/>
      <c r="EJ143" s="424"/>
      <c r="EK143" s="424"/>
      <c r="EL143" s="424"/>
      <c r="EM143" s="424"/>
      <c r="EN143" s="424"/>
      <c r="EO143" s="424"/>
      <c r="EP143" s="424"/>
      <c r="EQ143" s="424"/>
      <c r="ER143" s="424"/>
      <c r="ES143" s="424"/>
      <c r="ET143" s="424"/>
      <c r="EU143" s="424"/>
      <c r="EV143" s="424"/>
      <c r="EW143" s="424"/>
      <c r="EX143" s="424"/>
      <c r="EY143" s="424"/>
      <c r="EZ143" s="424"/>
      <c r="FA143" s="424"/>
      <c r="FB143" s="424"/>
      <c r="FC143" s="424"/>
      <c r="FD143" s="425"/>
      <c r="FE143" s="333"/>
      <c r="FO143" s="300"/>
      <c r="FP143" s="395" t="str">
        <f t="shared" ca="1" si="389"/>
        <v/>
      </c>
      <c r="FQ143" s="360" t="str">
        <f t="shared" ca="1" si="390"/>
        <v/>
      </c>
      <c r="FR143" s="360" t="str">
        <f t="shared" ca="1" si="379"/>
        <v/>
      </c>
      <c r="FS143" s="360" t="str">
        <f t="shared" ca="1" si="380"/>
        <v/>
      </c>
      <c r="FT143" s="360" t="str">
        <f t="shared" ca="1" si="381"/>
        <v/>
      </c>
      <c r="FU143" s="360" t="str">
        <f t="shared" ca="1" si="382"/>
        <v/>
      </c>
      <c r="FV143" s="360" t="str">
        <f t="shared" ca="1" si="383"/>
        <v/>
      </c>
      <c r="FW143" s="360" t="str">
        <f t="shared" ca="1" si="384"/>
        <v/>
      </c>
      <c r="FX143" s="360" t="str">
        <f t="shared" ca="1" si="385"/>
        <v/>
      </c>
      <c r="FY143" s="360" t="str">
        <f t="shared" ca="1" si="386"/>
        <v/>
      </c>
      <c r="FZ143" s="379" t="str">
        <f t="shared" ref="FZ143:FZ150" ca="1" si="392">FZ142</f>
        <v/>
      </c>
      <c r="GA143" s="302"/>
      <c r="GB143" s="364"/>
      <c r="GC143" s="302"/>
    </row>
    <row r="144" spans="53:185" x14ac:dyDescent="0.25">
      <c r="BA144" s="428"/>
      <c r="BB144" s="428"/>
      <c r="CH144" s="350"/>
      <c r="CI144" s="350"/>
      <c r="CJ144" s="350"/>
      <c r="CK144" s="350"/>
      <c r="CL144" s="350"/>
      <c r="CM144" s="350"/>
      <c r="DG144" s="350"/>
      <c r="DH144" s="300"/>
      <c r="DI144" s="395" t="str">
        <f t="shared" ca="1" si="387"/>
        <v/>
      </c>
      <c r="DJ144" s="360" t="str">
        <f t="shared" ca="1" si="388"/>
        <v/>
      </c>
      <c r="DK144" s="360" t="str">
        <f t="shared" ca="1" si="374"/>
        <v/>
      </c>
      <c r="DL144" s="354" t="str">
        <f t="shared" ca="1" si="375"/>
        <v/>
      </c>
      <c r="DM144" s="354" t="str">
        <f t="shared" ca="1" si="376"/>
        <v/>
      </c>
      <c r="DN144" s="361" t="str">
        <f t="shared" ca="1" si="377"/>
        <v/>
      </c>
      <c r="DO144" s="362" t="str">
        <f t="shared" ca="1" si="378"/>
        <v/>
      </c>
      <c r="DP144" s="379" t="str">
        <f t="shared" ca="1" si="391"/>
        <v/>
      </c>
      <c r="DQ144" s="302"/>
      <c r="DR144" s="364"/>
      <c r="DS144" s="302"/>
      <c r="DU144" s="424"/>
      <c r="DV144" s="424"/>
      <c r="DW144" s="424"/>
      <c r="DX144" s="424"/>
      <c r="DY144" s="424"/>
      <c r="DZ144" s="424"/>
      <c r="EA144" s="424"/>
      <c r="EB144" s="424"/>
      <c r="EC144" s="424"/>
      <c r="ED144" s="424"/>
      <c r="EE144" s="424"/>
      <c r="EF144" s="424"/>
      <c r="EG144" s="424"/>
      <c r="EH144" s="424"/>
      <c r="EI144" s="424"/>
      <c r="EJ144" s="424"/>
      <c r="EK144" s="424"/>
      <c r="EL144" s="424"/>
      <c r="EM144" s="424"/>
      <c r="EN144" s="424"/>
      <c r="EO144" s="424"/>
      <c r="EP144" s="424"/>
      <c r="EQ144" s="424"/>
      <c r="ER144" s="424"/>
      <c r="ES144" s="424"/>
      <c r="ET144" s="424"/>
      <c r="EU144" s="424"/>
      <c r="EV144" s="424"/>
      <c r="EW144" s="424"/>
      <c r="EX144" s="424"/>
      <c r="EY144" s="424"/>
      <c r="EZ144" s="424"/>
      <c r="FA144" s="424"/>
      <c r="FB144" s="424"/>
      <c r="FC144" s="424"/>
      <c r="FD144" s="425"/>
      <c r="FE144" s="333"/>
      <c r="FO144" s="300"/>
      <c r="FP144" s="395" t="str">
        <f t="shared" ca="1" si="389"/>
        <v/>
      </c>
      <c r="FQ144" s="360" t="str">
        <f t="shared" ca="1" si="390"/>
        <v/>
      </c>
      <c r="FR144" s="360" t="str">
        <f t="shared" ca="1" si="379"/>
        <v/>
      </c>
      <c r="FS144" s="360" t="str">
        <f t="shared" ca="1" si="380"/>
        <v/>
      </c>
      <c r="FT144" s="360" t="str">
        <f t="shared" ca="1" si="381"/>
        <v/>
      </c>
      <c r="FU144" s="360" t="str">
        <f t="shared" ca="1" si="382"/>
        <v/>
      </c>
      <c r="FV144" s="360" t="str">
        <f t="shared" ca="1" si="383"/>
        <v/>
      </c>
      <c r="FW144" s="360" t="str">
        <f t="shared" ca="1" si="384"/>
        <v/>
      </c>
      <c r="FX144" s="360" t="str">
        <f t="shared" ca="1" si="385"/>
        <v/>
      </c>
      <c r="FY144" s="360" t="str">
        <f t="shared" ca="1" si="386"/>
        <v/>
      </c>
      <c r="FZ144" s="379" t="str">
        <f t="shared" ca="1" si="392"/>
        <v/>
      </c>
      <c r="GA144" s="302"/>
      <c r="GB144" s="364"/>
      <c r="GC144" s="302"/>
    </row>
    <row r="145" spans="40:185" x14ac:dyDescent="0.25">
      <c r="AO145" s="434" t="s">
        <v>390</v>
      </c>
      <c r="AP145" s="434" t="s">
        <v>391</v>
      </c>
      <c r="AQ145" s="434" t="s">
        <v>392</v>
      </c>
      <c r="AY145" s="434" t="s">
        <v>379</v>
      </c>
      <c r="BA145" s="434" t="s">
        <v>380</v>
      </c>
      <c r="BB145" s="179"/>
      <c r="BC145" s="434" t="s">
        <v>381</v>
      </c>
      <c r="BD145" s="317" t="s">
        <v>120</v>
      </c>
      <c r="BE145" s="318" t="s">
        <v>121</v>
      </c>
      <c r="BF145" s="318" t="s">
        <v>134</v>
      </c>
      <c r="BG145" s="318" t="s">
        <v>122</v>
      </c>
      <c r="BH145" s="318" t="s">
        <v>123</v>
      </c>
      <c r="BI145" s="318" t="s">
        <v>124</v>
      </c>
      <c r="BJ145" s="318" t="s">
        <v>125</v>
      </c>
      <c r="BK145" s="318" t="s">
        <v>191</v>
      </c>
      <c r="BL145" s="318" t="s">
        <v>207</v>
      </c>
      <c r="BM145" s="318" t="s">
        <v>126</v>
      </c>
      <c r="BN145" s="318" t="s">
        <v>197</v>
      </c>
      <c r="BO145" s="318" t="s">
        <v>192</v>
      </c>
      <c r="BP145" s="318" t="s">
        <v>127</v>
      </c>
      <c r="BQ145" s="318" t="s">
        <v>208</v>
      </c>
      <c r="BS145" s="318" t="s">
        <v>196</v>
      </c>
      <c r="BT145" s="318" t="s">
        <v>121</v>
      </c>
      <c r="BU145" s="318" t="s">
        <v>134</v>
      </c>
      <c r="BV145" s="318" t="s">
        <v>122</v>
      </c>
      <c r="BW145" s="318" t="s">
        <v>123</v>
      </c>
      <c r="BX145" s="318" t="s">
        <v>124</v>
      </c>
      <c r="BZ145" s="318" t="s">
        <v>196</v>
      </c>
      <c r="CA145" s="318" t="s">
        <v>121</v>
      </c>
      <c r="CB145" s="318" t="s">
        <v>134</v>
      </c>
      <c r="CC145" s="318" t="s">
        <v>122</v>
      </c>
      <c r="CD145" s="318" t="s">
        <v>123</v>
      </c>
      <c r="CE145" s="318" t="s">
        <v>124</v>
      </c>
      <c r="CH145" s="350"/>
      <c r="CI145" s="350"/>
      <c r="CJ145" s="350"/>
      <c r="CK145" s="350"/>
      <c r="CL145" s="350"/>
      <c r="CM145" s="350"/>
      <c r="DG145" s="350"/>
      <c r="DH145" s="300"/>
      <c r="DI145" s="395" t="str">
        <f t="shared" ca="1" si="387"/>
        <v/>
      </c>
      <c r="DJ145" s="360" t="str">
        <f t="shared" ca="1" si="388"/>
        <v/>
      </c>
      <c r="DK145" s="360" t="str">
        <f t="shared" ca="1" si="374"/>
        <v/>
      </c>
      <c r="DL145" s="354" t="str">
        <f t="shared" ca="1" si="375"/>
        <v/>
      </c>
      <c r="DM145" s="354" t="str">
        <f t="shared" ca="1" si="376"/>
        <v/>
      </c>
      <c r="DN145" s="361" t="str">
        <f t="shared" ca="1" si="377"/>
        <v/>
      </c>
      <c r="DO145" s="362" t="str">
        <f t="shared" ca="1" si="378"/>
        <v/>
      </c>
      <c r="DP145" s="379" t="str">
        <f t="shared" ca="1" si="391"/>
        <v/>
      </c>
      <c r="DQ145" s="302"/>
      <c r="DR145" s="364"/>
      <c r="DS145" s="302"/>
      <c r="DU145" s="424"/>
      <c r="DV145" s="424"/>
      <c r="DW145" s="424"/>
      <c r="DX145" s="424"/>
      <c r="DY145" s="424"/>
      <c r="DZ145" s="424"/>
      <c r="EA145" s="424"/>
      <c r="EB145" s="424"/>
      <c r="EC145" s="424"/>
      <c r="ED145" s="424"/>
      <c r="EE145" s="424"/>
      <c r="EF145" s="424"/>
      <c r="EG145" s="424"/>
      <c r="EH145" s="424"/>
      <c r="EI145" s="424"/>
      <c r="EJ145" s="424"/>
      <c r="EK145" s="424"/>
      <c r="EL145" s="424"/>
      <c r="EM145" s="424"/>
      <c r="EN145" s="424"/>
      <c r="EO145" s="424"/>
      <c r="EP145" s="424"/>
      <c r="EQ145" s="424"/>
      <c r="ER145" s="424"/>
      <c r="ES145" s="424"/>
      <c r="ET145" s="424"/>
      <c r="EU145" s="424"/>
      <c r="EV145" s="424"/>
      <c r="EW145" s="424"/>
      <c r="EX145" s="424"/>
      <c r="EY145" s="424"/>
      <c r="EZ145" s="424"/>
      <c r="FA145" s="424"/>
      <c r="FB145" s="424"/>
      <c r="FC145" s="424"/>
      <c r="FD145" s="425"/>
      <c r="FE145" s="333"/>
      <c r="FO145" s="300"/>
      <c r="FP145" s="395" t="str">
        <f t="shared" ca="1" si="389"/>
        <v/>
      </c>
      <c r="FQ145" s="360" t="str">
        <f t="shared" ca="1" si="390"/>
        <v/>
      </c>
      <c r="FR145" s="360" t="str">
        <f t="shared" ca="1" si="379"/>
        <v/>
      </c>
      <c r="FS145" s="360" t="str">
        <f t="shared" ca="1" si="380"/>
        <v/>
      </c>
      <c r="FT145" s="360" t="str">
        <f t="shared" ca="1" si="381"/>
        <v/>
      </c>
      <c r="FU145" s="360" t="str">
        <f t="shared" ca="1" si="382"/>
        <v/>
      </c>
      <c r="FV145" s="360" t="str">
        <f t="shared" ca="1" si="383"/>
        <v/>
      </c>
      <c r="FW145" s="360" t="str">
        <f t="shared" ca="1" si="384"/>
        <v/>
      </c>
      <c r="FX145" s="360" t="str">
        <f t="shared" ca="1" si="385"/>
        <v/>
      </c>
      <c r="FY145" s="360" t="str">
        <f t="shared" ca="1" si="386"/>
        <v/>
      </c>
      <c r="FZ145" s="379" t="str">
        <f t="shared" ca="1" si="392"/>
        <v/>
      </c>
      <c r="GA145" s="302"/>
      <c r="GB145" s="364"/>
      <c r="GC145" s="302"/>
    </row>
    <row r="146" spans="40:185" x14ac:dyDescent="0.25">
      <c r="AN146" s="336" t="str">
        <f>BC146</f>
        <v>Bakafogó-Honvéd-Sashegy SE</v>
      </c>
      <c r="AO146" s="443" t="str">
        <f ca="1">IF(AP146=AQ146,"►",IF(AP146&lt;AQ146,"▲","▼"))</f>
        <v>►</v>
      </c>
      <c r="AP146" s="444">
        <f ca="1">IF($AJ$58=1,RANK(BA146,$BA$146:$BA$169,1),RANK(AY146,$AY$146:$AY$169,1))</f>
        <v>18</v>
      </c>
      <c r="AQ146" s="444">
        <f ca="1">IF($AJ$58=1,RANK(BA42,$BA$42:$BA$65,1),RANK(BA119,$BA$119:$BA$142,1))</f>
        <v>18</v>
      </c>
      <c r="AY146" s="348">
        <f ca="1">IF($AJ$58=2,BH146,BI146*-1)*1000000+IF($AJ$44,BK146,BJ146)*1000+BP146-IF(BC146=0,1000000000000,0)</f>
        <v>-62021999.960000001</v>
      </c>
      <c r="BA146" s="348">
        <f ca="1">IF($AJ$44,BO146*100,IF($AJ$43,BM146*10,BM146))*1000000+IF($AJ$52,BE146*10000,0)+IF($AJ$44,BK146,BJ146)*1000/IF(OR($AJ$43,$AJ$52),10,1)+IF($AJ$44,0,IF($AJ$43,BH146/10,BH146))+BP146+IF($AJ$70,BQ146,0)-IF(BC146=0,1000000000,0)</f>
        <v>19978040.039999999</v>
      </c>
      <c r="BB146" s="349">
        <v>1</v>
      </c>
      <c r="BC146" s="440" t="str">
        <f>X42</f>
        <v>Bakafogó-Honvéd-Sashegy SE</v>
      </c>
      <c r="BD146" s="346">
        <f ca="1">BE146+BF146+BG146</f>
        <v>19</v>
      </c>
      <c r="BE146" s="346">
        <f t="shared" ref="BE146:BE169" ca="1" si="393">IF($AJ$57=1,BT146+CA146,IF($AJ$57=2,BT146,IF($AJ$57=3,CA146,"")))</f>
        <v>6</v>
      </c>
      <c r="BF146" s="346">
        <f t="shared" ref="BF146:BF169" ca="1" si="394">IF($AJ$57=1,BU146+CB146,IF($AJ$57=2,BU146,IF($AJ$57=3,CB146,"")))</f>
        <v>2</v>
      </c>
      <c r="BG146" s="346">
        <f t="shared" ref="BG146:BG169" ca="1" si="395">IF($AJ$57=1,BV146+CC146,IF($AJ$57=2,BV146,IF($AJ$57=3,CC146,"")))</f>
        <v>11</v>
      </c>
      <c r="BH146" s="346">
        <f t="shared" ref="BH146:BH169" ca="1" si="396">IF($AJ$57=1,BW146+CD146,IF($AJ$57=2,BW146,IF($AJ$57=3,CD146,"")))</f>
        <v>40</v>
      </c>
      <c r="BI146" s="346">
        <f t="shared" ref="BI146:BI169" ca="1" si="397">IF($AJ$57=1,BX146+CE146,IF($AJ$57=2,BX146,IF($AJ$57=3,CE146,"")))</f>
        <v>62</v>
      </c>
      <c r="BJ146" s="346">
        <f ca="1">BH146-BI146</f>
        <v>-22</v>
      </c>
      <c r="BK146" s="347">
        <f ca="1">IF(BI146=0,0,BH146/BI146)</f>
        <v>0.64516129032258063</v>
      </c>
      <c r="BL146" s="346">
        <f t="shared" ref="BL146:BL169" si="398">IF($AJ$71,IF(ISNA(VLOOKUP(BC146,penalty.a,2,FALSE)),0,VLOOKUP(BC146,penalty.a,2,FALSE)),0)</f>
        <v>0</v>
      </c>
      <c r="BM146" s="346">
        <f t="shared" ref="BM146:BM169" ca="1" si="399">$AJ$48*BE146+BF146-BL146</f>
        <v>20</v>
      </c>
      <c r="BN146" s="346">
        <f ca="1">BE146*2+BG146-BL146</f>
        <v>23</v>
      </c>
      <c r="BO146" s="347">
        <f t="shared" ref="BO146:BO169" ca="1" si="400">IF(BD146=0,BN146,IF(BN146=0,0,BN146/BD146/2))</f>
        <v>0.60526315789473684</v>
      </c>
      <c r="BP146" s="348">
        <v>0.04</v>
      </c>
      <c r="BQ146" s="349">
        <f t="shared" ref="BQ146:BQ169" ca="1" si="401">IF(ISNA(VLOOKUP(BC146,eee.an,16,FALSE)),0,VLOOKUP(BC146,eee.an,16,FALSE))</f>
        <v>0</v>
      </c>
      <c r="BS146" s="346">
        <f t="shared" ref="BS146:BS169" ca="1" si="402">COUNTIF(lossh.av,CONCATENATE($BC146,"ooo"))-COUNTIF($BN$119:$BN$142,CONCATENATE($BC146,"ooo"))</f>
        <v>0</v>
      </c>
      <c r="BT146" s="346">
        <f t="shared" ref="BT146:BT169" ca="1" si="403">COUNTIF(winh.av,$BC146)-COUNTIF($BL$119:$BL$142,$BC146)</f>
        <v>3</v>
      </c>
      <c r="BU146" s="346">
        <f t="shared" ref="BU146:BU169" ca="1" si="404">COUNTIF(drawh.av,$BC146)-COUNTIF($BM$119:$BM$142,$BC146)</f>
        <v>2</v>
      </c>
      <c r="BV146" s="346">
        <f t="shared" ref="BV146:BV169" ca="1" si="405">COUNTIF(lossh.av,$BC146)-COUNTIF($BN$119:$BN$142,$BC146)+BS146</f>
        <v>5</v>
      </c>
      <c r="BW146" s="346">
        <f t="shared" ref="BW146:BW169" ca="1" si="406">SUMIF(home.av,$BC146,GAA.av)-SUMIF($BH$119:$BH$142,$BC146,$BJ$119:$BJ$142)</f>
        <v>21</v>
      </c>
      <c r="BX146" s="346">
        <f t="shared" ref="BX146:BX169" ca="1" si="407">SUMIF(home.av,$BC146,GBB.av)-SUMIF($BH$119:$BH$142,$BC146,$BK$119:$BK$142)</f>
        <v>31</v>
      </c>
      <c r="BZ146" s="346">
        <f t="shared" ref="BZ146:BZ169" ca="1" si="408">COUNTIF(lossa.av,CONCATENATE($BC146,"ooo"))-COUNTIF($BQ$119:$BQ$142,CONCATENATE($BC146,"ooo"))</f>
        <v>0</v>
      </c>
      <c r="CA146" s="346">
        <f t="shared" ref="CA146:CA169" ca="1" si="409">COUNTIF(wina.av,$BC146)-COUNTIF($BO$119:$BO$142,$BC146)</f>
        <v>3</v>
      </c>
      <c r="CB146" s="346">
        <f t="shared" ref="CB146:CB169" ca="1" si="410">COUNTIF(drawa.av,$BC146)-COUNTIF($BP$119:$BP$142,$BC146)</f>
        <v>0</v>
      </c>
      <c r="CC146" s="346">
        <f t="shared" ref="CC146:CC169" ca="1" si="411">COUNTIF(lossa.av,$BC146)-COUNTIF($BQ$119:$BQ$142,$BC146)+BZ146</f>
        <v>6</v>
      </c>
      <c r="CD146" s="346">
        <f t="shared" ref="CD146:CD169" ca="1" si="412">SUMIF(away.av,$BC146,GBB.av)-SUMIF($BI$119:$BI$142,$BC146,$BK$119:$BK$142)</f>
        <v>19</v>
      </c>
      <c r="CE146" s="346">
        <f t="shared" ref="CE146:CE169" ca="1" si="413">SUMIF(away.av,$BC146,GAA.av)-SUMIF($BI$119:$BI$142,$BC146,$BJ$119:$BJ$142)</f>
        <v>31</v>
      </c>
      <c r="CH146" s="350"/>
      <c r="CI146" s="350"/>
      <c r="CJ146" s="350"/>
      <c r="CK146" s="350"/>
      <c r="CL146" s="350"/>
      <c r="CM146" s="350"/>
      <c r="DG146" s="350"/>
      <c r="DH146" s="300"/>
      <c r="DI146" s="395" t="str">
        <f t="shared" ca="1" si="387"/>
        <v/>
      </c>
      <c r="DJ146" s="360" t="str">
        <f t="shared" ca="1" si="388"/>
        <v/>
      </c>
      <c r="DK146" s="360" t="str">
        <f t="shared" ca="1" si="374"/>
        <v/>
      </c>
      <c r="DL146" s="354" t="str">
        <f t="shared" ca="1" si="375"/>
        <v/>
      </c>
      <c r="DM146" s="354" t="str">
        <f t="shared" ca="1" si="376"/>
        <v/>
      </c>
      <c r="DN146" s="361" t="str">
        <f t="shared" ca="1" si="377"/>
        <v/>
      </c>
      <c r="DO146" s="362" t="str">
        <f t="shared" ca="1" si="378"/>
        <v/>
      </c>
      <c r="DP146" s="379" t="str">
        <f t="shared" ca="1" si="391"/>
        <v/>
      </c>
      <c r="DQ146" s="302"/>
      <c r="DR146" s="364"/>
      <c r="DS146" s="302"/>
      <c r="DU146" s="424"/>
      <c r="DV146" s="424"/>
      <c r="DW146" s="424"/>
      <c r="DX146" s="424"/>
      <c r="DY146" s="424"/>
      <c r="DZ146" s="424"/>
      <c r="EA146" s="424"/>
      <c r="EB146" s="424"/>
      <c r="EC146" s="424"/>
      <c r="ED146" s="424"/>
      <c r="EE146" s="424"/>
      <c r="EF146" s="424"/>
      <c r="EG146" s="424"/>
      <c r="EH146" s="424"/>
      <c r="EI146" s="424"/>
      <c r="EJ146" s="424"/>
      <c r="EK146" s="424"/>
      <c r="EL146" s="424"/>
      <c r="EM146" s="424"/>
      <c r="EN146" s="424"/>
      <c r="EO146" s="424"/>
      <c r="EP146" s="424"/>
      <c r="EQ146" s="424"/>
      <c r="ER146" s="424"/>
      <c r="ES146" s="424"/>
      <c r="ET146" s="424"/>
      <c r="EU146" s="424"/>
      <c r="EV146" s="424"/>
      <c r="EW146" s="424"/>
      <c r="EX146" s="424"/>
      <c r="EY146" s="424"/>
      <c r="EZ146" s="424"/>
      <c r="FA146" s="424"/>
      <c r="FB146" s="424"/>
      <c r="FC146" s="424"/>
      <c r="FD146" s="425"/>
      <c r="FE146" s="333"/>
      <c r="FO146" s="300"/>
      <c r="FP146" s="395" t="str">
        <f t="shared" ca="1" si="389"/>
        <v/>
      </c>
      <c r="FQ146" s="360" t="str">
        <f t="shared" ca="1" si="390"/>
        <v/>
      </c>
      <c r="FR146" s="360" t="str">
        <f t="shared" ca="1" si="379"/>
        <v/>
      </c>
      <c r="FS146" s="360" t="str">
        <f t="shared" ca="1" si="380"/>
        <v/>
      </c>
      <c r="FT146" s="360" t="str">
        <f t="shared" ca="1" si="381"/>
        <v/>
      </c>
      <c r="FU146" s="360" t="str">
        <f t="shared" ca="1" si="382"/>
        <v/>
      </c>
      <c r="FV146" s="360" t="str">
        <f t="shared" ca="1" si="383"/>
        <v/>
      </c>
      <c r="FW146" s="360" t="str">
        <f t="shared" ca="1" si="384"/>
        <v/>
      </c>
      <c r="FX146" s="360" t="str">
        <f t="shared" ca="1" si="385"/>
        <v/>
      </c>
      <c r="FY146" s="360" t="str">
        <f t="shared" ca="1" si="386"/>
        <v/>
      </c>
      <c r="FZ146" s="379" t="str">
        <f t="shared" ca="1" si="392"/>
        <v/>
      </c>
      <c r="GA146" s="302"/>
      <c r="GB146" s="364"/>
      <c r="GC146" s="302"/>
    </row>
    <row r="147" spans="40:185" x14ac:dyDescent="0.25">
      <c r="AN147" s="336" t="str">
        <f t="shared" ref="AN147:AN169" si="414">BC147</f>
        <v>BBK</v>
      </c>
      <c r="AO147" s="443" t="str">
        <f t="shared" ref="AO147:AO169" ca="1" si="415">IF(AP147=AQ147,"►",IF(AP147&lt;AQ147,"▲","▼"))</f>
        <v>►</v>
      </c>
      <c r="AP147" s="444">
        <f t="shared" ref="AP147:AP169" ca="1" si="416">IF($AJ$58=1,RANK(BA147,$BA$146:$BA$169,1),RANK(AY147,$AY$146:$AY$169,1))</f>
        <v>24</v>
      </c>
      <c r="AQ147" s="444">
        <f t="shared" ref="AQ147:AQ169" ca="1" si="417">IF($AJ$58=1,RANK(BA43,$BA$42:$BA$65,1),RANK(BA120,$BA$119:$BA$142,1))</f>
        <v>24</v>
      </c>
      <c r="AY147" s="348">
        <f t="shared" ref="AY147:AY169" ca="1" si="418">IF($AJ$58=2,BH147,BI147*-1)*1000000+IF($AJ$44,BK147,BJ147)*1000+BP147-IF(BC147=0,1000000000000,0)</f>
        <v>-27941999.960999999</v>
      </c>
      <c r="BA147" s="348">
        <f t="shared" ref="BA147:BA169" ca="1" si="419">IF($AJ$44,BO147*100,IF($AJ$43,BM147*10,BM147))*1000000+IF($AJ$52,BE147*10000,0)+IF($AJ$44,BK147,BJ147)*1000/IF(OR($AJ$43,$AJ$52),10,1)+IF($AJ$44,0,IF($AJ$43,BH147/10,BH147))+BP147+IF($AJ$70,BQ147,0)-IF(BC147=0,1000000000,0)</f>
        <v>52058086.038999997</v>
      </c>
      <c r="BB147" s="349">
        <v>2</v>
      </c>
      <c r="BC147" s="440" t="str">
        <f t="shared" ref="BC147:BC169" si="420">X43</f>
        <v>BBK</v>
      </c>
      <c r="BD147" s="346">
        <f t="shared" ref="BD147:BD165" ca="1" si="421">BE147+BF147+BG147</f>
        <v>19</v>
      </c>
      <c r="BE147" s="346">
        <f t="shared" ca="1" si="393"/>
        <v>17</v>
      </c>
      <c r="BF147" s="346">
        <f t="shared" ca="1" si="394"/>
        <v>1</v>
      </c>
      <c r="BG147" s="346">
        <f t="shared" ca="1" si="395"/>
        <v>1</v>
      </c>
      <c r="BH147" s="346">
        <f t="shared" ca="1" si="396"/>
        <v>86</v>
      </c>
      <c r="BI147" s="346">
        <f t="shared" ca="1" si="397"/>
        <v>28</v>
      </c>
      <c r="BJ147" s="346">
        <f t="shared" ref="BJ147:BJ169" ca="1" si="422">BH147-BI147</f>
        <v>58</v>
      </c>
      <c r="BK147" s="347">
        <f t="shared" ref="BK147:BK169" ca="1" si="423">IF(BI147=0,0,BH147/BI147)</f>
        <v>3.0714285714285716</v>
      </c>
      <c r="BL147" s="346">
        <f t="shared" si="398"/>
        <v>0</v>
      </c>
      <c r="BM147" s="346">
        <f t="shared" ca="1" si="399"/>
        <v>52</v>
      </c>
      <c r="BN147" s="346">
        <f t="shared" ref="BN147:BN169" ca="1" si="424">BE147*2+BG147-BL147</f>
        <v>35</v>
      </c>
      <c r="BO147" s="347">
        <f t="shared" ca="1" si="400"/>
        <v>0.92105263157894735</v>
      </c>
      <c r="BP147" s="348">
        <v>3.9E-2</v>
      </c>
      <c r="BQ147" s="349">
        <f t="shared" ca="1" si="401"/>
        <v>0</v>
      </c>
      <c r="BS147" s="346">
        <f t="shared" ca="1" si="402"/>
        <v>0</v>
      </c>
      <c r="BT147" s="346">
        <f t="shared" ca="1" si="403"/>
        <v>7</v>
      </c>
      <c r="BU147" s="346">
        <f t="shared" ca="1" si="404"/>
        <v>1</v>
      </c>
      <c r="BV147" s="346">
        <f t="shared" ca="1" si="405"/>
        <v>1</v>
      </c>
      <c r="BW147" s="346">
        <f t="shared" ca="1" si="406"/>
        <v>35</v>
      </c>
      <c r="BX147" s="346">
        <f t="shared" ca="1" si="407"/>
        <v>14</v>
      </c>
      <c r="BZ147" s="346">
        <f t="shared" ca="1" si="408"/>
        <v>0</v>
      </c>
      <c r="CA147" s="346">
        <f t="shared" ca="1" si="409"/>
        <v>10</v>
      </c>
      <c r="CB147" s="346">
        <f t="shared" ca="1" si="410"/>
        <v>0</v>
      </c>
      <c r="CC147" s="346">
        <f t="shared" ca="1" si="411"/>
        <v>0</v>
      </c>
      <c r="CD147" s="346">
        <f t="shared" ca="1" si="412"/>
        <v>51</v>
      </c>
      <c r="CE147" s="346">
        <f t="shared" ca="1" si="413"/>
        <v>14</v>
      </c>
      <c r="CH147" s="350"/>
      <c r="CI147" s="350"/>
      <c r="CJ147" s="350"/>
      <c r="CK147" s="350"/>
      <c r="CL147" s="350"/>
      <c r="CM147" s="350"/>
      <c r="DG147" s="350"/>
      <c r="DH147" s="300"/>
      <c r="DI147" s="395" t="str">
        <f t="shared" ca="1" si="387"/>
        <v/>
      </c>
      <c r="DJ147" s="360" t="str">
        <f t="shared" ca="1" si="388"/>
        <v/>
      </c>
      <c r="DK147" s="360" t="str">
        <f t="shared" ca="1" si="374"/>
        <v/>
      </c>
      <c r="DL147" s="354" t="str">
        <f t="shared" ca="1" si="375"/>
        <v/>
      </c>
      <c r="DM147" s="354" t="str">
        <f t="shared" ca="1" si="376"/>
        <v/>
      </c>
      <c r="DN147" s="361" t="str">
        <f t="shared" ca="1" si="377"/>
        <v/>
      </c>
      <c r="DO147" s="362" t="str">
        <f t="shared" ca="1" si="378"/>
        <v/>
      </c>
      <c r="DP147" s="379" t="str">
        <f t="shared" ca="1" si="391"/>
        <v/>
      </c>
      <c r="DQ147" s="302"/>
      <c r="DR147" s="364"/>
      <c r="DS147" s="302"/>
      <c r="DU147" s="424"/>
      <c r="DV147" s="424"/>
      <c r="DW147" s="424"/>
      <c r="DX147" s="424"/>
      <c r="DY147" s="424"/>
      <c r="DZ147" s="424"/>
      <c r="EA147" s="424"/>
      <c r="EB147" s="424"/>
      <c r="EC147" s="424"/>
      <c r="ED147" s="424"/>
      <c r="EE147" s="424"/>
      <c r="EF147" s="424"/>
      <c r="EG147" s="424"/>
      <c r="EH147" s="424"/>
      <c r="EI147" s="424"/>
      <c r="EJ147" s="424"/>
      <c r="EK147" s="424"/>
      <c r="EL147" s="424"/>
      <c r="EM147" s="424"/>
      <c r="EN147" s="424"/>
      <c r="EO147" s="424"/>
      <c r="EP147" s="424"/>
      <c r="EQ147" s="424"/>
      <c r="ER147" s="424"/>
      <c r="ES147" s="424"/>
      <c r="ET147" s="424"/>
      <c r="EU147" s="424"/>
      <c r="EV147" s="424"/>
      <c r="EW147" s="424"/>
      <c r="EX147" s="424"/>
      <c r="EY147" s="424"/>
      <c r="EZ147" s="424"/>
      <c r="FA147" s="424"/>
      <c r="FB147" s="424"/>
      <c r="FC147" s="424"/>
      <c r="FD147" s="425"/>
      <c r="FE147" s="333"/>
      <c r="FO147" s="300"/>
      <c r="FP147" s="395" t="str">
        <f t="shared" ca="1" si="389"/>
        <v/>
      </c>
      <c r="FQ147" s="360" t="str">
        <f t="shared" ca="1" si="390"/>
        <v/>
      </c>
      <c r="FR147" s="360" t="str">
        <f t="shared" ca="1" si="379"/>
        <v/>
      </c>
      <c r="FS147" s="360" t="str">
        <f t="shared" ca="1" si="380"/>
        <v/>
      </c>
      <c r="FT147" s="360" t="str">
        <f t="shared" ca="1" si="381"/>
        <v/>
      </c>
      <c r="FU147" s="360" t="str">
        <f t="shared" ca="1" si="382"/>
        <v/>
      </c>
      <c r="FV147" s="360" t="str">
        <f t="shared" ca="1" si="383"/>
        <v/>
      </c>
      <c r="FW147" s="360" t="str">
        <f t="shared" ca="1" si="384"/>
        <v/>
      </c>
      <c r="FX147" s="360" t="str">
        <f t="shared" ca="1" si="385"/>
        <v/>
      </c>
      <c r="FY147" s="360" t="str">
        <f t="shared" ca="1" si="386"/>
        <v/>
      </c>
      <c r="FZ147" s="379" t="str">
        <f t="shared" ca="1" si="392"/>
        <v/>
      </c>
      <c r="GA147" s="302"/>
      <c r="GB147" s="364"/>
      <c r="GC147" s="302"/>
    </row>
    <row r="148" spans="40:185" x14ac:dyDescent="0.25">
      <c r="AN148" s="336" t="str">
        <f t="shared" si="414"/>
        <v>BHD</v>
      </c>
      <c r="AO148" s="443" t="str">
        <f t="shared" ca="1" si="415"/>
        <v>►</v>
      </c>
      <c r="AP148" s="444">
        <f t="shared" ca="1" si="416"/>
        <v>22</v>
      </c>
      <c r="AQ148" s="444">
        <f t="shared" ca="1" si="417"/>
        <v>22</v>
      </c>
      <c r="AY148" s="348">
        <f t="shared" ca="1" si="418"/>
        <v>-31964999.962000001</v>
      </c>
      <c r="BA148" s="348">
        <f t="shared" ca="1" si="419"/>
        <v>42035067.038000003</v>
      </c>
      <c r="BB148" s="349">
        <v>3</v>
      </c>
      <c r="BC148" s="440" t="str">
        <f t="shared" si="420"/>
        <v>BHD</v>
      </c>
      <c r="BD148" s="346">
        <f t="shared" ca="1" si="421"/>
        <v>19</v>
      </c>
      <c r="BE148" s="346">
        <f t="shared" ca="1" si="393"/>
        <v>13</v>
      </c>
      <c r="BF148" s="346">
        <f t="shared" ca="1" si="394"/>
        <v>3</v>
      </c>
      <c r="BG148" s="346">
        <f t="shared" ca="1" si="395"/>
        <v>3</v>
      </c>
      <c r="BH148" s="346">
        <f t="shared" ca="1" si="396"/>
        <v>67</v>
      </c>
      <c r="BI148" s="346">
        <f t="shared" ca="1" si="397"/>
        <v>32</v>
      </c>
      <c r="BJ148" s="346">
        <f t="shared" ca="1" si="422"/>
        <v>35</v>
      </c>
      <c r="BK148" s="347">
        <f t="shared" ca="1" si="423"/>
        <v>2.09375</v>
      </c>
      <c r="BL148" s="346">
        <f t="shared" si="398"/>
        <v>0</v>
      </c>
      <c r="BM148" s="346">
        <f t="shared" ca="1" si="399"/>
        <v>42</v>
      </c>
      <c r="BN148" s="346">
        <f t="shared" ca="1" si="424"/>
        <v>29</v>
      </c>
      <c r="BO148" s="347">
        <f t="shared" ca="1" si="400"/>
        <v>0.76315789473684215</v>
      </c>
      <c r="BP148" s="348">
        <v>3.7999999999999999E-2</v>
      </c>
      <c r="BQ148" s="349">
        <f t="shared" ca="1" si="401"/>
        <v>0</v>
      </c>
      <c r="BS148" s="346">
        <f t="shared" ca="1" si="402"/>
        <v>0</v>
      </c>
      <c r="BT148" s="346">
        <f t="shared" ca="1" si="403"/>
        <v>7</v>
      </c>
      <c r="BU148" s="346">
        <f t="shared" ca="1" si="404"/>
        <v>0</v>
      </c>
      <c r="BV148" s="346">
        <f t="shared" ca="1" si="405"/>
        <v>2</v>
      </c>
      <c r="BW148" s="346">
        <f t="shared" ca="1" si="406"/>
        <v>39</v>
      </c>
      <c r="BX148" s="346">
        <f t="shared" ca="1" si="407"/>
        <v>21</v>
      </c>
      <c r="BZ148" s="346">
        <f t="shared" ca="1" si="408"/>
        <v>0</v>
      </c>
      <c r="CA148" s="346">
        <f t="shared" ca="1" si="409"/>
        <v>6</v>
      </c>
      <c r="CB148" s="346">
        <f t="shared" ca="1" si="410"/>
        <v>3</v>
      </c>
      <c r="CC148" s="346">
        <f t="shared" ca="1" si="411"/>
        <v>1</v>
      </c>
      <c r="CD148" s="346">
        <f t="shared" ca="1" si="412"/>
        <v>28</v>
      </c>
      <c r="CE148" s="346">
        <f t="shared" ca="1" si="413"/>
        <v>11</v>
      </c>
      <c r="CH148" s="350"/>
      <c r="CI148" s="350"/>
      <c r="CJ148" s="350"/>
      <c r="CK148" s="350"/>
      <c r="CL148" s="350"/>
      <c r="CM148" s="350"/>
      <c r="DG148" s="350"/>
      <c r="DH148" s="300"/>
      <c r="DI148" s="395" t="str">
        <f t="shared" ca="1" si="387"/>
        <v/>
      </c>
      <c r="DJ148" s="360" t="str">
        <f t="shared" ca="1" si="388"/>
        <v/>
      </c>
      <c r="DK148" s="360" t="str">
        <f t="shared" ca="1" si="374"/>
        <v/>
      </c>
      <c r="DL148" s="354" t="str">
        <f t="shared" ca="1" si="375"/>
        <v/>
      </c>
      <c r="DM148" s="354" t="str">
        <f t="shared" ca="1" si="376"/>
        <v/>
      </c>
      <c r="DN148" s="361" t="str">
        <f t="shared" ca="1" si="377"/>
        <v/>
      </c>
      <c r="DO148" s="362" t="str">
        <f t="shared" ca="1" si="378"/>
        <v/>
      </c>
      <c r="DP148" s="379" t="str">
        <f t="shared" ca="1" si="391"/>
        <v/>
      </c>
      <c r="DQ148" s="302"/>
      <c r="DR148" s="364"/>
      <c r="DS148" s="302"/>
      <c r="DU148" s="424"/>
      <c r="DV148" s="424"/>
      <c r="DW148" s="424"/>
      <c r="DX148" s="424"/>
      <c r="DY148" s="424"/>
      <c r="DZ148" s="424"/>
      <c r="EA148" s="424"/>
      <c r="EB148" s="424"/>
      <c r="EC148" s="424"/>
      <c r="ED148" s="424"/>
      <c r="EE148" s="424"/>
      <c r="EF148" s="424"/>
      <c r="EG148" s="424"/>
      <c r="EH148" s="424"/>
      <c r="EI148" s="424"/>
      <c r="EJ148" s="424"/>
      <c r="EK148" s="424"/>
      <c r="EL148" s="424"/>
      <c r="EM148" s="424"/>
      <c r="EN148" s="424"/>
      <c r="EO148" s="424"/>
      <c r="EP148" s="424"/>
      <c r="EQ148" s="424"/>
      <c r="ER148" s="424"/>
      <c r="ES148" s="424"/>
      <c r="ET148" s="424"/>
      <c r="EU148" s="424"/>
      <c r="EV148" s="424"/>
      <c r="EW148" s="424"/>
      <c r="EX148" s="424"/>
      <c r="EY148" s="424"/>
      <c r="EZ148" s="424"/>
      <c r="FA148" s="424"/>
      <c r="FB148" s="424"/>
      <c r="FC148" s="424"/>
      <c r="FD148" s="425"/>
      <c r="FE148" s="333"/>
      <c r="FO148" s="300"/>
      <c r="FP148" s="395" t="str">
        <f t="shared" ca="1" si="389"/>
        <v/>
      </c>
      <c r="FQ148" s="360" t="str">
        <f t="shared" ca="1" si="390"/>
        <v/>
      </c>
      <c r="FR148" s="360" t="str">
        <f t="shared" ca="1" si="379"/>
        <v/>
      </c>
      <c r="FS148" s="360" t="str">
        <f t="shared" ca="1" si="380"/>
        <v/>
      </c>
      <c r="FT148" s="360" t="str">
        <f t="shared" ca="1" si="381"/>
        <v/>
      </c>
      <c r="FU148" s="360" t="str">
        <f t="shared" ca="1" si="382"/>
        <v/>
      </c>
      <c r="FV148" s="360" t="str">
        <f t="shared" ca="1" si="383"/>
        <v/>
      </c>
      <c r="FW148" s="360" t="str">
        <f t="shared" ca="1" si="384"/>
        <v/>
      </c>
      <c r="FX148" s="360" t="str">
        <f t="shared" ca="1" si="385"/>
        <v/>
      </c>
      <c r="FY148" s="360" t="str">
        <f t="shared" ca="1" si="386"/>
        <v/>
      </c>
      <c r="FZ148" s="379" t="str">
        <f t="shared" ca="1" si="392"/>
        <v/>
      </c>
      <c r="GA148" s="302"/>
      <c r="GB148" s="364"/>
      <c r="GC148" s="302"/>
    </row>
    <row r="149" spans="40:185" x14ac:dyDescent="0.25">
      <c r="AN149" s="336" t="str">
        <f t="shared" si="414"/>
        <v>Bőrdíszmű</v>
      </c>
      <c r="AO149" s="443" t="str">
        <f t="shared" ca="1" si="415"/>
        <v>►</v>
      </c>
      <c r="AP149" s="444">
        <f t="shared" ca="1" si="416"/>
        <v>15</v>
      </c>
      <c r="AQ149" s="444">
        <f t="shared" ca="1" si="417"/>
        <v>15</v>
      </c>
      <c r="AY149" s="348">
        <f t="shared" ca="1" si="418"/>
        <v>-84058999.963</v>
      </c>
      <c r="BA149" s="348">
        <f t="shared" ca="1" si="419"/>
        <v>9941025.0370000005</v>
      </c>
      <c r="BB149" s="349">
        <v>4</v>
      </c>
      <c r="BC149" s="440" t="str">
        <f t="shared" si="420"/>
        <v>Bőrdíszmű</v>
      </c>
      <c r="BD149" s="346">
        <f t="shared" ca="1" si="421"/>
        <v>19</v>
      </c>
      <c r="BE149" s="346">
        <f t="shared" ca="1" si="393"/>
        <v>3</v>
      </c>
      <c r="BF149" s="346">
        <f t="shared" ca="1" si="394"/>
        <v>1</v>
      </c>
      <c r="BG149" s="346">
        <f t="shared" ca="1" si="395"/>
        <v>15</v>
      </c>
      <c r="BH149" s="346">
        <f t="shared" ca="1" si="396"/>
        <v>25</v>
      </c>
      <c r="BI149" s="346">
        <f t="shared" ca="1" si="397"/>
        <v>84</v>
      </c>
      <c r="BJ149" s="346">
        <f t="shared" ca="1" si="422"/>
        <v>-59</v>
      </c>
      <c r="BK149" s="347">
        <f t="shared" ca="1" si="423"/>
        <v>0.29761904761904762</v>
      </c>
      <c r="BL149" s="346">
        <f t="shared" si="398"/>
        <v>0</v>
      </c>
      <c r="BM149" s="346">
        <f t="shared" ca="1" si="399"/>
        <v>10</v>
      </c>
      <c r="BN149" s="346">
        <f t="shared" ca="1" si="424"/>
        <v>21</v>
      </c>
      <c r="BO149" s="347">
        <f t="shared" ca="1" si="400"/>
        <v>0.55263157894736847</v>
      </c>
      <c r="BP149" s="348">
        <v>3.6999999999999998E-2</v>
      </c>
      <c r="BQ149" s="349">
        <f t="shared" ca="1" si="401"/>
        <v>0</v>
      </c>
      <c r="BS149" s="346">
        <f t="shared" ca="1" si="402"/>
        <v>0</v>
      </c>
      <c r="BT149" s="346">
        <f t="shared" ca="1" si="403"/>
        <v>0</v>
      </c>
      <c r="BU149" s="346">
        <f t="shared" ca="1" si="404"/>
        <v>1</v>
      </c>
      <c r="BV149" s="346">
        <f t="shared" ca="1" si="405"/>
        <v>9</v>
      </c>
      <c r="BW149" s="346">
        <f t="shared" ca="1" si="406"/>
        <v>11</v>
      </c>
      <c r="BX149" s="346">
        <f t="shared" ca="1" si="407"/>
        <v>50</v>
      </c>
      <c r="BZ149" s="346">
        <f t="shared" ca="1" si="408"/>
        <v>0</v>
      </c>
      <c r="CA149" s="346">
        <f t="shared" ca="1" si="409"/>
        <v>3</v>
      </c>
      <c r="CB149" s="346">
        <f t="shared" ca="1" si="410"/>
        <v>0</v>
      </c>
      <c r="CC149" s="346">
        <f t="shared" ca="1" si="411"/>
        <v>6</v>
      </c>
      <c r="CD149" s="346">
        <f t="shared" ca="1" si="412"/>
        <v>14</v>
      </c>
      <c r="CE149" s="346">
        <f t="shared" ca="1" si="413"/>
        <v>34</v>
      </c>
      <c r="CH149" s="350"/>
      <c r="CI149" s="350"/>
      <c r="CJ149" s="350"/>
      <c r="CK149" s="350"/>
      <c r="CL149" s="350"/>
      <c r="CM149" s="350"/>
      <c r="DG149" s="350"/>
      <c r="DH149" s="300"/>
      <c r="DI149" s="395" t="str">
        <f t="shared" ca="1" si="387"/>
        <v/>
      </c>
      <c r="DJ149" s="360" t="str">
        <f t="shared" ca="1" si="388"/>
        <v/>
      </c>
      <c r="DK149" s="360" t="str">
        <f t="shared" ca="1" si="374"/>
        <v/>
      </c>
      <c r="DL149" s="354" t="str">
        <f t="shared" ca="1" si="375"/>
        <v/>
      </c>
      <c r="DM149" s="354" t="str">
        <f t="shared" ca="1" si="376"/>
        <v/>
      </c>
      <c r="DN149" s="361" t="str">
        <f t="shared" ca="1" si="377"/>
        <v/>
      </c>
      <c r="DO149" s="362" t="str">
        <f t="shared" ca="1" si="378"/>
        <v/>
      </c>
      <c r="DP149" s="379" t="str">
        <f t="shared" ca="1" si="391"/>
        <v/>
      </c>
      <c r="DQ149" s="302"/>
      <c r="DR149" s="364"/>
      <c r="DS149" s="302"/>
      <c r="DU149" s="424"/>
      <c r="DV149" s="424"/>
      <c r="DW149" s="424"/>
      <c r="DX149" s="424"/>
      <c r="DY149" s="424"/>
      <c r="DZ149" s="424"/>
      <c r="EA149" s="424"/>
      <c r="EB149" s="424"/>
      <c r="EC149" s="424"/>
      <c r="ED149" s="424"/>
      <c r="EE149" s="424"/>
      <c r="EF149" s="424"/>
      <c r="EG149" s="424"/>
      <c r="EH149" s="424"/>
      <c r="EI149" s="424"/>
      <c r="EJ149" s="424"/>
      <c r="EK149" s="424"/>
      <c r="EL149" s="424"/>
      <c r="EM149" s="424"/>
      <c r="EN149" s="424"/>
      <c r="EO149" s="424"/>
      <c r="EP149" s="424"/>
      <c r="EQ149" s="424"/>
      <c r="ER149" s="424"/>
      <c r="ES149" s="424"/>
      <c r="ET149" s="424"/>
      <c r="EU149" s="424"/>
      <c r="EV149" s="424"/>
      <c r="EW149" s="424"/>
      <c r="EX149" s="424"/>
      <c r="EY149" s="424"/>
      <c r="EZ149" s="424"/>
      <c r="FA149" s="424"/>
      <c r="FB149" s="424"/>
      <c r="FC149" s="424"/>
      <c r="FD149" s="425"/>
      <c r="FE149" s="333"/>
      <c r="FO149" s="300"/>
      <c r="FP149" s="395" t="str">
        <f t="shared" ca="1" si="389"/>
        <v/>
      </c>
      <c r="FQ149" s="360" t="str">
        <f t="shared" ca="1" si="390"/>
        <v/>
      </c>
      <c r="FR149" s="360" t="str">
        <f t="shared" ca="1" si="379"/>
        <v/>
      </c>
      <c r="FS149" s="360" t="str">
        <f t="shared" ca="1" si="380"/>
        <v/>
      </c>
      <c r="FT149" s="360" t="str">
        <f t="shared" ca="1" si="381"/>
        <v/>
      </c>
      <c r="FU149" s="360" t="str">
        <f t="shared" ca="1" si="382"/>
        <v/>
      </c>
      <c r="FV149" s="360" t="str">
        <f t="shared" ca="1" si="383"/>
        <v/>
      </c>
      <c r="FW149" s="360" t="str">
        <f t="shared" ca="1" si="384"/>
        <v/>
      </c>
      <c r="FX149" s="360" t="str">
        <f t="shared" ca="1" si="385"/>
        <v/>
      </c>
      <c r="FY149" s="360" t="str">
        <f t="shared" ca="1" si="386"/>
        <v/>
      </c>
      <c r="FZ149" s="379" t="str">
        <f t="shared" ca="1" si="392"/>
        <v/>
      </c>
      <c r="GA149" s="302"/>
      <c r="GB149" s="364"/>
      <c r="GC149" s="302"/>
    </row>
    <row r="150" spans="40:185" x14ac:dyDescent="0.25">
      <c r="AN150" s="336" t="str">
        <f t="shared" si="414"/>
        <v>Carbonász</v>
      </c>
      <c r="AO150" s="443" t="str">
        <f t="shared" ca="1" si="415"/>
        <v>►</v>
      </c>
      <c r="AP150" s="444">
        <f t="shared" ca="1" si="416"/>
        <v>16</v>
      </c>
      <c r="AQ150" s="444">
        <f t="shared" ca="1" si="417"/>
        <v>16</v>
      </c>
      <c r="AY150" s="348">
        <f t="shared" ca="1" si="418"/>
        <v>-101056999.964</v>
      </c>
      <c r="BA150" s="348">
        <f t="shared" ca="1" si="419"/>
        <v>13943044.036</v>
      </c>
      <c r="BB150" s="349">
        <v>5</v>
      </c>
      <c r="BC150" s="440" t="str">
        <f t="shared" si="420"/>
        <v>Carbonász</v>
      </c>
      <c r="BD150" s="346">
        <f t="shared" ca="1" si="421"/>
        <v>20</v>
      </c>
      <c r="BE150" s="346">
        <f t="shared" ca="1" si="393"/>
        <v>4</v>
      </c>
      <c r="BF150" s="346">
        <f t="shared" ca="1" si="394"/>
        <v>2</v>
      </c>
      <c r="BG150" s="346">
        <f t="shared" ca="1" si="395"/>
        <v>14</v>
      </c>
      <c r="BH150" s="346">
        <f t="shared" ca="1" si="396"/>
        <v>44</v>
      </c>
      <c r="BI150" s="346">
        <f t="shared" ca="1" si="397"/>
        <v>101</v>
      </c>
      <c r="BJ150" s="346">
        <f t="shared" ca="1" si="422"/>
        <v>-57</v>
      </c>
      <c r="BK150" s="347">
        <f t="shared" ca="1" si="423"/>
        <v>0.43564356435643564</v>
      </c>
      <c r="BL150" s="346">
        <f t="shared" si="398"/>
        <v>0</v>
      </c>
      <c r="BM150" s="346">
        <f t="shared" ca="1" si="399"/>
        <v>14</v>
      </c>
      <c r="BN150" s="346">
        <f t="shared" ca="1" si="424"/>
        <v>22</v>
      </c>
      <c r="BO150" s="347">
        <f t="shared" ca="1" si="400"/>
        <v>0.55000000000000004</v>
      </c>
      <c r="BP150" s="348">
        <v>3.5999999999999997E-2</v>
      </c>
      <c r="BQ150" s="349">
        <f t="shared" ca="1" si="401"/>
        <v>0</v>
      </c>
      <c r="BS150" s="346">
        <f t="shared" ca="1" si="402"/>
        <v>0</v>
      </c>
      <c r="BT150" s="346">
        <f t="shared" ca="1" si="403"/>
        <v>3</v>
      </c>
      <c r="BU150" s="346">
        <f t="shared" ca="1" si="404"/>
        <v>0</v>
      </c>
      <c r="BV150" s="346">
        <f t="shared" ca="1" si="405"/>
        <v>7</v>
      </c>
      <c r="BW150" s="346">
        <f t="shared" ca="1" si="406"/>
        <v>24</v>
      </c>
      <c r="BX150" s="346">
        <f t="shared" ca="1" si="407"/>
        <v>51</v>
      </c>
      <c r="BZ150" s="346">
        <f t="shared" ca="1" si="408"/>
        <v>0</v>
      </c>
      <c r="CA150" s="346">
        <f t="shared" ca="1" si="409"/>
        <v>1</v>
      </c>
      <c r="CB150" s="346">
        <f t="shared" ca="1" si="410"/>
        <v>2</v>
      </c>
      <c r="CC150" s="346">
        <f t="shared" ca="1" si="411"/>
        <v>7</v>
      </c>
      <c r="CD150" s="346">
        <f t="shared" ca="1" si="412"/>
        <v>20</v>
      </c>
      <c r="CE150" s="346">
        <f t="shared" ca="1" si="413"/>
        <v>50</v>
      </c>
      <c r="CH150" s="350"/>
      <c r="CI150" s="350"/>
      <c r="CJ150" s="350"/>
      <c r="CK150" s="350"/>
      <c r="CL150" s="350"/>
      <c r="CM150" s="350"/>
      <c r="DG150" s="350"/>
      <c r="DH150" s="300"/>
      <c r="DI150" s="395" t="str">
        <f t="shared" ca="1" si="387"/>
        <v/>
      </c>
      <c r="DJ150" s="360" t="str">
        <f t="shared" ca="1" si="388"/>
        <v/>
      </c>
      <c r="DK150" s="360" t="str">
        <f t="shared" ca="1" si="374"/>
        <v/>
      </c>
      <c r="DL150" s="354" t="str">
        <f t="shared" ca="1" si="375"/>
        <v/>
      </c>
      <c r="DM150" s="354" t="str">
        <f t="shared" ca="1" si="376"/>
        <v/>
      </c>
      <c r="DN150" s="361" t="str">
        <f t="shared" ca="1" si="377"/>
        <v/>
      </c>
      <c r="DO150" s="362" t="str">
        <f t="shared" ca="1" si="378"/>
        <v/>
      </c>
      <c r="DP150" s="379" t="str">
        <f t="shared" ca="1" si="391"/>
        <v/>
      </c>
      <c r="DQ150" s="302"/>
      <c r="DR150" s="364"/>
      <c r="DS150" s="302"/>
      <c r="DU150" s="424"/>
      <c r="DV150" s="424"/>
      <c r="DW150" s="424"/>
      <c r="DX150" s="424"/>
      <c r="DY150" s="424"/>
      <c r="DZ150" s="424"/>
      <c r="EA150" s="424"/>
      <c r="EB150" s="424"/>
      <c r="EC150" s="424"/>
      <c r="ED150" s="424"/>
      <c r="EE150" s="424"/>
      <c r="EF150" s="424"/>
      <c r="EG150" s="424"/>
      <c r="EH150" s="424"/>
      <c r="EI150" s="424"/>
      <c r="EJ150" s="424"/>
      <c r="EK150" s="424"/>
      <c r="EL150" s="424"/>
      <c r="EM150" s="424"/>
      <c r="EN150" s="424"/>
      <c r="EO150" s="424"/>
      <c r="EP150" s="424"/>
      <c r="EQ150" s="424"/>
      <c r="ER150" s="424"/>
      <c r="ES150" s="424"/>
      <c r="ET150" s="424"/>
      <c r="EU150" s="424"/>
      <c r="EV150" s="424"/>
      <c r="EW150" s="424"/>
      <c r="EX150" s="424"/>
      <c r="EY150" s="424"/>
      <c r="EZ150" s="424"/>
      <c r="FA150" s="424"/>
      <c r="FB150" s="424"/>
      <c r="FC150" s="424"/>
      <c r="FD150" s="425"/>
      <c r="FE150" s="333"/>
      <c r="FO150" s="300"/>
      <c r="FP150" s="395" t="str">
        <f t="shared" ca="1" si="389"/>
        <v/>
      </c>
      <c r="FQ150" s="360" t="str">
        <f t="shared" ca="1" si="390"/>
        <v/>
      </c>
      <c r="FR150" s="360" t="str">
        <f t="shared" ca="1" si="379"/>
        <v/>
      </c>
      <c r="FS150" s="360" t="str">
        <f t="shared" ca="1" si="380"/>
        <v/>
      </c>
      <c r="FT150" s="360" t="str">
        <f t="shared" ca="1" si="381"/>
        <v/>
      </c>
      <c r="FU150" s="360" t="str">
        <f t="shared" ca="1" si="382"/>
        <v/>
      </c>
      <c r="FV150" s="360" t="str">
        <f t="shared" ca="1" si="383"/>
        <v/>
      </c>
      <c r="FW150" s="360" t="str">
        <f t="shared" ca="1" si="384"/>
        <v/>
      </c>
      <c r="FX150" s="360" t="str">
        <f t="shared" ca="1" si="385"/>
        <v/>
      </c>
      <c r="FY150" s="360" t="str">
        <f t="shared" ca="1" si="386"/>
        <v/>
      </c>
      <c r="FZ150" s="379" t="str">
        <f t="shared" ca="1" si="392"/>
        <v/>
      </c>
      <c r="GA150" s="302"/>
      <c r="GB150" s="364"/>
      <c r="GC150" s="302"/>
    </row>
    <row r="151" spans="40:185" x14ac:dyDescent="0.25">
      <c r="AN151" s="336" t="str">
        <f t="shared" si="414"/>
        <v>Élelmesek</v>
      </c>
      <c r="AO151" s="443" t="str">
        <f t="shared" ca="1" si="415"/>
        <v>►</v>
      </c>
      <c r="AP151" s="444">
        <f t="shared" ca="1" si="416"/>
        <v>20</v>
      </c>
      <c r="AQ151" s="444">
        <f t="shared" ca="1" si="417"/>
        <v>20</v>
      </c>
      <c r="AY151" s="348">
        <f t="shared" ca="1" si="418"/>
        <v>-42988999.965000004</v>
      </c>
      <c r="BA151" s="348">
        <f t="shared" ca="1" si="419"/>
        <v>25411054.035</v>
      </c>
      <c r="BB151" s="349">
        <v>6</v>
      </c>
      <c r="BC151" s="440" t="str">
        <f t="shared" si="420"/>
        <v>Élelmesek</v>
      </c>
      <c r="BD151" s="346">
        <f t="shared" ca="1" si="421"/>
        <v>19</v>
      </c>
      <c r="BE151" s="346">
        <f t="shared" ca="1" si="393"/>
        <v>7</v>
      </c>
      <c r="BF151" s="346">
        <f t="shared" ca="1" si="394"/>
        <v>4</v>
      </c>
      <c r="BG151" s="346">
        <f t="shared" ca="1" si="395"/>
        <v>8</v>
      </c>
      <c r="BH151" s="346">
        <f t="shared" ca="1" si="396"/>
        <v>54</v>
      </c>
      <c r="BI151" s="346">
        <f t="shared" ca="1" si="397"/>
        <v>43</v>
      </c>
      <c r="BJ151" s="346">
        <f t="shared" ca="1" si="422"/>
        <v>11</v>
      </c>
      <c r="BK151" s="347">
        <f t="shared" ca="1" si="423"/>
        <v>1.2558139534883721</v>
      </c>
      <c r="BL151" s="346">
        <f t="shared" si="398"/>
        <v>0</v>
      </c>
      <c r="BM151" s="346">
        <f t="shared" ca="1" si="399"/>
        <v>25</v>
      </c>
      <c r="BN151" s="346">
        <f t="shared" ca="1" si="424"/>
        <v>22</v>
      </c>
      <c r="BO151" s="347">
        <f t="shared" ca="1" si="400"/>
        <v>0.57894736842105265</v>
      </c>
      <c r="BP151" s="348">
        <v>3.5000000000000003E-2</v>
      </c>
      <c r="BQ151" s="349">
        <f t="shared" ca="1" si="401"/>
        <v>400000</v>
      </c>
      <c r="BS151" s="346">
        <f t="shared" ca="1" si="402"/>
        <v>0</v>
      </c>
      <c r="BT151" s="346">
        <f t="shared" ca="1" si="403"/>
        <v>3</v>
      </c>
      <c r="BU151" s="346">
        <f t="shared" ca="1" si="404"/>
        <v>3</v>
      </c>
      <c r="BV151" s="346">
        <f t="shared" ca="1" si="405"/>
        <v>4</v>
      </c>
      <c r="BW151" s="346">
        <f t="shared" ca="1" si="406"/>
        <v>27</v>
      </c>
      <c r="BX151" s="346">
        <f t="shared" ca="1" si="407"/>
        <v>24</v>
      </c>
      <c r="BZ151" s="346">
        <f t="shared" ca="1" si="408"/>
        <v>0</v>
      </c>
      <c r="CA151" s="346">
        <f t="shared" ca="1" si="409"/>
        <v>4</v>
      </c>
      <c r="CB151" s="346">
        <f t="shared" ca="1" si="410"/>
        <v>1</v>
      </c>
      <c r="CC151" s="346">
        <f t="shared" ca="1" si="411"/>
        <v>4</v>
      </c>
      <c r="CD151" s="346">
        <f t="shared" ca="1" si="412"/>
        <v>27</v>
      </c>
      <c r="CE151" s="346">
        <f t="shared" ca="1" si="413"/>
        <v>19</v>
      </c>
      <c r="CH151" s="350"/>
      <c r="CI151" s="350"/>
      <c r="CJ151" s="350"/>
      <c r="CK151" s="350"/>
      <c r="CL151" s="350"/>
      <c r="CM151" s="350"/>
      <c r="DG151" s="350"/>
      <c r="DH151" s="445"/>
      <c r="DI151" s="301"/>
      <c r="DJ151" s="302"/>
      <c r="DK151" s="302"/>
      <c r="DL151" s="302"/>
      <c r="DM151" s="302"/>
      <c r="DN151" s="302"/>
      <c r="DO151" s="302"/>
      <c r="DP151" s="302"/>
      <c r="DQ151" s="302"/>
      <c r="DR151" s="446" t="s">
        <v>151</v>
      </c>
      <c r="DS151" s="302"/>
      <c r="DU151" s="424"/>
      <c r="DV151" s="424"/>
      <c r="DW151" s="424"/>
      <c r="DX151" s="424"/>
      <c r="DY151" s="424"/>
      <c r="DZ151" s="424"/>
      <c r="EA151" s="424"/>
      <c r="EB151" s="424"/>
      <c r="EC151" s="424"/>
      <c r="ED151" s="424"/>
      <c r="EE151" s="424"/>
      <c r="EF151" s="424"/>
      <c r="EG151" s="424"/>
      <c r="EH151" s="424"/>
      <c r="EI151" s="424"/>
      <c r="EJ151" s="424"/>
      <c r="EK151" s="424"/>
      <c r="EL151" s="424"/>
      <c r="EM151" s="424"/>
      <c r="EN151" s="424"/>
      <c r="EO151" s="424"/>
      <c r="EP151" s="424"/>
      <c r="EQ151" s="424"/>
      <c r="ER151" s="424"/>
      <c r="ES151" s="424"/>
      <c r="ET151" s="424"/>
      <c r="EU151" s="424"/>
      <c r="EV151" s="424"/>
      <c r="EW151" s="424"/>
      <c r="EX151" s="424"/>
      <c r="EY151" s="424"/>
      <c r="EZ151" s="424"/>
      <c r="FA151" s="424"/>
      <c r="FB151" s="424"/>
      <c r="FC151" s="424"/>
      <c r="FD151" s="425"/>
      <c r="FE151" s="333"/>
      <c r="FO151" s="445"/>
      <c r="FP151" s="301"/>
      <c r="FQ151" s="302"/>
      <c r="FR151" s="302"/>
      <c r="FS151" s="302"/>
      <c r="FT151" s="302"/>
      <c r="FU151" s="302"/>
      <c r="FV151" s="302"/>
      <c r="FW151" s="302"/>
      <c r="FX151" s="302"/>
      <c r="FY151" s="302"/>
      <c r="FZ151" s="302"/>
      <c r="GA151" s="302"/>
      <c r="GB151" s="446" t="s">
        <v>243</v>
      </c>
      <c r="GC151" s="302"/>
    </row>
    <row r="152" spans="40:185" x14ac:dyDescent="0.25">
      <c r="AN152" s="336" t="str">
        <f t="shared" si="414"/>
        <v>Hercules-Ludovika</v>
      </c>
      <c r="AO152" s="443" t="str">
        <f t="shared" ca="1" si="415"/>
        <v>►</v>
      </c>
      <c r="AP152" s="444">
        <f t="shared" ca="1" si="416"/>
        <v>19</v>
      </c>
      <c r="AQ152" s="444">
        <f t="shared" ca="1" si="417"/>
        <v>19</v>
      </c>
      <c r="AY152" s="348">
        <f t="shared" ca="1" si="418"/>
        <v>-55999999.965999998</v>
      </c>
      <c r="BA152" s="348">
        <f t="shared" ca="1" si="419"/>
        <v>25360056.034000002</v>
      </c>
      <c r="BB152" s="349">
        <v>7</v>
      </c>
      <c r="BC152" s="440" t="str">
        <f t="shared" si="420"/>
        <v>Hercules-Ludovika</v>
      </c>
      <c r="BD152" s="346">
        <f t="shared" ca="1" si="421"/>
        <v>19</v>
      </c>
      <c r="BE152" s="346">
        <f t="shared" ca="1" si="393"/>
        <v>8</v>
      </c>
      <c r="BF152" s="346">
        <f t="shared" ca="1" si="394"/>
        <v>1</v>
      </c>
      <c r="BG152" s="346">
        <f t="shared" ca="1" si="395"/>
        <v>10</v>
      </c>
      <c r="BH152" s="346">
        <f t="shared" ca="1" si="396"/>
        <v>56</v>
      </c>
      <c r="BI152" s="346">
        <f t="shared" ca="1" si="397"/>
        <v>56</v>
      </c>
      <c r="BJ152" s="346">
        <f t="shared" ca="1" si="422"/>
        <v>0</v>
      </c>
      <c r="BK152" s="347">
        <f t="shared" ca="1" si="423"/>
        <v>1</v>
      </c>
      <c r="BL152" s="346">
        <f t="shared" si="398"/>
        <v>0</v>
      </c>
      <c r="BM152" s="346">
        <f t="shared" ca="1" si="399"/>
        <v>25</v>
      </c>
      <c r="BN152" s="346">
        <f t="shared" ca="1" si="424"/>
        <v>26</v>
      </c>
      <c r="BO152" s="347">
        <f t="shared" ca="1" si="400"/>
        <v>0.68421052631578949</v>
      </c>
      <c r="BP152" s="348">
        <v>3.3999999999999996E-2</v>
      </c>
      <c r="BQ152" s="349">
        <f t="shared" ca="1" si="401"/>
        <v>360000</v>
      </c>
      <c r="BS152" s="346">
        <f t="shared" ca="1" si="402"/>
        <v>0</v>
      </c>
      <c r="BT152" s="346">
        <f t="shared" ca="1" si="403"/>
        <v>6</v>
      </c>
      <c r="BU152" s="346">
        <f t="shared" ca="1" si="404"/>
        <v>0</v>
      </c>
      <c r="BV152" s="346">
        <f t="shared" ca="1" si="405"/>
        <v>4</v>
      </c>
      <c r="BW152" s="346">
        <f t="shared" ca="1" si="406"/>
        <v>34</v>
      </c>
      <c r="BX152" s="346">
        <f t="shared" ca="1" si="407"/>
        <v>25</v>
      </c>
      <c r="BZ152" s="346">
        <f t="shared" ca="1" si="408"/>
        <v>0</v>
      </c>
      <c r="CA152" s="346">
        <f t="shared" ca="1" si="409"/>
        <v>2</v>
      </c>
      <c r="CB152" s="346">
        <f t="shared" ca="1" si="410"/>
        <v>1</v>
      </c>
      <c r="CC152" s="346">
        <f t="shared" ca="1" si="411"/>
        <v>6</v>
      </c>
      <c r="CD152" s="346">
        <f t="shared" ca="1" si="412"/>
        <v>22</v>
      </c>
      <c r="CE152" s="346">
        <f t="shared" ca="1" si="413"/>
        <v>31</v>
      </c>
      <c r="CH152" s="350"/>
      <c r="CI152" s="350"/>
      <c r="CJ152" s="350"/>
      <c r="CK152" s="350"/>
      <c r="CL152" s="350"/>
      <c r="CM152" s="350"/>
      <c r="DG152" s="350"/>
      <c r="DH152" s="445"/>
      <c r="DI152" s="301"/>
      <c r="DJ152" s="302"/>
      <c r="DK152" s="302"/>
      <c r="DL152" s="302"/>
      <c r="DM152" s="302"/>
      <c r="DN152" s="302"/>
      <c r="DO152" s="302"/>
      <c r="DP152" s="447"/>
      <c r="DQ152" s="302"/>
      <c r="DR152" s="448" t="s">
        <v>215</v>
      </c>
      <c r="DS152" s="302"/>
      <c r="DU152" s="424"/>
      <c r="DV152" s="424"/>
      <c r="DW152" s="424"/>
      <c r="DX152" s="424"/>
      <c r="DY152" s="424"/>
      <c r="DZ152" s="424"/>
      <c r="EA152" s="424"/>
      <c r="EB152" s="424"/>
      <c r="EC152" s="424"/>
      <c r="ED152" s="424"/>
      <c r="EE152" s="424"/>
      <c r="EF152" s="424"/>
      <c r="EG152" s="424"/>
      <c r="EH152" s="424"/>
      <c r="EI152" s="424"/>
      <c r="EJ152" s="424"/>
      <c r="EK152" s="424"/>
      <c r="EL152" s="424"/>
      <c r="EM152" s="424"/>
      <c r="EN152" s="424"/>
      <c r="EO152" s="424"/>
      <c r="EP152" s="424"/>
      <c r="EQ152" s="424"/>
      <c r="ER152" s="424"/>
      <c r="ES152" s="424"/>
      <c r="ET152" s="424"/>
      <c r="EU152" s="424"/>
      <c r="EV152" s="424"/>
      <c r="EW152" s="424"/>
      <c r="EX152" s="424"/>
      <c r="EY152" s="424"/>
      <c r="EZ152" s="424"/>
      <c r="FA152" s="424"/>
      <c r="FB152" s="424"/>
      <c r="FC152" s="424"/>
      <c r="FD152" s="425"/>
      <c r="FE152" s="333"/>
      <c r="FO152" s="445"/>
      <c r="FP152" s="301"/>
      <c r="FQ152" s="302"/>
      <c r="FR152" s="302"/>
      <c r="FS152" s="302"/>
      <c r="FT152" s="302"/>
      <c r="FU152" s="302"/>
      <c r="FV152" s="302"/>
      <c r="FW152" s="302"/>
      <c r="FX152" s="302"/>
      <c r="FY152" s="302"/>
      <c r="FZ152" s="447"/>
      <c r="GA152" s="302"/>
      <c r="GB152" s="327" t="s">
        <v>244</v>
      </c>
      <c r="GC152" s="302"/>
    </row>
    <row r="153" spans="40:185" x14ac:dyDescent="0.25">
      <c r="AN153" s="336" t="str">
        <f t="shared" si="414"/>
        <v>K&amp;H</v>
      </c>
      <c r="AO153" s="443" t="str">
        <f t="shared" ca="1" si="415"/>
        <v>►</v>
      </c>
      <c r="AP153" s="444">
        <f t="shared" ca="1" si="416"/>
        <v>23</v>
      </c>
      <c r="AQ153" s="444">
        <f t="shared" ca="1" si="417"/>
        <v>23</v>
      </c>
      <c r="AY153" s="348">
        <f t="shared" ca="1" si="418"/>
        <v>-22920999.967</v>
      </c>
      <c r="BA153" s="348">
        <f t="shared" ca="1" si="419"/>
        <v>49079102.033</v>
      </c>
      <c r="BB153" s="349">
        <v>8</v>
      </c>
      <c r="BC153" s="440" t="str">
        <f t="shared" si="420"/>
        <v>K&amp;H</v>
      </c>
      <c r="BD153" s="346">
        <f t="shared" ca="1" si="421"/>
        <v>19</v>
      </c>
      <c r="BE153" s="346">
        <f t="shared" ca="1" si="393"/>
        <v>16</v>
      </c>
      <c r="BF153" s="346">
        <f t="shared" ca="1" si="394"/>
        <v>1</v>
      </c>
      <c r="BG153" s="346">
        <f t="shared" ca="1" si="395"/>
        <v>2</v>
      </c>
      <c r="BH153" s="346">
        <f t="shared" ca="1" si="396"/>
        <v>102</v>
      </c>
      <c r="BI153" s="346">
        <f t="shared" ca="1" si="397"/>
        <v>23</v>
      </c>
      <c r="BJ153" s="346">
        <f t="shared" ca="1" si="422"/>
        <v>79</v>
      </c>
      <c r="BK153" s="347">
        <f t="shared" ca="1" si="423"/>
        <v>4.4347826086956523</v>
      </c>
      <c r="BL153" s="346">
        <f t="shared" si="398"/>
        <v>0</v>
      </c>
      <c r="BM153" s="346">
        <f t="shared" ca="1" si="399"/>
        <v>49</v>
      </c>
      <c r="BN153" s="346">
        <f t="shared" ca="1" si="424"/>
        <v>34</v>
      </c>
      <c r="BO153" s="347">
        <f t="shared" ca="1" si="400"/>
        <v>0.89473684210526316</v>
      </c>
      <c r="BP153" s="348">
        <v>3.2999999999999995E-2</v>
      </c>
      <c r="BQ153" s="349">
        <f t="shared" ca="1" si="401"/>
        <v>0</v>
      </c>
      <c r="BS153" s="346">
        <f t="shared" ca="1" si="402"/>
        <v>0</v>
      </c>
      <c r="BT153" s="346">
        <f t="shared" ca="1" si="403"/>
        <v>8</v>
      </c>
      <c r="BU153" s="346">
        <f t="shared" ca="1" si="404"/>
        <v>1</v>
      </c>
      <c r="BV153" s="346">
        <f t="shared" ca="1" si="405"/>
        <v>1</v>
      </c>
      <c r="BW153" s="346">
        <f t="shared" ca="1" si="406"/>
        <v>51</v>
      </c>
      <c r="BX153" s="346">
        <f t="shared" ca="1" si="407"/>
        <v>15</v>
      </c>
      <c r="BZ153" s="346">
        <f t="shared" ca="1" si="408"/>
        <v>0</v>
      </c>
      <c r="CA153" s="346">
        <f t="shared" ca="1" si="409"/>
        <v>8</v>
      </c>
      <c r="CB153" s="346">
        <f t="shared" ca="1" si="410"/>
        <v>0</v>
      </c>
      <c r="CC153" s="346">
        <f t="shared" ca="1" si="411"/>
        <v>1</v>
      </c>
      <c r="CD153" s="346">
        <f t="shared" ca="1" si="412"/>
        <v>51</v>
      </c>
      <c r="CE153" s="346">
        <f t="shared" ca="1" si="413"/>
        <v>8</v>
      </c>
      <c r="CH153" s="350"/>
      <c r="CI153" s="350"/>
      <c r="CJ153" s="350"/>
      <c r="CK153" s="350"/>
      <c r="CL153" s="350"/>
      <c r="CM153" s="350"/>
      <c r="DG153" s="350"/>
      <c r="DH153" s="300"/>
      <c r="DI153" s="323" t="b">
        <f ca="1">OR(NOT($AJ$44),COUNTIF(DN153:DN208,"")=49-(DP153-1)*DP153,COUNTIF(DN153:DN208,"")=49-(DP153-1)*DP153/2)</f>
        <v>1</v>
      </c>
      <c r="DJ153" s="324" t="s">
        <v>157</v>
      </c>
      <c r="DK153" s="324" t="s">
        <v>158</v>
      </c>
      <c r="DL153" s="325" t="s">
        <v>159</v>
      </c>
      <c r="DM153" s="325"/>
      <c r="DN153" s="326" t="s">
        <v>160</v>
      </c>
      <c r="DO153" s="325" t="s">
        <v>135</v>
      </c>
      <c r="DP153" s="323">
        <f ca="1">COUNT(CT42:CT48)</f>
        <v>2</v>
      </c>
      <c r="DQ153" s="302"/>
      <c r="DR153" s="364"/>
      <c r="DS153" s="302"/>
      <c r="DU153" s="424"/>
      <c r="DV153" s="329" t="s">
        <v>223</v>
      </c>
      <c r="DW153" s="329" t="s">
        <v>224</v>
      </c>
      <c r="DX153" s="329" t="s">
        <v>152</v>
      </c>
      <c r="DZ153" s="329" t="s">
        <v>154</v>
      </c>
      <c r="EA153" s="329" t="s">
        <v>155</v>
      </c>
      <c r="EC153" s="329" t="s">
        <v>226</v>
      </c>
      <c r="EE153" s="329" t="s">
        <v>227</v>
      </c>
      <c r="EI153" s="329" t="s">
        <v>228</v>
      </c>
      <c r="EJ153" s="329" t="s">
        <v>156</v>
      </c>
      <c r="EK153" s="329" t="s">
        <v>208</v>
      </c>
      <c r="EM153" s="329" t="s">
        <v>212</v>
      </c>
      <c r="EN153" s="330" t="s">
        <v>227</v>
      </c>
      <c r="EO153" s="329" t="s">
        <v>225</v>
      </c>
      <c r="EP153" s="328"/>
      <c r="EQ153" s="328"/>
      <c r="ER153" s="328"/>
      <c r="ES153" s="331" t="str">
        <f ca="1">IF(ER154=0,"xxx",VLOOKUP(ER154,EM154:EP160,IF($AJ$54,2,3),FALSE))</f>
        <v>xxx</v>
      </c>
      <c r="ET153" s="328"/>
      <c r="EU153" s="328"/>
      <c r="EV153" s="331" t="str">
        <f ca="1">IF(ER155=0,"xxx",VLOOKUP(ER155,EM154:EP160,IF($AJ$54,2,3),FALSE))</f>
        <v>xxx</v>
      </c>
      <c r="EW153" s="328"/>
      <c r="EX153" s="328"/>
      <c r="EY153" s="331" t="str">
        <f ca="1">IF(ER156=0,"xxx",VLOOKUP(ER156,EM154:EP160,IF($AJ$54,2,3),FALSE))</f>
        <v>xxx</v>
      </c>
      <c r="EZ153" s="328"/>
      <c r="FA153" s="328"/>
      <c r="FB153" s="424"/>
      <c r="FD153" s="425"/>
      <c r="FE153" s="333"/>
      <c r="FO153" s="300"/>
      <c r="FP153" s="301"/>
      <c r="FQ153" s="324" t="s">
        <v>157</v>
      </c>
      <c r="FR153" s="324" t="s">
        <v>237</v>
      </c>
      <c r="FS153" s="324" t="s">
        <v>239</v>
      </c>
      <c r="FT153" s="324" t="s">
        <v>240</v>
      </c>
      <c r="FU153" s="324" t="s">
        <v>238</v>
      </c>
      <c r="FV153" s="324" t="s">
        <v>241</v>
      </c>
      <c r="FW153" s="324" t="s">
        <v>242</v>
      </c>
      <c r="FX153" s="326" t="s">
        <v>160</v>
      </c>
      <c r="FY153" s="325" t="s">
        <v>135</v>
      </c>
      <c r="FZ153" s="302"/>
      <c r="GA153" s="302"/>
      <c r="GB153" s="364"/>
      <c r="GC153" s="302"/>
    </row>
    <row r="154" spans="40:185" x14ac:dyDescent="0.25">
      <c r="AN154" s="336" t="str">
        <f t="shared" si="414"/>
        <v>Royal Guard's</v>
      </c>
      <c r="AO154" s="443" t="str">
        <f t="shared" ca="1" si="415"/>
        <v>►</v>
      </c>
      <c r="AP154" s="444">
        <f t="shared" ca="1" si="416"/>
        <v>14</v>
      </c>
      <c r="AQ154" s="444">
        <f t="shared" ca="1" si="417"/>
        <v>14</v>
      </c>
      <c r="AY154" s="348">
        <f t="shared" ca="1" si="418"/>
        <v>-72047999.967999995</v>
      </c>
      <c r="BA154" s="348">
        <f t="shared" ca="1" si="419"/>
        <v>8952024.0319999997</v>
      </c>
      <c r="BB154" s="349">
        <v>9</v>
      </c>
      <c r="BC154" s="440" t="str">
        <f t="shared" si="420"/>
        <v>Royal Guard's</v>
      </c>
      <c r="BD154" s="346">
        <f t="shared" ca="1" si="421"/>
        <v>19</v>
      </c>
      <c r="BE154" s="346">
        <f t="shared" ca="1" si="393"/>
        <v>2</v>
      </c>
      <c r="BF154" s="346">
        <f t="shared" ca="1" si="394"/>
        <v>3</v>
      </c>
      <c r="BG154" s="346">
        <f t="shared" ca="1" si="395"/>
        <v>14</v>
      </c>
      <c r="BH154" s="346">
        <f t="shared" ca="1" si="396"/>
        <v>24</v>
      </c>
      <c r="BI154" s="346">
        <f t="shared" ca="1" si="397"/>
        <v>72</v>
      </c>
      <c r="BJ154" s="346">
        <f t="shared" ca="1" si="422"/>
        <v>-48</v>
      </c>
      <c r="BK154" s="347">
        <f t="shared" ca="1" si="423"/>
        <v>0.33333333333333331</v>
      </c>
      <c r="BL154" s="346">
        <f t="shared" si="398"/>
        <v>0</v>
      </c>
      <c r="BM154" s="346">
        <f t="shared" ca="1" si="399"/>
        <v>9</v>
      </c>
      <c r="BN154" s="346">
        <f t="shared" ca="1" si="424"/>
        <v>18</v>
      </c>
      <c r="BO154" s="347">
        <f t="shared" ca="1" si="400"/>
        <v>0.47368421052631576</v>
      </c>
      <c r="BP154" s="348">
        <v>3.1999999999999994E-2</v>
      </c>
      <c r="BQ154" s="349">
        <f t="shared" ca="1" si="401"/>
        <v>0</v>
      </c>
      <c r="BS154" s="346">
        <f t="shared" ca="1" si="402"/>
        <v>0</v>
      </c>
      <c r="BT154" s="346">
        <f t="shared" ca="1" si="403"/>
        <v>1</v>
      </c>
      <c r="BU154" s="346">
        <f t="shared" ca="1" si="404"/>
        <v>2</v>
      </c>
      <c r="BV154" s="346">
        <f t="shared" ca="1" si="405"/>
        <v>6</v>
      </c>
      <c r="BW154" s="346">
        <f t="shared" ca="1" si="406"/>
        <v>12</v>
      </c>
      <c r="BX154" s="346">
        <f t="shared" ca="1" si="407"/>
        <v>25</v>
      </c>
      <c r="BZ154" s="346">
        <f t="shared" ca="1" si="408"/>
        <v>0</v>
      </c>
      <c r="CA154" s="346">
        <f t="shared" ca="1" si="409"/>
        <v>1</v>
      </c>
      <c r="CB154" s="346">
        <f t="shared" ca="1" si="410"/>
        <v>1</v>
      </c>
      <c r="CC154" s="346">
        <f t="shared" ca="1" si="411"/>
        <v>8</v>
      </c>
      <c r="CD154" s="346">
        <f t="shared" ca="1" si="412"/>
        <v>12</v>
      </c>
      <c r="CE154" s="346">
        <f t="shared" ca="1" si="413"/>
        <v>47</v>
      </c>
      <c r="CH154" s="350"/>
      <c r="CI154" s="350"/>
      <c r="CJ154" s="350"/>
      <c r="CK154" s="350"/>
      <c r="CL154" s="350"/>
      <c r="CM154" s="350"/>
      <c r="DG154" s="350"/>
      <c r="DH154" s="300"/>
      <c r="DI154" s="359" t="str">
        <f t="shared" ref="DI154:DI160" ca="1" si="425">IF(CT42="","",VLOOKUP(CT42,xxx.aa1,7,FALSE))</f>
        <v>Hercules-Ludovika</v>
      </c>
      <c r="DJ154" s="360" t="str">
        <f ca="1">IF(OR(DI154="",DP154="",DI154=DP154),"",CONCATENATE(DI154,DP154))</f>
        <v/>
      </c>
      <c r="DK154" s="360" t="str">
        <f t="shared" ref="DK154:DK160" ca="1" si="426">IF($DJ154="","",CONCATENATE(VLOOKUP($DJ154,games.a,9,FALSE),VLOOKUP($DJ154,games.a,12,FALSE)))</f>
        <v/>
      </c>
      <c r="DL154" s="354" t="str">
        <f t="shared" ref="DL154:DL160" ca="1" si="427">IF($DJ154="","",VLOOKUP($DJ154,games.a,10,FALSE))</f>
        <v/>
      </c>
      <c r="DM154" s="354" t="str">
        <f t="shared" ref="DM154:DM160" ca="1" si="428">IF($DJ154="","",VLOOKUP($DJ154,games.a,13,FALSE))</f>
        <v/>
      </c>
      <c r="DN154" s="361" t="str">
        <f t="shared" ref="DN154:DN160" ca="1" si="429">IF($DJ154="","",VLOOKUP($DJ154,games.a,6,FALSE))</f>
        <v/>
      </c>
      <c r="DO154" s="362" t="str">
        <f t="shared" ref="DO154:DO160" ca="1" si="430">IF($DJ154="","",VLOOKUP($DJ154,games.a,7,FALSE))</f>
        <v/>
      </c>
      <c r="DP154" s="363" t="str">
        <f ca="1">DI154</f>
        <v>Hercules-Ludovika</v>
      </c>
      <c r="DQ154" s="302"/>
      <c r="DR154" s="364"/>
      <c r="DS154" s="302"/>
      <c r="DU154" s="424"/>
      <c r="DV154" s="366" t="str">
        <f ca="1">IF(AND($AJ$44,DI153,DP153&lt;&gt;2),DI154,"")</f>
        <v/>
      </c>
      <c r="DW154" s="366">
        <f t="shared" ref="DW154:DW160" ca="1" si="431">IF(DV154="",-1,COUNTIF(xxgy.aa,DV154))</f>
        <v>-1</v>
      </c>
      <c r="DX154" s="366">
        <f t="shared" ref="DX154:DX160" ca="1" si="432">IF($DV154="",0,COUNTIF(yygy.aa,$DV154))</f>
        <v>0</v>
      </c>
      <c r="DZ154" s="366">
        <f t="shared" ref="DZ154:DZ160" ca="1" si="433">IF($DV154="",0,1)*(SUMIF(yyo.aa,$DV154,yyl.aa)+SUMIF(yyi.aa,$DV154,yyk.aa))</f>
        <v>0</v>
      </c>
      <c r="EA154" s="366">
        <f t="shared" ref="EA154:EA160" ca="1" si="434">IF($DV154="",0,1)*(SUMIF(yyo.aa,$DV154,yyk.aa)+SUMIF(yyi.aa,$DV154,yyl.aa))</f>
        <v>0</v>
      </c>
      <c r="EC154" s="366">
        <f ca="1">IF(EA154=0,0,DZ154/EA154)</f>
        <v>0</v>
      </c>
      <c r="EE154" s="366">
        <f t="shared" ref="EE154:EE160" ca="1" si="435">DW154*1000000+DX154*1000+EC154</f>
        <v>-1000000</v>
      </c>
      <c r="EI154" s="366">
        <f t="shared" ref="EI154:EI160" ca="1" si="436">IF(OR(ISERR(EE154),ISNA(EE154),DW154&lt;0),0,EE154)</f>
        <v>0</v>
      </c>
      <c r="EJ154" s="366">
        <f ca="1">IF(EI154=0,0,RANK(EI154,EI154:EI160,1))</f>
        <v>0</v>
      </c>
      <c r="EK154" s="366">
        <f t="shared" ref="EK154:EK168" ca="1" si="437">EJ154*40000*IF(COUNTIF($FC$42:$FC$65,DV154)&gt;0,0,1)</f>
        <v>0</v>
      </c>
      <c r="EM154" s="367">
        <f ca="1">IF($AJ$54,COUNTIF(EE162:EE168,EN154)*IF(EN154=0,0,1),COUNTIF(DW154:DW160,EO154)*IF(EO154&lt;0,0,1))+EP154/1000</f>
        <v>1E-3</v>
      </c>
      <c r="EN154" s="368">
        <v>0</v>
      </c>
      <c r="EO154" s="369">
        <f ca="1">LARGE(DW154:DW160,EP154)</f>
        <v>-1</v>
      </c>
      <c r="EP154" s="369">
        <v>1</v>
      </c>
      <c r="EQ154" s="365"/>
      <c r="ER154" s="370">
        <f ca="1">IF(LARGE(EM154:EM160,EP154)&lt;1,0,LARGE(EM154:EM160,EP154))</f>
        <v>0</v>
      </c>
      <c r="ES154" s="371" t="str">
        <f ca="1">IF(DW154=ES153,DV154,IF(EE162=ES153,DV162,""))</f>
        <v/>
      </c>
      <c r="ET154" s="369" t="str">
        <f t="shared" ref="ET154:ET160" ca="1" si="438">IF(ES154="","",EP154)</f>
        <v/>
      </c>
      <c r="EU154" s="372" t="str">
        <f ca="1">IF(ISERR(LARGE(ET154:ET160,EP154)),"",LARGE(ET154:ET160,EP154))</f>
        <v/>
      </c>
      <c r="EV154" s="371" t="str">
        <f ca="1">IF(DW154=EV153,DV154,IF(EE162=EV153,DV162,""))</f>
        <v/>
      </c>
      <c r="EW154" s="369" t="str">
        <f t="shared" ref="EW154:EW160" ca="1" si="439">IF(EV154="","",EP154)</f>
        <v/>
      </c>
      <c r="EX154" s="372" t="str">
        <f ca="1">IF(ISERR(LARGE(EW154:EW160,EP154)),"",LARGE(EW154:EW160,EP154))</f>
        <v/>
      </c>
      <c r="EY154" s="371" t="str">
        <f ca="1">IF(DW154=EY153,DV154,IF(EE162=EY153,DV162,""))</f>
        <v/>
      </c>
      <c r="EZ154" s="369" t="str">
        <f t="shared" ref="EZ154:EZ160" ca="1" si="440">IF(EY154="","",EP154)</f>
        <v/>
      </c>
      <c r="FA154" s="372" t="str">
        <f ca="1">IF(ISERR(LARGE(EZ154:EZ160,EP154)),"",LARGE(EZ154:EZ160,EP154))</f>
        <v/>
      </c>
      <c r="FB154" s="424"/>
      <c r="FD154" s="425"/>
      <c r="FE154" s="333"/>
      <c r="FO154" s="300"/>
      <c r="FP154" s="359" t="str">
        <f ca="1">IF(OR(NOT($FK$56),FK58=""),"",FK58)</f>
        <v/>
      </c>
      <c r="FQ154" s="360" t="str">
        <f ca="1">IF(OR(FP154="",FZ154="",FP154=FZ154),"",CONCATENATE(FP154,FZ154))</f>
        <v/>
      </c>
      <c r="FR154" s="360" t="str">
        <f t="shared" ref="FR154:FR163" ca="1" si="441">IF($FQ154="","",VLOOKUP($FQ154,games.a,9,FALSE))</f>
        <v/>
      </c>
      <c r="FS154" s="360" t="str">
        <f t="shared" ref="FS154:FS163" ca="1" si="442">IF($FQ154="","",VLOOKUP($FQ154,games.a,10,FALSE))</f>
        <v/>
      </c>
      <c r="FT154" s="360" t="str">
        <f t="shared" ref="FT154:FT163" ca="1" si="443">IF($FQ154="","",VLOOKUP($FQ154,games.a,11,FALSE))</f>
        <v/>
      </c>
      <c r="FU154" s="360" t="str">
        <f t="shared" ref="FU154:FU163" ca="1" si="444">IF($FQ154="","",VLOOKUP($FQ154,games.a,12,FALSE))</f>
        <v/>
      </c>
      <c r="FV154" s="360" t="str">
        <f t="shared" ref="FV154:FV163" ca="1" si="445">IF($FQ154="","",VLOOKUP($FQ154,games.a,13,FALSE))</f>
        <v/>
      </c>
      <c r="FW154" s="360" t="str">
        <f t="shared" ref="FW154:FW163" ca="1" si="446">IF($FQ154="","",VLOOKUP($FQ154,games.a,14,FALSE))</f>
        <v/>
      </c>
      <c r="FX154" s="360" t="str">
        <f t="shared" ref="FX154:FX163" ca="1" si="447">IF($FQ154="","",VLOOKUP($FQ154,games.a,6,FALSE))</f>
        <v/>
      </c>
      <c r="FY154" s="360" t="str">
        <f t="shared" ref="FY154:FY163" ca="1" si="448">IF($FQ154="","",VLOOKUP($FQ154,games.a,7,FALSE))</f>
        <v/>
      </c>
      <c r="FZ154" s="363" t="str">
        <f ca="1">FP154</f>
        <v/>
      </c>
      <c r="GA154" s="302"/>
      <c r="GB154" s="364"/>
      <c r="GC154" s="302"/>
    </row>
    <row r="155" spans="40:185" x14ac:dyDescent="0.25">
      <c r="AN155" s="336" t="str">
        <f t="shared" si="414"/>
        <v>Vakana</v>
      </c>
      <c r="AO155" s="443" t="str">
        <f t="shared" ca="1" si="415"/>
        <v>►</v>
      </c>
      <c r="AP155" s="444">
        <f t="shared" ca="1" si="416"/>
        <v>17</v>
      </c>
      <c r="AQ155" s="444">
        <f t="shared" ca="1" si="417"/>
        <v>17</v>
      </c>
      <c r="AY155" s="348">
        <f t="shared" ca="1" si="418"/>
        <v>-64032999.968999997</v>
      </c>
      <c r="BA155" s="348">
        <f t="shared" ca="1" si="419"/>
        <v>16967031.030999999</v>
      </c>
      <c r="BB155" s="349">
        <v>10</v>
      </c>
      <c r="BC155" s="440" t="str">
        <f t="shared" si="420"/>
        <v>Vakana</v>
      </c>
      <c r="BD155" s="346">
        <f t="shared" ca="1" si="421"/>
        <v>19</v>
      </c>
      <c r="BE155" s="346">
        <f t="shared" ca="1" si="393"/>
        <v>5</v>
      </c>
      <c r="BF155" s="346">
        <f t="shared" ca="1" si="394"/>
        <v>2</v>
      </c>
      <c r="BG155" s="346">
        <f t="shared" ca="1" si="395"/>
        <v>12</v>
      </c>
      <c r="BH155" s="346">
        <f t="shared" ca="1" si="396"/>
        <v>31</v>
      </c>
      <c r="BI155" s="346">
        <f t="shared" ca="1" si="397"/>
        <v>64</v>
      </c>
      <c r="BJ155" s="346">
        <f t="shared" ca="1" si="422"/>
        <v>-33</v>
      </c>
      <c r="BK155" s="347">
        <f t="shared" ca="1" si="423"/>
        <v>0.484375</v>
      </c>
      <c r="BL155" s="346">
        <f t="shared" si="398"/>
        <v>0</v>
      </c>
      <c r="BM155" s="346">
        <f t="shared" ca="1" si="399"/>
        <v>17</v>
      </c>
      <c r="BN155" s="346">
        <f t="shared" ca="1" si="424"/>
        <v>22</v>
      </c>
      <c r="BO155" s="347">
        <f t="shared" ca="1" si="400"/>
        <v>0.57894736842105265</v>
      </c>
      <c r="BP155" s="348">
        <v>3.0999999999999993E-2</v>
      </c>
      <c r="BQ155" s="349">
        <f t="shared" ca="1" si="401"/>
        <v>0</v>
      </c>
      <c r="BS155" s="346">
        <f t="shared" ca="1" si="402"/>
        <v>0</v>
      </c>
      <c r="BT155" s="346">
        <f t="shared" ca="1" si="403"/>
        <v>2</v>
      </c>
      <c r="BU155" s="346">
        <f t="shared" ca="1" si="404"/>
        <v>0</v>
      </c>
      <c r="BV155" s="346">
        <f t="shared" ca="1" si="405"/>
        <v>7</v>
      </c>
      <c r="BW155" s="346">
        <f t="shared" ca="1" si="406"/>
        <v>11</v>
      </c>
      <c r="BX155" s="346">
        <f t="shared" ca="1" si="407"/>
        <v>33</v>
      </c>
      <c r="BZ155" s="346">
        <f t="shared" ca="1" si="408"/>
        <v>0</v>
      </c>
      <c r="CA155" s="346">
        <f t="shared" ca="1" si="409"/>
        <v>3</v>
      </c>
      <c r="CB155" s="346">
        <f t="shared" ca="1" si="410"/>
        <v>2</v>
      </c>
      <c r="CC155" s="346">
        <f t="shared" ca="1" si="411"/>
        <v>5</v>
      </c>
      <c r="CD155" s="346">
        <f t="shared" ca="1" si="412"/>
        <v>20</v>
      </c>
      <c r="CE155" s="346">
        <f t="shared" ca="1" si="413"/>
        <v>31</v>
      </c>
      <c r="CH155" s="350"/>
      <c r="CI155" s="350"/>
      <c r="CJ155" s="350"/>
      <c r="CK155" s="350"/>
      <c r="CL155" s="350"/>
      <c r="CM155" s="350"/>
      <c r="DG155" s="350"/>
      <c r="DH155" s="300"/>
      <c r="DI155" s="359" t="str">
        <f t="shared" ca="1" si="425"/>
        <v>Élelmesek</v>
      </c>
      <c r="DJ155" s="360" t="str">
        <f t="shared" ref="DJ155:DJ160" ca="1" si="449">IF(OR(DI155="",DP155="",DI155=DP155),"",CONCATENATE(DI155,DP155))</f>
        <v>ÉlelmesekHercules-Ludovika</v>
      </c>
      <c r="DK155" s="360" t="str">
        <f t="shared" ca="1" si="426"/>
        <v/>
      </c>
      <c r="DL155" s="354" t="str">
        <f t="shared" ca="1" si="427"/>
        <v>Élelmesek</v>
      </c>
      <c r="DM155" s="354" t="str">
        <f t="shared" ca="1" si="428"/>
        <v>Hercules-Ludovika</v>
      </c>
      <c r="DN155" s="361">
        <f t="shared" ca="1" si="429"/>
        <v>1</v>
      </c>
      <c r="DO155" s="362">
        <f t="shared" ca="1" si="430"/>
        <v>1</v>
      </c>
      <c r="DP155" s="379" t="str">
        <f ca="1">DP154</f>
        <v>Hercules-Ludovika</v>
      </c>
      <c r="DQ155" s="302"/>
      <c r="DR155" s="364"/>
      <c r="DS155" s="302"/>
      <c r="DU155" s="424"/>
      <c r="DV155" s="366" t="str">
        <f ca="1">IF(AND($AJ$44,DI153,DP153&lt;&gt;2),DI155,"")</f>
        <v/>
      </c>
      <c r="DW155" s="366">
        <f t="shared" ca="1" si="431"/>
        <v>-1</v>
      </c>
      <c r="DX155" s="366">
        <f t="shared" ca="1" si="432"/>
        <v>0</v>
      </c>
      <c r="DZ155" s="366">
        <f t="shared" ca="1" si="433"/>
        <v>0</v>
      </c>
      <c r="EA155" s="366">
        <f t="shared" ca="1" si="434"/>
        <v>0</v>
      </c>
      <c r="EC155" s="366">
        <f t="shared" ref="EC155:EC160" ca="1" si="450">IF(EA155=0,0,DZ155/EA155)</f>
        <v>0</v>
      </c>
      <c r="EE155" s="366">
        <f t="shared" ca="1" si="435"/>
        <v>-1000000</v>
      </c>
      <c r="EI155" s="366">
        <f t="shared" ca="1" si="436"/>
        <v>0</v>
      </c>
      <c r="EJ155" s="366">
        <f ca="1">IF(EI155=0,0,RANK(EI155,EI154:EI160,1))</f>
        <v>0</v>
      </c>
      <c r="EK155" s="366">
        <f t="shared" ca="1" si="437"/>
        <v>0</v>
      </c>
      <c r="EM155" s="367">
        <f ca="1">IF($AJ$54,COUNTIF(EE162:EE168,EN154)*IF(OR(EN155=0,EN155=EN154),0,1),COUNTIF(DW154:DW160,EO155)*IF(OR(EO155=EO154,EO155&lt;0),0,1))+EP155/1000</f>
        <v>2E-3</v>
      </c>
      <c r="EN155" s="368">
        <v>0</v>
      </c>
      <c r="EO155" s="369">
        <f ca="1">LARGE(DW154:DW160,EP155)</f>
        <v>-1</v>
      </c>
      <c r="EP155" s="369">
        <v>2</v>
      </c>
      <c r="EQ155" s="365"/>
      <c r="ER155" s="370">
        <f ca="1">IF(LARGE(EM154:EM160,EP155)&lt;1,0,LARGE(EM154:EM160,EP155))</f>
        <v>0</v>
      </c>
      <c r="ES155" s="371" t="str">
        <f ca="1">IF(DW155=ES153,DV155,IF(EE163=ES153,DV163,""))</f>
        <v/>
      </c>
      <c r="ET155" s="369" t="str">
        <f t="shared" ca="1" si="438"/>
        <v/>
      </c>
      <c r="EU155" s="372" t="str">
        <f ca="1">IF(ISERR(LARGE(ET154:ET160,EP155)),"",LARGE(ET154:ET160,EP155))</f>
        <v/>
      </c>
      <c r="EV155" s="371" t="str">
        <f ca="1">IF(DW155=EV153,DV155,IF(EE163=EV153,DV163,""))</f>
        <v/>
      </c>
      <c r="EW155" s="369" t="str">
        <f t="shared" ca="1" si="439"/>
        <v/>
      </c>
      <c r="EX155" s="388" t="str">
        <f ca="1">IF(ISERR(LARGE(EW154:EW160,EP155)),"",LARGE(EW154:EW160,EP155))</f>
        <v/>
      </c>
      <c r="EY155" s="371" t="str">
        <f ca="1">IF(DW155=EY153,DV155,IF(EE163=EY153,DV163,""))</f>
        <v/>
      </c>
      <c r="EZ155" s="369" t="str">
        <f t="shared" ca="1" si="440"/>
        <v/>
      </c>
      <c r="FA155" s="388" t="str">
        <f ca="1">IF(ISERR(LARGE(EZ154:EZ160,EP155)),"",LARGE(EZ154:EZ160,EP155))</f>
        <v/>
      </c>
      <c r="FB155" s="424"/>
      <c r="FD155" s="425"/>
      <c r="FE155" s="333"/>
      <c r="FO155" s="300"/>
      <c r="FP155" s="359" t="str">
        <f t="shared" ref="FP155:FP163" ca="1" si="451">IF(OR(NOT($FK$56),FK59=""),"",FK59)</f>
        <v/>
      </c>
      <c r="FQ155" s="360" t="str">
        <f t="shared" ref="FQ155:FQ163" ca="1" si="452">IF(OR(FP155="",FZ155="",FP155=FZ155),"",CONCATENATE(FP155,FZ155))</f>
        <v/>
      </c>
      <c r="FR155" s="360" t="str">
        <f t="shared" ca="1" si="441"/>
        <v/>
      </c>
      <c r="FS155" s="360" t="str">
        <f t="shared" ca="1" si="442"/>
        <v/>
      </c>
      <c r="FT155" s="360" t="str">
        <f t="shared" ca="1" si="443"/>
        <v/>
      </c>
      <c r="FU155" s="360" t="str">
        <f t="shared" ca="1" si="444"/>
        <v/>
      </c>
      <c r="FV155" s="360" t="str">
        <f t="shared" ca="1" si="445"/>
        <v/>
      </c>
      <c r="FW155" s="360" t="str">
        <f t="shared" ca="1" si="446"/>
        <v/>
      </c>
      <c r="FX155" s="360" t="str">
        <f t="shared" ca="1" si="447"/>
        <v/>
      </c>
      <c r="FY155" s="360" t="str">
        <f t="shared" ca="1" si="448"/>
        <v/>
      </c>
      <c r="FZ155" s="379" t="str">
        <f ca="1">FZ154</f>
        <v/>
      </c>
      <c r="GA155" s="302"/>
      <c r="GB155" s="364"/>
      <c r="GC155" s="302"/>
    </row>
    <row r="156" spans="40:185" x14ac:dyDescent="0.25">
      <c r="AN156" s="336" t="str">
        <f t="shared" si="414"/>
        <v>Zrínyigyöngye</v>
      </c>
      <c r="AO156" s="443" t="str">
        <f t="shared" ca="1" si="415"/>
        <v>►</v>
      </c>
      <c r="AP156" s="444">
        <f t="shared" ca="1" si="416"/>
        <v>21</v>
      </c>
      <c r="AQ156" s="444">
        <f t="shared" ca="1" si="417"/>
        <v>21</v>
      </c>
      <c r="AY156" s="348">
        <f t="shared" ca="1" si="418"/>
        <v>-35963999.969999999</v>
      </c>
      <c r="BA156" s="348">
        <f t="shared" ca="1" si="419"/>
        <v>41036072.030000001</v>
      </c>
      <c r="BB156" s="349">
        <v>11</v>
      </c>
      <c r="BC156" s="440" t="str">
        <f t="shared" si="420"/>
        <v>Zrínyigyöngye</v>
      </c>
      <c r="BD156" s="346">
        <f t="shared" ca="1" si="421"/>
        <v>19</v>
      </c>
      <c r="BE156" s="346">
        <f t="shared" ca="1" si="393"/>
        <v>13</v>
      </c>
      <c r="BF156" s="346">
        <f t="shared" ca="1" si="394"/>
        <v>2</v>
      </c>
      <c r="BG156" s="346">
        <f t="shared" ca="1" si="395"/>
        <v>4</v>
      </c>
      <c r="BH156" s="346">
        <f t="shared" ca="1" si="396"/>
        <v>72</v>
      </c>
      <c r="BI156" s="346">
        <f t="shared" ca="1" si="397"/>
        <v>36</v>
      </c>
      <c r="BJ156" s="346">
        <f t="shared" ca="1" si="422"/>
        <v>36</v>
      </c>
      <c r="BK156" s="347">
        <f t="shared" ca="1" si="423"/>
        <v>2</v>
      </c>
      <c r="BL156" s="346">
        <f t="shared" si="398"/>
        <v>0</v>
      </c>
      <c r="BM156" s="346">
        <f t="shared" ca="1" si="399"/>
        <v>41</v>
      </c>
      <c r="BN156" s="346">
        <f t="shared" ca="1" si="424"/>
        <v>30</v>
      </c>
      <c r="BO156" s="347">
        <f t="shared" ca="1" si="400"/>
        <v>0.78947368421052633</v>
      </c>
      <c r="BP156" s="348">
        <v>0.03</v>
      </c>
      <c r="BQ156" s="349">
        <f t="shared" ca="1" si="401"/>
        <v>0</v>
      </c>
      <c r="BS156" s="346">
        <f t="shared" ca="1" si="402"/>
        <v>0</v>
      </c>
      <c r="BT156" s="346">
        <f t="shared" ca="1" si="403"/>
        <v>7</v>
      </c>
      <c r="BU156" s="346">
        <f t="shared" ca="1" si="404"/>
        <v>1</v>
      </c>
      <c r="BV156" s="346">
        <f t="shared" ca="1" si="405"/>
        <v>1</v>
      </c>
      <c r="BW156" s="346">
        <f t="shared" ca="1" si="406"/>
        <v>33</v>
      </c>
      <c r="BX156" s="346">
        <f t="shared" ca="1" si="407"/>
        <v>14</v>
      </c>
      <c r="BZ156" s="346">
        <f t="shared" ca="1" si="408"/>
        <v>0</v>
      </c>
      <c r="CA156" s="346">
        <f t="shared" ca="1" si="409"/>
        <v>6</v>
      </c>
      <c r="CB156" s="346">
        <f t="shared" ca="1" si="410"/>
        <v>1</v>
      </c>
      <c r="CC156" s="346">
        <f t="shared" ca="1" si="411"/>
        <v>3</v>
      </c>
      <c r="CD156" s="346">
        <f t="shared" ca="1" si="412"/>
        <v>39</v>
      </c>
      <c r="CE156" s="346">
        <f t="shared" ca="1" si="413"/>
        <v>22</v>
      </c>
      <c r="CH156" s="350"/>
      <c r="CI156" s="350"/>
      <c r="CJ156" s="350"/>
      <c r="CK156" s="350"/>
      <c r="CL156" s="350"/>
      <c r="CM156" s="350"/>
      <c r="DG156" s="350"/>
      <c r="DH156" s="300"/>
      <c r="DI156" s="359" t="str">
        <f t="shared" ca="1" si="425"/>
        <v/>
      </c>
      <c r="DJ156" s="360" t="str">
        <f t="shared" ca="1" si="449"/>
        <v/>
      </c>
      <c r="DK156" s="360" t="str">
        <f t="shared" ca="1" si="426"/>
        <v/>
      </c>
      <c r="DL156" s="354" t="str">
        <f t="shared" ca="1" si="427"/>
        <v/>
      </c>
      <c r="DM156" s="354" t="str">
        <f t="shared" ca="1" si="428"/>
        <v/>
      </c>
      <c r="DN156" s="361" t="str">
        <f t="shared" ca="1" si="429"/>
        <v/>
      </c>
      <c r="DO156" s="362" t="str">
        <f t="shared" ca="1" si="430"/>
        <v/>
      </c>
      <c r="DP156" s="379" t="str">
        <f t="shared" ref="DP156:DP168" ca="1" si="453">DP155</f>
        <v>Hercules-Ludovika</v>
      </c>
      <c r="DQ156" s="302"/>
      <c r="DR156" s="364"/>
      <c r="DS156" s="302"/>
      <c r="DU156" s="424"/>
      <c r="DV156" s="366" t="str">
        <f ca="1">IF(AND($AJ$44,DI153,DP153&lt;&gt;2),DI156,"")</f>
        <v/>
      </c>
      <c r="DW156" s="366">
        <f t="shared" ca="1" si="431"/>
        <v>-1</v>
      </c>
      <c r="DX156" s="366">
        <f t="shared" ca="1" si="432"/>
        <v>0</v>
      </c>
      <c r="DZ156" s="366">
        <f t="shared" ca="1" si="433"/>
        <v>0</v>
      </c>
      <c r="EA156" s="366">
        <f t="shared" ca="1" si="434"/>
        <v>0</v>
      </c>
      <c r="EC156" s="366">
        <f t="shared" ca="1" si="450"/>
        <v>0</v>
      </c>
      <c r="EE156" s="366">
        <f t="shared" ca="1" si="435"/>
        <v>-1000000</v>
      </c>
      <c r="EI156" s="366">
        <f t="shared" ca="1" si="436"/>
        <v>0</v>
      </c>
      <c r="EJ156" s="366">
        <f ca="1">IF(EI156=0,0,RANK(EI156,EI154:EI160,1))</f>
        <v>0</v>
      </c>
      <c r="EK156" s="366">
        <f t="shared" ca="1" si="437"/>
        <v>0</v>
      </c>
      <c r="EL156" s="365"/>
      <c r="EM156" s="367">
        <f ca="1">IF($AJ$54,COUNTIF(EE162:EE168,EN155)*IF(OR(EN156=0,EN156=EN155),0,1),COUNTIF(DW154:DW160,EO156)*IF(OR(EO156=EO155,EO156&lt;0),0,1))+EP156/1000</f>
        <v>3.0000000000000001E-3</v>
      </c>
      <c r="EN156" s="368">
        <v>0</v>
      </c>
      <c r="EO156" s="369">
        <f ca="1">LARGE(DW154:DW160,EP156)</f>
        <v>-1</v>
      </c>
      <c r="EP156" s="369">
        <v>3</v>
      </c>
      <c r="EQ156" s="365"/>
      <c r="ER156" s="370">
        <f ca="1">IF(LARGE(EM154:EM160,EP156)&lt;1,0,LARGE(EM154:EM160,EP156))</f>
        <v>0</v>
      </c>
      <c r="ES156" s="371" t="str">
        <f ca="1">IF(DW156=ES153,DV156,IF(EE164=ES153,DV164,""))</f>
        <v/>
      </c>
      <c r="ET156" s="369" t="str">
        <f t="shared" ca="1" si="438"/>
        <v/>
      </c>
      <c r="EU156" s="372" t="str">
        <f ca="1">IF(ISERR(LARGE(ET154:ET160,EP156)),"",LARGE(ET154:ET160,EP156))</f>
        <v/>
      </c>
      <c r="EV156" s="371" t="str">
        <f ca="1">IF(DW156=EV153,DV156,IF(EE164=EV153,DV164,""))</f>
        <v/>
      </c>
      <c r="EW156" s="369" t="str">
        <f t="shared" ca="1" si="439"/>
        <v/>
      </c>
      <c r="EX156" s="386"/>
      <c r="EY156" s="371" t="str">
        <f ca="1">IF(DW156=EY153,DV156,IF(EE164=EY153,DV164,""))</f>
        <v/>
      </c>
      <c r="EZ156" s="369" t="str">
        <f t="shared" ca="1" si="440"/>
        <v/>
      </c>
      <c r="FA156" s="386"/>
      <c r="FB156" s="424"/>
      <c r="FD156" s="425"/>
      <c r="FE156" s="333"/>
      <c r="FO156" s="300"/>
      <c r="FP156" s="359" t="str">
        <f t="shared" ca="1" si="451"/>
        <v/>
      </c>
      <c r="FQ156" s="360" t="str">
        <f t="shared" ca="1" si="452"/>
        <v/>
      </c>
      <c r="FR156" s="360" t="str">
        <f t="shared" ca="1" si="441"/>
        <v/>
      </c>
      <c r="FS156" s="360" t="str">
        <f t="shared" ca="1" si="442"/>
        <v/>
      </c>
      <c r="FT156" s="360" t="str">
        <f t="shared" ca="1" si="443"/>
        <v/>
      </c>
      <c r="FU156" s="360" t="str">
        <f t="shared" ca="1" si="444"/>
        <v/>
      </c>
      <c r="FV156" s="360" t="str">
        <f t="shared" ca="1" si="445"/>
        <v/>
      </c>
      <c r="FW156" s="360" t="str">
        <f t="shared" ca="1" si="446"/>
        <v/>
      </c>
      <c r="FX156" s="360" t="str">
        <f t="shared" ca="1" si="447"/>
        <v/>
      </c>
      <c r="FY156" s="360" t="str">
        <f t="shared" ca="1" si="448"/>
        <v/>
      </c>
      <c r="FZ156" s="379" t="str">
        <f t="shared" ref="FZ156:FZ163" ca="1" si="454">FZ155</f>
        <v/>
      </c>
      <c r="GA156" s="302"/>
      <c r="GB156" s="364"/>
      <c r="GC156" s="302"/>
    </row>
    <row r="157" spans="40:185" x14ac:dyDescent="0.25">
      <c r="AN157" s="336">
        <f t="shared" si="414"/>
        <v>0</v>
      </c>
      <c r="AO157" s="443" t="str">
        <f t="shared" ca="1" si="415"/>
        <v>►</v>
      </c>
      <c r="AP157" s="444">
        <f t="shared" ca="1" si="416"/>
        <v>13</v>
      </c>
      <c r="AQ157" s="444">
        <f t="shared" ca="1" si="417"/>
        <v>13</v>
      </c>
      <c r="AY157" s="348">
        <f t="shared" ca="1" si="418"/>
        <v>-999999999999.97095</v>
      </c>
      <c r="BA157" s="348">
        <f t="shared" ca="1" si="419"/>
        <v>-999999999.97099996</v>
      </c>
      <c r="BB157" s="349">
        <v>12</v>
      </c>
      <c r="BC157" s="440">
        <f t="shared" si="420"/>
        <v>0</v>
      </c>
      <c r="BD157" s="346">
        <f t="shared" ca="1" si="421"/>
        <v>0</v>
      </c>
      <c r="BE157" s="346">
        <f t="shared" ca="1" si="393"/>
        <v>0</v>
      </c>
      <c r="BF157" s="346">
        <f t="shared" ca="1" si="394"/>
        <v>0</v>
      </c>
      <c r="BG157" s="346">
        <f t="shared" ca="1" si="395"/>
        <v>0</v>
      </c>
      <c r="BH157" s="346">
        <f t="shared" ca="1" si="396"/>
        <v>0</v>
      </c>
      <c r="BI157" s="346">
        <f t="shared" ca="1" si="397"/>
        <v>0</v>
      </c>
      <c r="BJ157" s="346">
        <f t="shared" ca="1" si="422"/>
        <v>0</v>
      </c>
      <c r="BK157" s="347">
        <f t="shared" ca="1" si="423"/>
        <v>0</v>
      </c>
      <c r="BL157" s="346">
        <f t="shared" si="398"/>
        <v>0</v>
      </c>
      <c r="BM157" s="346">
        <f t="shared" ca="1" si="399"/>
        <v>0</v>
      </c>
      <c r="BN157" s="346">
        <f t="shared" ca="1" si="424"/>
        <v>0</v>
      </c>
      <c r="BO157" s="347">
        <f t="shared" ca="1" si="400"/>
        <v>0</v>
      </c>
      <c r="BP157" s="348">
        <v>2.8999999999999991E-2</v>
      </c>
      <c r="BQ157" s="349">
        <f t="shared" ca="1" si="401"/>
        <v>0</v>
      </c>
      <c r="BS157" s="346">
        <f t="shared" ca="1" si="402"/>
        <v>0</v>
      </c>
      <c r="BT157" s="346">
        <f t="shared" ca="1" si="403"/>
        <v>0</v>
      </c>
      <c r="BU157" s="346">
        <f t="shared" ca="1" si="404"/>
        <v>0</v>
      </c>
      <c r="BV157" s="346">
        <f t="shared" ca="1" si="405"/>
        <v>0</v>
      </c>
      <c r="BW157" s="346">
        <f t="shared" ca="1" si="406"/>
        <v>0</v>
      </c>
      <c r="BX157" s="346">
        <f t="shared" ca="1" si="407"/>
        <v>0</v>
      </c>
      <c r="BZ157" s="346">
        <f t="shared" ca="1" si="408"/>
        <v>0</v>
      </c>
      <c r="CA157" s="346">
        <f t="shared" ca="1" si="409"/>
        <v>0</v>
      </c>
      <c r="CB157" s="346">
        <f t="shared" ca="1" si="410"/>
        <v>0</v>
      </c>
      <c r="CC157" s="346">
        <f t="shared" ca="1" si="411"/>
        <v>0</v>
      </c>
      <c r="CD157" s="346">
        <f t="shared" ca="1" si="412"/>
        <v>0</v>
      </c>
      <c r="CE157" s="346">
        <f t="shared" ca="1" si="413"/>
        <v>0</v>
      </c>
      <c r="CH157" s="445"/>
      <c r="CI157" s="350"/>
      <c r="CJ157" s="350"/>
      <c r="CK157" s="350"/>
      <c r="CL157" s="350"/>
      <c r="CM157" s="445"/>
      <c r="DG157" s="445"/>
      <c r="DH157" s="300"/>
      <c r="DI157" s="359" t="str">
        <f t="shared" ca="1" si="425"/>
        <v/>
      </c>
      <c r="DJ157" s="360" t="str">
        <f t="shared" ca="1" si="449"/>
        <v/>
      </c>
      <c r="DK157" s="360" t="str">
        <f t="shared" ca="1" si="426"/>
        <v/>
      </c>
      <c r="DL157" s="354" t="str">
        <f t="shared" ca="1" si="427"/>
        <v/>
      </c>
      <c r="DM157" s="354" t="str">
        <f t="shared" ca="1" si="428"/>
        <v/>
      </c>
      <c r="DN157" s="361" t="str">
        <f t="shared" ca="1" si="429"/>
        <v/>
      </c>
      <c r="DO157" s="362" t="str">
        <f t="shared" ca="1" si="430"/>
        <v/>
      </c>
      <c r="DP157" s="379" t="str">
        <f t="shared" ca="1" si="453"/>
        <v>Hercules-Ludovika</v>
      </c>
      <c r="DQ157" s="302"/>
      <c r="DR157" s="364"/>
      <c r="DS157" s="302"/>
      <c r="DU157" s="424"/>
      <c r="DV157" s="366" t="str">
        <f ca="1">IF(AND($AJ$44,DI153,DP153&lt;&gt;2),DI157,"")</f>
        <v/>
      </c>
      <c r="DW157" s="366">
        <f t="shared" ca="1" si="431"/>
        <v>-1</v>
      </c>
      <c r="DX157" s="366">
        <f t="shared" ca="1" si="432"/>
        <v>0</v>
      </c>
      <c r="DZ157" s="366">
        <f t="shared" ca="1" si="433"/>
        <v>0</v>
      </c>
      <c r="EA157" s="366">
        <f t="shared" ca="1" si="434"/>
        <v>0</v>
      </c>
      <c r="EC157" s="366">
        <f t="shared" ca="1" si="450"/>
        <v>0</v>
      </c>
      <c r="EE157" s="366">
        <f t="shared" ca="1" si="435"/>
        <v>-1000000</v>
      </c>
      <c r="EI157" s="366">
        <f t="shared" ca="1" si="436"/>
        <v>0</v>
      </c>
      <c r="EJ157" s="366">
        <f ca="1">IF(EI157=0,0,RANK(EI157,EI154:EI160,1))</f>
        <v>0</v>
      </c>
      <c r="EK157" s="366">
        <f t="shared" ca="1" si="437"/>
        <v>0</v>
      </c>
      <c r="EL157" s="365"/>
      <c r="EM157" s="367">
        <f ca="1">IF($AJ$54,COUNTIF(EE162:EE168,EN156)*IF(OR(EN157=0,EN157=EN156),0,1),COUNTIF(DW154:DW160,EO157)*IF(OR(EO157=EO156,EO157&lt;0),0,1))+EP157/1000</f>
        <v>4.0000000000000001E-3</v>
      </c>
      <c r="EN157" s="368">
        <v>0</v>
      </c>
      <c r="EO157" s="369">
        <f ca="1">LARGE(DW154:DW160,EP157)</f>
        <v>-1</v>
      </c>
      <c r="EP157" s="369">
        <v>4</v>
      </c>
      <c r="EQ157" s="365"/>
      <c r="ER157" s="365"/>
      <c r="ES157" s="371" t="str">
        <f ca="1">IF(DW157=ES153,DV157,IF(EE165=ES153,DV165,""))</f>
        <v/>
      </c>
      <c r="ET157" s="369" t="str">
        <f t="shared" ca="1" si="438"/>
        <v/>
      </c>
      <c r="EU157" s="372" t="str">
        <f ca="1">IF(ISERR(LARGE(ET154:ET160,EP157)),"",LARGE(ET154:ET160,EP157))</f>
        <v/>
      </c>
      <c r="EV157" s="371" t="str">
        <f ca="1">IF(DW157=EV153,DV157,IF(EE165=EV153,DV165,""))</f>
        <v/>
      </c>
      <c r="EW157" s="369" t="str">
        <f t="shared" ca="1" si="439"/>
        <v/>
      </c>
      <c r="EX157" s="386"/>
      <c r="EY157" s="371" t="str">
        <f ca="1">IF(DW157=EY153,DV157,IF(EE165=EY153,DV165,""))</f>
        <v/>
      </c>
      <c r="EZ157" s="369" t="str">
        <f t="shared" ca="1" si="440"/>
        <v/>
      </c>
      <c r="FA157" s="386"/>
      <c r="FB157" s="424"/>
      <c r="FD157" s="425"/>
      <c r="FE157" s="333"/>
      <c r="FO157" s="300"/>
      <c r="FP157" s="359" t="str">
        <f t="shared" ca="1" si="451"/>
        <v/>
      </c>
      <c r="FQ157" s="360" t="str">
        <f t="shared" ca="1" si="452"/>
        <v/>
      </c>
      <c r="FR157" s="360" t="str">
        <f t="shared" ca="1" si="441"/>
        <v/>
      </c>
      <c r="FS157" s="360" t="str">
        <f t="shared" ca="1" si="442"/>
        <v/>
      </c>
      <c r="FT157" s="360" t="str">
        <f t="shared" ca="1" si="443"/>
        <v/>
      </c>
      <c r="FU157" s="360" t="str">
        <f t="shared" ca="1" si="444"/>
        <v/>
      </c>
      <c r="FV157" s="360" t="str">
        <f t="shared" ca="1" si="445"/>
        <v/>
      </c>
      <c r="FW157" s="360" t="str">
        <f t="shared" ca="1" si="446"/>
        <v/>
      </c>
      <c r="FX157" s="360" t="str">
        <f t="shared" ca="1" si="447"/>
        <v/>
      </c>
      <c r="FY157" s="360" t="str">
        <f t="shared" ca="1" si="448"/>
        <v/>
      </c>
      <c r="FZ157" s="379" t="str">
        <f t="shared" ca="1" si="454"/>
        <v/>
      </c>
      <c r="GA157" s="302"/>
      <c r="GB157" s="364"/>
      <c r="GC157" s="302"/>
    </row>
    <row r="158" spans="40:185" x14ac:dyDescent="0.25">
      <c r="AN158" s="336">
        <f t="shared" si="414"/>
        <v>0</v>
      </c>
      <c r="AO158" s="443" t="str">
        <f t="shared" ca="1" si="415"/>
        <v>►</v>
      </c>
      <c r="AP158" s="444">
        <f t="shared" ca="1" si="416"/>
        <v>12</v>
      </c>
      <c r="AQ158" s="444">
        <f t="shared" ca="1" si="417"/>
        <v>12</v>
      </c>
      <c r="AY158" s="348">
        <f t="shared" ca="1" si="418"/>
        <v>-999999999999.97205</v>
      </c>
      <c r="BA158" s="348">
        <f t="shared" ca="1" si="419"/>
        <v>-999999999.972</v>
      </c>
      <c r="BB158" s="349">
        <v>13</v>
      </c>
      <c r="BC158" s="440">
        <f t="shared" si="420"/>
        <v>0</v>
      </c>
      <c r="BD158" s="346">
        <f t="shared" ca="1" si="421"/>
        <v>0</v>
      </c>
      <c r="BE158" s="346">
        <f t="shared" ca="1" si="393"/>
        <v>0</v>
      </c>
      <c r="BF158" s="346">
        <f t="shared" ca="1" si="394"/>
        <v>0</v>
      </c>
      <c r="BG158" s="346">
        <f t="shared" ca="1" si="395"/>
        <v>0</v>
      </c>
      <c r="BH158" s="346">
        <f t="shared" ca="1" si="396"/>
        <v>0</v>
      </c>
      <c r="BI158" s="346">
        <f t="shared" ca="1" si="397"/>
        <v>0</v>
      </c>
      <c r="BJ158" s="346">
        <f t="shared" ca="1" si="422"/>
        <v>0</v>
      </c>
      <c r="BK158" s="347">
        <f t="shared" ca="1" si="423"/>
        <v>0</v>
      </c>
      <c r="BL158" s="346">
        <f t="shared" si="398"/>
        <v>0</v>
      </c>
      <c r="BM158" s="346">
        <f t="shared" ca="1" si="399"/>
        <v>0</v>
      </c>
      <c r="BN158" s="346">
        <f t="shared" ca="1" si="424"/>
        <v>0</v>
      </c>
      <c r="BO158" s="347">
        <f t="shared" ca="1" si="400"/>
        <v>0</v>
      </c>
      <c r="BP158" s="348">
        <v>2.799999999999999E-2</v>
      </c>
      <c r="BQ158" s="349">
        <f t="shared" ca="1" si="401"/>
        <v>0</v>
      </c>
      <c r="BS158" s="346">
        <f t="shared" ca="1" si="402"/>
        <v>0</v>
      </c>
      <c r="BT158" s="346">
        <f t="shared" ca="1" si="403"/>
        <v>0</v>
      </c>
      <c r="BU158" s="346">
        <f t="shared" ca="1" si="404"/>
        <v>0</v>
      </c>
      <c r="BV158" s="346">
        <f t="shared" ca="1" si="405"/>
        <v>0</v>
      </c>
      <c r="BW158" s="346">
        <f t="shared" ca="1" si="406"/>
        <v>0</v>
      </c>
      <c r="BX158" s="346">
        <f t="shared" ca="1" si="407"/>
        <v>0</v>
      </c>
      <c r="BZ158" s="346">
        <f t="shared" ca="1" si="408"/>
        <v>0</v>
      </c>
      <c r="CA158" s="346">
        <f t="shared" ca="1" si="409"/>
        <v>0</v>
      </c>
      <c r="CB158" s="346">
        <f t="shared" ca="1" si="410"/>
        <v>0</v>
      </c>
      <c r="CC158" s="346">
        <f t="shared" ca="1" si="411"/>
        <v>0</v>
      </c>
      <c r="CD158" s="346">
        <f t="shared" ca="1" si="412"/>
        <v>0</v>
      </c>
      <c r="CE158" s="346">
        <f t="shared" ca="1" si="413"/>
        <v>0</v>
      </c>
      <c r="CH158" s="445"/>
      <c r="CI158" s="350"/>
      <c r="CJ158" s="350"/>
      <c r="CK158" s="350"/>
      <c r="CL158" s="350"/>
      <c r="CM158" s="445"/>
      <c r="DG158" s="445"/>
      <c r="DH158" s="300"/>
      <c r="DI158" s="359" t="str">
        <f t="shared" ca="1" si="425"/>
        <v/>
      </c>
      <c r="DJ158" s="360" t="str">
        <f t="shared" ca="1" si="449"/>
        <v/>
      </c>
      <c r="DK158" s="360" t="str">
        <f t="shared" ca="1" si="426"/>
        <v/>
      </c>
      <c r="DL158" s="354" t="str">
        <f t="shared" ca="1" si="427"/>
        <v/>
      </c>
      <c r="DM158" s="354" t="str">
        <f t="shared" ca="1" si="428"/>
        <v/>
      </c>
      <c r="DN158" s="361" t="str">
        <f t="shared" ca="1" si="429"/>
        <v/>
      </c>
      <c r="DO158" s="362" t="str">
        <f t="shared" ca="1" si="430"/>
        <v/>
      </c>
      <c r="DP158" s="379" t="str">
        <f t="shared" ca="1" si="453"/>
        <v>Hercules-Ludovika</v>
      </c>
      <c r="DQ158" s="302"/>
      <c r="DR158" s="364"/>
      <c r="DS158" s="302"/>
      <c r="DU158" s="424"/>
      <c r="DV158" s="366" t="str">
        <f ca="1">IF(AND($AJ$44,DI153,DP153&lt;&gt;2),DI158,"")</f>
        <v/>
      </c>
      <c r="DW158" s="366">
        <f t="shared" ca="1" si="431"/>
        <v>-1</v>
      </c>
      <c r="DX158" s="366">
        <f t="shared" ca="1" si="432"/>
        <v>0</v>
      </c>
      <c r="DZ158" s="366">
        <f t="shared" ca="1" si="433"/>
        <v>0</v>
      </c>
      <c r="EA158" s="366">
        <f t="shared" ca="1" si="434"/>
        <v>0</v>
      </c>
      <c r="EC158" s="366">
        <f t="shared" ca="1" si="450"/>
        <v>0</v>
      </c>
      <c r="EE158" s="366">
        <f t="shared" ca="1" si="435"/>
        <v>-1000000</v>
      </c>
      <c r="EI158" s="366">
        <f t="shared" ca="1" si="436"/>
        <v>0</v>
      </c>
      <c r="EJ158" s="366">
        <f ca="1">IF(EI158=0,0,RANK(EI158,EI154:EI160,1))</f>
        <v>0</v>
      </c>
      <c r="EK158" s="366">
        <f t="shared" ca="1" si="437"/>
        <v>0</v>
      </c>
      <c r="EL158" s="365"/>
      <c r="EM158" s="367">
        <f ca="1">IF($AJ$54,COUNTIF(EE162:EE168,EN157)*IF(OR(EN158=0,EN158=EN157),0,1),COUNTIF(DW154:DW160,EO158)*IF(OR(EO158=EO157,EO158&lt;0),0,1))+EP158/1000</f>
        <v>5.0000000000000001E-3</v>
      </c>
      <c r="EN158" s="368">
        <v>0</v>
      </c>
      <c r="EO158" s="369">
        <f ca="1">LARGE(DW154:DW160,EP158)</f>
        <v>-1</v>
      </c>
      <c r="EP158" s="369">
        <v>5</v>
      </c>
      <c r="EQ158" s="365"/>
      <c r="ER158" s="365"/>
      <c r="ES158" s="371" t="str">
        <f ca="1">IF(DW158=ES153,DV158,IF(EE166=ES153,DV166,""))</f>
        <v/>
      </c>
      <c r="ET158" s="369" t="str">
        <f t="shared" ca="1" si="438"/>
        <v/>
      </c>
      <c r="EU158" s="388" t="str">
        <f ca="1">IF(ISERR(LARGE(ET154:ET160,EP158)),"",LARGE(ET154:ET160,EP158))</f>
        <v/>
      </c>
      <c r="EV158" s="371" t="str">
        <f ca="1">IF(DW158=EV153,DV158,IF(EE166=EV153,DV166,""))</f>
        <v/>
      </c>
      <c r="EW158" s="369" t="str">
        <f t="shared" ca="1" si="439"/>
        <v/>
      </c>
      <c r="EX158" s="386"/>
      <c r="EY158" s="371" t="str">
        <f ca="1">IF(DW158=EY153,DV158,IF(EE166=EY153,DV166,""))</f>
        <v/>
      </c>
      <c r="EZ158" s="369" t="str">
        <f t="shared" ca="1" si="440"/>
        <v/>
      </c>
      <c r="FA158" s="386"/>
      <c r="FB158" s="424"/>
      <c r="FD158" s="425"/>
      <c r="FE158" s="333"/>
      <c r="FO158" s="300"/>
      <c r="FP158" s="359" t="str">
        <f t="shared" ca="1" si="451"/>
        <v/>
      </c>
      <c r="FQ158" s="360" t="str">
        <f t="shared" ca="1" si="452"/>
        <v/>
      </c>
      <c r="FR158" s="360" t="str">
        <f t="shared" ca="1" si="441"/>
        <v/>
      </c>
      <c r="FS158" s="360" t="str">
        <f t="shared" ca="1" si="442"/>
        <v/>
      </c>
      <c r="FT158" s="360" t="str">
        <f t="shared" ca="1" si="443"/>
        <v/>
      </c>
      <c r="FU158" s="360" t="str">
        <f t="shared" ca="1" si="444"/>
        <v/>
      </c>
      <c r="FV158" s="360" t="str">
        <f t="shared" ca="1" si="445"/>
        <v/>
      </c>
      <c r="FW158" s="360" t="str">
        <f t="shared" ca="1" si="446"/>
        <v/>
      </c>
      <c r="FX158" s="360" t="str">
        <f t="shared" ca="1" si="447"/>
        <v/>
      </c>
      <c r="FY158" s="360" t="str">
        <f t="shared" ca="1" si="448"/>
        <v/>
      </c>
      <c r="FZ158" s="379" t="str">
        <f t="shared" ca="1" si="454"/>
        <v/>
      </c>
      <c r="GA158" s="302"/>
      <c r="GB158" s="364"/>
      <c r="GC158" s="302"/>
    </row>
    <row r="159" spans="40:185" x14ac:dyDescent="0.25">
      <c r="AN159" s="336">
        <f t="shared" si="414"/>
        <v>0</v>
      </c>
      <c r="AO159" s="443" t="str">
        <f t="shared" ca="1" si="415"/>
        <v>►</v>
      </c>
      <c r="AP159" s="444">
        <f t="shared" ca="1" si="416"/>
        <v>11</v>
      </c>
      <c r="AQ159" s="444">
        <f t="shared" ca="1" si="417"/>
        <v>11</v>
      </c>
      <c r="AY159" s="348">
        <f t="shared" ca="1" si="418"/>
        <v>-999999999999.97302</v>
      </c>
      <c r="BA159" s="348">
        <f t="shared" ca="1" si="419"/>
        <v>-999999999.97300005</v>
      </c>
      <c r="BB159" s="349">
        <v>14</v>
      </c>
      <c r="BC159" s="440">
        <f t="shared" si="420"/>
        <v>0</v>
      </c>
      <c r="BD159" s="346">
        <f t="shared" ca="1" si="421"/>
        <v>0</v>
      </c>
      <c r="BE159" s="346">
        <f t="shared" ca="1" si="393"/>
        <v>0</v>
      </c>
      <c r="BF159" s="346">
        <f t="shared" ca="1" si="394"/>
        <v>0</v>
      </c>
      <c r="BG159" s="346">
        <f t="shared" ca="1" si="395"/>
        <v>0</v>
      </c>
      <c r="BH159" s="346">
        <f t="shared" ca="1" si="396"/>
        <v>0</v>
      </c>
      <c r="BI159" s="346">
        <f t="shared" ca="1" si="397"/>
        <v>0</v>
      </c>
      <c r="BJ159" s="346">
        <f t="shared" ca="1" si="422"/>
        <v>0</v>
      </c>
      <c r="BK159" s="347">
        <f t="shared" ca="1" si="423"/>
        <v>0</v>
      </c>
      <c r="BL159" s="346">
        <f t="shared" si="398"/>
        <v>0</v>
      </c>
      <c r="BM159" s="346">
        <f t="shared" ca="1" si="399"/>
        <v>0</v>
      </c>
      <c r="BN159" s="346">
        <f t="shared" ca="1" si="424"/>
        <v>0</v>
      </c>
      <c r="BO159" s="347">
        <f t="shared" ca="1" si="400"/>
        <v>0</v>
      </c>
      <c r="BP159" s="348">
        <v>2.6999999999999989E-2</v>
      </c>
      <c r="BQ159" s="349">
        <f t="shared" ca="1" si="401"/>
        <v>0</v>
      </c>
      <c r="BS159" s="346">
        <f t="shared" ca="1" si="402"/>
        <v>0</v>
      </c>
      <c r="BT159" s="346">
        <f t="shared" ca="1" si="403"/>
        <v>0</v>
      </c>
      <c r="BU159" s="346">
        <f t="shared" ca="1" si="404"/>
        <v>0</v>
      </c>
      <c r="BV159" s="346">
        <f t="shared" ca="1" si="405"/>
        <v>0</v>
      </c>
      <c r="BW159" s="346">
        <f t="shared" ca="1" si="406"/>
        <v>0</v>
      </c>
      <c r="BX159" s="346">
        <f t="shared" ca="1" si="407"/>
        <v>0</v>
      </c>
      <c r="BZ159" s="346">
        <f t="shared" ca="1" si="408"/>
        <v>0</v>
      </c>
      <c r="CA159" s="346">
        <f t="shared" ca="1" si="409"/>
        <v>0</v>
      </c>
      <c r="CB159" s="346">
        <f t="shared" ca="1" si="410"/>
        <v>0</v>
      </c>
      <c r="CC159" s="346">
        <f t="shared" ca="1" si="411"/>
        <v>0</v>
      </c>
      <c r="CD159" s="346">
        <f t="shared" ca="1" si="412"/>
        <v>0</v>
      </c>
      <c r="CE159" s="346">
        <f t="shared" ca="1" si="413"/>
        <v>0</v>
      </c>
      <c r="CH159" s="445"/>
      <c r="CI159" s="350"/>
      <c r="CJ159" s="350"/>
      <c r="CK159" s="350"/>
      <c r="CL159" s="350"/>
      <c r="CM159" s="445"/>
      <c r="DG159" s="445"/>
      <c r="DH159" s="300"/>
      <c r="DI159" s="359" t="str">
        <f t="shared" ca="1" si="425"/>
        <v/>
      </c>
      <c r="DJ159" s="360" t="str">
        <f t="shared" ca="1" si="449"/>
        <v/>
      </c>
      <c r="DK159" s="360" t="str">
        <f t="shared" ca="1" si="426"/>
        <v/>
      </c>
      <c r="DL159" s="354" t="str">
        <f t="shared" ca="1" si="427"/>
        <v/>
      </c>
      <c r="DM159" s="354" t="str">
        <f t="shared" ca="1" si="428"/>
        <v/>
      </c>
      <c r="DN159" s="361" t="str">
        <f t="shared" ca="1" si="429"/>
        <v/>
      </c>
      <c r="DO159" s="362" t="str">
        <f t="shared" ca="1" si="430"/>
        <v/>
      </c>
      <c r="DP159" s="379" t="str">
        <f t="shared" ca="1" si="453"/>
        <v>Hercules-Ludovika</v>
      </c>
      <c r="DQ159" s="302"/>
      <c r="DR159" s="364"/>
      <c r="DS159" s="302"/>
      <c r="DU159" s="424"/>
      <c r="DV159" s="366" t="str">
        <f ca="1">IF(AND($AJ$44,DI153,DP153&lt;&gt;2),DI159,"")</f>
        <v/>
      </c>
      <c r="DW159" s="366">
        <f t="shared" ca="1" si="431"/>
        <v>-1</v>
      </c>
      <c r="DX159" s="366">
        <f t="shared" ca="1" si="432"/>
        <v>0</v>
      </c>
      <c r="DZ159" s="366">
        <f t="shared" ca="1" si="433"/>
        <v>0</v>
      </c>
      <c r="EA159" s="366">
        <f t="shared" ca="1" si="434"/>
        <v>0</v>
      </c>
      <c r="EC159" s="366">
        <f t="shared" ca="1" si="450"/>
        <v>0</v>
      </c>
      <c r="EE159" s="366">
        <f t="shared" ca="1" si="435"/>
        <v>-1000000</v>
      </c>
      <c r="EI159" s="366">
        <f t="shared" ca="1" si="436"/>
        <v>0</v>
      </c>
      <c r="EJ159" s="366">
        <f ca="1">IF(EI159=0,0,RANK(EI159,EI154:EI160,1))</f>
        <v>0</v>
      </c>
      <c r="EK159" s="366">
        <f t="shared" ca="1" si="437"/>
        <v>0</v>
      </c>
      <c r="EL159" s="365"/>
      <c r="EM159" s="367">
        <f ca="1">IF($AJ$54,COUNTIF(EE162:EE168,EN158)*IF(OR(EN159=0,EN159=EN158),0,1),COUNTIF(DW154:DW160,EO159)*IF(OR(EO159=EO158,EO159&lt;0),0,1))+EP159/1000</f>
        <v>6.0000000000000001E-3</v>
      </c>
      <c r="EN159" s="368">
        <v>0</v>
      </c>
      <c r="EO159" s="369">
        <f ca="1">LARGE(DW154:DW160,EP159)</f>
        <v>-1</v>
      </c>
      <c r="EP159" s="369">
        <v>6</v>
      </c>
      <c r="EQ159" s="365"/>
      <c r="ER159" s="365"/>
      <c r="ES159" s="371" t="str">
        <f ca="1">IF(DW159=ES153,DV159,IF(EE167=ES153,DV167,""))</f>
        <v/>
      </c>
      <c r="ET159" s="369" t="str">
        <f t="shared" ca="1" si="438"/>
        <v/>
      </c>
      <c r="EU159" s="386"/>
      <c r="EV159" s="371" t="str">
        <f ca="1">IF(DW159=EV153,DV159,IF(EE167=EV153,DV167,""))</f>
        <v/>
      </c>
      <c r="EW159" s="369" t="str">
        <f t="shared" ca="1" si="439"/>
        <v/>
      </c>
      <c r="EX159" s="386"/>
      <c r="EY159" s="371" t="str">
        <f ca="1">IF(DW159=EY153,DV159,IF(EE167=EY153,DV167,""))</f>
        <v/>
      </c>
      <c r="EZ159" s="369" t="str">
        <f t="shared" ca="1" si="440"/>
        <v/>
      </c>
      <c r="FA159" s="386"/>
      <c r="FB159" s="424"/>
      <c r="FD159" s="425"/>
      <c r="FE159" s="333"/>
      <c r="FO159" s="300"/>
      <c r="FP159" s="359" t="str">
        <f t="shared" ca="1" si="451"/>
        <v/>
      </c>
      <c r="FQ159" s="360" t="str">
        <f t="shared" ca="1" si="452"/>
        <v/>
      </c>
      <c r="FR159" s="360" t="str">
        <f t="shared" ca="1" si="441"/>
        <v/>
      </c>
      <c r="FS159" s="360" t="str">
        <f t="shared" ca="1" si="442"/>
        <v/>
      </c>
      <c r="FT159" s="360" t="str">
        <f t="shared" ca="1" si="443"/>
        <v/>
      </c>
      <c r="FU159" s="360" t="str">
        <f t="shared" ca="1" si="444"/>
        <v/>
      </c>
      <c r="FV159" s="360" t="str">
        <f t="shared" ca="1" si="445"/>
        <v/>
      </c>
      <c r="FW159" s="360" t="str">
        <f t="shared" ca="1" si="446"/>
        <v/>
      </c>
      <c r="FX159" s="360" t="str">
        <f t="shared" ca="1" si="447"/>
        <v/>
      </c>
      <c r="FY159" s="360" t="str">
        <f t="shared" ca="1" si="448"/>
        <v/>
      </c>
      <c r="FZ159" s="379" t="str">
        <f t="shared" ca="1" si="454"/>
        <v/>
      </c>
      <c r="GA159" s="302"/>
      <c r="GB159" s="364"/>
      <c r="GC159" s="302"/>
    </row>
    <row r="160" spans="40:185" x14ac:dyDescent="0.25">
      <c r="AN160" s="336">
        <f t="shared" si="414"/>
        <v>0</v>
      </c>
      <c r="AO160" s="443" t="str">
        <f t="shared" ca="1" si="415"/>
        <v>►</v>
      </c>
      <c r="AP160" s="444">
        <f t="shared" ca="1" si="416"/>
        <v>10</v>
      </c>
      <c r="AQ160" s="444">
        <f t="shared" ca="1" si="417"/>
        <v>10</v>
      </c>
      <c r="AY160" s="348">
        <f t="shared" ca="1" si="418"/>
        <v>-999999999999.974</v>
      </c>
      <c r="BA160" s="348">
        <f t="shared" ca="1" si="419"/>
        <v>-999999999.97399998</v>
      </c>
      <c r="BB160" s="349">
        <v>15</v>
      </c>
      <c r="BC160" s="440">
        <f t="shared" si="420"/>
        <v>0</v>
      </c>
      <c r="BD160" s="346">
        <f t="shared" ca="1" si="421"/>
        <v>0</v>
      </c>
      <c r="BE160" s="346">
        <f t="shared" ca="1" si="393"/>
        <v>0</v>
      </c>
      <c r="BF160" s="346">
        <f t="shared" ca="1" si="394"/>
        <v>0</v>
      </c>
      <c r="BG160" s="346">
        <f t="shared" ca="1" si="395"/>
        <v>0</v>
      </c>
      <c r="BH160" s="346">
        <f t="shared" ca="1" si="396"/>
        <v>0</v>
      </c>
      <c r="BI160" s="346">
        <f t="shared" ca="1" si="397"/>
        <v>0</v>
      </c>
      <c r="BJ160" s="346">
        <f t="shared" ca="1" si="422"/>
        <v>0</v>
      </c>
      <c r="BK160" s="347">
        <f t="shared" ca="1" si="423"/>
        <v>0</v>
      </c>
      <c r="BL160" s="346">
        <f t="shared" si="398"/>
        <v>0</v>
      </c>
      <c r="BM160" s="346">
        <f t="shared" ca="1" si="399"/>
        <v>0</v>
      </c>
      <c r="BN160" s="346">
        <f t="shared" ca="1" si="424"/>
        <v>0</v>
      </c>
      <c r="BO160" s="347">
        <f t="shared" ca="1" si="400"/>
        <v>0</v>
      </c>
      <c r="BP160" s="348">
        <v>2.5999999999999988E-2</v>
      </c>
      <c r="BQ160" s="349">
        <f t="shared" ca="1" si="401"/>
        <v>0</v>
      </c>
      <c r="BS160" s="346">
        <f t="shared" ca="1" si="402"/>
        <v>0</v>
      </c>
      <c r="BT160" s="346">
        <f t="shared" ca="1" si="403"/>
        <v>0</v>
      </c>
      <c r="BU160" s="346">
        <f t="shared" ca="1" si="404"/>
        <v>0</v>
      </c>
      <c r="BV160" s="346">
        <f t="shared" ca="1" si="405"/>
        <v>0</v>
      </c>
      <c r="BW160" s="346">
        <f t="shared" ca="1" si="406"/>
        <v>0</v>
      </c>
      <c r="BX160" s="346">
        <f t="shared" ca="1" si="407"/>
        <v>0</v>
      </c>
      <c r="BZ160" s="346">
        <f t="shared" ca="1" si="408"/>
        <v>0</v>
      </c>
      <c r="CA160" s="346">
        <f t="shared" ca="1" si="409"/>
        <v>0</v>
      </c>
      <c r="CB160" s="346">
        <f t="shared" ca="1" si="410"/>
        <v>0</v>
      </c>
      <c r="CC160" s="346">
        <f t="shared" ca="1" si="411"/>
        <v>0</v>
      </c>
      <c r="CD160" s="346">
        <f t="shared" ca="1" si="412"/>
        <v>0</v>
      </c>
      <c r="CE160" s="346">
        <f t="shared" ca="1" si="413"/>
        <v>0</v>
      </c>
      <c r="CH160" s="445"/>
      <c r="CI160" s="350"/>
      <c r="CJ160" s="350"/>
      <c r="CK160" s="350"/>
      <c r="CL160" s="350"/>
      <c r="CM160" s="445"/>
      <c r="DG160" s="445"/>
      <c r="DH160" s="300"/>
      <c r="DI160" s="359" t="str">
        <f t="shared" ca="1" si="425"/>
        <v/>
      </c>
      <c r="DJ160" s="360" t="str">
        <f t="shared" ca="1" si="449"/>
        <v/>
      </c>
      <c r="DK160" s="360" t="str">
        <f t="shared" ca="1" si="426"/>
        <v/>
      </c>
      <c r="DL160" s="354" t="str">
        <f t="shared" ca="1" si="427"/>
        <v/>
      </c>
      <c r="DM160" s="354" t="str">
        <f t="shared" ca="1" si="428"/>
        <v/>
      </c>
      <c r="DN160" s="361" t="str">
        <f t="shared" ca="1" si="429"/>
        <v/>
      </c>
      <c r="DO160" s="362" t="str">
        <f t="shared" ca="1" si="430"/>
        <v/>
      </c>
      <c r="DP160" s="379" t="str">
        <f t="shared" ca="1" si="453"/>
        <v>Hercules-Ludovika</v>
      </c>
      <c r="DQ160" s="302"/>
      <c r="DR160" s="364"/>
      <c r="DS160" s="302"/>
      <c r="DU160" s="424"/>
      <c r="DV160" s="366" t="str">
        <f ca="1">IF(AND($AJ$44,DI153,DP153&lt;&gt;2),DI160,"")</f>
        <v/>
      </c>
      <c r="DW160" s="366">
        <f t="shared" ca="1" si="431"/>
        <v>-1</v>
      </c>
      <c r="DX160" s="366">
        <f t="shared" ca="1" si="432"/>
        <v>0</v>
      </c>
      <c r="DZ160" s="366">
        <f t="shared" ca="1" si="433"/>
        <v>0</v>
      </c>
      <c r="EA160" s="366">
        <f t="shared" ca="1" si="434"/>
        <v>0</v>
      </c>
      <c r="EC160" s="366">
        <f t="shared" ca="1" si="450"/>
        <v>0</v>
      </c>
      <c r="EE160" s="366">
        <f t="shared" ca="1" si="435"/>
        <v>-1000000</v>
      </c>
      <c r="EI160" s="366">
        <f t="shared" ca="1" si="436"/>
        <v>0</v>
      </c>
      <c r="EJ160" s="366">
        <f ca="1">IF(EI160=0,0,RANK(EI160,EI154:EI160,1))</f>
        <v>0</v>
      </c>
      <c r="EK160" s="366">
        <f t="shared" ca="1" si="437"/>
        <v>0</v>
      </c>
      <c r="EL160" s="365"/>
      <c r="EM160" s="367">
        <f ca="1">IF($AJ$54,COUNTIF(EE162:EE168,EN159)*IF(OR(EN160=0,EN160=EN159),0,1),COUNTIF(DW154:DW160,EO160)*IF(OR(EO160=EO159,EO160&lt;0),0,1))+EP160/1000</f>
        <v>7.0000000000000001E-3</v>
      </c>
      <c r="EN160" s="368">
        <v>0</v>
      </c>
      <c r="EO160" s="369">
        <f ca="1">LARGE(DW154:DW160,EP160)</f>
        <v>-1</v>
      </c>
      <c r="EP160" s="369">
        <v>7</v>
      </c>
      <c r="EQ160" s="365"/>
      <c r="ER160" s="365"/>
      <c r="ES160" s="371" t="str">
        <f ca="1">IF(DW160=ES153,DV160,IF(EE168=ES153,DV168,""))</f>
        <v/>
      </c>
      <c r="ET160" s="369" t="str">
        <f t="shared" ca="1" si="438"/>
        <v/>
      </c>
      <c r="EU160" s="391"/>
      <c r="EV160" s="371" t="str">
        <f ca="1">IF(DW160=EV153,DV160,IF(EE168=EV153,DV168,""))</f>
        <v/>
      </c>
      <c r="EW160" s="369" t="str">
        <f t="shared" ca="1" si="439"/>
        <v/>
      </c>
      <c r="EX160" s="391"/>
      <c r="EY160" s="371" t="str">
        <f ca="1">IF(DW160=EY153,DV160,IF(EE168=EY153,DV168,""))</f>
        <v/>
      </c>
      <c r="EZ160" s="369" t="str">
        <f t="shared" ca="1" si="440"/>
        <v/>
      </c>
      <c r="FA160" s="391"/>
      <c r="FB160" s="424"/>
      <c r="FD160" s="425"/>
      <c r="FE160" s="333"/>
      <c r="FO160" s="300"/>
      <c r="FP160" s="359" t="str">
        <f t="shared" ca="1" si="451"/>
        <v/>
      </c>
      <c r="FQ160" s="360" t="str">
        <f t="shared" ca="1" si="452"/>
        <v/>
      </c>
      <c r="FR160" s="360" t="str">
        <f t="shared" ca="1" si="441"/>
        <v/>
      </c>
      <c r="FS160" s="360" t="str">
        <f t="shared" ca="1" si="442"/>
        <v/>
      </c>
      <c r="FT160" s="360" t="str">
        <f t="shared" ca="1" si="443"/>
        <v/>
      </c>
      <c r="FU160" s="360" t="str">
        <f t="shared" ca="1" si="444"/>
        <v/>
      </c>
      <c r="FV160" s="360" t="str">
        <f t="shared" ca="1" si="445"/>
        <v/>
      </c>
      <c r="FW160" s="360" t="str">
        <f t="shared" ca="1" si="446"/>
        <v/>
      </c>
      <c r="FX160" s="360" t="str">
        <f t="shared" ca="1" si="447"/>
        <v/>
      </c>
      <c r="FY160" s="360" t="str">
        <f t="shared" ca="1" si="448"/>
        <v/>
      </c>
      <c r="FZ160" s="379" t="str">
        <f t="shared" ca="1" si="454"/>
        <v/>
      </c>
      <c r="GA160" s="302"/>
      <c r="GB160" s="364"/>
      <c r="GC160" s="302"/>
    </row>
    <row r="161" spans="40:185" x14ac:dyDescent="0.25">
      <c r="AN161" s="336">
        <f t="shared" si="414"/>
        <v>0</v>
      </c>
      <c r="AO161" s="443" t="str">
        <f t="shared" ca="1" si="415"/>
        <v>►</v>
      </c>
      <c r="AP161" s="444">
        <f t="shared" ca="1" si="416"/>
        <v>9</v>
      </c>
      <c r="AQ161" s="444">
        <f t="shared" ca="1" si="417"/>
        <v>9</v>
      </c>
      <c r="AY161" s="348">
        <f t="shared" ca="1" si="418"/>
        <v>-999999999999.97498</v>
      </c>
      <c r="BA161" s="348">
        <f t="shared" ca="1" si="419"/>
        <v>-999999999.97500002</v>
      </c>
      <c r="BB161" s="349">
        <v>16</v>
      </c>
      <c r="BC161" s="440">
        <f t="shared" si="420"/>
        <v>0</v>
      </c>
      <c r="BD161" s="346">
        <f t="shared" ca="1" si="421"/>
        <v>0</v>
      </c>
      <c r="BE161" s="346">
        <f t="shared" ca="1" si="393"/>
        <v>0</v>
      </c>
      <c r="BF161" s="346">
        <f t="shared" ca="1" si="394"/>
        <v>0</v>
      </c>
      <c r="BG161" s="346">
        <f t="shared" ca="1" si="395"/>
        <v>0</v>
      </c>
      <c r="BH161" s="346">
        <f t="shared" ca="1" si="396"/>
        <v>0</v>
      </c>
      <c r="BI161" s="346">
        <f t="shared" ca="1" si="397"/>
        <v>0</v>
      </c>
      <c r="BJ161" s="346">
        <f t="shared" ca="1" si="422"/>
        <v>0</v>
      </c>
      <c r="BK161" s="347">
        <f t="shared" ca="1" si="423"/>
        <v>0</v>
      </c>
      <c r="BL161" s="346">
        <f t="shared" si="398"/>
        <v>0</v>
      </c>
      <c r="BM161" s="346">
        <f t="shared" ca="1" si="399"/>
        <v>0</v>
      </c>
      <c r="BN161" s="346">
        <f t="shared" ca="1" si="424"/>
        <v>0</v>
      </c>
      <c r="BO161" s="347">
        <f t="shared" ca="1" si="400"/>
        <v>0</v>
      </c>
      <c r="BP161" s="348">
        <v>2.5000000000000001E-2</v>
      </c>
      <c r="BQ161" s="349">
        <f t="shared" ca="1" si="401"/>
        <v>0</v>
      </c>
      <c r="BS161" s="346">
        <f t="shared" ca="1" si="402"/>
        <v>0</v>
      </c>
      <c r="BT161" s="346">
        <f t="shared" ca="1" si="403"/>
        <v>0</v>
      </c>
      <c r="BU161" s="346">
        <f t="shared" ca="1" si="404"/>
        <v>0</v>
      </c>
      <c r="BV161" s="346">
        <f t="shared" ca="1" si="405"/>
        <v>0</v>
      </c>
      <c r="BW161" s="346">
        <f t="shared" ca="1" si="406"/>
        <v>0</v>
      </c>
      <c r="BX161" s="346">
        <f t="shared" ca="1" si="407"/>
        <v>0</v>
      </c>
      <c r="BZ161" s="346">
        <f t="shared" ca="1" si="408"/>
        <v>0</v>
      </c>
      <c r="CA161" s="346">
        <f t="shared" ca="1" si="409"/>
        <v>0</v>
      </c>
      <c r="CB161" s="346">
        <f t="shared" ca="1" si="410"/>
        <v>0</v>
      </c>
      <c r="CC161" s="346">
        <f t="shared" ca="1" si="411"/>
        <v>0</v>
      </c>
      <c r="CD161" s="346">
        <f t="shared" ca="1" si="412"/>
        <v>0</v>
      </c>
      <c r="CE161" s="346">
        <f t="shared" ca="1" si="413"/>
        <v>0</v>
      </c>
      <c r="CH161" s="445"/>
      <c r="CI161" s="350"/>
      <c r="CJ161" s="350"/>
      <c r="CK161" s="350"/>
      <c r="CL161" s="350"/>
      <c r="CM161" s="445"/>
      <c r="DG161" s="445"/>
      <c r="DH161" s="300"/>
      <c r="DI161" s="301"/>
      <c r="DJ161" s="324" t="s">
        <v>157</v>
      </c>
      <c r="DK161" s="324" t="s">
        <v>158</v>
      </c>
      <c r="DL161" s="325" t="s">
        <v>159</v>
      </c>
      <c r="DM161" s="325"/>
      <c r="DN161" s="326" t="s">
        <v>160</v>
      </c>
      <c r="DO161" s="325" t="s">
        <v>135</v>
      </c>
      <c r="DP161" s="302"/>
      <c r="DQ161" s="302"/>
      <c r="DR161" s="364"/>
      <c r="DS161" s="302"/>
      <c r="DU161" s="424"/>
      <c r="DV161" s="329" t="s">
        <v>229</v>
      </c>
      <c r="DW161" s="365"/>
      <c r="DX161" s="329" t="s">
        <v>152</v>
      </c>
      <c r="DY161" s="329" t="s">
        <v>153</v>
      </c>
      <c r="DZ161" s="329" t="s">
        <v>154</v>
      </c>
      <c r="EA161" s="329" t="s">
        <v>155</v>
      </c>
      <c r="EB161" s="329" t="s">
        <v>125</v>
      </c>
      <c r="EC161" s="329" t="s">
        <v>226</v>
      </c>
      <c r="ED161" s="329" t="s">
        <v>126</v>
      </c>
      <c r="EE161" s="329" t="s">
        <v>227</v>
      </c>
      <c r="EF161" s="330" t="s">
        <v>154</v>
      </c>
      <c r="EG161" s="330" t="s">
        <v>155</v>
      </c>
      <c r="EH161" s="330" t="s">
        <v>125</v>
      </c>
      <c r="EI161" s="329" t="s">
        <v>228</v>
      </c>
      <c r="EJ161" s="329" t="s">
        <v>156</v>
      </c>
      <c r="EK161" s="329" t="s">
        <v>208</v>
      </c>
      <c r="EL161" s="365"/>
      <c r="EM161" s="365"/>
      <c r="EN161" s="365"/>
      <c r="EO161" s="365"/>
      <c r="EP161" s="365"/>
      <c r="EQ161" s="365"/>
      <c r="ER161" s="365"/>
      <c r="ES161" s="365"/>
      <c r="ET161" s="365"/>
      <c r="EU161" s="365"/>
      <c r="EV161" s="365"/>
      <c r="EW161" s="365"/>
      <c r="EX161" s="365"/>
      <c r="EY161" s="365"/>
      <c r="EZ161" s="365"/>
      <c r="FA161" s="365"/>
      <c r="FB161" s="424"/>
      <c r="FD161" s="425"/>
      <c r="FE161" s="333"/>
      <c r="FO161" s="300"/>
      <c r="FP161" s="359" t="str">
        <f t="shared" ca="1" si="451"/>
        <v/>
      </c>
      <c r="FQ161" s="360" t="str">
        <f t="shared" ca="1" si="452"/>
        <v/>
      </c>
      <c r="FR161" s="360" t="str">
        <f t="shared" ca="1" si="441"/>
        <v/>
      </c>
      <c r="FS161" s="360" t="str">
        <f t="shared" ca="1" si="442"/>
        <v/>
      </c>
      <c r="FT161" s="360" t="str">
        <f t="shared" ca="1" si="443"/>
        <v/>
      </c>
      <c r="FU161" s="360" t="str">
        <f t="shared" ca="1" si="444"/>
        <v/>
      </c>
      <c r="FV161" s="360" t="str">
        <f t="shared" ca="1" si="445"/>
        <v/>
      </c>
      <c r="FW161" s="360" t="str">
        <f t="shared" ca="1" si="446"/>
        <v/>
      </c>
      <c r="FX161" s="360" t="str">
        <f t="shared" ca="1" si="447"/>
        <v/>
      </c>
      <c r="FY161" s="360" t="str">
        <f t="shared" ca="1" si="448"/>
        <v/>
      </c>
      <c r="FZ161" s="379" t="str">
        <f t="shared" ca="1" si="454"/>
        <v/>
      </c>
      <c r="GA161" s="302"/>
      <c r="GB161" s="364"/>
      <c r="GC161" s="302"/>
    </row>
    <row r="162" spans="40:185" x14ac:dyDescent="0.25">
      <c r="AN162" s="336">
        <f t="shared" si="414"/>
        <v>0</v>
      </c>
      <c r="AO162" s="443" t="str">
        <f t="shared" ca="1" si="415"/>
        <v>►</v>
      </c>
      <c r="AP162" s="444">
        <f t="shared" ca="1" si="416"/>
        <v>8</v>
      </c>
      <c r="AQ162" s="444">
        <f t="shared" ca="1" si="417"/>
        <v>8</v>
      </c>
      <c r="AY162" s="348">
        <f t="shared" ca="1" si="418"/>
        <v>-999999999999.97595</v>
      </c>
      <c r="BA162" s="348">
        <f t="shared" ca="1" si="419"/>
        <v>-999999999.97599995</v>
      </c>
      <c r="BB162" s="349">
        <v>17</v>
      </c>
      <c r="BC162" s="440">
        <f t="shared" si="420"/>
        <v>0</v>
      </c>
      <c r="BD162" s="346">
        <f t="shared" ca="1" si="421"/>
        <v>0</v>
      </c>
      <c r="BE162" s="346">
        <f t="shared" ca="1" si="393"/>
        <v>0</v>
      </c>
      <c r="BF162" s="346">
        <f t="shared" ca="1" si="394"/>
        <v>0</v>
      </c>
      <c r="BG162" s="346">
        <f t="shared" ca="1" si="395"/>
        <v>0</v>
      </c>
      <c r="BH162" s="346">
        <f t="shared" ca="1" si="396"/>
        <v>0</v>
      </c>
      <c r="BI162" s="346">
        <f t="shared" ca="1" si="397"/>
        <v>0</v>
      </c>
      <c r="BJ162" s="346">
        <f t="shared" ca="1" si="422"/>
        <v>0</v>
      </c>
      <c r="BK162" s="347">
        <f t="shared" ca="1" si="423"/>
        <v>0</v>
      </c>
      <c r="BL162" s="346">
        <f t="shared" si="398"/>
        <v>0</v>
      </c>
      <c r="BM162" s="346">
        <f t="shared" ca="1" si="399"/>
        <v>0</v>
      </c>
      <c r="BN162" s="346">
        <f t="shared" ca="1" si="424"/>
        <v>0</v>
      </c>
      <c r="BO162" s="347">
        <f t="shared" ca="1" si="400"/>
        <v>0</v>
      </c>
      <c r="BP162" s="348">
        <v>2.3999999999999987E-2</v>
      </c>
      <c r="BQ162" s="349">
        <f t="shared" ca="1" si="401"/>
        <v>0</v>
      </c>
      <c r="BS162" s="346">
        <f t="shared" ca="1" si="402"/>
        <v>0</v>
      </c>
      <c r="BT162" s="346">
        <f t="shared" ca="1" si="403"/>
        <v>0</v>
      </c>
      <c r="BU162" s="346">
        <f t="shared" ca="1" si="404"/>
        <v>0</v>
      </c>
      <c r="BV162" s="346">
        <f t="shared" ca="1" si="405"/>
        <v>0</v>
      </c>
      <c r="BW162" s="346">
        <f t="shared" ca="1" si="406"/>
        <v>0</v>
      </c>
      <c r="BX162" s="346">
        <f t="shared" ca="1" si="407"/>
        <v>0</v>
      </c>
      <c r="BZ162" s="346">
        <f t="shared" ca="1" si="408"/>
        <v>0</v>
      </c>
      <c r="CA162" s="346">
        <f t="shared" ca="1" si="409"/>
        <v>0</v>
      </c>
      <c r="CB162" s="346">
        <f t="shared" ca="1" si="410"/>
        <v>0</v>
      </c>
      <c r="CC162" s="346">
        <f t="shared" ca="1" si="411"/>
        <v>0</v>
      </c>
      <c r="CD162" s="346">
        <f t="shared" ca="1" si="412"/>
        <v>0</v>
      </c>
      <c r="CE162" s="346">
        <f t="shared" ca="1" si="413"/>
        <v>0</v>
      </c>
      <c r="CH162" s="445"/>
      <c r="CI162" s="350"/>
      <c r="CJ162" s="350"/>
      <c r="CK162" s="350"/>
      <c r="CL162" s="350"/>
      <c r="CM162" s="445"/>
      <c r="DG162" s="445"/>
      <c r="DH162" s="300"/>
      <c r="DI162" s="395" t="str">
        <f ca="1">DI154</f>
        <v>Hercules-Ludovika</v>
      </c>
      <c r="DJ162" s="360" t="str">
        <f t="shared" ref="DJ162:DJ168" ca="1" si="455">IF(OR(DI162="",DP162="",DI162=DP162),"",CONCATENATE(DI162,DP162))</f>
        <v>Hercules-LudovikaÉlelmesek</v>
      </c>
      <c r="DK162" s="360" t="str">
        <f t="shared" ref="DK162:DK168" ca="1" si="456">IF($DJ162="","",CONCATENATE(VLOOKUP($DJ162,games.a,9,FALSE),VLOOKUP($DJ162,games.a,12,FALSE)))</f>
        <v>Élelmesek</v>
      </c>
      <c r="DL162" s="354" t="str">
        <f t="shared" ref="DL162:DL168" ca="1" si="457">IF($DJ162="","",VLOOKUP($DJ162,games.a,10,FALSE))</f>
        <v/>
      </c>
      <c r="DM162" s="354" t="str">
        <f t="shared" ref="DM162:DM168" ca="1" si="458">IF($DJ162="","",VLOOKUP($DJ162,games.a,13,FALSE))</f>
        <v/>
      </c>
      <c r="DN162" s="361">
        <f t="shared" ref="DN162:DN168" ca="1" si="459">IF($DJ162="","",VLOOKUP($DJ162,games.a,6,FALSE))</f>
        <v>1</v>
      </c>
      <c r="DO162" s="362">
        <f t="shared" ref="DO162:DO168" ca="1" si="460">IF($DJ162="","",VLOOKUP($DJ162,games.a,7,FALSE))</f>
        <v>3</v>
      </c>
      <c r="DP162" s="363" t="str">
        <f ca="1">DI155</f>
        <v>Élelmesek</v>
      </c>
      <c r="DQ162" s="302"/>
      <c r="DR162" s="364"/>
      <c r="DS162" s="302"/>
      <c r="DU162" s="424"/>
      <c r="DV162" s="366" t="str">
        <f ca="1">IF(OR(NOT($AJ$44),AND(DI153,DV154="")),DI154,"")</f>
        <v>Hercules-Ludovika</v>
      </c>
      <c r="DW162" s="365"/>
      <c r="DX162" s="366">
        <f t="shared" ref="DX162:DX168" ca="1" si="461">IF($DV162="",0,COUNTIF(xxgy.aa,$DV162))</f>
        <v>0</v>
      </c>
      <c r="DY162" s="366">
        <f t="shared" ref="DY162:DY168" ca="1" si="462">IF($DV162="",0,COUNTIF(xxd.aa,$DV162))</f>
        <v>1</v>
      </c>
      <c r="DZ162" s="366">
        <f t="shared" ref="DZ162:DZ168" ca="1" si="463">IF($DV162="",0,1)*(SUMIF(xxo.aa,$DV162,xxl.aa)+SUMIF(xxi.aa,$DV162,xxk.aa))</f>
        <v>2</v>
      </c>
      <c r="EA162" s="366">
        <f t="shared" ref="EA162:EA168" ca="1" si="464">IF($DV162="",0,1)*(SUMIF(xxo.aa,$DV162,xxk.aa)+SUMIF(xxi.aa,$DV162,xxl.aa))</f>
        <v>4</v>
      </c>
      <c r="EB162" s="366">
        <f t="shared" ref="EB162:EB168" ca="1" si="465">DZ162-EA162</f>
        <v>-2</v>
      </c>
      <c r="EC162" s="366">
        <f t="shared" ref="EC162:EC168" ca="1" si="466">IF(EA162=0,0,DZ162/EA162)</f>
        <v>0.5</v>
      </c>
      <c r="ED162" s="366">
        <f t="shared" ref="ED162:ED168" ca="1" si="467">$AJ$48*DX162+IF($AJ$44,0,1)*DY162</f>
        <v>1</v>
      </c>
      <c r="EE162" s="396">
        <f ca="1">ED162*1000000+IF($AJ$44,EC162,EB162)*1000*0</f>
        <v>1000000</v>
      </c>
      <c r="EF162" s="366">
        <f t="shared" ref="EF162:EF168" ca="1" si="468">IF($DV162="",0,1)*(SUMIF(yyo.aa,$DV162,yyl.aa)+SUMIF(yyi.aa,$DV162,yyk.aa))</f>
        <v>0</v>
      </c>
      <c r="EG162" s="366">
        <f t="shared" ref="EG162:EG168" ca="1" si="469">IF($DV162="",0,1)*(SUMIF(yyo.aa,$DV162,yyk.aa)+SUMIF(yyi.aa,$DV162,yyl.aa))</f>
        <v>0</v>
      </c>
      <c r="EH162" s="366">
        <f t="shared" ref="EH162:EH168" ca="1" si="470">EF162-EG162</f>
        <v>0</v>
      </c>
      <c r="EI162" s="366">
        <f t="shared" ref="EI162:EI168" ca="1" si="471">IF(OR(ISERR(EE162),ISNA(EE162)),0,EE162)+IF($AJ$54,EH162,0)</f>
        <v>1000000</v>
      </c>
      <c r="EJ162" s="366">
        <f ca="1">IF(EI162=0,0,RANK(EI162,EI162:EI168,1))</f>
        <v>6</v>
      </c>
      <c r="EK162" s="366">
        <f t="shared" ca="1" si="437"/>
        <v>240000</v>
      </c>
      <c r="EL162" s="365"/>
      <c r="EM162" s="365"/>
      <c r="EN162" s="365"/>
      <c r="EO162" s="365"/>
      <c r="EP162" s="365"/>
      <c r="EQ162" s="365"/>
      <c r="ER162" s="365"/>
      <c r="ES162" s="365"/>
      <c r="ET162" s="365"/>
      <c r="EU162" s="365"/>
      <c r="EV162" s="365"/>
      <c r="EW162" s="365"/>
      <c r="EX162" s="365"/>
      <c r="EY162" s="365"/>
      <c r="EZ162" s="365"/>
      <c r="FA162" s="365"/>
      <c r="FB162" s="424"/>
      <c r="FD162" s="425"/>
      <c r="FE162" s="333"/>
      <c r="FO162" s="300"/>
      <c r="FP162" s="359" t="str">
        <f t="shared" ca="1" si="451"/>
        <v/>
      </c>
      <c r="FQ162" s="360" t="str">
        <f t="shared" ca="1" si="452"/>
        <v/>
      </c>
      <c r="FR162" s="360" t="str">
        <f t="shared" ca="1" si="441"/>
        <v/>
      </c>
      <c r="FS162" s="360" t="str">
        <f t="shared" ca="1" si="442"/>
        <v/>
      </c>
      <c r="FT162" s="360" t="str">
        <f t="shared" ca="1" si="443"/>
        <v/>
      </c>
      <c r="FU162" s="360" t="str">
        <f t="shared" ca="1" si="444"/>
        <v/>
      </c>
      <c r="FV162" s="360" t="str">
        <f t="shared" ca="1" si="445"/>
        <v/>
      </c>
      <c r="FW162" s="360" t="str">
        <f t="shared" ca="1" si="446"/>
        <v/>
      </c>
      <c r="FX162" s="360" t="str">
        <f t="shared" ca="1" si="447"/>
        <v/>
      </c>
      <c r="FY162" s="360" t="str">
        <f t="shared" ca="1" si="448"/>
        <v/>
      </c>
      <c r="FZ162" s="379" t="str">
        <f t="shared" ca="1" si="454"/>
        <v/>
      </c>
      <c r="GA162" s="302"/>
      <c r="GB162" s="364"/>
      <c r="GC162" s="302"/>
    </row>
    <row r="163" spans="40:185" x14ac:dyDescent="0.25">
      <c r="AN163" s="336">
        <f t="shared" si="414"/>
        <v>0</v>
      </c>
      <c r="AO163" s="443" t="str">
        <f t="shared" ca="1" si="415"/>
        <v>►</v>
      </c>
      <c r="AP163" s="444">
        <f t="shared" ca="1" si="416"/>
        <v>7</v>
      </c>
      <c r="AQ163" s="444">
        <f t="shared" ca="1" si="417"/>
        <v>7</v>
      </c>
      <c r="AY163" s="348">
        <f t="shared" ca="1" si="418"/>
        <v>-999999999999.97705</v>
      </c>
      <c r="BA163" s="348">
        <f t="shared" ca="1" si="419"/>
        <v>-999999999.977</v>
      </c>
      <c r="BB163" s="349">
        <v>18</v>
      </c>
      <c r="BC163" s="440">
        <f t="shared" si="420"/>
        <v>0</v>
      </c>
      <c r="BD163" s="346">
        <f t="shared" ca="1" si="421"/>
        <v>0</v>
      </c>
      <c r="BE163" s="346">
        <f t="shared" ca="1" si="393"/>
        <v>0</v>
      </c>
      <c r="BF163" s="346">
        <f t="shared" ca="1" si="394"/>
        <v>0</v>
      </c>
      <c r="BG163" s="346">
        <f t="shared" ca="1" si="395"/>
        <v>0</v>
      </c>
      <c r="BH163" s="346">
        <f t="shared" ca="1" si="396"/>
        <v>0</v>
      </c>
      <c r="BI163" s="346">
        <f t="shared" ca="1" si="397"/>
        <v>0</v>
      </c>
      <c r="BJ163" s="346">
        <f t="shared" ca="1" si="422"/>
        <v>0</v>
      </c>
      <c r="BK163" s="347">
        <f t="shared" ca="1" si="423"/>
        <v>0</v>
      </c>
      <c r="BL163" s="346">
        <f t="shared" si="398"/>
        <v>0</v>
      </c>
      <c r="BM163" s="346">
        <f t="shared" ca="1" si="399"/>
        <v>0</v>
      </c>
      <c r="BN163" s="346">
        <f t="shared" ca="1" si="424"/>
        <v>0</v>
      </c>
      <c r="BO163" s="347">
        <f t="shared" ca="1" si="400"/>
        <v>0</v>
      </c>
      <c r="BP163" s="348">
        <v>2.2999999999999986E-2</v>
      </c>
      <c r="BQ163" s="349">
        <f t="shared" ca="1" si="401"/>
        <v>0</v>
      </c>
      <c r="BS163" s="346">
        <f t="shared" ca="1" si="402"/>
        <v>0</v>
      </c>
      <c r="BT163" s="346">
        <f t="shared" ca="1" si="403"/>
        <v>0</v>
      </c>
      <c r="BU163" s="346">
        <f t="shared" ca="1" si="404"/>
        <v>0</v>
      </c>
      <c r="BV163" s="346">
        <f t="shared" ca="1" si="405"/>
        <v>0</v>
      </c>
      <c r="BW163" s="346">
        <f t="shared" ca="1" si="406"/>
        <v>0</v>
      </c>
      <c r="BX163" s="346">
        <f t="shared" ca="1" si="407"/>
        <v>0</v>
      </c>
      <c r="BZ163" s="346">
        <f t="shared" ca="1" si="408"/>
        <v>0</v>
      </c>
      <c r="CA163" s="346">
        <f t="shared" ca="1" si="409"/>
        <v>0</v>
      </c>
      <c r="CB163" s="346">
        <f t="shared" ca="1" si="410"/>
        <v>0</v>
      </c>
      <c r="CC163" s="346">
        <f t="shared" ca="1" si="411"/>
        <v>0</v>
      </c>
      <c r="CD163" s="346">
        <f t="shared" ca="1" si="412"/>
        <v>0</v>
      </c>
      <c r="CE163" s="346">
        <f t="shared" ca="1" si="413"/>
        <v>0</v>
      </c>
      <c r="CH163" s="445"/>
      <c r="CI163" s="350"/>
      <c r="CJ163" s="350"/>
      <c r="CK163" s="350"/>
      <c r="CL163" s="350"/>
      <c r="CM163" s="445"/>
      <c r="DG163" s="445"/>
      <c r="DH163" s="300"/>
      <c r="DI163" s="395" t="str">
        <f t="shared" ref="DI163:DI168" ca="1" si="472">DI155</f>
        <v>Élelmesek</v>
      </c>
      <c r="DJ163" s="360" t="str">
        <f t="shared" ca="1" si="455"/>
        <v/>
      </c>
      <c r="DK163" s="360" t="str">
        <f t="shared" ca="1" si="456"/>
        <v/>
      </c>
      <c r="DL163" s="354" t="str">
        <f t="shared" ca="1" si="457"/>
        <v/>
      </c>
      <c r="DM163" s="354" t="str">
        <f t="shared" ca="1" si="458"/>
        <v/>
      </c>
      <c r="DN163" s="361" t="str">
        <f t="shared" ca="1" si="459"/>
        <v/>
      </c>
      <c r="DO163" s="362" t="str">
        <f t="shared" ca="1" si="460"/>
        <v/>
      </c>
      <c r="DP163" s="379" t="str">
        <f ca="1">DP162</f>
        <v>Élelmesek</v>
      </c>
      <c r="DQ163" s="302"/>
      <c r="DR163" s="364"/>
      <c r="DS163" s="302"/>
      <c r="DU163" s="424"/>
      <c r="DV163" s="366" t="str">
        <f ca="1">IF(OR(NOT($AJ$44),AND(DI41,DV155="")),DI155,"")</f>
        <v>Élelmesek</v>
      </c>
      <c r="DW163" s="365"/>
      <c r="DX163" s="366">
        <f t="shared" ca="1" si="461"/>
        <v>1</v>
      </c>
      <c r="DY163" s="366">
        <f t="shared" ca="1" si="462"/>
        <v>1</v>
      </c>
      <c r="DZ163" s="366">
        <f t="shared" ca="1" si="463"/>
        <v>4</v>
      </c>
      <c r="EA163" s="366">
        <f t="shared" ca="1" si="464"/>
        <v>2</v>
      </c>
      <c r="EB163" s="366">
        <f t="shared" ca="1" si="465"/>
        <v>2</v>
      </c>
      <c r="EC163" s="366">
        <f t="shared" ca="1" si="466"/>
        <v>2</v>
      </c>
      <c r="ED163" s="366">
        <f t="shared" ca="1" si="467"/>
        <v>4</v>
      </c>
      <c r="EE163" s="396">
        <f t="shared" ref="EE163:EE168" ca="1" si="473">ED163*1000000+IF($AJ$44,EC163,EB163)*1000*0</f>
        <v>4000000</v>
      </c>
      <c r="EF163" s="366">
        <f t="shared" ca="1" si="468"/>
        <v>0</v>
      </c>
      <c r="EG163" s="366">
        <f t="shared" ca="1" si="469"/>
        <v>0</v>
      </c>
      <c r="EH163" s="366">
        <f t="shared" ca="1" si="470"/>
        <v>0</v>
      </c>
      <c r="EI163" s="366">
        <f t="shared" ca="1" si="471"/>
        <v>4000000</v>
      </c>
      <c r="EJ163" s="366">
        <f ca="1">IF(EI163=0,0,RANK(EI163,EI162:EI168,1))</f>
        <v>7</v>
      </c>
      <c r="EK163" s="366">
        <f t="shared" ca="1" si="437"/>
        <v>280000</v>
      </c>
      <c r="EL163" s="365"/>
      <c r="EM163" s="365"/>
      <c r="EN163" s="365"/>
      <c r="EO163" s="365"/>
      <c r="EP163" s="365"/>
      <c r="EQ163" s="365"/>
      <c r="ER163" s="365"/>
      <c r="ES163" s="365"/>
      <c r="ET163" s="365"/>
      <c r="EU163" s="365"/>
      <c r="EV163" s="365"/>
      <c r="EW163" s="365"/>
      <c r="EX163" s="365"/>
      <c r="EY163" s="365"/>
      <c r="EZ163" s="365"/>
      <c r="FA163" s="365"/>
      <c r="FB163" s="424"/>
      <c r="FD163" s="425"/>
      <c r="FE163" s="333"/>
      <c r="FO163" s="300"/>
      <c r="FP163" s="359" t="str">
        <f t="shared" ca="1" si="451"/>
        <v/>
      </c>
      <c r="FQ163" s="360" t="str">
        <f t="shared" ca="1" si="452"/>
        <v/>
      </c>
      <c r="FR163" s="360" t="str">
        <f t="shared" ca="1" si="441"/>
        <v/>
      </c>
      <c r="FS163" s="360" t="str">
        <f t="shared" ca="1" si="442"/>
        <v/>
      </c>
      <c r="FT163" s="360" t="str">
        <f t="shared" ca="1" si="443"/>
        <v/>
      </c>
      <c r="FU163" s="360" t="str">
        <f t="shared" ca="1" si="444"/>
        <v/>
      </c>
      <c r="FV163" s="360" t="str">
        <f t="shared" ca="1" si="445"/>
        <v/>
      </c>
      <c r="FW163" s="360" t="str">
        <f t="shared" ca="1" si="446"/>
        <v/>
      </c>
      <c r="FX163" s="360" t="str">
        <f t="shared" ca="1" si="447"/>
        <v/>
      </c>
      <c r="FY163" s="360" t="str">
        <f t="shared" ca="1" si="448"/>
        <v/>
      </c>
      <c r="FZ163" s="379" t="str">
        <f t="shared" ca="1" si="454"/>
        <v/>
      </c>
      <c r="GA163" s="302"/>
      <c r="GB163" s="364"/>
      <c r="GC163" s="302"/>
    </row>
    <row r="164" spans="40:185" x14ac:dyDescent="0.25">
      <c r="AN164" s="336">
        <f t="shared" si="414"/>
        <v>0</v>
      </c>
      <c r="AO164" s="443" t="str">
        <f t="shared" ca="1" si="415"/>
        <v>►</v>
      </c>
      <c r="AP164" s="444">
        <f t="shared" ca="1" si="416"/>
        <v>6</v>
      </c>
      <c r="AQ164" s="444">
        <f t="shared" ca="1" si="417"/>
        <v>6</v>
      </c>
      <c r="AY164" s="348">
        <f t="shared" ca="1" si="418"/>
        <v>-999999999999.97803</v>
      </c>
      <c r="BA164" s="348">
        <f t="shared" ca="1" si="419"/>
        <v>-999999999.97800004</v>
      </c>
      <c r="BB164" s="349">
        <v>19</v>
      </c>
      <c r="BC164" s="440">
        <f t="shared" si="420"/>
        <v>0</v>
      </c>
      <c r="BD164" s="346">
        <f t="shared" ca="1" si="421"/>
        <v>0</v>
      </c>
      <c r="BE164" s="346">
        <f t="shared" ca="1" si="393"/>
        <v>0</v>
      </c>
      <c r="BF164" s="346">
        <f t="shared" ca="1" si="394"/>
        <v>0</v>
      </c>
      <c r="BG164" s="346">
        <f t="shared" ca="1" si="395"/>
        <v>0</v>
      </c>
      <c r="BH164" s="346">
        <f t="shared" ca="1" si="396"/>
        <v>0</v>
      </c>
      <c r="BI164" s="346">
        <f t="shared" ca="1" si="397"/>
        <v>0</v>
      </c>
      <c r="BJ164" s="346">
        <f t="shared" ca="1" si="422"/>
        <v>0</v>
      </c>
      <c r="BK164" s="347">
        <f t="shared" ca="1" si="423"/>
        <v>0</v>
      </c>
      <c r="BL164" s="346">
        <f t="shared" si="398"/>
        <v>0</v>
      </c>
      <c r="BM164" s="346">
        <f t="shared" ca="1" si="399"/>
        <v>0</v>
      </c>
      <c r="BN164" s="346">
        <f t="shared" ca="1" si="424"/>
        <v>0</v>
      </c>
      <c r="BO164" s="347">
        <f t="shared" ca="1" si="400"/>
        <v>0</v>
      </c>
      <c r="BP164" s="348">
        <v>2.1999999999999985E-2</v>
      </c>
      <c r="BQ164" s="349">
        <f t="shared" ca="1" si="401"/>
        <v>0</v>
      </c>
      <c r="BS164" s="346">
        <f t="shared" ca="1" si="402"/>
        <v>0</v>
      </c>
      <c r="BT164" s="346">
        <f t="shared" ca="1" si="403"/>
        <v>0</v>
      </c>
      <c r="BU164" s="346">
        <f t="shared" ca="1" si="404"/>
        <v>0</v>
      </c>
      <c r="BV164" s="346">
        <f t="shared" ca="1" si="405"/>
        <v>0</v>
      </c>
      <c r="BW164" s="346">
        <f t="shared" ca="1" si="406"/>
        <v>0</v>
      </c>
      <c r="BX164" s="346">
        <f t="shared" ca="1" si="407"/>
        <v>0</v>
      </c>
      <c r="BZ164" s="346">
        <f t="shared" ca="1" si="408"/>
        <v>0</v>
      </c>
      <c r="CA164" s="346">
        <f t="shared" ca="1" si="409"/>
        <v>0</v>
      </c>
      <c r="CB164" s="346">
        <f t="shared" ca="1" si="410"/>
        <v>0</v>
      </c>
      <c r="CC164" s="346">
        <f t="shared" ca="1" si="411"/>
        <v>0</v>
      </c>
      <c r="CD164" s="346">
        <f t="shared" ca="1" si="412"/>
        <v>0</v>
      </c>
      <c r="CE164" s="346">
        <f t="shared" ca="1" si="413"/>
        <v>0</v>
      </c>
      <c r="CH164" s="445"/>
      <c r="CI164" s="350"/>
      <c r="CJ164" s="350"/>
      <c r="CK164" s="350"/>
      <c r="CL164" s="350"/>
      <c r="CM164" s="445"/>
      <c r="DG164" s="445"/>
      <c r="DH164" s="300"/>
      <c r="DI164" s="395" t="str">
        <f t="shared" ca="1" si="472"/>
        <v/>
      </c>
      <c r="DJ164" s="360" t="str">
        <f t="shared" ca="1" si="455"/>
        <v/>
      </c>
      <c r="DK164" s="360" t="str">
        <f t="shared" ca="1" si="456"/>
        <v/>
      </c>
      <c r="DL164" s="354" t="str">
        <f t="shared" ca="1" si="457"/>
        <v/>
      </c>
      <c r="DM164" s="354" t="str">
        <f t="shared" ca="1" si="458"/>
        <v/>
      </c>
      <c r="DN164" s="361" t="str">
        <f t="shared" ca="1" si="459"/>
        <v/>
      </c>
      <c r="DO164" s="362" t="str">
        <f t="shared" ca="1" si="460"/>
        <v/>
      </c>
      <c r="DP164" s="379" t="str">
        <f t="shared" ca="1" si="453"/>
        <v>Élelmesek</v>
      </c>
      <c r="DQ164" s="302"/>
      <c r="DR164" s="364"/>
      <c r="DS164" s="302"/>
      <c r="DU164" s="424"/>
      <c r="DV164" s="366" t="str">
        <f ca="1">IF(OR(NOT($AJ$44),AND(DI41,DV156="")),DI156,"")</f>
        <v/>
      </c>
      <c r="DW164" s="365"/>
      <c r="DX164" s="366">
        <f t="shared" ca="1" si="461"/>
        <v>0</v>
      </c>
      <c r="DY164" s="366">
        <f t="shared" ca="1" si="462"/>
        <v>0</v>
      </c>
      <c r="DZ164" s="366">
        <f t="shared" ca="1" si="463"/>
        <v>0</v>
      </c>
      <c r="EA164" s="366">
        <f t="shared" ca="1" si="464"/>
        <v>0</v>
      </c>
      <c r="EB164" s="366">
        <f t="shared" ca="1" si="465"/>
        <v>0</v>
      </c>
      <c r="EC164" s="366">
        <f t="shared" ca="1" si="466"/>
        <v>0</v>
      </c>
      <c r="ED164" s="366">
        <f t="shared" ca="1" si="467"/>
        <v>0</v>
      </c>
      <c r="EE164" s="396">
        <f t="shared" ca="1" si="473"/>
        <v>0</v>
      </c>
      <c r="EF164" s="366">
        <f t="shared" ca="1" si="468"/>
        <v>0</v>
      </c>
      <c r="EG164" s="366">
        <f t="shared" ca="1" si="469"/>
        <v>0</v>
      </c>
      <c r="EH164" s="366">
        <f t="shared" ca="1" si="470"/>
        <v>0</v>
      </c>
      <c r="EI164" s="366">
        <f t="shared" ca="1" si="471"/>
        <v>0</v>
      </c>
      <c r="EJ164" s="366">
        <f ca="1">IF(EI164=0,0,RANK(EI164,EI162:EI168,1))</f>
        <v>0</v>
      </c>
      <c r="EK164" s="366">
        <f t="shared" ca="1" si="437"/>
        <v>0</v>
      </c>
      <c r="EL164" s="365"/>
      <c r="EM164" s="365"/>
      <c r="EN164" s="365"/>
      <c r="EO164" s="365"/>
      <c r="EP164" s="365"/>
      <c r="EQ164" s="365"/>
      <c r="ER164" s="365"/>
      <c r="ES164" s="365"/>
      <c r="ET164" s="365"/>
      <c r="EU164" s="365"/>
      <c r="EV164" s="365"/>
      <c r="EW164" s="365"/>
      <c r="EX164" s="365"/>
      <c r="EY164" s="365"/>
      <c r="EZ164" s="365"/>
      <c r="FA164" s="365"/>
      <c r="FB164" s="424"/>
      <c r="FC164" s="424"/>
      <c r="FD164" s="425"/>
      <c r="FE164" s="333"/>
      <c r="FO164" s="300"/>
      <c r="FP164" s="301"/>
      <c r="FQ164" s="324" t="s">
        <v>157</v>
      </c>
      <c r="FR164" s="324" t="s">
        <v>237</v>
      </c>
      <c r="FS164" s="324" t="s">
        <v>239</v>
      </c>
      <c r="FT164" s="324" t="s">
        <v>240</v>
      </c>
      <c r="FU164" s="324" t="s">
        <v>238</v>
      </c>
      <c r="FV164" s="324" t="s">
        <v>241</v>
      </c>
      <c r="FW164" s="324" t="s">
        <v>242</v>
      </c>
      <c r="FX164" s="326" t="s">
        <v>160</v>
      </c>
      <c r="FY164" s="325" t="s">
        <v>135</v>
      </c>
      <c r="FZ164" s="302"/>
      <c r="GA164" s="302"/>
      <c r="GB164" s="364"/>
      <c r="GC164" s="302"/>
    </row>
    <row r="165" spans="40:185" x14ac:dyDescent="0.25">
      <c r="AN165" s="336">
        <f t="shared" si="414"/>
        <v>0</v>
      </c>
      <c r="AO165" s="443" t="str">
        <f t="shared" ca="1" si="415"/>
        <v>►</v>
      </c>
      <c r="AP165" s="444">
        <f t="shared" ca="1" si="416"/>
        <v>5</v>
      </c>
      <c r="AQ165" s="444">
        <f t="shared" ca="1" si="417"/>
        <v>5</v>
      </c>
      <c r="AY165" s="348">
        <f t="shared" ca="1" si="418"/>
        <v>-999999999999.979</v>
      </c>
      <c r="BA165" s="348">
        <f t="shared" ca="1" si="419"/>
        <v>-999999999.97899997</v>
      </c>
      <c r="BB165" s="349">
        <v>20</v>
      </c>
      <c r="BC165" s="440">
        <f t="shared" si="420"/>
        <v>0</v>
      </c>
      <c r="BD165" s="346">
        <f t="shared" ca="1" si="421"/>
        <v>0</v>
      </c>
      <c r="BE165" s="346">
        <f t="shared" ca="1" si="393"/>
        <v>0</v>
      </c>
      <c r="BF165" s="346">
        <f t="shared" ca="1" si="394"/>
        <v>0</v>
      </c>
      <c r="BG165" s="346">
        <f t="shared" ca="1" si="395"/>
        <v>0</v>
      </c>
      <c r="BH165" s="346">
        <f t="shared" ca="1" si="396"/>
        <v>0</v>
      </c>
      <c r="BI165" s="346">
        <f t="shared" ca="1" si="397"/>
        <v>0</v>
      </c>
      <c r="BJ165" s="346">
        <f t="shared" ca="1" si="422"/>
        <v>0</v>
      </c>
      <c r="BK165" s="347">
        <f t="shared" ca="1" si="423"/>
        <v>0</v>
      </c>
      <c r="BL165" s="346">
        <f t="shared" si="398"/>
        <v>0</v>
      </c>
      <c r="BM165" s="346">
        <f t="shared" ca="1" si="399"/>
        <v>0</v>
      </c>
      <c r="BN165" s="346">
        <f t="shared" ca="1" si="424"/>
        <v>0</v>
      </c>
      <c r="BO165" s="347">
        <f t="shared" ca="1" si="400"/>
        <v>0</v>
      </c>
      <c r="BP165" s="348">
        <v>2.0999999999999984E-2</v>
      </c>
      <c r="BQ165" s="349">
        <f t="shared" ca="1" si="401"/>
        <v>0</v>
      </c>
      <c r="BS165" s="346">
        <f t="shared" ca="1" si="402"/>
        <v>0</v>
      </c>
      <c r="BT165" s="346">
        <f t="shared" ca="1" si="403"/>
        <v>0</v>
      </c>
      <c r="BU165" s="346">
        <f t="shared" ca="1" si="404"/>
        <v>0</v>
      </c>
      <c r="BV165" s="346">
        <f t="shared" ca="1" si="405"/>
        <v>0</v>
      </c>
      <c r="BW165" s="346">
        <f t="shared" ca="1" si="406"/>
        <v>0</v>
      </c>
      <c r="BX165" s="346">
        <f t="shared" ca="1" si="407"/>
        <v>0</v>
      </c>
      <c r="BZ165" s="346">
        <f t="shared" ca="1" si="408"/>
        <v>0</v>
      </c>
      <c r="CA165" s="346">
        <f t="shared" ca="1" si="409"/>
        <v>0</v>
      </c>
      <c r="CB165" s="346">
        <f t="shared" ca="1" si="410"/>
        <v>0</v>
      </c>
      <c r="CC165" s="346">
        <f t="shared" ca="1" si="411"/>
        <v>0</v>
      </c>
      <c r="CD165" s="346">
        <f t="shared" ca="1" si="412"/>
        <v>0</v>
      </c>
      <c r="CE165" s="346">
        <f t="shared" ca="1" si="413"/>
        <v>0</v>
      </c>
      <c r="CH165" s="445"/>
      <c r="CI165" s="350"/>
      <c r="CJ165" s="350"/>
      <c r="CK165" s="350"/>
      <c r="CL165" s="350"/>
      <c r="CM165" s="445"/>
      <c r="DG165" s="445"/>
      <c r="DH165" s="300"/>
      <c r="DI165" s="395" t="str">
        <f t="shared" ca="1" si="472"/>
        <v/>
      </c>
      <c r="DJ165" s="360" t="str">
        <f t="shared" ca="1" si="455"/>
        <v/>
      </c>
      <c r="DK165" s="360" t="str">
        <f t="shared" ca="1" si="456"/>
        <v/>
      </c>
      <c r="DL165" s="354" t="str">
        <f t="shared" ca="1" si="457"/>
        <v/>
      </c>
      <c r="DM165" s="354" t="str">
        <f t="shared" ca="1" si="458"/>
        <v/>
      </c>
      <c r="DN165" s="361" t="str">
        <f t="shared" ca="1" si="459"/>
        <v/>
      </c>
      <c r="DO165" s="362" t="str">
        <f t="shared" ca="1" si="460"/>
        <v/>
      </c>
      <c r="DP165" s="379" t="str">
        <f t="shared" ca="1" si="453"/>
        <v>Élelmesek</v>
      </c>
      <c r="DQ165" s="302"/>
      <c r="DR165" s="364"/>
      <c r="DS165" s="302"/>
      <c r="DU165" s="424"/>
      <c r="DV165" s="366" t="str">
        <f ca="1">IF(OR(NOT($AJ$44),AND(DI41,DV157="")),DI157,"")</f>
        <v/>
      </c>
      <c r="DW165" s="365"/>
      <c r="DX165" s="366">
        <f t="shared" ca="1" si="461"/>
        <v>0</v>
      </c>
      <c r="DY165" s="366">
        <f t="shared" ca="1" si="462"/>
        <v>0</v>
      </c>
      <c r="DZ165" s="366">
        <f t="shared" ca="1" si="463"/>
        <v>0</v>
      </c>
      <c r="EA165" s="366">
        <f t="shared" ca="1" si="464"/>
        <v>0</v>
      </c>
      <c r="EB165" s="366">
        <f t="shared" ca="1" si="465"/>
        <v>0</v>
      </c>
      <c r="EC165" s="366">
        <f t="shared" ca="1" si="466"/>
        <v>0</v>
      </c>
      <c r="ED165" s="366">
        <f t="shared" ca="1" si="467"/>
        <v>0</v>
      </c>
      <c r="EE165" s="396">
        <f t="shared" ca="1" si="473"/>
        <v>0</v>
      </c>
      <c r="EF165" s="366">
        <f t="shared" ca="1" si="468"/>
        <v>0</v>
      </c>
      <c r="EG165" s="366">
        <f t="shared" ca="1" si="469"/>
        <v>0</v>
      </c>
      <c r="EH165" s="366">
        <f t="shared" ca="1" si="470"/>
        <v>0</v>
      </c>
      <c r="EI165" s="366">
        <f t="shared" ca="1" si="471"/>
        <v>0</v>
      </c>
      <c r="EJ165" s="366">
        <f ca="1">IF(EI165=0,0,RANK(EI165,EI162:EI168,1))</f>
        <v>0</v>
      </c>
      <c r="EK165" s="366">
        <f t="shared" ca="1" si="437"/>
        <v>0</v>
      </c>
      <c r="EL165" s="365"/>
      <c r="EO165" s="365"/>
      <c r="EP165" s="365"/>
      <c r="EQ165" s="365"/>
      <c r="ER165" s="398"/>
      <c r="ES165" s="329" t="s">
        <v>157</v>
      </c>
      <c r="ET165" s="329" t="s">
        <v>158</v>
      </c>
      <c r="EU165" s="399"/>
      <c r="EV165" s="400"/>
      <c r="EW165" s="401" t="s">
        <v>160</v>
      </c>
      <c r="EX165" s="402" t="s">
        <v>135</v>
      </c>
      <c r="EY165" s="403">
        <f ca="1">COUNT(EU154:EU158)</f>
        <v>0</v>
      </c>
      <c r="EZ165" s="365"/>
      <c r="FA165" s="365"/>
      <c r="FB165" s="424"/>
      <c r="FC165" s="424"/>
      <c r="FD165" s="425"/>
      <c r="FE165" s="333"/>
      <c r="FO165" s="300"/>
      <c r="FP165" s="395" t="str">
        <f ca="1">FP154</f>
        <v/>
      </c>
      <c r="FQ165" s="360" t="str">
        <f ca="1">IF(OR(FP165="",FZ165="",FP165=FZ165),"",CONCATENATE(FP165,FZ165))</f>
        <v/>
      </c>
      <c r="FR165" s="360" t="str">
        <f t="shared" ref="FR165:FR174" ca="1" si="474">IF($FQ165="","",VLOOKUP($FQ165,games.a,9,FALSE))</f>
        <v/>
      </c>
      <c r="FS165" s="360" t="str">
        <f t="shared" ref="FS165:FS174" ca="1" si="475">IF($FQ165="","",VLOOKUP($FQ165,games.a,10,FALSE))</f>
        <v/>
      </c>
      <c r="FT165" s="360" t="str">
        <f t="shared" ref="FT165:FT174" ca="1" si="476">IF($FQ165="","",VLOOKUP($FQ165,games.a,11,FALSE))</f>
        <v/>
      </c>
      <c r="FU165" s="360" t="str">
        <f t="shared" ref="FU165:FU174" ca="1" si="477">IF($FQ165="","",VLOOKUP($FQ165,games.a,12,FALSE))</f>
        <v/>
      </c>
      <c r="FV165" s="360" t="str">
        <f t="shared" ref="FV165:FV174" ca="1" si="478">IF($FQ165="","",VLOOKUP($FQ165,games.a,13,FALSE))</f>
        <v/>
      </c>
      <c r="FW165" s="360" t="str">
        <f t="shared" ref="FW165:FW174" ca="1" si="479">IF($FQ165="","",VLOOKUP($FQ165,games.a,14,FALSE))</f>
        <v/>
      </c>
      <c r="FX165" s="360" t="str">
        <f t="shared" ref="FX165:FX174" ca="1" si="480">IF($FQ165="","",VLOOKUP($FQ165,games.a,6,FALSE))</f>
        <v/>
      </c>
      <c r="FY165" s="360" t="str">
        <f t="shared" ref="FY165:FY174" ca="1" si="481">IF($FQ165="","",VLOOKUP($FQ165,games.a,7,FALSE))</f>
        <v/>
      </c>
      <c r="FZ165" s="363" t="str">
        <f ca="1">FP155</f>
        <v/>
      </c>
      <c r="GA165" s="302"/>
      <c r="GB165" s="364"/>
      <c r="GC165" s="302"/>
    </row>
    <row r="166" spans="40:185" x14ac:dyDescent="0.25">
      <c r="AN166" s="336">
        <f t="shared" si="414"/>
        <v>0</v>
      </c>
      <c r="AO166" s="443" t="str">
        <f t="shared" ca="1" si="415"/>
        <v>►</v>
      </c>
      <c r="AP166" s="444">
        <f t="shared" ca="1" si="416"/>
        <v>4</v>
      </c>
      <c r="AQ166" s="444">
        <f t="shared" ca="1" si="417"/>
        <v>4</v>
      </c>
      <c r="AY166" s="348">
        <f t="shared" ca="1" si="418"/>
        <v>-999999999999.97998</v>
      </c>
      <c r="BA166" s="348">
        <f t="shared" ca="1" si="419"/>
        <v>-999999999.98000002</v>
      </c>
      <c r="BB166" s="349">
        <v>21</v>
      </c>
      <c r="BC166" s="440">
        <f t="shared" si="420"/>
        <v>0</v>
      </c>
      <c r="BD166" s="346">
        <f ca="1">BE166+BF166+BG166</f>
        <v>0</v>
      </c>
      <c r="BE166" s="346">
        <f t="shared" ca="1" si="393"/>
        <v>0</v>
      </c>
      <c r="BF166" s="346">
        <f t="shared" ca="1" si="394"/>
        <v>0</v>
      </c>
      <c r="BG166" s="346">
        <f t="shared" ca="1" si="395"/>
        <v>0</v>
      </c>
      <c r="BH166" s="346">
        <f t="shared" ca="1" si="396"/>
        <v>0</v>
      </c>
      <c r="BI166" s="346">
        <f t="shared" ca="1" si="397"/>
        <v>0</v>
      </c>
      <c r="BJ166" s="346">
        <f t="shared" ca="1" si="422"/>
        <v>0</v>
      </c>
      <c r="BK166" s="347">
        <f t="shared" ca="1" si="423"/>
        <v>0</v>
      </c>
      <c r="BL166" s="346">
        <f t="shared" si="398"/>
        <v>0</v>
      </c>
      <c r="BM166" s="346">
        <f t="shared" ca="1" si="399"/>
        <v>0</v>
      </c>
      <c r="BN166" s="346">
        <f t="shared" ca="1" si="424"/>
        <v>0</v>
      </c>
      <c r="BO166" s="347">
        <f t="shared" ca="1" si="400"/>
        <v>0</v>
      </c>
      <c r="BP166" s="348">
        <v>0.02</v>
      </c>
      <c r="BQ166" s="349">
        <f t="shared" ca="1" si="401"/>
        <v>0</v>
      </c>
      <c r="BS166" s="346">
        <f t="shared" ca="1" si="402"/>
        <v>0</v>
      </c>
      <c r="BT166" s="346">
        <f t="shared" ca="1" si="403"/>
        <v>0</v>
      </c>
      <c r="BU166" s="346">
        <f t="shared" ca="1" si="404"/>
        <v>0</v>
      </c>
      <c r="BV166" s="346">
        <f t="shared" ca="1" si="405"/>
        <v>0</v>
      </c>
      <c r="BW166" s="346">
        <f t="shared" ca="1" si="406"/>
        <v>0</v>
      </c>
      <c r="BX166" s="346">
        <f t="shared" ca="1" si="407"/>
        <v>0</v>
      </c>
      <c r="BZ166" s="346">
        <f t="shared" ca="1" si="408"/>
        <v>0</v>
      </c>
      <c r="CA166" s="346">
        <f t="shared" ca="1" si="409"/>
        <v>0</v>
      </c>
      <c r="CB166" s="346">
        <f t="shared" ca="1" si="410"/>
        <v>0</v>
      </c>
      <c r="CC166" s="346">
        <f t="shared" ca="1" si="411"/>
        <v>0</v>
      </c>
      <c r="CD166" s="346">
        <f t="shared" ca="1" si="412"/>
        <v>0</v>
      </c>
      <c r="CE166" s="346">
        <f t="shared" ca="1" si="413"/>
        <v>0</v>
      </c>
      <c r="CH166" s="445"/>
      <c r="CI166" s="350"/>
      <c r="CJ166" s="350"/>
      <c r="CK166" s="350"/>
      <c r="CL166" s="350"/>
      <c r="CM166" s="445"/>
      <c r="DG166" s="445"/>
      <c r="DH166" s="300"/>
      <c r="DI166" s="395" t="str">
        <f t="shared" ca="1" si="472"/>
        <v/>
      </c>
      <c r="DJ166" s="360" t="str">
        <f t="shared" ca="1" si="455"/>
        <v/>
      </c>
      <c r="DK166" s="360" t="str">
        <f t="shared" ca="1" si="456"/>
        <v/>
      </c>
      <c r="DL166" s="354" t="str">
        <f t="shared" ca="1" si="457"/>
        <v/>
      </c>
      <c r="DM166" s="354" t="str">
        <f t="shared" ca="1" si="458"/>
        <v/>
      </c>
      <c r="DN166" s="361" t="str">
        <f t="shared" ca="1" si="459"/>
        <v/>
      </c>
      <c r="DO166" s="362" t="str">
        <f t="shared" ca="1" si="460"/>
        <v/>
      </c>
      <c r="DP166" s="379" t="str">
        <f t="shared" ca="1" si="453"/>
        <v>Élelmesek</v>
      </c>
      <c r="DQ166" s="302"/>
      <c r="DR166" s="364"/>
      <c r="DS166" s="302"/>
      <c r="DU166" s="424"/>
      <c r="DV166" s="366" t="str">
        <f ca="1">IF(OR(NOT($AJ$44),AND(DI41,DV158="")),DI158,"")</f>
        <v/>
      </c>
      <c r="DW166" s="365"/>
      <c r="DX166" s="366">
        <f t="shared" ca="1" si="461"/>
        <v>0</v>
      </c>
      <c r="DY166" s="366">
        <f t="shared" ca="1" si="462"/>
        <v>0</v>
      </c>
      <c r="DZ166" s="366">
        <f t="shared" ca="1" si="463"/>
        <v>0</v>
      </c>
      <c r="EA166" s="366">
        <f t="shared" ca="1" si="464"/>
        <v>0</v>
      </c>
      <c r="EB166" s="366">
        <f t="shared" ca="1" si="465"/>
        <v>0</v>
      </c>
      <c r="EC166" s="366">
        <f t="shared" ca="1" si="466"/>
        <v>0</v>
      </c>
      <c r="ED166" s="366">
        <f t="shared" ca="1" si="467"/>
        <v>0</v>
      </c>
      <c r="EE166" s="396">
        <f t="shared" ca="1" si="473"/>
        <v>0</v>
      </c>
      <c r="EF166" s="366">
        <f t="shared" ca="1" si="468"/>
        <v>0</v>
      </c>
      <c r="EG166" s="366">
        <f t="shared" ca="1" si="469"/>
        <v>0</v>
      </c>
      <c r="EH166" s="366">
        <f t="shared" ca="1" si="470"/>
        <v>0</v>
      </c>
      <c r="EI166" s="366">
        <f t="shared" ca="1" si="471"/>
        <v>0</v>
      </c>
      <c r="EJ166" s="366">
        <f ca="1">IF(EI166=0,0,RANK(EI166,EI162:EI168,1))</f>
        <v>0</v>
      </c>
      <c r="EK166" s="366">
        <f t="shared" ca="1" si="437"/>
        <v>0</v>
      </c>
      <c r="EL166" s="365"/>
      <c r="EO166" s="365"/>
      <c r="EP166" s="365"/>
      <c r="EQ166" s="365"/>
      <c r="ER166" s="404" t="str">
        <f ca="1">IF(EU154="","",VLOOKUP(EU154,yyy.aa1.7,4,FALSE))</f>
        <v/>
      </c>
      <c r="ES166" s="371" t="str">
        <f ca="1">IF(OR(ER166="",EY166="",ER166=EY166),"",CONCATENATE(ER166,EY166))</f>
        <v/>
      </c>
      <c r="ET166" s="422" t="str">
        <f ca="1">IF(OR(ES166="",EY165&gt;2),"",CONCATENATE(VLOOKUP(ES166,games.a,9,FALSE),VLOOKUP(ES166,games.a,12,FALSE)))</f>
        <v/>
      </c>
      <c r="EU166" s="406"/>
      <c r="EV166" s="407"/>
      <c r="EW166" s="423" t="str">
        <f ca="1">IF(ES166="","",VLOOKUP(ES166,games.a,6,FALSE))</f>
        <v/>
      </c>
      <c r="EX166" s="409" t="str">
        <f ca="1">IF(ES166="","",VLOOKUP(ES166,games.a,7,FALSE))</f>
        <v/>
      </c>
      <c r="EY166" s="410" t="str">
        <f ca="1">ER166</f>
        <v/>
      </c>
      <c r="EZ166" s="411"/>
      <c r="FA166" s="412"/>
      <c r="FB166" s="424"/>
      <c r="FC166" s="424"/>
      <c r="FD166" s="425"/>
      <c r="FE166" s="333"/>
      <c r="FO166" s="300"/>
      <c r="FP166" s="395" t="str">
        <f t="shared" ref="FP166:FP174" ca="1" si="482">FP155</f>
        <v/>
      </c>
      <c r="FQ166" s="360" t="str">
        <f t="shared" ref="FQ166:FQ174" ca="1" si="483">IF(OR(FP166="",FZ166="",FP166=FZ166),"",CONCATENATE(FP166,FZ166))</f>
        <v/>
      </c>
      <c r="FR166" s="360" t="str">
        <f t="shared" ca="1" si="474"/>
        <v/>
      </c>
      <c r="FS166" s="360" t="str">
        <f t="shared" ca="1" si="475"/>
        <v/>
      </c>
      <c r="FT166" s="360" t="str">
        <f t="shared" ca="1" si="476"/>
        <v/>
      </c>
      <c r="FU166" s="360" t="str">
        <f t="shared" ca="1" si="477"/>
        <v/>
      </c>
      <c r="FV166" s="360" t="str">
        <f t="shared" ca="1" si="478"/>
        <v/>
      </c>
      <c r="FW166" s="360" t="str">
        <f t="shared" ca="1" si="479"/>
        <v/>
      </c>
      <c r="FX166" s="360" t="str">
        <f t="shared" ca="1" si="480"/>
        <v/>
      </c>
      <c r="FY166" s="360" t="str">
        <f t="shared" ca="1" si="481"/>
        <v/>
      </c>
      <c r="FZ166" s="379" t="str">
        <f ca="1">FZ165</f>
        <v/>
      </c>
      <c r="GA166" s="302"/>
      <c r="GB166" s="364"/>
      <c r="GC166" s="302"/>
    </row>
    <row r="167" spans="40:185" x14ac:dyDescent="0.25">
      <c r="AN167" s="336">
        <f t="shared" si="414"/>
        <v>0</v>
      </c>
      <c r="AO167" s="443" t="str">
        <f t="shared" ca="1" si="415"/>
        <v>►</v>
      </c>
      <c r="AP167" s="444">
        <f t="shared" ca="1" si="416"/>
        <v>3</v>
      </c>
      <c r="AQ167" s="444">
        <f t="shared" ca="1" si="417"/>
        <v>3</v>
      </c>
      <c r="AY167" s="348">
        <f t="shared" ca="1" si="418"/>
        <v>-999999999999.98096</v>
      </c>
      <c r="BA167" s="348">
        <f t="shared" ca="1" si="419"/>
        <v>-999999999.98099995</v>
      </c>
      <c r="BB167" s="349">
        <v>22</v>
      </c>
      <c r="BC167" s="440">
        <f t="shared" si="420"/>
        <v>0</v>
      </c>
      <c r="BD167" s="346">
        <f ca="1">BE167+BF167+BG167</f>
        <v>0</v>
      </c>
      <c r="BE167" s="346">
        <f t="shared" ca="1" si="393"/>
        <v>0</v>
      </c>
      <c r="BF167" s="346">
        <f t="shared" ca="1" si="394"/>
        <v>0</v>
      </c>
      <c r="BG167" s="346">
        <f t="shared" ca="1" si="395"/>
        <v>0</v>
      </c>
      <c r="BH167" s="346">
        <f t="shared" ca="1" si="396"/>
        <v>0</v>
      </c>
      <c r="BI167" s="346">
        <f t="shared" ca="1" si="397"/>
        <v>0</v>
      </c>
      <c r="BJ167" s="346">
        <f t="shared" ca="1" si="422"/>
        <v>0</v>
      </c>
      <c r="BK167" s="347">
        <f t="shared" ca="1" si="423"/>
        <v>0</v>
      </c>
      <c r="BL167" s="346">
        <f t="shared" si="398"/>
        <v>0</v>
      </c>
      <c r="BM167" s="346">
        <f t="shared" ca="1" si="399"/>
        <v>0</v>
      </c>
      <c r="BN167" s="346">
        <f t="shared" ca="1" si="424"/>
        <v>0</v>
      </c>
      <c r="BO167" s="347">
        <f t="shared" ca="1" si="400"/>
        <v>0</v>
      </c>
      <c r="BP167" s="348">
        <v>1.8999999999999982E-2</v>
      </c>
      <c r="BQ167" s="349">
        <f t="shared" ca="1" si="401"/>
        <v>0</v>
      </c>
      <c r="BS167" s="346">
        <f t="shared" ca="1" si="402"/>
        <v>0</v>
      </c>
      <c r="BT167" s="346">
        <f t="shared" ca="1" si="403"/>
        <v>0</v>
      </c>
      <c r="BU167" s="346">
        <f t="shared" ca="1" si="404"/>
        <v>0</v>
      </c>
      <c r="BV167" s="346">
        <f t="shared" ca="1" si="405"/>
        <v>0</v>
      </c>
      <c r="BW167" s="346">
        <f t="shared" ca="1" si="406"/>
        <v>0</v>
      </c>
      <c r="BX167" s="346">
        <f t="shared" ca="1" si="407"/>
        <v>0</v>
      </c>
      <c r="BZ167" s="346">
        <f t="shared" ca="1" si="408"/>
        <v>0</v>
      </c>
      <c r="CA167" s="346">
        <f t="shared" ca="1" si="409"/>
        <v>0</v>
      </c>
      <c r="CB167" s="346">
        <f t="shared" ca="1" si="410"/>
        <v>0</v>
      </c>
      <c r="CC167" s="346">
        <f t="shared" ca="1" si="411"/>
        <v>0</v>
      </c>
      <c r="CD167" s="346">
        <f t="shared" ca="1" si="412"/>
        <v>0</v>
      </c>
      <c r="CE167" s="346">
        <f t="shared" ca="1" si="413"/>
        <v>0</v>
      </c>
      <c r="CH167" s="445"/>
      <c r="CI167" s="350"/>
      <c r="CJ167" s="350"/>
      <c r="CK167" s="350"/>
      <c r="CL167" s="350"/>
      <c r="CM167" s="445"/>
      <c r="DG167" s="445"/>
      <c r="DH167" s="300"/>
      <c r="DI167" s="395" t="str">
        <f t="shared" ca="1" si="472"/>
        <v/>
      </c>
      <c r="DJ167" s="360" t="str">
        <f t="shared" ca="1" si="455"/>
        <v/>
      </c>
      <c r="DK167" s="360" t="str">
        <f t="shared" ca="1" si="456"/>
        <v/>
      </c>
      <c r="DL167" s="354" t="str">
        <f t="shared" ca="1" si="457"/>
        <v/>
      </c>
      <c r="DM167" s="354" t="str">
        <f t="shared" ca="1" si="458"/>
        <v/>
      </c>
      <c r="DN167" s="361" t="str">
        <f t="shared" ca="1" si="459"/>
        <v/>
      </c>
      <c r="DO167" s="362" t="str">
        <f t="shared" ca="1" si="460"/>
        <v/>
      </c>
      <c r="DP167" s="379" t="str">
        <f t="shared" ca="1" si="453"/>
        <v>Élelmesek</v>
      </c>
      <c r="DQ167" s="302"/>
      <c r="DR167" s="364"/>
      <c r="DS167" s="302"/>
      <c r="DU167" s="424"/>
      <c r="DV167" s="366" t="str">
        <f ca="1">IF(OR(NOT($AJ$44),AND(DI41,DV159="")),DI159,"")</f>
        <v/>
      </c>
      <c r="DW167" s="365"/>
      <c r="DX167" s="366">
        <f t="shared" ca="1" si="461"/>
        <v>0</v>
      </c>
      <c r="DY167" s="366">
        <f t="shared" ca="1" si="462"/>
        <v>0</v>
      </c>
      <c r="DZ167" s="366">
        <f t="shared" ca="1" si="463"/>
        <v>0</v>
      </c>
      <c r="EA167" s="366">
        <f t="shared" ca="1" si="464"/>
        <v>0</v>
      </c>
      <c r="EB167" s="366">
        <f t="shared" ca="1" si="465"/>
        <v>0</v>
      </c>
      <c r="EC167" s="366">
        <f t="shared" ca="1" si="466"/>
        <v>0</v>
      </c>
      <c r="ED167" s="366">
        <f t="shared" ca="1" si="467"/>
        <v>0</v>
      </c>
      <c r="EE167" s="396">
        <f t="shared" ca="1" si="473"/>
        <v>0</v>
      </c>
      <c r="EF167" s="366">
        <f t="shared" ca="1" si="468"/>
        <v>0</v>
      </c>
      <c r="EG167" s="366">
        <f t="shared" ca="1" si="469"/>
        <v>0</v>
      </c>
      <c r="EH167" s="366">
        <f t="shared" ca="1" si="470"/>
        <v>0</v>
      </c>
      <c r="EI167" s="366">
        <f t="shared" ca="1" si="471"/>
        <v>0</v>
      </c>
      <c r="EJ167" s="366">
        <f ca="1">IF(EI167=0,0,RANK(EI167,EI162:EI168,1))</f>
        <v>0</v>
      </c>
      <c r="EK167" s="366">
        <f t="shared" ca="1" si="437"/>
        <v>0</v>
      </c>
      <c r="EL167" s="365"/>
      <c r="EO167" s="365"/>
      <c r="EP167" s="365"/>
      <c r="EQ167" s="365"/>
      <c r="ER167" s="404" t="str">
        <f ca="1">IF(EU155="","",VLOOKUP(EU155,yyy.aa1.7,4,FALSE))</f>
        <v/>
      </c>
      <c r="ES167" s="371" t="str">
        <f ca="1">IF(OR(ER167="",EY167="",ER167=EY167),"",CONCATENATE(ER167,EY167))</f>
        <v/>
      </c>
      <c r="ET167" s="422" t="str">
        <f ca="1">IF(OR(ES167="",EY165&gt;2),"",CONCATENATE(VLOOKUP(ES167,games.a,9,FALSE),VLOOKUP(ES167,games.a,12,FALSE)))</f>
        <v/>
      </c>
      <c r="EU167" s="413"/>
      <c r="EV167" s="414"/>
      <c r="EW167" s="423" t="str">
        <f ca="1">IF(ES167="","",VLOOKUP(ES167,games.a,6,FALSE))</f>
        <v/>
      </c>
      <c r="EX167" s="409" t="str">
        <f ca="1">IF(ES167="","",VLOOKUP(ES167,games.a,7,FALSE))</f>
        <v/>
      </c>
      <c r="EY167" s="415" t="str">
        <f ca="1">EY166</f>
        <v/>
      </c>
      <c r="EZ167" s="416"/>
      <c r="FA167" s="417"/>
      <c r="FB167" s="424"/>
      <c r="FC167" s="424"/>
      <c r="FD167" s="425"/>
      <c r="FE167" s="333"/>
      <c r="FO167" s="300"/>
      <c r="FP167" s="395" t="str">
        <f t="shared" ca="1" si="482"/>
        <v/>
      </c>
      <c r="FQ167" s="360" t="str">
        <f t="shared" ca="1" si="483"/>
        <v/>
      </c>
      <c r="FR167" s="360" t="str">
        <f t="shared" ca="1" si="474"/>
        <v/>
      </c>
      <c r="FS167" s="360" t="str">
        <f t="shared" ca="1" si="475"/>
        <v/>
      </c>
      <c r="FT167" s="360" t="str">
        <f t="shared" ca="1" si="476"/>
        <v/>
      </c>
      <c r="FU167" s="360" t="str">
        <f t="shared" ca="1" si="477"/>
        <v/>
      </c>
      <c r="FV167" s="360" t="str">
        <f t="shared" ca="1" si="478"/>
        <v/>
      </c>
      <c r="FW167" s="360" t="str">
        <f t="shared" ca="1" si="479"/>
        <v/>
      </c>
      <c r="FX167" s="360" t="str">
        <f t="shared" ca="1" si="480"/>
        <v/>
      </c>
      <c r="FY167" s="360" t="str">
        <f t="shared" ca="1" si="481"/>
        <v/>
      </c>
      <c r="FZ167" s="379" t="str">
        <f t="shared" ref="FZ167:FZ174" ca="1" si="484">FZ166</f>
        <v/>
      </c>
      <c r="GA167" s="302"/>
      <c r="GB167" s="364"/>
      <c r="GC167" s="302"/>
    </row>
    <row r="168" spans="40:185" x14ac:dyDescent="0.25">
      <c r="AN168" s="336">
        <f t="shared" si="414"/>
        <v>0</v>
      </c>
      <c r="AO168" s="443" t="str">
        <f t="shared" ca="1" si="415"/>
        <v>►</v>
      </c>
      <c r="AP168" s="444">
        <f t="shared" ca="1" si="416"/>
        <v>2</v>
      </c>
      <c r="AQ168" s="444">
        <f t="shared" ca="1" si="417"/>
        <v>2</v>
      </c>
      <c r="AY168" s="348">
        <f t="shared" ca="1" si="418"/>
        <v>-999999999999.98206</v>
      </c>
      <c r="BA168" s="348">
        <f t="shared" ca="1" si="419"/>
        <v>-999999999.98199999</v>
      </c>
      <c r="BB168" s="349">
        <v>23</v>
      </c>
      <c r="BC168" s="440">
        <f t="shared" si="420"/>
        <v>0</v>
      </c>
      <c r="BD168" s="346">
        <f ca="1">BE168+BF168+BG168</f>
        <v>0</v>
      </c>
      <c r="BE168" s="346">
        <f t="shared" ca="1" si="393"/>
        <v>0</v>
      </c>
      <c r="BF168" s="346">
        <f t="shared" ca="1" si="394"/>
        <v>0</v>
      </c>
      <c r="BG168" s="346">
        <f t="shared" ca="1" si="395"/>
        <v>0</v>
      </c>
      <c r="BH168" s="346">
        <f t="shared" ca="1" si="396"/>
        <v>0</v>
      </c>
      <c r="BI168" s="346">
        <f t="shared" ca="1" si="397"/>
        <v>0</v>
      </c>
      <c r="BJ168" s="346">
        <f t="shared" ca="1" si="422"/>
        <v>0</v>
      </c>
      <c r="BK168" s="347">
        <f t="shared" ca="1" si="423"/>
        <v>0</v>
      </c>
      <c r="BL168" s="346">
        <f t="shared" si="398"/>
        <v>0</v>
      </c>
      <c r="BM168" s="346">
        <f t="shared" ca="1" si="399"/>
        <v>0</v>
      </c>
      <c r="BN168" s="346">
        <f t="shared" ca="1" si="424"/>
        <v>0</v>
      </c>
      <c r="BO168" s="347">
        <f t="shared" ca="1" si="400"/>
        <v>0</v>
      </c>
      <c r="BP168" s="348">
        <v>1.7999999999999981E-2</v>
      </c>
      <c r="BQ168" s="349">
        <f t="shared" ca="1" si="401"/>
        <v>0</v>
      </c>
      <c r="BS168" s="346">
        <f t="shared" ca="1" si="402"/>
        <v>0</v>
      </c>
      <c r="BT168" s="346">
        <f t="shared" ca="1" si="403"/>
        <v>0</v>
      </c>
      <c r="BU168" s="346">
        <f t="shared" ca="1" si="404"/>
        <v>0</v>
      </c>
      <c r="BV168" s="346">
        <f t="shared" ca="1" si="405"/>
        <v>0</v>
      </c>
      <c r="BW168" s="346">
        <f t="shared" ca="1" si="406"/>
        <v>0</v>
      </c>
      <c r="BX168" s="346">
        <f t="shared" ca="1" si="407"/>
        <v>0</v>
      </c>
      <c r="BZ168" s="346">
        <f t="shared" ca="1" si="408"/>
        <v>0</v>
      </c>
      <c r="CA168" s="346">
        <f t="shared" ca="1" si="409"/>
        <v>0</v>
      </c>
      <c r="CB168" s="346">
        <f t="shared" ca="1" si="410"/>
        <v>0</v>
      </c>
      <c r="CC168" s="346">
        <f t="shared" ca="1" si="411"/>
        <v>0</v>
      </c>
      <c r="CD168" s="346">
        <f t="shared" ca="1" si="412"/>
        <v>0</v>
      </c>
      <c r="CE168" s="346">
        <f t="shared" ca="1" si="413"/>
        <v>0</v>
      </c>
      <c r="CH168" s="445"/>
      <c r="CI168" s="350"/>
      <c r="CJ168" s="350"/>
      <c r="CK168" s="350"/>
      <c r="CL168" s="350"/>
      <c r="CM168" s="445"/>
      <c r="DG168" s="445"/>
      <c r="DH168" s="300"/>
      <c r="DI168" s="395" t="str">
        <f t="shared" ca="1" si="472"/>
        <v/>
      </c>
      <c r="DJ168" s="360" t="str">
        <f t="shared" ca="1" si="455"/>
        <v/>
      </c>
      <c r="DK168" s="360" t="str">
        <f t="shared" ca="1" si="456"/>
        <v/>
      </c>
      <c r="DL168" s="354" t="str">
        <f t="shared" ca="1" si="457"/>
        <v/>
      </c>
      <c r="DM168" s="354" t="str">
        <f t="shared" ca="1" si="458"/>
        <v/>
      </c>
      <c r="DN168" s="361" t="str">
        <f t="shared" ca="1" si="459"/>
        <v/>
      </c>
      <c r="DO168" s="362" t="str">
        <f t="shared" ca="1" si="460"/>
        <v/>
      </c>
      <c r="DP168" s="379" t="str">
        <f t="shared" ca="1" si="453"/>
        <v>Élelmesek</v>
      </c>
      <c r="DQ168" s="302"/>
      <c r="DR168" s="364"/>
      <c r="DS168" s="302"/>
      <c r="DU168" s="424"/>
      <c r="DV168" s="366" t="str">
        <f ca="1">IF(OR(NOT($AJ$44),AND(DI41,DV160="")),DI160,"")</f>
        <v/>
      </c>
      <c r="DW168" s="365"/>
      <c r="DX168" s="366">
        <f t="shared" ca="1" si="461"/>
        <v>0</v>
      </c>
      <c r="DY168" s="366">
        <f t="shared" ca="1" si="462"/>
        <v>0</v>
      </c>
      <c r="DZ168" s="366">
        <f t="shared" ca="1" si="463"/>
        <v>0</v>
      </c>
      <c r="EA168" s="366">
        <f t="shared" ca="1" si="464"/>
        <v>0</v>
      </c>
      <c r="EB168" s="366">
        <f t="shared" ca="1" si="465"/>
        <v>0</v>
      </c>
      <c r="EC168" s="366">
        <f t="shared" ca="1" si="466"/>
        <v>0</v>
      </c>
      <c r="ED168" s="366">
        <f t="shared" ca="1" si="467"/>
        <v>0</v>
      </c>
      <c r="EE168" s="396">
        <f t="shared" ca="1" si="473"/>
        <v>0</v>
      </c>
      <c r="EF168" s="366">
        <f t="shared" ca="1" si="468"/>
        <v>0</v>
      </c>
      <c r="EG168" s="366">
        <f t="shared" ca="1" si="469"/>
        <v>0</v>
      </c>
      <c r="EH168" s="366">
        <f t="shared" ca="1" si="470"/>
        <v>0</v>
      </c>
      <c r="EI168" s="366">
        <f t="shared" ca="1" si="471"/>
        <v>0</v>
      </c>
      <c r="EJ168" s="366">
        <f ca="1">IF(EI168=0,0,RANK(EI168,EI162:EI168,1))</f>
        <v>0</v>
      </c>
      <c r="EK168" s="366">
        <f t="shared" ca="1" si="437"/>
        <v>0</v>
      </c>
      <c r="EL168" s="365"/>
      <c r="EO168" s="365"/>
      <c r="EP168" s="365"/>
      <c r="EQ168" s="365"/>
      <c r="ER168" s="404" t="str">
        <f ca="1">IF(EU156="","",VLOOKUP(EU156,yyy.aa1.7,4,FALSE))</f>
        <v/>
      </c>
      <c r="ES168" s="371" t="str">
        <f ca="1">IF(OR(ER168="",EY168="",ER168=EY168),"",CONCATENATE(ER168,EY168))</f>
        <v/>
      </c>
      <c r="ET168" s="422" t="str">
        <f ca="1">IF(OR(ES168="",EY165&gt;2),"",CONCATENATE(VLOOKUP(ES168,games.a,9,FALSE),VLOOKUP(ES168,games.a,12,FALSE)))</f>
        <v/>
      </c>
      <c r="EU168" s="413"/>
      <c r="EV168" s="414"/>
      <c r="EW168" s="423" t="str">
        <f ca="1">IF(ES168="","",VLOOKUP(ES168,games.a,6,FALSE))</f>
        <v/>
      </c>
      <c r="EX168" s="409" t="str">
        <f ca="1">IF(ES168="","",VLOOKUP(ES168,games.a,7,FALSE))</f>
        <v/>
      </c>
      <c r="EY168" s="415" t="str">
        <f ca="1">EY167</f>
        <v/>
      </c>
      <c r="EZ168" s="416"/>
      <c r="FA168" s="417"/>
      <c r="FB168" s="424"/>
      <c r="FC168" s="424"/>
      <c r="FD168" s="425"/>
      <c r="FE168" s="333"/>
      <c r="FO168" s="300"/>
      <c r="FP168" s="395" t="str">
        <f t="shared" ca="1" si="482"/>
        <v/>
      </c>
      <c r="FQ168" s="360" t="str">
        <f t="shared" ca="1" si="483"/>
        <v/>
      </c>
      <c r="FR168" s="360" t="str">
        <f t="shared" ca="1" si="474"/>
        <v/>
      </c>
      <c r="FS168" s="360" t="str">
        <f t="shared" ca="1" si="475"/>
        <v/>
      </c>
      <c r="FT168" s="360" t="str">
        <f t="shared" ca="1" si="476"/>
        <v/>
      </c>
      <c r="FU168" s="360" t="str">
        <f t="shared" ca="1" si="477"/>
        <v/>
      </c>
      <c r="FV168" s="360" t="str">
        <f t="shared" ca="1" si="478"/>
        <v/>
      </c>
      <c r="FW168" s="360" t="str">
        <f t="shared" ca="1" si="479"/>
        <v/>
      </c>
      <c r="FX168" s="360" t="str">
        <f t="shared" ca="1" si="480"/>
        <v/>
      </c>
      <c r="FY168" s="360" t="str">
        <f t="shared" ca="1" si="481"/>
        <v/>
      </c>
      <c r="FZ168" s="379" t="str">
        <f t="shared" ca="1" si="484"/>
        <v/>
      </c>
      <c r="GA168" s="302"/>
      <c r="GB168" s="364"/>
      <c r="GC168" s="302"/>
    </row>
    <row r="169" spans="40:185" x14ac:dyDescent="0.25">
      <c r="AN169" s="336">
        <f t="shared" si="414"/>
        <v>0</v>
      </c>
      <c r="AO169" s="443" t="str">
        <f t="shared" ca="1" si="415"/>
        <v>►</v>
      </c>
      <c r="AP169" s="444">
        <f t="shared" ca="1" si="416"/>
        <v>1</v>
      </c>
      <c r="AQ169" s="444">
        <f t="shared" ca="1" si="417"/>
        <v>1</v>
      </c>
      <c r="AY169" s="348">
        <f t="shared" ca="1" si="418"/>
        <v>-999999999999.98303</v>
      </c>
      <c r="BA169" s="348">
        <f t="shared" ca="1" si="419"/>
        <v>-999999999.98300004</v>
      </c>
      <c r="BB169" s="349">
        <v>24</v>
      </c>
      <c r="BC169" s="440">
        <f t="shared" si="420"/>
        <v>0</v>
      </c>
      <c r="BD169" s="346">
        <f ca="1">BE169+BF169+BG169</f>
        <v>0</v>
      </c>
      <c r="BE169" s="346">
        <f t="shared" ca="1" si="393"/>
        <v>0</v>
      </c>
      <c r="BF169" s="346">
        <f t="shared" ca="1" si="394"/>
        <v>0</v>
      </c>
      <c r="BG169" s="346">
        <f t="shared" ca="1" si="395"/>
        <v>0</v>
      </c>
      <c r="BH169" s="346">
        <f t="shared" ca="1" si="396"/>
        <v>0</v>
      </c>
      <c r="BI169" s="346">
        <f t="shared" ca="1" si="397"/>
        <v>0</v>
      </c>
      <c r="BJ169" s="346">
        <f t="shared" ca="1" si="422"/>
        <v>0</v>
      </c>
      <c r="BK169" s="347">
        <f t="shared" ca="1" si="423"/>
        <v>0</v>
      </c>
      <c r="BL169" s="346">
        <f t="shared" si="398"/>
        <v>0</v>
      </c>
      <c r="BM169" s="346">
        <f t="shared" ca="1" si="399"/>
        <v>0</v>
      </c>
      <c r="BN169" s="346">
        <f t="shared" ca="1" si="424"/>
        <v>0</v>
      </c>
      <c r="BO169" s="347">
        <f t="shared" ca="1" si="400"/>
        <v>0</v>
      </c>
      <c r="BP169" s="348">
        <v>1.699999999999998E-2</v>
      </c>
      <c r="BQ169" s="349">
        <f t="shared" ca="1" si="401"/>
        <v>0</v>
      </c>
      <c r="BS169" s="346">
        <f t="shared" ca="1" si="402"/>
        <v>0</v>
      </c>
      <c r="BT169" s="346">
        <f t="shared" ca="1" si="403"/>
        <v>0</v>
      </c>
      <c r="BU169" s="346">
        <f t="shared" ca="1" si="404"/>
        <v>0</v>
      </c>
      <c r="BV169" s="346">
        <f t="shared" ca="1" si="405"/>
        <v>0</v>
      </c>
      <c r="BW169" s="346">
        <f t="shared" ca="1" si="406"/>
        <v>0</v>
      </c>
      <c r="BX169" s="346">
        <f t="shared" ca="1" si="407"/>
        <v>0</v>
      </c>
      <c r="BZ169" s="346">
        <f t="shared" ca="1" si="408"/>
        <v>0</v>
      </c>
      <c r="CA169" s="346">
        <f t="shared" ca="1" si="409"/>
        <v>0</v>
      </c>
      <c r="CB169" s="346">
        <f t="shared" ca="1" si="410"/>
        <v>0</v>
      </c>
      <c r="CC169" s="346">
        <f t="shared" ca="1" si="411"/>
        <v>0</v>
      </c>
      <c r="CD169" s="346">
        <f t="shared" ca="1" si="412"/>
        <v>0</v>
      </c>
      <c r="CE169" s="346">
        <f t="shared" ca="1" si="413"/>
        <v>0</v>
      </c>
      <c r="CH169" s="445"/>
      <c r="CI169" s="350"/>
      <c r="CJ169" s="350"/>
      <c r="CK169" s="350"/>
      <c r="CL169" s="350"/>
      <c r="CM169" s="445"/>
      <c r="DG169" s="445"/>
      <c r="DH169" s="300"/>
      <c r="DI169" s="301"/>
      <c r="DJ169" s="324" t="s">
        <v>157</v>
      </c>
      <c r="DK169" s="324" t="s">
        <v>158</v>
      </c>
      <c r="DL169" s="325" t="s">
        <v>159</v>
      </c>
      <c r="DM169" s="325"/>
      <c r="DN169" s="326" t="s">
        <v>160</v>
      </c>
      <c r="DO169" s="325" t="s">
        <v>135</v>
      </c>
      <c r="DP169" s="302"/>
      <c r="DQ169" s="302"/>
      <c r="DR169" s="364"/>
      <c r="DS169" s="302"/>
      <c r="DU169" s="424"/>
      <c r="EL169" s="365"/>
      <c r="EO169" s="365"/>
      <c r="EP169" s="365"/>
      <c r="EQ169" s="365"/>
      <c r="ER169" s="404" t="str">
        <f ca="1">IF(EU157="","",VLOOKUP(EU157,yyy.aa1.7,4,FALSE))</f>
        <v/>
      </c>
      <c r="ES169" s="371" t="str">
        <f ca="1">IF(OR(ER169="",EY169="",ER169=EY169),"",CONCATENATE(ER169,EY169))</f>
        <v/>
      </c>
      <c r="ET169" s="422" t="str">
        <f ca="1">IF(OR(ES169="",EY165&gt;2),"",CONCATENATE(VLOOKUP(ES169,games.a,9,FALSE),VLOOKUP(ES169,games.a,12,FALSE)))</f>
        <v/>
      </c>
      <c r="EU169" s="413"/>
      <c r="EV169" s="414"/>
      <c r="EW169" s="423" t="str">
        <f ca="1">IF(ES169="","",VLOOKUP(ES169,games.a,6,FALSE))</f>
        <v/>
      </c>
      <c r="EX169" s="409" t="str">
        <f ca="1">IF(ES169="","",VLOOKUP(ES169,games.a,7,FALSE))</f>
        <v/>
      </c>
      <c r="EY169" s="415" t="str">
        <f ca="1">EY168</f>
        <v/>
      </c>
      <c r="EZ169" s="416"/>
      <c r="FA169" s="417"/>
      <c r="FB169" s="424"/>
      <c r="FC169" s="424"/>
      <c r="FD169" s="425"/>
      <c r="FE169" s="333"/>
      <c r="FO169" s="300"/>
      <c r="FP169" s="395" t="str">
        <f t="shared" ca="1" si="482"/>
        <v/>
      </c>
      <c r="FQ169" s="360" t="str">
        <f t="shared" ca="1" si="483"/>
        <v/>
      </c>
      <c r="FR169" s="360" t="str">
        <f t="shared" ca="1" si="474"/>
        <v/>
      </c>
      <c r="FS169" s="360" t="str">
        <f t="shared" ca="1" si="475"/>
        <v/>
      </c>
      <c r="FT169" s="360" t="str">
        <f t="shared" ca="1" si="476"/>
        <v/>
      </c>
      <c r="FU169" s="360" t="str">
        <f t="shared" ca="1" si="477"/>
        <v/>
      </c>
      <c r="FV169" s="360" t="str">
        <f t="shared" ca="1" si="478"/>
        <v/>
      </c>
      <c r="FW169" s="360" t="str">
        <f t="shared" ca="1" si="479"/>
        <v/>
      </c>
      <c r="FX169" s="360" t="str">
        <f t="shared" ca="1" si="480"/>
        <v/>
      </c>
      <c r="FY169" s="360" t="str">
        <f t="shared" ca="1" si="481"/>
        <v/>
      </c>
      <c r="FZ169" s="379" t="str">
        <f t="shared" ca="1" si="484"/>
        <v/>
      </c>
      <c r="GA169" s="302"/>
      <c r="GB169" s="364"/>
      <c r="GC169" s="302"/>
    </row>
    <row r="170" spans="40:185" x14ac:dyDescent="0.25">
      <c r="CH170" s="445"/>
      <c r="CI170" s="350"/>
      <c r="CJ170" s="350"/>
      <c r="CK170" s="350"/>
      <c r="CL170" s="350"/>
      <c r="CM170" s="445"/>
      <c r="DG170" s="445"/>
      <c r="DH170" s="300"/>
      <c r="DI170" s="395" t="str">
        <f ca="1">DI162</f>
        <v>Hercules-Ludovika</v>
      </c>
      <c r="DJ170" s="360" t="str">
        <f t="shared" ref="DJ170:DJ176" ca="1" si="485">IF(OR(DI170="",DP170="",DI170=DP170),"",CONCATENATE(DI170,DP170))</f>
        <v/>
      </c>
      <c r="DK170" s="360" t="str">
        <f t="shared" ref="DK170:DK176" ca="1" si="486">IF($DJ170="","",CONCATENATE(VLOOKUP($DJ170,games.a,9,FALSE),VLOOKUP($DJ170,games.a,12,FALSE)))</f>
        <v/>
      </c>
      <c r="DL170" s="354" t="str">
        <f t="shared" ref="DL170:DL176" ca="1" si="487">IF($DJ170="","",VLOOKUP($DJ170,games.a,10,FALSE))</f>
        <v/>
      </c>
      <c r="DM170" s="354" t="str">
        <f t="shared" ref="DM170:DM176" ca="1" si="488">IF($DJ170="","",VLOOKUP($DJ170,games.a,13,FALSE))</f>
        <v/>
      </c>
      <c r="DN170" s="361" t="str">
        <f t="shared" ref="DN170:DN176" ca="1" si="489">IF($DJ170="","",VLOOKUP($DJ170,games.a,6,FALSE))</f>
        <v/>
      </c>
      <c r="DO170" s="362" t="str">
        <f t="shared" ref="DO170:DO176" ca="1" si="490">IF($DJ170="","",VLOOKUP($DJ170,games.a,7,FALSE))</f>
        <v/>
      </c>
      <c r="DP170" s="363" t="str">
        <f ca="1">DI156</f>
        <v/>
      </c>
      <c r="DQ170" s="302"/>
      <c r="DR170" s="364"/>
      <c r="DS170" s="302"/>
      <c r="DU170" s="424"/>
      <c r="EL170" s="365"/>
      <c r="EO170" s="365"/>
      <c r="EP170" s="365"/>
      <c r="EQ170" s="365"/>
      <c r="ER170" s="404" t="str">
        <f ca="1">IF(EU158="","",VLOOKUP(EU158,yyy.aa1.7,4,FALSE))</f>
        <v/>
      </c>
      <c r="ES170" s="371" t="str">
        <f ca="1">IF(OR(ER170="",EY170="",ER170=EY170),"",CONCATENATE(ER170,EY170))</f>
        <v/>
      </c>
      <c r="ET170" s="422" t="str">
        <f ca="1">IF(OR(ES170="",EY165&gt;2),"",CONCATENATE(VLOOKUP(ES170,games.a,9,FALSE),VLOOKUP(ES170,games.a,12,FALSE)))</f>
        <v/>
      </c>
      <c r="EU170" s="420"/>
      <c r="EV170" s="421"/>
      <c r="EW170" s="423" t="str">
        <f ca="1">IF(ES170="","",VLOOKUP(ES170,games.a,6,FALSE))</f>
        <v/>
      </c>
      <c r="EX170" s="409" t="str">
        <f ca="1">IF(ES170="","",VLOOKUP(ES170,games.a,7,FALSE))</f>
        <v/>
      </c>
      <c r="EY170" s="415" t="str">
        <f ca="1">EY169</f>
        <v/>
      </c>
      <c r="EZ170" s="416"/>
      <c r="FA170" s="417"/>
      <c r="FB170" s="424"/>
      <c r="FC170" s="424"/>
      <c r="FD170" s="425"/>
      <c r="FE170" s="333"/>
      <c r="FO170" s="300"/>
      <c r="FP170" s="395" t="str">
        <f t="shared" ca="1" si="482"/>
        <v/>
      </c>
      <c r="FQ170" s="360" t="str">
        <f t="shared" ca="1" si="483"/>
        <v/>
      </c>
      <c r="FR170" s="360" t="str">
        <f t="shared" ca="1" si="474"/>
        <v/>
      </c>
      <c r="FS170" s="360" t="str">
        <f t="shared" ca="1" si="475"/>
        <v/>
      </c>
      <c r="FT170" s="360" t="str">
        <f t="shared" ca="1" si="476"/>
        <v/>
      </c>
      <c r="FU170" s="360" t="str">
        <f t="shared" ca="1" si="477"/>
        <v/>
      </c>
      <c r="FV170" s="360" t="str">
        <f t="shared" ca="1" si="478"/>
        <v/>
      </c>
      <c r="FW170" s="360" t="str">
        <f t="shared" ca="1" si="479"/>
        <v/>
      </c>
      <c r="FX170" s="360" t="str">
        <f t="shared" ca="1" si="480"/>
        <v/>
      </c>
      <c r="FY170" s="360" t="str">
        <f t="shared" ca="1" si="481"/>
        <v/>
      </c>
      <c r="FZ170" s="379" t="str">
        <f t="shared" ca="1" si="484"/>
        <v/>
      </c>
      <c r="GA170" s="302"/>
      <c r="GB170" s="364"/>
      <c r="GC170" s="302"/>
    </row>
    <row r="171" spans="40:185" x14ac:dyDescent="0.25">
      <c r="CH171" s="445"/>
      <c r="CI171" s="350"/>
      <c r="CJ171" s="350"/>
      <c r="CK171" s="350"/>
      <c r="CL171" s="350"/>
      <c r="CM171" s="445"/>
      <c r="DG171" s="445"/>
      <c r="DH171" s="300"/>
      <c r="DI171" s="395" t="str">
        <f t="shared" ref="DI171:DI176" ca="1" si="491">DI163</f>
        <v>Élelmesek</v>
      </c>
      <c r="DJ171" s="360" t="str">
        <f t="shared" ca="1" si="485"/>
        <v/>
      </c>
      <c r="DK171" s="360" t="str">
        <f t="shared" ca="1" si="486"/>
        <v/>
      </c>
      <c r="DL171" s="354" t="str">
        <f t="shared" ca="1" si="487"/>
        <v/>
      </c>
      <c r="DM171" s="354" t="str">
        <f t="shared" ca="1" si="488"/>
        <v/>
      </c>
      <c r="DN171" s="361" t="str">
        <f t="shared" ca="1" si="489"/>
        <v/>
      </c>
      <c r="DO171" s="362" t="str">
        <f t="shared" ca="1" si="490"/>
        <v/>
      </c>
      <c r="DP171" s="379" t="str">
        <f t="shared" ref="DP171:DP176" ca="1" si="492">DP170</f>
        <v/>
      </c>
      <c r="DQ171" s="302"/>
      <c r="DR171" s="364"/>
      <c r="DS171" s="302"/>
      <c r="DU171" s="424"/>
      <c r="EL171" s="365"/>
      <c r="EO171" s="365"/>
      <c r="EP171" s="365"/>
      <c r="EQ171" s="365"/>
      <c r="ER171" s="398"/>
      <c r="ES171" s="329" t="s">
        <v>157</v>
      </c>
      <c r="ET171" s="329" t="s">
        <v>158</v>
      </c>
      <c r="EU171" s="399"/>
      <c r="EV171" s="400"/>
      <c r="EW171" s="401" t="s">
        <v>160</v>
      </c>
      <c r="EX171" s="402" t="s">
        <v>135</v>
      </c>
      <c r="EY171" s="398"/>
      <c r="EZ171" s="365"/>
      <c r="FA171" s="365"/>
      <c r="FB171" s="424"/>
      <c r="FC171" s="424"/>
      <c r="FD171" s="425"/>
      <c r="FE171" s="333"/>
      <c r="FO171" s="300"/>
      <c r="FP171" s="395" t="str">
        <f t="shared" ca="1" si="482"/>
        <v/>
      </c>
      <c r="FQ171" s="360" t="str">
        <f t="shared" ca="1" si="483"/>
        <v/>
      </c>
      <c r="FR171" s="360" t="str">
        <f t="shared" ca="1" si="474"/>
        <v/>
      </c>
      <c r="FS171" s="360" t="str">
        <f t="shared" ca="1" si="475"/>
        <v/>
      </c>
      <c r="FT171" s="360" t="str">
        <f t="shared" ca="1" si="476"/>
        <v/>
      </c>
      <c r="FU171" s="360" t="str">
        <f t="shared" ca="1" si="477"/>
        <v/>
      </c>
      <c r="FV171" s="360" t="str">
        <f t="shared" ca="1" si="478"/>
        <v/>
      </c>
      <c r="FW171" s="360" t="str">
        <f t="shared" ca="1" si="479"/>
        <v/>
      </c>
      <c r="FX171" s="360" t="str">
        <f t="shared" ca="1" si="480"/>
        <v/>
      </c>
      <c r="FY171" s="360" t="str">
        <f t="shared" ca="1" si="481"/>
        <v/>
      </c>
      <c r="FZ171" s="379" t="str">
        <f t="shared" ca="1" si="484"/>
        <v/>
      </c>
      <c r="GA171" s="302"/>
      <c r="GB171" s="364"/>
      <c r="GC171" s="302"/>
    </row>
    <row r="172" spans="40:185" x14ac:dyDescent="0.25">
      <c r="BA172" s="438" t="s">
        <v>394</v>
      </c>
      <c r="BB172" s="428"/>
      <c r="BC172" s="427"/>
      <c r="CH172" s="445"/>
      <c r="CI172" s="350"/>
      <c r="CJ172" s="350"/>
      <c r="CK172" s="350"/>
      <c r="CL172" s="350"/>
      <c r="CM172" s="445"/>
      <c r="DG172" s="445"/>
      <c r="DH172" s="300"/>
      <c r="DI172" s="395" t="str">
        <f t="shared" ca="1" si="491"/>
        <v/>
      </c>
      <c r="DJ172" s="360" t="str">
        <f t="shared" ca="1" si="485"/>
        <v/>
      </c>
      <c r="DK172" s="360" t="str">
        <f t="shared" ca="1" si="486"/>
        <v/>
      </c>
      <c r="DL172" s="354" t="str">
        <f t="shared" ca="1" si="487"/>
        <v/>
      </c>
      <c r="DM172" s="354" t="str">
        <f t="shared" ca="1" si="488"/>
        <v/>
      </c>
      <c r="DN172" s="361" t="str">
        <f t="shared" ca="1" si="489"/>
        <v/>
      </c>
      <c r="DO172" s="362" t="str">
        <f t="shared" ca="1" si="490"/>
        <v/>
      </c>
      <c r="DP172" s="379" t="str">
        <f t="shared" ca="1" si="492"/>
        <v/>
      </c>
      <c r="DQ172" s="302"/>
      <c r="DR172" s="364"/>
      <c r="DS172" s="302"/>
      <c r="DU172" s="424"/>
      <c r="EL172" s="365"/>
      <c r="EO172" s="365"/>
      <c r="EP172" s="365"/>
      <c r="EQ172" s="365"/>
      <c r="ER172" s="404" t="str">
        <f ca="1">ER166</f>
        <v/>
      </c>
      <c r="ES172" s="371" t="str">
        <f ca="1">IF(OR(ER172="",EY172="",ER172=EY172),"",CONCATENATE(ER172,EY172))</f>
        <v/>
      </c>
      <c r="ET172" s="422" t="str">
        <f ca="1">IF(OR(ES172="",EY165&gt;2),"",CONCATENATE(VLOOKUP(ES172,games.a,9,FALSE),VLOOKUP(ES172,games.a,12,FALSE)))</f>
        <v/>
      </c>
      <c r="EU172" s="406"/>
      <c r="EV172" s="407"/>
      <c r="EW172" s="423" t="str">
        <f ca="1">IF(ES172="","",VLOOKUP(ES172,games.a,6,FALSE))</f>
        <v/>
      </c>
      <c r="EX172" s="409" t="str">
        <f ca="1">IF(ES172="","",VLOOKUP(ES172,games.a,7,FALSE))</f>
        <v/>
      </c>
      <c r="EY172" s="410" t="str">
        <f ca="1">ER167</f>
        <v/>
      </c>
      <c r="EZ172" s="411"/>
      <c r="FA172" s="412"/>
      <c r="FB172" s="424"/>
      <c r="FC172" s="424"/>
      <c r="FD172" s="425"/>
      <c r="FE172" s="333"/>
      <c r="FO172" s="300"/>
      <c r="FP172" s="395" t="str">
        <f t="shared" ca="1" si="482"/>
        <v/>
      </c>
      <c r="FQ172" s="360" t="str">
        <f t="shared" ca="1" si="483"/>
        <v/>
      </c>
      <c r="FR172" s="360" t="str">
        <f t="shared" ca="1" si="474"/>
        <v/>
      </c>
      <c r="FS172" s="360" t="str">
        <f t="shared" ca="1" si="475"/>
        <v/>
      </c>
      <c r="FT172" s="360" t="str">
        <f t="shared" ca="1" si="476"/>
        <v/>
      </c>
      <c r="FU172" s="360" t="str">
        <f t="shared" ca="1" si="477"/>
        <v/>
      </c>
      <c r="FV172" s="360" t="str">
        <f t="shared" ca="1" si="478"/>
        <v/>
      </c>
      <c r="FW172" s="360" t="str">
        <f t="shared" ca="1" si="479"/>
        <v/>
      </c>
      <c r="FX172" s="360" t="str">
        <f t="shared" ca="1" si="480"/>
        <v/>
      </c>
      <c r="FY172" s="360" t="str">
        <f t="shared" ca="1" si="481"/>
        <v/>
      </c>
      <c r="FZ172" s="379" t="str">
        <f t="shared" ca="1" si="484"/>
        <v/>
      </c>
      <c r="GA172" s="302"/>
      <c r="GB172" s="364"/>
      <c r="GC172" s="302"/>
    </row>
    <row r="173" spans="40:185" x14ac:dyDescent="0.25">
      <c r="BA173" s="439">
        <f>IF($AJ$58=2,BH94,BI94*-1)*1000000+IF($AJ$44,BK94,BJ94)*1000+BP94-IF(BC173=0,1000000000000,0)</f>
        <v>-999999999999.98401</v>
      </c>
      <c r="BB173" s="179"/>
      <c r="BC173" s="440">
        <f>X72</f>
        <v>0</v>
      </c>
      <c r="CH173" s="445"/>
      <c r="CI173" s="350"/>
      <c r="CJ173" s="350"/>
      <c r="CK173" s="350"/>
      <c r="CL173" s="350"/>
      <c r="CM173" s="445"/>
      <c r="DG173" s="445"/>
      <c r="DH173" s="300"/>
      <c r="DI173" s="395" t="str">
        <f t="shared" ca="1" si="491"/>
        <v/>
      </c>
      <c r="DJ173" s="360" t="str">
        <f t="shared" ca="1" si="485"/>
        <v/>
      </c>
      <c r="DK173" s="360" t="str">
        <f t="shared" ca="1" si="486"/>
        <v/>
      </c>
      <c r="DL173" s="354" t="str">
        <f t="shared" ca="1" si="487"/>
        <v/>
      </c>
      <c r="DM173" s="354" t="str">
        <f t="shared" ca="1" si="488"/>
        <v/>
      </c>
      <c r="DN173" s="361" t="str">
        <f t="shared" ca="1" si="489"/>
        <v/>
      </c>
      <c r="DO173" s="362" t="str">
        <f t="shared" ca="1" si="490"/>
        <v/>
      </c>
      <c r="DP173" s="379" t="str">
        <f t="shared" ca="1" si="492"/>
        <v/>
      </c>
      <c r="DQ173" s="302"/>
      <c r="DR173" s="364"/>
      <c r="DS173" s="302"/>
      <c r="DU173" s="424"/>
      <c r="EL173" s="365"/>
      <c r="EO173" s="365"/>
      <c r="EP173" s="365"/>
      <c r="EQ173" s="365"/>
      <c r="ER173" s="404" t="str">
        <f ca="1">ER167</f>
        <v/>
      </c>
      <c r="ES173" s="371" t="str">
        <f ca="1">IF(OR(ER173="",EY173="",ER173=EY173),"",CONCATENATE(ER173,EY173))</f>
        <v/>
      </c>
      <c r="ET173" s="422" t="str">
        <f ca="1">IF(OR(ES173="",EY165&gt;2),"",CONCATENATE(VLOOKUP(ES173,games.a,9,FALSE),VLOOKUP(ES173,games.a,12,FALSE)))</f>
        <v/>
      </c>
      <c r="EU173" s="413"/>
      <c r="EV173" s="414"/>
      <c r="EW173" s="423" t="str">
        <f ca="1">IF(ES173="","",VLOOKUP(ES173,games.a,6,FALSE))</f>
        <v/>
      </c>
      <c r="EX173" s="409" t="str">
        <f ca="1">IF(ES173="","",VLOOKUP(ES173,games.a,7,FALSE))</f>
        <v/>
      </c>
      <c r="EY173" s="415" t="str">
        <f ca="1">EY172</f>
        <v/>
      </c>
      <c r="EZ173" s="416"/>
      <c r="FA173" s="417"/>
      <c r="FB173" s="424"/>
      <c r="FC173" s="424"/>
      <c r="FD173" s="425"/>
      <c r="FE173" s="333"/>
      <c r="FO173" s="300"/>
      <c r="FP173" s="395" t="str">
        <f t="shared" ca="1" si="482"/>
        <v/>
      </c>
      <c r="FQ173" s="360" t="str">
        <f t="shared" ca="1" si="483"/>
        <v/>
      </c>
      <c r="FR173" s="360" t="str">
        <f t="shared" ca="1" si="474"/>
        <v/>
      </c>
      <c r="FS173" s="360" t="str">
        <f t="shared" ca="1" si="475"/>
        <v/>
      </c>
      <c r="FT173" s="360" t="str">
        <f t="shared" ca="1" si="476"/>
        <v/>
      </c>
      <c r="FU173" s="360" t="str">
        <f t="shared" ca="1" si="477"/>
        <v/>
      </c>
      <c r="FV173" s="360" t="str">
        <f t="shared" ca="1" si="478"/>
        <v/>
      </c>
      <c r="FW173" s="360" t="str">
        <f t="shared" ca="1" si="479"/>
        <v/>
      </c>
      <c r="FX173" s="360" t="str">
        <f t="shared" ca="1" si="480"/>
        <v/>
      </c>
      <c r="FY173" s="360" t="str">
        <f t="shared" ca="1" si="481"/>
        <v/>
      </c>
      <c r="FZ173" s="379" t="str">
        <f t="shared" ca="1" si="484"/>
        <v/>
      </c>
      <c r="GA173" s="302"/>
      <c r="GB173" s="364"/>
      <c r="GC173" s="302"/>
    </row>
    <row r="174" spans="40:185" x14ac:dyDescent="0.25">
      <c r="BA174" s="439">
        <f t="shared" ref="BA174:BA182" si="493">IF($AJ$58=2,BH95,BI95*-1)*1000000+IF($AJ$44,BK95,BJ95)*1000+BP95-IF(BC174=0,1000000000000,0)</f>
        <v>-999999999999.98499</v>
      </c>
      <c r="BB174" s="179"/>
      <c r="BC174" s="440">
        <f t="shared" ref="BC174:BC182" si="494">X73</f>
        <v>0</v>
      </c>
      <c r="CH174" s="445"/>
      <c r="CI174" s="350"/>
      <c r="CJ174" s="350"/>
      <c r="CK174" s="350"/>
      <c r="CL174" s="350"/>
      <c r="CM174" s="445"/>
      <c r="DG174" s="445"/>
      <c r="DH174" s="300"/>
      <c r="DI174" s="395" t="str">
        <f t="shared" ca="1" si="491"/>
        <v/>
      </c>
      <c r="DJ174" s="360" t="str">
        <f t="shared" ca="1" si="485"/>
        <v/>
      </c>
      <c r="DK174" s="360" t="str">
        <f t="shared" ca="1" si="486"/>
        <v/>
      </c>
      <c r="DL174" s="354" t="str">
        <f t="shared" ca="1" si="487"/>
        <v/>
      </c>
      <c r="DM174" s="354" t="str">
        <f t="shared" ca="1" si="488"/>
        <v/>
      </c>
      <c r="DN174" s="361" t="str">
        <f t="shared" ca="1" si="489"/>
        <v/>
      </c>
      <c r="DO174" s="362" t="str">
        <f t="shared" ca="1" si="490"/>
        <v/>
      </c>
      <c r="DP174" s="379" t="str">
        <f t="shared" ca="1" si="492"/>
        <v/>
      </c>
      <c r="DQ174" s="302"/>
      <c r="DR174" s="364"/>
      <c r="DS174" s="302"/>
      <c r="DU174" s="424"/>
      <c r="EL174" s="365"/>
      <c r="EO174" s="424"/>
      <c r="EP174" s="424"/>
      <c r="EQ174" s="424"/>
      <c r="ER174" s="404" t="str">
        <f ca="1">ER168</f>
        <v/>
      </c>
      <c r="ES174" s="371" t="str">
        <f ca="1">IF(OR(ER174="",EY174="",ER174=EY174),"",CONCATENATE(ER174,EY174))</f>
        <v/>
      </c>
      <c r="ET174" s="422" t="str">
        <f ca="1">IF(OR(ES174="",EY165&gt;2),"",CONCATENATE(VLOOKUP(ES174,games.a,9,FALSE),VLOOKUP(ES174,games.a,12,FALSE)))</f>
        <v/>
      </c>
      <c r="EU174" s="413"/>
      <c r="EV174" s="414"/>
      <c r="EW174" s="423" t="str">
        <f ca="1">IF(ES174="","",VLOOKUP(ES174,games.a,6,FALSE))</f>
        <v/>
      </c>
      <c r="EX174" s="409" t="str">
        <f ca="1">IF(ES174="","",VLOOKUP(ES174,games.a,7,FALSE))</f>
        <v/>
      </c>
      <c r="EY174" s="415" t="str">
        <f ca="1">EY173</f>
        <v/>
      </c>
      <c r="EZ174" s="416"/>
      <c r="FA174" s="417"/>
      <c r="FB174" s="424"/>
      <c r="FC174" s="424"/>
      <c r="FD174" s="425"/>
      <c r="FE174" s="333"/>
      <c r="FO174" s="300"/>
      <c r="FP174" s="395" t="str">
        <f t="shared" ca="1" si="482"/>
        <v/>
      </c>
      <c r="FQ174" s="360" t="str">
        <f t="shared" ca="1" si="483"/>
        <v/>
      </c>
      <c r="FR174" s="360" t="str">
        <f t="shared" ca="1" si="474"/>
        <v/>
      </c>
      <c r="FS174" s="360" t="str">
        <f t="shared" ca="1" si="475"/>
        <v/>
      </c>
      <c r="FT174" s="360" t="str">
        <f t="shared" ca="1" si="476"/>
        <v/>
      </c>
      <c r="FU174" s="360" t="str">
        <f t="shared" ca="1" si="477"/>
        <v/>
      </c>
      <c r="FV174" s="360" t="str">
        <f t="shared" ca="1" si="478"/>
        <v/>
      </c>
      <c r="FW174" s="360" t="str">
        <f t="shared" ca="1" si="479"/>
        <v/>
      </c>
      <c r="FX174" s="360" t="str">
        <f t="shared" ca="1" si="480"/>
        <v/>
      </c>
      <c r="FY174" s="360" t="str">
        <f t="shared" ca="1" si="481"/>
        <v/>
      </c>
      <c r="FZ174" s="379" t="str">
        <f t="shared" ca="1" si="484"/>
        <v/>
      </c>
      <c r="GA174" s="302"/>
      <c r="GB174" s="364"/>
      <c r="GC174" s="302"/>
    </row>
    <row r="175" spans="40:185" x14ac:dyDescent="0.25">
      <c r="BA175" s="439">
        <f t="shared" si="493"/>
        <v>-999999999999.98596</v>
      </c>
      <c r="BB175" s="179"/>
      <c r="BC175" s="440">
        <f t="shared" si="494"/>
        <v>0</v>
      </c>
      <c r="CH175" s="445"/>
      <c r="CI175" s="350"/>
      <c r="CJ175" s="350"/>
      <c r="CK175" s="350"/>
      <c r="CL175" s="350"/>
      <c r="CM175" s="445"/>
      <c r="DG175" s="445"/>
      <c r="DH175" s="300"/>
      <c r="DI175" s="395" t="str">
        <f t="shared" ca="1" si="491"/>
        <v/>
      </c>
      <c r="DJ175" s="360" t="str">
        <f t="shared" ca="1" si="485"/>
        <v/>
      </c>
      <c r="DK175" s="360" t="str">
        <f t="shared" ca="1" si="486"/>
        <v/>
      </c>
      <c r="DL175" s="354" t="str">
        <f t="shared" ca="1" si="487"/>
        <v/>
      </c>
      <c r="DM175" s="354" t="str">
        <f t="shared" ca="1" si="488"/>
        <v/>
      </c>
      <c r="DN175" s="361" t="str">
        <f t="shared" ca="1" si="489"/>
        <v/>
      </c>
      <c r="DO175" s="362" t="str">
        <f t="shared" ca="1" si="490"/>
        <v/>
      </c>
      <c r="DP175" s="379" t="str">
        <f t="shared" ca="1" si="492"/>
        <v/>
      </c>
      <c r="DQ175" s="302"/>
      <c r="DR175" s="364"/>
      <c r="DS175" s="302"/>
      <c r="DU175" s="424"/>
      <c r="EL175" s="365"/>
      <c r="EO175" s="424"/>
      <c r="EP175" s="424"/>
      <c r="EQ175" s="424"/>
      <c r="ER175" s="404" t="str">
        <f ca="1">ER169</f>
        <v/>
      </c>
      <c r="ES175" s="371" t="str">
        <f ca="1">IF(OR(ER175="",EY175="",ER175=EY175),"",CONCATENATE(ER175,EY175))</f>
        <v/>
      </c>
      <c r="ET175" s="422" t="str">
        <f ca="1">IF(OR(ES175="",EY165&gt;2),"",CONCATENATE(VLOOKUP(ES175,games.a,9,FALSE),VLOOKUP(ES175,games.a,12,FALSE)))</f>
        <v/>
      </c>
      <c r="EU175" s="413"/>
      <c r="EV175" s="414"/>
      <c r="EW175" s="423" t="str">
        <f ca="1">IF(ES175="","",VLOOKUP(ES175,games.a,6,FALSE))</f>
        <v/>
      </c>
      <c r="EX175" s="409" t="str">
        <f ca="1">IF(ES175="","",VLOOKUP(ES175,games.a,7,FALSE))</f>
        <v/>
      </c>
      <c r="EY175" s="415" t="str">
        <f ca="1">EY174</f>
        <v/>
      </c>
      <c r="EZ175" s="416"/>
      <c r="FA175" s="417"/>
      <c r="FB175" s="424"/>
      <c r="FC175" s="424"/>
      <c r="FD175" s="425"/>
      <c r="FE175" s="333"/>
      <c r="FO175" s="300"/>
      <c r="FP175" s="301"/>
      <c r="FQ175" s="324" t="s">
        <v>157</v>
      </c>
      <c r="FR175" s="324" t="s">
        <v>237</v>
      </c>
      <c r="FS175" s="324" t="s">
        <v>239</v>
      </c>
      <c r="FT175" s="324" t="s">
        <v>240</v>
      </c>
      <c r="FU175" s="324" t="s">
        <v>238</v>
      </c>
      <c r="FV175" s="324" t="s">
        <v>241</v>
      </c>
      <c r="FW175" s="324" t="s">
        <v>242</v>
      </c>
      <c r="FX175" s="326" t="s">
        <v>160</v>
      </c>
      <c r="FY175" s="325" t="s">
        <v>135</v>
      </c>
      <c r="FZ175" s="302"/>
      <c r="GA175" s="302"/>
      <c r="GB175" s="364"/>
      <c r="GC175" s="302"/>
    </row>
    <row r="176" spans="40:185" x14ac:dyDescent="0.25">
      <c r="BA176" s="439">
        <f t="shared" si="493"/>
        <v>-999999999999.98706</v>
      </c>
      <c r="BB176" s="179"/>
      <c r="BC176" s="440">
        <f t="shared" si="494"/>
        <v>0</v>
      </c>
      <c r="CH176" s="445"/>
      <c r="CI176" s="350"/>
      <c r="CJ176" s="350"/>
      <c r="CK176" s="350"/>
      <c r="CL176" s="350"/>
      <c r="CM176" s="445"/>
      <c r="DG176" s="445"/>
      <c r="DH176" s="300"/>
      <c r="DI176" s="395" t="str">
        <f t="shared" ca="1" si="491"/>
        <v/>
      </c>
      <c r="DJ176" s="360" t="str">
        <f t="shared" ca="1" si="485"/>
        <v/>
      </c>
      <c r="DK176" s="360" t="str">
        <f t="shared" ca="1" si="486"/>
        <v/>
      </c>
      <c r="DL176" s="354" t="str">
        <f t="shared" ca="1" si="487"/>
        <v/>
      </c>
      <c r="DM176" s="354" t="str">
        <f t="shared" ca="1" si="488"/>
        <v/>
      </c>
      <c r="DN176" s="361" t="str">
        <f t="shared" ca="1" si="489"/>
        <v/>
      </c>
      <c r="DO176" s="362" t="str">
        <f t="shared" ca="1" si="490"/>
        <v/>
      </c>
      <c r="DP176" s="379" t="str">
        <f t="shared" ca="1" si="492"/>
        <v/>
      </c>
      <c r="DQ176" s="302"/>
      <c r="DR176" s="364"/>
      <c r="DS176" s="302"/>
      <c r="DU176" s="424"/>
      <c r="EL176" s="365"/>
      <c r="EM176" s="424"/>
      <c r="EN176" s="424"/>
      <c r="EO176" s="424"/>
      <c r="EP176" s="424"/>
      <c r="EQ176" s="424"/>
      <c r="ER176" s="404" t="str">
        <f ca="1">ER170</f>
        <v/>
      </c>
      <c r="ES176" s="371" t="str">
        <f ca="1">IF(OR(ER176="",EY176="",ER176=EY176),"",CONCATENATE(ER176,EY176))</f>
        <v/>
      </c>
      <c r="ET176" s="422" t="str">
        <f ca="1">IF(OR(ES176="",EY165&gt;2),"",CONCATENATE(VLOOKUP(ES176,games.a,9,FALSE),VLOOKUP(ES176,games.a,12,FALSE)))</f>
        <v/>
      </c>
      <c r="EU176" s="420"/>
      <c r="EV176" s="421"/>
      <c r="EW176" s="423" t="str">
        <f ca="1">IF(ES176="","",VLOOKUP(ES176,games.a,6,FALSE))</f>
        <v/>
      </c>
      <c r="EX176" s="409" t="str">
        <f ca="1">IF(ES176="","",VLOOKUP(ES176,games.a,7,FALSE))</f>
        <v/>
      </c>
      <c r="EY176" s="415" t="str">
        <f ca="1">EY175</f>
        <v/>
      </c>
      <c r="EZ176" s="416"/>
      <c r="FA176" s="417"/>
      <c r="FB176" s="424"/>
      <c r="FC176" s="424"/>
      <c r="FD176" s="425"/>
      <c r="FE176" s="333"/>
      <c r="FO176" s="300"/>
      <c r="FP176" s="395" t="str">
        <f ca="1">FP165</f>
        <v/>
      </c>
      <c r="FQ176" s="360" t="str">
        <f ca="1">IF(OR(FP176="",FZ176="",FP176=FZ176),"",CONCATENATE(FP176,FZ176))</f>
        <v/>
      </c>
      <c r="FR176" s="360" t="str">
        <f t="shared" ref="FR176:FR185" ca="1" si="495">IF($FQ176="","",VLOOKUP($FQ176,games.a,9,FALSE))</f>
        <v/>
      </c>
      <c r="FS176" s="360" t="str">
        <f t="shared" ref="FS176:FS185" ca="1" si="496">IF($FQ176="","",VLOOKUP($FQ176,games.a,10,FALSE))</f>
        <v/>
      </c>
      <c r="FT176" s="360" t="str">
        <f t="shared" ref="FT176:FT185" ca="1" si="497">IF($FQ176="","",VLOOKUP($FQ176,games.a,11,FALSE))</f>
        <v/>
      </c>
      <c r="FU176" s="360" t="str">
        <f t="shared" ref="FU176:FU185" ca="1" si="498">IF($FQ176="","",VLOOKUP($FQ176,games.a,12,FALSE))</f>
        <v/>
      </c>
      <c r="FV176" s="360" t="str">
        <f t="shared" ref="FV176:FV185" ca="1" si="499">IF($FQ176="","",VLOOKUP($FQ176,games.a,13,FALSE))</f>
        <v/>
      </c>
      <c r="FW176" s="360" t="str">
        <f t="shared" ref="FW176:FW185" ca="1" si="500">IF($FQ176="","",VLOOKUP($FQ176,games.a,14,FALSE))</f>
        <v/>
      </c>
      <c r="FX176" s="360" t="str">
        <f t="shared" ref="FX176:FX185" ca="1" si="501">IF($FQ176="","",VLOOKUP($FQ176,games.a,6,FALSE))</f>
        <v/>
      </c>
      <c r="FY176" s="360" t="str">
        <f t="shared" ref="FY176:FY185" ca="1" si="502">IF($FQ176="","",VLOOKUP($FQ176,games.a,7,FALSE))</f>
        <v/>
      </c>
      <c r="FZ176" s="363" t="str">
        <f ca="1">FP156</f>
        <v/>
      </c>
      <c r="GA176" s="302"/>
      <c r="GB176" s="364"/>
      <c r="GC176" s="302"/>
    </row>
    <row r="177" spans="40:185" x14ac:dyDescent="0.25">
      <c r="BA177" s="439">
        <f t="shared" si="493"/>
        <v>-999999999999.98804</v>
      </c>
      <c r="BB177" s="179"/>
      <c r="BC177" s="440">
        <f t="shared" si="494"/>
        <v>0</v>
      </c>
      <c r="CH177" s="445"/>
      <c r="CI177" s="350"/>
      <c r="CJ177" s="350"/>
      <c r="CK177" s="350"/>
      <c r="CL177" s="350"/>
      <c r="CM177" s="445"/>
      <c r="DG177" s="445"/>
      <c r="DH177" s="300"/>
      <c r="DI177" s="301"/>
      <c r="DJ177" s="324" t="s">
        <v>157</v>
      </c>
      <c r="DK177" s="324" t="s">
        <v>158</v>
      </c>
      <c r="DL177" s="325" t="s">
        <v>159</v>
      </c>
      <c r="DM177" s="325"/>
      <c r="DN177" s="326" t="s">
        <v>160</v>
      </c>
      <c r="DO177" s="325" t="s">
        <v>135</v>
      </c>
      <c r="DP177" s="302"/>
      <c r="DQ177" s="302"/>
      <c r="DR177" s="364"/>
      <c r="DS177" s="302"/>
      <c r="DU177" s="424"/>
      <c r="EL177" s="365"/>
      <c r="EM177" s="424"/>
      <c r="EN177" s="424"/>
      <c r="EO177" s="424"/>
      <c r="EP177" s="424"/>
      <c r="EQ177" s="424"/>
      <c r="ER177" s="398"/>
      <c r="ES177" s="329" t="s">
        <v>157</v>
      </c>
      <c r="ET177" s="329" t="s">
        <v>158</v>
      </c>
      <c r="EU177" s="399"/>
      <c r="EV177" s="400"/>
      <c r="EW177" s="401" t="s">
        <v>160</v>
      </c>
      <c r="EX177" s="402" t="s">
        <v>135</v>
      </c>
      <c r="EY177" s="398"/>
      <c r="EZ177" s="365"/>
      <c r="FA177" s="365"/>
      <c r="FB177" s="424"/>
      <c r="FC177" s="424"/>
      <c r="FD177" s="425"/>
      <c r="FE177" s="333"/>
      <c r="FO177" s="300"/>
      <c r="FP177" s="395" t="str">
        <f t="shared" ref="FP177:FP185" ca="1" si="503">FP166</f>
        <v/>
      </c>
      <c r="FQ177" s="360" t="str">
        <f t="shared" ref="FQ177:FQ185" ca="1" si="504">IF(OR(FP177="",FZ177="",FP177=FZ177),"",CONCATENATE(FP177,FZ177))</f>
        <v/>
      </c>
      <c r="FR177" s="360" t="str">
        <f t="shared" ca="1" si="495"/>
        <v/>
      </c>
      <c r="FS177" s="360" t="str">
        <f t="shared" ca="1" si="496"/>
        <v/>
      </c>
      <c r="FT177" s="360" t="str">
        <f t="shared" ca="1" si="497"/>
        <v/>
      </c>
      <c r="FU177" s="360" t="str">
        <f t="shared" ca="1" si="498"/>
        <v/>
      </c>
      <c r="FV177" s="360" t="str">
        <f t="shared" ca="1" si="499"/>
        <v/>
      </c>
      <c r="FW177" s="360" t="str">
        <f t="shared" ca="1" si="500"/>
        <v/>
      </c>
      <c r="FX177" s="360" t="str">
        <f t="shared" ca="1" si="501"/>
        <v/>
      </c>
      <c r="FY177" s="360" t="str">
        <f t="shared" ca="1" si="502"/>
        <v/>
      </c>
      <c r="FZ177" s="379" t="str">
        <f ca="1">FZ176</f>
        <v/>
      </c>
      <c r="GA177" s="302"/>
      <c r="GB177" s="364"/>
      <c r="GC177" s="302"/>
    </row>
    <row r="178" spans="40:185" x14ac:dyDescent="0.25">
      <c r="BA178" s="439">
        <f t="shared" si="493"/>
        <v>-999999999999.98901</v>
      </c>
      <c r="BB178" s="428"/>
      <c r="BC178" s="440">
        <f t="shared" si="494"/>
        <v>0</v>
      </c>
      <c r="CH178" s="445"/>
      <c r="CI178" s="350"/>
      <c r="CJ178" s="350"/>
      <c r="CK178" s="350"/>
      <c r="CL178" s="350"/>
      <c r="CM178" s="445"/>
      <c r="DG178" s="445"/>
      <c r="DH178" s="300"/>
      <c r="DI178" s="395" t="str">
        <f ca="1">DI170</f>
        <v>Hercules-Ludovika</v>
      </c>
      <c r="DJ178" s="360" t="str">
        <f t="shared" ref="DJ178:DJ184" ca="1" si="505">IF(OR(DI178="",DP178="",DI178=DP178),"",CONCATENATE(DI178,DP178))</f>
        <v/>
      </c>
      <c r="DK178" s="360" t="str">
        <f t="shared" ref="DK178:DK184" ca="1" si="506">IF($DJ178="","",CONCATENATE(VLOOKUP($DJ178,games.a,9,FALSE),VLOOKUP($DJ178,games.a,12,FALSE)))</f>
        <v/>
      </c>
      <c r="DL178" s="354" t="str">
        <f t="shared" ref="DL178:DL184" ca="1" si="507">IF($DJ178="","",VLOOKUP($DJ178,games.a,10,FALSE))</f>
        <v/>
      </c>
      <c r="DM178" s="354" t="str">
        <f t="shared" ref="DM178:DM184" ca="1" si="508">IF($DJ178="","",VLOOKUP($DJ178,games.a,13,FALSE))</f>
        <v/>
      </c>
      <c r="DN178" s="361" t="str">
        <f t="shared" ref="DN178:DN184" ca="1" si="509">IF($DJ178="","",VLOOKUP($DJ178,games.a,6,FALSE))</f>
        <v/>
      </c>
      <c r="DO178" s="362" t="str">
        <f t="shared" ref="DO178:DO184" ca="1" si="510">IF($DJ178="","",VLOOKUP($DJ178,games.a,7,FALSE))</f>
        <v/>
      </c>
      <c r="DP178" s="363" t="str">
        <f ca="1">DI157</f>
        <v/>
      </c>
      <c r="DQ178" s="302"/>
      <c r="DR178" s="364"/>
      <c r="DS178" s="302"/>
      <c r="DU178" s="424"/>
      <c r="EL178" s="365"/>
      <c r="EM178" s="424"/>
      <c r="EN178" s="424"/>
      <c r="EO178" s="424"/>
      <c r="EP178" s="424"/>
      <c r="EQ178" s="424"/>
      <c r="ER178" s="404" t="str">
        <f ca="1">ER172</f>
        <v/>
      </c>
      <c r="ES178" s="371" t="str">
        <f ca="1">IF(OR(ER178="",EY178="",ER178=EY178),"",CONCATENATE(ER178,EY178))</f>
        <v/>
      </c>
      <c r="ET178" s="422" t="str">
        <f ca="1">IF(OR(ES178="",EY165&gt;2),"",CONCATENATE(VLOOKUP(ES178,games.a,9,FALSE),VLOOKUP(ES178,games.a,12,FALSE)))</f>
        <v/>
      </c>
      <c r="EU178" s="406"/>
      <c r="EV178" s="407"/>
      <c r="EW178" s="423" t="str">
        <f ca="1">IF(ES178="","",VLOOKUP(ES178,games.a,6,FALSE))</f>
        <v/>
      </c>
      <c r="EX178" s="409" t="str">
        <f ca="1">IF(ES178="","",VLOOKUP(ES178,games.a,7,FALSE))</f>
        <v/>
      </c>
      <c r="EY178" s="410" t="str">
        <f ca="1">ER168</f>
        <v/>
      </c>
      <c r="EZ178" s="411"/>
      <c r="FA178" s="412"/>
      <c r="FB178" s="424"/>
      <c r="FC178" s="424"/>
      <c r="FD178" s="425"/>
      <c r="FE178" s="333"/>
      <c r="FO178" s="300"/>
      <c r="FP178" s="395" t="str">
        <f t="shared" ca="1" si="503"/>
        <v/>
      </c>
      <c r="FQ178" s="360" t="str">
        <f t="shared" ca="1" si="504"/>
        <v/>
      </c>
      <c r="FR178" s="360" t="str">
        <f t="shared" ca="1" si="495"/>
        <v/>
      </c>
      <c r="FS178" s="360" t="str">
        <f t="shared" ca="1" si="496"/>
        <v/>
      </c>
      <c r="FT178" s="360" t="str">
        <f t="shared" ca="1" si="497"/>
        <v/>
      </c>
      <c r="FU178" s="360" t="str">
        <f t="shared" ca="1" si="498"/>
        <v/>
      </c>
      <c r="FV178" s="360" t="str">
        <f t="shared" ca="1" si="499"/>
        <v/>
      </c>
      <c r="FW178" s="360" t="str">
        <f t="shared" ca="1" si="500"/>
        <v/>
      </c>
      <c r="FX178" s="360" t="str">
        <f t="shared" ca="1" si="501"/>
        <v/>
      </c>
      <c r="FY178" s="360" t="str">
        <f t="shared" ca="1" si="502"/>
        <v/>
      </c>
      <c r="FZ178" s="379" t="str">
        <f t="shared" ref="FZ178:FZ185" ca="1" si="511">FZ177</f>
        <v/>
      </c>
      <c r="GA178" s="302"/>
      <c r="GB178" s="364"/>
      <c r="GC178" s="302"/>
    </row>
    <row r="179" spans="40:185" x14ac:dyDescent="0.25">
      <c r="BA179" s="439">
        <f t="shared" si="493"/>
        <v>-999999999999.98999</v>
      </c>
      <c r="BB179" s="428"/>
      <c r="BC179" s="440">
        <f t="shared" si="494"/>
        <v>0</v>
      </c>
      <c r="CH179" s="445"/>
      <c r="CI179" s="350"/>
      <c r="CJ179" s="350"/>
      <c r="CK179" s="350"/>
      <c r="CL179" s="350"/>
      <c r="CM179" s="445"/>
      <c r="DG179" s="445"/>
      <c r="DH179" s="300"/>
      <c r="DI179" s="395" t="str">
        <f t="shared" ref="DI179:DI184" ca="1" si="512">DI171</f>
        <v>Élelmesek</v>
      </c>
      <c r="DJ179" s="360" t="str">
        <f t="shared" ca="1" si="505"/>
        <v/>
      </c>
      <c r="DK179" s="360" t="str">
        <f t="shared" ca="1" si="506"/>
        <v/>
      </c>
      <c r="DL179" s="354" t="str">
        <f t="shared" ca="1" si="507"/>
        <v/>
      </c>
      <c r="DM179" s="354" t="str">
        <f t="shared" ca="1" si="508"/>
        <v/>
      </c>
      <c r="DN179" s="361" t="str">
        <f t="shared" ca="1" si="509"/>
        <v/>
      </c>
      <c r="DO179" s="362" t="str">
        <f t="shared" ca="1" si="510"/>
        <v/>
      </c>
      <c r="DP179" s="379" t="str">
        <f t="shared" ref="DP179:DP184" ca="1" si="513">DP178</f>
        <v/>
      </c>
      <c r="DQ179" s="302"/>
      <c r="DR179" s="364"/>
      <c r="DS179" s="302"/>
      <c r="DU179" s="424"/>
      <c r="EL179" s="424"/>
      <c r="EM179" s="424"/>
      <c r="EN179" s="424"/>
      <c r="EO179" s="424"/>
      <c r="EP179" s="424"/>
      <c r="EQ179" s="424"/>
      <c r="ER179" s="404" t="str">
        <f ca="1">ER173</f>
        <v/>
      </c>
      <c r="ES179" s="371" t="str">
        <f ca="1">IF(OR(ER179="",EY179="",ER179=EY179),"",CONCATENATE(ER179,EY179))</f>
        <v/>
      </c>
      <c r="ET179" s="422" t="str">
        <f ca="1">IF(OR(ES179="",EY165&gt;2),"",CONCATENATE(VLOOKUP(ES179,games.a,9,FALSE),VLOOKUP(ES179,games.a,12,FALSE)))</f>
        <v/>
      </c>
      <c r="EU179" s="413"/>
      <c r="EV179" s="414"/>
      <c r="EW179" s="423" t="str">
        <f ca="1">IF(ES179="","",VLOOKUP(ES179,games.a,6,FALSE))</f>
        <v/>
      </c>
      <c r="EX179" s="409" t="str">
        <f ca="1">IF(ES179="","",VLOOKUP(ES179,games.a,7,FALSE))</f>
        <v/>
      </c>
      <c r="EY179" s="415" t="str">
        <f ca="1">EY178</f>
        <v/>
      </c>
      <c r="EZ179" s="416"/>
      <c r="FA179" s="417"/>
      <c r="FB179" s="424"/>
      <c r="FC179" s="424"/>
      <c r="FD179" s="425"/>
      <c r="FE179" s="333"/>
      <c r="FO179" s="300"/>
      <c r="FP179" s="395" t="str">
        <f t="shared" ca="1" si="503"/>
        <v/>
      </c>
      <c r="FQ179" s="360" t="str">
        <f t="shared" ca="1" si="504"/>
        <v/>
      </c>
      <c r="FR179" s="360" t="str">
        <f t="shared" ca="1" si="495"/>
        <v/>
      </c>
      <c r="FS179" s="360" t="str">
        <f t="shared" ca="1" si="496"/>
        <v/>
      </c>
      <c r="FT179" s="360" t="str">
        <f t="shared" ca="1" si="497"/>
        <v/>
      </c>
      <c r="FU179" s="360" t="str">
        <f t="shared" ca="1" si="498"/>
        <v/>
      </c>
      <c r="FV179" s="360" t="str">
        <f t="shared" ca="1" si="499"/>
        <v/>
      </c>
      <c r="FW179" s="360" t="str">
        <f t="shared" ca="1" si="500"/>
        <v/>
      </c>
      <c r="FX179" s="360" t="str">
        <f t="shared" ca="1" si="501"/>
        <v/>
      </c>
      <c r="FY179" s="360" t="str">
        <f t="shared" ca="1" si="502"/>
        <v/>
      </c>
      <c r="FZ179" s="379" t="str">
        <f t="shared" ca="1" si="511"/>
        <v/>
      </c>
      <c r="GA179" s="302"/>
      <c r="GB179" s="364"/>
      <c r="GC179" s="302"/>
    </row>
    <row r="180" spans="40:185" x14ac:dyDescent="0.25">
      <c r="BA180" s="439">
        <f t="shared" si="493"/>
        <v>-999999999999.99097</v>
      </c>
      <c r="BB180" s="428"/>
      <c r="BC180" s="440">
        <f t="shared" si="494"/>
        <v>0</v>
      </c>
      <c r="CH180" s="445"/>
      <c r="CI180" s="350"/>
      <c r="CJ180" s="350"/>
      <c r="CK180" s="350"/>
      <c r="CL180" s="350"/>
      <c r="CM180" s="445"/>
      <c r="DG180" s="445"/>
      <c r="DH180" s="300"/>
      <c r="DI180" s="395" t="str">
        <f t="shared" ca="1" si="512"/>
        <v/>
      </c>
      <c r="DJ180" s="360" t="str">
        <f t="shared" ca="1" si="505"/>
        <v/>
      </c>
      <c r="DK180" s="360" t="str">
        <f t="shared" ca="1" si="506"/>
        <v/>
      </c>
      <c r="DL180" s="354" t="str">
        <f t="shared" ca="1" si="507"/>
        <v/>
      </c>
      <c r="DM180" s="354" t="str">
        <f t="shared" ca="1" si="508"/>
        <v/>
      </c>
      <c r="DN180" s="361" t="str">
        <f t="shared" ca="1" si="509"/>
        <v/>
      </c>
      <c r="DO180" s="362" t="str">
        <f t="shared" ca="1" si="510"/>
        <v/>
      </c>
      <c r="DP180" s="379" t="str">
        <f t="shared" ca="1" si="513"/>
        <v/>
      </c>
      <c r="DQ180" s="302"/>
      <c r="DR180" s="364"/>
      <c r="DS180" s="302"/>
      <c r="DU180" s="424"/>
      <c r="EL180" s="424"/>
      <c r="EM180" s="424"/>
      <c r="EN180" s="424"/>
      <c r="EO180" s="424"/>
      <c r="EP180" s="424"/>
      <c r="EQ180" s="424"/>
      <c r="ER180" s="404" t="str">
        <f ca="1">ER174</f>
        <v/>
      </c>
      <c r="ES180" s="371" t="str">
        <f ca="1">IF(OR(ER180="",EY180="",ER180=EY180),"",CONCATENATE(ER180,EY180))</f>
        <v/>
      </c>
      <c r="ET180" s="422" t="str">
        <f ca="1">IF(OR(ES180="",EY165&gt;2),"",CONCATENATE(VLOOKUP(ES180,games.a,9,FALSE),VLOOKUP(ES180,games.a,12,FALSE)))</f>
        <v/>
      </c>
      <c r="EU180" s="413"/>
      <c r="EV180" s="414"/>
      <c r="EW180" s="423" t="str">
        <f ca="1">IF(ES180="","",VLOOKUP(ES180,games.a,6,FALSE))</f>
        <v/>
      </c>
      <c r="EX180" s="409" t="str">
        <f ca="1">IF(ES180="","",VLOOKUP(ES180,games.a,7,FALSE))</f>
        <v/>
      </c>
      <c r="EY180" s="415" t="str">
        <f ca="1">EY179</f>
        <v/>
      </c>
      <c r="EZ180" s="416"/>
      <c r="FA180" s="417"/>
      <c r="FB180" s="424"/>
      <c r="FC180" s="424"/>
      <c r="FD180" s="425"/>
      <c r="FE180" s="333"/>
      <c r="FO180" s="300"/>
      <c r="FP180" s="395" t="str">
        <f t="shared" ca="1" si="503"/>
        <v/>
      </c>
      <c r="FQ180" s="360" t="str">
        <f t="shared" ca="1" si="504"/>
        <v/>
      </c>
      <c r="FR180" s="360" t="str">
        <f t="shared" ca="1" si="495"/>
        <v/>
      </c>
      <c r="FS180" s="360" t="str">
        <f t="shared" ca="1" si="496"/>
        <v/>
      </c>
      <c r="FT180" s="360" t="str">
        <f t="shared" ca="1" si="497"/>
        <v/>
      </c>
      <c r="FU180" s="360" t="str">
        <f t="shared" ca="1" si="498"/>
        <v/>
      </c>
      <c r="FV180" s="360" t="str">
        <f t="shared" ca="1" si="499"/>
        <v/>
      </c>
      <c r="FW180" s="360" t="str">
        <f t="shared" ca="1" si="500"/>
        <v/>
      </c>
      <c r="FX180" s="360" t="str">
        <f t="shared" ca="1" si="501"/>
        <v/>
      </c>
      <c r="FY180" s="360" t="str">
        <f t="shared" ca="1" si="502"/>
        <v/>
      </c>
      <c r="FZ180" s="379" t="str">
        <f t="shared" ca="1" si="511"/>
        <v/>
      </c>
      <c r="GA180" s="302"/>
      <c r="GB180" s="364"/>
      <c r="GC180" s="302"/>
    </row>
    <row r="181" spans="40:185" x14ac:dyDescent="0.25">
      <c r="BA181" s="439">
        <f t="shared" si="493"/>
        <v>-999999999999.99194</v>
      </c>
      <c r="BC181" s="440">
        <f t="shared" si="494"/>
        <v>0</v>
      </c>
      <c r="CH181" s="445"/>
      <c r="CI181" s="350"/>
      <c r="CJ181" s="350"/>
      <c r="CK181" s="350"/>
      <c r="CL181" s="350"/>
      <c r="CM181" s="445"/>
      <c r="DG181" s="445"/>
      <c r="DH181" s="300"/>
      <c r="DI181" s="395" t="str">
        <f t="shared" ca="1" si="512"/>
        <v/>
      </c>
      <c r="DJ181" s="360" t="str">
        <f t="shared" ca="1" si="505"/>
        <v/>
      </c>
      <c r="DK181" s="360" t="str">
        <f t="shared" ca="1" si="506"/>
        <v/>
      </c>
      <c r="DL181" s="354" t="str">
        <f t="shared" ca="1" si="507"/>
        <v/>
      </c>
      <c r="DM181" s="354" t="str">
        <f t="shared" ca="1" si="508"/>
        <v/>
      </c>
      <c r="DN181" s="361" t="str">
        <f t="shared" ca="1" si="509"/>
        <v/>
      </c>
      <c r="DO181" s="362" t="str">
        <f t="shared" ca="1" si="510"/>
        <v/>
      </c>
      <c r="DP181" s="379" t="str">
        <f t="shared" ca="1" si="513"/>
        <v/>
      </c>
      <c r="DQ181" s="302"/>
      <c r="DR181" s="364"/>
      <c r="DS181" s="302"/>
      <c r="DU181" s="424"/>
      <c r="EL181" s="424"/>
      <c r="EM181" s="424"/>
      <c r="EN181" s="424"/>
      <c r="EO181" s="424"/>
      <c r="EP181" s="424"/>
      <c r="EQ181" s="424"/>
      <c r="ER181" s="404" t="str">
        <f ca="1">ER175</f>
        <v/>
      </c>
      <c r="ES181" s="371" t="str">
        <f ca="1">IF(OR(ER181="",EY181="",ER181=EY181),"",CONCATENATE(ER181,EY181))</f>
        <v/>
      </c>
      <c r="ET181" s="422" t="str">
        <f ca="1">IF(OR(ES181="",EY165&gt;2),"",CONCATENATE(VLOOKUP(ES181,games.a,9,FALSE),VLOOKUP(ES181,games.a,12,FALSE)))</f>
        <v/>
      </c>
      <c r="EU181" s="413"/>
      <c r="EV181" s="414"/>
      <c r="EW181" s="423" t="str">
        <f ca="1">IF(ES181="","",VLOOKUP(ES181,games.a,6,FALSE))</f>
        <v/>
      </c>
      <c r="EX181" s="409" t="str">
        <f ca="1">IF(ES181="","",VLOOKUP(ES181,games.a,7,FALSE))</f>
        <v/>
      </c>
      <c r="EY181" s="415" t="str">
        <f ca="1">EY180</f>
        <v/>
      </c>
      <c r="EZ181" s="416"/>
      <c r="FA181" s="417"/>
      <c r="FB181" s="424"/>
      <c r="FC181" s="424"/>
      <c r="FD181" s="425"/>
      <c r="FE181" s="333"/>
      <c r="FO181" s="300"/>
      <c r="FP181" s="395" t="str">
        <f t="shared" ca="1" si="503"/>
        <v/>
      </c>
      <c r="FQ181" s="360" t="str">
        <f t="shared" ca="1" si="504"/>
        <v/>
      </c>
      <c r="FR181" s="360" t="str">
        <f t="shared" ca="1" si="495"/>
        <v/>
      </c>
      <c r="FS181" s="360" t="str">
        <f t="shared" ca="1" si="496"/>
        <v/>
      </c>
      <c r="FT181" s="360" t="str">
        <f t="shared" ca="1" si="497"/>
        <v/>
      </c>
      <c r="FU181" s="360" t="str">
        <f t="shared" ca="1" si="498"/>
        <v/>
      </c>
      <c r="FV181" s="360" t="str">
        <f t="shared" ca="1" si="499"/>
        <v/>
      </c>
      <c r="FW181" s="360" t="str">
        <f t="shared" ca="1" si="500"/>
        <v/>
      </c>
      <c r="FX181" s="360" t="str">
        <f t="shared" ca="1" si="501"/>
        <v/>
      </c>
      <c r="FY181" s="360" t="str">
        <f t="shared" ca="1" si="502"/>
        <v/>
      </c>
      <c r="FZ181" s="379" t="str">
        <f t="shared" ca="1" si="511"/>
        <v/>
      </c>
      <c r="GA181" s="302"/>
      <c r="GB181" s="364"/>
      <c r="GC181" s="302"/>
    </row>
    <row r="182" spans="40:185" x14ac:dyDescent="0.25">
      <c r="BA182" s="439">
        <f t="shared" si="493"/>
        <v>-999999999999.99304</v>
      </c>
      <c r="BC182" s="440">
        <f t="shared" si="494"/>
        <v>0</v>
      </c>
      <c r="CH182" s="445"/>
      <c r="CI182" s="350"/>
      <c r="CJ182" s="350"/>
      <c r="CK182" s="350"/>
      <c r="CL182" s="350"/>
      <c r="CM182" s="445"/>
      <c r="DG182" s="445"/>
      <c r="DH182" s="300"/>
      <c r="DI182" s="395" t="str">
        <f t="shared" ca="1" si="512"/>
        <v/>
      </c>
      <c r="DJ182" s="360" t="str">
        <f t="shared" ca="1" si="505"/>
        <v/>
      </c>
      <c r="DK182" s="360" t="str">
        <f t="shared" ca="1" si="506"/>
        <v/>
      </c>
      <c r="DL182" s="354" t="str">
        <f t="shared" ca="1" si="507"/>
        <v/>
      </c>
      <c r="DM182" s="354" t="str">
        <f t="shared" ca="1" si="508"/>
        <v/>
      </c>
      <c r="DN182" s="361" t="str">
        <f t="shared" ca="1" si="509"/>
        <v/>
      </c>
      <c r="DO182" s="362" t="str">
        <f t="shared" ca="1" si="510"/>
        <v/>
      </c>
      <c r="DP182" s="379" t="str">
        <f t="shared" ca="1" si="513"/>
        <v/>
      </c>
      <c r="DQ182" s="302"/>
      <c r="DR182" s="364"/>
      <c r="DS182" s="302"/>
      <c r="DU182" s="424"/>
      <c r="EL182" s="424"/>
      <c r="EM182" s="424"/>
      <c r="EN182" s="424"/>
      <c r="EO182" s="424"/>
      <c r="EP182" s="424"/>
      <c r="EQ182" s="424"/>
      <c r="ER182" s="404" t="str">
        <f ca="1">ER176</f>
        <v/>
      </c>
      <c r="ES182" s="371" t="str">
        <f ca="1">IF(OR(ER182="",EY182="",ER182=EY182),"",CONCATENATE(ER182,EY182))</f>
        <v/>
      </c>
      <c r="ET182" s="422" t="str">
        <f ca="1">IF(OR(ES182="",EY165&gt;2),"",CONCATENATE(VLOOKUP(ES182,games.a,9,FALSE),VLOOKUP(ES182,games.a,12,FALSE)))</f>
        <v/>
      </c>
      <c r="EU182" s="420"/>
      <c r="EV182" s="421"/>
      <c r="EW182" s="423" t="str">
        <f ca="1">IF(ES182="","",VLOOKUP(ES182,games.a,6,FALSE))</f>
        <v/>
      </c>
      <c r="EX182" s="409" t="str">
        <f ca="1">IF(ES182="","",VLOOKUP(ES182,games.a,7,FALSE))</f>
        <v/>
      </c>
      <c r="EY182" s="415" t="str">
        <f ca="1">EY181</f>
        <v/>
      </c>
      <c r="EZ182" s="416"/>
      <c r="FA182" s="417"/>
      <c r="FB182" s="424"/>
      <c r="FC182" s="424"/>
      <c r="FD182" s="425"/>
      <c r="FE182" s="333"/>
      <c r="FO182" s="300"/>
      <c r="FP182" s="395" t="str">
        <f t="shared" ca="1" si="503"/>
        <v/>
      </c>
      <c r="FQ182" s="360" t="str">
        <f t="shared" ca="1" si="504"/>
        <v/>
      </c>
      <c r="FR182" s="360" t="str">
        <f t="shared" ca="1" si="495"/>
        <v/>
      </c>
      <c r="FS182" s="360" t="str">
        <f t="shared" ca="1" si="496"/>
        <v/>
      </c>
      <c r="FT182" s="360" t="str">
        <f t="shared" ca="1" si="497"/>
        <v/>
      </c>
      <c r="FU182" s="360" t="str">
        <f t="shared" ca="1" si="498"/>
        <v/>
      </c>
      <c r="FV182" s="360" t="str">
        <f t="shared" ca="1" si="499"/>
        <v/>
      </c>
      <c r="FW182" s="360" t="str">
        <f t="shared" ca="1" si="500"/>
        <v/>
      </c>
      <c r="FX182" s="360" t="str">
        <f t="shared" ca="1" si="501"/>
        <v/>
      </c>
      <c r="FY182" s="360" t="str">
        <f t="shared" ca="1" si="502"/>
        <v/>
      </c>
      <c r="FZ182" s="379" t="str">
        <f t="shared" ca="1" si="511"/>
        <v/>
      </c>
      <c r="GA182" s="302"/>
      <c r="GB182" s="364"/>
      <c r="GC182" s="302"/>
    </row>
    <row r="183" spans="40:185" x14ac:dyDescent="0.25">
      <c r="CH183" s="445"/>
      <c r="CI183" s="350"/>
      <c r="CJ183" s="350"/>
      <c r="CK183" s="350"/>
      <c r="CL183" s="350"/>
      <c r="CM183" s="445"/>
      <c r="DG183" s="445"/>
      <c r="DH183" s="300"/>
      <c r="DI183" s="395" t="str">
        <f t="shared" ca="1" si="512"/>
        <v/>
      </c>
      <c r="DJ183" s="360" t="str">
        <f t="shared" ca="1" si="505"/>
        <v/>
      </c>
      <c r="DK183" s="360" t="str">
        <f t="shared" ca="1" si="506"/>
        <v/>
      </c>
      <c r="DL183" s="354" t="str">
        <f t="shared" ca="1" si="507"/>
        <v/>
      </c>
      <c r="DM183" s="354" t="str">
        <f t="shared" ca="1" si="508"/>
        <v/>
      </c>
      <c r="DN183" s="361" t="str">
        <f t="shared" ca="1" si="509"/>
        <v/>
      </c>
      <c r="DO183" s="362" t="str">
        <f t="shared" ca="1" si="510"/>
        <v/>
      </c>
      <c r="DP183" s="379" t="str">
        <f t="shared" ca="1" si="513"/>
        <v/>
      </c>
      <c r="DQ183" s="302"/>
      <c r="DR183" s="364"/>
      <c r="DS183" s="302"/>
      <c r="DU183" s="424"/>
      <c r="EL183" s="424"/>
      <c r="EM183" s="424"/>
      <c r="EN183" s="424"/>
      <c r="EO183" s="424"/>
      <c r="EP183" s="424"/>
      <c r="EQ183" s="424"/>
      <c r="ER183" s="398"/>
      <c r="ES183" s="329" t="s">
        <v>157</v>
      </c>
      <c r="ET183" s="329" t="s">
        <v>158</v>
      </c>
      <c r="EU183" s="399"/>
      <c r="EV183" s="400"/>
      <c r="EW183" s="401" t="s">
        <v>160</v>
      </c>
      <c r="EX183" s="402" t="s">
        <v>135</v>
      </c>
      <c r="EY183" s="398"/>
      <c r="EZ183" s="365"/>
      <c r="FA183" s="365"/>
      <c r="FB183" s="424"/>
      <c r="FC183" s="424"/>
      <c r="FD183" s="425"/>
      <c r="FE183" s="333"/>
      <c r="FO183" s="300"/>
      <c r="FP183" s="395" t="str">
        <f t="shared" ca="1" si="503"/>
        <v/>
      </c>
      <c r="FQ183" s="360" t="str">
        <f t="shared" ca="1" si="504"/>
        <v/>
      </c>
      <c r="FR183" s="360" t="str">
        <f t="shared" ca="1" si="495"/>
        <v/>
      </c>
      <c r="FS183" s="360" t="str">
        <f t="shared" ca="1" si="496"/>
        <v/>
      </c>
      <c r="FT183" s="360" t="str">
        <f t="shared" ca="1" si="497"/>
        <v/>
      </c>
      <c r="FU183" s="360" t="str">
        <f t="shared" ca="1" si="498"/>
        <v/>
      </c>
      <c r="FV183" s="360" t="str">
        <f t="shared" ca="1" si="499"/>
        <v/>
      </c>
      <c r="FW183" s="360" t="str">
        <f t="shared" ca="1" si="500"/>
        <v/>
      </c>
      <c r="FX183" s="360" t="str">
        <f t="shared" ca="1" si="501"/>
        <v/>
      </c>
      <c r="FY183" s="360" t="str">
        <f t="shared" ca="1" si="502"/>
        <v/>
      </c>
      <c r="FZ183" s="379" t="str">
        <f t="shared" ca="1" si="511"/>
        <v/>
      </c>
      <c r="GA183" s="302"/>
      <c r="GB183" s="364"/>
      <c r="GC183" s="302"/>
    </row>
    <row r="184" spans="40:185" x14ac:dyDescent="0.25">
      <c r="CH184" s="445"/>
      <c r="CI184" s="350"/>
      <c r="CJ184" s="350"/>
      <c r="CK184" s="350"/>
      <c r="CL184" s="350"/>
      <c r="CM184" s="445"/>
      <c r="DG184" s="445"/>
      <c r="DH184" s="300"/>
      <c r="DI184" s="395" t="str">
        <f t="shared" ca="1" si="512"/>
        <v/>
      </c>
      <c r="DJ184" s="360" t="str">
        <f t="shared" ca="1" si="505"/>
        <v/>
      </c>
      <c r="DK184" s="360" t="str">
        <f t="shared" ca="1" si="506"/>
        <v/>
      </c>
      <c r="DL184" s="354" t="str">
        <f t="shared" ca="1" si="507"/>
        <v/>
      </c>
      <c r="DM184" s="354" t="str">
        <f t="shared" ca="1" si="508"/>
        <v/>
      </c>
      <c r="DN184" s="361" t="str">
        <f t="shared" ca="1" si="509"/>
        <v/>
      </c>
      <c r="DO184" s="362" t="str">
        <f t="shared" ca="1" si="510"/>
        <v/>
      </c>
      <c r="DP184" s="379" t="str">
        <f t="shared" ca="1" si="513"/>
        <v/>
      </c>
      <c r="DQ184" s="302"/>
      <c r="DR184" s="364"/>
      <c r="DS184" s="302"/>
      <c r="DU184" s="424"/>
      <c r="EL184" s="424"/>
      <c r="EM184" s="424"/>
      <c r="EN184" s="424"/>
      <c r="EO184" s="424"/>
      <c r="EP184" s="424"/>
      <c r="EQ184" s="424"/>
      <c r="ER184" s="404" t="str">
        <f ca="1">ER178</f>
        <v/>
      </c>
      <c r="ES184" s="371" t="str">
        <f ca="1">IF(OR(ER184="",EY184="",ER184=EY184),"",CONCATENATE(ER184,EY184))</f>
        <v/>
      </c>
      <c r="ET184" s="422" t="str">
        <f ca="1">IF(OR(ES184="",EY165&gt;2),"",CONCATENATE(VLOOKUP(ES184,games.a,9,FALSE),VLOOKUP(ES184,games.a,12,FALSE)))</f>
        <v/>
      </c>
      <c r="EU184" s="406"/>
      <c r="EV184" s="407"/>
      <c r="EW184" s="423" t="str">
        <f ca="1">IF(ES184="","",VLOOKUP(ES184,games.a,6,FALSE))</f>
        <v/>
      </c>
      <c r="EX184" s="409" t="str">
        <f ca="1">IF(ES184="","",VLOOKUP(ES184,games.a,7,FALSE))</f>
        <v/>
      </c>
      <c r="EY184" s="410" t="str">
        <f ca="1">ER169</f>
        <v/>
      </c>
      <c r="EZ184" s="411"/>
      <c r="FA184" s="412"/>
      <c r="FB184" s="424"/>
      <c r="FC184" s="424"/>
      <c r="FD184" s="425"/>
      <c r="FE184" s="333"/>
      <c r="FO184" s="300"/>
      <c r="FP184" s="395" t="str">
        <f t="shared" ca="1" si="503"/>
        <v/>
      </c>
      <c r="FQ184" s="360" t="str">
        <f t="shared" ca="1" si="504"/>
        <v/>
      </c>
      <c r="FR184" s="360" t="str">
        <f t="shared" ca="1" si="495"/>
        <v/>
      </c>
      <c r="FS184" s="360" t="str">
        <f t="shared" ca="1" si="496"/>
        <v/>
      </c>
      <c r="FT184" s="360" t="str">
        <f t="shared" ca="1" si="497"/>
        <v/>
      </c>
      <c r="FU184" s="360" t="str">
        <f t="shared" ca="1" si="498"/>
        <v/>
      </c>
      <c r="FV184" s="360" t="str">
        <f t="shared" ca="1" si="499"/>
        <v/>
      </c>
      <c r="FW184" s="360" t="str">
        <f t="shared" ca="1" si="500"/>
        <v/>
      </c>
      <c r="FX184" s="360" t="str">
        <f t="shared" ca="1" si="501"/>
        <v/>
      </c>
      <c r="FY184" s="360" t="str">
        <f t="shared" ca="1" si="502"/>
        <v/>
      </c>
      <c r="FZ184" s="379" t="str">
        <f t="shared" ca="1" si="511"/>
        <v/>
      </c>
      <c r="GA184" s="302"/>
      <c r="GB184" s="364"/>
      <c r="GC184" s="302"/>
    </row>
    <row r="185" spans="40:185" x14ac:dyDescent="0.25">
      <c r="AO185" s="434" t="s">
        <v>390</v>
      </c>
      <c r="AP185" s="434" t="s">
        <v>391</v>
      </c>
      <c r="AQ185" s="434" t="s">
        <v>392</v>
      </c>
      <c r="AY185" s="434" t="s">
        <v>379</v>
      </c>
      <c r="BA185" s="434" t="s">
        <v>380</v>
      </c>
      <c r="BB185" s="179"/>
      <c r="BC185" s="434" t="s">
        <v>381</v>
      </c>
      <c r="BD185" s="318" t="s">
        <v>120</v>
      </c>
      <c r="BE185" s="318" t="s">
        <v>121</v>
      </c>
      <c r="BF185" s="318" t="s">
        <v>134</v>
      </c>
      <c r="BG185" s="318" t="s">
        <v>122</v>
      </c>
      <c r="BH185" s="318" t="s">
        <v>123</v>
      </c>
      <c r="BI185" s="318" t="s">
        <v>124</v>
      </c>
      <c r="BJ185" s="318" t="s">
        <v>125</v>
      </c>
      <c r="BK185" s="318" t="s">
        <v>191</v>
      </c>
      <c r="BL185" s="318" t="s">
        <v>207</v>
      </c>
      <c r="BM185" s="318" t="s">
        <v>126</v>
      </c>
      <c r="BN185" s="318" t="s">
        <v>197</v>
      </c>
      <c r="BO185" s="318" t="s">
        <v>192</v>
      </c>
      <c r="BP185" s="318" t="s">
        <v>127</v>
      </c>
      <c r="BQ185" s="318" t="s">
        <v>208</v>
      </c>
      <c r="BS185" s="318" t="s">
        <v>196</v>
      </c>
      <c r="BT185" s="318" t="s">
        <v>121</v>
      </c>
      <c r="BU185" s="318" t="s">
        <v>134</v>
      </c>
      <c r="BV185" s="318" t="s">
        <v>122</v>
      </c>
      <c r="BW185" s="318" t="s">
        <v>123</v>
      </c>
      <c r="BX185" s="318" t="s">
        <v>124</v>
      </c>
      <c r="BZ185" s="318" t="s">
        <v>196</v>
      </c>
      <c r="CA185" s="318" t="s">
        <v>121</v>
      </c>
      <c r="CB185" s="318" t="s">
        <v>134</v>
      </c>
      <c r="CC185" s="318" t="s">
        <v>122</v>
      </c>
      <c r="CD185" s="318" t="s">
        <v>123</v>
      </c>
      <c r="CE185" s="318" t="s">
        <v>124</v>
      </c>
      <c r="CH185" s="445"/>
      <c r="CI185" s="350"/>
      <c r="CJ185" s="350"/>
      <c r="CK185" s="350"/>
      <c r="CL185" s="350"/>
      <c r="CM185" s="445"/>
      <c r="DG185" s="445"/>
      <c r="DH185" s="300"/>
      <c r="DI185" s="301"/>
      <c r="DJ185" s="324" t="s">
        <v>157</v>
      </c>
      <c r="DK185" s="324" t="s">
        <v>158</v>
      </c>
      <c r="DL185" s="325" t="s">
        <v>159</v>
      </c>
      <c r="DM185" s="325"/>
      <c r="DN185" s="326" t="s">
        <v>160</v>
      </c>
      <c r="DO185" s="325" t="s">
        <v>135</v>
      </c>
      <c r="DP185" s="302"/>
      <c r="DQ185" s="302"/>
      <c r="DR185" s="364"/>
      <c r="DS185" s="302"/>
      <c r="DU185" s="424"/>
      <c r="EL185" s="424"/>
      <c r="EM185" s="424"/>
      <c r="EN185" s="424"/>
      <c r="EO185" s="424"/>
      <c r="EP185" s="424"/>
      <c r="EQ185" s="424"/>
      <c r="ER185" s="404" t="str">
        <f ca="1">ER179</f>
        <v/>
      </c>
      <c r="ES185" s="371" t="str">
        <f ca="1">IF(OR(ER185="",EY185="",ER185=EY185),"",CONCATENATE(ER185,EY185))</f>
        <v/>
      </c>
      <c r="ET185" s="422" t="str">
        <f ca="1">IF(OR(ES185="",EY165&gt;2),"",CONCATENATE(VLOOKUP(ES185,games.a,9,FALSE),VLOOKUP(ES185,games.a,12,FALSE)))</f>
        <v/>
      </c>
      <c r="EU185" s="413"/>
      <c r="EV185" s="414"/>
      <c r="EW185" s="423" t="str">
        <f ca="1">IF(ES185="","",VLOOKUP(ES185,games.a,6,FALSE))</f>
        <v/>
      </c>
      <c r="EX185" s="409" t="str">
        <f ca="1">IF(ES185="","",VLOOKUP(ES185,games.a,7,FALSE))</f>
        <v/>
      </c>
      <c r="EY185" s="415" t="str">
        <f ca="1">EY184</f>
        <v/>
      </c>
      <c r="EZ185" s="416"/>
      <c r="FA185" s="417"/>
      <c r="FB185" s="424"/>
      <c r="FC185" s="424"/>
      <c r="FD185" s="425"/>
      <c r="FE185" s="333"/>
      <c r="FO185" s="300"/>
      <c r="FP185" s="395" t="str">
        <f t="shared" ca="1" si="503"/>
        <v/>
      </c>
      <c r="FQ185" s="360" t="str">
        <f t="shared" ca="1" si="504"/>
        <v/>
      </c>
      <c r="FR185" s="360" t="str">
        <f t="shared" ca="1" si="495"/>
        <v/>
      </c>
      <c r="FS185" s="360" t="str">
        <f t="shared" ca="1" si="496"/>
        <v/>
      </c>
      <c r="FT185" s="360" t="str">
        <f t="shared" ca="1" si="497"/>
        <v/>
      </c>
      <c r="FU185" s="360" t="str">
        <f t="shared" ca="1" si="498"/>
        <v/>
      </c>
      <c r="FV185" s="360" t="str">
        <f t="shared" ca="1" si="499"/>
        <v/>
      </c>
      <c r="FW185" s="360" t="str">
        <f t="shared" ca="1" si="500"/>
        <v/>
      </c>
      <c r="FX185" s="360" t="str">
        <f t="shared" ca="1" si="501"/>
        <v/>
      </c>
      <c r="FY185" s="360" t="str">
        <f t="shared" ca="1" si="502"/>
        <v/>
      </c>
      <c r="FZ185" s="379" t="str">
        <f t="shared" ca="1" si="511"/>
        <v/>
      </c>
      <c r="GA185" s="302"/>
      <c r="GB185" s="364"/>
      <c r="GC185" s="302"/>
    </row>
    <row r="186" spans="40:185" x14ac:dyDescent="0.25">
      <c r="AN186" s="336">
        <f>BC186</f>
        <v>0</v>
      </c>
      <c r="AO186" s="443" t="str">
        <f>IF(AP186=AQ186,"►",IF(AP186&lt;AQ186,"▲","▼"))</f>
        <v>►</v>
      </c>
      <c r="AP186" s="444">
        <f>IF($AJ$58=1,RANK(BA186,$BA$186:$BA$195,1),RANK(AY186,$AY$186:$AY$195,1))</f>
        <v>10</v>
      </c>
      <c r="AQ186" s="444">
        <f>IF($AJ$58=1,RANK(BA94,$BA$94:$BA$103,1),RANK(BA173,$BA$173:$BA$182,1))</f>
        <v>10</v>
      </c>
      <c r="AY186" s="348">
        <f>IF($AJ$58=2,BH186,BI186*-1)*1000000+IF($AJ$44,BK186,BJ186)*1000+BP186-IF(BC186=0,1000000000000,0)</f>
        <v>-999999999999.98401</v>
      </c>
      <c r="BA186" s="348">
        <f>IF($AJ$44,BO186*100,IF($AJ$43,BM186*10,BM186))*1000000+IF($AJ$52,BE186*10000,0)+IF($AJ$44,BK186,BJ186)*1000/IF(OR($AJ$43,$AJ$52),10,1)+IF($AJ$44,0,IF($AJ$43,BH186/10,BH186))+BP186+IF($AJ$76,BQ186,0)-IF(BC186=0,1000000000,0)</f>
        <v>-999999999.98399997</v>
      </c>
      <c r="BB186" s="349">
        <v>1</v>
      </c>
      <c r="BC186" s="378">
        <f>X72</f>
        <v>0</v>
      </c>
      <c r="BD186" s="346">
        <f>BE186+BF186+BG186</f>
        <v>0</v>
      </c>
      <c r="BE186" s="346">
        <f t="shared" ref="BE186:BE195" si="514">IF(NOT($X$71),0,IF($AJ$57=1,BT186+CA186,IF($AJ$57=2,BT186,IF($AJ$57=3,CA186,""))))</f>
        <v>0</v>
      </c>
      <c r="BF186" s="346">
        <f t="shared" ref="BF186:BF195" si="515">IF(NOT($X$71),0,IF($AJ$57=1,BU186+CB186,IF($AJ$57=2,BU186,IF($AJ$57=3,CB186,""))))</f>
        <v>0</v>
      </c>
      <c r="BG186" s="346">
        <f t="shared" ref="BG186:BG195" si="516">IF(NOT($X$71),0,IF($AJ$57=1,BV186+CC186,IF($AJ$57=2,BV186,IF($AJ$57=3,CC186,""))))</f>
        <v>0</v>
      </c>
      <c r="BH186" s="346">
        <f t="shared" ref="BH186:BH195" si="517">IF(NOT($X$71),0,IF($AJ$57=1,BW186+CD186,IF($AJ$57=2,BW186,IF($AJ$57=3,CD186,""))))</f>
        <v>0</v>
      </c>
      <c r="BI186" s="346">
        <f t="shared" ref="BI186:BI195" si="518">IF(NOT($X$71),0,IF($AJ$57=1,BX186+CE186,IF($AJ$57=2,BX186,IF($AJ$57=3,CE186,""))))</f>
        <v>0</v>
      </c>
      <c r="BJ186" s="346">
        <f>BH186-BI186</f>
        <v>0</v>
      </c>
      <c r="BK186" s="347">
        <f>IF(BI186=0,0,BH186/BI186)</f>
        <v>0</v>
      </c>
      <c r="BL186" s="346">
        <f t="shared" ref="BL186:BL195" si="519">IF(NOT($X$71),0,IF($AJ$77,IF(ISNA(VLOOKUP(BC186,penalty.a,2,FALSE)),0,VLOOKUP(BC186,penalty.a,2,FALSE)),0))</f>
        <v>0</v>
      </c>
      <c r="BM186" s="346">
        <f t="shared" ref="BM186:BM195" si="520">IF(NOT($X$71),0,$AJ$48*BE186+BF186-BL186)</f>
        <v>0</v>
      </c>
      <c r="BN186" s="346">
        <f>IF(NOT($X$71),0,BE186*2+BG186-BL186)</f>
        <v>0</v>
      </c>
      <c r="BO186" s="347">
        <f t="shared" ref="BO186:BO195" si="521">IF(NOT($X$71),0,IF(BD186=0,BN186,IF(BN186=0,0,BN186/BD186/2)))</f>
        <v>0</v>
      </c>
      <c r="BP186" s="348">
        <v>1.599999999999998E-2</v>
      </c>
      <c r="BQ186" s="349">
        <f t="shared" ref="BQ186:BQ195" ca="1" si="522">IF(ISNA(VLOOKUP(BC186,eee.an,16,FALSE)),0,VLOOKUP(BC186,eee.an,16,FALSE))</f>
        <v>0</v>
      </c>
      <c r="BS186" s="346">
        <f t="shared" ref="BS186:BS195" ca="1" si="523">COUNTIF(lossh.av,CONCATENATE($BC186,"ooo"))-COUNTIF($BN$119:$BN$142,CONCATENATE($BC186,"ooo"))</f>
        <v>0</v>
      </c>
      <c r="BT186" s="346">
        <f t="shared" ref="BT186:BT195" ca="1" si="524">COUNTIF(winh.av,$BC186)-COUNTIF($BL$119:$BL$142,$BC186)</f>
        <v>0</v>
      </c>
      <c r="BU186" s="346">
        <f t="shared" ref="BU186:BU195" ca="1" si="525">COUNTIF(drawh.av,$BC186)-COUNTIF($BM$119:$BM$142,$BC186)</f>
        <v>0</v>
      </c>
      <c r="BV186" s="346">
        <f t="shared" ref="BV186:BV195" ca="1" si="526">COUNTIF(lossh.av,$BC186)-COUNTIF($BN$119:$BN$142,$BC186)+BS186</f>
        <v>0</v>
      </c>
      <c r="BW186" s="346">
        <f t="shared" ref="BW186:BW195" ca="1" si="527">SUMIF(home.av,$BC186,GAA.av)-SUMIF($BH$119:$BH$142,$BC186,$BJ$119:$BJ$142)</f>
        <v>0</v>
      </c>
      <c r="BX186" s="346">
        <f t="shared" ref="BX186:BX195" ca="1" si="528">SUMIF(home.av,$BC186,GBB.av)-SUMIF($BH$119:$BH$142,$BC186,$BK$119:$BK$142)</f>
        <v>0</v>
      </c>
      <c r="BZ186" s="346">
        <f t="shared" ref="BZ186:BZ195" ca="1" si="529">COUNTIF(lossa.av,CONCATENATE($BC186,"ooo"))-COUNTIF($BQ$119:$BQ$142,CONCATENATE($BC186,"ooo"))</f>
        <v>0</v>
      </c>
      <c r="CA186" s="346">
        <f t="shared" ref="CA186:CA195" ca="1" si="530">COUNTIF(wina.av,$BC186)-COUNTIF($BO$119:$BO$142,$BC186)</f>
        <v>0</v>
      </c>
      <c r="CB186" s="346">
        <f t="shared" ref="CB186:CB195" ca="1" si="531">COUNTIF(drawa.av,$BC186)-COUNTIF($BP$119:$BP$142,$BC186)</f>
        <v>0</v>
      </c>
      <c r="CC186" s="346">
        <f t="shared" ref="CC186:CC195" ca="1" si="532">COUNTIF(lossa.av,$BC186)-COUNTIF($BQ$119:$BQ$142,$BC186)+BZ186</f>
        <v>0</v>
      </c>
      <c r="CD186" s="346">
        <f t="shared" ref="CD186:CD195" ca="1" si="533">SUMIF(away.av,$BC186,GBB.av)-SUMIF($BI$119:$BI$142,$BC186,$BK$119:$BK$142)</f>
        <v>0</v>
      </c>
      <c r="CE186" s="346">
        <f t="shared" ref="CE186:CE195" ca="1" si="534">SUMIF(away.av,$BC186,GAA.av)-SUMIF($BI$119:$BI$142,$BC186,$BJ$119:$BJ$142)</f>
        <v>0</v>
      </c>
      <c r="CH186" s="445"/>
      <c r="CI186" s="350"/>
      <c r="CJ186" s="350"/>
      <c r="CK186" s="350"/>
      <c r="CL186" s="350"/>
      <c r="CM186" s="445"/>
      <c r="DG186" s="445"/>
      <c r="DH186" s="300"/>
      <c r="DI186" s="395" t="str">
        <f ca="1">DI178</f>
        <v>Hercules-Ludovika</v>
      </c>
      <c r="DJ186" s="360" t="str">
        <f t="shared" ref="DJ186:DJ192" ca="1" si="535">IF(OR(DI186="",DP186="",DI186=DP186),"",CONCATENATE(DI186,DP186))</f>
        <v/>
      </c>
      <c r="DK186" s="360" t="str">
        <f t="shared" ref="DK186:DK192" ca="1" si="536">IF($DJ186="","",CONCATENATE(VLOOKUP($DJ186,games.a,9,FALSE),VLOOKUP($DJ186,games.a,12,FALSE)))</f>
        <v/>
      </c>
      <c r="DL186" s="354" t="str">
        <f t="shared" ref="DL186:DL192" ca="1" si="537">IF($DJ186="","",VLOOKUP($DJ186,games.a,10,FALSE))</f>
        <v/>
      </c>
      <c r="DM186" s="354" t="str">
        <f t="shared" ref="DM186:DM192" ca="1" si="538">IF($DJ186="","",VLOOKUP($DJ186,games.a,13,FALSE))</f>
        <v/>
      </c>
      <c r="DN186" s="361" t="str">
        <f t="shared" ref="DN186:DN192" ca="1" si="539">IF($DJ186="","",VLOOKUP($DJ186,games.a,6,FALSE))</f>
        <v/>
      </c>
      <c r="DO186" s="362" t="str">
        <f t="shared" ref="DO186:DO192" ca="1" si="540">IF($DJ186="","",VLOOKUP($DJ186,games.a,7,FALSE))</f>
        <v/>
      </c>
      <c r="DP186" s="363" t="str">
        <f ca="1">DI158</f>
        <v/>
      </c>
      <c r="DQ186" s="302"/>
      <c r="DR186" s="364"/>
      <c r="DS186" s="302"/>
      <c r="DU186" s="424"/>
      <c r="EL186" s="424"/>
      <c r="EM186" s="424"/>
      <c r="EN186" s="424"/>
      <c r="EO186" s="424"/>
      <c r="EP186" s="424"/>
      <c r="EQ186" s="424"/>
      <c r="ER186" s="404" t="str">
        <f ca="1">ER180</f>
        <v/>
      </c>
      <c r="ES186" s="371" t="str">
        <f ca="1">IF(OR(ER186="",EY186="",ER186=EY186),"",CONCATENATE(ER186,EY186))</f>
        <v/>
      </c>
      <c r="ET186" s="422" t="str">
        <f ca="1">IF(OR(ES186="",EY165&gt;2),"",CONCATENATE(VLOOKUP(ES186,games.a,9,FALSE),VLOOKUP(ES186,games.a,12,FALSE)))</f>
        <v/>
      </c>
      <c r="EU186" s="413"/>
      <c r="EV186" s="414"/>
      <c r="EW186" s="423" t="str">
        <f ca="1">IF(ES186="","",VLOOKUP(ES186,games.a,6,FALSE))</f>
        <v/>
      </c>
      <c r="EX186" s="409" t="str">
        <f ca="1">IF(ES186="","",VLOOKUP(ES186,games.a,7,FALSE))</f>
        <v/>
      </c>
      <c r="EY186" s="415" t="str">
        <f ca="1">EY185</f>
        <v/>
      </c>
      <c r="EZ186" s="416"/>
      <c r="FA186" s="417"/>
      <c r="FB186" s="424"/>
      <c r="FC186" s="424"/>
      <c r="FD186" s="425"/>
      <c r="FE186" s="333"/>
      <c r="FO186" s="300"/>
      <c r="FP186" s="301"/>
      <c r="FQ186" s="324" t="s">
        <v>157</v>
      </c>
      <c r="FR186" s="324" t="s">
        <v>237</v>
      </c>
      <c r="FS186" s="324" t="s">
        <v>239</v>
      </c>
      <c r="FT186" s="324" t="s">
        <v>240</v>
      </c>
      <c r="FU186" s="324" t="s">
        <v>238</v>
      </c>
      <c r="FV186" s="324" t="s">
        <v>241</v>
      </c>
      <c r="FW186" s="324" t="s">
        <v>242</v>
      </c>
      <c r="FX186" s="326" t="s">
        <v>160</v>
      </c>
      <c r="FY186" s="325" t="s">
        <v>135</v>
      </c>
      <c r="FZ186" s="302"/>
      <c r="GA186" s="302"/>
      <c r="GB186" s="364"/>
      <c r="GC186" s="302"/>
    </row>
    <row r="187" spans="40:185" x14ac:dyDescent="0.25">
      <c r="AN187" s="336">
        <f t="shared" ref="AN187:AN195" si="541">BC187</f>
        <v>0</v>
      </c>
      <c r="AO187" s="443" t="str">
        <f t="shared" ref="AO187:AO195" si="542">IF(AP187=AQ187,"►",IF(AP187&lt;AQ187,"▲","▼"))</f>
        <v>►</v>
      </c>
      <c r="AP187" s="444">
        <f t="shared" ref="AP187:AP195" si="543">IF($AJ$58=1,RANK(BA187,$BA$186:$BA$195,1),RANK(AY187,$AY$186:$AY$195,1))</f>
        <v>9</v>
      </c>
      <c r="AQ187" s="444">
        <f t="shared" ref="AQ187:AQ195" si="544">IF($AJ$58=1,RANK(BA95,$BA$94:$BA$103,1),RANK(BA174,$BA$173:$BA$182,1))</f>
        <v>9</v>
      </c>
      <c r="AY187" s="348">
        <f t="shared" ref="AY187:AY195" si="545">IF($AJ$58=2,BH187,BI187*-1)*1000000+IF($AJ$44,BK187,BJ187)*1000+BP187-IF(BC187=0,1000000000000,0)</f>
        <v>-999999999999.98499</v>
      </c>
      <c r="BA187" s="348">
        <f t="shared" ref="BA187:BA195" si="546">IF($AJ$44,BO187*100,IF($AJ$43,BM187*10,BM187))*1000000+IF($AJ$52,BE187*10000,0)+IF($AJ$44,BK187,BJ187)*1000/IF(OR($AJ$43,$AJ$52),10,1)+IF($AJ$44,0,IF($AJ$43,BH187/10,BH187))+BP187+IF($AJ$76,BQ187,0)-IF(BC187=0,1000000000,0)</f>
        <v>-999999999.98500001</v>
      </c>
      <c r="BB187" s="349">
        <v>2</v>
      </c>
      <c r="BC187" s="378">
        <f t="shared" ref="BC187:BC195" si="547">X73</f>
        <v>0</v>
      </c>
      <c r="BD187" s="346">
        <f t="shared" ref="BD187:BD195" si="548">BE187+BF187+BG187</f>
        <v>0</v>
      </c>
      <c r="BE187" s="346">
        <f t="shared" si="514"/>
        <v>0</v>
      </c>
      <c r="BF187" s="346">
        <f t="shared" si="515"/>
        <v>0</v>
      </c>
      <c r="BG187" s="346">
        <f t="shared" si="516"/>
        <v>0</v>
      </c>
      <c r="BH187" s="346">
        <f t="shared" si="517"/>
        <v>0</v>
      </c>
      <c r="BI187" s="346">
        <f t="shared" si="518"/>
        <v>0</v>
      </c>
      <c r="BJ187" s="346">
        <f t="shared" ref="BJ187:BJ195" si="549">BH187-BI187</f>
        <v>0</v>
      </c>
      <c r="BK187" s="347">
        <f t="shared" ref="BK187:BK195" si="550">IF(BI187=0,0,BH187/BI187)</f>
        <v>0</v>
      </c>
      <c r="BL187" s="346">
        <f t="shared" si="519"/>
        <v>0</v>
      </c>
      <c r="BM187" s="346">
        <f t="shared" si="520"/>
        <v>0</v>
      </c>
      <c r="BN187" s="346">
        <f t="shared" ref="BN187:BN195" si="551">IF(NOT($X$71),0,BE187*2+BG187-BL187)</f>
        <v>0</v>
      </c>
      <c r="BO187" s="347">
        <f t="shared" si="521"/>
        <v>0</v>
      </c>
      <c r="BP187" s="348">
        <v>1.4999999999999999E-2</v>
      </c>
      <c r="BQ187" s="349">
        <f t="shared" ca="1" si="522"/>
        <v>0</v>
      </c>
      <c r="BS187" s="346">
        <f t="shared" ca="1" si="523"/>
        <v>0</v>
      </c>
      <c r="BT187" s="346">
        <f t="shared" ca="1" si="524"/>
        <v>0</v>
      </c>
      <c r="BU187" s="346">
        <f t="shared" ca="1" si="525"/>
        <v>0</v>
      </c>
      <c r="BV187" s="346">
        <f t="shared" ca="1" si="526"/>
        <v>0</v>
      </c>
      <c r="BW187" s="346">
        <f t="shared" ca="1" si="527"/>
        <v>0</v>
      </c>
      <c r="BX187" s="346">
        <f t="shared" ca="1" si="528"/>
        <v>0</v>
      </c>
      <c r="BZ187" s="346">
        <f t="shared" ca="1" si="529"/>
        <v>0</v>
      </c>
      <c r="CA187" s="346">
        <f t="shared" ca="1" si="530"/>
        <v>0</v>
      </c>
      <c r="CB187" s="346">
        <f t="shared" ca="1" si="531"/>
        <v>0</v>
      </c>
      <c r="CC187" s="346">
        <f t="shared" ca="1" si="532"/>
        <v>0</v>
      </c>
      <c r="CD187" s="346">
        <f t="shared" ca="1" si="533"/>
        <v>0</v>
      </c>
      <c r="CE187" s="346">
        <f t="shared" ca="1" si="534"/>
        <v>0</v>
      </c>
      <c r="CH187" s="445"/>
      <c r="CI187" s="350"/>
      <c r="CJ187" s="350"/>
      <c r="CK187" s="350"/>
      <c r="CL187" s="350"/>
      <c r="CM187" s="445"/>
      <c r="DG187" s="445"/>
      <c r="DH187" s="300"/>
      <c r="DI187" s="395" t="str">
        <f t="shared" ref="DI187:DI192" ca="1" si="552">DI179</f>
        <v>Élelmesek</v>
      </c>
      <c r="DJ187" s="360" t="str">
        <f t="shared" ca="1" si="535"/>
        <v/>
      </c>
      <c r="DK187" s="360" t="str">
        <f t="shared" ca="1" si="536"/>
        <v/>
      </c>
      <c r="DL187" s="354" t="str">
        <f t="shared" ca="1" si="537"/>
        <v/>
      </c>
      <c r="DM187" s="354" t="str">
        <f t="shared" ca="1" si="538"/>
        <v/>
      </c>
      <c r="DN187" s="361" t="str">
        <f t="shared" ca="1" si="539"/>
        <v/>
      </c>
      <c r="DO187" s="362" t="str">
        <f t="shared" ca="1" si="540"/>
        <v/>
      </c>
      <c r="DP187" s="379" t="str">
        <f t="shared" ref="DP187:DP192" ca="1" si="553">DP186</f>
        <v/>
      </c>
      <c r="DQ187" s="302"/>
      <c r="DR187" s="364"/>
      <c r="DS187" s="302"/>
      <c r="DU187" s="424"/>
      <c r="DV187" s="424"/>
      <c r="DW187" s="424"/>
      <c r="DX187" s="424"/>
      <c r="DY187" s="424"/>
      <c r="DZ187" s="424"/>
      <c r="EA187" s="424"/>
      <c r="EB187" s="424"/>
      <c r="EC187" s="424"/>
      <c r="ED187" s="424"/>
      <c r="EE187" s="424"/>
      <c r="EF187" s="424"/>
      <c r="EG187" s="424"/>
      <c r="EH187" s="424"/>
      <c r="EI187" s="424"/>
      <c r="EJ187" s="424"/>
      <c r="EK187" s="424"/>
      <c r="EL187" s="424"/>
      <c r="EM187" s="424"/>
      <c r="EN187" s="424"/>
      <c r="EO187" s="424"/>
      <c r="EP187" s="424"/>
      <c r="EQ187" s="424"/>
      <c r="ER187" s="404" t="str">
        <f ca="1">ER181</f>
        <v/>
      </c>
      <c r="ES187" s="371" t="str">
        <f ca="1">IF(OR(ER187="",EY187="",ER187=EY187),"",CONCATENATE(ER187,EY187))</f>
        <v/>
      </c>
      <c r="ET187" s="422" t="str">
        <f ca="1">IF(OR(ES187="",EY165&gt;2),"",CONCATENATE(VLOOKUP(ES187,games.a,9,FALSE),VLOOKUP(ES187,games.a,12,FALSE)))</f>
        <v/>
      </c>
      <c r="EU187" s="413"/>
      <c r="EV187" s="414"/>
      <c r="EW187" s="423" t="str">
        <f ca="1">IF(ES187="","",VLOOKUP(ES187,games.a,6,FALSE))</f>
        <v/>
      </c>
      <c r="EX187" s="409" t="str">
        <f ca="1">IF(ES187="","",VLOOKUP(ES187,games.a,7,FALSE))</f>
        <v/>
      </c>
      <c r="EY187" s="415" t="str">
        <f ca="1">EY186</f>
        <v/>
      </c>
      <c r="EZ187" s="416"/>
      <c r="FA187" s="417"/>
      <c r="FB187" s="424"/>
      <c r="FC187" s="424"/>
      <c r="FD187" s="425"/>
      <c r="FE187" s="333"/>
      <c r="FO187" s="300"/>
      <c r="FP187" s="395" t="str">
        <f ca="1">FP176</f>
        <v/>
      </c>
      <c r="FQ187" s="360" t="str">
        <f ca="1">IF(OR(FP187="",FZ187="",FP187=FZ187),"",CONCATENATE(FP187,FZ187))</f>
        <v/>
      </c>
      <c r="FR187" s="360" t="str">
        <f t="shared" ref="FR187:FR196" ca="1" si="554">IF($FQ187="","",VLOOKUP($FQ187,games.a,9,FALSE))</f>
        <v/>
      </c>
      <c r="FS187" s="360" t="str">
        <f t="shared" ref="FS187:FS196" ca="1" si="555">IF($FQ187="","",VLOOKUP($FQ187,games.a,10,FALSE))</f>
        <v/>
      </c>
      <c r="FT187" s="360" t="str">
        <f t="shared" ref="FT187:FT196" ca="1" si="556">IF($FQ187="","",VLOOKUP($FQ187,games.a,11,FALSE))</f>
        <v/>
      </c>
      <c r="FU187" s="360" t="str">
        <f t="shared" ref="FU187:FU196" ca="1" si="557">IF($FQ187="","",VLOOKUP($FQ187,games.a,12,FALSE))</f>
        <v/>
      </c>
      <c r="FV187" s="360" t="str">
        <f t="shared" ref="FV187:FV196" ca="1" si="558">IF($FQ187="","",VLOOKUP($FQ187,games.a,13,FALSE))</f>
        <v/>
      </c>
      <c r="FW187" s="360" t="str">
        <f t="shared" ref="FW187:FW196" ca="1" si="559">IF($FQ187="","",VLOOKUP($FQ187,games.a,14,FALSE))</f>
        <v/>
      </c>
      <c r="FX187" s="360" t="str">
        <f t="shared" ref="FX187:FX196" ca="1" si="560">IF($FQ187="","",VLOOKUP($FQ187,games.a,6,FALSE))</f>
        <v/>
      </c>
      <c r="FY187" s="360" t="str">
        <f t="shared" ref="FY187:FY196" ca="1" si="561">IF($FQ187="","",VLOOKUP($FQ187,games.a,7,FALSE))</f>
        <v/>
      </c>
      <c r="FZ187" s="363" t="str">
        <f ca="1">FP157</f>
        <v/>
      </c>
      <c r="GA187" s="302"/>
      <c r="GB187" s="364"/>
      <c r="GC187" s="302"/>
    </row>
    <row r="188" spans="40:185" x14ac:dyDescent="0.25">
      <c r="AN188" s="336">
        <f t="shared" si="541"/>
        <v>0</v>
      </c>
      <c r="AO188" s="443" t="str">
        <f t="shared" si="542"/>
        <v>►</v>
      </c>
      <c r="AP188" s="444">
        <f t="shared" si="543"/>
        <v>8</v>
      </c>
      <c r="AQ188" s="444">
        <f t="shared" si="544"/>
        <v>8</v>
      </c>
      <c r="AY188" s="348">
        <f t="shared" si="545"/>
        <v>-999999999999.98596</v>
      </c>
      <c r="BA188" s="348">
        <f t="shared" si="546"/>
        <v>-999999999.98599994</v>
      </c>
      <c r="BB188" s="349">
        <v>3</v>
      </c>
      <c r="BC188" s="378">
        <f t="shared" si="547"/>
        <v>0</v>
      </c>
      <c r="BD188" s="346">
        <f t="shared" si="548"/>
        <v>0</v>
      </c>
      <c r="BE188" s="346">
        <f t="shared" si="514"/>
        <v>0</v>
      </c>
      <c r="BF188" s="346">
        <f t="shared" si="515"/>
        <v>0</v>
      </c>
      <c r="BG188" s="346">
        <f t="shared" si="516"/>
        <v>0</v>
      </c>
      <c r="BH188" s="346">
        <f t="shared" si="517"/>
        <v>0</v>
      </c>
      <c r="BI188" s="346">
        <f t="shared" si="518"/>
        <v>0</v>
      </c>
      <c r="BJ188" s="346">
        <f t="shared" si="549"/>
        <v>0</v>
      </c>
      <c r="BK188" s="347">
        <f t="shared" si="550"/>
        <v>0</v>
      </c>
      <c r="BL188" s="346">
        <f t="shared" si="519"/>
        <v>0</v>
      </c>
      <c r="BM188" s="346">
        <f t="shared" si="520"/>
        <v>0</v>
      </c>
      <c r="BN188" s="346">
        <f t="shared" si="551"/>
        <v>0</v>
      </c>
      <c r="BO188" s="347">
        <f t="shared" si="521"/>
        <v>0</v>
      </c>
      <c r="BP188" s="348">
        <v>1.3999999999999978E-2</v>
      </c>
      <c r="BQ188" s="349">
        <f t="shared" ca="1" si="522"/>
        <v>0</v>
      </c>
      <c r="BS188" s="346">
        <f t="shared" ca="1" si="523"/>
        <v>0</v>
      </c>
      <c r="BT188" s="346">
        <f t="shared" ca="1" si="524"/>
        <v>0</v>
      </c>
      <c r="BU188" s="346">
        <f t="shared" ca="1" si="525"/>
        <v>0</v>
      </c>
      <c r="BV188" s="346">
        <f t="shared" ca="1" si="526"/>
        <v>0</v>
      </c>
      <c r="BW188" s="346">
        <f t="shared" ca="1" si="527"/>
        <v>0</v>
      </c>
      <c r="BX188" s="346">
        <f t="shared" ca="1" si="528"/>
        <v>0</v>
      </c>
      <c r="BZ188" s="346">
        <f t="shared" ca="1" si="529"/>
        <v>0</v>
      </c>
      <c r="CA188" s="346">
        <f t="shared" ca="1" si="530"/>
        <v>0</v>
      </c>
      <c r="CB188" s="346">
        <f t="shared" ca="1" si="531"/>
        <v>0</v>
      </c>
      <c r="CC188" s="346">
        <f t="shared" ca="1" si="532"/>
        <v>0</v>
      </c>
      <c r="CD188" s="346">
        <f t="shared" ca="1" si="533"/>
        <v>0</v>
      </c>
      <c r="CE188" s="346">
        <f t="shared" ca="1" si="534"/>
        <v>0</v>
      </c>
      <c r="CH188" s="445"/>
      <c r="CI188" s="300"/>
      <c r="CJ188" s="300"/>
      <c r="CK188" s="300"/>
      <c r="CL188" s="449"/>
      <c r="CM188" s="445"/>
      <c r="DG188" s="445"/>
      <c r="DH188" s="300"/>
      <c r="DI188" s="395" t="str">
        <f t="shared" ca="1" si="552"/>
        <v/>
      </c>
      <c r="DJ188" s="360" t="str">
        <f t="shared" ca="1" si="535"/>
        <v/>
      </c>
      <c r="DK188" s="360" t="str">
        <f t="shared" ca="1" si="536"/>
        <v/>
      </c>
      <c r="DL188" s="354" t="str">
        <f t="shared" ca="1" si="537"/>
        <v/>
      </c>
      <c r="DM188" s="354" t="str">
        <f t="shared" ca="1" si="538"/>
        <v/>
      </c>
      <c r="DN188" s="361" t="str">
        <f t="shared" ca="1" si="539"/>
        <v/>
      </c>
      <c r="DO188" s="362" t="str">
        <f t="shared" ca="1" si="540"/>
        <v/>
      </c>
      <c r="DP188" s="379" t="str">
        <f t="shared" ca="1" si="553"/>
        <v/>
      </c>
      <c r="DQ188" s="302"/>
      <c r="DR188" s="364"/>
      <c r="DS188" s="302"/>
      <c r="DU188" s="424"/>
      <c r="DV188" s="424"/>
      <c r="DW188" s="424"/>
      <c r="DX188" s="424"/>
      <c r="DY188" s="424"/>
      <c r="DZ188" s="424"/>
      <c r="EA188" s="424"/>
      <c r="EB188" s="424"/>
      <c r="EC188" s="424"/>
      <c r="ED188" s="424"/>
      <c r="EE188" s="424"/>
      <c r="EF188" s="424"/>
      <c r="EG188" s="424"/>
      <c r="EH188" s="424"/>
      <c r="EI188" s="424"/>
      <c r="EJ188" s="424"/>
      <c r="EK188" s="424"/>
      <c r="EL188" s="424"/>
      <c r="EM188" s="424"/>
      <c r="EN188" s="424"/>
      <c r="EO188" s="424"/>
      <c r="EP188" s="424"/>
      <c r="EQ188" s="424"/>
      <c r="ER188" s="404" t="str">
        <f ca="1">ER182</f>
        <v/>
      </c>
      <c r="ES188" s="371" t="str">
        <f ca="1">IF(OR(ER188="",EY188="",ER188=EY188),"",CONCATENATE(ER188,EY188))</f>
        <v/>
      </c>
      <c r="ET188" s="422" t="str">
        <f ca="1">IF(OR(ES188="",EY165&gt;2),"",CONCATENATE(VLOOKUP(ES188,games.a,9,FALSE),VLOOKUP(ES188,games.a,12,FALSE)))</f>
        <v/>
      </c>
      <c r="EU188" s="420"/>
      <c r="EV188" s="421"/>
      <c r="EW188" s="423" t="str">
        <f ca="1">IF(ES188="","",VLOOKUP(ES188,games.a,6,FALSE))</f>
        <v/>
      </c>
      <c r="EX188" s="409" t="str">
        <f ca="1">IF(ES188="","",VLOOKUP(ES188,games.a,7,FALSE))</f>
        <v/>
      </c>
      <c r="EY188" s="415" t="str">
        <f ca="1">EY187</f>
        <v/>
      </c>
      <c r="EZ188" s="416"/>
      <c r="FA188" s="417"/>
      <c r="FB188" s="424"/>
      <c r="FC188" s="424"/>
      <c r="FD188" s="425"/>
      <c r="FE188" s="333"/>
      <c r="FO188" s="300"/>
      <c r="FP188" s="395" t="str">
        <f t="shared" ref="FP188:FP196" ca="1" si="562">FP177</f>
        <v/>
      </c>
      <c r="FQ188" s="360" t="str">
        <f t="shared" ref="FQ188:FQ196" ca="1" si="563">IF(OR(FP188="",FZ188="",FP188=FZ188),"",CONCATENATE(FP188,FZ188))</f>
        <v/>
      </c>
      <c r="FR188" s="360" t="str">
        <f t="shared" ca="1" si="554"/>
        <v/>
      </c>
      <c r="FS188" s="360" t="str">
        <f t="shared" ca="1" si="555"/>
        <v/>
      </c>
      <c r="FT188" s="360" t="str">
        <f t="shared" ca="1" si="556"/>
        <v/>
      </c>
      <c r="FU188" s="360" t="str">
        <f t="shared" ca="1" si="557"/>
        <v/>
      </c>
      <c r="FV188" s="360" t="str">
        <f t="shared" ca="1" si="558"/>
        <v/>
      </c>
      <c r="FW188" s="360" t="str">
        <f t="shared" ca="1" si="559"/>
        <v/>
      </c>
      <c r="FX188" s="360" t="str">
        <f t="shared" ca="1" si="560"/>
        <v/>
      </c>
      <c r="FY188" s="360" t="str">
        <f t="shared" ca="1" si="561"/>
        <v/>
      </c>
      <c r="FZ188" s="379" t="str">
        <f ca="1">FZ187</f>
        <v/>
      </c>
      <c r="GA188" s="302"/>
      <c r="GB188" s="364"/>
      <c r="GC188" s="302"/>
    </row>
    <row r="189" spans="40:185" x14ac:dyDescent="0.25">
      <c r="AN189" s="336">
        <f t="shared" si="541"/>
        <v>0</v>
      </c>
      <c r="AO189" s="443" t="str">
        <f t="shared" si="542"/>
        <v>►</v>
      </c>
      <c r="AP189" s="444">
        <f t="shared" si="543"/>
        <v>7</v>
      </c>
      <c r="AQ189" s="444">
        <f t="shared" si="544"/>
        <v>7</v>
      </c>
      <c r="AY189" s="348">
        <f t="shared" si="545"/>
        <v>-999999999999.98706</v>
      </c>
      <c r="BA189" s="348">
        <f t="shared" si="546"/>
        <v>-999999999.98699999</v>
      </c>
      <c r="BB189" s="349">
        <v>4</v>
      </c>
      <c r="BC189" s="378">
        <f t="shared" si="547"/>
        <v>0</v>
      </c>
      <c r="BD189" s="346">
        <f t="shared" si="548"/>
        <v>0</v>
      </c>
      <c r="BE189" s="346">
        <f t="shared" si="514"/>
        <v>0</v>
      </c>
      <c r="BF189" s="346">
        <f t="shared" si="515"/>
        <v>0</v>
      </c>
      <c r="BG189" s="346">
        <f t="shared" si="516"/>
        <v>0</v>
      </c>
      <c r="BH189" s="346">
        <f t="shared" si="517"/>
        <v>0</v>
      </c>
      <c r="BI189" s="346">
        <f t="shared" si="518"/>
        <v>0</v>
      </c>
      <c r="BJ189" s="346">
        <f t="shared" si="549"/>
        <v>0</v>
      </c>
      <c r="BK189" s="347">
        <f t="shared" si="550"/>
        <v>0</v>
      </c>
      <c r="BL189" s="346">
        <f t="shared" si="519"/>
        <v>0</v>
      </c>
      <c r="BM189" s="346">
        <f t="shared" si="520"/>
        <v>0</v>
      </c>
      <c r="BN189" s="346">
        <f t="shared" si="551"/>
        <v>0</v>
      </c>
      <c r="BO189" s="347">
        <f t="shared" si="521"/>
        <v>0</v>
      </c>
      <c r="BP189" s="348">
        <v>1.2999999999999977E-2</v>
      </c>
      <c r="BQ189" s="349">
        <f t="shared" ca="1" si="522"/>
        <v>0</v>
      </c>
      <c r="BS189" s="346">
        <f t="shared" ca="1" si="523"/>
        <v>0</v>
      </c>
      <c r="BT189" s="346">
        <f t="shared" ca="1" si="524"/>
        <v>0</v>
      </c>
      <c r="BU189" s="346">
        <f t="shared" ca="1" si="525"/>
        <v>0</v>
      </c>
      <c r="BV189" s="346">
        <f t="shared" ca="1" si="526"/>
        <v>0</v>
      </c>
      <c r="BW189" s="346">
        <f t="shared" ca="1" si="527"/>
        <v>0</v>
      </c>
      <c r="BX189" s="346">
        <f t="shared" ca="1" si="528"/>
        <v>0</v>
      </c>
      <c r="BZ189" s="346">
        <f t="shared" ca="1" si="529"/>
        <v>0</v>
      </c>
      <c r="CA189" s="346">
        <f t="shared" ca="1" si="530"/>
        <v>0</v>
      </c>
      <c r="CB189" s="346">
        <f t="shared" ca="1" si="531"/>
        <v>0</v>
      </c>
      <c r="CC189" s="346">
        <f t="shared" ca="1" si="532"/>
        <v>0</v>
      </c>
      <c r="CD189" s="346">
        <f t="shared" ca="1" si="533"/>
        <v>0</v>
      </c>
      <c r="CE189" s="346">
        <f t="shared" ca="1" si="534"/>
        <v>0</v>
      </c>
      <c r="CH189" s="445"/>
      <c r="CI189" s="300"/>
      <c r="CJ189" s="300"/>
      <c r="CK189" s="300"/>
      <c r="CL189" s="449"/>
      <c r="CM189" s="445"/>
      <c r="DG189" s="445"/>
      <c r="DH189" s="300"/>
      <c r="DI189" s="395" t="str">
        <f t="shared" ca="1" si="552"/>
        <v/>
      </c>
      <c r="DJ189" s="360" t="str">
        <f t="shared" ca="1" si="535"/>
        <v/>
      </c>
      <c r="DK189" s="360" t="str">
        <f t="shared" ca="1" si="536"/>
        <v/>
      </c>
      <c r="DL189" s="354" t="str">
        <f t="shared" ca="1" si="537"/>
        <v/>
      </c>
      <c r="DM189" s="354" t="str">
        <f t="shared" ca="1" si="538"/>
        <v/>
      </c>
      <c r="DN189" s="361" t="str">
        <f t="shared" ca="1" si="539"/>
        <v/>
      </c>
      <c r="DO189" s="362" t="str">
        <f t="shared" ca="1" si="540"/>
        <v/>
      </c>
      <c r="DP189" s="379" t="str">
        <f t="shared" ca="1" si="553"/>
        <v/>
      </c>
      <c r="DQ189" s="302"/>
      <c r="DR189" s="364"/>
      <c r="DS189" s="302"/>
      <c r="DU189" s="424"/>
      <c r="DV189" s="424"/>
      <c r="DW189" s="424"/>
      <c r="DX189" s="424"/>
      <c r="DY189" s="424"/>
      <c r="DZ189" s="424"/>
      <c r="EA189" s="424"/>
      <c r="EB189" s="424"/>
      <c r="EC189" s="424"/>
      <c r="ED189" s="424"/>
      <c r="EE189" s="424"/>
      <c r="EF189" s="424"/>
      <c r="EG189" s="424"/>
      <c r="EH189" s="424"/>
      <c r="EI189" s="424"/>
      <c r="EJ189" s="424"/>
      <c r="EK189" s="424"/>
      <c r="EL189" s="424"/>
      <c r="EM189" s="424"/>
      <c r="EN189" s="424"/>
      <c r="EO189" s="424"/>
      <c r="EP189" s="424"/>
      <c r="EQ189" s="424"/>
      <c r="ER189" s="398"/>
      <c r="ES189" s="329" t="s">
        <v>157</v>
      </c>
      <c r="ET189" s="329" t="s">
        <v>158</v>
      </c>
      <c r="EU189" s="399"/>
      <c r="EV189" s="400"/>
      <c r="EW189" s="401" t="s">
        <v>160</v>
      </c>
      <c r="EX189" s="402" t="s">
        <v>135</v>
      </c>
      <c r="EY189" s="398"/>
      <c r="EZ189" s="365"/>
      <c r="FA189" s="365"/>
      <c r="FB189" s="424"/>
      <c r="FC189" s="424"/>
      <c r="FD189" s="425"/>
      <c r="FE189" s="333"/>
      <c r="FO189" s="300"/>
      <c r="FP189" s="395" t="str">
        <f t="shared" ca="1" si="562"/>
        <v/>
      </c>
      <c r="FQ189" s="360" t="str">
        <f t="shared" ca="1" si="563"/>
        <v/>
      </c>
      <c r="FR189" s="360" t="str">
        <f t="shared" ca="1" si="554"/>
        <v/>
      </c>
      <c r="FS189" s="360" t="str">
        <f t="shared" ca="1" si="555"/>
        <v/>
      </c>
      <c r="FT189" s="360" t="str">
        <f t="shared" ca="1" si="556"/>
        <v/>
      </c>
      <c r="FU189" s="360" t="str">
        <f t="shared" ca="1" si="557"/>
        <v/>
      </c>
      <c r="FV189" s="360" t="str">
        <f t="shared" ca="1" si="558"/>
        <v/>
      </c>
      <c r="FW189" s="360" t="str">
        <f t="shared" ca="1" si="559"/>
        <v/>
      </c>
      <c r="FX189" s="360" t="str">
        <f t="shared" ca="1" si="560"/>
        <v/>
      </c>
      <c r="FY189" s="360" t="str">
        <f t="shared" ca="1" si="561"/>
        <v/>
      </c>
      <c r="FZ189" s="379" t="str">
        <f t="shared" ref="FZ189:FZ196" ca="1" si="564">FZ188</f>
        <v/>
      </c>
      <c r="GA189" s="302"/>
      <c r="GB189" s="364"/>
      <c r="GC189" s="302"/>
    </row>
    <row r="190" spans="40:185" x14ac:dyDescent="0.25">
      <c r="AN190" s="336">
        <f t="shared" si="541"/>
        <v>0</v>
      </c>
      <c r="AO190" s="443" t="str">
        <f t="shared" si="542"/>
        <v>►</v>
      </c>
      <c r="AP190" s="444">
        <f t="shared" si="543"/>
        <v>6</v>
      </c>
      <c r="AQ190" s="444">
        <f t="shared" si="544"/>
        <v>6</v>
      </c>
      <c r="AY190" s="348">
        <f t="shared" si="545"/>
        <v>-999999999999.98804</v>
      </c>
      <c r="BA190" s="348">
        <f t="shared" si="546"/>
        <v>-999999999.98800004</v>
      </c>
      <c r="BB190" s="349">
        <v>5</v>
      </c>
      <c r="BC190" s="378">
        <f t="shared" si="547"/>
        <v>0</v>
      </c>
      <c r="BD190" s="346">
        <f t="shared" si="548"/>
        <v>0</v>
      </c>
      <c r="BE190" s="346">
        <f t="shared" si="514"/>
        <v>0</v>
      </c>
      <c r="BF190" s="346">
        <f t="shared" si="515"/>
        <v>0</v>
      </c>
      <c r="BG190" s="346">
        <f t="shared" si="516"/>
        <v>0</v>
      </c>
      <c r="BH190" s="346">
        <f t="shared" si="517"/>
        <v>0</v>
      </c>
      <c r="BI190" s="346">
        <f t="shared" si="518"/>
        <v>0</v>
      </c>
      <c r="BJ190" s="346">
        <f t="shared" si="549"/>
        <v>0</v>
      </c>
      <c r="BK190" s="347">
        <f t="shared" si="550"/>
        <v>0</v>
      </c>
      <c r="BL190" s="346">
        <f t="shared" si="519"/>
        <v>0</v>
      </c>
      <c r="BM190" s="346">
        <f t="shared" si="520"/>
        <v>0</v>
      </c>
      <c r="BN190" s="346">
        <f t="shared" si="551"/>
        <v>0</v>
      </c>
      <c r="BO190" s="347">
        <f t="shared" si="521"/>
        <v>0</v>
      </c>
      <c r="BP190" s="348">
        <v>1.1999999999999976E-2</v>
      </c>
      <c r="BQ190" s="349">
        <f t="shared" ca="1" si="522"/>
        <v>0</v>
      </c>
      <c r="BS190" s="346">
        <f t="shared" ca="1" si="523"/>
        <v>0</v>
      </c>
      <c r="BT190" s="346">
        <f t="shared" ca="1" si="524"/>
        <v>0</v>
      </c>
      <c r="BU190" s="346">
        <f t="shared" ca="1" si="525"/>
        <v>0</v>
      </c>
      <c r="BV190" s="346">
        <f t="shared" ca="1" si="526"/>
        <v>0</v>
      </c>
      <c r="BW190" s="346">
        <f t="shared" ca="1" si="527"/>
        <v>0</v>
      </c>
      <c r="BX190" s="346">
        <f t="shared" ca="1" si="528"/>
        <v>0</v>
      </c>
      <c r="BZ190" s="346">
        <f t="shared" ca="1" si="529"/>
        <v>0</v>
      </c>
      <c r="CA190" s="346">
        <f t="shared" ca="1" si="530"/>
        <v>0</v>
      </c>
      <c r="CB190" s="346">
        <f t="shared" ca="1" si="531"/>
        <v>0</v>
      </c>
      <c r="CC190" s="346">
        <f t="shared" ca="1" si="532"/>
        <v>0</v>
      </c>
      <c r="CD190" s="346">
        <f t="shared" ca="1" si="533"/>
        <v>0</v>
      </c>
      <c r="CE190" s="346">
        <f t="shared" ca="1" si="534"/>
        <v>0</v>
      </c>
      <c r="CH190" s="445"/>
      <c r="CI190" s="300"/>
      <c r="CJ190" s="300"/>
      <c r="CK190" s="300"/>
      <c r="CL190" s="449"/>
      <c r="CM190" s="445"/>
      <c r="DG190" s="445"/>
      <c r="DH190" s="300"/>
      <c r="DI190" s="395" t="str">
        <f t="shared" ca="1" si="552"/>
        <v/>
      </c>
      <c r="DJ190" s="360" t="str">
        <f t="shared" ca="1" si="535"/>
        <v/>
      </c>
      <c r="DK190" s="360" t="str">
        <f t="shared" ca="1" si="536"/>
        <v/>
      </c>
      <c r="DL190" s="354" t="str">
        <f t="shared" ca="1" si="537"/>
        <v/>
      </c>
      <c r="DM190" s="354" t="str">
        <f t="shared" ca="1" si="538"/>
        <v/>
      </c>
      <c r="DN190" s="361" t="str">
        <f t="shared" ca="1" si="539"/>
        <v/>
      </c>
      <c r="DO190" s="362" t="str">
        <f t="shared" ca="1" si="540"/>
        <v/>
      </c>
      <c r="DP190" s="379" t="str">
        <f t="shared" ca="1" si="553"/>
        <v/>
      </c>
      <c r="DQ190" s="302"/>
      <c r="DR190" s="364"/>
      <c r="DS190" s="302"/>
      <c r="DU190" s="424"/>
      <c r="DV190" s="424"/>
      <c r="DW190" s="424"/>
      <c r="DX190" s="424"/>
      <c r="DY190" s="424"/>
      <c r="DZ190" s="424"/>
      <c r="EA190" s="424"/>
      <c r="EB190" s="424"/>
      <c r="EC190" s="424"/>
      <c r="ED190" s="424"/>
      <c r="EE190" s="424"/>
      <c r="EF190" s="424"/>
      <c r="EG190" s="424"/>
      <c r="EH190" s="424"/>
      <c r="EI190" s="424"/>
      <c r="EJ190" s="424"/>
      <c r="EK190" s="424"/>
      <c r="EL190" s="424"/>
      <c r="EM190" s="424"/>
      <c r="EN190" s="424"/>
      <c r="EO190" s="424"/>
      <c r="EP190" s="424"/>
      <c r="EQ190" s="424"/>
      <c r="ER190" s="404" t="str">
        <f ca="1">ER184</f>
        <v/>
      </c>
      <c r="ES190" s="371" t="str">
        <f ca="1">IF(OR(ER190="",EY190="",ER190=EY190),"",CONCATENATE(ER190,EY190))</f>
        <v/>
      </c>
      <c r="ET190" s="422" t="str">
        <f ca="1">IF(OR(ES190="",EY165&gt;2),"",CONCATENATE(VLOOKUP(ES190,games.a,9,FALSE),VLOOKUP(ES190,games.a,12,FALSE)))</f>
        <v/>
      </c>
      <c r="EU190" s="406"/>
      <c r="EV190" s="407"/>
      <c r="EW190" s="423" t="str">
        <f ca="1">IF(ES190="","",VLOOKUP(ES190,games.a,6,FALSE))</f>
        <v/>
      </c>
      <c r="EX190" s="409" t="str">
        <f ca="1">IF(ES190="","",VLOOKUP(ES190,games.a,7,FALSE))</f>
        <v/>
      </c>
      <c r="EY190" s="410" t="str">
        <f ca="1">ER170</f>
        <v/>
      </c>
      <c r="EZ190" s="411"/>
      <c r="FA190" s="412"/>
      <c r="FB190" s="424"/>
      <c r="FC190" s="424"/>
      <c r="FD190" s="425"/>
      <c r="FE190" s="333"/>
      <c r="FO190" s="300"/>
      <c r="FP190" s="395" t="str">
        <f t="shared" ca="1" si="562"/>
        <v/>
      </c>
      <c r="FQ190" s="360" t="str">
        <f t="shared" ca="1" si="563"/>
        <v/>
      </c>
      <c r="FR190" s="360" t="str">
        <f t="shared" ca="1" si="554"/>
        <v/>
      </c>
      <c r="FS190" s="360" t="str">
        <f t="shared" ca="1" si="555"/>
        <v/>
      </c>
      <c r="FT190" s="360" t="str">
        <f t="shared" ca="1" si="556"/>
        <v/>
      </c>
      <c r="FU190" s="360" t="str">
        <f t="shared" ca="1" si="557"/>
        <v/>
      </c>
      <c r="FV190" s="360" t="str">
        <f t="shared" ca="1" si="558"/>
        <v/>
      </c>
      <c r="FW190" s="360" t="str">
        <f t="shared" ca="1" si="559"/>
        <v/>
      </c>
      <c r="FX190" s="360" t="str">
        <f t="shared" ca="1" si="560"/>
        <v/>
      </c>
      <c r="FY190" s="360" t="str">
        <f t="shared" ca="1" si="561"/>
        <v/>
      </c>
      <c r="FZ190" s="379" t="str">
        <f t="shared" ca="1" si="564"/>
        <v/>
      </c>
      <c r="GA190" s="302"/>
      <c r="GB190" s="364"/>
      <c r="GC190" s="302"/>
    </row>
    <row r="191" spans="40:185" x14ac:dyDescent="0.25">
      <c r="AN191" s="336">
        <f t="shared" si="541"/>
        <v>0</v>
      </c>
      <c r="AO191" s="443" t="str">
        <f t="shared" si="542"/>
        <v>►</v>
      </c>
      <c r="AP191" s="444">
        <f t="shared" si="543"/>
        <v>5</v>
      </c>
      <c r="AQ191" s="444">
        <f t="shared" si="544"/>
        <v>5</v>
      </c>
      <c r="AY191" s="348">
        <f t="shared" si="545"/>
        <v>-999999999999.98901</v>
      </c>
      <c r="BA191" s="348">
        <f t="shared" si="546"/>
        <v>-999999999.98899996</v>
      </c>
      <c r="BB191" s="349">
        <v>6</v>
      </c>
      <c r="BC191" s="378">
        <f t="shared" si="547"/>
        <v>0</v>
      </c>
      <c r="BD191" s="346">
        <f t="shared" si="548"/>
        <v>0</v>
      </c>
      <c r="BE191" s="346">
        <f t="shared" si="514"/>
        <v>0</v>
      </c>
      <c r="BF191" s="346">
        <f t="shared" si="515"/>
        <v>0</v>
      </c>
      <c r="BG191" s="346">
        <f t="shared" si="516"/>
        <v>0</v>
      </c>
      <c r="BH191" s="346">
        <f t="shared" si="517"/>
        <v>0</v>
      </c>
      <c r="BI191" s="346">
        <f t="shared" si="518"/>
        <v>0</v>
      </c>
      <c r="BJ191" s="346">
        <f t="shared" si="549"/>
        <v>0</v>
      </c>
      <c r="BK191" s="347">
        <f t="shared" si="550"/>
        <v>0</v>
      </c>
      <c r="BL191" s="346">
        <f t="shared" si="519"/>
        <v>0</v>
      </c>
      <c r="BM191" s="346">
        <f t="shared" si="520"/>
        <v>0</v>
      </c>
      <c r="BN191" s="346">
        <f t="shared" si="551"/>
        <v>0</v>
      </c>
      <c r="BO191" s="347">
        <f t="shared" si="521"/>
        <v>0</v>
      </c>
      <c r="BP191" s="348">
        <v>1.0999999999999975E-2</v>
      </c>
      <c r="BQ191" s="349">
        <f t="shared" ca="1" si="522"/>
        <v>0</v>
      </c>
      <c r="BS191" s="346">
        <f t="shared" ca="1" si="523"/>
        <v>0</v>
      </c>
      <c r="BT191" s="346">
        <f t="shared" ca="1" si="524"/>
        <v>0</v>
      </c>
      <c r="BU191" s="346">
        <f t="shared" ca="1" si="525"/>
        <v>0</v>
      </c>
      <c r="BV191" s="346">
        <f t="shared" ca="1" si="526"/>
        <v>0</v>
      </c>
      <c r="BW191" s="346">
        <f t="shared" ca="1" si="527"/>
        <v>0</v>
      </c>
      <c r="BX191" s="346">
        <f t="shared" ca="1" si="528"/>
        <v>0</v>
      </c>
      <c r="BZ191" s="346">
        <f t="shared" ca="1" si="529"/>
        <v>0</v>
      </c>
      <c r="CA191" s="346">
        <f t="shared" ca="1" si="530"/>
        <v>0</v>
      </c>
      <c r="CB191" s="346">
        <f t="shared" ca="1" si="531"/>
        <v>0</v>
      </c>
      <c r="CC191" s="346">
        <f t="shared" ca="1" si="532"/>
        <v>0</v>
      </c>
      <c r="CD191" s="346">
        <f t="shared" ca="1" si="533"/>
        <v>0</v>
      </c>
      <c r="CE191" s="346">
        <f t="shared" ca="1" si="534"/>
        <v>0</v>
      </c>
      <c r="CH191" s="445"/>
      <c r="CI191" s="300"/>
      <c r="CJ191" s="300"/>
      <c r="CK191" s="300"/>
      <c r="CL191" s="449"/>
      <c r="CM191" s="445"/>
      <c r="DG191" s="445"/>
      <c r="DH191" s="300"/>
      <c r="DI191" s="395" t="str">
        <f t="shared" ca="1" si="552"/>
        <v/>
      </c>
      <c r="DJ191" s="360" t="str">
        <f t="shared" ca="1" si="535"/>
        <v/>
      </c>
      <c r="DK191" s="360" t="str">
        <f t="shared" ca="1" si="536"/>
        <v/>
      </c>
      <c r="DL191" s="354" t="str">
        <f t="shared" ca="1" si="537"/>
        <v/>
      </c>
      <c r="DM191" s="354" t="str">
        <f t="shared" ca="1" si="538"/>
        <v/>
      </c>
      <c r="DN191" s="361" t="str">
        <f t="shared" ca="1" si="539"/>
        <v/>
      </c>
      <c r="DO191" s="362" t="str">
        <f t="shared" ca="1" si="540"/>
        <v/>
      </c>
      <c r="DP191" s="379" t="str">
        <f t="shared" ca="1" si="553"/>
        <v/>
      </c>
      <c r="DQ191" s="302"/>
      <c r="DR191" s="364"/>
      <c r="DS191" s="302"/>
      <c r="DU191" s="424"/>
      <c r="DV191" s="424"/>
      <c r="DW191" s="424"/>
      <c r="DX191" s="424"/>
      <c r="DY191" s="424"/>
      <c r="DZ191" s="424"/>
      <c r="EA191" s="424"/>
      <c r="EB191" s="424"/>
      <c r="EC191" s="424"/>
      <c r="ED191" s="424"/>
      <c r="EE191" s="424"/>
      <c r="EF191" s="424"/>
      <c r="EG191" s="424"/>
      <c r="EH191" s="424"/>
      <c r="EI191" s="424"/>
      <c r="EJ191" s="424"/>
      <c r="EK191" s="424"/>
      <c r="EL191" s="424"/>
      <c r="EM191" s="424"/>
      <c r="EN191" s="424"/>
      <c r="EO191" s="424"/>
      <c r="EP191" s="424"/>
      <c r="EQ191" s="424"/>
      <c r="ER191" s="404" t="str">
        <f ca="1">ER185</f>
        <v/>
      </c>
      <c r="ES191" s="371" t="str">
        <f ca="1">IF(OR(ER191="",EY191="",ER191=EY191),"",CONCATENATE(ER191,EY191))</f>
        <v/>
      </c>
      <c r="ET191" s="422" t="str">
        <f ca="1">IF(OR(ES191="",EY165&gt;2),"",CONCATENATE(VLOOKUP(ES191,games.a,9,FALSE),VLOOKUP(ES191,games.a,12,FALSE)))</f>
        <v/>
      </c>
      <c r="EU191" s="413"/>
      <c r="EV191" s="414"/>
      <c r="EW191" s="423" t="str">
        <f ca="1">IF(ES191="","",VLOOKUP(ES191,games.a,6,FALSE))</f>
        <v/>
      </c>
      <c r="EX191" s="409" t="str">
        <f ca="1">IF(ES191="","",VLOOKUP(ES191,games.a,7,FALSE))</f>
        <v/>
      </c>
      <c r="EY191" s="415" t="str">
        <f ca="1">EY190</f>
        <v/>
      </c>
      <c r="EZ191" s="416"/>
      <c r="FA191" s="417"/>
      <c r="FB191" s="424"/>
      <c r="FC191" s="424"/>
      <c r="FD191" s="425"/>
      <c r="FE191" s="333"/>
      <c r="FO191" s="300"/>
      <c r="FP191" s="395" t="str">
        <f t="shared" ca="1" si="562"/>
        <v/>
      </c>
      <c r="FQ191" s="360" t="str">
        <f t="shared" ca="1" si="563"/>
        <v/>
      </c>
      <c r="FR191" s="360" t="str">
        <f t="shared" ca="1" si="554"/>
        <v/>
      </c>
      <c r="FS191" s="360" t="str">
        <f t="shared" ca="1" si="555"/>
        <v/>
      </c>
      <c r="FT191" s="360" t="str">
        <f t="shared" ca="1" si="556"/>
        <v/>
      </c>
      <c r="FU191" s="360" t="str">
        <f t="shared" ca="1" si="557"/>
        <v/>
      </c>
      <c r="FV191" s="360" t="str">
        <f t="shared" ca="1" si="558"/>
        <v/>
      </c>
      <c r="FW191" s="360" t="str">
        <f t="shared" ca="1" si="559"/>
        <v/>
      </c>
      <c r="FX191" s="360" t="str">
        <f t="shared" ca="1" si="560"/>
        <v/>
      </c>
      <c r="FY191" s="360" t="str">
        <f t="shared" ca="1" si="561"/>
        <v/>
      </c>
      <c r="FZ191" s="379" t="str">
        <f t="shared" ca="1" si="564"/>
        <v/>
      </c>
      <c r="GA191" s="302"/>
      <c r="GB191" s="364"/>
      <c r="GC191" s="302"/>
    </row>
    <row r="192" spans="40:185" x14ac:dyDescent="0.25">
      <c r="AN192" s="336">
        <f t="shared" si="541"/>
        <v>0</v>
      </c>
      <c r="AO192" s="443" t="str">
        <f t="shared" si="542"/>
        <v>►</v>
      </c>
      <c r="AP192" s="444">
        <f t="shared" si="543"/>
        <v>4</v>
      </c>
      <c r="AQ192" s="444">
        <f t="shared" si="544"/>
        <v>4</v>
      </c>
      <c r="AY192" s="348">
        <f t="shared" si="545"/>
        <v>-999999999999.98999</v>
      </c>
      <c r="BA192" s="348">
        <f t="shared" si="546"/>
        <v>-999999999.99000001</v>
      </c>
      <c r="BB192" s="349">
        <v>7</v>
      </c>
      <c r="BC192" s="378">
        <f t="shared" si="547"/>
        <v>0</v>
      </c>
      <c r="BD192" s="346">
        <f t="shared" si="548"/>
        <v>0</v>
      </c>
      <c r="BE192" s="346">
        <f t="shared" si="514"/>
        <v>0</v>
      </c>
      <c r="BF192" s="346">
        <f t="shared" si="515"/>
        <v>0</v>
      </c>
      <c r="BG192" s="346">
        <f t="shared" si="516"/>
        <v>0</v>
      </c>
      <c r="BH192" s="346">
        <f t="shared" si="517"/>
        <v>0</v>
      </c>
      <c r="BI192" s="346">
        <f t="shared" si="518"/>
        <v>0</v>
      </c>
      <c r="BJ192" s="346">
        <f t="shared" si="549"/>
        <v>0</v>
      </c>
      <c r="BK192" s="347">
        <f t="shared" si="550"/>
        <v>0</v>
      </c>
      <c r="BL192" s="346">
        <f t="shared" si="519"/>
        <v>0</v>
      </c>
      <c r="BM192" s="346">
        <f t="shared" si="520"/>
        <v>0</v>
      </c>
      <c r="BN192" s="346">
        <f t="shared" si="551"/>
        <v>0</v>
      </c>
      <c r="BO192" s="347">
        <f t="shared" si="521"/>
        <v>0</v>
      </c>
      <c r="BP192" s="348">
        <v>9.9999999999999742E-3</v>
      </c>
      <c r="BQ192" s="349">
        <f t="shared" ca="1" si="522"/>
        <v>0</v>
      </c>
      <c r="BS192" s="346">
        <f t="shared" ca="1" si="523"/>
        <v>0</v>
      </c>
      <c r="BT192" s="346">
        <f t="shared" ca="1" si="524"/>
        <v>0</v>
      </c>
      <c r="BU192" s="346">
        <f t="shared" ca="1" si="525"/>
        <v>0</v>
      </c>
      <c r="BV192" s="346">
        <f t="shared" ca="1" si="526"/>
        <v>0</v>
      </c>
      <c r="BW192" s="346">
        <f t="shared" ca="1" si="527"/>
        <v>0</v>
      </c>
      <c r="BX192" s="346">
        <f t="shared" ca="1" si="528"/>
        <v>0</v>
      </c>
      <c r="BZ192" s="346">
        <f t="shared" ca="1" si="529"/>
        <v>0</v>
      </c>
      <c r="CA192" s="346">
        <f t="shared" ca="1" si="530"/>
        <v>0</v>
      </c>
      <c r="CB192" s="346">
        <f t="shared" ca="1" si="531"/>
        <v>0</v>
      </c>
      <c r="CC192" s="346">
        <f t="shared" ca="1" si="532"/>
        <v>0</v>
      </c>
      <c r="CD192" s="346">
        <f t="shared" ca="1" si="533"/>
        <v>0</v>
      </c>
      <c r="CE192" s="346">
        <f t="shared" ca="1" si="534"/>
        <v>0</v>
      </c>
      <c r="CH192" s="445"/>
      <c r="CI192" s="300"/>
      <c r="CJ192" s="300"/>
      <c r="CK192" s="300"/>
      <c r="CL192" s="449"/>
      <c r="CM192" s="445"/>
      <c r="DG192" s="445"/>
      <c r="DH192" s="300"/>
      <c r="DI192" s="395" t="str">
        <f t="shared" ca="1" si="552"/>
        <v/>
      </c>
      <c r="DJ192" s="360" t="str">
        <f t="shared" ca="1" si="535"/>
        <v/>
      </c>
      <c r="DK192" s="360" t="str">
        <f t="shared" ca="1" si="536"/>
        <v/>
      </c>
      <c r="DL192" s="354" t="str">
        <f t="shared" ca="1" si="537"/>
        <v/>
      </c>
      <c r="DM192" s="354" t="str">
        <f t="shared" ca="1" si="538"/>
        <v/>
      </c>
      <c r="DN192" s="361" t="str">
        <f t="shared" ca="1" si="539"/>
        <v/>
      </c>
      <c r="DO192" s="362" t="str">
        <f t="shared" ca="1" si="540"/>
        <v/>
      </c>
      <c r="DP192" s="379" t="str">
        <f t="shared" ca="1" si="553"/>
        <v/>
      </c>
      <c r="DQ192" s="302"/>
      <c r="DR192" s="364"/>
      <c r="DS192" s="302"/>
      <c r="DU192" s="424"/>
      <c r="DV192" s="424"/>
      <c r="DW192" s="424"/>
      <c r="DX192" s="424"/>
      <c r="DY192" s="424"/>
      <c r="DZ192" s="424"/>
      <c r="EA192" s="424"/>
      <c r="EB192" s="424"/>
      <c r="EC192" s="424"/>
      <c r="ED192" s="424"/>
      <c r="EE192" s="424"/>
      <c r="EF192" s="424"/>
      <c r="EG192" s="424"/>
      <c r="EH192" s="424"/>
      <c r="EI192" s="424"/>
      <c r="EJ192" s="424"/>
      <c r="EK192" s="424"/>
      <c r="EL192" s="424"/>
      <c r="EM192" s="424"/>
      <c r="EN192" s="424"/>
      <c r="EO192" s="424"/>
      <c r="EP192" s="424"/>
      <c r="EQ192" s="424"/>
      <c r="ER192" s="404" t="str">
        <f ca="1">ER186</f>
        <v/>
      </c>
      <c r="ES192" s="371" t="str">
        <f ca="1">IF(OR(ER192="",EY192="",ER192=EY192),"",CONCATENATE(ER192,EY192))</f>
        <v/>
      </c>
      <c r="ET192" s="422" t="str">
        <f ca="1">IF(OR(ES192="",EY165&gt;2),"",CONCATENATE(VLOOKUP(ES192,games.a,9,FALSE),VLOOKUP(ES192,games.a,12,FALSE)))</f>
        <v/>
      </c>
      <c r="EU192" s="413"/>
      <c r="EV192" s="414"/>
      <c r="EW192" s="423" t="str">
        <f ca="1">IF(ES192="","",VLOOKUP(ES192,games.a,6,FALSE))</f>
        <v/>
      </c>
      <c r="EX192" s="409" t="str">
        <f ca="1">IF(ES192="","",VLOOKUP(ES192,games.a,7,FALSE))</f>
        <v/>
      </c>
      <c r="EY192" s="415" t="str">
        <f ca="1">EY191</f>
        <v/>
      </c>
      <c r="EZ192" s="416"/>
      <c r="FA192" s="417"/>
      <c r="FB192" s="424"/>
      <c r="FC192" s="424"/>
      <c r="FD192" s="425"/>
      <c r="FE192" s="333"/>
      <c r="FO192" s="300"/>
      <c r="FP192" s="395" t="str">
        <f t="shared" ca="1" si="562"/>
        <v/>
      </c>
      <c r="FQ192" s="360" t="str">
        <f t="shared" ca="1" si="563"/>
        <v/>
      </c>
      <c r="FR192" s="360" t="str">
        <f t="shared" ca="1" si="554"/>
        <v/>
      </c>
      <c r="FS192" s="360" t="str">
        <f t="shared" ca="1" si="555"/>
        <v/>
      </c>
      <c r="FT192" s="360" t="str">
        <f t="shared" ca="1" si="556"/>
        <v/>
      </c>
      <c r="FU192" s="360" t="str">
        <f t="shared" ca="1" si="557"/>
        <v/>
      </c>
      <c r="FV192" s="360" t="str">
        <f t="shared" ca="1" si="558"/>
        <v/>
      </c>
      <c r="FW192" s="360" t="str">
        <f t="shared" ca="1" si="559"/>
        <v/>
      </c>
      <c r="FX192" s="360" t="str">
        <f t="shared" ca="1" si="560"/>
        <v/>
      </c>
      <c r="FY192" s="360" t="str">
        <f t="shared" ca="1" si="561"/>
        <v/>
      </c>
      <c r="FZ192" s="379" t="str">
        <f t="shared" ca="1" si="564"/>
        <v/>
      </c>
      <c r="GA192" s="302"/>
      <c r="GB192" s="364"/>
      <c r="GC192" s="302"/>
    </row>
    <row r="193" spans="40:185" x14ac:dyDescent="0.25">
      <c r="AN193" s="336">
        <f t="shared" si="541"/>
        <v>0</v>
      </c>
      <c r="AO193" s="443" t="str">
        <f t="shared" si="542"/>
        <v>►</v>
      </c>
      <c r="AP193" s="444">
        <f t="shared" si="543"/>
        <v>3</v>
      </c>
      <c r="AQ193" s="444">
        <f t="shared" si="544"/>
        <v>3</v>
      </c>
      <c r="AY193" s="348">
        <f t="shared" si="545"/>
        <v>-999999999999.99097</v>
      </c>
      <c r="BA193" s="348">
        <f t="shared" si="546"/>
        <v>-999999999.99100006</v>
      </c>
      <c r="BB193" s="349">
        <v>8</v>
      </c>
      <c r="BC193" s="378">
        <f t="shared" si="547"/>
        <v>0</v>
      </c>
      <c r="BD193" s="346">
        <f t="shared" si="548"/>
        <v>0</v>
      </c>
      <c r="BE193" s="346">
        <f t="shared" si="514"/>
        <v>0</v>
      </c>
      <c r="BF193" s="346">
        <f t="shared" si="515"/>
        <v>0</v>
      </c>
      <c r="BG193" s="346">
        <f t="shared" si="516"/>
        <v>0</v>
      </c>
      <c r="BH193" s="346">
        <f t="shared" si="517"/>
        <v>0</v>
      </c>
      <c r="BI193" s="346">
        <f t="shared" si="518"/>
        <v>0</v>
      </c>
      <c r="BJ193" s="346">
        <f t="shared" si="549"/>
        <v>0</v>
      </c>
      <c r="BK193" s="347">
        <f t="shared" si="550"/>
        <v>0</v>
      </c>
      <c r="BL193" s="346">
        <f t="shared" si="519"/>
        <v>0</v>
      </c>
      <c r="BM193" s="346">
        <f t="shared" si="520"/>
        <v>0</v>
      </c>
      <c r="BN193" s="346">
        <f t="shared" si="551"/>
        <v>0</v>
      </c>
      <c r="BO193" s="347">
        <f t="shared" si="521"/>
        <v>0</v>
      </c>
      <c r="BP193" s="348">
        <v>8.9999999999999733E-3</v>
      </c>
      <c r="BQ193" s="349">
        <f t="shared" ca="1" si="522"/>
        <v>0</v>
      </c>
      <c r="BS193" s="346">
        <f t="shared" ca="1" si="523"/>
        <v>0</v>
      </c>
      <c r="BT193" s="346">
        <f t="shared" ca="1" si="524"/>
        <v>0</v>
      </c>
      <c r="BU193" s="346">
        <f t="shared" ca="1" si="525"/>
        <v>0</v>
      </c>
      <c r="BV193" s="346">
        <f t="shared" ca="1" si="526"/>
        <v>0</v>
      </c>
      <c r="BW193" s="346">
        <f t="shared" ca="1" si="527"/>
        <v>0</v>
      </c>
      <c r="BX193" s="346">
        <f t="shared" ca="1" si="528"/>
        <v>0</v>
      </c>
      <c r="BZ193" s="346">
        <f t="shared" ca="1" si="529"/>
        <v>0</v>
      </c>
      <c r="CA193" s="346">
        <f t="shared" ca="1" si="530"/>
        <v>0</v>
      </c>
      <c r="CB193" s="346">
        <f t="shared" ca="1" si="531"/>
        <v>0</v>
      </c>
      <c r="CC193" s="346">
        <f t="shared" ca="1" si="532"/>
        <v>0</v>
      </c>
      <c r="CD193" s="346">
        <f t="shared" ca="1" si="533"/>
        <v>0</v>
      </c>
      <c r="CE193" s="346">
        <f t="shared" ca="1" si="534"/>
        <v>0</v>
      </c>
      <c r="CH193" s="445"/>
      <c r="CI193" s="300"/>
      <c r="CJ193" s="300"/>
      <c r="CK193" s="300"/>
      <c r="CL193" s="449"/>
      <c r="CM193" s="445"/>
      <c r="DG193" s="445"/>
      <c r="DH193" s="300"/>
      <c r="DI193" s="301"/>
      <c r="DJ193" s="324" t="s">
        <v>157</v>
      </c>
      <c r="DK193" s="324" t="s">
        <v>158</v>
      </c>
      <c r="DL193" s="325" t="s">
        <v>159</v>
      </c>
      <c r="DM193" s="325"/>
      <c r="DN193" s="326" t="s">
        <v>160</v>
      </c>
      <c r="DO193" s="325" t="s">
        <v>135</v>
      </c>
      <c r="DP193" s="302"/>
      <c r="DQ193" s="302"/>
      <c r="DR193" s="364"/>
      <c r="DS193" s="302"/>
      <c r="DU193" s="424"/>
      <c r="DV193" s="424"/>
      <c r="DW193" s="424"/>
      <c r="DX193" s="424"/>
      <c r="DY193" s="424"/>
      <c r="DZ193" s="424"/>
      <c r="EA193" s="424"/>
      <c r="EB193" s="424"/>
      <c r="EC193" s="424"/>
      <c r="ED193" s="424"/>
      <c r="EE193" s="424"/>
      <c r="EF193" s="424"/>
      <c r="EG193" s="424"/>
      <c r="EH193" s="424"/>
      <c r="EI193" s="424"/>
      <c r="EJ193" s="424"/>
      <c r="EK193" s="424"/>
      <c r="EL193" s="424"/>
      <c r="EM193" s="424"/>
      <c r="EN193" s="424"/>
      <c r="EO193" s="424"/>
      <c r="EP193" s="424"/>
      <c r="EQ193" s="424"/>
      <c r="ER193" s="404" t="str">
        <f ca="1">ER187</f>
        <v/>
      </c>
      <c r="ES193" s="371" t="str">
        <f ca="1">IF(OR(ER193="",EY193="",ER193=EY193),"",CONCATENATE(ER193,EY193))</f>
        <v/>
      </c>
      <c r="ET193" s="422" t="str">
        <f ca="1">IF(OR(ES193="",EY165&gt;2),"",CONCATENATE(VLOOKUP(ES193,games.a,9,FALSE),VLOOKUP(ES193,games.a,12,FALSE)))</f>
        <v/>
      </c>
      <c r="EU193" s="413"/>
      <c r="EV193" s="414"/>
      <c r="EW193" s="423" t="str">
        <f ca="1">IF(ES193="","",VLOOKUP(ES193,games.a,6,FALSE))</f>
        <v/>
      </c>
      <c r="EX193" s="409" t="str">
        <f ca="1">IF(ES193="","",VLOOKUP(ES193,games.a,7,FALSE))</f>
        <v/>
      </c>
      <c r="EY193" s="415" t="str">
        <f ca="1">EY192</f>
        <v/>
      </c>
      <c r="EZ193" s="416"/>
      <c r="FA193" s="417"/>
      <c r="FB193" s="424"/>
      <c r="FC193" s="424"/>
      <c r="FD193" s="425"/>
      <c r="FE193" s="333"/>
      <c r="FO193" s="300"/>
      <c r="FP193" s="395" t="str">
        <f t="shared" ca="1" si="562"/>
        <v/>
      </c>
      <c r="FQ193" s="360" t="str">
        <f t="shared" ca="1" si="563"/>
        <v/>
      </c>
      <c r="FR193" s="360" t="str">
        <f t="shared" ca="1" si="554"/>
        <v/>
      </c>
      <c r="FS193" s="360" t="str">
        <f t="shared" ca="1" si="555"/>
        <v/>
      </c>
      <c r="FT193" s="360" t="str">
        <f t="shared" ca="1" si="556"/>
        <v/>
      </c>
      <c r="FU193" s="360" t="str">
        <f t="shared" ca="1" si="557"/>
        <v/>
      </c>
      <c r="FV193" s="360" t="str">
        <f t="shared" ca="1" si="558"/>
        <v/>
      </c>
      <c r="FW193" s="360" t="str">
        <f t="shared" ca="1" si="559"/>
        <v/>
      </c>
      <c r="FX193" s="360" t="str">
        <f t="shared" ca="1" si="560"/>
        <v/>
      </c>
      <c r="FY193" s="360" t="str">
        <f t="shared" ca="1" si="561"/>
        <v/>
      </c>
      <c r="FZ193" s="379" t="str">
        <f t="shared" ca="1" si="564"/>
        <v/>
      </c>
      <c r="GA193" s="302"/>
      <c r="GB193" s="364"/>
      <c r="GC193" s="302"/>
    </row>
    <row r="194" spans="40:185" x14ac:dyDescent="0.25">
      <c r="AN194" s="336">
        <f t="shared" si="541"/>
        <v>0</v>
      </c>
      <c r="AO194" s="443" t="str">
        <f t="shared" si="542"/>
        <v>►</v>
      </c>
      <c r="AP194" s="444">
        <f t="shared" si="543"/>
        <v>2</v>
      </c>
      <c r="AQ194" s="444">
        <f t="shared" si="544"/>
        <v>2</v>
      </c>
      <c r="AY194" s="348">
        <f t="shared" si="545"/>
        <v>-999999999999.99194</v>
      </c>
      <c r="BA194" s="348">
        <f t="shared" si="546"/>
        <v>-999999999.99199998</v>
      </c>
      <c r="BB194" s="349">
        <v>9</v>
      </c>
      <c r="BC194" s="378">
        <f t="shared" si="547"/>
        <v>0</v>
      </c>
      <c r="BD194" s="346">
        <f t="shared" si="548"/>
        <v>0</v>
      </c>
      <c r="BE194" s="346">
        <f t="shared" si="514"/>
        <v>0</v>
      </c>
      <c r="BF194" s="346">
        <f t="shared" si="515"/>
        <v>0</v>
      </c>
      <c r="BG194" s="346">
        <f t="shared" si="516"/>
        <v>0</v>
      </c>
      <c r="BH194" s="346">
        <f t="shared" si="517"/>
        <v>0</v>
      </c>
      <c r="BI194" s="346">
        <f t="shared" si="518"/>
        <v>0</v>
      </c>
      <c r="BJ194" s="346">
        <f t="shared" si="549"/>
        <v>0</v>
      </c>
      <c r="BK194" s="347">
        <f t="shared" si="550"/>
        <v>0</v>
      </c>
      <c r="BL194" s="346">
        <f t="shared" si="519"/>
        <v>0</v>
      </c>
      <c r="BM194" s="346">
        <f t="shared" si="520"/>
        <v>0</v>
      </c>
      <c r="BN194" s="346">
        <f t="shared" si="551"/>
        <v>0</v>
      </c>
      <c r="BO194" s="347">
        <f t="shared" si="521"/>
        <v>0</v>
      </c>
      <c r="BP194" s="348">
        <v>7.9999999999999724E-3</v>
      </c>
      <c r="BQ194" s="349">
        <f t="shared" ca="1" si="522"/>
        <v>0</v>
      </c>
      <c r="BS194" s="346">
        <f t="shared" ca="1" si="523"/>
        <v>0</v>
      </c>
      <c r="BT194" s="346">
        <f t="shared" ca="1" si="524"/>
        <v>0</v>
      </c>
      <c r="BU194" s="346">
        <f t="shared" ca="1" si="525"/>
        <v>0</v>
      </c>
      <c r="BV194" s="346">
        <f t="shared" ca="1" si="526"/>
        <v>0</v>
      </c>
      <c r="BW194" s="346">
        <f t="shared" ca="1" si="527"/>
        <v>0</v>
      </c>
      <c r="BX194" s="346">
        <f t="shared" ca="1" si="528"/>
        <v>0</v>
      </c>
      <c r="BZ194" s="346">
        <f t="shared" ca="1" si="529"/>
        <v>0</v>
      </c>
      <c r="CA194" s="346">
        <f t="shared" ca="1" si="530"/>
        <v>0</v>
      </c>
      <c r="CB194" s="346">
        <f t="shared" ca="1" si="531"/>
        <v>0</v>
      </c>
      <c r="CC194" s="346">
        <f t="shared" ca="1" si="532"/>
        <v>0</v>
      </c>
      <c r="CD194" s="346">
        <f t="shared" ca="1" si="533"/>
        <v>0</v>
      </c>
      <c r="CE194" s="346">
        <f t="shared" ca="1" si="534"/>
        <v>0</v>
      </c>
      <c r="CH194" s="445"/>
      <c r="CI194" s="300"/>
      <c r="CJ194" s="300"/>
      <c r="CK194" s="300"/>
      <c r="CL194" s="449"/>
      <c r="CM194" s="445"/>
      <c r="DG194" s="445"/>
      <c r="DH194" s="300"/>
      <c r="DI194" s="395" t="str">
        <f ca="1">DI186</f>
        <v>Hercules-Ludovika</v>
      </c>
      <c r="DJ194" s="360" t="str">
        <f t="shared" ref="DJ194:DJ200" ca="1" si="565">IF(OR(DI194="",DP194="",DI194=DP194),"",CONCATENATE(DI194,DP194))</f>
        <v/>
      </c>
      <c r="DK194" s="360" t="str">
        <f t="shared" ref="DK194:DK200" ca="1" si="566">IF($DJ194="","",CONCATENATE(VLOOKUP($DJ194,games.a,9,FALSE),VLOOKUP($DJ194,games.a,12,FALSE)))</f>
        <v/>
      </c>
      <c r="DL194" s="354" t="str">
        <f t="shared" ref="DL194:DL200" ca="1" si="567">IF($DJ194="","",VLOOKUP($DJ194,games.a,10,FALSE))</f>
        <v/>
      </c>
      <c r="DM194" s="354" t="str">
        <f t="shared" ref="DM194:DM200" ca="1" si="568">IF($DJ194="","",VLOOKUP($DJ194,games.a,13,FALSE))</f>
        <v/>
      </c>
      <c r="DN194" s="361" t="str">
        <f t="shared" ref="DN194:DN200" ca="1" si="569">IF($DJ194="","",VLOOKUP($DJ194,games.a,6,FALSE))</f>
        <v/>
      </c>
      <c r="DO194" s="362" t="str">
        <f t="shared" ref="DO194:DO200" ca="1" si="570">IF($DJ194="","",VLOOKUP($DJ194,games.a,7,FALSE))</f>
        <v/>
      </c>
      <c r="DP194" s="363" t="str">
        <f ca="1">DI159</f>
        <v/>
      </c>
      <c r="DQ194" s="302"/>
      <c r="DR194" s="364"/>
      <c r="DS194" s="302"/>
      <c r="DU194" s="424"/>
      <c r="DV194" s="424"/>
      <c r="DW194" s="424"/>
      <c r="DX194" s="424"/>
      <c r="DY194" s="424"/>
      <c r="DZ194" s="424"/>
      <c r="EA194" s="424"/>
      <c r="EB194" s="424"/>
      <c r="EC194" s="424"/>
      <c r="ED194" s="424"/>
      <c r="EE194" s="424"/>
      <c r="EF194" s="424"/>
      <c r="EG194" s="424"/>
      <c r="EH194" s="424"/>
      <c r="EI194" s="424"/>
      <c r="EJ194" s="424"/>
      <c r="EK194" s="424"/>
      <c r="EL194" s="424"/>
      <c r="EM194" s="424"/>
      <c r="EN194" s="424"/>
      <c r="EO194" s="424"/>
      <c r="EP194" s="424"/>
      <c r="EQ194" s="424"/>
      <c r="ER194" s="404" t="str">
        <f ca="1">ER188</f>
        <v/>
      </c>
      <c r="ES194" s="371" t="str">
        <f ca="1">IF(OR(ER194="",EY194="",ER194=EY194),"",CONCATENATE(ER194,EY194))</f>
        <v/>
      </c>
      <c r="ET194" s="422" t="str">
        <f ca="1">IF(OR(ES194="",EY165&gt;2),"",CONCATENATE(VLOOKUP(ES194,games.a,9,FALSE),VLOOKUP(ES194,games.a,12,FALSE)))</f>
        <v/>
      </c>
      <c r="EU194" s="420"/>
      <c r="EV194" s="421"/>
      <c r="EW194" s="423" t="str">
        <f ca="1">IF(ES194="","",VLOOKUP(ES194,games.a,6,FALSE))</f>
        <v/>
      </c>
      <c r="EX194" s="409" t="str">
        <f ca="1">IF(ES194="","",VLOOKUP(ES194,games.a,7,FALSE))</f>
        <v/>
      </c>
      <c r="EY194" s="415" t="str">
        <f ca="1">EY193</f>
        <v/>
      </c>
      <c r="EZ194" s="416"/>
      <c r="FA194" s="417"/>
      <c r="FB194" s="424"/>
      <c r="FC194" s="424"/>
      <c r="FD194" s="425"/>
      <c r="FE194" s="333"/>
      <c r="FO194" s="300"/>
      <c r="FP194" s="395" t="str">
        <f t="shared" ca="1" si="562"/>
        <v/>
      </c>
      <c r="FQ194" s="360" t="str">
        <f t="shared" ca="1" si="563"/>
        <v/>
      </c>
      <c r="FR194" s="360" t="str">
        <f t="shared" ca="1" si="554"/>
        <v/>
      </c>
      <c r="FS194" s="360" t="str">
        <f t="shared" ca="1" si="555"/>
        <v/>
      </c>
      <c r="FT194" s="360" t="str">
        <f t="shared" ca="1" si="556"/>
        <v/>
      </c>
      <c r="FU194" s="360" t="str">
        <f t="shared" ca="1" si="557"/>
        <v/>
      </c>
      <c r="FV194" s="360" t="str">
        <f t="shared" ca="1" si="558"/>
        <v/>
      </c>
      <c r="FW194" s="360" t="str">
        <f t="shared" ca="1" si="559"/>
        <v/>
      </c>
      <c r="FX194" s="360" t="str">
        <f t="shared" ca="1" si="560"/>
        <v/>
      </c>
      <c r="FY194" s="360" t="str">
        <f t="shared" ca="1" si="561"/>
        <v/>
      </c>
      <c r="FZ194" s="379" t="str">
        <f t="shared" ca="1" si="564"/>
        <v/>
      </c>
      <c r="GA194" s="302"/>
      <c r="GB194" s="364"/>
      <c r="GC194" s="302"/>
    </row>
    <row r="195" spans="40:185" x14ac:dyDescent="0.25">
      <c r="AN195" s="336">
        <f t="shared" si="541"/>
        <v>0</v>
      </c>
      <c r="AO195" s="443" t="str">
        <f t="shared" si="542"/>
        <v>►</v>
      </c>
      <c r="AP195" s="444">
        <f t="shared" si="543"/>
        <v>1</v>
      </c>
      <c r="AQ195" s="444">
        <f t="shared" si="544"/>
        <v>1</v>
      </c>
      <c r="AY195" s="348">
        <f t="shared" si="545"/>
        <v>-999999999999.99304</v>
      </c>
      <c r="BA195" s="348">
        <f t="shared" si="546"/>
        <v>-999999999.99300003</v>
      </c>
      <c r="BB195" s="349">
        <v>10</v>
      </c>
      <c r="BC195" s="378">
        <f t="shared" si="547"/>
        <v>0</v>
      </c>
      <c r="BD195" s="346">
        <f t="shared" si="548"/>
        <v>0</v>
      </c>
      <c r="BE195" s="346">
        <f t="shared" si="514"/>
        <v>0</v>
      </c>
      <c r="BF195" s="346">
        <f t="shared" si="515"/>
        <v>0</v>
      </c>
      <c r="BG195" s="346">
        <f t="shared" si="516"/>
        <v>0</v>
      </c>
      <c r="BH195" s="346">
        <f t="shared" si="517"/>
        <v>0</v>
      </c>
      <c r="BI195" s="346">
        <f t="shared" si="518"/>
        <v>0</v>
      </c>
      <c r="BJ195" s="346">
        <f t="shared" si="549"/>
        <v>0</v>
      </c>
      <c r="BK195" s="347">
        <f t="shared" si="550"/>
        <v>0</v>
      </c>
      <c r="BL195" s="346">
        <f t="shared" si="519"/>
        <v>0</v>
      </c>
      <c r="BM195" s="346">
        <f t="shared" si="520"/>
        <v>0</v>
      </c>
      <c r="BN195" s="346">
        <f t="shared" si="551"/>
        <v>0</v>
      </c>
      <c r="BO195" s="347">
        <f t="shared" si="521"/>
        <v>0</v>
      </c>
      <c r="BP195" s="348">
        <v>6.9999999999999724E-3</v>
      </c>
      <c r="BQ195" s="349">
        <f t="shared" ca="1" si="522"/>
        <v>0</v>
      </c>
      <c r="BS195" s="346">
        <f t="shared" ca="1" si="523"/>
        <v>0</v>
      </c>
      <c r="BT195" s="346">
        <f t="shared" ca="1" si="524"/>
        <v>0</v>
      </c>
      <c r="BU195" s="346">
        <f t="shared" ca="1" si="525"/>
        <v>0</v>
      </c>
      <c r="BV195" s="346">
        <f t="shared" ca="1" si="526"/>
        <v>0</v>
      </c>
      <c r="BW195" s="346">
        <f t="shared" ca="1" si="527"/>
        <v>0</v>
      </c>
      <c r="BX195" s="346">
        <f t="shared" ca="1" si="528"/>
        <v>0</v>
      </c>
      <c r="BZ195" s="346">
        <f t="shared" ca="1" si="529"/>
        <v>0</v>
      </c>
      <c r="CA195" s="346">
        <f t="shared" ca="1" si="530"/>
        <v>0</v>
      </c>
      <c r="CB195" s="346">
        <f t="shared" ca="1" si="531"/>
        <v>0</v>
      </c>
      <c r="CC195" s="346">
        <f t="shared" ca="1" si="532"/>
        <v>0</v>
      </c>
      <c r="CD195" s="346">
        <f t="shared" ca="1" si="533"/>
        <v>0</v>
      </c>
      <c r="CE195" s="346">
        <f t="shared" ca="1" si="534"/>
        <v>0</v>
      </c>
      <c r="CH195" s="445"/>
      <c r="CI195" s="300"/>
      <c r="CJ195" s="300"/>
      <c r="CK195" s="300"/>
      <c r="CL195" s="449"/>
      <c r="CM195" s="445"/>
      <c r="DG195" s="445"/>
      <c r="DH195" s="300"/>
      <c r="DI195" s="395" t="str">
        <f t="shared" ref="DI195:DI200" ca="1" si="571">DI187</f>
        <v>Élelmesek</v>
      </c>
      <c r="DJ195" s="360" t="str">
        <f t="shared" ca="1" si="565"/>
        <v/>
      </c>
      <c r="DK195" s="360" t="str">
        <f t="shared" ca="1" si="566"/>
        <v/>
      </c>
      <c r="DL195" s="354" t="str">
        <f t="shared" ca="1" si="567"/>
        <v/>
      </c>
      <c r="DM195" s="354" t="str">
        <f t="shared" ca="1" si="568"/>
        <v/>
      </c>
      <c r="DN195" s="361" t="str">
        <f t="shared" ca="1" si="569"/>
        <v/>
      </c>
      <c r="DO195" s="362" t="str">
        <f t="shared" ca="1" si="570"/>
        <v/>
      </c>
      <c r="DP195" s="379" t="str">
        <f t="shared" ref="DP195:DP200" ca="1" si="572">DP194</f>
        <v/>
      </c>
      <c r="DQ195" s="302"/>
      <c r="DR195" s="364"/>
      <c r="DS195" s="302"/>
      <c r="DU195" s="424"/>
      <c r="DV195" s="424"/>
      <c r="DW195" s="424"/>
      <c r="DX195" s="424"/>
      <c r="DY195" s="424"/>
      <c r="DZ195" s="424"/>
      <c r="EA195" s="424"/>
      <c r="EB195" s="424"/>
      <c r="EC195" s="424"/>
      <c r="ED195" s="424"/>
      <c r="EE195" s="424"/>
      <c r="EF195" s="424"/>
      <c r="EG195" s="424"/>
      <c r="EH195" s="424"/>
      <c r="EI195" s="424"/>
      <c r="EJ195" s="424"/>
      <c r="EK195" s="424"/>
      <c r="EL195" s="424"/>
      <c r="EM195" s="424"/>
      <c r="EN195" s="424"/>
      <c r="EO195" s="424"/>
      <c r="EP195" s="424"/>
      <c r="EQ195" s="424"/>
      <c r="ER195" s="424"/>
      <c r="ES195" s="424"/>
      <c r="ET195" s="424"/>
      <c r="EU195" s="424"/>
      <c r="EV195" s="424"/>
      <c r="EW195" s="424"/>
      <c r="EX195" s="424"/>
      <c r="EY195" s="424"/>
      <c r="EZ195" s="424"/>
      <c r="FA195" s="424"/>
      <c r="FB195" s="424"/>
      <c r="FC195" s="424"/>
      <c r="FD195" s="425"/>
      <c r="FE195" s="333"/>
      <c r="FO195" s="300"/>
      <c r="FP195" s="395" t="str">
        <f t="shared" ca="1" si="562"/>
        <v/>
      </c>
      <c r="FQ195" s="360" t="str">
        <f t="shared" ca="1" si="563"/>
        <v/>
      </c>
      <c r="FR195" s="360" t="str">
        <f t="shared" ca="1" si="554"/>
        <v/>
      </c>
      <c r="FS195" s="360" t="str">
        <f t="shared" ca="1" si="555"/>
        <v/>
      </c>
      <c r="FT195" s="360" t="str">
        <f t="shared" ca="1" si="556"/>
        <v/>
      </c>
      <c r="FU195" s="360" t="str">
        <f t="shared" ca="1" si="557"/>
        <v/>
      </c>
      <c r="FV195" s="360" t="str">
        <f t="shared" ca="1" si="558"/>
        <v/>
      </c>
      <c r="FW195" s="360" t="str">
        <f t="shared" ca="1" si="559"/>
        <v/>
      </c>
      <c r="FX195" s="360" t="str">
        <f t="shared" ca="1" si="560"/>
        <v/>
      </c>
      <c r="FY195" s="360" t="str">
        <f t="shared" ca="1" si="561"/>
        <v/>
      </c>
      <c r="FZ195" s="379" t="str">
        <f t="shared" ca="1" si="564"/>
        <v/>
      </c>
      <c r="GA195" s="302"/>
      <c r="GB195" s="364"/>
      <c r="GC195" s="302"/>
    </row>
    <row r="196" spans="40:185" x14ac:dyDescent="0.25">
      <c r="CH196" s="445"/>
      <c r="CI196" s="300"/>
      <c r="CJ196" s="300"/>
      <c r="CK196" s="300"/>
      <c r="CL196" s="449"/>
      <c r="CM196" s="445"/>
      <c r="DG196" s="445"/>
      <c r="DH196" s="300"/>
      <c r="DI196" s="395" t="str">
        <f t="shared" ca="1" si="571"/>
        <v/>
      </c>
      <c r="DJ196" s="360" t="str">
        <f t="shared" ca="1" si="565"/>
        <v/>
      </c>
      <c r="DK196" s="360" t="str">
        <f t="shared" ca="1" si="566"/>
        <v/>
      </c>
      <c r="DL196" s="354" t="str">
        <f t="shared" ca="1" si="567"/>
        <v/>
      </c>
      <c r="DM196" s="354" t="str">
        <f t="shared" ca="1" si="568"/>
        <v/>
      </c>
      <c r="DN196" s="361" t="str">
        <f t="shared" ca="1" si="569"/>
        <v/>
      </c>
      <c r="DO196" s="362" t="str">
        <f t="shared" ca="1" si="570"/>
        <v/>
      </c>
      <c r="DP196" s="379" t="str">
        <f t="shared" ca="1" si="572"/>
        <v/>
      </c>
      <c r="DQ196" s="302"/>
      <c r="DR196" s="364"/>
      <c r="DS196" s="302"/>
      <c r="DU196" s="424"/>
      <c r="DV196" s="424"/>
      <c r="DW196" s="424"/>
      <c r="DX196" s="424"/>
      <c r="DY196" s="424"/>
      <c r="DZ196" s="424"/>
      <c r="EA196" s="424"/>
      <c r="EB196" s="424"/>
      <c r="EC196" s="424"/>
      <c r="ED196" s="424"/>
      <c r="EE196" s="424"/>
      <c r="EF196" s="424"/>
      <c r="EG196" s="424"/>
      <c r="EH196" s="424"/>
      <c r="EI196" s="424"/>
      <c r="EJ196" s="424"/>
      <c r="EK196" s="424"/>
      <c r="EL196" s="424"/>
      <c r="EM196" s="424"/>
      <c r="EN196" s="424"/>
      <c r="EO196" s="424"/>
      <c r="EP196" s="424"/>
      <c r="EQ196" s="424"/>
      <c r="ER196" s="398"/>
      <c r="ES196" s="329" t="s">
        <v>157</v>
      </c>
      <c r="ET196" s="329" t="s">
        <v>158</v>
      </c>
      <c r="EU196" s="399"/>
      <c r="EV196" s="400"/>
      <c r="EW196" s="401" t="s">
        <v>160</v>
      </c>
      <c r="EX196" s="402" t="s">
        <v>135</v>
      </c>
      <c r="EY196" s="365"/>
      <c r="EZ196" s="365"/>
      <c r="FA196" s="365"/>
      <c r="FB196" s="424"/>
      <c r="FC196" s="424"/>
      <c r="FD196" s="425"/>
      <c r="FE196" s="333"/>
      <c r="FO196" s="300"/>
      <c r="FP196" s="395" t="str">
        <f t="shared" ca="1" si="562"/>
        <v/>
      </c>
      <c r="FQ196" s="360" t="str">
        <f t="shared" ca="1" si="563"/>
        <v/>
      </c>
      <c r="FR196" s="360" t="str">
        <f t="shared" ca="1" si="554"/>
        <v/>
      </c>
      <c r="FS196" s="360" t="str">
        <f t="shared" ca="1" si="555"/>
        <v/>
      </c>
      <c r="FT196" s="360" t="str">
        <f t="shared" ca="1" si="556"/>
        <v/>
      </c>
      <c r="FU196" s="360" t="str">
        <f t="shared" ca="1" si="557"/>
        <v/>
      </c>
      <c r="FV196" s="360" t="str">
        <f t="shared" ca="1" si="558"/>
        <v/>
      </c>
      <c r="FW196" s="360" t="str">
        <f t="shared" ca="1" si="559"/>
        <v/>
      </c>
      <c r="FX196" s="360" t="str">
        <f t="shared" ca="1" si="560"/>
        <v/>
      </c>
      <c r="FY196" s="360" t="str">
        <f t="shared" ca="1" si="561"/>
        <v/>
      </c>
      <c r="FZ196" s="379" t="str">
        <f t="shared" ca="1" si="564"/>
        <v/>
      </c>
      <c r="GA196" s="302"/>
      <c r="GB196" s="364"/>
      <c r="GC196" s="302"/>
    </row>
    <row r="197" spans="40:185" x14ac:dyDescent="0.25">
      <c r="CH197" s="445"/>
      <c r="CI197" s="300"/>
      <c r="CJ197" s="300"/>
      <c r="CK197" s="300"/>
      <c r="CL197" s="449"/>
      <c r="CM197" s="445"/>
      <c r="DG197" s="445"/>
      <c r="DH197" s="300"/>
      <c r="DI197" s="395" t="str">
        <f t="shared" ca="1" si="571"/>
        <v/>
      </c>
      <c r="DJ197" s="360" t="str">
        <f t="shared" ca="1" si="565"/>
        <v/>
      </c>
      <c r="DK197" s="360" t="str">
        <f t="shared" ca="1" si="566"/>
        <v/>
      </c>
      <c r="DL197" s="354" t="str">
        <f t="shared" ca="1" si="567"/>
        <v/>
      </c>
      <c r="DM197" s="354" t="str">
        <f t="shared" ca="1" si="568"/>
        <v/>
      </c>
      <c r="DN197" s="361" t="str">
        <f t="shared" ca="1" si="569"/>
        <v/>
      </c>
      <c r="DO197" s="362" t="str">
        <f t="shared" ca="1" si="570"/>
        <v/>
      </c>
      <c r="DP197" s="379" t="str">
        <f t="shared" ca="1" si="572"/>
        <v/>
      </c>
      <c r="DQ197" s="302"/>
      <c r="DR197" s="364"/>
      <c r="DS197" s="302"/>
      <c r="DU197" s="424"/>
      <c r="DV197" s="424"/>
      <c r="DW197" s="424"/>
      <c r="DX197" s="424"/>
      <c r="DY197" s="424"/>
      <c r="DZ197" s="424"/>
      <c r="EA197" s="424"/>
      <c r="EB197" s="424"/>
      <c r="EC197" s="424"/>
      <c r="ED197" s="424"/>
      <c r="EE197" s="424"/>
      <c r="EF197" s="424"/>
      <c r="EG197" s="424"/>
      <c r="EH197" s="424"/>
      <c r="EI197" s="424"/>
      <c r="EJ197" s="424"/>
      <c r="EK197" s="424"/>
      <c r="EL197" s="424"/>
      <c r="EM197" s="424"/>
      <c r="EN197" s="424"/>
      <c r="EO197" s="424"/>
      <c r="EP197" s="424"/>
      <c r="EQ197" s="424"/>
      <c r="ER197" s="404" t="str">
        <f ca="1">IF(EX154="","",VLOOKUP(EX154,yyy.aa1.7,7,FALSE))</f>
        <v/>
      </c>
      <c r="ES197" s="371" t="str">
        <f ca="1">IF(OR(ER197="",EY197="",ER197=EY197),"",CONCATENATE(ER197,EY197))</f>
        <v/>
      </c>
      <c r="ET197" s="369" t="str">
        <f ca="1">IF(ES197="","",CONCATENATE(VLOOKUP(ES197,games.a,9,FALSE),VLOOKUP(ES197,games.a,12,FALSE)))</f>
        <v/>
      </c>
      <c r="EU197" s="406"/>
      <c r="EV197" s="407"/>
      <c r="EW197" s="423" t="str">
        <f ca="1">IF(ES197="","",VLOOKUP(ES197,games.a,6,FALSE))</f>
        <v/>
      </c>
      <c r="EX197" s="409" t="str">
        <f ca="1">IF(ES197="","",VLOOKUP(ES197,games.a,7,FALSE))</f>
        <v/>
      </c>
      <c r="EY197" s="410" t="str">
        <f ca="1">ER197</f>
        <v/>
      </c>
      <c r="EZ197" s="411"/>
      <c r="FA197" s="412"/>
      <c r="FB197" s="424"/>
      <c r="FC197" s="424"/>
      <c r="FD197" s="425"/>
      <c r="FE197" s="333"/>
      <c r="FO197" s="300"/>
      <c r="FP197" s="301"/>
      <c r="FQ197" s="324" t="s">
        <v>157</v>
      </c>
      <c r="FR197" s="324" t="s">
        <v>237</v>
      </c>
      <c r="FS197" s="324" t="s">
        <v>239</v>
      </c>
      <c r="FT197" s="324" t="s">
        <v>240</v>
      </c>
      <c r="FU197" s="324" t="s">
        <v>238</v>
      </c>
      <c r="FV197" s="324" t="s">
        <v>241</v>
      </c>
      <c r="FW197" s="324" t="s">
        <v>242</v>
      </c>
      <c r="FX197" s="326" t="s">
        <v>160</v>
      </c>
      <c r="FY197" s="325" t="s">
        <v>135</v>
      </c>
      <c r="FZ197" s="302"/>
      <c r="GA197" s="302"/>
      <c r="GB197" s="364"/>
      <c r="GC197" s="302"/>
    </row>
    <row r="198" spans="40:185" x14ac:dyDescent="0.25">
      <c r="CH198" s="445"/>
      <c r="CI198" s="300"/>
      <c r="CJ198" s="300"/>
      <c r="CK198" s="300"/>
      <c r="CL198" s="449"/>
      <c r="CM198" s="445"/>
      <c r="DG198" s="445"/>
      <c r="DH198" s="300"/>
      <c r="DI198" s="395" t="str">
        <f t="shared" ca="1" si="571"/>
        <v/>
      </c>
      <c r="DJ198" s="360" t="str">
        <f t="shared" ca="1" si="565"/>
        <v/>
      </c>
      <c r="DK198" s="360" t="str">
        <f t="shared" ca="1" si="566"/>
        <v/>
      </c>
      <c r="DL198" s="354" t="str">
        <f t="shared" ca="1" si="567"/>
        <v/>
      </c>
      <c r="DM198" s="354" t="str">
        <f t="shared" ca="1" si="568"/>
        <v/>
      </c>
      <c r="DN198" s="361" t="str">
        <f t="shared" ca="1" si="569"/>
        <v/>
      </c>
      <c r="DO198" s="362" t="str">
        <f t="shared" ca="1" si="570"/>
        <v/>
      </c>
      <c r="DP198" s="379" t="str">
        <f t="shared" ca="1" si="572"/>
        <v/>
      </c>
      <c r="DQ198" s="302"/>
      <c r="DR198" s="364"/>
      <c r="DS198" s="302"/>
      <c r="DU198" s="424"/>
      <c r="DV198" s="424"/>
      <c r="DW198" s="424"/>
      <c r="DX198" s="424"/>
      <c r="DY198" s="424"/>
      <c r="DZ198" s="424"/>
      <c r="EA198" s="424"/>
      <c r="EB198" s="424"/>
      <c r="EC198" s="424"/>
      <c r="ED198" s="424"/>
      <c r="EE198" s="424"/>
      <c r="EF198" s="424"/>
      <c r="EG198" s="424"/>
      <c r="EH198" s="424"/>
      <c r="EI198" s="424"/>
      <c r="EJ198" s="424"/>
      <c r="EK198" s="424"/>
      <c r="EL198" s="424"/>
      <c r="EM198" s="424"/>
      <c r="EN198" s="424"/>
      <c r="EO198" s="424"/>
      <c r="EP198" s="424"/>
      <c r="EQ198" s="424"/>
      <c r="ER198" s="404" t="str">
        <f ca="1">IF(EX155="","",VLOOKUP(EX155,yyy.aa1.7,7,FALSE))</f>
        <v/>
      </c>
      <c r="ES198" s="371" t="str">
        <f ca="1">IF(OR(ER198="",EY198="",ER198=EY198),"",CONCATENATE(ER198,EY198))</f>
        <v/>
      </c>
      <c r="ET198" s="369" t="str">
        <f ca="1">IF(ES198="","",CONCATENATE(VLOOKUP(ES198,games.a,9,FALSE),VLOOKUP(ES198,games.a,12,FALSE)))</f>
        <v/>
      </c>
      <c r="EU198" s="413"/>
      <c r="EV198" s="414"/>
      <c r="EW198" s="423" t="str">
        <f ca="1">IF(ES198="","",VLOOKUP(ES198,games.a,6,FALSE))</f>
        <v/>
      </c>
      <c r="EX198" s="409" t="str">
        <f ca="1">IF(ES198="","",VLOOKUP(ES198,games.a,7,FALSE))</f>
        <v/>
      </c>
      <c r="EY198" s="415" t="str">
        <f ca="1">EY197</f>
        <v/>
      </c>
      <c r="EZ198" s="416"/>
      <c r="FA198" s="417"/>
      <c r="FB198" s="424"/>
      <c r="FC198" s="424"/>
      <c r="FD198" s="425"/>
      <c r="FE198" s="333"/>
      <c r="FO198" s="300"/>
      <c r="FP198" s="395" t="str">
        <f ca="1">FP187</f>
        <v/>
      </c>
      <c r="FQ198" s="360" t="str">
        <f ca="1">IF(OR(FP198="",FZ198="",FP198=FZ198),"",CONCATENATE(FP198,FZ198))</f>
        <v/>
      </c>
      <c r="FR198" s="360" t="str">
        <f t="shared" ref="FR198:FR207" ca="1" si="573">IF($FQ198="","",VLOOKUP($FQ198,games.a,9,FALSE))</f>
        <v/>
      </c>
      <c r="FS198" s="360" t="str">
        <f t="shared" ref="FS198:FS207" ca="1" si="574">IF($FQ198="","",VLOOKUP($FQ198,games.a,10,FALSE))</f>
        <v/>
      </c>
      <c r="FT198" s="360" t="str">
        <f t="shared" ref="FT198:FT207" ca="1" si="575">IF($FQ198="","",VLOOKUP($FQ198,games.a,11,FALSE))</f>
        <v/>
      </c>
      <c r="FU198" s="360" t="str">
        <f t="shared" ref="FU198:FU207" ca="1" si="576">IF($FQ198="","",VLOOKUP($FQ198,games.a,12,FALSE))</f>
        <v/>
      </c>
      <c r="FV198" s="360" t="str">
        <f t="shared" ref="FV198:FV207" ca="1" si="577">IF($FQ198="","",VLOOKUP($FQ198,games.a,13,FALSE))</f>
        <v/>
      </c>
      <c r="FW198" s="360" t="str">
        <f t="shared" ref="FW198:FW207" ca="1" si="578">IF($FQ198="","",VLOOKUP($FQ198,games.a,14,FALSE))</f>
        <v/>
      </c>
      <c r="FX198" s="360" t="str">
        <f t="shared" ref="FX198:FX207" ca="1" si="579">IF($FQ198="","",VLOOKUP($FQ198,games.a,6,FALSE))</f>
        <v/>
      </c>
      <c r="FY198" s="360" t="str">
        <f t="shared" ref="FY198:FY207" ca="1" si="580">IF($FQ198="","",VLOOKUP($FQ198,games.a,7,FALSE))</f>
        <v/>
      </c>
      <c r="FZ198" s="363" t="str">
        <f ca="1">FP158</f>
        <v/>
      </c>
      <c r="GA198" s="302"/>
      <c r="GB198" s="364"/>
      <c r="GC198" s="302"/>
    </row>
    <row r="199" spans="40:185" x14ac:dyDescent="0.25">
      <c r="CH199" s="445"/>
      <c r="CI199" s="300"/>
      <c r="CJ199" s="300"/>
      <c r="CK199" s="300"/>
      <c r="CL199" s="449"/>
      <c r="CM199" s="445"/>
      <c r="DG199" s="445"/>
      <c r="DH199" s="300"/>
      <c r="DI199" s="395" t="str">
        <f t="shared" ca="1" si="571"/>
        <v/>
      </c>
      <c r="DJ199" s="360" t="str">
        <f t="shared" ca="1" si="565"/>
        <v/>
      </c>
      <c r="DK199" s="360" t="str">
        <f t="shared" ca="1" si="566"/>
        <v/>
      </c>
      <c r="DL199" s="354" t="str">
        <f t="shared" ca="1" si="567"/>
        <v/>
      </c>
      <c r="DM199" s="354" t="str">
        <f t="shared" ca="1" si="568"/>
        <v/>
      </c>
      <c r="DN199" s="361" t="str">
        <f t="shared" ca="1" si="569"/>
        <v/>
      </c>
      <c r="DO199" s="362" t="str">
        <f t="shared" ca="1" si="570"/>
        <v/>
      </c>
      <c r="DP199" s="379" t="str">
        <f t="shared" ca="1" si="572"/>
        <v/>
      </c>
      <c r="DQ199" s="302"/>
      <c r="DR199" s="364"/>
      <c r="DS199" s="302"/>
      <c r="DU199" s="424"/>
      <c r="DV199" s="424"/>
      <c r="DW199" s="424"/>
      <c r="DX199" s="424"/>
      <c r="DY199" s="424"/>
      <c r="DZ199" s="424"/>
      <c r="EA199" s="424"/>
      <c r="EB199" s="424"/>
      <c r="EC199" s="424"/>
      <c r="ED199" s="424"/>
      <c r="EE199" s="424"/>
      <c r="EF199" s="424"/>
      <c r="EG199" s="424"/>
      <c r="EH199" s="424"/>
      <c r="EI199" s="424"/>
      <c r="EJ199" s="424"/>
      <c r="EK199" s="424"/>
      <c r="EL199" s="424"/>
      <c r="EM199" s="424"/>
      <c r="EN199" s="424"/>
      <c r="EO199" s="424"/>
      <c r="EP199" s="424"/>
      <c r="EQ199" s="424"/>
      <c r="ER199" s="398"/>
      <c r="ES199" s="329" t="s">
        <v>157</v>
      </c>
      <c r="ET199" s="329" t="s">
        <v>158</v>
      </c>
      <c r="EU199" s="399"/>
      <c r="EV199" s="400"/>
      <c r="EW199" s="401" t="s">
        <v>160</v>
      </c>
      <c r="EX199" s="402" t="s">
        <v>135</v>
      </c>
      <c r="EY199" s="398"/>
      <c r="EZ199" s="365"/>
      <c r="FA199" s="365"/>
      <c r="FB199" s="424"/>
      <c r="FC199" s="424"/>
      <c r="FD199" s="425"/>
      <c r="FE199" s="333"/>
      <c r="FO199" s="300"/>
      <c r="FP199" s="395" t="str">
        <f t="shared" ref="FP199:FP207" ca="1" si="581">FP188</f>
        <v/>
      </c>
      <c r="FQ199" s="360" t="str">
        <f t="shared" ref="FQ199:FQ207" ca="1" si="582">IF(OR(FP199="",FZ199="",FP199=FZ199),"",CONCATENATE(FP199,FZ199))</f>
        <v/>
      </c>
      <c r="FR199" s="360" t="str">
        <f t="shared" ca="1" si="573"/>
        <v/>
      </c>
      <c r="FS199" s="360" t="str">
        <f t="shared" ca="1" si="574"/>
        <v/>
      </c>
      <c r="FT199" s="360" t="str">
        <f t="shared" ca="1" si="575"/>
        <v/>
      </c>
      <c r="FU199" s="360" t="str">
        <f t="shared" ca="1" si="576"/>
        <v/>
      </c>
      <c r="FV199" s="360" t="str">
        <f t="shared" ca="1" si="577"/>
        <v/>
      </c>
      <c r="FW199" s="360" t="str">
        <f t="shared" ca="1" si="578"/>
        <v/>
      </c>
      <c r="FX199" s="360" t="str">
        <f t="shared" ca="1" si="579"/>
        <v/>
      </c>
      <c r="FY199" s="360" t="str">
        <f t="shared" ca="1" si="580"/>
        <v/>
      </c>
      <c r="FZ199" s="379" t="str">
        <f ca="1">FZ198</f>
        <v/>
      </c>
      <c r="GA199" s="302"/>
      <c r="GB199" s="364"/>
      <c r="GC199" s="302"/>
    </row>
    <row r="200" spans="40:185" x14ac:dyDescent="0.25">
      <c r="CH200" s="445"/>
      <c r="CI200" s="300"/>
      <c r="CJ200" s="300"/>
      <c r="CK200" s="300"/>
      <c r="CL200" s="449"/>
      <c r="CM200" s="445"/>
      <c r="DG200" s="445"/>
      <c r="DH200" s="300"/>
      <c r="DI200" s="395" t="str">
        <f t="shared" ca="1" si="571"/>
        <v/>
      </c>
      <c r="DJ200" s="360" t="str">
        <f t="shared" ca="1" si="565"/>
        <v/>
      </c>
      <c r="DK200" s="360" t="str">
        <f t="shared" ca="1" si="566"/>
        <v/>
      </c>
      <c r="DL200" s="354" t="str">
        <f t="shared" ca="1" si="567"/>
        <v/>
      </c>
      <c r="DM200" s="354" t="str">
        <f t="shared" ca="1" si="568"/>
        <v/>
      </c>
      <c r="DN200" s="361" t="str">
        <f t="shared" ca="1" si="569"/>
        <v/>
      </c>
      <c r="DO200" s="362" t="str">
        <f t="shared" ca="1" si="570"/>
        <v/>
      </c>
      <c r="DP200" s="379" t="str">
        <f t="shared" ca="1" si="572"/>
        <v/>
      </c>
      <c r="DQ200" s="302"/>
      <c r="DR200" s="364"/>
      <c r="DS200" s="302"/>
      <c r="DU200" s="424"/>
      <c r="DV200" s="424"/>
      <c r="DW200" s="424"/>
      <c r="DX200" s="424"/>
      <c r="DY200" s="424"/>
      <c r="DZ200" s="424"/>
      <c r="EA200" s="424"/>
      <c r="EB200" s="424"/>
      <c r="EC200" s="424"/>
      <c r="ED200" s="424"/>
      <c r="EE200" s="424"/>
      <c r="EF200" s="424"/>
      <c r="EG200" s="424"/>
      <c r="EH200" s="424"/>
      <c r="EI200" s="424"/>
      <c r="EJ200" s="424"/>
      <c r="EK200" s="424"/>
      <c r="EL200" s="424"/>
      <c r="EM200" s="424"/>
      <c r="EN200" s="424"/>
      <c r="EO200" s="424"/>
      <c r="EP200" s="424"/>
      <c r="EQ200" s="424"/>
      <c r="ER200" s="404" t="str">
        <f ca="1">ER197</f>
        <v/>
      </c>
      <c r="ES200" s="371" t="str">
        <f ca="1">IF(OR(ER200="",EY200="",ER200=EY200),"",CONCATENATE(ER200,EY200))</f>
        <v/>
      </c>
      <c r="ET200" s="369" t="str">
        <f ca="1">IF(ES200="","",CONCATENATE(VLOOKUP(ES200,games.a,9,FALSE),VLOOKUP(ES200,games.a,12,FALSE)))</f>
        <v/>
      </c>
      <c r="EU200" s="406"/>
      <c r="EV200" s="407"/>
      <c r="EW200" s="423" t="str">
        <f ca="1">IF(ES200="","",VLOOKUP(ES200,games.a,6,FALSE))</f>
        <v/>
      </c>
      <c r="EX200" s="409" t="str">
        <f ca="1">IF(ES200="","",VLOOKUP(ES200,games.a,7,FALSE))</f>
        <v/>
      </c>
      <c r="EY200" s="410" t="str">
        <f ca="1">ER198</f>
        <v/>
      </c>
      <c r="EZ200" s="411"/>
      <c r="FA200" s="412"/>
      <c r="FB200" s="424"/>
      <c r="FC200" s="424"/>
      <c r="FD200" s="425"/>
      <c r="FE200" s="333"/>
      <c r="FO200" s="300"/>
      <c r="FP200" s="395" t="str">
        <f t="shared" ca="1" si="581"/>
        <v/>
      </c>
      <c r="FQ200" s="360" t="str">
        <f t="shared" ca="1" si="582"/>
        <v/>
      </c>
      <c r="FR200" s="360" t="str">
        <f t="shared" ca="1" si="573"/>
        <v/>
      </c>
      <c r="FS200" s="360" t="str">
        <f t="shared" ca="1" si="574"/>
        <v/>
      </c>
      <c r="FT200" s="360" t="str">
        <f t="shared" ca="1" si="575"/>
        <v/>
      </c>
      <c r="FU200" s="360" t="str">
        <f t="shared" ca="1" si="576"/>
        <v/>
      </c>
      <c r="FV200" s="360" t="str">
        <f t="shared" ca="1" si="577"/>
        <v/>
      </c>
      <c r="FW200" s="360" t="str">
        <f t="shared" ca="1" si="578"/>
        <v/>
      </c>
      <c r="FX200" s="360" t="str">
        <f t="shared" ca="1" si="579"/>
        <v/>
      </c>
      <c r="FY200" s="360" t="str">
        <f t="shared" ca="1" si="580"/>
        <v/>
      </c>
      <c r="FZ200" s="379" t="str">
        <f t="shared" ref="FZ200:FZ207" ca="1" si="583">FZ199</f>
        <v/>
      </c>
      <c r="GA200" s="302"/>
      <c r="GB200" s="364"/>
      <c r="GC200" s="302"/>
    </row>
    <row r="201" spans="40:185" x14ac:dyDescent="0.25">
      <c r="CH201" s="445"/>
      <c r="CI201" s="300"/>
      <c r="CJ201" s="300"/>
      <c r="CK201" s="300"/>
      <c r="CL201" s="449"/>
      <c r="CM201" s="445"/>
      <c r="DG201" s="445"/>
      <c r="DH201" s="300"/>
      <c r="DI201" s="301"/>
      <c r="DJ201" s="324" t="s">
        <v>157</v>
      </c>
      <c r="DK201" s="324" t="s">
        <v>158</v>
      </c>
      <c r="DL201" s="325" t="s">
        <v>159</v>
      </c>
      <c r="DM201" s="325"/>
      <c r="DN201" s="326" t="s">
        <v>160</v>
      </c>
      <c r="DO201" s="325" t="s">
        <v>135</v>
      </c>
      <c r="DP201" s="302"/>
      <c r="DQ201" s="302"/>
      <c r="DR201" s="364"/>
      <c r="DS201" s="302"/>
      <c r="DU201" s="424"/>
      <c r="DV201" s="424"/>
      <c r="DW201" s="424"/>
      <c r="DX201" s="424"/>
      <c r="DY201" s="424"/>
      <c r="DZ201" s="424"/>
      <c r="EA201" s="424"/>
      <c r="EB201" s="424"/>
      <c r="EC201" s="424"/>
      <c r="ED201" s="424"/>
      <c r="EE201" s="424"/>
      <c r="EF201" s="424"/>
      <c r="EG201" s="424"/>
      <c r="EH201" s="424"/>
      <c r="EI201" s="424"/>
      <c r="EJ201" s="424"/>
      <c r="EK201" s="424"/>
      <c r="EL201" s="424"/>
      <c r="EM201" s="424"/>
      <c r="EN201" s="424"/>
      <c r="EO201" s="424"/>
      <c r="EP201" s="424"/>
      <c r="EQ201" s="424"/>
      <c r="ER201" s="404" t="str">
        <f ca="1">ER198</f>
        <v/>
      </c>
      <c r="ES201" s="371" t="str">
        <f ca="1">IF(OR(ER201="",EY201="",ER201=EY201),"",CONCATENATE(ER201,EY201))</f>
        <v/>
      </c>
      <c r="ET201" s="369" t="str">
        <f ca="1">IF(ES201="","",CONCATENATE(VLOOKUP(ES201,games.a,9,FALSE),VLOOKUP(ES201,games.a,12,FALSE)))</f>
        <v/>
      </c>
      <c r="EU201" s="420"/>
      <c r="EV201" s="421"/>
      <c r="EW201" s="423" t="str">
        <f ca="1">IF(ES201="","",VLOOKUP(ES201,games.a,6,FALSE))</f>
        <v/>
      </c>
      <c r="EX201" s="409" t="str">
        <f ca="1">IF(ES201="","",VLOOKUP(ES201,games.a,7,FALSE))</f>
        <v/>
      </c>
      <c r="EY201" s="415" t="str">
        <f ca="1">EY200</f>
        <v/>
      </c>
      <c r="EZ201" s="416"/>
      <c r="FA201" s="417"/>
      <c r="FB201" s="424"/>
      <c r="FC201" s="424"/>
      <c r="FD201" s="425"/>
      <c r="FE201" s="333"/>
      <c r="FO201" s="300"/>
      <c r="FP201" s="395" t="str">
        <f t="shared" ca="1" si="581"/>
        <v/>
      </c>
      <c r="FQ201" s="360" t="str">
        <f t="shared" ca="1" si="582"/>
        <v/>
      </c>
      <c r="FR201" s="360" t="str">
        <f t="shared" ca="1" si="573"/>
        <v/>
      </c>
      <c r="FS201" s="360" t="str">
        <f t="shared" ca="1" si="574"/>
        <v/>
      </c>
      <c r="FT201" s="360" t="str">
        <f t="shared" ca="1" si="575"/>
        <v/>
      </c>
      <c r="FU201" s="360" t="str">
        <f t="shared" ca="1" si="576"/>
        <v/>
      </c>
      <c r="FV201" s="360" t="str">
        <f t="shared" ca="1" si="577"/>
        <v/>
      </c>
      <c r="FW201" s="360" t="str">
        <f t="shared" ca="1" si="578"/>
        <v/>
      </c>
      <c r="FX201" s="360" t="str">
        <f t="shared" ca="1" si="579"/>
        <v/>
      </c>
      <c r="FY201" s="360" t="str">
        <f t="shared" ca="1" si="580"/>
        <v/>
      </c>
      <c r="FZ201" s="379" t="str">
        <f t="shared" ca="1" si="583"/>
        <v/>
      </c>
      <c r="GA201" s="302"/>
      <c r="GB201" s="364"/>
      <c r="GC201" s="302"/>
    </row>
    <row r="202" spans="40:185" x14ac:dyDescent="0.25">
      <c r="CH202" s="445"/>
      <c r="CI202" s="300"/>
      <c r="CJ202" s="300"/>
      <c r="CK202" s="300"/>
      <c r="CL202" s="449"/>
      <c r="CM202" s="445"/>
      <c r="DG202" s="445"/>
      <c r="DH202" s="300"/>
      <c r="DI202" s="395" t="str">
        <f ca="1">DI194</f>
        <v>Hercules-Ludovika</v>
      </c>
      <c r="DJ202" s="360" t="str">
        <f t="shared" ref="DJ202:DJ208" ca="1" si="584">IF(OR(DI202="",DP202="",DI202=DP202),"",CONCATENATE(DI202,DP202))</f>
        <v/>
      </c>
      <c r="DK202" s="360" t="str">
        <f t="shared" ref="DK202:DK208" ca="1" si="585">IF($DJ202="","",CONCATENATE(VLOOKUP($DJ202,games.a,9,FALSE),VLOOKUP($DJ202,games.a,12,FALSE)))</f>
        <v/>
      </c>
      <c r="DL202" s="354" t="str">
        <f t="shared" ref="DL202:DL208" ca="1" si="586">IF($DJ202="","",VLOOKUP($DJ202,games.a,10,FALSE))</f>
        <v/>
      </c>
      <c r="DM202" s="354" t="str">
        <f t="shared" ref="DM202:DM208" ca="1" si="587">IF($DJ202="","",VLOOKUP($DJ202,games.a,13,FALSE))</f>
        <v/>
      </c>
      <c r="DN202" s="361" t="str">
        <f t="shared" ref="DN202:DN208" ca="1" si="588">IF($DJ202="","",VLOOKUP($DJ202,games.a,6,FALSE))</f>
        <v/>
      </c>
      <c r="DO202" s="362" t="str">
        <f t="shared" ref="DO202:DO208" ca="1" si="589">IF($DJ202="","",VLOOKUP($DJ202,games.a,7,FALSE))</f>
        <v/>
      </c>
      <c r="DP202" s="363" t="str">
        <f ca="1">DI160</f>
        <v/>
      </c>
      <c r="DQ202" s="302"/>
      <c r="DR202" s="364"/>
      <c r="DS202" s="302"/>
      <c r="DU202" s="424"/>
      <c r="DV202" s="424"/>
      <c r="DW202" s="424"/>
      <c r="DX202" s="424"/>
      <c r="DY202" s="424"/>
      <c r="DZ202" s="424"/>
      <c r="EA202" s="424"/>
      <c r="EB202" s="424"/>
      <c r="EC202" s="424"/>
      <c r="ED202" s="424"/>
      <c r="EE202" s="424"/>
      <c r="EF202" s="424"/>
      <c r="EG202" s="424"/>
      <c r="EH202" s="424"/>
      <c r="EI202" s="424"/>
      <c r="EJ202" s="424"/>
      <c r="EK202" s="424"/>
      <c r="EL202" s="424"/>
      <c r="EM202" s="424"/>
      <c r="EN202" s="424"/>
      <c r="EO202" s="424"/>
      <c r="EP202" s="424"/>
      <c r="EQ202" s="424"/>
      <c r="ER202" s="424"/>
      <c r="ES202" s="424"/>
      <c r="ET202" s="424"/>
      <c r="EU202" s="424"/>
      <c r="EV202" s="424"/>
      <c r="EW202" s="424"/>
      <c r="EX202" s="424"/>
      <c r="EY202" s="424"/>
      <c r="EZ202" s="424"/>
      <c r="FA202" s="424"/>
      <c r="FB202" s="424"/>
      <c r="FC202" s="424"/>
      <c r="FD202" s="425"/>
      <c r="FE202" s="333"/>
      <c r="FO202" s="300"/>
      <c r="FP202" s="395" t="str">
        <f t="shared" ca="1" si="581"/>
        <v/>
      </c>
      <c r="FQ202" s="360" t="str">
        <f t="shared" ca="1" si="582"/>
        <v/>
      </c>
      <c r="FR202" s="360" t="str">
        <f t="shared" ca="1" si="573"/>
        <v/>
      </c>
      <c r="FS202" s="360" t="str">
        <f t="shared" ca="1" si="574"/>
        <v/>
      </c>
      <c r="FT202" s="360" t="str">
        <f t="shared" ca="1" si="575"/>
        <v/>
      </c>
      <c r="FU202" s="360" t="str">
        <f t="shared" ca="1" si="576"/>
        <v/>
      </c>
      <c r="FV202" s="360" t="str">
        <f t="shared" ca="1" si="577"/>
        <v/>
      </c>
      <c r="FW202" s="360" t="str">
        <f t="shared" ca="1" si="578"/>
        <v/>
      </c>
      <c r="FX202" s="360" t="str">
        <f t="shared" ca="1" si="579"/>
        <v/>
      </c>
      <c r="FY202" s="360" t="str">
        <f t="shared" ca="1" si="580"/>
        <v/>
      </c>
      <c r="FZ202" s="379" t="str">
        <f t="shared" ca="1" si="583"/>
        <v/>
      </c>
      <c r="GA202" s="302"/>
      <c r="GB202" s="364"/>
      <c r="GC202" s="302"/>
    </row>
    <row r="203" spans="40:185" x14ac:dyDescent="0.25">
      <c r="CH203" s="445"/>
      <c r="CI203" s="300"/>
      <c r="CJ203" s="300"/>
      <c r="CK203" s="300"/>
      <c r="CL203" s="449"/>
      <c r="CM203" s="445"/>
      <c r="DG203" s="445"/>
      <c r="DH203" s="300"/>
      <c r="DI203" s="395" t="str">
        <f t="shared" ref="DI203:DI208" ca="1" si="590">DI195</f>
        <v>Élelmesek</v>
      </c>
      <c r="DJ203" s="360" t="str">
        <f t="shared" ca="1" si="584"/>
        <v/>
      </c>
      <c r="DK203" s="360" t="str">
        <f t="shared" ca="1" si="585"/>
        <v/>
      </c>
      <c r="DL203" s="354" t="str">
        <f t="shared" ca="1" si="586"/>
        <v/>
      </c>
      <c r="DM203" s="354" t="str">
        <f t="shared" ca="1" si="587"/>
        <v/>
      </c>
      <c r="DN203" s="361" t="str">
        <f t="shared" ca="1" si="588"/>
        <v/>
      </c>
      <c r="DO203" s="362" t="str">
        <f t="shared" ca="1" si="589"/>
        <v/>
      </c>
      <c r="DP203" s="379" t="str">
        <f t="shared" ref="DP203:DP208" ca="1" si="591">DP202</f>
        <v/>
      </c>
      <c r="DQ203" s="302"/>
      <c r="DR203" s="364"/>
      <c r="DS203" s="302"/>
      <c r="DU203" s="424"/>
      <c r="DV203" s="424"/>
      <c r="DW203" s="424"/>
      <c r="DX203" s="424"/>
      <c r="DY203" s="424"/>
      <c r="DZ203" s="424"/>
      <c r="EA203" s="424"/>
      <c r="EB203" s="424"/>
      <c r="EC203" s="424"/>
      <c r="ED203" s="424"/>
      <c r="EE203" s="424"/>
      <c r="EF203" s="424"/>
      <c r="EG203" s="424"/>
      <c r="EH203" s="424"/>
      <c r="EI203" s="424"/>
      <c r="EJ203" s="424"/>
      <c r="EK203" s="424"/>
      <c r="EL203" s="424"/>
      <c r="EM203" s="424"/>
      <c r="EN203" s="424"/>
      <c r="EO203" s="424"/>
      <c r="EP203" s="424"/>
      <c r="EQ203" s="424"/>
      <c r="ER203" s="398"/>
      <c r="ES203" s="329" t="s">
        <v>157</v>
      </c>
      <c r="ET203" s="329" t="s">
        <v>158</v>
      </c>
      <c r="EU203" s="399"/>
      <c r="EV203" s="400"/>
      <c r="EW203" s="401" t="s">
        <v>160</v>
      </c>
      <c r="EX203" s="402" t="s">
        <v>135</v>
      </c>
      <c r="EY203" s="365"/>
      <c r="EZ203" s="365"/>
      <c r="FA203" s="365"/>
      <c r="FB203" s="424"/>
      <c r="FC203" s="424"/>
      <c r="FD203" s="425"/>
      <c r="FE203" s="333"/>
      <c r="FO203" s="300"/>
      <c r="FP203" s="395" t="str">
        <f t="shared" ca="1" si="581"/>
        <v/>
      </c>
      <c r="FQ203" s="360" t="str">
        <f t="shared" ca="1" si="582"/>
        <v/>
      </c>
      <c r="FR203" s="360" t="str">
        <f t="shared" ca="1" si="573"/>
        <v/>
      </c>
      <c r="FS203" s="360" t="str">
        <f t="shared" ca="1" si="574"/>
        <v/>
      </c>
      <c r="FT203" s="360" t="str">
        <f t="shared" ca="1" si="575"/>
        <v/>
      </c>
      <c r="FU203" s="360" t="str">
        <f t="shared" ca="1" si="576"/>
        <v/>
      </c>
      <c r="FV203" s="360" t="str">
        <f t="shared" ca="1" si="577"/>
        <v/>
      </c>
      <c r="FW203" s="360" t="str">
        <f t="shared" ca="1" si="578"/>
        <v/>
      </c>
      <c r="FX203" s="360" t="str">
        <f t="shared" ca="1" si="579"/>
        <v/>
      </c>
      <c r="FY203" s="360" t="str">
        <f t="shared" ca="1" si="580"/>
        <v/>
      </c>
      <c r="FZ203" s="379" t="str">
        <f t="shared" ca="1" si="583"/>
        <v/>
      </c>
      <c r="GA203" s="302"/>
      <c r="GB203" s="364"/>
      <c r="GC203" s="302"/>
    </row>
    <row r="204" spans="40:185" x14ac:dyDescent="0.25">
      <c r="CH204" s="445"/>
      <c r="CI204" s="300"/>
      <c r="CJ204" s="300"/>
      <c r="CK204" s="300"/>
      <c r="CL204" s="449"/>
      <c r="CM204" s="445"/>
      <c r="DG204" s="445"/>
      <c r="DH204" s="300"/>
      <c r="DI204" s="395" t="str">
        <f t="shared" ca="1" si="590"/>
        <v/>
      </c>
      <c r="DJ204" s="360" t="str">
        <f t="shared" ca="1" si="584"/>
        <v/>
      </c>
      <c r="DK204" s="360" t="str">
        <f t="shared" ca="1" si="585"/>
        <v/>
      </c>
      <c r="DL204" s="354" t="str">
        <f t="shared" ca="1" si="586"/>
        <v/>
      </c>
      <c r="DM204" s="354" t="str">
        <f t="shared" ca="1" si="587"/>
        <v/>
      </c>
      <c r="DN204" s="361" t="str">
        <f t="shared" ca="1" si="588"/>
        <v/>
      </c>
      <c r="DO204" s="362" t="str">
        <f t="shared" ca="1" si="589"/>
        <v/>
      </c>
      <c r="DP204" s="379" t="str">
        <f t="shared" ca="1" si="591"/>
        <v/>
      </c>
      <c r="DQ204" s="302"/>
      <c r="DR204" s="364"/>
      <c r="DS204" s="302"/>
      <c r="DU204" s="424"/>
      <c r="DV204" s="424"/>
      <c r="DW204" s="424"/>
      <c r="DX204" s="424"/>
      <c r="DY204" s="424"/>
      <c r="DZ204" s="424"/>
      <c r="EA204" s="424"/>
      <c r="EB204" s="424"/>
      <c r="EC204" s="424"/>
      <c r="ED204" s="424"/>
      <c r="EE204" s="424"/>
      <c r="EF204" s="424"/>
      <c r="EG204" s="424"/>
      <c r="EH204" s="424"/>
      <c r="EI204" s="424"/>
      <c r="EJ204" s="424"/>
      <c r="EK204" s="424"/>
      <c r="EL204" s="424"/>
      <c r="EM204" s="424"/>
      <c r="EN204" s="424"/>
      <c r="EO204" s="424"/>
      <c r="EP204" s="424"/>
      <c r="EQ204" s="424"/>
      <c r="ER204" s="404" t="str">
        <f ca="1">IF(FA154="","",VLOOKUP(FA154,yyy.aa1.7,10,FALSE))</f>
        <v/>
      </c>
      <c r="ES204" s="371" t="str">
        <f ca="1">IF(OR(ER204="",EY204="",ER204=EY204),"",CONCATENATE(ER204,EY204))</f>
        <v/>
      </c>
      <c r="ET204" s="369" t="str">
        <f ca="1">IF(ES204="","",CONCATENATE(VLOOKUP(ES204,games.a,9,FALSE),VLOOKUP(ES204,games.a,12,FALSE)))</f>
        <v/>
      </c>
      <c r="EU204" s="406"/>
      <c r="EV204" s="407"/>
      <c r="EW204" s="423" t="str">
        <f ca="1">IF(ES204="","",VLOOKUP(ES204,games.a,6,FALSE))</f>
        <v/>
      </c>
      <c r="EX204" s="409" t="str">
        <f ca="1">IF(ES204="","",VLOOKUP(ES204,games.a,7,FALSE))</f>
        <v/>
      </c>
      <c r="EY204" s="410" t="str">
        <f ca="1">ER204</f>
        <v/>
      </c>
      <c r="EZ204" s="411"/>
      <c r="FA204" s="412"/>
      <c r="FB204" s="424"/>
      <c r="FC204" s="424"/>
      <c r="FD204" s="425"/>
      <c r="FE204" s="333"/>
      <c r="FO204" s="300"/>
      <c r="FP204" s="395" t="str">
        <f t="shared" ca="1" si="581"/>
        <v/>
      </c>
      <c r="FQ204" s="360" t="str">
        <f t="shared" ca="1" si="582"/>
        <v/>
      </c>
      <c r="FR204" s="360" t="str">
        <f t="shared" ca="1" si="573"/>
        <v/>
      </c>
      <c r="FS204" s="360" t="str">
        <f t="shared" ca="1" si="574"/>
        <v/>
      </c>
      <c r="FT204" s="360" t="str">
        <f t="shared" ca="1" si="575"/>
        <v/>
      </c>
      <c r="FU204" s="360" t="str">
        <f t="shared" ca="1" si="576"/>
        <v/>
      </c>
      <c r="FV204" s="360" t="str">
        <f t="shared" ca="1" si="577"/>
        <v/>
      </c>
      <c r="FW204" s="360" t="str">
        <f t="shared" ca="1" si="578"/>
        <v/>
      </c>
      <c r="FX204" s="360" t="str">
        <f t="shared" ca="1" si="579"/>
        <v/>
      </c>
      <c r="FY204" s="360" t="str">
        <f t="shared" ca="1" si="580"/>
        <v/>
      </c>
      <c r="FZ204" s="379" t="str">
        <f t="shared" ca="1" si="583"/>
        <v/>
      </c>
      <c r="GA204" s="302"/>
      <c r="GB204" s="364"/>
      <c r="GC204" s="302"/>
    </row>
    <row r="205" spans="40:185" x14ac:dyDescent="0.25">
      <c r="CH205" s="445"/>
      <c r="CI205" s="300"/>
      <c r="CJ205" s="300"/>
      <c r="CK205" s="300"/>
      <c r="CL205" s="449"/>
      <c r="CM205" s="445"/>
      <c r="DG205" s="445"/>
      <c r="DH205" s="300"/>
      <c r="DI205" s="395" t="str">
        <f t="shared" ca="1" si="590"/>
        <v/>
      </c>
      <c r="DJ205" s="360" t="str">
        <f t="shared" ca="1" si="584"/>
        <v/>
      </c>
      <c r="DK205" s="360" t="str">
        <f t="shared" ca="1" si="585"/>
        <v/>
      </c>
      <c r="DL205" s="354" t="str">
        <f t="shared" ca="1" si="586"/>
        <v/>
      </c>
      <c r="DM205" s="354" t="str">
        <f t="shared" ca="1" si="587"/>
        <v/>
      </c>
      <c r="DN205" s="361" t="str">
        <f t="shared" ca="1" si="588"/>
        <v/>
      </c>
      <c r="DO205" s="362" t="str">
        <f t="shared" ca="1" si="589"/>
        <v/>
      </c>
      <c r="DP205" s="379" t="str">
        <f t="shared" ca="1" si="591"/>
        <v/>
      </c>
      <c r="DQ205" s="302"/>
      <c r="DR205" s="364"/>
      <c r="DS205" s="302"/>
      <c r="DU205" s="424"/>
      <c r="DV205" s="424"/>
      <c r="DW205" s="424"/>
      <c r="DX205" s="424"/>
      <c r="DY205" s="424"/>
      <c r="DZ205" s="424"/>
      <c r="EA205" s="424"/>
      <c r="EB205" s="424"/>
      <c r="EC205" s="424"/>
      <c r="ED205" s="424"/>
      <c r="EE205" s="424"/>
      <c r="EF205" s="424"/>
      <c r="EG205" s="424"/>
      <c r="EH205" s="424"/>
      <c r="EI205" s="424"/>
      <c r="EJ205" s="424"/>
      <c r="EK205" s="424"/>
      <c r="EL205" s="424"/>
      <c r="EM205" s="424"/>
      <c r="EN205" s="424"/>
      <c r="EO205" s="424"/>
      <c r="EP205" s="424"/>
      <c r="EQ205" s="424"/>
      <c r="ER205" s="404" t="str">
        <f ca="1">IF(FA155="","",VLOOKUP(FA155,yyy.aa1.7,10,FALSE))</f>
        <v/>
      </c>
      <c r="ES205" s="371" t="str">
        <f ca="1">IF(OR(ER205="",EY205="",ER205=EY205),"",CONCATENATE(ER205,EY205))</f>
        <v/>
      </c>
      <c r="ET205" s="369" t="str">
        <f ca="1">IF(ES205="","",CONCATENATE(VLOOKUP(ES205,games.a,9,FALSE),VLOOKUP(ES205,games.a,12,FALSE)))</f>
        <v/>
      </c>
      <c r="EU205" s="413"/>
      <c r="EV205" s="414"/>
      <c r="EW205" s="423" t="str">
        <f ca="1">IF(ES205="","",VLOOKUP(ES205,games.a,6,FALSE))</f>
        <v/>
      </c>
      <c r="EX205" s="409" t="str">
        <f ca="1">IF(ES205="","",VLOOKUP(ES205,games.a,7,FALSE))</f>
        <v/>
      </c>
      <c r="EY205" s="415" t="str">
        <f ca="1">EY204</f>
        <v/>
      </c>
      <c r="EZ205" s="416"/>
      <c r="FA205" s="417"/>
      <c r="FB205" s="424"/>
      <c r="FC205" s="424"/>
      <c r="FD205" s="425"/>
      <c r="FE205" s="333"/>
      <c r="FO205" s="300"/>
      <c r="FP205" s="395" t="str">
        <f t="shared" ca="1" si="581"/>
        <v/>
      </c>
      <c r="FQ205" s="360" t="str">
        <f t="shared" ca="1" si="582"/>
        <v/>
      </c>
      <c r="FR205" s="360" t="str">
        <f t="shared" ca="1" si="573"/>
        <v/>
      </c>
      <c r="FS205" s="360" t="str">
        <f t="shared" ca="1" si="574"/>
        <v/>
      </c>
      <c r="FT205" s="360" t="str">
        <f t="shared" ca="1" si="575"/>
        <v/>
      </c>
      <c r="FU205" s="360" t="str">
        <f t="shared" ca="1" si="576"/>
        <v/>
      </c>
      <c r="FV205" s="360" t="str">
        <f t="shared" ca="1" si="577"/>
        <v/>
      </c>
      <c r="FW205" s="360" t="str">
        <f t="shared" ca="1" si="578"/>
        <v/>
      </c>
      <c r="FX205" s="360" t="str">
        <f t="shared" ca="1" si="579"/>
        <v/>
      </c>
      <c r="FY205" s="360" t="str">
        <f t="shared" ca="1" si="580"/>
        <v/>
      </c>
      <c r="FZ205" s="379" t="str">
        <f t="shared" ca="1" si="583"/>
        <v/>
      </c>
      <c r="GA205" s="302"/>
      <c r="GB205" s="364"/>
      <c r="GC205" s="302"/>
    </row>
    <row r="206" spans="40:185" x14ac:dyDescent="0.25">
      <c r="CH206" s="445"/>
      <c r="CI206" s="300"/>
      <c r="CJ206" s="300"/>
      <c r="CK206" s="300"/>
      <c r="CL206" s="449"/>
      <c r="CM206" s="445"/>
      <c r="DG206" s="445"/>
      <c r="DH206" s="300"/>
      <c r="DI206" s="395" t="str">
        <f t="shared" ca="1" si="590"/>
        <v/>
      </c>
      <c r="DJ206" s="360" t="str">
        <f t="shared" ca="1" si="584"/>
        <v/>
      </c>
      <c r="DK206" s="360" t="str">
        <f t="shared" ca="1" si="585"/>
        <v/>
      </c>
      <c r="DL206" s="354" t="str">
        <f t="shared" ca="1" si="586"/>
        <v/>
      </c>
      <c r="DM206" s="354" t="str">
        <f t="shared" ca="1" si="587"/>
        <v/>
      </c>
      <c r="DN206" s="361" t="str">
        <f t="shared" ca="1" si="588"/>
        <v/>
      </c>
      <c r="DO206" s="362" t="str">
        <f t="shared" ca="1" si="589"/>
        <v/>
      </c>
      <c r="DP206" s="379" t="str">
        <f t="shared" ca="1" si="591"/>
        <v/>
      </c>
      <c r="DQ206" s="302"/>
      <c r="DR206" s="364"/>
      <c r="DS206" s="302"/>
      <c r="DU206" s="424"/>
      <c r="DV206" s="424"/>
      <c r="DW206" s="424"/>
      <c r="DX206" s="424"/>
      <c r="DY206" s="424"/>
      <c r="DZ206" s="424"/>
      <c r="EA206" s="424"/>
      <c r="EB206" s="424"/>
      <c r="EC206" s="424"/>
      <c r="ED206" s="424"/>
      <c r="EE206" s="424"/>
      <c r="EF206" s="424"/>
      <c r="EG206" s="424"/>
      <c r="EH206" s="424"/>
      <c r="EI206" s="424"/>
      <c r="EJ206" s="424"/>
      <c r="EK206" s="424"/>
      <c r="EL206" s="424"/>
      <c r="EM206" s="424"/>
      <c r="EN206" s="424"/>
      <c r="EO206" s="424"/>
      <c r="EP206" s="424"/>
      <c r="EQ206" s="424"/>
      <c r="ER206" s="398"/>
      <c r="ES206" s="329" t="s">
        <v>157</v>
      </c>
      <c r="ET206" s="329" t="s">
        <v>158</v>
      </c>
      <c r="EU206" s="399"/>
      <c r="EV206" s="400"/>
      <c r="EW206" s="401" t="s">
        <v>160</v>
      </c>
      <c r="EX206" s="402" t="s">
        <v>135</v>
      </c>
      <c r="EY206" s="398"/>
      <c r="EZ206" s="365"/>
      <c r="FA206" s="365"/>
      <c r="FB206" s="424"/>
      <c r="FC206" s="424"/>
      <c r="FD206" s="425"/>
      <c r="FE206" s="333"/>
      <c r="FO206" s="300"/>
      <c r="FP206" s="395" t="str">
        <f t="shared" ca="1" si="581"/>
        <v/>
      </c>
      <c r="FQ206" s="360" t="str">
        <f t="shared" ca="1" si="582"/>
        <v/>
      </c>
      <c r="FR206" s="360" t="str">
        <f t="shared" ca="1" si="573"/>
        <v/>
      </c>
      <c r="FS206" s="360" t="str">
        <f t="shared" ca="1" si="574"/>
        <v/>
      </c>
      <c r="FT206" s="360" t="str">
        <f t="shared" ca="1" si="575"/>
        <v/>
      </c>
      <c r="FU206" s="360" t="str">
        <f t="shared" ca="1" si="576"/>
        <v/>
      </c>
      <c r="FV206" s="360" t="str">
        <f t="shared" ca="1" si="577"/>
        <v/>
      </c>
      <c r="FW206" s="360" t="str">
        <f t="shared" ca="1" si="578"/>
        <v/>
      </c>
      <c r="FX206" s="360" t="str">
        <f t="shared" ca="1" si="579"/>
        <v/>
      </c>
      <c r="FY206" s="360" t="str">
        <f t="shared" ca="1" si="580"/>
        <v/>
      </c>
      <c r="FZ206" s="379" t="str">
        <f t="shared" ca="1" si="583"/>
        <v/>
      </c>
      <c r="GA206" s="302"/>
      <c r="GB206" s="364"/>
      <c r="GC206" s="302"/>
    </row>
    <row r="207" spans="40:185" x14ac:dyDescent="0.25">
      <c r="CH207" s="445"/>
      <c r="CI207" s="300"/>
      <c r="CJ207" s="300"/>
      <c r="CK207" s="300"/>
      <c r="CL207" s="449"/>
      <c r="CM207" s="445"/>
      <c r="DG207" s="445"/>
      <c r="DH207" s="300"/>
      <c r="DI207" s="395" t="str">
        <f t="shared" ca="1" si="590"/>
        <v/>
      </c>
      <c r="DJ207" s="360" t="str">
        <f t="shared" ca="1" si="584"/>
        <v/>
      </c>
      <c r="DK207" s="360" t="str">
        <f t="shared" ca="1" si="585"/>
        <v/>
      </c>
      <c r="DL207" s="354" t="str">
        <f t="shared" ca="1" si="586"/>
        <v/>
      </c>
      <c r="DM207" s="354" t="str">
        <f t="shared" ca="1" si="587"/>
        <v/>
      </c>
      <c r="DN207" s="361" t="str">
        <f t="shared" ca="1" si="588"/>
        <v/>
      </c>
      <c r="DO207" s="362" t="str">
        <f t="shared" ca="1" si="589"/>
        <v/>
      </c>
      <c r="DP207" s="379" t="str">
        <f t="shared" ca="1" si="591"/>
        <v/>
      </c>
      <c r="DQ207" s="302"/>
      <c r="DR207" s="364"/>
      <c r="DS207" s="302"/>
      <c r="DU207" s="424"/>
      <c r="DV207" s="424"/>
      <c r="DW207" s="424"/>
      <c r="DX207" s="424"/>
      <c r="DY207" s="424"/>
      <c r="DZ207" s="424"/>
      <c r="EA207" s="424"/>
      <c r="EB207" s="424"/>
      <c r="EC207" s="424"/>
      <c r="ED207" s="424"/>
      <c r="EE207" s="424"/>
      <c r="EF207" s="424"/>
      <c r="EG207" s="424"/>
      <c r="EH207" s="424"/>
      <c r="EI207" s="424"/>
      <c r="EJ207" s="424"/>
      <c r="EK207" s="424"/>
      <c r="EL207" s="424"/>
      <c r="EM207" s="424"/>
      <c r="EN207" s="424"/>
      <c r="EO207" s="424"/>
      <c r="EP207" s="424"/>
      <c r="EQ207" s="424"/>
      <c r="ER207" s="404" t="str">
        <f ca="1">ER204</f>
        <v/>
      </c>
      <c r="ES207" s="371" t="str">
        <f ca="1">IF(OR(ER207="",EY207="",ER207=EY207),"",CONCATENATE(ER207,EY207))</f>
        <v/>
      </c>
      <c r="ET207" s="369" t="str">
        <f ca="1">IF(ES207="","",CONCATENATE(VLOOKUP(ES207,games.a,9,FALSE),VLOOKUP(ES207,games.a,12,FALSE)))</f>
        <v/>
      </c>
      <c r="EU207" s="406"/>
      <c r="EV207" s="407"/>
      <c r="EW207" s="423" t="str">
        <f ca="1">IF(ES207="","",VLOOKUP(ES207,games.a,6,FALSE))</f>
        <v/>
      </c>
      <c r="EX207" s="409" t="str">
        <f ca="1">IF(ES207="","",VLOOKUP(ES207,games.a,7,FALSE))</f>
        <v/>
      </c>
      <c r="EY207" s="410" t="str">
        <f ca="1">ER205</f>
        <v/>
      </c>
      <c r="EZ207" s="411"/>
      <c r="FA207" s="412"/>
      <c r="FB207" s="424"/>
      <c r="FC207" s="424"/>
      <c r="FD207" s="425"/>
      <c r="FE207" s="333"/>
      <c r="FO207" s="300"/>
      <c r="FP207" s="395" t="str">
        <f t="shared" ca="1" si="581"/>
        <v/>
      </c>
      <c r="FQ207" s="360" t="str">
        <f t="shared" ca="1" si="582"/>
        <v/>
      </c>
      <c r="FR207" s="360" t="str">
        <f t="shared" ca="1" si="573"/>
        <v/>
      </c>
      <c r="FS207" s="360" t="str">
        <f t="shared" ca="1" si="574"/>
        <v/>
      </c>
      <c r="FT207" s="360" t="str">
        <f t="shared" ca="1" si="575"/>
        <v/>
      </c>
      <c r="FU207" s="360" t="str">
        <f t="shared" ca="1" si="576"/>
        <v/>
      </c>
      <c r="FV207" s="360" t="str">
        <f t="shared" ca="1" si="577"/>
        <v/>
      </c>
      <c r="FW207" s="360" t="str">
        <f t="shared" ca="1" si="578"/>
        <v/>
      </c>
      <c r="FX207" s="360" t="str">
        <f t="shared" ca="1" si="579"/>
        <v/>
      </c>
      <c r="FY207" s="360" t="str">
        <f t="shared" ca="1" si="580"/>
        <v/>
      </c>
      <c r="FZ207" s="379" t="str">
        <f t="shared" ca="1" si="583"/>
        <v/>
      </c>
      <c r="GA207" s="302"/>
      <c r="GB207" s="364"/>
      <c r="GC207" s="302"/>
    </row>
    <row r="208" spans="40:185" x14ac:dyDescent="0.25">
      <c r="CH208" s="445"/>
      <c r="CI208" s="300"/>
      <c r="CJ208" s="300"/>
      <c r="CK208" s="300"/>
      <c r="CL208" s="449"/>
      <c r="CM208" s="445"/>
      <c r="DG208" s="445"/>
      <c r="DH208" s="300"/>
      <c r="DI208" s="395" t="str">
        <f t="shared" ca="1" si="590"/>
        <v/>
      </c>
      <c r="DJ208" s="360" t="str">
        <f t="shared" ca="1" si="584"/>
        <v/>
      </c>
      <c r="DK208" s="360" t="str">
        <f t="shared" ca="1" si="585"/>
        <v/>
      </c>
      <c r="DL208" s="354" t="str">
        <f t="shared" ca="1" si="586"/>
        <v/>
      </c>
      <c r="DM208" s="354" t="str">
        <f t="shared" ca="1" si="587"/>
        <v/>
      </c>
      <c r="DN208" s="361" t="str">
        <f t="shared" ca="1" si="588"/>
        <v/>
      </c>
      <c r="DO208" s="362" t="str">
        <f t="shared" ca="1" si="589"/>
        <v/>
      </c>
      <c r="DP208" s="379" t="str">
        <f t="shared" ca="1" si="591"/>
        <v/>
      </c>
      <c r="DQ208" s="302"/>
      <c r="DR208" s="364"/>
      <c r="DS208" s="302"/>
      <c r="DU208" s="424"/>
      <c r="DV208" s="424"/>
      <c r="DW208" s="424"/>
      <c r="DX208" s="424"/>
      <c r="DY208" s="424"/>
      <c r="DZ208" s="424"/>
      <c r="EA208" s="424"/>
      <c r="EB208" s="424"/>
      <c r="EC208" s="424"/>
      <c r="ED208" s="424"/>
      <c r="EE208" s="424"/>
      <c r="EF208" s="424"/>
      <c r="EG208" s="424"/>
      <c r="EH208" s="424"/>
      <c r="EI208" s="424"/>
      <c r="EJ208" s="424"/>
      <c r="EK208" s="424"/>
      <c r="EL208" s="424"/>
      <c r="EM208" s="424"/>
      <c r="EN208" s="424"/>
      <c r="EO208" s="424"/>
      <c r="EP208" s="424"/>
      <c r="EQ208" s="424"/>
      <c r="ER208" s="404" t="str">
        <f ca="1">ER205</f>
        <v/>
      </c>
      <c r="ES208" s="371" t="str">
        <f ca="1">IF(OR(ER208="",EY208="",ER208=EY208),"",CONCATENATE(ER208,EY208))</f>
        <v/>
      </c>
      <c r="ET208" s="369" t="str">
        <f ca="1">IF(ES208="","",CONCATENATE(VLOOKUP(ES208,games.a,9,FALSE),VLOOKUP(ES208,games.a,12,FALSE)))</f>
        <v/>
      </c>
      <c r="EU208" s="420"/>
      <c r="EV208" s="421"/>
      <c r="EW208" s="423" t="str">
        <f ca="1">IF(ES208="","",VLOOKUP(ES208,games.a,6,FALSE))</f>
        <v/>
      </c>
      <c r="EX208" s="409" t="str">
        <f ca="1">IF(ES208="","",VLOOKUP(ES208,games.a,7,FALSE))</f>
        <v/>
      </c>
      <c r="EY208" s="415" t="str">
        <f ca="1">EY207</f>
        <v/>
      </c>
      <c r="EZ208" s="416"/>
      <c r="FA208" s="417"/>
      <c r="FB208" s="424"/>
      <c r="FC208" s="424"/>
      <c r="FD208" s="425"/>
      <c r="FE208" s="333"/>
      <c r="FO208" s="300"/>
      <c r="FP208" s="301"/>
      <c r="FQ208" s="324" t="s">
        <v>157</v>
      </c>
      <c r="FR208" s="324" t="s">
        <v>237</v>
      </c>
      <c r="FS208" s="324" t="s">
        <v>239</v>
      </c>
      <c r="FT208" s="324" t="s">
        <v>240</v>
      </c>
      <c r="FU208" s="324" t="s">
        <v>238</v>
      </c>
      <c r="FV208" s="324" t="s">
        <v>241</v>
      </c>
      <c r="FW208" s="324" t="s">
        <v>242</v>
      </c>
      <c r="FX208" s="326" t="s">
        <v>160</v>
      </c>
      <c r="FY208" s="325" t="s">
        <v>135</v>
      </c>
      <c r="FZ208" s="302"/>
      <c r="GA208" s="302"/>
      <c r="GB208" s="364"/>
      <c r="GC208" s="302"/>
    </row>
    <row r="209" spans="86:185" x14ac:dyDescent="0.25">
      <c r="CH209" s="445"/>
      <c r="CI209" s="300"/>
      <c r="CJ209" s="300"/>
      <c r="CK209" s="300"/>
      <c r="CL209" s="449"/>
      <c r="CM209" s="445"/>
      <c r="DG209" s="445"/>
      <c r="DH209" s="445"/>
      <c r="DI209" s="301"/>
      <c r="DJ209" s="302"/>
      <c r="DK209" s="302"/>
      <c r="DL209" s="302"/>
      <c r="DM209" s="302"/>
      <c r="DN209" s="302"/>
      <c r="DO209" s="302"/>
      <c r="DP209" s="447"/>
      <c r="DQ209" s="302"/>
      <c r="DR209" s="446" t="s">
        <v>215</v>
      </c>
      <c r="DS209" s="302"/>
      <c r="DU209" s="424"/>
      <c r="DV209" s="424"/>
      <c r="DW209" s="424"/>
      <c r="DX209" s="424"/>
      <c r="DY209" s="424"/>
      <c r="DZ209" s="424"/>
      <c r="EA209" s="424"/>
      <c r="EB209" s="424"/>
      <c r="EC209" s="424"/>
      <c r="ED209" s="424"/>
      <c r="EE209" s="424"/>
      <c r="EF209" s="424"/>
      <c r="EG209" s="424"/>
      <c r="EH209" s="424"/>
      <c r="EI209" s="424"/>
      <c r="EJ209" s="424"/>
      <c r="EK209" s="424"/>
      <c r="EL209" s="424"/>
      <c r="EM209" s="424"/>
      <c r="EN209" s="424"/>
      <c r="EO209" s="424"/>
      <c r="EP209" s="424"/>
      <c r="EQ209" s="424"/>
      <c r="ER209" s="424"/>
      <c r="ES209" s="424"/>
      <c r="ET209" s="424"/>
      <c r="EU209" s="424"/>
      <c r="EV209" s="424"/>
      <c r="EW209" s="424"/>
      <c r="EX209" s="424"/>
      <c r="EY209" s="424"/>
      <c r="EZ209" s="424"/>
      <c r="FA209" s="424"/>
      <c r="FB209" s="424"/>
      <c r="FC209" s="424"/>
      <c r="FD209" s="425"/>
      <c r="FE209" s="333"/>
      <c r="FO209" s="445"/>
      <c r="FP209" s="395" t="str">
        <f ca="1">FP198</f>
        <v/>
      </c>
      <c r="FQ209" s="360" t="str">
        <f ca="1">IF(OR(FP209="",FZ209="",FP209=FZ209),"",CONCATENATE(FP209,FZ209))</f>
        <v/>
      </c>
      <c r="FR209" s="360" t="str">
        <f t="shared" ref="FR209:FR218" ca="1" si="592">IF($FQ209="","",VLOOKUP($FQ209,games.a,9,FALSE))</f>
        <v/>
      </c>
      <c r="FS209" s="360" t="str">
        <f t="shared" ref="FS209:FS218" ca="1" si="593">IF($FQ209="","",VLOOKUP($FQ209,games.a,10,FALSE))</f>
        <v/>
      </c>
      <c r="FT209" s="360" t="str">
        <f t="shared" ref="FT209:FT218" ca="1" si="594">IF($FQ209="","",VLOOKUP($FQ209,games.a,11,FALSE))</f>
        <v/>
      </c>
      <c r="FU209" s="360" t="str">
        <f t="shared" ref="FU209:FU218" ca="1" si="595">IF($FQ209="","",VLOOKUP($FQ209,games.a,12,FALSE))</f>
        <v/>
      </c>
      <c r="FV209" s="360" t="str">
        <f t="shared" ref="FV209:FV218" ca="1" si="596">IF($FQ209="","",VLOOKUP($FQ209,games.a,13,FALSE))</f>
        <v/>
      </c>
      <c r="FW209" s="360" t="str">
        <f t="shared" ref="FW209:FW218" ca="1" si="597">IF($FQ209="","",VLOOKUP($FQ209,games.a,14,FALSE))</f>
        <v/>
      </c>
      <c r="FX209" s="360" t="str">
        <f t="shared" ref="FX209:FX218" ca="1" si="598">IF($FQ209="","",VLOOKUP($FQ209,games.a,6,FALSE))</f>
        <v/>
      </c>
      <c r="FY209" s="360" t="str">
        <f t="shared" ref="FY209:FY218" ca="1" si="599">IF($FQ209="","",VLOOKUP($FQ209,games.a,7,FALSE))</f>
        <v/>
      </c>
      <c r="FZ209" s="363" t="str">
        <f ca="1">FP159</f>
        <v/>
      </c>
      <c r="GA209" s="302"/>
      <c r="GB209" s="364"/>
      <c r="GC209" s="302"/>
    </row>
    <row r="210" spans="86:185" x14ac:dyDescent="0.25">
      <c r="CH210" s="445"/>
      <c r="CI210" s="300"/>
      <c r="CJ210" s="300"/>
      <c r="CK210" s="300"/>
      <c r="CL210" s="449"/>
      <c r="CM210" s="445"/>
      <c r="DG210" s="445"/>
      <c r="DH210" s="445"/>
      <c r="DI210" s="301"/>
      <c r="DJ210" s="302"/>
      <c r="DK210" s="302"/>
      <c r="DL210" s="302"/>
      <c r="DM210" s="302"/>
      <c r="DN210" s="302"/>
      <c r="DO210" s="302"/>
      <c r="DP210" s="447"/>
      <c r="DQ210" s="302"/>
      <c r="DR210" s="450" t="s">
        <v>216</v>
      </c>
      <c r="DS210" s="302"/>
      <c r="DU210" s="424"/>
      <c r="DV210" s="424"/>
      <c r="DW210" s="424"/>
      <c r="DX210" s="424"/>
      <c r="DY210" s="424"/>
      <c r="DZ210" s="424"/>
      <c r="EA210" s="424"/>
      <c r="EB210" s="424"/>
      <c r="EC210" s="424"/>
      <c r="ED210" s="424"/>
      <c r="EE210" s="424"/>
      <c r="EF210" s="424"/>
      <c r="EG210" s="424"/>
      <c r="EH210" s="424"/>
      <c r="EI210" s="424"/>
      <c r="EJ210" s="424"/>
      <c r="EK210" s="424"/>
      <c r="EL210" s="424"/>
      <c r="EM210" s="424"/>
      <c r="EN210" s="424"/>
      <c r="EO210" s="424"/>
      <c r="EP210" s="424"/>
      <c r="EQ210" s="424"/>
      <c r="ER210" s="424"/>
      <c r="ES210" s="424"/>
      <c r="ET210" s="424"/>
      <c r="EU210" s="424"/>
      <c r="EV210" s="424"/>
      <c r="EW210" s="424"/>
      <c r="EX210" s="424"/>
      <c r="EY210" s="424"/>
      <c r="EZ210" s="424"/>
      <c r="FA210" s="424"/>
      <c r="FB210" s="424"/>
      <c r="FC210" s="424"/>
      <c r="FD210" s="425"/>
      <c r="FE210" s="333"/>
      <c r="FO210" s="445"/>
      <c r="FP210" s="395" t="str">
        <f t="shared" ref="FP210:FP218" ca="1" si="600">FP199</f>
        <v/>
      </c>
      <c r="FQ210" s="360" t="str">
        <f t="shared" ref="FQ210:FQ218" ca="1" si="601">IF(OR(FP210="",FZ210="",FP210=FZ210),"",CONCATENATE(FP210,FZ210))</f>
        <v/>
      </c>
      <c r="FR210" s="360" t="str">
        <f t="shared" ca="1" si="592"/>
        <v/>
      </c>
      <c r="FS210" s="360" t="str">
        <f t="shared" ca="1" si="593"/>
        <v/>
      </c>
      <c r="FT210" s="360" t="str">
        <f t="shared" ca="1" si="594"/>
        <v/>
      </c>
      <c r="FU210" s="360" t="str">
        <f t="shared" ca="1" si="595"/>
        <v/>
      </c>
      <c r="FV210" s="360" t="str">
        <f t="shared" ca="1" si="596"/>
        <v/>
      </c>
      <c r="FW210" s="360" t="str">
        <f t="shared" ca="1" si="597"/>
        <v/>
      </c>
      <c r="FX210" s="360" t="str">
        <f t="shared" ca="1" si="598"/>
        <v/>
      </c>
      <c r="FY210" s="360" t="str">
        <f t="shared" ca="1" si="599"/>
        <v/>
      </c>
      <c r="FZ210" s="379" t="str">
        <f ca="1">FZ209</f>
        <v/>
      </c>
      <c r="GA210" s="302"/>
      <c r="GB210" s="364"/>
      <c r="GC210" s="302"/>
    </row>
    <row r="211" spans="86:185" x14ac:dyDescent="0.25">
      <c r="CH211" s="445"/>
      <c r="CI211" s="300"/>
      <c r="CJ211" s="300"/>
      <c r="CK211" s="300"/>
      <c r="CL211" s="449"/>
      <c r="CM211" s="445"/>
      <c r="DG211" s="445"/>
      <c r="DH211" s="300"/>
      <c r="DI211" s="323" t="b">
        <f ca="1">OR(NOT($AJ$44),COUNTIF(DN211:DN240,"")=25-(DP211-1)*DP211,COUNTIF(DN211:DN240,"")=25-(DP211-1)*DP211/2)</f>
        <v>1</v>
      </c>
      <c r="DJ211" s="324" t="s">
        <v>157</v>
      </c>
      <c r="DK211" s="324" t="s">
        <v>158</v>
      </c>
      <c r="DL211" s="325" t="s">
        <v>159</v>
      </c>
      <c r="DM211" s="325"/>
      <c r="DN211" s="326" t="s">
        <v>160</v>
      </c>
      <c r="DO211" s="325" t="s">
        <v>135</v>
      </c>
      <c r="DP211" s="323">
        <f ca="1">COUNT(CW42:CW46)</f>
        <v>2</v>
      </c>
      <c r="DQ211" s="302"/>
      <c r="DR211" s="364"/>
      <c r="DS211" s="302"/>
      <c r="DU211" s="424"/>
      <c r="DV211" s="329" t="s">
        <v>229</v>
      </c>
      <c r="DW211" s="365"/>
      <c r="DX211" s="329" t="s">
        <v>152</v>
      </c>
      <c r="DY211" s="329" t="s">
        <v>153</v>
      </c>
      <c r="DZ211" s="329" t="s">
        <v>154</v>
      </c>
      <c r="EA211" s="329" t="s">
        <v>155</v>
      </c>
      <c r="EB211" s="329" t="s">
        <v>125</v>
      </c>
      <c r="EC211" s="329" t="s">
        <v>226</v>
      </c>
      <c r="ED211" s="329" t="s">
        <v>126</v>
      </c>
      <c r="EE211" s="329" t="s">
        <v>227</v>
      </c>
      <c r="EF211" s="424"/>
      <c r="EG211" s="424"/>
      <c r="EH211" s="424"/>
      <c r="EI211" s="329" t="s">
        <v>228</v>
      </c>
      <c r="EJ211" s="329" t="s">
        <v>156</v>
      </c>
      <c r="EK211" s="329" t="s">
        <v>208</v>
      </c>
      <c r="EL211" s="424"/>
      <c r="EM211" s="424"/>
      <c r="EN211" s="424"/>
      <c r="EO211" s="424"/>
      <c r="EP211" s="424"/>
      <c r="EQ211" s="424"/>
      <c r="ER211" s="424"/>
      <c r="ES211" s="424"/>
      <c r="ET211" s="424"/>
      <c r="EU211" s="424"/>
      <c r="EV211" s="424"/>
      <c r="EW211" s="424"/>
      <c r="EX211" s="424"/>
      <c r="EY211" s="424"/>
      <c r="EZ211" s="424"/>
      <c r="FA211" s="424"/>
      <c r="FB211" s="424"/>
      <c r="FC211" s="424"/>
      <c r="FD211" s="425"/>
      <c r="FE211" s="333"/>
      <c r="FO211" s="300"/>
      <c r="FP211" s="395" t="str">
        <f t="shared" ca="1" si="600"/>
        <v/>
      </c>
      <c r="FQ211" s="360" t="str">
        <f t="shared" ca="1" si="601"/>
        <v/>
      </c>
      <c r="FR211" s="360" t="str">
        <f t="shared" ca="1" si="592"/>
        <v/>
      </c>
      <c r="FS211" s="360" t="str">
        <f t="shared" ca="1" si="593"/>
        <v/>
      </c>
      <c r="FT211" s="360" t="str">
        <f t="shared" ca="1" si="594"/>
        <v/>
      </c>
      <c r="FU211" s="360" t="str">
        <f t="shared" ca="1" si="595"/>
        <v/>
      </c>
      <c r="FV211" s="360" t="str">
        <f t="shared" ca="1" si="596"/>
        <v/>
      </c>
      <c r="FW211" s="360" t="str">
        <f t="shared" ca="1" si="597"/>
        <v/>
      </c>
      <c r="FX211" s="360" t="str">
        <f t="shared" ca="1" si="598"/>
        <v/>
      </c>
      <c r="FY211" s="360" t="str">
        <f t="shared" ca="1" si="599"/>
        <v/>
      </c>
      <c r="FZ211" s="379" t="str">
        <f t="shared" ref="FZ211:FZ218" ca="1" si="602">FZ210</f>
        <v/>
      </c>
      <c r="GA211" s="302"/>
      <c r="GB211" s="364"/>
      <c r="GC211" s="302"/>
    </row>
    <row r="212" spans="86:185" x14ac:dyDescent="0.25">
      <c r="CH212" s="445"/>
      <c r="CI212" s="300"/>
      <c r="CJ212" s="300"/>
      <c r="CK212" s="300"/>
      <c r="CL212" s="449"/>
      <c r="CM212" s="445"/>
      <c r="DG212" s="445"/>
      <c r="DH212" s="300"/>
      <c r="DI212" s="359" t="str">
        <f ca="1">IF(CW42="","",VLOOKUP(CW42,xxx.aa1,10,FALSE))</f>
        <v>K&amp;H</v>
      </c>
      <c r="DJ212" s="360" t="str">
        <f ca="1">IF(OR(DI212="",DP212="",DI212=DP212),"",CONCATENATE(DI212,DP212))</f>
        <v/>
      </c>
      <c r="DK212" s="360" t="str">
        <f ca="1">IF($DJ212="","",CONCATENATE(VLOOKUP($DJ212,games.a,9,FALSE),VLOOKUP($DJ212,games.a,12,FALSE)))</f>
        <v/>
      </c>
      <c r="DL212" s="354" t="str">
        <f ca="1">IF($DJ212="","",VLOOKUP($DJ212,games.a,10,FALSE))</f>
        <v/>
      </c>
      <c r="DM212" s="354" t="str">
        <f ca="1">IF($DJ212="","",VLOOKUP($DJ212,games.a,13,FALSE))</f>
        <v/>
      </c>
      <c r="DN212" s="361" t="str">
        <f ca="1">IF($DJ212="","",VLOOKUP($DJ212,games.a,6,FALSE))</f>
        <v/>
      </c>
      <c r="DO212" s="362" t="str">
        <f ca="1">IF($DJ212="","",VLOOKUP($DJ212,games.a,7,FALSE))</f>
        <v/>
      </c>
      <c r="DP212" s="363" t="str">
        <f ca="1">DI212</f>
        <v>K&amp;H</v>
      </c>
      <c r="DQ212" s="302"/>
      <c r="DR212" s="364"/>
      <c r="DS212" s="302"/>
      <c r="DU212" s="424"/>
      <c r="DV212" s="366" t="str">
        <f ca="1">IF(OR(NOT($AJ$44),DI211),DI212,"")</f>
        <v>K&amp;H</v>
      </c>
      <c r="DW212" s="365"/>
      <c r="DX212" s="366">
        <f ca="1">IF($DV212="",0,COUNTIF(xxgy.aa,$DV212))</f>
        <v>0</v>
      </c>
      <c r="DY212" s="366">
        <f ca="1">IF($DV212="",0,COUNTIF(xxd.aa,$DV212))</f>
        <v>0</v>
      </c>
      <c r="DZ212" s="366">
        <f ca="1">IF($DV212="",0,1)*(SUMIF(xxo.aa,$DV212,xxl.aa)+SUMIF(xxi.aa,$DV212,xxk.aa))</f>
        <v>4</v>
      </c>
      <c r="EA212" s="366">
        <f ca="1">IF($DV212="",0,1)*(SUMIF(xxo.aa,$DV212,xxk.aa)+SUMIF(xxi.aa,$DV212,xxl.aa))</f>
        <v>7</v>
      </c>
      <c r="EB212" s="366">
        <f ca="1">DZ212-EA212</f>
        <v>-3</v>
      </c>
      <c r="EC212" s="366">
        <f ca="1">IF(EA212=0,0,DZ212/EA212)</f>
        <v>0.5714285714285714</v>
      </c>
      <c r="ED212" s="366">
        <f ca="1">$AJ$48*DX212+IF($AJ$44,0,1)*DY212</f>
        <v>0</v>
      </c>
      <c r="EE212" s="396">
        <f ca="1">ED212*1000000+IF($AJ$44,EC212,EB212)*1000*0</f>
        <v>0</v>
      </c>
      <c r="EF212" s="424"/>
      <c r="EG212" s="424"/>
      <c r="EH212" s="424"/>
      <c r="EI212" s="366">
        <f ca="1">IF(OR(ISERR(EE212),ISNA(EE212)),0,EE212)</f>
        <v>0</v>
      </c>
      <c r="EJ212" s="366">
        <f ca="1">IF(EI212=0,0,RANK(EI212,EI212:EI216,1))</f>
        <v>0</v>
      </c>
      <c r="EK212" s="366">
        <f ca="1">EJ212*40000*IF(COUNTIF($FC$42:$FC$65,DV212)&gt;0,0,1)</f>
        <v>0</v>
      </c>
      <c r="EL212" s="424"/>
      <c r="EM212" s="424"/>
      <c r="EN212" s="424"/>
      <c r="EO212" s="424"/>
      <c r="EP212" s="424"/>
      <c r="EQ212" s="424"/>
      <c r="ER212" s="424"/>
      <c r="ES212" s="424"/>
      <c r="ET212" s="424"/>
      <c r="EU212" s="424"/>
      <c r="EV212" s="424"/>
      <c r="EW212" s="424"/>
      <c r="EX212" s="424"/>
      <c r="EY212" s="424"/>
      <c r="EZ212" s="424"/>
      <c r="FA212" s="424"/>
      <c r="FB212" s="424"/>
      <c r="FC212" s="424"/>
      <c r="FD212" s="425"/>
      <c r="FE212" s="333"/>
      <c r="FO212" s="300"/>
      <c r="FP212" s="395" t="str">
        <f t="shared" ca="1" si="600"/>
        <v/>
      </c>
      <c r="FQ212" s="360" t="str">
        <f t="shared" ca="1" si="601"/>
        <v/>
      </c>
      <c r="FR212" s="360" t="str">
        <f t="shared" ca="1" si="592"/>
        <v/>
      </c>
      <c r="FS212" s="360" t="str">
        <f t="shared" ca="1" si="593"/>
        <v/>
      </c>
      <c r="FT212" s="360" t="str">
        <f t="shared" ca="1" si="594"/>
        <v/>
      </c>
      <c r="FU212" s="360" t="str">
        <f t="shared" ca="1" si="595"/>
        <v/>
      </c>
      <c r="FV212" s="360" t="str">
        <f t="shared" ca="1" si="596"/>
        <v/>
      </c>
      <c r="FW212" s="360" t="str">
        <f t="shared" ca="1" si="597"/>
        <v/>
      </c>
      <c r="FX212" s="360" t="str">
        <f t="shared" ca="1" si="598"/>
        <v/>
      </c>
      <c r="FY212" s="360" t="str">
        <f t="shared" ca="1" si="599"/>
        <v/>
      </c>
      <c r="FZ212" s="379" t="str">
        <f t="shared" ca="1" si="602"/>
        <v/>
      </c>
      <c r="GA212" s="302"/>
      <c r="GB212" s="364"/>
      <c r="GC212" s="302"/>
    </row>
    <row r="213" spans="86:185" x14ac:dyDescent="0.25">
      <c r="CH213" s="445"/>
      <c r="CI213" s="300"/>
      <c r="CJ213" s="300"/>
      <c r="CK213" s="300"/>
      <c r="CL213" s="449"/>
      <c r="CM213" s="445"/>
      <c r="DG213" s="445"/>
      <c r="DH213" s="300"/>
      <c r="DI213" s="359" t="str">
        <f ca="1">IF(CW43="","",VLOOKUP(CW43,xxx.aa1,10,FALSE))</f>
        <v>BBK</v>
      </c>
      <c r="DJ213" s="360" t="str">
        <f ca="1">IF(OR(DI213="",DP213="",DI213=DP213),"",CONCATENATE(DI213,DP213))</f>
        <v>BBKK&amp;H</v>
      </c>
      <c r="DK213" s="360" t="str">
        <f ca="1">IF($DJ213="","",CONCATENATE(VLOOKUP($DJ213,games.a,9,FALSE),VLOOKUP($DJ213,games.a,12,FALSE)))</f>
        <v>BBK</v>
      </c>
      <c r="DL213" s="354" t="str">
        <f ca="1">IF($DJ213="","",VLOOKUP($DJ213,games.a,10,FALSE))</f>
        <v/>
      </c>
      <c r="DM213" s="354" t="str">
        <f ca="1">IF($DJ213="","",VLOOKUP($DJ213,games.a,13,FALSE))</f>
        <v/>
      </c>
      <c r="DN213" s="361">
        <f ca="1">IF($DJ213="","",VLOOKUP($DJ213,games.a,6,FALSE))</f>
        <v>3</v>
      </c>
      <c r="DO213" s="362">
        <f ca="1">IF($DJ213="","",VLOOKUP($DJ213,games.a,7,FALSE))</f>
        <v>2</v>
      </c>
      <c r="DP213" s="379" t="str">
        <f ca="1">DP212</f>
        <v>K&amp;H</v>
      </c>
      <c r="DQ213" s="302"/>
      <c r="DR213" s="364"/>
      <c r="DS213" s="302"/>
      <c r="DU213" s="424"/>
      <c r="DV213" s="366" t="str">
        <f ca="1">IF(OR(NOT($AJ$44),DI211),DI213,"")</f>
        <v>BBK</v>
      </c>
      <c r="DW213" s="365"/>
      <c r="DX213" s="366">
        <f ca="1">IF($DV213="",0,COUNTIF(xxgy.aa,$DV213))</f>
        <v>2</v>
      </c>
      <c r="DY213" s="366">
        <f ca="1">IF($DV213="",0,COUNTIF(xxd.aa,$DV213))</f>
        <v>0</v>
      </c>
      <c r="DZ213" s="366">
        <f ca="1">IF($DV213="",0,1)*(SUMIF(xxo.aa,$DV213,xxl.aa)+SUMIF(xxi.aa,$DV213,xxk.aa))</f>
        <v>7</v>
      </c>
      <c r="EA213" s="366">
        <f ca="1">IF($DV213="",0,1)*(SUMIF(xxo.aa,$DV213,xxk.aa)+SUMIF(xxi.aa,$DV213,xxl.aa))</f>
        <v>4</v>
      </c>
      <c r="EB213" s="366">
        <f ca="1">DZ213-EA213</f>
        <v>3</v>
      </c>
      <c r="EC213" s="366">
        <f ca="1">IF(EA213=0,0,DZ213/EA213)</f>
        <v>1.75</v>
      </c>
      <c r="ED213" s="366">
        <f ca="1">$AJ$48*DX213+IF($AJ$44,0,1)*DY213</f>
        <v>6</v>
      </c>
      <c r="EE213" s="396">
        <f ca="1">ED213*1000000+IF($AJ$44,EC213,EB213)*1000*0</f>
        <v>6000000</v>
      </c>
      <c r="EF213" s="424"/>
      <c r="EG213" s="424"/>
      <c r="EH213" s="424"/>
      <c r="EI213" s="366">
        <f ca="1">IF(OR(ISERR(EE213),ISNA(EE213)),0,EE213)</f>
        <v>6000000</v>
      </c>
      <c r="EJ213" s="366">
        <f ca="1">IF(EI213=0,0,RANK(EI213,EI212:EI216,1))</f>
        <v>5</v>
      </c>
      <c r="EK213" s="366">
        <f ca="1">EJ213*40000*IF(COUNTIF($FC$42:$FC$65,DV213)&gt;0,0,1)</f>
        <v>200000</v>
      </c>
      <c r="EL213" s="424"/>
      <c r="EM213" s="424"/>
      <c r="EN213" s="424"/>
      <c r="EO213" s="424"/>
      <c r="EP213" s="424"/>
      <c r="EQ213" s="424"/>
      <c r="ER213" s="424"/>
      <c r="ES213" s="424"/>
      <c r="ET213" s="424"/>
      <c r="EU213" s="424"/>
      <c r="EV213" s="424"/>
      <c r="EW213" s="424"/>
      <c r="EX213" s="424"/>
      <c r="EY213" s="424"/>
      <c r="EZ213" s="424"/>
      <c r="FA213" s="424"/>
      <c r="FB213" s="424"/>
      <c r="FC213" s="424"/>
      <c r="FD213" s="425"/>
      <c r="FE213" s="333"/>
      <c r="FO213" s="300"/>
      <c r="FP213" s="395" t="str">
        <f t="shared" ca="1" si="600"/>
        <v/>
      </c>
      <c r="FQ213" s="360" t="str">
        <f t="shared" ca="1" si="601"/>
        <v/>
      </c>
      <c r="FR213" s="360" t="str">
        <f t="shared" ca="1" si="592"/>
        <v/>
      </c>
      <c r="FS213" s="360" t="str">
        <f t="shared" ca="1" si="593"/>
        <v/>
      </c>
      <c r="FT213" s="360" t="str">
        <f t="shared" ca="1" si="594"/>
        <v/>
      </c>
      <c r="FU213" s="360" t="str">
        <f t="shared" ca="1" si="595"/>
        <v/>
      </c>
      <c r="FV213" s="360" t="str">
        <f t="shared" ca="1" si="596"/>
        <v/>
      </c>
      <c r="FW213" s="360" t="str">
        <f t="shared" ca="1" si="597"/>
        <v/>
      </c>
      <c r="FX213" s="360" t="str">
        <f t="shared" ca="1" si="598"/>
        <v/>
      </c>
      <c r="FY213" s="360" t="str">
        <f t="shared" ca="1" si="599"/>
        <v/>
      </c>
      <c r="FZ213" s="379" t="str">
        <f t="shared" ca="1" si="602"/>
        <v/>
      </c>
      <c r="GA213" s="302"/>
      <c r="GB213" s="364"/>
      <c r="GC213" s="302"/>
    </row>
    <row r="214" spans="86:185" x14ac:dyDescent="0.25">
      <c r="CH214" s="445"/>
      <c r="CI214" s="300"/>
      <c r="CJ214" s="300"/>
      <c r="CK214" s="300"/>
      <c r="CL214" s="449"/>
      <c r="CM214" s="445"/>
      <c r="DG214" s="445"/>
      <c r="DH214" s="300"/>
      <c r="DI214" s="359" t="str">
        <f ca="1">IF(CW44="","",VLOOKUP(CW44,xxx.aa1,10,FALSE))</f>
        <v/>
      </c>
      <c r="DJ214" s="360" t="str">
        <f ca="1">IF(OR(DI214="",DP214="",DI214=DP214),"",CONCATENATE(DI214,DP214))</f>
        <v/>
      </c>
      <c r="DK214" s="360" t="str">
        <f ca="1">IF($DJ214="","",CONCATENATE(VLOOKUP($DJ214,games.a,9,FALSE),VLOOKUP($DJ214,games.a,12,FALSE)))</f>
        <v/>
      </c>
      <c r="DL214" s="354" t="str">
        <f ca="1">IF($DJ214="","",VLOOKUP($DJ214,games.a,10,FALSE))</f>
        <v/>
      </c>
      <c r="DM214" s="354" t="str">
        <f ca="1">IF($DJ214="","",VLOOKUP($DJ214,games.a,13,FALSE))</f>
        <v/>
      </c>
      <c r="DN214" s="361" t="str">
        <f ca="1">IF($DJ214="","",VLOOKUP($DJ214,games.a,6,FALSE))</f>
        <v/>
      </c>
      <c r="DO214" s="362" t="str">
        <f ca="1">IF($DJ214="","",VLOOKUP($DJ214,games.a,7,FALSE))</f>
        <v/>
      </c>
      <c r="DP214" s="379" t="str">
        <f t="shared" ref="DP214:DP222" ca="1" si="603">DP213</f>
        <v>K&amp;H</v>
      </c>
      <c r="DQ214" s="302"/>
      <c r="DR214" s="364"/>
      <c r="DS214" s="302"/>
      <c r="DU214" s="424"/>
      <c r="DV214" s="366" t="str">
        <f ca="1">IF(OR(NOT($AJ$44),DI211),DI214,"")</f>
        <v/>
      </c>
      <c r="DW214" s="365"/>
      <c r="DX214" s="366">
        <f ca="1">IF($DV214="",0,COUNTIF(xxgy.aa,$DV214))</f>
        <v>0</v>
      </c>
      <c r="DY214" s="366">
        <f ca="1">IF($DV214="",0,COUNTIF(xxd.aa,$DV214))</f>
        <v>0</v>
      </c>
      <c r="DZ214" s="366">
        <f ca="1">IF($DV214="",0,1)*(SUMIF(xxo.aa,$DV214,xxl.aa)+SUMIF(xxi.aa,$DV214,xxk.aa))</f>
        <v>0</v>
      </c>
      <c r="EA214" s="366">
        <f ca="1">IF($DV214="",0,1)*(SUMIF(xxo.aa,$DV214,xxk.aa)+SUMIF(xxi.aa,$DV214,xxl.aa))</f>
        <v>0</v>
      </c>
      <c r="EB214" s="366">
        <f ca="1">DZ214-EA214</f>
        <v>0</v>
      </c>
      <c r="EC214" s="366">
        <f ca="1">IF(EA214=0,0,DZ214/EA214)</f>
        <v>0</v>
      </c>
      <c r="ED214" s="366">
        <f ca="1">$AJ$48*DX214+IF($AJ$44,0,1)*DY214</f>
        <v>0</v>
      </c>
      <c r="EE214" s="396">
        <f ca="1">ED214*1000000+IF($AJ$44,EC214,EB214)*1000*0</f>
        <v>0</v>
      </c>
      <c r="EF214" s="424"/>
      <c r="EG214" s="424"/>
      <c r="EH214" s="424"/>
      <c r="EI214" s="366">
        <f ca="1">IF(OR(ISERR(EE214),ISNA(EE214)),0,EE214)</f>
        <v>0</v>
      </c>
      <c r="EJ214" s="366">
        <f ca="1">IF(EI214=0,0,RANK(EI214,EI212:EI216,1))</f>
        <v>0</v>
      </c>
      <c r="EK214" s="366">
        <f ca="1">EJ214*40000*IF(COUNTIF($FC$42:$FC$65,DV214)&gt;0,0,1)</f>
        <v>0</v>
      </c>
      <c r="EL214" s="424"/>
      <c r="EM214" s="424"/>
      <c r="EN214" s="424"/>
      <c r="EO214" s="424"/>
      <c r="EP214" s="424"/>
      <c r="EQ214" s="424"/>
      <c r="ER214" s="424"/>
      <c r="ES214" s="424"/>
      <c r="ET214" s="424"/>
      <c r="EU214" s="424"/>
      <c r="EV214" s="424"/>
      <c r="EW214" s="424"/>
      <c r="EX214" s="424"/>
      <c r="EY214" s="424"/>
      <c r="EZ214" s="424"/>
      <c r="FA214" s="424"/>
      <c r="FB214" s="424"/>
      <c r="FC214" s="424"/>
      <c r="FD214" s="425"/>
      <c r="FE214" s="333"/>
      <c r="FO214" s="300"/>
      <c r="FP214" s="395" t="str">
        <f t="shared" ca="1" si="600"/>
        <v/>
      </c>
      <c r="FQ214" s="360" t="str">
        <f t="shared" ca="1" si="601"/>
        <v/>
      </c>
      <c r="FR214" s="360" t="str">
        <f t="shared" ca="1" si="592"/>
        <v/>
      </c>
      <c r="FS214" s="360" t="str">
        <f t="shared" ca="1" si="593"/>
        <v/>
      </c>
      <c r="FT214" s="360" t="str">
        <f t="shared" ca="1" si="594"/>
        <v/>
      </c>
      <c r="FU214" s="360" t="str">
        <f t="shared" ca="1" si="595"/>
        <v/>
      </c>
      <c r="FV214" s="360" t="str">
        <f t="shared" ca="1" si="596"/>
        <v/>
      </c>
      <c r="FW214" s="360" t="str">
        <f t="shared" ca="1" si="597"/>
        <v/>
      </c>
      <c r="FX214" s="360" t="str">
        <f t="shared" ca="1" si="598"/>
        <v/>
      </c>
      <c r="FY214" s="360" t="str">
        <f t="shared" ca="1" si="599"/>
        <v/>
      </c>
      <c r="FZ214" s="379" t="str">
        <f t="shared" ca="1" si="602"/>
        <v/>
      </c>
      <c r="GA214" s="302"/>
      <c r="GB214" s="364"/>
      <c r="GC214" s="302"/>
    </row>
    <row r="215" spans="86:185" x14ac:dyDescent="0.25">
      <c r="CH215" s="445"/>
      <c r="CI215" s="300"/>
      <c r="CJ215" s="300"/>
      <c r="CK215" s="300"/>
      <c r="CL215" s="449"/>
      <c r="CM215" s="445"/>
      <c r="DG215" s="445"/>
      <c r="DH215" s="300"/>
      <c r="DI215" s="359" t="str">
        <f ca="1">IF(CW45="","",VLOOKUP(CW45,xxx.aa1,10,FALSE))</f>
        <v/>
      </c>
      <c r="DJ215" s="360" t="str">
        <f ca="1">IF(OR(DI215="",DP215="",DI215=DP215),"",CONCATENATE(DI215,DP215))</f>
        <v/>
      </c>
      <c r="DK215" s="360" t="str">
        <f ca="1">IF($DJ215="","",CONCATENATE(VLOOKUP($DJ215,games.a,9,FALSE),VLOOKUP($DJ215,games.a,12,FALSE)))</f>
        <v/>
      </c>
      <c r="DL215" s="354" t="str">
        <f ca="1">IF($DJ215="","",VLOOKUP($DJ215,games.a,10,FALSE))</f>
        <v/>
      </c>
      <c r="DM215" s="354" t="str">
        <f ca="1">IF($DJ215="","",VLOOKUP($DJ215,games.a,13,FALSE))</f>
        <v/>
      </c>
      <c r="DN215" s="361" t="str">
        <f ca="1">IF($DJ215="","",VLOOKUP($DJ215,games.a,6,FALSE))</f>
        <v/>
      </c>
      <c r="DO215" s="362" t="str">
        <f ca="1">IF($DJ215="","",VLOOKUP($DJ215,games.a,7,FALSE))</f>
        <v/>
      </c>
      <c r="DP215" s="379" t="str">
        <f t="shared" ca="1" si="603"/>
        <v>K&amp;H</v>
      </c>
      <c r="DQ215" s="302"/>
      <c r="DR215" s="364"/>
      <c r="DS215" s="302"/>
      <c r="DU215" s="424"/>
      <c r="DV215" s="366" t="str">
        <f ca="1">IF(OR(NOT($AJ$44),DI211),DI215,"")</f>
        <v/>
      </c>
      <c r="DW215" s="365"/>
      <c r="DX215" s="366">
        <f ca="1">IF($DV215="",0,COUNTIF(xxgy.aa,$DV215))</f>
        <v>0</v>
      </c>
      <c r="DY215" s="366">
        <f ca="1">IF($DV215="",0,COUNTIF(xxd.aa,$DV215))</f>
        <v>0</v>
      </c>
      <c r="DZ215" s="366">
        <f ca="1">IF($DV215="",0,1)*(SUMIF(xxo.aa,$DV215,xxl.aa)+SUMIF(xxi.aa,$DV215,xxk.aa))</f>
        <v>0</v>
      </c>
      <c r="EA215" s="366">
        <f ca="1">IF($DV215="",0,1)*(SUMIF(xxo.aa,$DV215,xxk.aa)+SUMIF(xxi.aa,$DV215,xxl.aa))</f>
        <v>0</v>
      </c>
      <c r="EB215" s="366">
        <f ca="1">DZ215-EA215</f>
        <v>0</v>
      </c>
      <c r="EC215" s="366">
        <f ca="1">IF(EA215=0,0,DZ215/EA215)</f>
        <v>0</v>
      </c>
      <c r="ED215" s="366">
        <f ca="1">$AJ$48*DX215+IF($AJ$44,0,1)*DY215</f>
        <v>0</v>
      </c>
      <c r="EE215" s="396">
        <f ca="1">ED215*1000000+IF($AJ$44,EC215,EB215)*1000*0</f>
        <v>0</v>
      </c>
      <c r="EF215" s="424"/>
      <c r="EG215" s="424"/>
      <c r="EH215" s="424"/>
      <c r="EI215" s="366">
        <f ca="1">IF(OR(ISERR(EE215),ISNA(EE215)),0,EE215)</f>
        <v>0</v>
      </c>
      <c r="EJ215" s="366">
        <f ca="1">IF(EI215=0,0,RANK(EI215,EI212:EI216,1))</f>
        <v>0</v>
      </c>
      <c r="EK215" s="366">
        <f ca="1">EJ215*40000*IF(COUNTIF($FC$42:$FC$65,DV215)&gt;0,0,1)</f>
        <v>0</v>
      </c>
      <c r="EL215" s="424"/>
      <c r="EM215" s="424"/>
      <c r="EN215" s="424"/>
      <c r="EO215" s="424"/>
      <c r="EP215" s="424"/>
      <c r="EQ215" s="424"/>
      <c r="ER215" s="424"/>
      <c r="ES215" s="424"/>
      <c r="ET215" s="424"/>
      <c r="EU215" s="424"/>
      <c r="EV215" s="424"/>
      <c r="EW215" s="424"/>
      <c r="EX215" s="424"/>
      <c r="EY215" s="424"/>
      <c r="EZ215" s="424"/>
      <c r="FA215" s="424"/>
      <c r="FB215" s="424"/>
      <c r="FC215" s="424"/>
      <c r="FD215" s="425"/>
      <c r="FE215" s="333"/>
      <c r="FO215" s="300"/>
      <c r="FP215" s="395" t="str">
        <f t="shared" ca="1" si="600"/>
        <v/>
      </c>
      <c r="FQ215" s="360" t="str">
        <f t="shared" ca="1" si="601"/>
        <v/>
      </c>
      <c r="FR215" s="360" t="str">
        <f t="shared" ca="1" si="592"/>
        <v/>
      </c>
      <c r="FS215" s="360" t="str">
        <f t="shared" ca="1" si="593"/>
        <v/>
      </c>
      <c r="FT215" s="360" t="str">
        <f t="shared" ca="1" si="594"/>
        <v/>
      </c>
      <c r="FU215" s="360" t="str">
        <f t="shared" ca="1" si="595"/>
        <v/>
      </c>
      <c r="FV215" s="360" t="str">
        <f t="shared" ca="1" si="596"/>
        <v/>
      </c>
      <c r="FW215" s="360" t="str">
        <f t="shared" ca="1" si="597"/>
        <v/>
      </c>
      <c r="FX215" s="360" t="str">
        <f t="shared" ca="1" si="598"/>
        <v/>
      </c>
      <c r="FY215" s="360" t="str">
        <f t="shared" ca="1" si="599"/>
        <v/>
      </c>
      <c r="FZ215" s="379" t="str">
        <f t="shared" ca="1" si="602"/>
        <v/>
      </c>
      <c r="GA215" s="302"/>
      <c r="GB215" s="364"/>
      <c r="GC215" s="302"/>
    </row>
    <row r="216" spans="86:185" x14ac:dyDescent="0.25">
      <c r="CH216" s="445"/>
      <c r="CI216" s="300"/>
      <c r="CJ216" s="300"/>
      <c r="CK216" s="300"/>
      <c r="CL216" s="449"/>
      <c r="CM216" s="445"/>
      <c r="DG216" s="445"/>
      <c r="DH216" s="300"/>
      <c r="DI216" s="359" t="str">
        <f ca="1">IF(CW46="","",VLOOKUP(CW46,xxx.aa1,10,FALSE))</f>
        <v/>
      </c>
      <c r="DJ216" s="360" t="str">
        <f ca="1">IF(OR(DI216="",DP216="",DI216=DP216),"",CONCATENATE(DI216,DP216))</f>
        <v/>
      </c>
      <c r="DK216" s="360" t="str">
        <f ca="1">IF($DJ216="","",CONCATENATE(VLOOKUP($DJ216,games.a,9,FALSE),VLOOKUP($DJ216,games.a,12,FALSE)))</f>
        <v/>
      </c>
      <c r="DL216" s="354" t="str">
        <f ca="1">IF($DJ216="","",VLOOKUP($DJ216,games.a,10,FALSE))</f>
        <v/>
      </c>
      <c r="DM216" s="354" t="str">
        <f ca="1">IF($DJ216="","",VLOOKUP($DJ216,games.a,13,FALSE))</f>
        <v/>
      </c>
      <c r="DN216" s="361" t="str">
        <f ca="1">IF($DJ216="","",VLOOKUP($DJ216,games.a,6,FALSE))</f>
        <v/>
      </c>
      <c r="DO216" s="362" t="str">
        <f ca="1">IF($DJ216="","",VLOOKUP($DJ216,games.a,7,FALSE))</f>
        <v/>
      </c>
      <c r="DP216" s="379" t="str">
        <f t="shared" ca="1" si="603"/>
        <v>K&amp;H</v>
      </c>
      <c r="DQ216" s="302"/>
      <c r="DR216" s="364"/>
      <c r="DS216" s="302"/>
      <c r="DU216" s="424"/>
      <c r="DV216" s="366" t="str">
        <f ca="1">IF(OR(NOT($AJ$44),DI211),DI216,"")</f>
        <v/>
      </c>
      <c r="DW216" s="365"/>
      <c r="DX216" s="366">
        <f ca="1">IF($DV216="",0,COUNTIF(xxgy.aa,$DV216))</f>
        <v>0</v>
      </c>
      <c r="DY216" s="366">
        <f ca="1">IF($DV216="",0,COUNTIF(xxd.aa,$DV216))</f>
        <v>0</v>
      </c>
      <c r="DZ216" s="366">
        <f ca="1">IF($DV216="",0,1)*(SUMIF(xxo.aa,$DV216,xxl.aa)+SUMIF(xxi.aa,$DV216,xxk.aa))</f>
        <v>0</v>
      </c>
      <c r="EA216" s="366">
        <f ca="1">IF($DV216="",0,1)*(SUMIF(xxo.aa,$DV216,xxk.aa)+SUMIF(xxi.aa,$DV216,xxl.aa))</f>
        <v>0</v>
      </c>
      <c r="EB216" s="366">
        <f ca="1">DZ216-EA216</f>
        <v>0</v>
      </c>
      <c r="EC216" s="366">
        <f ca="1">IF(EA216=0,0,DZ216/EA216)</f>
        <v>0</v>
      </c>
      <c r="ED216" s="366">
        <f ca="1">$AJ$48*DX216+IF($AJ$44,0,1)*DY216</f>
        <v>0</v>
      </c>
      <c r="EE216" s="396">
        <f ca="1">ED216*1000000+IF($AJ$44,EC216,EB216)*1000*0</f>
        <v>0</v>
      </c>
      <c r="EF216" s="424"/>
      <c r="EG216" s="424"/>
      <c r="EH216" s="424"/>
      <c r="EI216" s="366">
        <f ca="1">IF(OR(ISERR(EE216),ISNA(EE216)),0,EE216)</f>
        <v>0</v>
      </c>
      <c r="EJ216" s="366">
        <f ca="1">IF(EI216=0,0,RANK(EI216,EI212:EI216,1))</f>
        <v>0</v>
      </c>
      <c r="EK216" s="366">
        <f ca="1">EJ216*40000*IF(COUNTIF($FC$42:$FC$65,DV216)&gt;0,0,1)</f>
        <v>0</v>
      </c>
      <c r="EL216" s="424"/>
      <c r="EM216" s="424"/>
      <c r="EN216" s="424"/>
      <c r="EO216" s="424"/>
      <c r="EP216" s="424"/>
      <c r="EQ216" s="424"/>
      <c r="ER216" s="424"/>
      <c r="ES216" s="424"/>
      <c r="ET216" s="424"/>
      <c r="EU216" s="424"/>
      <c r="EV216" s="424"/>
      <c r="EW216" s="424"/>
      <c r="EX216" s="424"/>
      <c r="EY216" s="424"/>
      <c r="EZ216" s="424"/>
      <c r="FA216" s="424"/>
      <c r="FB216" s="424"/>
      <c r="FC216" s="424"/>
      <c r="FD216" s="425"/>
      <c r="FE216" s="333"/>
      <c r="FO216" s="300"/>
      <c r="FP216" s="395" t="str">
        <f t="shared" ca="1" si="600"/>
        <v/>
      </c>
      <c r="FQ216" s="360" t="str">
        <f t="shared" ca="1" si="601"/>
        <v/>
      </c>
      <c r="FR216" s="360" t="str">
        <f t="shared" ca="1" si="592"/>
        <v/>
      </c>
      <c r="FS216" s="360" t="str">
        <f t="shared" ca="1" si="593"/>
        <v/>
      </c>
      <c r="FT216" s="360" t="str">
        <f t="shared" ca="1" si="594"/>
        <v/>
      </c>
      <c r="FU216" s="360" t="str">
        <f t="shared" ca="1" si="595"/>
        <v/>
      </c>
      <c r="FV216" s="360" t="str">
        <f t="shared" ca="1" si="596"/>
        <v/>
      </c>
      <c r="FW216" s="360" t="str">
        <f t="shared" ca="1" si="597"/>
        <v/>
      </c>
      <c r="FX216" s="360" t="str">
        <f t="shared" ca="1" si="598"/>
        <v/>
      </c>
      <c r="FY216" s="360" t="str">
        <f t="shared" ca="1" si="599"/>
        <v/>
      </c>
      <c r="FZ216" s="379" t="str">
        <f t="shared" ca="1" si="602"/>
        <v/>
      </c>
      <c r="GA216" s="302"/>
      <c r="GB216" s="364"/>
      <c r="GC216" s="302"/>
    </row>
    <row r="217" spans="86:185" x14ac:dyDescent="0.25">
      <c r="CH217" s="445"/>
      <c r="CI217" s="300"/>
      <c r="CJ217" s="300"/>
      <c r="CK217" s="300"/>
      <c r="CL217" s="449"/>
      <c r="CM217" s="445"/>
      <c r="DG217" s="445"/>
      <c r="DH217" s="300"/>
      <c r="DI217" s="301"/>
      <c r="DJ217" s="324" t="s">
        <v>157</v>
      </c>
      <c r="DK217" s="324" t="s">
        <v>158</v>
      </c>
      <c r="DL217" s="325" t="s">
        <v>159</v>
      </c>
      <c r="DM217" s="325"/>
      <c r="DN217" s="326" t="s">
        <v>160</v>
      </c>
      <c r="DO217" s="325" t="s">
        <v>135</v>
      </c>
      <c r="DP217" s="302"/>
      <c r="DQ217" s="302"/>
      <c r="DR217" s="364"/>
      <c r="DS217" s="302"/>
      <c r="DU217" s="424"/>
      <c r="DV217" s="424"/>
      <c r="DW217" s="424"/>
      <c r="DX217" s="424"/>
      <c r="DY217" s="424"/>
      <c r="DZ217" s="424"/>
      <c r="EA217" s="424"/>
      <c r="EB217" s="424"/>
      <c r="EC217" s="424"/>
      <c r="ED217" s="424"/>
      <c r="EE217" s="424"/>
      <c r="EF217" s="424"/>
      <c r="EG217" s="424"/>
      <c r="EH217" s="424"/>
      <c r="EI217" s="424"/>
      <c r="EJ217" s="424"/>
      <c r="EK217" s="424"/>
      <c r="EL217" s="424"/>
      <c r="EM217" s="424"/>
      <c r="EN217" s="424"/>
      <c r="EO217" s="424"/>
      <c r="EP217" s="424"/>
      <c r="EQ217" s="424"/>
      <c r="ER217" s="424"/>
      <c r="ES217" s="424"/>
      <c r="ET217" s="424"/>
      <c r="EU217" s="424"/>
      <c r="EV217" s="424"/>
      <c r="EW217" s="424"/>
      <c r="EX217" s="424"/>
      <c r="EY217" s="424"/>
      <c r="EZ217" s="424"/>
      <c r="FA217" s="424"/>
      <c r="FB217" s="424"/>
      <c r="FC217" s="424"/>
      <c r="FD217" s="425"/>
      <c r="FE217" s="333"/>
      <c r="FO217" s="300"/>
      <c r="FP217" s="395" t="str">
        <f t="shared" ca="1" si="600"/>
        <v/>
      </c>
      <c r="FQ217" s="360" t="str">
        <f t="shared" ca="1" si="601"/>
        <v/>
      </c>
      <c r="FR217" s="360" t="str">
        <f t="shared" ca="1" si="592"/>
        <v/>
      </c>
      <c r="FS217" s="360" t="str">
        <f t="shared" ca="1" si="593"/>
        <v/>
      </c>
      <c r="FT217" s="360" t="str">
        <f t="shared" ca="1" si="594"/>
        <v/>
      </c>
      <c r="FU217" s="360" t="str">
        <f t="shared" ca="1" si="595"/>
        <v/>
      </c>
      <c r="FV217" s="360" t="str">
        <f t="shared" ca="1" si="596"/>
        <v/>
      </c>
      <c r="FW217" s="360" t="str">
        <f t="shared" ca="1" si="597"/>
        <v/>
      </c>
      <c r="FX217" s="360" t="str">
        <f t="shared" ca="1" si="598"/>
        <v/>
      </c>
      <c r="FY217" s="360" t="str">
        <f t="shared" ca="1" si="599"/>
        <v/>
      </c>
      <c r="FZ217" s="379" t="str">
        <f t="shared" ca="1" si="602"/>
        <v/>
      </c>
      <c r="GA217" s="302"/>
      <c r="GB217" s="364"/>
      <c r="GC217" s="302"/>
    </row>
    <row r="218" spans="86:185" x14ac:dyDescent="0.25">
      <c r="CH218" s="445"/>
      <c r="CI218" s="300"/>
      <c r="CJ218" s="300"/>
      <c r="CK218" s="300"/>
      <c r="CL218" s="449"/>
      <c r="CM218" s="445"/>
      <c r="DG218" s="445"/>
      <c r="DH218" s="300"/>
      <c r="DI218" s="395" t="str">
        <f ca="1">DI212</f>
        <v>K&amp;H</v>
      </c>
      <c r="DJ218" s="360" t="str">
        <f ca="1">IF(OR(DI218="",DP218="",DI218=DP218),"",CONCATENATE(DI218,DP218))</f>
        <v>K&amp;HBBK</v>
      </c>
      <c r="DK218" s="360" t="str">
        <f ca="1">IF($DJ218="","",CONCATENATE(VLOOKUP($DJ218,games.a,9,FALSE),VLOOKUP($DJ218,games.a,12,FALSE)))</f>
        <v>BBK</v>
      </c>
      <c r="DL218" s="354" t="str">
        <f ca="1">IF($DJ218="","",VLOOKUP($DJ218,games.a,10,FALSE))</f>
        <v/>
      </c>
      <c r="DM218" s="354" t="str">
        <f ca="1">IF($DJ218="","",VLOOKUP($DJ218,games.a,13,FALSE))</f>
        <v/>
      </c>
      <c r="DN218" s="361">
        <f ca="1">IF($DJ218="","",VLOOKUP($DJ218,games.a,6,FALSE))</f>
        <v>2</v>
      </c>
      <c r="DO218" s="362">
        <f ca="1">IF($DJ218="","",VLOOKUP($DJ218,games.a,7,FALSE))</f>
        <v>4</v>
      </c>
      <c r="DP218" s="363" t="str">
        <f ca="1">DI213</f>
        <v>BBK</v>
      </c>
      <c r="DQ218" s="302"/>
      <c r="DR218" s="364"/>
      <c r="DS218" s="302"/>
      <c r="DU218" s="424"/>
      <c r="DV218" s="424"/>
      <c r="DW218" s="424"/>
      <c r="DX218" s="424"/>
      <c r="DY218" s="424"/>
      <c r="DZ218" s="424"/>
      <c r="EA218" s="424"/>
      <c r="EB218" s="424"/>
      <c r="EC218" s="424"/>
      <c r="ED218" s="424"/>
      <c r="EE218" s="424"/>
      <c r="EF218" s="424"/>
      <c r="EG218" s="424"/>
      <c r="EH218" s="424"/>
      <c r="EI218" s="424"/>
      <c r="EJ218" s="424"/>
      <c r="EK218" s="424"/>
      <c r="EL218" s="424"/>
      <c r="EM218" s="424"/>
      <c r="EN218" s="424"/>
      <c r="EO218" s="424"/>
      <c r="EP218" s="424"/>
      <c r="EQ218" s="424"/>
      <c r="ER218" s="424"/>
      <c r="ES218" s="424"/>
      <c r="ET218" s="424"/>
      <c r="EU218" s="424"/>
      <c r="EV218" s="424"/>
      <c r="EW218" s="424"/>
      <c r="EX218" s="424"/>
      <c r="EY218" s="424"/>
      <c r="EZ218" s="424"/>
      <c r="FA218" s="424"/>
      <c r="FB218" s="424"/>
      <c r="FC218" s="424"/>
      <c r="FD218" s="425"/>
      <c r="FE218" s="333"/>
      <c r="FO218" s="300"/>
      <c r="FP218" s="395" t="str">
        <f t="shared" ca="1" si="600"/>
        <v/>
      </c>
      <c r="FQ218" s="360" t="str">
        <f t="shared" ca="1" si="601"/>
        <v/>
      </c>
      <c r="FR218" s="360" t="str">
        <f t="shared" ca="1" si="592"/>
        <v/>
      </c>
      <c r="FS218" s="360" t="str">
        <f t="shared" ca="1" si="593"/>
        <v/>
      </c>
      <c r="FT218" s="360" t="str">
        <f t="shared" ca="1" si="594"/>
        <v/>
      </c>
      <c r="FU218" s="360" t="str">
        <f t="shared" ca="1" si="595"/>
        <v/>
      </c>
      <c r="FV218" s="360" t="str">
        <f t="shared" ca="1" si="596"/>
        <v/>
      </c>
      <c r="FW218" s="360" t="str">
        <f t="shared" ca="1" si="597"/>
        <v/>
      </c>
      <c r="FX218" s="360" t="str">
        <f t="shared" ca="1" si="598"/>
        <v/>
      </c>
      <c r="FY218" s="360" t="str">
        <f t="shared" ca="1" si="599"/>
        <v/>
      </c>
      <c r="FZ218" s="379" t="str">
        <f t="shared" ca="1" si="602"/>
        <v/>
      </c>
      <c r="GA218" s="302"/>
      <c r="GB218" s="364"/>
      <c r="GC218" s="302"/>
    </row>
    <row r="219" spans="86:185" x14ac:dyDescent="0.25">
      <c r="CH219" s="445"/>
      <c r="CI219" s="300"/>
      <c r="CJ219" s="300"/>
      <c r="CK219" s="300"/>
      <c r="CL219" s="449"/>
      <c r="CM219" s="445"/>
      <c r="DG219" s="445"/>
      <c r="DH219" s="300"/>
      <c r="DI219" s="395" t="str">
        <f ca="1">DI213</f>
        <v>BBK</v>
      </c>
      <c r="DJ219" s="360" t="str">
        <f ca="1">IF(OR(DI219="",DP219="",DI219=DP219),"",CONCATENATE(DI219,DP219))</f>
        <v/>
      </c>
      <c r="DK219" s="360" t="str">
        <f ca="1">IF($DJ219="","",CONCATENATE(VLOOKUP($DJ219,games.a,9,FALSE),VLOOKUP($DJ219,games.a,12,FALSE)))</f>
        <v/>
      </c>
      <c r="DL219" s="354" t="str">
        <f ca="1">IF($DJ219="","",VLOOKUP($DJ219,games.a,10,FALSE))</f>
        <v/>
      </c>
      <c r="DM219" s="354" t="str">
        <f ca="1">IF($DJ219="","",VLOOKUP($DJ219,games.a,13,FALSE))</f>
        <v/>
      </c>
      <c r="DN219" s="361" t="str">
        <f ca="1">IF($DJ219="","",VLOOKUP($DJ219,games.a,6,FALSE))</f>
        <v/>
      </c>
      <c r="DO219" s="362" t="str">
        <f ca="1">IF($DJ219="","",VLOOKUP($DJ219,games.a,7,FALSE))</f>
        <v/>
      </c>
      <c r="DP219" s="379" t="str">
        <f ca="1">DP218</f>
        <v>BBK</v>
      </c>
      <c r="DQ219" s="302"/>
      <c r="DR219" s="364"/>
      <c r="DS219" s="302"/>
      <c r="DU219" s="424"/>
      <c r="DV219" s="424"/>
      <c r="DW219" s="424"/>
      <c r="DX219" s="424"/>
      <c r="DY219" s="424"/>
      <c r="DZ219" s="424"/>
      <c r="EA219" s="424"/>
      <c r="EB219" s="424"/>
      <c r="EC219" s="424"/>
      <c r="ED219" s="424"/>
      <c r="EE219" s="424"/>
      <c r="EF219" s="424"/>
      <c r="EG219" s="424"/>
      <c r="EH219" s="424"/>
      <c r="EI219" s="424"/>
      <c r="EJ219" s="424"/>
      <c r="EK219" s="424"/>
      <c r="EL219" s="424"/>
      <c r="EM219" s="424"/>
      <c r="EN219" s="424"/>
      <c r="EO219" s="424"/>
      <c r="EP219" s="424"/>
      <c r="EQ219" s="424"/>
      <c r="ER219" s="424"/>
      <c r="ES219" s="424"/>
      <c r="ET219" s="424"/>
      <c r="EU219" s="424"/>
      <c r="EV219" s="424"/>
      <c r="EW219" s="424"/>
      <c r="EX219" s="424"/>
      <c r="EY219" s="424"/>
      <c r="EZ219" s="424"/>
      <c r="FA219" s="424"/>
      <c r="FB219" s="424"/>
      <c r="FC219" s="424"/>
      <c r="FD219" s="425"/>
      <c r="FE219" s="333"/>
      <c r="FO219" s="300"/>
      <c r="FP219" s="301"/>
      <c r="FQ219" s="324" t="s">
        <v>157</v>
      </c>
      <c r="FR219" s="324" t="s">
        <v>237</v>
      </c>
      <c r="FS219" s="324" t="s">
        <v>239</v>
      </c>
      <c r="FT219" s="324" t="s">
        <v>240</v>
      </c>
      <c r="FU219" s="324" t="s">
        <v>238</v>
      </c>
      <c r="FV219" s="324" t="s">
        <v>241</v>
      </c>
      <c r="FW219" s="324" t="s">
        <v>242</v>
      </c>
      <c r="FX219" s="326" t="s">
        <v>160</v>
      </c>
      <c r="FY219" s="325" t="s">
        <v>135</v>
      </c>
      <c r="FZ219" s="302"/>
      <c r="GA219" s="302"/>
      <c r="GB219" s="364"/>
      <c r="GC219" s="302"/>
    </row>
    <row r="220" spans="86:185" x14ac:dyDescent="0.25">
      <c r="CH220" s="445"/>
      <c r="CI220" s="300"/>
      <c r="CJ220" s="300"/>
      <c r="CK220" s="300"/>
      <c r="CL220" s="449"/>
      <c r="CM220" s="445"/>
      <c r="DG220" s="445"/>
      <c r="DH220" s="300"/>
      <c r="DI220" s="395" t="str">
        <f ca="1">DI214</f>
        <v/>
      </c>
      <c r="DJ220" s="360" t="str">
        <f ca="1">IF(OR(DI220="",DP220="",DI220=DP220),"",CONCATENATE(DI220,DP220))</f>
        <v/>
      </c>
      <c r="DK220" s="360" t="str">
        <f ca="1">IF($DJ220="","",CONCATENATE(VLOOKUP($DJ220,games.a,9,FALSE),VLOOKUP($DJ220,games.a,12,FALSE)))</f>
        <v/>
      </c>
      <c r="DL220" s="354" t="str">
        <f ca="1">IF($DJ220="","",VLOOKUP($DJ220,games.a,10,FALSE))</f>
        <v/>
      </c>
      <c r="DM220" s="354" t="str">
        <f ca="1">IF($DJ220="","",VLOOKUP($DJ220,games.a,13,FALSE))</f>
        <v/>
      </c>
      <c r="DN220" s="361" t="str">
        <f ca="1">IF($DJ220="","",VLOOKUP($DJ220,games.a,6,FALSE))</f>
        <v/>
      </c>
      <c r="DO220" s="362" t="str">
        <f ca="1">IF($DJ220="","",VLOOKUP($DJ220,games.a,7,FALSE))</f>
        <v/>
      </c>
      <c r="DP220" s="379" t="str">
        <f t="shared" ca="1" si="603"/>
        <v>BBK</v>
      </c>
      <c r="DQ220" s="302"/>
      <c r="DR220" s="364"/>
      <c r="DS220" s="302"/>
      <c r="DU220" s="424"/>
      <c r="DV220" s="424"/>
      <c r="DW220" s="424"/>
      <c r="DX220" s="424"/>
      <c r="DY220" s="424"/>
      <c r="DZ220" s="424"/>
      <c r="EA220" s="424"/>
      <c r="EB220" s="424"/>
      <c r="EC220" s="424"/>
      <c r="ED220" s="424"/>
      <c r="EE220" s="424"/>
      <c r="EF220" s="424"/>
      <c r="EG220" s="424"/>
      <c r="EH220" s="424"/>
      <c r="EI220" s="424"/>
      <c r="EJ220" s="424"/>
      <c r="EK220" s="424"/>
      <c r="EL220" s="424"/>
      <c r="EM220" s="424"/>
      <c r="EN220" s="424"/>
      <c r="EO220" s="424"/>
      <c r="EP220" s="424"/>
      <c r="EQ220" s="424"/>
      <c r="ER220" s="424"/>
      <c r="ES220" s="424"/>
      <c r="ET220" s="424"/>
      <c r="EU220" s="424"/>
      <c r="EV220" s="424"/>
      <c r="EW220" s="424"/>
      <c r="EX220" s="424"/>
      <c r="EY220" s="424"/>
      <c r="EZ220" s="424"/>
      <c r="FA220" s="424"/>
      <c r="FB220" s="424"/>
      <c r="FC220" s="424"/>
      <c r="FD220" s="425"/>
      <c r="FE220" s="333"/>
      <c r="FO220" s="300"/>
      <c r="FP220" s="395" t="str">
        <f ca="1">FP209</f>
        <v/>
      </c>
      <c r="FQ220" s="360" t="str">
        <f ca="1">IF(OR(FP220="",FZ220="",FP220=FZ220),"",CONCATENATE(FP220,FZ220))</f>
        <v/>
      </c>
      <c r="FR220" s="360" t="str">
        <f t="shared" ref="FR220:FR229" ca="1" si="604">IF($FQ220="","",VLOOKUP($FQ220,games.a,9,FALSE))</f>
        <v/>
      </c>
      <c r="FS220" s="360" t="str">
        <f t="shared" ref="FS220:FS229" ca="1" si="605">IF($FQ220="","",VLOOKUP($FQ220,games.a,10,FALSE))</f>
        <v/>
      </c>
      <c r="FT220" s="360" t="str">
        <f t="shared" ref="FT220:FT229" ca="1" si="606">IF($FQ220="","",VLOOKUP($FQ220,games.a,11,FALSE))</f>
        <v/>
      </c>
      <c r="FU220" s="360" t="str">
        <f t="shared" ref="FU220:FU229" ca="1" si="607">IF($FQ220="","",VLOOKUP($FQ220,games.a,12,FALSE))</f>
        <v/>
      </c>
      <c r="FV220" s="360" t="str">
        <f t="shared" ref="FV220:FV229" ca="1" si="608">IF($FQ220="","",VLOOKUP($FQ220,games.a,13,FALSE))</f>
        <v/>
      </c>
      <c r="FW220" s="360" t="str">
        <f t="shared" ref="FW220:FW229" ca="1" si="609">IF($FQ220="","",VLOOKUP($FQ220,games.a,14,FALSE))</f>
        <v/>
      </c>
      <c r="FX220" s="360" t="str">
        <f t="shared" ref="FX220:FX229" ca="1" si="610">IF($FQ220="","",VLOOKUP($FQ220,games.a,6,FALSE))</f>
        <v/>
      </c>
      <c r="FY220" s="360" t="str">
        <f t="shared" ref="FY220:FY229" ca="1" si="611">IF($FQ220="","",VLOOKUP($FQ220,games.a,7,FALSE))</f>
        <v/>
      </c>
      <c r="FZ220" s="363" t="str">
        <f ca="1">FP160</f>
        <v/>
      </c>
      <c r="GA220" s="302"/>
      <c r="GB220" s="364"/>
      <c r="GC220" s="302"/>
    </row>
    <row r="221" spans="86:185" x14ac:dyDescent="0.25">
      <c r="CH221" s="445"/>
      <c r="CI221" s="300"/>
      <c r="CJ221" s="300"/>
      <c r="CK221" s="300"/>
      <c r="CL221" s="449"/>
      <c r="CM221" s="445"/>
      <c r="DG221" s="445"/>
      <c r="DH221" s="300"/>
      <c r="DI221" s="395" t="str">
        <f ca="1">DI215</f>
        <v/>
      </c>
      <c r="DJ221" s="360" t="str">
        <f ca="1">IF(OR(DI221="",DP221="",DI221=DP221),"",CONCATENATE(DI221,DP221))</f>
        <v/>
      </c>
      <c r="DK221" s="360" t="str">
        <f ca="1">IF($DJ221="","",CONCATENATE(VLOOKUP($DJ221,games.a,9,FALSE),VLOOKUP($DJ221,games.a,12,FALSE)))</f>
        <v/>
      </c>
      <c r="DL221" s="354" t="str">
        <f ca="1">IF($DJ221="","",VLOOKUP($DJ221,games.a,10,FALSE))</f>
        <v/>
      </c>
      <c r="DM221" s="354" t="str">
        <f ca="1">IF($DJ221="","",VLOOKUP($DJ221,games.a,13,FALSE))</f>
        <v/>
      </c>
      <c r="DN221" s="361" t="str">
        <f ca="1">IF($DJ221="","",VLOOKUP($DJ221,games.a,6,FALSE))</f>
        <v/>
      </c>
      <c r="DO221" s="362" t="str">
        <f ca="1">IF($DJ221="","",VLOOKUP($DJ221,games.a,7,FALSE))</f>
        <v/>
      </c>
      <c r="DP221" s="379" t="str">
        <f t="shared" ca="1" si="603"/>
        <v>BBK</v>
      </c>
      <c r="DQ221" s="302"/>
      <c r="DR221" s="364"/>
      <c r="DS221" s="302"/>
      <c r="DU221" s="424"/>
      <c r="DV221" s="424"/>
      <c r="DW221" s="424"/>
      <c r="DX221" s="424"/>
      <c r="DY221" s="424"/>
      <c r="DZ221" s="424"/>
      <c r="EA221" s="424"/>
      <c r="EB221" s="424"/>
      <c r="EC221" s="424"/>
      <c r="ED221" s="424"/>
      <c r="EE221" s="424"/>
      <c r="EF221" s="424"/>
      <c r="EG221" s="424"/>
      <c r="EH221" s="424"/>
      <c r="EI221" s="424"/>
      <c r="EJ221" s="424"/>
      <c r="EK221" s="424"/>
      <c r="EL221" s="424"/>
      <c r="EM221" s="424"/>
      <c r="EN221" s="424"/>
      <c r="EO221" s="424"/>
      <c r="EP221" s="424"/>
      <c r="EQ221" s="424"/>
      <c r="ER221" s="424"/>
      <c r="ES221" s="424"/>
      <c r="ET221" s="424"/>
      <c r="EU221" s="424"/>
      <c r="EV221" s="424"/>
      <c r="EW221" s="424"/>
      <c r="EX221" s="424"/>
      <c r="EY221" s="424"/>
      <c r="EZ221" s="424"/>
      <c r="FA221" s="424"/>
      <c r="FB221" s="424"/>
      <c r="FC221" s="424"/>
      <c r="FD221" s="425"/>
      <c r="FE221" s="333"/>
      <c r="FO221" s="300"/>
      <c r="FP221" s="395" t="str">
        <f t="shared" ref="FP221:FP229" ca="1" si="612">FP210</f>
        <v/>
      </c>
      <c r="FQ221" s="360" t="str">
        <f t="shared" ref="FQ221:FQ229" ca="1" si="613">IF(OR(FP221="",FZ221="",FP221=FZ221),"",CONCATENATE(FP221,FZ221))</f>
        <v/>
      </c>
      <c r="FR221" s="360" t="str">
        <f t="shared" ca="1" si="604"/>
        <v/>
      </c>
      <c r="FS221" s="360" t="str">
        <f t="shared" ca="1" si="605"/>
        <v/>
      </c>
      <c r="FT221" s="360" t="str">
        <f t="shared" ca="1" si="606"/>
        <v/>
      </c>
      <c r="FU221" s="360" t="str">
        <f t="shared" ca="1" si="607"/>
        <v/>
      </c>
      <c r="FV221" s="360" t="str">
        <f t="shared" ca="1" si="608"/>
        <v/>
      </c>
      <c r="FW221" s="360" t="str">
        <f t="shared" ca="1" si="609"/>
        <v/>
      </c>
      <c r="FX221" s="360" t="str">
        <f t="shared" ca="1" si="610"/>
        <v/>
      </c>
      <c r="FY221" s="360" t="str">
        <f t="shared" ca="1" si="611"/>
        <v/>
      </c>
      <c r="FZ221" s="379" t="str">
        <f ca="1">FZ220</f>
        <v/>
      </c>
      <c r="GA221" s="302"/>
      <c r="GB221" s="364"/>
      <c r="GC221" s="302"/>
    </row>
    <row r="222" spans="86:185" x14ac:dyDescent="0.25">
      <c r="CH222" s="445"/>
      <c r="CI222" s="300"/>
      <c r="CJ222" s="300"/>
      <c r="CK222" s="300"/>
      <c r="CL222" s="449"/>
      <c r="CM222" s="445"/>
      <c r="DG222" s="445"/>
      <c r="DH222" s="300"/>
      <c r="DI222" s="395" t="str">
        <f ca="1">DI216</f>
        <v/>
      </c>
      <c r="DJ222" s="360" t="str">
        <f ca="1">IF(OR(DI222="",DP222="",DI222=DP222),"",CONCATENATE(DI222,DP222))</f>
        <v/>
      </c>
      <c r="DK222" s="360" t="str">
        <f ca="1">IF($DJ222="","",CONCATENATE(VLOOKUP($DJ222,games.a,9,FALSE),VLOOKUP($DJ222,games.a,12,FALSE)))</f>
        <v/>
      </c>
      <c r="DL222" s="354" t="str">
        <f ca="1">IF($DJ222="","",VLOOKUP($DJ222,games.a,10,FALSE))</f>
        <v/>
      </c>
      <c r="DM222" s="354" t="str">
        <f ca="1">IF($DJ222="","",VLOOKUP($DJ222,games.a,13,FALSE))</f>
        <v/>
      </c>
      <c r="DN222" s="361" t="str">
        <f ca="1">IF($DJ222="","",VLOOKUP($DJ222,games.a,6,FALSE))</f>
        <v/>
      </c>
      <c r="DO222" s="362" t="str">
        <f ca="1">IF($DJ222="","",VLOOKUP($DJ222,games.a,7,FALSE))</f>
        <v/>
      </c>
      <c r="DP222" s="379" t="str">
        <f t="shared" ca="1" si="603"/>
        <v>BBK</v>
      </c>
      <c r="DQ222" s="302"/>
      <c r="DR222" s="364"/>
      <c r="DS222" s="302"/>
      <c r="DU222" s="424"/>
      <c r="DV222" s="424"/>
      <c r="DW222" s="424"/>
      <c r="DX222" s="424"/>
      <c r="DY222" s="424"/>
      <c r="DZ222" s="424"/>
      <c r="EA222" s="424"/>
      <c r="EB222" s="424"/>
      <c r="EC222" s="424"/>
      <c r="ED222" s="424"/>
      <c r="EE222" s="424"/>
      <c r="EF222" s="424"/>
      <c r="EG222" s="424"/>
      <c r="EH222" s="424"/>
      <c r="EI222" s="424"/>
      <c r="EJ222" s="424"/>
      <c r="EK222" s="424"/>
      <c r="EL222" s="424"/>
      <c r="EM222" s="424"/>
      <c r="EN222" s="424"/>
      <c r="EO222" s="424"/>
      <c r="EP222" s="424"/>
      <c r="EQ222" s="424"/>
      <c r="ER222" s="424"/>
      <c r="ES222" s="424"/>
      <c r="ET222" s="424"/>
      <c r="EU222" s="424"/>
      <c r="EV222" s="424"/>
      <c r="EW222" s="424"/>
      <c r="EX222" s="424"/>
      <c r="EY222" s="424"/>
      <c r="EZ222" s="424"/>
      <c r="FA222" s="424"/>
      <c r="FB222" s="424"/>
      <c r="FC222" s="424"/>
      <c r="FD222" s="425"/>
      <c r="FE222" s="333"/>
      <c r="FO222" s="300"/>
      <c r="FP222" s="395" t="str">
        <f t="shared" ca="1" si="612"/>
        <v/>
      </c>
      <c r="FQ222" s="360" t="str">
        <f t="shared" ca="1" si="613"/>
        <v/>
      </c>
      <c r="FR222" s="360" t="str">
        <f t="shared" ca="1" si="604"/>
        <v/>
      </c>
      <c r="FS222" s="360" t="str">
        <f t="shared" ca="1" si="605"/>
        <v/>
      </c>
      <c r="FT222" s="360" t="str">
        <f t="shared" ca="1" si="606"/>
        <v/>
      </c>
      <c r="FU222" s="360" t="str">
        <f t="shared" ca="1" si="607"/>
        <v/>
      </c>
      <c r="FV222" s="360" t="str">
        <f t="shared" ca="1" si="608"/>
        <v/>
      </c>
      <c r="FW222" s="360" t="str">
        <f t="shared" ca="1" si="609"/>
        <v/>
      </c>
      <c r="FX222" s="360" t="str">
        <f t="shared" ca="1" si="610"/>
        <v/>
      </c>
      <c r="FY222" s="360" t="str">
        <f t="shared" ca="1" si="611"/>
        <v/>
      </c>
      <c r="FZ222" s="379" t="str">
        <f t="shared" ref="FZ222:FZ229" ca="1" si="614">FZ221</f>
        <v/>
      </c>
      <c r="GA222" s="302"/>
      <c r="GB222" s="364"/>
      <c r="GC222" s="302"/>
    </row>
    <row r="223" spans="86:185" x14ac:dyDescent="0.25">
      <c r="CH223" s="445"/>
      <c r="CI223" s="300"/>
      <c r="CJ223" s="300"/>
      <c r="CK223" s="300"/>
      <c r="CL223" s="449"/>
      <c r="CM223" s="445"/>
      <c r="DG223" s="445"/>
      <c r="DH223" s="300"/>
      <c r="DI223" s="301"/>
      <c r="DJ223" s="324" t="s">
        <v>157</v>
      </c>
      <c r="DK223" s="324" t="s">
        <v>158</v>
      </c>
      <c r="DL223" s="325" t="s">
        <v>159</v>
      </c>
      <c r="DM223" s="325"/>
      <c r="DN223" s="326" t="s">
        <v>160</v>
      </c>
      <c r="DO223" s="325" t="s">
        <v>135</v>
      </c>
      <c r="DP223" s="302"/>
      <c r="DQ223" s="302"/>
      <c r="DR223" s="364"/>
      <c r="DS223" s="302"/>
      <c r="DU223" s="424"/>
      <c r="DV223" s="424"/>
      <c r="DW223" s="424"/>
      <c r="DX223" s="424"/>
      <c r="DY223" s="424"/>
      <c r="DZ223" s="424"/>
      <c r="EA223" s="424"/>
      <c r="EB223" s="424"/>
      <c r="EC223" s="424"/>
      <c r="ED223" s="424"/>
      <c r="EE223" s="424"/>
      <c r="EF223" s="424"/>
      <c r="EG223" s="424"/>
      <c r="EH223" s="424"/>
      <c r="EI223" s="424"/>
      <c r="EJ223" s="424"/>
      <c r="EK223" s="424"/>
      <c r="EL223" s="424"/>
      <c r="EM223" s="424"/>
      <c r="EN223" s="424"/>
      <c r="EO223" s="424"/>
      <c r="EP223" s="424"/>
      <c r="EQ223" s="424"/>
      <c r="ER223" s="424"/>
      <c r="ES223" s="424"/>
      <c r="ET223" s="424"/>
      <c r="EU223" s="424"/>
      <c r="EV223" s="424"/>
      <c r="EW223" s="424"/>
      <c r="EX223" s="424"/>
      <c r="EY223" s="424"/>
      <c r="EZ223" s="424"/>
      <c r="FA223" s="424"/>
      <c r="FB223" s="424"/>
      <c r="FC223" s="424"/>
      <c r="FD223" s="425"/>
      <c r="FE223" s="333"/>
      <c r="FO223" s="300"/>
      <c r="FP223" s="395" t="str">
        <f t="shared" ca="1" si="612"/>
        <v/>
      </c>
      <c r="FQ223" s="360" t="str">
        <f t="shared" ca="1" si="613"/>
        <v/>
      </c>
      <c r="FR223" s="360" t="str">
        <f t="shared" ca="1" si="604"/>
        <v/>
      </c>
      <c r="FS223" s="360" t="str">
        <f t="shared" ca="1" si="605"/>
        <v/>
      </c>
      <c r="FT223" s="360" t="str">
        <f t="shared" ca="1" si="606"/>
        <v/>
      </c>
      <c r="FU223" s="360" t="str">
        <f t="shared" ca="1" si="607"/>
        <v/>
      </c>
      <c r="FV223" s="360" t="str">
        <f t="shared" ca="1" si="608"/>
        <v/>
      </c>
      <c r="FW223" s="360" t="str">
        <f t="shared" ca="1" si="609"/>
        <v/>
      </c>
      <c r="FX223" s="360" t="str">
        <f t="shared" ca="1" si="610"/>
        <v/>
      </c>
      <c r="FY223" s="360" t="str">
        <f t="shared" ca="1" si="611"/>
        <v/>
      </c>
      <c r="FZ223" s="379" t="str">
        <f t="shared" ca="1" si="614"/>
        <v/>
      </c>
      <c r="GA223" s="302"/>
      <c r="GB223" s="364"/>
      <c r="GC223" s="302"/>
    </row>
    <row r="224" spans="86:185" x14ac:dyDescent="0.25">
      <c r="CH224" s="445"/>
      <c r="CI224" s="300"/>
      <c r="CJ224" s="300"/>
      <c r="CK224" s="300"/>
      <c r="CL224" s="449"/>
      <c r="CM224" s="445"/>
      <c r="DG224" s="445"/>
      <c r="DH224" s="300"/>
      <c r="DI224" s="395" t="str">
        <f ca="1">DI218</f>
        <v>K&amp;H</v>
      </c>
      <c r="DJ224" s="360" t="str">
        <f ca="1">IF(OR(DI224="",DP224="",DI224=DP224),"",CONCATENATE(DI224,DP224))</f>
        <v/>
      </c>
      <c r="DK224" s="360" t="str">
        <f ca="1">IF($DJ224="","",CONCATENATE(VLOOKUP($DJ224,games.a,9,FALSE),VLOOKUP($DJ224,games.a,12,FALSE)))</f>
        <v/>
      </c>
      <c r="DL224" s="354" t="str">
        <f ca="1">IF($DJ224="","",VLOOKUP($DJ224,games.a,10,FALSE))</f>
        <v/>
      </c>
      <c r="DM224" s="354" t="str">
        <f ca="1">IF($DJ224="","",VLOOKUP($DJ224,games.a,13,FALSE))</f>
        <v/>
      </c>
      <c r="DN224" s="361" t="str">
        <f ca="1">IF($DJ224="","",VLOOKUP($DJ224,games.a,6,FALSE))</f>
        <v/>
      </c>
      <c r="DO224" s="362" t="str">
        <f ca="1">IF($DJ224="","",VLOOKUP($DJ224,games.a,7,FALSE))</f>
        <v/>
      </c>
      <c r="DP224" s="363" t="str">
        <f ca="1">DI214</f>
        <v/>
      </c>
      <c r="DQ224" s="302"/>
      <c r="DR224" s="364"/>
      <c r="DS224" s="302"/>
      <c r="DU224" s="424"/>
      <c r="DV224" s="424"/>
      <c r="DW224" s="424"/>
      <c r="DX224" s="424"/>
      <c r="DY224" s="424"/>
      <c r="DZ224" s="424"/>
      <c r="EA224" s="424"/>
      <c r="EB224" s="424"/>
      <c r="EC224" s="424"/>
      <c r="ED224" s="424"/>
      <c r="EE224" s="424"/>
      <c r="EF224" s="424"/>
      <c r="EG224" s="424"/>
      <c r="EH224" s="424"/>
      <c r="EI224" s="424"/>
      <c r="EJ224" s="424"/>
      <c r="EK224" s="424"/>
      <c r="EL224" s="424"/>
      <c r="EM224" s="424"/>
      <c r="EN224" s="424"/>
      <c r="EO224" s="424"/>
      <c r="EP224" s="424"/>
      <c r="EQ224" s="424"/>
      <c r="ER224" s="424"/>
      <c r="ES224" s="424"/>
      <c r="ET224" s="424"/>
      <c r="EU224" s="424"/>
      <c r="EV224" s="424"/>
      <c r="EW224" s="424"/>
      <c r="EX224" s="424"/>
      <c r="EY224" s="424"/>
      <c r="EZ224" s="424"/>
      <c r="FA224" s="424"/>
      <c r="FB224" s="424"/>
      <c r="FC224" s="424"/>
      <c r="FD224" s="425"/>
      <c r="FE224" s="333"/>
      <c r="FO224" s="300"/>
      <c r="FP224" s="395" t="str">
        <f t="shared" ca="1" si="612"/>
        <v/>
      </c>
      <c r="FQ224" s="360" t="str">
        <f t="shared" ca="1" si="613"/>
        <v/>
      </c>
      <c r="FR224" s="360" t="str">
        <f t="shared" ca="1" si="604"/>
        <v/>
      </c>
      <c r="FS224" s="360" t="str">
        <f t="shared" ca="1" si="605"/>
        <v/>
      </c>
      <c r="FT224" s="360" t="str">
        <f t="shared" ca="1" si="606"/>
        <v/>
      </c>
      <c r="FU224" s="360" t="str">
        <f t="shared" ca="1" si="607"/>
        <v/>
      </c>
      <c r="FV224" s="360" t="str">
        <f t="shared" ca="1" si="608"/>
        <v/>
      </c>
      <c r="FW224" s="360" t="str">
        <f t="shared" ca="1" si="609"/>
        <v/>
      </c>
      <c r="FX224" s="360" t="str">
        <f t="shared" ca="1" si="610"/>
        <v/>
      </c>
      <c r="FY224" s="360" t="str">
        <f t="shared" ca="1" si="611"/>
        <v/>
      </c>
      <c r="FZ224" s="379" t="str">
        <f t="shared" ca="1" si="614"/>
        <v/>
      </c>
      <c r="GA224" s="302"/>
      <c r="GB224" s="364"/>
      <c r="GC224" s="302"/>
    </row>
    <row r="225" spans="86:185" x14ac:dyDescent="0.25">
      <c r="CH225" s="445"/>
      <c r="CI225" s="300"/>
      <c r="CJ225" s="300"/>
      <c r="CK225" s="300"/>
      <c r="CL225" s="449"/>
      <c r="CM225" s="445"/>
      <c r="DG225" s="445"/>
      <c r="DH225" s="300"/>
      <c r="DI225" s="395" t="str">
        <f ca="1">DI219</f>
        <v>BBK</v>
      </c>
      <c r="DJ225" s="360" t="str">
        <f ca="1">IF(OR(DI225="",DP225="",DI225=DP225),"",CONCATENATE(DI225,DP225))</f>
        <v/>
      </c>
      <c r="DK225" s="360" t="str">
        <f ca="1">IF($DJ225="","",CONCATENATE(VLOOKUP($DJ225,games.a,9,FALSE),VLOOKUP($DJ225,games.a,12,FALSE)))</f>
        <v/>
      </c>
      <c r="DL225" s="354" t="str">
        <f ca="1">IF($DJ225="","",VLOOKUP($DJ225,games.a,10,FALSE))</f>
        <v/>
      </c>
      <c r="DM225" s="354" t="str">
        <f ca="1">IF($DJ225="","",VLOOKUP($DJ225,games.a,13,FALSE))</f>
        <v/>
      </c>
      <c r="DN225" s="361" t="str">
        <f ca="1">IF($DJ225="","",VLOOKUP($DJ225,games.a,6,FALSE))</f>
        <v/>
      </c>
      <c r="DO225" s="362" t="str">
        <f ca="1">IF($DJ225="","",VLOOKUP($DJ225,games.a,7,FALSE))</f>
        <v/>
      </c>
      <c r="DP225" s="379" t="str">
        <f ca="1">DP224</f>
        <v/>
      </c>
      <c r="DQ225" s="302"/>
      <c r="DR225" s="364"/>
      <c r="DS225" s="302"/>
      <c r="DU225" s="424"/>
      <c r="DV225" s="424"/>
      <c r="DW225" s="424"/>
      <c r="DX225" s="424"/>
      <c r="DY225" s="424"/>
      <c r="DZ225" s="424"/>
      <c r="EA225" s="424"/>
      <c r="EB225" s="424"/>
      <c r="EC225" s="424"/>
      <c r="ED225" s="424"/>
      <c r="EE225" s="424"/>
      <c r="EF225" s="424"/>
      <c r="EG225" s="424"/>
      <c r="EH225" s="424"/>
      <c r="EI225" s="424"/>
      <c r="EJ225" s="424"/>
      <c r="EK225" s="424"/>
      <c r="EL225" s="424"/>
      <c r="EM225" s="424"/>
      <c r="EN225" s="424"/>
      <c r="EO225" s="424"/>
      <c r="EP225" s="424"/>
      <c r="EQ225" s="424"/>
      <c r="ER225" s="424"/>
      <c r="ES225" s="424"/>
      <c r="ET225" s="424"/>
      <c r="EU225" s="424"/>
      <c r="EV225" s="424"/>
      <c r="EW225" s="424"/>
      <c r="EX225" s="424"/>
      <c r="EY225" s="424"/>
      <c r="EZ225" s="424"/>
      <c r="FA225" s="424"/>
      <c r="FB225" s="424"/>
      <c r="FC225" s="424"/>
      <c r="FD225" s="425"/>
      <c r="FE225" s="333"/>
      <c r="FO225" s="300"/>
      <c r="FP225" s="395" t="str">
        <f t="shared" ca="1" si="612"/>
        <v/>
      </c>
      <c r="FQ225" s="360" t="str">
        <f t="shared" ca="1" si="613"/>
        <v/>
      </c>
      <c r="FR225" s="360" t="str">
        <f t="shared" ca="1" si="604"/>
        <v/>
      </c>
      <c r="FS225" s="360" t="str">
        <f t="shared" ca="1" si="605"/>
        <v/>
      </c>
      <c r="FT225" s="360" t="str">
        <f t="shared" ca="1" si="606"/>
        <v/>
      </c>
      <c r="FU225" s="360" t="str">
        <f t="shared" ca="1" si="607"/>
        <v/>
      </c>
      <c r="FV225" s="360" t="str">
        <f t="shared" ca="1" si="608"/>
        <v/>
      </c>
      <c r="FW225" s="360" t="str">
        <f t="shared" ca="1" si="609"/>
        <v/>
      </c>
      <c r="FX225" s="360" t="str">
        <f t="shared" ca="1" si="610"/>
        <v/>
      </c>
      <c r="FY225" s="360" t="str">
        <f t="shared" ca="1" si="611"/>
        <v/>
      </c>
      <c r="FZ225" s="379" t="str">
        <f t="shared" ca="1" si="614"/>
        <v/>
      </c>
      <c r="GA225" s="302"/>
      <c r="GB225" s="364"/>
      <c r="GC225" s="302"/>
    </row>
    <row r="226" spans="86:185" x14ac:dyDescent="0.25">
      <c r="CH226" s="445"/>
      <c r="CI226" s="300"/>
      <c r="CJ226" s="300"/>
      <c r="CK226" s="300"/>
      <c r="CL226" s="449"/>
      <c r="CM226" s="445"/>
      <c r="DG226" s="445"/>
      <c r="DH226" s="300"/>
      <c r="DI226" s="395" t="str">
        <f ca="1">DI220</f>
        <v/>
      </c>
      <c r="DJ226" s="360" t="str">
        <f ca="1">IF(OR(DI226="",DP226="",DI226=DP226),"",CONCATENATE(DI226,DP226))</f>
        <v/>
      </c>
      <c r="DK226" s="360" t="str">
        <f ca="1">IF($DJ226="","",CONCATENATE(VLOOKUP($DJ226,games.a,9,FALSE),VLOOKUP($DJ226,games.a,12,FALSE)))</f>
        <v/>
      </c>
      <c r="DL226" s="354" t="str">
        <f ca="1">IF($DJ226="","",VLOOKUP($DJ226,games.a,10,FALSE))</f>
        <v/>
      </c>
      <c r="DM226" s="354" t="str">
        <f ca="1">IF($DJ226="","",VLOOKUP($DJ226,games.a,13,FALSE))</f>
        <v/>
      </c>
      <c r="DN226" s="361" t="str">
        <f ca="1">IF($DJ226="","",VLOOKUP($DJ226,games.a,6,FALSE))</f>
        <v/>
      </c>
      <c r="DO226" s="362" t="str">
        <f ca="1">IF($DJ226="","",VLOOKUP($DJ226,games.a,7,FALSE))</f>
        <v/>
      </c>
      <c r="DP226" s="379" t="str">
        <f ca="1">DP225</f>
        <v/>
      </c>
      <c r="DQ226" s="302"/>
      <c r="DR226" s="364"/>
      <c r="DS226" s="302"/>
      <c r="DU226" s="424"/>
      <c r="DV226" s="424"/>
      <c r="DW226" s="424"/>
      <c r="DX226" s="424"/>
      <c r="DY226" s="424"/>
      <c r="DZ226" s="424"/>
      <c r="EA226" s="424"/>
      <c r="EB226" s="424"/>
      <c r="EC226" s="424"/>
      <c r="ED226" s="424"/>
      <c r="EE226" s="424"/>
      <c r="EF226" s="424"/>
      <c r="EG226" s="424"/>
      <c r="EH226" s="424"/>
      <c r="EI226" s="424"/>
      <c r="EJ226" s="424"/>
      <c r="EK226" s="424"/>
      <c r="EL226" s="424"/>
      <c r="EM226" s="424"/>
      <c r="EN226" s="424"/>
      <c r="EO226" s="424"/>
      <c r="EP226" s="424"/>
      <c r="EQ226" s="424"/>
      <c r="ER226" s="424"/>
      <c r="ES226" s="424"/>
      <c r="ET226" s="424"/>
      <c r="EU226" s="424"/>
      <c r="EV226" s="424"/>
      <c r="EW226" s="424"/>
      <c r="EX226" s="424"/>
      <c r="EY226" s="424"/>
      <c r="EZ226" s="424"/>
      <c r="FA226" s="424"/>
      <c r="FB226" s="424"/>
      <c r="FC226" s="424"/>
      <c r="FD226" s="425"/>
      <c r="FE226" s="333"/>
      <c r="FO226" s="300"/>
      <c r="FP226" s="395" t="str">
        <f t="shared" ca="1" si="612"/>
        <v/>
      </c>
      <c r="FQ226" s="360" t="str">
        <f t="shared" ca="1" si="613"/>
        <v/>
      </c>
      <c r="FR226" s="360" t="str">
        <f t="shared" ca="1" si="604"/>
        <v/>
      </c>
      <c r="FS226" s="360" t="str">
        <f t="shared" ca="1" si="605"/>
        <v/>
      </c>
      <c r="FT226" s="360" t="str">
        <f t="shared" ca="1" si="606"/>
        <v/>
      </c>
      <c r="FU226" s="360" t="str">
        <f t="shared" ca="1" si="607"/>
        <v/>
      </c>
      <c r="FV226" s="360" t="str">
        <f t="shared" ca="1" si="608"/>
        <v/>
      </c>
      <c r="FW226" s="360" t="str">
        <f t="shared" ca="1" si="609"/>
        <v/>
      </c>
      <c r="FX226" s="360" t="str">
        <f t="shared" ca="1" si="610"/>
        <v/>
      </c>
      <c r="FY226" s="360" t="str">
        <f t="shared" ca="1" si="611"/>
        <v/>
      </c>
      <c r="FZ226" s="379" t="str">
        <f t="shared" ca="1" si="614"/>
        <v/>
      </c>
      <c r="GA226" s="302"/>
      <c r="GB226" s="364"/>
      <c r="GC226" s="302"/>
    </row>
    <row r="227" spans="86:185" x14ac:dyDescent="0.25">
      <c r="CH227" s="445"/>
      <c r="CI227" s="300"/>
      <c r="CJ227" s="300"/>
      <c r="CK227" s="300"/>
      <c r="CL227" s="449"/>
      <c r="CM227" s="445"/>
      <c r="DG227" s="445"/>
      <c r="DH227" s="300"/>
      <c r="DI227" s="395" t="str">
        <f ca="1">DI221</f>
        <v/>
      </c>
      <c r="DJ227" s="360" t="str">
        <f ca="1">IF(OR(DI227="",DP227="",DI227=DP227),"",CONCATENATE(DI227,DP227))</f>
        <v/>
      </c>
      <c r="DK227" s="360" t="str">
        <f ca="1">IF($DJ227="","",CONCATENATE(VLOOKUP($DJ227,games.a,9,FALSE),VLOOKUP($DJ227,games.a,12,FALSE)))</f>
        <v/>
      </c>
      <c r="DL227" s="354" t="str">
        <f ca="1">IF($DJ227="","",VLOOKUP($DJ227,games.a,10,FALSE))</f>
        <v/>
      </c>
      <c r="DM227" s="354" t="str">
        <f ca="1">IF($DJ227="","",VLOOKUP($DJ227,games.a,13,FALSE))</f>
        <v/>
      </c>
      <c r="DN227" s="361" t="str">
        <f ca="1">IF($DJ227="","",VLOOKUP($DJ227,games.a,6,FALSE))</f>
        <v/>
      </c>
      <c r="DO227" s="362" t="str">
        <f ca="1">IF($DJ227="","",VLOOKUP($DJ227,games.a,7,FALSE))</f>
        <v/>
      </c>
      <c r="DP227" s="379" t="str">
        <f ca="1">DP226</f>
        <v/>
      </c>
      <c r="DQ227" s="302"/>
      <c r="DR227" s="364"/>
      <c r="DS227" s="302"/>
      <c r="DU227" s="424"/>
      <c r="DV227" s="424"/>
      <c r="DW227" s="424"/>
      <c r="DX227" s="424"/>
      <c r="DY227" s="424"/>
      <c r="DZ227" s="424"/>
      <c r="EA227" s="424"/>
      <c r="EB227" s="424"/>
      <c r="EC227" s="424"/>
      <c r="ED227" s="424"/>
      <c r="EE227" s="424"/>
      <c r="EF227" s="424"/>
      <c r="EG227" s="424"/>
      <c r="EH227" s="424"/>
      <c r="EI227" s="424"/>
      <c r="EJ227" s="424"/>
      <c r="EK227" s="424"/>
      <c r="EL227" s="424"/>
      <c r="EM227" s="424"/>
      <c r="EN227" s="424"/>
      <c r="EO227" s="424"/>
      <c r="EP227" s="424"/>
      <c r="EQ227" s="424"/>
      <c r="ER227" s="424"/>
      <c r="ES227" s="424"/>
      <c r="ET227" s="424"/>
      <c r="EU227" s="424"/>
      <c r="EV227" s="424"/>
      <c r="EW227" s="424"/>
      <c r="EX227" s="424"/>
      <c r="EY227" s="424"/>
      <c r="EZ227" s="424"/>
      <c r="FA227" s="424"/>
      <c r="FB227" s="424"/>
      <c r="FC227" s="424"/>
      <c r="FD227" s="425"/>
      <c r="FE227" s="333"/>
      <c r="FO227" s="300"/>
      <c r="FP227" s="395" t="str">
        <f t="shared" ca="1" si="612"/>
        <v/>
      </c>
      <c r="FQ227" s="360" t="str">
        <f t="shared" ca="1" si="613"/>
        <v/>
      </c>
      <c r="FR227" s="360" t="str">
        <f t="shared" ca="1" si="604"/>
        <v/>
      </c>
      <c r="FS227" s="360" t="str">
        <f t="shared" ca="1" si="605"/>
        <v/>
      </c>
      <c r="FT227" s="360" t="str">
        <f t="shared" ca="1" si="606"/>
        <v/>
      </c>
      <c r="FU227" s="360" t="str">
        <f t="shared" ca="1" si="607"/>
        <v/>
      </c>
      <c r="FV227" s="360" t="str">
        <f t="shared" ca="1" si="608"/>
        <v/>
      </c>
      <c r="FW227" s="360" t="str">
        <f t="shared" ca="1" si="609"/>
        <v/>
      </c>
      <c r="FX227" s="360" t="str">
        <f t="shared" ca="1" si="610"/>
        <v/>
      </c>
      <c r="FY227" s="360" t="str">
        <f t="shared" ca="1" si="611"/>
        <v/>
      </c>
      <c r="FZ227" s="379" t="str">
        <f t="shared" ca="1" si="614"/>
        <v/>
      </c>
      <c r="GA227" s="302"/>
      <c r="GB227" s="364"/>
      <c r="GC227" s="302"/>
    </row>
    <row r="228" spans="86:185" x14ac:dyDescent="0.25">
      <c r="CH228" s="445"/>
      <c r="CI228" s="300"/>
      <c r="CJ228" s="300"/>
      <c r="CK228" s="300"/>
      <c r="CL228" s="449"/>
      <c r="CM228" s="445"/>
      <c r="DG228" s="445"/>
      <c r="DH228" s="300"/>
      <c r="DI228" s="395" t="str">
        <f ca="1">DI222</f>
        <v/>
      </c>
      <c r="DJ228" s="360" t="str">
        <f ca="1">IF(OR(DI228="",DP228="",DI228=DP228),"",CONCATENATE(DI228,DP228))</f>
        <v/>
      </c>
      <c r="DK228" s="360" t="str">
        <f ca="1">IF($DJ228="","",CONCATENATE(VLOOKUP($DJ228,games.a,9,FALSE),VLOOKUP($DJ228,games.a,12,FALSE)))</f>
        <v/>
      </c>
      <c r="DL228" s="354" t="str">
        <f ca="1">IF($DJ228="","",VLOOKUP($DJ228,games.a,10,FALSE))</f>
        <v/>
      </c>
      <c r="DM228" s="354" t="str">
        <f ca="1">IF($DJ228="","",VLOOKUP($DJ228,games.a,13,FALSE))</f>
        <v/>
      </c>
      <c r="DN228" s="361" t="str">
        <f ca="1">IF($DJ228="","",VLOOKUP($DJ228,games.a,6,FALSE))</f>
        <v/>
      </c>
      <c r="DO228" s="362" t="str">
        <f ca="1">IF($DJ228="","",VLOOKUP($DJ228,games.a,7,FALSE))</f>
        <v/>
      </c>
      <c r="DP228" s="379" t="str">
        <f ca="1">DP227</f>
        <v/>
      </c>
      <c r="DQ228" s="302"/>
      <c r="DR228" s="364"/>
      <c r="DS228" s="302"/>
      <c r="DU228" s="424"/>
      <c r="DV228" s="424"/>
      <c r="DW228" s="424"/>
      <c r="DX228" s="424"/>
      <c r="DY228" s="424"/>
      <c r="DZ228" s="424"/>
      <c r="EA228" s="424"/>
      <c r="EB228" s="424"/>
      <c r="EC228" s="424"/>
      <c r="ED228" s="424"/>
      <c r="EE228" s="424"/>
      <c r="EF228" s="424"/>
      <c r="EG228" s="424"/>
      <c r="EH228" s="424"/>
      <c r="EI228" s="424"/>
      <c r="EJ228" s="424"/>
      <c r="EK228" s="424"/>
      <c r="EL228" s="424"/>
      <c r="EM228" s="424"/>
      <c r="EN228" s="424"/>
      <c r="EO228" s="424"/>
      <c r="EP228" s="424"/>
      <c r="EQ228" s="424"/>
      <c r="ER228" s="424"/>
      <c r="ES228" s="424"/>
      <c r="ET228" s="424"/>
      <c r="EU228" s="424"/>
      <c r="EV228" s="424"/>
      <c r="EW228" s="424"/>
      <c r="EX228" s="424"/>
      <c r="EY228" s="424"/>
      <c r="EZ228" s="424"/>
      <c r="FA228" s="424"/>
      <c r="FB228" s="424"/>
      <c r="FC228" s="424"/>
      <c r="FD228" s="425"/>
      <c r="FE228" s="333"/>
      <c r="FO228" s="300"/>
      <c r="FP228" s="395" t="str">
        <f t="shared" ca="1" si="612"/>
        <v/>
      </c>
      <c r="FQ228" s="360" t="str">
        <f t="shared" ca="1" si="613"/>
        <v/>
      </c>
      <c r="FR228" s="360" t="str">
        <f t="shared" ca="1" si="604"/>
        <v/>
      </c>
      <c r="FS228" s="360" t="str">
        <f t="shared" ca="1" si="605"/>
        <v/>
      </c>
      <c r="FT228" s="360" t="str">
        <f t="shared" ca="1" si="606"/>
        <v/>
      </c>
      <c r="FU228" s="360" t="str">
        <f t="shared" ca="1" si="607"/>
        <v/>
      </c>
      <c r="FV228" s="360" t="str">
        <f t="shared" ca="1" si="608"/>
        <v/>
      </c>
      <c r="FW228" s="360" t="str">
        <f t="shared" ca="1" si="609"/>
        <v/>
      </c>
      <c r="FX228" s="360" t="str">
        <f t="shared" ca="1" si="610"/>
        <v/>
      </c>
      <c r="FY228" s="360" t="str">
        <f t="shared" ca="1" si="611"/>
        <v/>
      </c>
      <c r="FZ228" s="379" t="str">
        <f t="shared" ca="1" si="614"/>
        <v/>
      </c>
      <c r="GA228" s="302"/>
      <c r="GB228" s="364"/>
      <c r="GC228" s="302"/>
    </row>
    <row r="229" spans="86:185" x14ac:dyDescent="0.25">
      <c r="CH229" s="445"/>
      <c r="CI229" s="300"/>
      <c r="CJ229" s="300"/>
      <c r="CK229" s="300"/>
      <c r="CL229" s="449"/>
      <c r="CM229" s="445"/>
      <c r="DG229" s="445"/>
      <c r="DH229" s="300"/>
      <c r="DI229" s="301"/>
      <c r="DJ229" s="324" t="s">
        <v>157</v>
      </c>
      <c r="DK229" s="324" t="s">
        <v>158</v>
      </c>
      <c r="DL229" s="325" t="s">
        <v>159</v>
      </c>
      <c r="DM229" s="325"/>
      <c r="DN229" s="326" t="s">
        <v>160</v>
      </c>
      <c r="DO229" s="325" t="s">
        <v>135</v>
      </c>
      <c r="DP229" s="302"/>
      <c r="DQ229" s="302"/>
      <c r="DR229" s="364"/>
      <c r="DS229" s="302"/>
      <c r="DU229" s="424"/>
      <c r="DV229" s="424"/>
      <c r="DW229" s="424"/>
      <c r="DX229" s="424"/>
      <c r="DY229" s="424"/>
      <c r="DZ229" s="424"/>
      <c r="EA229" s="424"/>
      <c r="EB229" s="424"/>
      <c r="EC229" s="424"/>
      <c r="ED229" s="424"/>
      <c r="EE229" s="424"/>
      <c r="EF229" s="424"/>
      <c r="EG229" s="424"/>
      <c r="EH229" s="424"/>
      <c r="EI229" s="424"/>
      <c r="EJ229" s="424"/>
      <c r="EK229" s="424"/>
      <c r="EL229" s="424"/>
      <c r="EM229" s="424"/>
      <c r="EN229" s="424"/>
      <c r="EO229" s="424"/>
      <c r="EP229" s="424"/>
      <c r="EQ229" s="424"/>
      <c r="ER229" s="424"/>
      <c r="ES229" s="424"/>
      <c r="ET229" s="424"/>
      <c r="EU229" s="424"/>
      <c r="EV229" s="424"/>
      <c r="EW229" s="424"/>
      <c r="EX229" s="424"/>
      <c r="EY229" s="424"/>
      <c r="EZ229" s="424"/>
      <c r="FA229" s="424"/>
      <c r="FB229" s="424"/>
      <c r="FC229" s="424"/>
      <c r="FD229" s="425"/>
      <c r="FE229" s="333"/>
      <c r="FO229" s="300"/>
      <c r="FP229" s="395" t="str">
        <f t="shared" ca="1" si="612"/>
        <v/>
      </c>
      <c r="FQ229" s="360" t="str">
        <f t="shared" ca="1" si="613"/>
        <v/>
      </c>
      <c r="FR229" s="360" t="str">
        <f t="shared" ca="1" si="604"/>
        <v/>
      </c>
      <c r="FS229" s="360" t="str">
        <f t="shared" ca="1" si="605"/>
        <v/>
      </c>
      <c r="FT229" s="360" t="str">
        <f t="shared" ca="1" si="606"/>
        <v/>
      </c>
      <c r="FU229" s="360" t="str">
        <f t="shared" ca="1" si="607"/>
        <v/>
      </c>
      <c r="FV229" s="360" t="str">
        <f t="shared" ca="1" si="608"/>
        <v/>
      </c>
      <c r="FW229" s="360" t="str">
        <f t="shared" ca="1" si="609"/>
        <v/>
      </c>
      <c r="FX229" s="360" t="str">
        <f t="shared" ca="1" si="610"/>
        <v/>
      </c>
      <c r="FY229" s="360" t="str">
        <f t="shared" ca="1" si="611"/>
        <v/>
      </c>
      <c r="FZ229" s="379" t="str">
        <f t="shared" ca="1" si="614"/>
        <v/>
      </c>
      <c r="GA229" s="302"/>
      <c r="GB229" s="364"/>
      <c r="GC229" s="302"/>
    </row>
    <row r="230" spans="86:185" x14ac:dyDescent="0.25">
      <c r="CH230" s="445"/>
      <c r="CI230" s="300"/>
      <c r="CJ230" s="300"/>
      <c r="CK230" s="300"/>
      <c r="CL230" s="447"/>
      <c r="CM230" s="445"/>
      <c r="DG230" s="445"/>
      <c r="DH230" s="300"/>
      <c r="DI230" s="395" t="str">
        <f ca="1">DI224</f>
        <v>K&amp;H</v>
      </c>
      <c r="DJ230" s="360" t="str">
        <f ca="1">IF(OR(DI230="",DP230="",DI230=DP230),"",CONCATENATE(DI230,DP230))</f>
        <v/>
      </c>
      <c r="DK230" s="360" t="str">
        <f ca="1">IF($DJ230="","",CONCATENATE(VLOOKUP($DJ230,games.a,9,FALSE),VLOOKUP($DJ230,games.a,12,FALSE)))</f>
        <v/>
      </c>
      <c r="DL230" s="354" t="str">
        <f ca="1">IF($DJ230="","",VLOOKUP($DJ230,games.a,10,FALSE))</f>
        <v/>
      </c>
      <c r="DM230" s="354" t="str">
        <f ca="1">IF($DJ230="","",VLOOKUP($DJ230,games.a,13,FALSE))</f>
        <v/>
      </c>
      <c r="DN230" s="361" t="str">
        <f ca="1">IF($DJ230="","",VLOOKUP($DJ230,games.a,6,FALSE))</f>
        <v/>
      </c>
      <c r="DO230" s="362" t="str">
        <f ca="1">IF($DJ230="","",VLOOKUP($DJ230,games.a,7,FALSE))</f>
        <v/>
      </c>
      <c r="DP230" s="363" t="str">
        <f ca="1">DI215</f>
        <v/>
      </c>
      <c r="DQ230" s="302"/>
      <c r="DR230" s="364"/>
      <c r="DS230" s="302"/>
      <c r="DU230" s="424"/>
      <c r="DV230" s="424"/>
      <c r="DW230" s="424"/>
      <c r="DX230" s="424"/>
      <c r="DY230" s="424"/>
      <c r="DZ230" s="424"/>
      <c r="EA230" s="424"/>
      <c r="EB230" s="424"/>
      <c r="EC230" s="424"/>
      <c r="ED230" s="424"/>
      <c r="EE230" s="424"/>
      <c r="EF230" s="424"/>
      <c r="EG230" s="424"/>
      <c r="EH230" s="424"/>
      <c r="EI230" s="424"/>
      <c r="EJ230" s="424"/>
      <c r="EK230" s="424"/>
      <c r="EL230" s="424"/>
      <c r="EM230" s="424"/>
      <c r="EN230" s="424"/>
      <c r="EO230" s="424"/>
      <c r="EP230" s="424"/>
      <c r="EQ230" s="424"/>
      <c r="ER230" s="424"/>
      <c r="ES230" s="424"/>
      <c r="ET230" s="424"/>
      <c r="EU230" s="424"/>
      <c r="EV230" s="424"/>
      <c r="EW230" s="424"/>
      <c r="EX230" s="424"/>
      <c r="EY230" s="424"/>
      <c r="EZ230" s="424"/>
      <c r="FA230" s="424"/>
      <c r="FB230" s="424"/>
      <c r="FC230" s="424"/>
      <c r="FD230" s="425"/>
      <c r="FE230" s="333"/>
      <c r="FO230" s="300"/>
      <c r="FP230" s="301"/>
      <c r="FQ230" s="324" t="s">
        <v>157</v>
      </c>
      <c r="FR230" s="324" t="s">
        <v>237</v>
      </c>
      <c r="FS230" s="324" t="s">
        <v>239</v>
      </c>
      <c r="FT230" s="324" t="s">
        <v>240</v>
      </c>
      <c r="FU230" s="324" t="s">
        <v>238</v>
      </c>
      <c r="FV230" s="324" t="s">
        <v>241</v>
      </c>
      <c r="FW230" s="324" t="s">
        <v>242</v>
      </c>
      <c r="FX230" s="326" t="s">
        <v>160</v>
      </c>
      <c r="FY230" s="325" t="s">
        <v>135</v>
      </c>
      <c r="FZ230" s="302"/>
      <c r="GA230" s="302"/>
      <c r="GB230" s="364"/>
      <c r="GC230" s="302"/>
    </row>
    <row r="231" spans="86:185" x14ac:dyDescent="0.25">
      <c r="CH231" s="445"/>
      <c r="CI231" s="300"/>
      <c r="CJ231" s="300"/>
      <c r="CK231" s="300"/>
      <c r="CL231" s="447"/>
      <c r="CM231" s="445"/>
      <c r="DG231" s="445"/>
      <c r="DH231" s="300"/>
      <c r="DI231" s="395" t="str">
        <f ca="1">DI225</f>
        <v>BBK</v>
      </c>
      <c r="DJ231" s="360" t="str">
        <f ca="1">IF(OR(DI231="",DP231="",DI231=DP231),"",CONCATENATE(DI231,DP231))</f>
        <v/>
      </c>
      <c r="DK231" s="360" t="str">
        <f ca="1">IF($DJ231="","",CONCATENATE(VLOOKUP($DJ231,games.a,9,FALSE),VLOOKUP($DJ231,games.a,12,FALSE)))</f>
        <v/>
      </c>
      <c r="DL231" s="354" t="str">
        <f ca="1">IF($DJ231="","",VLOOKUP($DJ231,games.a,10,FALSE))</f>
        <v/>
      </c>
      <c r="DM231" s="354" t="str">
        <f ca="1">IF($DJ231="","",VLOOKUP($DJ231,games.a,13,FALSE))</f>
        <v/>
      </c>
      <c r="DN231" s="361" t="str">
        <f ca="1">IF($DJ231="","",VLOOKUP($DJ231,games.a,6,FALSE))</f>
        <v/>
      </c>
      <c r="DO231" s="362" t="str">
        <f ca="1">IF($DJ231="","",VLOOKUP($DJ231,games.a,7,FALSE))</f>
        <v/>
      </c>
      <c r="DP231" s="379" t="str">
        <f ca="1">DP230</f>
        <v/>
      </c>
      <c r="DQ231" s="302"/>
      <c r="DR231" s="364"/>
      <c r="DS231" s="302"/>
      <c r="DU231" s="424"/>
      <c r="DV231" s="424"/>
      <c r="DW231" s="424"/>
      <c r="DX231" s="424"/>
      <c r="DY231" s="424"/>
      <c r="DZ231" s="424"/>
      <c r="EA231" s="424"/>
      <c r="EB231" s="424"/>
      <c r="EC231" s="424"/>
      <c r="ED231" s="424"/>
      <c r="EE231" s="424"/>
      <c r="EF231" s="424"/>
      <c r="EG231" s="424"/>
      <c r="EH231" s="424"/>
      <c r="EI231" s="424"/>
      <c r="EJ231" s="424"/>
      <c r="EK231" s="424"/>
      <c r="EL231" s="424"/>
      <c r="EM231" s="424"/>
      <c r="EN231" s="424"/>
      <c r="EO231" s="424"/>
      <c r="EP231" s="424"/>
      <c r="EQ231" s="424"/>
      <c r="ER231" s="424"/>
      <c r="ES231" s="424"/>
      <c r="ET231" s="424"/>
      <c r="EU231" s="424"/>
      <c r="EV231" s="424"/>
      <c r="EW231" s="424"/>
      <c r="EX231" s="424"/>
      <c r="EY231" s="424"/>
      <c r="EZ231" s="424"/>
      <c r="FA231" s="424"/>
      <c r="FB231" s="424"/>
      <c r="FC231" s="424"/>
      <c r="FD231" s="425"/>
      <c r="FE231" s="333"/>
      <c r="FO231" s="300"/>
      <c r="FP231" s="395" t="str">
        <f ca="1">FP220</f>
        <v/>
      </c>
      <c r="FQ231" s="360" t="str">
        <f ca="1">IF(OR(FP231="",FZ231="",FP231=FZ231),"",CONCATENATE(FP231,FZ231))</f>
        <v/>
      </c>
      <c r="FR231" s="360" t="str">
        <f t="shared" ref="FR231:FR240" ca="1" si="615">IF($FQ231="","",VLOOKUP($FQ231,games.a,9,FALSE))</f>
        <v/>
      </c>
      <c r="FS231" s="360" t="str">
        <f t="shared" ref="FS231:FS240" ca="1" si="616">IF($FQ231="","",VLOOKUP($FQ231,games.a,10,FALSE))</f>
        <v/>
      </c>
      <c r="FT231" s="360" t="str">
        <f t="shared" ref="FT231:FT240" ca="1" si="617">IF($FQ231="","",VLOOKUP($FQ231,games.a,11,FALSE))</f>
        <v/>
      </c>
      <c r="FU231" s="360" t="str">
        <f t="shared" ref="FU231:FU240" ca="1" si="618">IF($FQ231="","",VLOOKUP($FQ231,games.a,12,FALSE))</f>
        <v/>
      </c>
      <c r="FV231" s="360" t="str">
        <f t="shared" ref="FV231:FV240" ca="1" si="619">IF($FQ231="","",VLOOKUP($FQ231,games.a,13,FALSE))</f>
        <v/>
      </c>
      <c r="FW231" s="360" t="str">
        <f t="shared" ref="FW231:FW240" ca="1" si="620">IF($FQ231="","",VLOOKUP($FQ231,games.a,14,FALSE))</f>
        <v/>
      </c>
      <c r="FX231" s="360" t="str">
        <f t="shared" ref="FX231:FX240" ca="1" si="621">IF($FQ231="","",VLOOKUP($FQ231,games.a,6,FALSE))</f>
        <v/>
      </c>
      <c r="FY231" s="360" t="str">
        <f t="shared" ref="FY231:FY240" ca="1" si="622">IF($FQ231="","",VLOOKUP($FQ231,games.a,7,FALSE))</f>
        <v/>
      </c>
      <c r="FZ231" s="363" t="str">
        <f ca="1">FP161</f>
        <v/>
      </c>
      <c r="GA231" s="302"/>
      <c r="GB231" s="364"/>
      <c r="GC231" s="302"/>
    </row>
    <row r="232" spans="86:185" x14ac:dyDescent="0.25">
      <c r="CH232" s="445"/>
      <c r="CI232" s="300"/>
      <c r="CJ232" s="300"/>
      <c r="CK232" s="300"/>
      <c r="CL232" s="449"/>
      <c r="CM232" s="445"/>
      <c r="DG232" s="445"/>
      <c r="DH232" s="300"/>
      <c r="DI232" s="395" t="str">
        <f ca="1">DI226</f>
        <v/>
      </c>
      <c r="DJ232" s="360" t="str">
        <f ca="1">IF(OR(DI232="",DP232="",DI232=DP232),"",CONCATENATE(DI232,DP232))</f>
        <v/>
      </c>
      <c r="DK232" s="360" t="str">
        <f ca="1">IF($DJ232="","",CONCATENATE(VLOOKUP($DJ232,games.a,9,FALSE),VLOOKUP($DJ232,games.a,12,FALSE)))</f>
        <v/>
      </c>
      <c r="DL232" s="354" t="str">
        <f ca="1">IF($DJ232="","",VLOOKUP($DJ232,games.a,10,FALSE))</f>
        <v/>
      </c>
      <c r="DM232" s="354" t="str">
        <f ca="1">IF($DJ232="","",VLOOKUP($DJ232,games.a,13,FALSE))</f>
        <v/>
      </c>
      <c r="DN232" s="361" t="str">
        <f ca="1">IF($DJ232="","",VLOOKUP($DJ232,games.a,6,FALSE))</f>
        <v/>
      </c>
      <c r="DO232" s="362" t="str">
        <f ca="1">IF($DJ232="","",VLOOKUP($DJ232,games.a,7,FALSE))</f>
        <v/>
      </c>
      <c r="DP232" s="379" t="str">
        <f ca="1">DP231</f>
        <v/>
      </c>
      <c r="DQ232" s="302"/>
      <c r="DR232" s="364"/>
      <c r="DS232" s="302"/>
      <c r="DU232" s="424"/>
      <c r="DV232" s="424"/>
      <c r="DW232" s="424"/>
      <c r="DX232" s="424"/>
      <c r="DY232" s="424"/>
      <c r="DZ232" s="424"/>
      <c r="EA232" s="424"/>
      <c r="EB232" s="424"/>
      <c r="EC232" s="424"/>
      <c r="ED232" s="424"/>
      <c r="EE232" s="424"/>
      <c r="EF232" s="424"/>
      <c r="EG232" s="424"/>
      <c r="EH232" s="424"/>
      <c r="EI232" s="424"/>
      <c r="EJ232" s="424"/>
      <c r="EK232" s="424"/>
      <c r="EL232" s="424"/>
      <c r="EM232" s="424"/>
      <c r="EN232" s="424"/>
      <c r="EO232" s="424"/>
      <c r="EP232" s="424"/>
      <c r="EQ232" s="424"/>
      <c r="ER232" s="424"/>
      <c r="ES232" s="424"/>
      <c r="ET232" s="424"/>
      <c r="EU232" s="424"/>
      <c r="EV232" s="424"/>
      <c r="EW232" s="424"/>
      <c r="EX232" s="424"/>
      <c r="EY232" s="424"/>
      <c r="EZ232" s="424"/>
      <c r="FA232" s="424"/>
      <c r="FB232" s="424"/>
      <c r="FC232" s="424"/>
      <c r="FD232" s="425"/>
      <c r="FE232" s="333"/>
      <c r="FO232" s="300"/>
      <c r="FP232" s="395" t="str">
        <f t="shared" ref="FP232:FP240" ca="1" si="623">FP221</f>
        <v/>
      </c>
      <c r="FQ232" s="360" t="str">
        <f t="shared" ref="FQ232:FQ240" ca="1" si="624">IF(OR(FP232="",FZ232="",FP232=FZ232),"",CONCATENATE(FP232,FZ232))</f>
        <v/>
      </c>
      <c r="FR232" s="360" t="str">
        <f t="shared" ca="1" si="615"/>
        <v/>
      </c>
      <c r="FS232" s="360" t="str">
        <f t="shared" ca="1" si="616"/>
        <v/>
      </c>
      <c r="FT232" s="360" t="str">
        <f t="shared" ca="1" si="617"/>
        <v/>
      </c>
      <c r="FU232" s="360" t="str">
        <f t="shared" ca="1" si="618"/>
        <v/>
      </c>
      <c r="FV232" s="360" t="str">
        <f t="shared" ca="1" si="619"/>
        <v/>
      </c>
      <c r="FW232" s="360" t="str">
        <f t="shared" ca="1" si="620"/>
        <v/>
      </c>
      <c r="FX232" s="360" t="str">
        <f t="shared" ca="1" si="621"/>
        <v/>
      </c>
      <c r="FY232" s="360" t="str">
        <f t="shared" ca="1" si="622"/>
        <v/>
      </c>
      <c r="FZ232" s="379" t="str">
        <f ca="1">FZ231</f>
        <v/>
      </c>
      <c r="GA232" s="302"/>
      <c r="GB232" s="364"/>
      <c r="GC232" s="302"/>
    </row>
    <row r="233" spans="86:185" x14ac:dyDescent="0.25">
      <c r="CH233" s="445"/>
      <c r="CI233" s="300"/>
      <c r="CJ233" s="300"/>
      <c r="CK233" s="300"/>
      <c r="CL233" s="449"/>
      <c r="CM233" s="445"/>
      <c r="DG233" s="445"/>
      <c r="DH233" s="300"/>
      <c r="DI233" s="395" t="str">
        <f ca="1">DI227</f>
        <v/>
      </c>
      <c r="DJ233" s="360" t="str">
        <f ca="1">IF(OR(DI233="",DP233="",DI233=DP233),"",CONCATENATE(DI233,DP233))</f>
        <v/>
      </c>
      <c r="DK233" s="360" t="str">
        <f ca="1">IF($DJ233="","",CONCATENATE(VLOOKUP($DJ233,games.a,9,FALSE),VLOOKUP($DJ233,games.a,12,FALSE)))</f>
        <v/>
      </c>
      <c r="DL233" s="354" t="str">
        <f ca="1">IF($DJ233="","",VLOOKUP($DJ233,games.a,10,FALSE))</f>
        <v/>
      </c>
      <c r="DM233" s="354" t="str">
        <f ca="1">IF($DJ233="","",VLOOKUP($DJ233,games.a,13,FALSE))</f>
        <v/>
      </c>
      <c r="DN233" s="361" t="str">
        <f ca="1">IF($DJ233="","",VLOOKUP($DJ233,games.a,6,FALSE))</f>
        <v/>
      </c>
      <c r="DO233" s="362" t="str">
        <f ca="1">IF($DJ233="","",VLOOKUP($DJ233,games.a,7,FALSE))</f>
        <v/>
      </c>
      <c r="DP233" s="379" t="str">
        <f ca="1">DP232</f>
        <v/>
      </c>
      <c r="DQ233" s="302"/>
      <c r="DR233" s="364"/>
      <c r="DS233" s="302"/>
      <c r="DU233" s="424"/>
      <c r="DV233" s="424"/>
      <c r="DW233" s="424"/>
      <c r="DX233" s="424"/>
      <c r="DY233" s="424"/>
      <c r="DZ233" s="424"/>
      <c r="EA233" s="424"/>
      <c r="EB233" s="424"/>
      <c r="EC233" s="424"/>
      <c r="ED233" s="424"/>
      <c r="EE233" s="424"/>
      <c r="EF233" s="424"/>
      <c r="EG233" s="424"/>
      <c r="EH233" s="424"/>
      <c r="EI233" s="424"/>
      <c r="EJ233" s="424"/>
      <c r="EK233" s="424"/>
      <c r="EL233" s="424"/>
      <c r="EM233" s="424"/>
      <c r="EN233" s="424"/>
      <c r="EO233" s="424"/>
      <c r="EP233" s="424"/>
      <c r="EQ233" s="424"/>
      <c r="ER233" s="424"/>
      <c r="ES233" s="424"/>
      <c r="ET233" s="424"/>
      <c r="EU233" s="424"/>
      <c r="EV233" s="424"/>
      <c r="EW233" s="424"/>
      <c r="EX233" s="424"/>
      <c r="EY233" s="424"/>
      <c r="EZ233" s="424"/>
      <c r="FA233" s="424"/>
      <c r="FB233" s="424"/>
      <c r="FC233" s="424"/>
      <c r="FD233" s="425"/>
      <c r="FE233" s="333"/>
      <c r="FO233" s="300"/>
      <c r="FP233" s="395" t="str">
        <f t="shared" ca="1" si="623"/>
        <v/>
      </c>
      <c r="FQ233" s="360" t="str">
        <f t="shared" ca="1" si="624"/>
        <v/>
      </c>
      <c r="FR233" s="360" t="str">
        <f t="shared" ca="1" si="615"/>
        <v/>
      </c>
      <c r="FS233" s="360" t="str">
        <f t="shared" ca="1" si="616"/>
        <v/>
      </c>
      <c r="FT233" s="360" t="str">
        <f t="shared" ca="1" si="617"/>
        <v/>
      </c>
      <c r="FU233" s="360" t="str">
        <f t="shared" ca="1" si="618"/>
        <v/>
      </c>
      <c r="FV233" s="360" t="str">
        <f t="shared" ca="1" si="619"/>
        <v/>
      </c>
      <c r="FW233" s="360" t="str">
        <f t="shared" ca="1" si="620"/>
        <v/>
      </c>
      <c r="FX233" s="360" t="str">
        <f t="shared" ca="1" si="621"/>
        <v/>
      </c>
      <c r="FY233" s="360" t="str">
        <f t="shared" ca="1" si="622"/>
        <v/>
      </c>
      <c r="FZ233" s="379" t="str">
        <f t="shared" ref="FZ233:FZ240" ca="1" si="625">FZ232</f>
        <v/>
      </c>
      <c r="GA233" s="302"/>
      <c r="GB233" s="364"/>
      <c r="GC233" s="302"/>
    </row>
    <row r="234" spans="86:185" x14ac:dyDescent="0.25">
      <c r="CH234" s="445"/>
      <c r="CI234" s="300"/>
      <c r="CJ234" s="300"/>
      <c r="CK234" s="300"/>
      <c r="CL234" s="449"/>
      <c r="CM234" s="445"/>
      <c r="DG234" s="445"/>
      <c r="DH234" s="300"/>
      <c r="DI234" s="395" t="str">
        <f ca="1">DI228</f>
        <v/>
      </c>
      <c r="DJ234" s="360" t="str">
        <f ca="1">IF(OR(DI234="",DP234="",DI234=DP234),"",CONCATENATE(DI234,DP234))</f>
        <v/>
      </c>
      <c r="DK234" s="360" t="str">
        <f ca="1">IF($DJ234="","",CONCATENATE(VLOOKUP($DJ234,games.a,9,FALSE),VLOOKUP($DJ234,games.a,12,FALSE)))</f>
        <v/>
      </c>
      <c r="DL234" s="354" t="str">
        <f ca="1">IF($DJ234="","",VLOOKUP($DJ234,games.a,10,FALSE))</f>
        <v/>
      </c>
      <c r="DM234" s="354" t="str">
        <f ca="1">IF($DJ234="","",VLOOKUP($DJ234,games.a,13,FALSE))</f>
        <v/>
      </c>
      <c r="DN234" s="361" t="str">
        <f ca="1">IF($DJ234="","",VLOOKUP($DJ234,games.a,6,FALSE))</f>
        <v/>
      </c>
      <c r="DO234" s="362" t="str">
        <f ca="1">IF($DJ234="","",VLOOKUP($DJ234,games.a,7,FALSE))</f>
        <v/>
      </c>
      <c r="DP234" s="379" t="str">
        <f ca="1">DP233</f>
        <v/>
      </c>
      <c r="DQ234" s="302"/>
      <c r="DR234" s="364"/>
      <c r="DS234" s="302"/>
      <c r="DU234" s="424"/>
      <c r="DV234" s="424"/>
      <c r="DW234" s="424"/>
      <c r="DX234" s="424"/>
      <c r="DY234" s="424"/>
      <c r="DZ234" s="424"/>
      <c r="EA234" s="424"/>
      <c r="EB234" s="424"/>
      <c r="EC234" s="424"/>
      <c r="ED234" s="424"/>
      <c r="EE234" s="424"/>
      <c r="EF234" s="424"/>
      <c r="EG234" s="424"/>
      <c r="EH234" s="424"/>
      <c r="EI234" s="424"/>
      <c r="EJ234" s="424"/>
      <c r="EK234" s="424"/>
      <c r="EL234" s="424"/>
      <c r="EM234" s="424"/>
      <c r="EN234" s="424"/>
      <c r="EO234" s="424"/>
      <c r="EP234" s="424"/>
      <c r="EQ234" s="424"/>
      <c r="ER234" s="424"/>
      <c r="ES234" s="424"/>
      <c r="ET234" s="424"/>
      <c r="EU234" s="424"/>
      <c r="EV234" s="424"/>
      <c r="EW234" s="424"/>
      <c r="EX234" s="424"/>
      <c r="EY234" s="424"/>
      <c r="EZ234" s="424"/>
      <c r="FA234" s="424"/>
      <c r="FB234" s="424"/>
      <c r="FC234" s="424"/>
      <c r="FD234" s="425"/>
      <c r="FE234" s="333"/>
      <c r="FO234" s="300"/>
      <c r="FP234" s="395" t="str">
        <f t="shared" ca="1" si="623"/>
        <v/>
      </c>
      <c r="FQ234" s="360" t="str">
        <f t="shared" ca="1" si="624"/>
        <v/>
      </c>
      <c r="FR234" s="360" t="str">
        <f t="shared" ca="1" si="615"/>
        <v/>
      </c>
      <c r="FS234" s="360" t="str">
        <f t="shared" ca="1" si="616"/>
        <v/>
      </c>
      <c r="FT234" s="360" t="str">
        <f t="shared" ca="1" si="617"/>
        <v/>
      </c>
      <c r="FU234" s="360" t="str">
        <f t="shared" ca="1" si="618"/>
        <v/>
      </c>
      <c r="FV234" s="360" t="str">
        <f t="shared" ca="1" si="619"/>
        <v/>
      </c>
      <c r="FW234" s="360" t="str">
        <f t="shared" ca="1" si="620"/>
        <v/>
      </c>
      <c r="FX234" s="360" t="str">
        <f t="shared" ca="1" si="621"/>
        <v/>
      </c>
      <c r="FY234" s="360" t="str">
        <f t="shared" ca="1" si="622"/>
        <v/>
      </c>
      <c r="FZ234" s="379" t="str">
        <f t="shared" ca="1" si="625"/>
        <v/>
      </c>
      <c r="GA234" s="302"/>
      <c r="GB234" s="364"/>
      <c r="GC234" s="302"/>
    </row>
    <row r="235" spans="86:185" x14ac:dyDescent="0.25">
      <c r="CH235" s="445"/>
      <c r="CI235" s="300"/>
      <c r="CJ235" s="300"/>
      <c r="CK235" s="300"/>
      <c r="CL235" s="449"/>
      <c r="CM235" s="445"/>
      <c r="DG235" s="445"/>
      <c r="DH235" s="300"/>
      <c r="DI235" s="301"/>
      <c r="DJ235" s="324" t="s">
        <v>157</v>
      </c>
      <c r="DK235" s="324" t="s">
        <v>158</v>
      </c>
      <c r="DL235" s="325" t="s">
        <v>159</v>
      </c>
      <c r="DM235" s="325"/>
      <c r="DN235" s="326" t="s">
        <v>160</v>
      </c>
      <c r="DO235" s="325" t="s">
        <v>135</v>
      </c>
      <c r="DP235" s="302"/>
      <c r="DQ235" s="302"/>
      <c r="DR235" s="364"/>
      <c r="DS235" s="302"/>
      <c r="DU235" s="424"/>
      <c r="DV235" s="424"/>
      <c r="DW235" s="424"/>
      <c r="DX235" s="424"/>
      <c r="DY235" s="424"/>
      <c r="DZ235" s="424"/>
      <c r="EA235" s="424"/>
      <c r="EB235" s="424"/>
      <c r="EC235" s="424"/>
      <c r="ED235" s="424"/>
      <c r="EE235" s="424"/>
      <c r="EF235" s="424"/>
      <c r="EG235" s="424"/>
      <c r="EH235" s="424"/>
      <c r="EI235" s="424"/>
      <c r="EJ235" s="424"/>
      <c r="EK235" s="424"/>
      <c r="EL235" s="424"/>
      <c r="EM235" s="424"/>
      <c r="EN235" s="424"/>
      <c r="EO235" s="424"/>
      <c r="EP235" s="424"/>
      <c r="EQ235" s="424"/>
      <c r="ER235" s="424"/>
      <c r="ES235" s="424"/>
      <c r="ET235" s="424"/>
      <c r="EU235" s="424"/>
      <c r="EV235" s="424"/>
      <c r="EW235" s="424"/>
      <c r="EX235" s="424"/>
      <c r="EY235" s="424"/>
      <c r="EZ235" s="424"/>
      <c r="FA235" s="424"/>
      <c r="FB235" s="424"/>
      <c r="FC235" s="424"/>
      <c r="FD235" s="425"/>
      <c r="FE235" s="333"/>
      <c r="FO235" s="300"/>
      <c r="FP235" s="395" t="str">
        <f t="shared" ca="1" si="623"/>
        <v/>
      </c>
      <c r="FQ235" s="360" t="str">
        <f t="shared" ca="1" si="624"/>
        <v/>
      </c>
      <c r="FR235" s="360" t="str">
        <f t="shared" ca="1" si="615"/>
        <v/>
      </c>
      <c r="FS235" s="360" t="str">
        <f t="shared" ca="1" si="616"/>
        <v/>
      </c>
      <c r="FT235" s="360" t="str">
        <f t="shared" ca="1" si="617"/>
        <v/>
      </c>
      <c r="FU235" s="360" t="str">
        <f t="shared" ca="1" si="618"/>
        <v/>
      </c>
      <c r="FV235" s="360" t="str">
        <f t="shared" ca="1" si="619"/>
        <v/>
      </c>
      <c r="FW235" s="360" t="str">
        <f t="shared" ca="1" si="620"/>
        <v/>
      </c>
      <c r="FX235" s="360" t="str">
        <f t="shared" ca="1" si="621"/>
        <v/>
      </c>
      <c r="FY235" s="360" t="str">
        <f t="shared" ca="1" si="622"/>
        <v/>
      </c>
      <c r="FZ235" s="379" t="str">
        <f t="shared" ca="1" si="625"/>
        <v/>
      </c>
      <c r="GA235" s="302"/>
      <c r="GB235" s="364"/>
      <c r="GC235" s="302"/>
    </row>
    <row r="236" spans="86:185" x14ac:dyDescent="0.25">
      <c r="CH236" s="445"/>
      <c r="CI236" s="300"/>
      <c r="CJ236" s="300"/>
      <c r="CK236" s="300"/>
      <c r="CL236" s="449"/>
      <c r="CM236" s="445"/>
      <c r="DG236" s="445"/>
      <c r="DH236" s="300"/>
      <c r="DI236" s="395" t="str">
        <f ca="1">DI230</f>
        <v>K&amp;H</v>
      </c>
      <c r="DJ236" s="360" t="str">
        <f ca="1">IF(OR(DI236="",DP236="",DI236=DP236),"",CONCATENATE(DI236,DP236))</f>
        <v/>
      </c>
      <c r="DK236" s="360" t="str">
        <f ca="1">IF($DJ236="","",CONCATENATE(VLOOKUP($DJ236,games.a,9,FALSE),VLOOKUP($DJ236,games.a,12,FALSE)))</f>
        <v/>
      </c>
      <c r="DL236" s="354" t="str">
        <f ca="1">IF($DJ236="","",VLOOKUP($DJ236,games.a,10,FALSE))</f>
        <v/>
      </c>
      <c r="DM236" s="354" t="str">
        <f ca="1">IF($DJ236="","",VLOOKUP($DJ236,games.a,13,FALSE))</f>
        <v/>
      </c>
      <c r="DN236" s="361" t="str">
        <f ca="1">IF($DJ236="","",VLOOKUP($DJ236,games.a,6,FALSE))</f>
        <v/>
      </c>
      <c r="DO236" s="362" t="str">
        <f ca="1">IF($DJ236="","",VLOOKUP($DJ236,games.a,7,FALSE))</f>
        <v/>
      </c>
      <c r="DP236" s="363" t="str">
        <f ca="1">DI216</f>
        <v/>
      </c>
      <c r="DQ236" s="302"/>
      <c r="DR236" s="364"/>
      <c r="DS236" s="302"/>
      <c r="DU236" s="424"/>
      <c r="DV236" s="424"/>
      <c r="DW236" s="424"/>
      <c r="DX236" s="424"/>
      <c r="DY236" s="424"/>
      <c r="DZ236" s="424"/>
      <c r="EA236" s="424"/>
      <c r="EB236" s="424"/>
      <c r="EC236" s="424"/>
      <c r="ED236" s="424"/>
      <c r="EE236" s="424"/>
      <c r="EF236" s="424"/>
      <c r="EG236" s="424"/>
      <c r="EH236" s="424"/>
      <c r="EI236" s="424"/>
      <c r="EJ236" s="424"/>
      <c r="EK236" s="424"/>
      <c r="EL236" s="424"/>
      <c r="EM236" s="424"/>
      <c r="EN236" s="424"/>
      <c r="EO236" s="424"/>
      <c r="EP236" s="424"/>
      <c r="EQ236" s="424"/>
      <c r="ER236" s="424"/>
      <c r="ES236" s="424"/>
      <c r="ET236" s="424"/>
      <c r="EU236" s="424"/>
      <c r="EV236" s="424"/>
      <c r="EW236" s="424"/>
      <c r="EX236" s="424"/>
      <c r="EY236" s="424"/>
      <c r="EZ236" s="424"/>
      <c r="FA236" s="424"/>
      <c r="FB236" s="424"/>
      <c r="FC236" s="424"/>
      <c r="FD236" s="425"/>
      <c r="FE236" s="333"/>
      <c r="FO236" s="300"/>
      <c r="FP236" s="395" t="str">
        <f t="shared" ca="1" si="623"/>
        <v/>
      </c>
      <c r="FQ236" s="360" t="str">
        <f t="shared" ca="1" si="624"/>
        <v/>
      </c>
      <c r="FR236" s="360" t="str">
        <f t="shared" ca="1" si="615"/>
        <v/>
      </c>
      <c r="FS236" s="360" t="str">
        <f t="shared" ca="1" si="616"/>
        <v/>
      </c>
      <c r="FT236" s="360" t="str">
        <f t="shared" ca="1" si="617"/>
        <v/>
      </c>
      <c r="FU236" s="360" t="str">
        <f t="shared" ca="1" si="618"/>
        <v/>
      </c>
      <c r="FV236" s="360" t="str">
        <f t="shared" ca="1" si="619"/>
        <v/>
      </c>
      <c r="FW236" s="360" t="str">
        <f t="shared" ca="1" si="620"/>
        <v/>
      </c>
      <c r="FX236" s="360" t="str">
        <f t="shared" ca="1" si="621"/>
        <v/>
      </c>
      <c r="FY236" s="360" t="str">
        <f t="shared" ca="1" si="622"/>
        <v/>
      </c>
      <c r="FZ236" s="379" t="str">
        <f t="shared" ca="1" si="625"/>
        <v/>
      </c>
      <c r="GA236" s="302"/>
      <c r="GB236" s="364"/>
      <c r="GC236" s="302"/>
    </row>
    <row r="237" spans="86:185" x14ac:dyDescent="0.25">
      <c r="CH237" s="445"/>
      <c r="CI237" s="300"/>
      <c r="CJ237" s="300"/>
      <c r="CK237" s="300"/>
      <c r="CL237" s="449"/>
      <c r="CM237" s="445"/>
      <c r="DG237" s="445"/>
      <c r="DH237" s="300"/>
      <c r="DI237" s="395" t="str">
        <f ca="1">DI231</f>
        <v>BBK</v>
      </c>
      <c r="DJ237" s="360" t="str">
        <f ca="1">IF(OR(DI237="",DP237="",DI237=DP237),"",CONCATENATE(DI237,DP237))</f>
        <v/>
      </c>
      <c r="DK237" s="360" t="str">
        <f ca="1">IF($DJ237="","",CONCATENATE(VLOOKUP($DJ237,games.a,9,FALSE),VLOOKUP($DJ237,games.a,12,FALSE)))</f>
        <v/>
      </c>
      <c r="DL237" s="354" t="str">
        <f ca="1">IF($DJ237="","",VLOOKUP($DJ237,games.a,10,FALSE))</f>
        <v/>
      </c>
      <c r="DM237" s="354" t="str">
        <f ca="1">IF($DJ237="","",VLOOKUP($DJ237,games.a,13,FALSE))</f>
        <v/>
      </c>
      <c r="DN237" s="361" t="str">
        <f ca="1">IF($DJ237="","",VLOOKUP($DJ237,games.a,6,FALSE))</f>
        <v/>
      </c>
      <c r="DO237" s="362" t="str">
        <f ca="1">IF($DJ237="","",VLOOKUP($DJ237,games.a,7,FALSE))</f>
        <v/>
      </c>
      <c r="DP237" s="379" t="str">
        <f ca="1">DP236</f>
        <v/>
      </c>
      <c r="DQ237" s="302"/>
      <c r="DR237" s="364"/>
      <c r="DS237" s="302"/>
      <c r="DU237" s="424"/>
      <c r="DV237" s="424"/>
      <c r="DW237" s="424"/>
      <c r="DX237" s="424"/>
      <c r="DY237" s="424"/>
      <c r="DZ237" s="424"/>
      <c r="EA237" s="424"/>
      <c r="EB237" s="424"/>
      <c r="EC237" s="424"/>
      <c r="ED237" s="424"/>
      <c r="EE237" s="424"/>
      <c r="EF237" s="424"/>
      <c r="EG237" s="424"/>
      <c r="EH237" s="424"/>
      <c r="EI237" s="424"/>
      <c r="EJ237" s="424"/>
      <c r="EK237" s="424"/>
      <c r="EL237" s="424"/>
      <c r="EM237" s="424"/>
      <c r="EN237" s="424"/>
      <c r="EO237" s="424"/>
      <c r="EP237" s="424"/>
      <c r="EQ237" s="424"/>
      <c r="ER237" s="424"/>
      <c r="ES237" s="424"/>
      <c r="ET237" s="424"/>
      <c r="EU237" s="424"/>
      <c r="EV237" s="424"/>
      <c r="EW237" s="424"/>
      <c r="EX237" s="424"/>
      <c r="EY237" s="424"/>
      <c r="EZ237" s="424"/>
      <c r="FA237" s="424"/>
      <c r="FB237" s="424"/>
      <c r="FC237" s="424"/>
      <c r="FD237" s="425"/>
      <c r="FE237" s="333"/>
      <c r="FO237" s="300"/>
      <c r="FP237" s="395" t="str">
        <f t="shared" ca="1" si="623"/>
        <v/>
      </c>
      <c r="FQ237" s="360" t="str">
        <f t="shared" ca="1" si="624"/>
        <v/>
      </c>
      <c r="FR237" s="360" t="str">
        <f t="shared" ca="1" si="615"/>
        <v/>
      </c>
      <c r="FS237" s="360" t="str">
        <f t="shared" ca="1" si="616"/>
        <v/>
      </c>
      <c r="FT237" s="360" t="str">
        <f t="shared" ca="1" si="617"/>
        <v/>
      </c>
      <c r="FU237" s="360" t="str">
        <f t="shared" ca="1" si="618"/>
        <v/>
      </c>
      <c r="FV237" s="360" t="str">
        <f t="shared" ca="1" si="619"/>
        <v/>
      </c>
      <c r="FW237" s="360" t="str">
        <f t="shared" ca="1" si="620"/>
        <v/>
      </c>
      <c r="FX237" s="360" t="str">
        <f t="shared" ca="1" si="621"/>
        <v/>
      </c>
      <c r="FY237" s="360" t="str">
        <f t="shared" ca="1" si="622"/>
        <v/>
      </c>
      <c r="FZ237" s="379" t="str">
        <f t="shared" ca="1" si="625"/>
        <v/>
      </c>
      <c r="GA237" s="302"/>
      <c r="GB237" s="364"/>
      <c r="GC237" s="302"/>
    </row>
    <row r="238" spans="86:185" x14ac:dyDescent="0.25">
      <c r="CH238" s="445"/>
      <c r="CI238" s="300"/>
      <c r="CJ238" s="300"/>
      <c r="CK238" s="300"/>
      <c r="CL238" s="449"/>
      <c r="CM238" s="445"/>
      <c r="DG238" s="445"/>
      <c r="DH238" s="300"/>
      <c r="DI238" s="395" t="str">
        <f ca="1">DI232</f>
        <v/>
      </c>
      <c r="DJ238" s="360" t="str">
        <f ca="1">IF(OR(DI238="",DP238="",DI238=DP238),"",CONCATENATE(DI238,DP238))</f>
        <v/>
      </c>
      <c r="DK238" s="360" t="str">
        <f ca="1">IF($DJ238="","",CONCATENATE(VLOOKUP($DJ238,games.a,9,FALSE),VLOOKUP($DJ238,games.a,12,FALSE)))</f>
        <v/>
      </c>
      <c r="DL238" s="354" t="str">
        <f ca="1">IF($DJ238="","",VLOOKUP($DJ238,games.a,10,FALSE))</f>
        <v/>
      </c>
      <c r="DM238" s="354" t="str">
        <f ca="1">IF($DJ238="","",VLOOKUP($DJ238,games.a,13,FALSE))</f>
        <v/>
      </c>
      <c r="DN238" s="361" t="str">
        <f ca="1">IF($DJ238="","",VLOOKUP($DJ238,games.a,6,FALSE))</f>
        <v/>
      </c>
      <c r="DO238" s="362" t="str">
        <f ca="1">IF($DJ238="","",VLOOKUP($DJ238,games.a,7,FALSE))</f>
        <v/>
      </c>
      <c r="DP238" s="379" t="str">
        <f ca="1">DP237</f>
        <v/>
      </c>
      <c r="DQ238" s="302"/>
      <c r="DR238" s="364"/>
      <c r="DS238" s="302"/>
      <c r="DU238" s="424"/>
      <c r="DV238" s="424"/>
      <c r="DW238" s="424"/>
      <c r="DX238" s="424"/>
      <c r="DY238" s="424"/>
      <c r="DZ238" s="424"/>
      <c r="EA238" s="424"/>
      <c r="EB238" s="424"/>
      <c r="EC238" s="424"/>
      <c r="ED238" s="424"/>
      <c r="EE238" s="424"/>
      <c r="EF238" s="424"/>
      <c r="EG238" s="424"/>
      <c r="EH238" s="424"/>
      <c r="EI238" s="424"/>
      <c r="EJ238" s="424"/>
      <c r="EK238" s="424"/>
      <c r="EL238" s="424"/>
      <c r="EM238" s="424"/>
      <c r="EN238" s="424"/>
      <c r="EO238" s="424"/>
      <c r="EP238" s="424"/>
      <c r="EQ238" s="424"/>
      <c r="ER238" s="424"/>
      <c r="ES238" s="424"/>
      <c r="ET238" s="424"/>
      <c r="EU238" s="424"/>
      <c r="EV238" s="424"/>
      <c r="EW238" s="424"/>
      <c r="EX238" s="424"/>
      <c r="EY238" s="424"/>
      <c r="EZ238" s="424"/>
      <c r="FA238" s="424"/>
      <c r="FB238" s="424"/>
      <c r="FC238" s="424"/>
      <c r="FD238" s="425"/>
      <c r="FE238" s="333"/>
      <c r="FO238" s="300"/>
      <c r="FP238" s="395" t="str">
        <f t="shared" ca="1" si="623"/>
        <v/>
      </c>
      <c r="FQ238" s="360" t="str">
        <f t="shared" ca="1" si="624"/>
        <v/>
      </c>
      <c r="FR238" s="360" t="str">
        <f t="shared" ca="1" si="615"/>
        <v/>
      </c>
      <c r="FS238" s="360" t="str">
        <f t="shared" ca="1" si="616"/>
        <v/>
      </c>
      <c r="FT238" s="360" t="str">
        <f t="shared" ca="1" si="617"/>
        <v/>
      </c>
      <c r="FU238" s="360" t="str">
        <f t="shared" ca="1" si="618"/>
        <v/>
      </c>
      <c r="FV238" s="360" t="str">
        <f t="shared" ca="1" si="619"/>
        <v/>
      </c>
      <c r="FW238" s="360" t="str">
        <f t="shared" ca="1" si="620"/>
        <v/>
      </c>
      <c r="FX238" s="360" t="str">
        <f t="shared" ca="1" si="621"/>
        <v/>
      </c>
      <c r="FY238" s="360" t="str">
        <f t="shared" ca="1" si="622"/>
        <v/>
      </c>
      <c r="FZ238" s="379" t="str">
        <f t="shared" ca="1" si="625"/>
        <v/>
      </c>
      <c r="GA238" s="302"/>
      <c r="GB238" s="364"/>
      <c r="GC238" s="302"/>
    </row>
    <row r="239" spans="86:185" x14ac:dyDescent="0.25">
      <c r="CH239" s="445"/>
      <c r="CI239" s="300"/>
      <c r="CJ239" s="300"/>
      <c r="CK239" s="300"/>
      <c r="CL239" s="449"/>
      <c r="CM239" s="445"/>
      <c r="DG239" s="445"/>
      <c r="DH239" s="300"/>
      <c r="DI239" s="395" t="str">
        <f ca="1">DI233</f>
        <v/>
      </c>
      <c r="DJ239" s="360" t="str">
        <f ca="1">IF(OR(DI239="",DP239="",DI239=DP239),"",CONCATENATE(DI239,DP239))</f>
        <v/>
      </c>
      <c r="DK239" s="360" t="str">
        <f ca="1">IF($DJ239="","",CONCATENATE(VLOOKUP($DJ239,games.a,9,FALSE),VLOOKUP($DJ239,games.a,12,FALSE)))</f>
        <v/>
      </c>
      <c r="DL239" s="354" t="str">
        <f ca="1">IF($DJ239="","",VLOOKUP($DJ239,games.a,10,FALSE))</f>
        <v/>
      </c>
      <c r="DM239" s="354" t="str">
        <f ca="1">IF($DJ239="","",VLOOKUP($DJ239,games.a,13,FALSE))</f>
        <v/>
      </c>
      <c r="DN239" s="361" t="str">
        <f ca="1">IF($DJ239="","",VLOOKUP($DJ239,games.a,6,FALSE))</f>
        <v/>
      </c>
      <c r="DO239" s="362" t="str">
        <f ca="1">IF($DJ239="","",VLOOKUP($DJ239,games.a,7,FALSE))</f>
        <v/>
      </c>
      <c r="DP239" s="379" t="str">
        <f ca="1">DP238</f>
        <v/>
      </c>
      <c r="DQ239" s="302"/>
      <c r="DR239" s="364"/>
      <c r="DS239" s="302"/>
      <c r="DU239" s="424"/>
      <c r="DV239" s="424"/>
      <c r="DW239" s="424"/>
      <c r="DX239" s="424"/>
      <c r="DY239" s="424"/>
      <c r="DZ239" s="424"/>
      <c r="EA239" s="424"/>
      <c r="EB239" s="424"/>
      <c r="EC239" s="424"/>
      <c r="ED239" s="424"/>
      <c r="EE239" s="424"/>
      <c r="EF239" s="424"/>
      <c r="EG239" s="424"/>
      <c r="EH239" s="424"/>
      <c r="EI239" s="424"/>
      <c r="EJ239" s="424"/>
      <c r="EK239" s="424"/>
      <c r="EL239" s="424"/>
      <c r="EM239" s="424"/>
      <c r="EN239" s="424"/>
      <c r="EO239" s="424"/>
      <c r="EP239" s="424"/>
      <c r="EQ239" s="424"/>
      <c r="ER239" s="424"/>
      <c r="ES239" s="424"/>
      <c r="ET239" s="424"/>
      <c r="EU239" s="424"/>
      <c r="EV239" s="424"/>
      <c r="EW239" s="424"/>
      <c r="EX239" s="424"/>
      <c r="EY239" s="424"/>
      <c r="EZ239" s="424"/>
      <c r="FA239" s="424"/>
      <c r="FB239" s="424"/>
      <c r="FC239" s="424"/>
      <c r="FD239" s="425"/>
      <c r="FE239" s="333"/>
      <c r="FO239" s="300"/>
      <c r="FP239" s="395" t="str">
        <f t="shared" ca="1" si="623"/>
        <v/>
      </c>
      <c r="FQ239" s="360" t="str">
        <f t="shared" ca="1" si="624"/>
        <v/>
      </c>
      <c r="FR239" s="360" t="str">
        <f t="shared" ca="1" si="615"/>
        <v/>
      </c>
      <c r="FS239" s="360" t="str">
        <f t="shared" ca="1" si="616"/>
        <v/>
      </c>
      <c r="FT239" s="360" t="str">
        <f t="shared" ca="1" si="617"/>
        <v/>
      </c>
      <c r="FU239" s="360" t="str">
        <f t="shared" ca="1" si="618"/>
        <v/>
      </c>
      <c r="FV239" s="360" t="str">
        <f t="shared" ca="1" si="619"/>
        <v/>
      </c>
      <c r="FW239" s="360" t="str">
        <f t="shared" ca="1" si="620"/>
        <v/>
      </c>
      <c r="FX239" s="360" t="str">
        <f t="shared" ca="1" si="621"/>
        <v/>
      </c>
      <c r="FY239" s="360" t="str">
        <f t="shared" ca="1" si="622"/>
        <v/>
      </c>
      <c r="FZ239" s="379" t="str">
        <f t="shared" ca="1" si="625"/>
        <v/>
      </c>
      <c r="GA239" s="302"/>
      <c r="GB239" s="364"/>
      <c r="GC239" s="302"/>
    </row>
    <row r="240" spans="86:185" x14ac:dyDescent="0.25">
      <c r="CH240" s="445"/>
      <c r="CI240" s="300"/>
      <c r="CJ240" s="300"/>
      <c r="CK240" s="300"/>
      <c r="CL240" s="449"/>
      <c r="CM240" s="445"/>
      <c r="DG240" s="445"/>
      <c r="DH240" s="300"/>
      <c r="DI240" s="395" t="str">
        <f ca="1">DI234</f>
        <v/>
      </c>
      <c r="DJ240" s="360" t="str">
        <f ca="1">IF(OR(DI240="",DP240="",DI240=DP240),"",CONCATENATE(DI240,DP240))</f>
        <v/>
      </c>
      <c r="DK240" s="360" t="str">
        <f ca="1">IF($DJ240="","",CONCATENATE(VLOOKUP($DJ240,games.a,9,FALSE),VLOOKUP($DJ240,games.a,12,FALSE)))</f>
        <v/>
      </c>
      <c r="DL240" s="354" t="str">
        <f ca="1">IF($DJ240="","",VLOOKUP($DJ240,games.a,10,FALSE))</f>
        <v/>
      </c>
      <c r="DM240" s="354" t="str">
        <f ca="1">IF($DJ240="","",VLOOKUP($DJ240,games.a,13,FALSE))</f>
        <v/>
      </c>
      <c r="DN240" s="361" t="str">
        <f ca="1">IF($DJ240="","",VLOOKUP($DJ240,games.a,6,FALSE))</f>
        <v/>
      </c>
      <c r="DO240" s="362" t="str">
        <f ca="1">IF($DJ240="","",VLOOKUP($DJ240,games.a,7,FALSE))</f>
        <v/>
      </c>
      <c r="DP240" s="379" t="str">
        <f ca="1">DP239</f>
        <v/>
      </c>
      <c r="DQ240" s="302"/>
      <c r="DR240" s="364"/>
      <c r="DS240" s="302"/>
      <c r="DU240" s="424"/>
      <c r="DV240" s="424"/>
      <c r="DW240" s="424"/>
      <c r="DX240" s="424"/>
      <c r="DY240" s="424"/>
      <c r="DZ240" s="424"/>
      <c r="EA240" s="424"/>
      <c r="EB240" s="424"/>
      <c r="EC240" s="424"/>
      <c r="ED240" s="424"/>
      <c r="EE240" s="424"/>
      <c r="EF240" s="424"/>
      <c r="EG240" s="424"/>
      <c r="EH240" s="424"/>
      <c r="EI240" s="424"/>
      <c r="EJ240" s="424"/>
      <c r="EK240" s="424"/>
      <c r="EL240" s="424"/>
      <c r="EM240" s="424"/>
      <c r="EN240" s="424"/>
      <c r="EO240" s="424"/>
      <c r="EP240" s="424"/>
      <c r="EQ240" s="424"/>
      <c r="ER240" s="424"/>
      <c r="ES240" s="424"/>
      <c r="ET240" s="424"/>
      <c r="EU240" s="424"/>
      <c r="EV240" s="424"/>
      <c r="EW240" s="424"/>
      <c r="EX240" s="424"/>
      <c r="EY240" s="424"/>
      <c r="EZ240" s="424"/>
      <c r="FA240" s="424"/>
      <c r="FB240" s="424"/>
      <c r="FC240" s="424"/>
      <c r="FD240" s="425"/>
      <c r="FE240" s="333"/>
      <c r="FO240" s="300"/>
      <c r="FP240" s="395" t="str">
        <f t="shared" ca="1" si="623"/>
        <v/>
      </c>
      <c r="FQ240" s="360" t="str">
        <f t="shared" ca="1" si="624"/>
        <v/>
      </c>
      <c r="FR240" s="360" t="str">
        <f t="shared" ca="1" si="615"/>
        <v/>
      </c>
      <c r="FS240" s="360" t="str">
        <f t="shared" ca="1" si="616"/>
        <v/>
      </c>
      <c r="FT240" s="360" t="str">
        <f t="shared" ca="1" si="617"/>
        <v/>
      </c>
      <c r="FU240" s="360" t="str">
        <f t="shared" ca="1" si="618"/>
        <v/>
      </c>
      <c r="FV240" s="360" t="str">
        <f t="shared" ca="1" si="619"/>
        <v/>
      </c>
      <c r="FW240" s="360" t="str">
        <f t="shared" ca="1" si="620"/>
        <v/>
      </c>
      <c r="FX240" s="360" t="str">
        <f t="shared" ca="1" si="621"/>
        <v/>
      </c>
      <c r="FY240" s="360" t="str">
        <f t="shared" ca="1" si="622"/>
        <v/>
      </c>
      <c r="FZ240" s="379" t="str">
        <f t="shared" ca="1" si="625"/>
        <v/>
      </c>
      <c r="GA240" s="302"/>
      <c r="GB240" s="364"/>
      <c r="GC240" s="302"/>
    </row>
    <row r="241" spans="86:185" x14ac:dyDescent="0.25">
      <c r="CH241" s="445"/>
      <c r="CI241" s="300"/>
      <c r="CJ241" s="300"/>
      <c r="CK241" s="300"/>
      <c r="CL241" s="449"/>
      <c r="CM241" s="445"/>
      <c r="DG241" s="445"/>
      <c r="DH241" s="445"/>
      <c r="DI241" s="301"/>
      <c r="DJ241" s="302"/>
      <c r="DK241" s="302"/>
      <c r="DL241" s="302"/>
      <c r="DM241" s="302"/>
      <c r="DN241" s="302"/>
      <c r="DO241" s="302"/>
      <c r="DP241" s="447"/>
      <c r="DQ241" s="302"/>
      <c r="DR241" s="446" t="s">
        <v>216</v>
      </c>
      <c r="DS241" s="302"/>
      <c r="DU241" s="424"/>
      <c r="DV241" s="424"/>
      <c r="DW241" s="424"/>
      <c r="DX241" s="424"/>
      <c r="DY241" s="424"/>
      <c r="DZ241" s="424"/>
      <c r="EA241" s="424"/>
      <c r="EB241" s="424"/>
      <c r="EC241" s="424"/>
      <c r="ED241" s="424"/>
      <c r="EE241" s="424"/>
      <c r="EF241" s="424"/>
      <c r="EG241" s="424"/>
      <c r="EH241" s="424"/>
      <c r="EI241" s="424"/>
      <c r="EJ241" s="424"/>
      <c r="EK241" s="424"/>
      <c r="EL241" s="424"/>
      <c r="EM241" s="424"/>
      <c r="EN241" s="424"/>
      <c r="EO241" s="424"/>
      <c r="EP241" s="424"/>
      <c r="EQ241" s="424"/>
      <c r="ER241" s="424"/>
      <c r="ES241" s="424"/>
      <c r="ET241" s="424"/>
      <c r="EU241" s="424"/>
      <c r="EV241" s="424"/>
      <c r="EW241" s="424"/>
      <c r="EX241" s="424"/>
      <c r="EY241" s="424"/>
      <c r="EZ241" s="424"/>
      <c r="FA241" s="424"/>
      <c r="FB241" s="424"/>
      <c r="FC241" s="424"/>
      <c r="FD241" s="425"/>
      <c r="FE241" s="333"/>
      <c r="FO241" s="445"/>
      <c r="FP241" s="301"/>
      <c r="FQ241" s="324" t="s">
        <v>157</v>
      </c>
      <c r="FR241" s="324" t="s">
        <v>237</v>
      </c>
      <c r="FS241" s="324" t="s">
        <v>239</v>
      </c>
      <c r="FT241" s="324" t="s">
        <v>240</v>
      </c>
      <c r="FU241" s="324" t="s">
        <v>238</v>
      </c>
      <c r="FV241" s="324" t="s">
        <v>241</v>
      </c>
      <c r="FW241" s="324" t="s">
        <v>242</v>
      </c>
      <c r="FX241" s="326" t="s">
        <v>160</v>
      </c>
      <c r="FY241" s="325" t="s">
        <v>135</v>
      </c>
      <c r="FZ241" s="302"/>
      <c r="GA241" s="302"/>
      <c r="GB241" s="364"/>
      <c r="GC241" s="302"/>
    </row>
    <row r="242" spans="86:185" x14ac:dyDescent="0.25">
      <c r="CH242" s="445"/>
      <c r="CI242" s="300"/>
      <c r="CJ242" s="300"/>
      <c r="CK242" s="300"/>
      <c r="CL242" s="449"/>
      <c r="CM242" s="445"/>
      <c r="DG242" s="445"/>
      <c r="DH242" s="445"/>
      <c r="DI242" s="301"/>
      <c r="DJ242" s="302"/>
      <c r="DK242" s="302"/>
      <c r="DL242" s="302"/>
      <c r="DM242" s="302"/>
      <c r="DN242" s="302"/>
      <c r="DO242" s="302"/>
      <c r="DP242" s="447"/>
      <c r="DQ242" s="302"/>
      <c r="DR242" s="450" t="s">
        <v>217</v>
      </c>
      <c r="DS242" s="302"/>
      <c r="DU242" s="424"/>
      <c r="DV242" s="424"/>
      <c r="DW242" s="424"/>
      <c r="DX242" s="424"/>
      <c r="DY242" s="424"/>
      <c r="DZ242" s="424"/>
      <c r="EA242" s="424"/>
      <c r="EB242" s="424"/>
      <c r="EC242" s="424"/>
      <c r="ED242" s="424"/>
      <c r="EE242" s="424"/>
      <c r="EF242" s="424"/>
      <c r="EG242" s="424"/>
      <c r="EH242" s="424"/>
      <c r="EI242" s="424"/>
      <c r="EJ242" s="424"/>
      <c r="EK242" s="424"/>
      <c r="EL242" s="424"/>
      <c r="EM242" s="424"/>
      <c r="EN242" s="424"/>
      <c r="EO242" s="424"/>
      <c r="EP242" s="424"/>
      <c r="EQ242" s="424"/>
      <c r="ER242" s="424"/>
      <c r="ES242" s="424"/>
      <c r="ET242" s="424"/>
      <c r="EU242" s="424"/>
      <c r="EV242" s="424"/>
      <c r="EW242" s="424"/>
      <c r="EX242" s="424"/>
      <c r="EY242" s="424"/>
      <c r="EZ242" s="424"/>
      <c r="FA242" s="424"/>
      <c r="FB242" s="424"/>
      <c r="FC242" s="424"/>
      <c r="FD242" s="425"/>
      <c r="FE242" s="333"/>
      <c r="FO242" s="445"/>
      <c r="FP242" s="395" t="str">
        <f ca="1">FP231</f>
        <v/>
      </c>
      <c r="FQ242" s="360" t="str">
        <f ca="1">IF(OR(FP242="",FZ242="",FP242=FZ242),"",CONCATENATE(FP242,FZ242))</f>
        <v/>
      </c>
      <c r="FR242" s="360" t="str">
        <f t="shared" ref="FR242:FR251" ca="1" si="626">IF($FQ242="","",VLOOKUP($FQ242,games.a,9,FALSE))</f>
        <v/>
      </c>
      <c r="FS242" s="360" t="str">
        <f t="shared" ref="FS242:FS251" ca="1" si="627">IF($FQ242="","",VLOOKUP($FQ242,games.a,10,FALSE))</f>
        <v/>
      </c>
      <c r="FT242" s="360" t="str">
        <f t="shared" ref="FT242:FT251" ca="1" si="628">IF($FQ242="","",VLOOKUP($FQ242,games.a,11,FALSE))</f>
        <v/>
      </c>
      <c r="FU242" s="360" t="str">
        <f t="shared" ref="FU242:FU251" ca="1" si="629">IF($FQ242="","",VLOOKUP($FQ242,games.a,12,FALSE))</f>
        <v/>
      </c>
      <c r="FV242" s="360" t="str">
        <f t="shared" ref="FV242:FV251" ca="1" si="630">IF($FQ242="","",VLOOKUP($FQ242,games.a,13,FALSE))</f>
        <v/>
      </c>
      <c r="FW242" s="360" t="str">
        <f t="shared" ref="FW242:FW251" ca="1" si="631">IF($FQ242="","",VLOOKUP($FQ242,games.a,14,FALSE))</f>
        <v/>
      </c>
      <c r="FX242" s="360" t="str">
        <f t="shared" ref="FX242:FX251" ca="1" si="632">IF($FQ242="","",VLOOKUP($FQ242,games.a,6,FALSE))</f>
        <v/>
      </c>
      <c r="FY242" s="360" t="str">
        <f t="shared" ref="FY242:FY251" ca="1" si="633">IF($FQ242="","",VLOOKUP($FQ242,games.a,7,FALSE))</f>
        <v/>
      </c>
      <c r="FZ242" s="363" t="str">
        <f ca="1">FP162</f>
        <v/>
      </c>
      <c r="GA242" s="302"/>
      <c r="GB242" s="364"/>
      <c r="GC242" s="302"/>
    </row>
    <row r="243" spans="86:185" x14ac:dyDescent="0.25">
      <c r="CH243" s="445"/>
      <c r="CI243" s="300"/>
      <c r="CJ243" s="300"/>
      <c r="CK243" s="300"/>
      <c r="CL243" s="449"/>
      <c r="CM243" s="445"/>
      <c r="DG243" s="445"/>
      <c r="DH243" s="300"/>
      <c r="DI243" s="323" t="b">
        <f ca="1">OR(NOT($AJ$44),COUNTIF(DN243:DN262,"")=16-(DP243-1)*DP243,COUNTIF(DN243:DN262,"")=16-(DP243-1)*DP243/2)</f>
        <v>1</v>
      </c>
      <c r="DJ243" s="324" t="s">
        <v>157</v>
      </c>
      <c r="DK243" s="324" t="s">
        <v>158</v>
      </c>
      <c r="DL243" s="325" t="s">
        <v>159</v>
      </c>
      <c r="DM243" s="325"/>
      <c r="DN243" s="326" t="s">
        <v>160</v>
      </c>
      <c r="DO243" s="325" t="s">
        <v>135</v>
      </c>
      <c r="DP243" s="323">
        <f ca="1">COUNT(CZ42:CZ45)</f>
        <v>0</v>
      </c>
      <c r="DQ243" s="302"/>
      <c r="DR243" s="364"/>
      <c r="DS243" s="302"/>
      <c r="DU243" s="424"/>
      <c r="DV243" s="329" t="s">
        <v>229</v>
      </c>
      <c r="DW243" s="365"/>
      <c r="DX243" s="329" t="s">
        <v>152</v>
      </c>
      <c r="DY243" s="329" t="s">
        <v>153</v>
      </c>
      <c r="DZ243" s="329" t="s">
        <v>154</v>
      </c>
      <c r="EA243" s="329" t="s">
        <v>155</v>
      </c>
      <c r="EB243" s="329" t="s">
        <v>125</v>
      </c>
      <c r="EC243" s="329" t="s">
        <v>226</v>
      </c>
      <c r="ED243" s="329" t="s">
        <v>126</v>
      </c>
      <c r="EE243" s="329" t="s">
        <v>227</v>
      </c>
      <c r="EF243" s="424"/>
      <c r="EG243" s="424"/>
      <c r="EH243" s="424"/>
      <c r="EI243" s="329" t="s">
        <v>228</v>
      </c>
      <c r="EJ243" s="329" t="s">
        <v>156</v>
      </c>
      <c r="EK243" s="329" t="s">
        <v>208</v>
      </c>
      <c r="EL243" s="424"/>
      <c r="EM243" s="424"/>
      <c r="EN243" s="424"/>
      <c r="EO243" s="424"/>
      <c r="EP243" s="424"/>
      <c r="EQ243" s="424"/>
      <c r="ER243" s="424"/>
      <c r="ES243" s="424"/>
      <c r="ET243" s="424"/>
      <c r="EU243" s="424"/>
      <c r="EV243" s="424"/>
      <c r="EW243" s="424"/>
      <c r="EX243" s="424"/>
      <c r="EY243" s="424"/>
      <c r="EZ243" s="424"/>
      <c r="FA243" s="424"/>
      <c r="FB243" s="424"/>
      <c r="FC243" s="424"/>
      <c r="FD243" s="425"/>
      <c r="FE243" s="333"/>
      <c r="FO243" s="300"/>
      <c r="FP243" s="395" t="str">
        <f t="shared" ref="FP243:FP251" ca="1" si="634">FP232</f>
        <v/>
      </c>
      <c r="FQ243" s="360" t="str">
        <f t="shared" ref="FQ243:FQ251" ca="1" si="635">IF(OR(FP243="",FZ243="",FP243=FZ243),"",CONCATENATE(FP243,FZ243))</f>
        <v/>
      </c>
      <c r="FR243" s="360" t="str">
        <f t="shared" ca="1" si="626"/>
        <v/>
      </c>
      <c r="FS243" s="360" t="str">
        <f t="shared" ca="1" si="627"/>
        <v/>
      </c>
      <c r="FT243" s="360" t="str">
        <f t="shared" ca="1" si="628"/>
        <v/>
      </c>
      <c r="FU243" s="360" t="str">
        <f t="shared" ca="1" si="629"/>
        <v/>
      </c>
      <c r="FV243" s="360" t="str">
        <f t="shared" ca="1" si="630"/>
        <v/>
      </c>
      <c r="FW243" s="360" t="str">
        <f t="shared" ca="1" si="631"/>
        <v/>
      </c>
      <c r="FX243" s="360" t="str">
        <f t="shared" ca="1" si="632"/>
        <v/>
      </c>
      <c r="FY243" s="360" t="str">
        <f t="shared" ca="1" si="633"/>
        <v/>
      </c>
      <c r="FZ243" s="379" t="str">
        <f ca="1">FZ242</f>
        <v/>
      </c>
      <c r="GA243" s="302"/>
      <c r="GB243" s="364"/>
      <c r="GC243" s="302"/>
    </row>
    <row r="244" spans="86:185" x14ac:dyDescent="0.25">
      <c r="CH244" s="445"/>
      <c r="CI244" s="300"/>
      <c r="CJ244" s="300"/>
      <c r="CK244" s="300"/>
      <c r="CL244" s="449"/>
      <c r="CM244" s="445"/>
      <c r="DG244" s="445"/>
      <c r="DH244" s="300"/>
      <c r="DI244" s="359" t="str">
        <f ca="1">IF(CZ42="","",VLOOKUP(CZ42,xxx.aa1,13,FALSE))</f>
        <v/>
      </c>
      <c r="DJ244" s="360" t="str">
        <f ca="1">IF(OR(DI244="",DP244="",DI244=DP244),"",CONCATENATE(DI244,DP244))</f>
        <v/>
      </c>
      <c r="DK244" s="360" t="str">
        <f ca="1">IF($DJ244="","",CONCATENATE(VLOOKUP($DJ244,games.a,9,FALSE),VLOOKUP($DJ244,games.a,12,FALSE)))</f>
        <v/>
      </c>
      <c r="DL244" s="354" t="str">
        <f ca="1">IF($DJ244="","",VLOOKUP($DJ244,games.a,10,FALSE))</f>
        <v/>
      </c>
      <c r="DM244" s="354" t="str">
        <f ca="1">IF($DJ244="","",VLOOKUP($DJ244,games.a,13,FALSE))</f>
        <v/>
      </c>
      <c r="DN244" s="361" t="str">
        <f ca="1">IF($DJ244="","",VLOOKUP($DJ244,games.a,6,FALSE))</f>
        <v/>
      </c>
      <c r="DO244" s="362" t="str">
        <f ca="1">IF($DJ244="","",VLOOKUP($DJ244,games.a,7,FALSE))</f>
        <v/>
      </c>
      <c r="DP244" s="363" t="str">
        <f ca="1">DI244</f>
        <v/>
      </c>
      <c r="DQ244" s="302"/>
      <c r="DR244" s="364"/>
      <c r="DS244" s="302"/>
      <c r="DU244" s="424"/>
      <c r="DV244" s="366" t="str">
        <f ca="1">IF(OR(NOT($AJ$44),DI243),DI244,"")</f>
        <v/>
      </c>
      <c r="DW244" s="365"/>
      <c r="DX244" s="366">
        <f ca="1">IF($DV244="",0,COUNTIF(xxgy.aa,$DV244))</f>
        <v>0</v>
      </c>
      <c r="DY244" s="366">
        <f ca="1">IF($DV244="",0,COUNTIF(xxd.aa,$DV244))</f>
        <v>0</v>
      </c>
      <c r="DZ244" s="366">
        <f ca="1">IF($DV244="",0,1)*(SUMIF(xxo.aa,$DV244,xxl.aa)+SUMIF(xxi.aa,$DV244,xxk.aa))</f>
        <v>0</v>
      </c>
      <c r="EA244" s="366">
        <f ca="1">IF($DV244="",0,1)*(SUMIF(xxo.aa,$DV244,xxk.aa)+SUMIF(xxi.aa,$DV244,xxl.aa))</f>
        <v>0</v>
      </c>
      <c r="EB244" s="366">
        <f ca="1">DZ244-EA244</f>
        <v>0</v>
      </c>
      <c r="EC244" s="366">
        <f ca="1">IF(EA244=0,0,DZ244/EA244)</f>
        <v>0</v>
      </c>
      <c r="ED244" s="366">
        <f ca="1">$AJ$48*DX244+IF($AJ$44,0,1)*DY244</f>
        <v>0</v>
      </c>
      <c r="EE244" s="396">
        <f ca="1">ED244*1000000+IF($AJ$44,EC244,EB244)*1000*0</f>
        <v>0</v>
      </c>
      <c r="EF244" s="424"/>
      <c r="EG244" s="424"/>
      <c r="EH244" s="424"/>
      <c r="EI244" s="366">
        <f ca="1">IF(OR(ISERR(EE244),ISNA(EE244)),0,EE244)</f>
        <v>0</v>
      </c>
      <c r="EJ244" s="366">
        <f ca="1">IF(EI244=0,0,RANK(EI244,EI244:EI247,1))</f>
        <v>0</v>
      </c>
      <c r="EK244" s="366">
        <f ca="1">EJ244*40000*IF(COUNTIF($FC$42:$FC$65,DV244)&gt;0,0,1)</f>
        <v>0</v>
      </c>
      <c r="EL244" s="424"/>
      <c r="EM244" s="424"/>
      <c r="EN244" s="424"/>
      <c r="EO244" s="424"/>
      <c r="EP244" s="424"/>
      <c r="EQ244" s="424"/>
      <c r="ER244" s="424"/>
      <c r="ES244" s="424"/>
      <c r="ET244" s="424"/>
      <c r="EU244" s="424"/>
      <c r="EV244" s="424"/>
      <c r="EW244" s="424"/>
      <c r="EX244" s="424"/>
      <c r="EY244" s="424"/>
      <c r="EZ244" s="424"/>
      <c r="FA244" s="424"/>
      <c r="FB244" s="424"/>
      <c r="FC244" s="424"/>
      <c r="FD244" s="425"/>
      <c r="FE244" s="333"/>
      <c r="FO244" s="300"/>
      <c r="FP244" s="395" t="str">
        <f t="shared" ca="1" si="634"/>
        <v/>
      </c>
      <c r="FQ244" s="360" t="str">
        <f t="shared" ca="1" si="635"/>
        <v/>
      </c>
      <c r="FR244" s="360" t="str">
        <f t="shared" ca="1" si="626"/>
        <v/>
      </c>
      <c r="FS244" s="360" t="str">
        <f t="shared" ca="1" si="627"/>
        <v/>
      </c>
      <c r="FT244" s="360" t="str">
        <f t="shared" ca="1" si="628"/>
        <v/>
      </c>
      <c r="FU244" s="360" t="str">
        <f t="shared" ca="1" si="629"/>
        <v/>
      </c>
      <c r="FV244" s="360" t="str">
        <f t="shared" ca="1" si="630"/>
        <v/>
      </c>
      <c r="FW244" s="360" t="str">
        <f t="shared" ca="1" si="631"/>
        <v/>
      </c>
      <c r="FX244" s="360" t="str">
        <f t="shared" ca="1" si="632"/>
        <v/>
      </c>
      <c r="FY244" s="360" t="str">
        <f t="shared" ca="1" si="633"/>
        <v/>
      </c>
      <c r="FZ244" s="379" t="str">
        <f t="shared" ref="FZ244:FZ251" ca="1" si="636">FZ243</f>
        <v/>
      </c>
      <c r="GA244" s="302"/>
      <c r="GB244" s="364"/>
      <c r="GC244" s="302"/>
    </row>
    <row r="245" spans="86:185" x14ac:dyDescent="0.25">
      <c r="CH245" s="445"/>
      <c r="CI245" s="300"/>
      <c r="CJ245" s="300"/>
      <c r="CK245" s="300"/>
      <c r="CL245" s="449"/>
      <c r="CM245" s="445"/>
      <c r="DG245" s="445"/>
      <c r="DH245" s="300"/>
      <c r="DI245" s="359" t="str">
        <f ca="1">IF(CZ43="","",VLOOKUP(CZ43,xxx.aa1,13,FALSE))</f>
        <v/>
      </c>
      <c r="DJ245" s="360" t="str">
        <f ca="1">IF(OR(DI245="",DP245="",DI245=DP245),"",CONCATENATE(DI245,DP245))</f>
        <v/>
      </c>
      <c r="DK245" s="360" t="str">
        <f ca="1">IF($DJ245="","",CONCATENATE(VLOOKUP($DJ245,games.a,9,FALSE),VLOOKUP($DJ245,games.a,12,FALSE)))</f>
        <v/>
      </c>
      <c r="DL245" s="354" t="str">
        <f ca="1">IF($DJ245="","",VLOOKUP($DJ245,games.a,10,FALSE))</f>
        <v/>
      </c>
      <c r="DM245" s="354" t="str">
        <f ca="1">IF($DJ245="","",VLOOKUP($DJ245,games.a,13,FALSE))</f>
        <v/>
      </c>
      <c r="DN245" s="361" t="str">
        <f ca="1">IF($DJ245="","",VLOOKUP($DJ245,games.a,6,FALSE))</f>
        <v/>
      </c>
      <c r="DO245" s="362" t="str">
        <f ca="1">IF($DJ245="","",VLOOKUP($DJ245,games.a,7,FALSE))</f>
        <v/>
      </c>
      <c r="DP245" s="379" t="str">
        <f ca="1">DP244</f>
        <v/>
      </c>
      <c r="DQ245" s="302"/>
      <c r="DR245" s="364"/>
      <c r="DS245" s="302"/>
      <c r="DU245" s="424"/>
      <c r="DV245" s="366" t="str">
        <f ca="1">IF(OR(NOT($AJ$44),DI243),DI245,"")</f>
        <v/>
      </c>
      <c r="DW245" s="365"/>
      <c r="DX245" s="366">
        <f ca="1">IF($DV245="",0,COUNTIF(xxgy.aa,$DV245))</f>
        <v>0</v>
      </c>
      <c r="DY245" s="366">
        <f ca="1">IF($DV245="",0,COUNTIF(xxd.aa,$DV245))</f>
        <v>0</v>
      </c>
      <c r="DZ245" s="366">
        <f ca="1">IF($DV245="",0,1)*(SUMIF(xxo.aa,$DV245,xxl.aa)+SUMIF(xxi.aa,$DV245,xxk.aa))</f>
        <v>0</v>
      </c>
      <c r="EA245" s="366">
        <f ca="1">IF($DV245="",0,1)*(SUMIF(xxo.aa,$DV245,xxk.aa)+SUMIF(xxi.aa,$DV245,xxl.aa))</f>
        <v>0</v>
      </c>
      <c r="EB245" s="366">
        <f ca="1">DZ245-EA245</f>
        <v>0</v>
      </c>
      <c r="EC245" s="366">
        <f ca="1">IF(EA245=0,0,DZ245/EA245)</f>
        <v>0</v>
      </c>
      <c r="ED245" s="366">
        <f ca="1">$AJ$48*DX245+IF($AJ$44,0,1)*DY245</f>
        <v>0</v>
      </c>
      <c r="EE245" s="396">
        <f ca="1">ED245*1000000+IF($AJ$44,EC245,EB245)*1000*0</f>
        <v>0</v>
      </c>
      <c r="EF245" s="424"/>
      <c r="EG245" s="424"/>
      <c r="EH245" s="424"/>
      <c r="EI245" s="366">
        <f ca="1">IF(OR(ISERR(EE245),ISNA(EE245)),0,EE245)</f>
        <v>0</v>
      </c>
      <c r="EJ245" s="366">
        <f ca="1">IF(EI245=0,0,RANK(EI245,EI244:EI247,1))</f>
        <v>0</v>
      </c>
      <c r="EK245" s="366">
        <f ca="1">EJ245*40000*IF(COUNTIF($FC$42:$FC$65,DV245)&gt;0,0,1)</f>
        <v>0</v>
      </c>
      <c r="EL245" s="424"/>
      <c r="EM245" s="424"/>
      <c r="EN245" s="424"/>
      <c r="EO245" s="424"/>
      <c r="EP245" s="424"/>
      <c r="EQ245" s="424"/>
      <c r="ER245" s="424"/>
      <c r="ES245" s="424"/>
      <c r="ET245" s="424"/>
      <c r="EU245" s="424"/>
      <c r="EV245" s="424"/>
      <c r="EW245" s="424"/>
      <c r="EX245" s="424"/>
      <c r="EY245" s="424"/>
      <c r="EZ245" s="424"/>
      <c r="FA245" s="424"/>
      <c r="FB245" s="424"/>
      <c r="FC245" s="424"/>
      <c r="FD245" s="425"/>
      <c r="FE245" s="333"/>
      <c r="FO245" s="300"/>
      <c r="FP245" s="395" t="str">
        <f t="shared" ca="1" si="634"/>
        <v/>
      </c>
      <c r="FQ245" s="360" t="str">
        <f t="shared" ca="1" si="635"/>
        <v/>
      </c>
      <c r="FR245" s="360" t="str">
        <f t="shared" ca="1" si="626"/>
        <v/>
      </c>
      <c r="FS245" s="360" t="str">
        <f t="shared" ca="1" si="627"/>
        <v/>
      </c>
      <c r="FT245" s="360" t="str">
        <f t="shared" ca="1" si="628"/>
        <v/>
      </c>
      <c r="FU245" s="360" t="str">
        <f t="shared" ca="1" si="629"/>
        <v/>
      </c>
      <c r="FV245" s="360" t="str">
        <f t="shared" ca="1" si="630"/>
        <v/>
      </c>
      <c r="FW245" s="360" t="str">
        <f t="shared" ca="1" si="631"/>
        <v/>
      </c>
      <c r="FX245" s="360" t="str">
        <f t="shared" ca="1" si="632"/>
        <v/>
      </c>
      <c r="FY245" s="360" t="str">
        <f t="shared" ca="1" si="633"/>
        <v/>
      </c>
      <c r="FZ245" s="379" t="str">
        <f t="shared" ca="1" si="636"/>
        <v/>
      </c>
      <c r="GA245" s="302"/>
      <c r="GB245" s="364"/>
      <c r="GC245" s="302"/>
    </row>
    <row r="246" spans="86:185" x14ac:dyDescent="0.25">
      <c r="CH246" s="445"/>
      <c r="CI246" s="300"/>
      <c r="CJ246" s="300"/>
      <c r="CK246" s="300"/>
      <c r="CL246" s="449"/>
      <c r="CM246" s="445"/>
      <c r="DG246" s="445"/>
      <c r="DH246" s="300"/>
      <c r="DI246" s="359" t="str">
        <f ca="1">IF(CZ44="","",VLOOKUP(CZ44,xxx.aa1,13,FALSE))</f>
        <v/>
      </c>
      <c r="DJ246" s="360" t="str">
        <f ca="1">IF(OR(DI246="",DP246="",DI246=DP246),"",CONCATENATE(DI246,DP246))</f>
        <v/>
      </c>
      <c r="DK246" s="360" t="str">
        <f ca="1">IF($DJ246="","",CONCATENATE(VLOOKUP($DJ246,games.a,9,FALSE),VLOOKUP($DJ246,games.a,12,FALSE)))</f>
        <v/>
      </c>
      <c r="DL246" s="354" t="str">
        <f ca="1">IF($DJ246="","",VLOOKUP($DJ246,games.a,10,FALSE))</f>
        <v/>
      </c>
      <c r="DM246" s="354" t="str">
        <f ca="1">IF($DJ246="","",VLOOKUP($DJ246,games.a,13,FALSE))</f>
        <v/>
      </c>
      <c r="DN246" s="361" t="str">
        <f ca="1">IF($DJ246="","",VLOOKUP($DJ246,games.a,6,FALSE))</f>
        <v/>
      </c>
      <c r="DO246" s="362" t="str">
        <f ca="1">IF($DJ246="","",VLOOKUP($DJ246,games.a,7,FALSE))</f>
        <v/>
      </c>
      <c r="DP246" s="379" t="str">
        <f ca="1">DP245</f>
        <v/>
      </c>
      <c r="DQ246" s="302"/>
      <c r="DR246" s="364"/>
      <c r="DS246" s="302"/>
      <c r="DU246" s="424"/>
      <c r="DV246" s="366" t="str">
        <f ca="1">IF(OR(NOT($AJ$44),DI243),DI246,"")</f>
        <v/>
      </c>
      <c r="DW246" s="365"/>
      <c r="DX246" s="366">
        <f ca="1">IF($DV246="",0,COUNTIF(xxgy.aa,$DV246))</f>
        <v>0</v>
      </c>
      <c r="DY246" s="366">
        <f ca="1">IF($DV246="",0,COUNTIF(xxd.aa,$DV246))</f>
        <v>0</v>
      </c>
      <c r="DZ246" s="366">
        <f ca="1">IF($DV246="",0,1)*(SUMIF(xxo.aa,$DV246,xxl.aa)+SUMIF(xxi.aa,$DV246,xxk.aa))</f>
        <v>0</v>
      </c>
      <c r="EA246" s="366">
        <f ca="1">IF($DV246="",0,1)*(SUMIF(xxo.aa,$DV246,xxk.aa)+SUMIF(xxi.aa,$DV246,xxl.aa))</f>
        <v>0</v>
      </c>
      <c r="EB246" s="366">
        <f ca="1">DZ246-EA246</f>
        <v>0</v>
      </c>
      <c r="EC246" s="366">
        <f ca="1">IF(EA246=0,0,DZ246/EA246)</f>
        <v>0</v>
      </c>
      <c r="ED246" s="366">
        <f ca="1">$AJ$48*DX246+IF($AJ$44,0,1)*DY246</f>
        <v>0</v>
      </c>
      <c r="EE246" s="396">
        <f ca="1">ED246*1000000+IF($AJ$44,EC246,EB246)*1000*0</f>
        <v>0</v>
      </c>
      <c r="EF246" s="424"/>
      <c r="EG246" s="424"/>
      <c r="EH246" s="424"/>
      <c r="EI246" s="366">
        <f ca="1">IF(OR(ISERR(EE246),ISNA(EE246)),0,EE246)</f>
        <v>0</v>
      </c>
      <c r="EJ246" s="366">
        <f ca="1">IF(EI246=0,0,RANK(EI246,EI244:EI247,1))</f>
        <v>0</v>
      </c>
      <c r="EK246" s="366">
        <f ca="1">EJ246*40000*IF(COUNTIF($FC$42:$FC$65,DV246)&gt;0,0,1)</f>
        <v>0</v>
      </c>
      <c r="EL246" s="424"/>
      <c r="EM246" s="424"/>
      <c r="EN246" s="424"/>
      <c r="EO246" s="424"/>
      <c r="EP246" s="424"/>
      <c r="EQ246" s="424"/>
      <c r="ER246" s="424"/>
      <c r="ES246" s="424"/>
      <c r="ET246" s="424"/>
      <c r="EU246" s="424"/>
      <c r="EV246" s="424"/>
      <c r="EW246" s="424"/>
      <c r="EX246" s="424"/>
      <c r="EY246" s="424"/>
      <c r="EZ246" s="424"/>
      <c r="FA246" s="424"/>
      <c r="FB246" s="424"/>
      <c r="FC246" s="424"/>
      <c r="FD246" s="425"/>
      <c r="FE246" s="333"/>
      <c r="FO246" s="300"/>
      <c r="FP246" s="395" t="str">
        <f t="shared" ca="1" si="634"/>
        <v/>
      </c>
      <c r="FQ246" s="360" t="str">
        <f t="shared" ca="1" si="635"/>
        <v/>
      </c>
      <c r="FR246" s="360" t="str">
        <f t="shared" ca="1" si="626"/>
        <v/>
      </c>
      <c r="FS246" s="360" t="str">
        <f t="shared" ca="1" si="627"/>
        <v/>
      </c>
      <c r="FT246" s="360" t="str">
        <f t="shared" ca="1" si="628"/>
        <v/>
      </c>
      <c r="FU246" s="360" t="str">
        <f t="shared" ca="1" si="629"/>
        <v/>
      </c>
      <c r="FV246" s="360" t="str">
        <f t="shared" ca="1" si="630"/>
        <v/>
      </c>
      <c r="FW246" s="360" t="str">
        <f t="shared" ca="1" si="631"/>
        <v/>
      </c>
      <c r="FX246" s="360" t="str">
        <f t="shared" ca="1" si="632"/>
        <v/>
      </c>
      <c r="FY246" s="360" t="str">
        <f t="shared" ca="1" si="633"/>
        <v/>
      </c>
      <c r="FZ246" s="379" t="str">
        <f t="shared" ca="1" si="636"/>
        <v/>
      </c>
      <c r="GA246" s="302"/>
      <c r="GB246" s="364"/>
      <c r="GC246" s="302"/>
    </row>
    <row r="247" spans="86:185" x14ac:dyDescent="0.25">
      <c r="CH247" s="445"/>
      <c r="CI247" s="300"/>
      <c r="CJ247" s="300"/>
      <c r="CK247" s="300"/>
      <c r="CL247" s="449"/>
      <c r="CM247" s="445"/>
      <c r="DG247" s="445"/>
      <c r="DH247" s="300"/>
      <c r="DI247" s="359" t="str">
        <f ca="1">IF(CZ45="","",VLOOKUP(CZ45,xxx.aa1,13,FALSE))</f>
        <v/>
      </c>
      <c r="DJ247" s="360" t="str">
        <f ca="1">IF(OR(DI247="",DP247="",DI247=DP247),"",CONCATENATE(DI247,DP247))</f>
        <v/>
      </c>
      <c r="DK247" s="360" t="str">
        <f ca="1">IF($DJ247="","",CONCATENATE(VLOOKUP($DJ247,games.a,9,FALSE),VLOOKUP($DJ247,games.a,12,FALSE)))</f>
        <v/>
      </c>
      <c r="DL247" s="354" t="str">
        <f ca="1">IF($DJ247="","",VLOOKUP($DJ247,games.a,10,FALSE))</f>
        <v/>
      </c>
      <c r="DM247" s="354" t="str">
        <f ca="1">IF($DJ247="","",VLOOKUP($DJ247,games.a,13,FALSE))</f>
        <v/>
      </c>
      <c r="DN247" s="361" t="str">
        <f ca="1">IF($DJ247="","",VLOOKUP($DJ247,games.a,6,FALSE))</f>
        <v/>
      </c>
      <c r="DO247" s="362" t="str">
        <f ca="1">IF($DJ247="","",VLOOKUP($DJ247,games.a,7,FALSE))</f>
        <v/>
      </c>
      <c r="DP247" s="379" t="str">
        <f ca="1">DP246</f>
        <v/>
      </c>
      <c r="DQ247" s="302"/>
      <c r="DR247" s="364"/>
      <c r="DS247" s="302"/>
      <c r="DU247" s="424"/>
      <c r="DV247" s="366" t="str">
        <f ca="1">IF(OR(NOT($AJ$44),DI243),DI247,"")</f>
        <v/>
      </c>
      <c r="DW247" s="365"/>
      <c r="DX247" s="366">
        <f ca="1">IF($DV247="",0,COUNTIF(xxgy.aa,$DV247))</f>
        <v>0</v>
      </c>
      <c r="DY247" s="366">
        <f ca="1">IF($DV247="",0,COUNTIF(xxd.aa,$DV247))</f>
        <v>0</v>
      </c>
      <c r="DZ247" s="366">
        <f ca="1">IF($DV247="",0,1)*(SUMIF(xxo.aa,$DV247,xxl.aa)+SUMIF(xxi.aa,$DV247,xxk.aa))</f>
        <v>0</v>
      </c>
      <c r="EA247" s="366">
        <f ca="1">IF($DV247="",0,1)*(SUMIF(xxo.aa,$DV247,xxk.aa)+SUMIF(xxi.aa,$DV247,xxl.aa))</f>
        <v>0</v>
      </c>
      <c r="EB247" s="366">
        <f ca="1">DZ247-EA247</f>
        <v>0</v>
      </c>
      <c r="EC247" s="366">
        <f ca="1">IF(EA247=0,0,DZ247/EA247)</f>
        <v>0</v>
      </c>
      <c r="ED247" s="366">
        <f ca="1">$AJ$48*DX247+IF($AJ$44,0,1)*DY247</f>
        <v>0</v>
      </c>
      <c r="EE247" s="396">
        <f ca="1">ED247*1000000+IF($AJ$44,EC247,EB247)*1000*0</f>
        <v>0</v>
      </c>
      <c r="EF247" s="424"/>
      <c r="EG247" s="424"/>
      <c r="EH247" s="424"/>
      <c r="EI247" s="366">
        <f ca="1">IF(OR(ISERR(EE247),ISNA(EE247)),0,EE247)</f>
        <v>0</v>
      </c>
      <c r="EJ247" s="366">
        <f ca="1">IF(EI247=0,0,RANK(EI247,EI244:EI247,1))</f>
        <v>0</v>
      </c>
      <c r="EK247" s="366">
        <f ca="1">EJ247*40000*IF(COUNTIF($FC$42:$FC$65,DV247)&gt;0,0,1)</f>
        <v>0</v>
      </c>
      <c r="EL247" s="424"/>
      <c r="EM247" s="424"/>
      <c r="EN247" s="424"/>
      <c r="EO247" s="424"/>
      <c r="EP247" s="424"/>
      <c r="EQ247" s="424"/>
      <c r="ER247" s="424"/>
      <c r="ES247" s="424"/>
      <c r="ET247" s="424"/>
      <c r="EU247" s="424"/>
      <c r="EV247" s="424"/>
      <c r="EW247" s="424"/>
      <c r="EX247" s="424"/>
      <c r="EY247" s="424"/>
      <c r="EZ247" s="424"/>
      <c r="FA247" s="424"/>
      <c r="FB247" s="424"/>
      <c r="FC247" s="424"/>
      <c r="FD247" s="425"/>
      <c r="FE247" s="333"/>
      <c r="FO247" s="300"/>
      <c r="FP247" s="395" t="str">
        <f t="shared" ca="1" si="634"/>
        <v/>
      </c>
      <c r="FQ247" s="360" t="str">
        <f t="shared" ca="1" si="635"/>
        <v/>
      </c>
      <c r="FR247" s="360" t="str">
        <f t="shared" ca="1" si="626"/>
        <v/>
      </c>
      <c r="FS247" s="360" t="str">
        <f t="shared" ca="1" si="627"/>
        <v/>
      </c>
      <c r="FT247" s="360" t="str">
        <f t="shared" ca="1" si="628"/>
        <v/>
      </c>
      <c r="FU247" s="360" t="str">
        <f t="shared" ca="1" si="629"/>
        <v/>
      </c>
      <c r="FV247" s="360" t="str">
        <f t="shared" ca="1" si="630"/>
        <v/>
      </c>
      <c r="FW247" s="360" t="str">
        <f t="shared" ca="1" si="631"/>
        <v/>
      </c>
      <c r="FX247" s="360" t="str">
        <f t="shared" ca="1" si="632"/>
        <v/>
      </c>
      <c r="FY247" s="360" t="str">
        <f t="shared" ca="1" si="633"/>
        <v/>
      </c>
      <c r="FZ247" s="379" t="str">
        <f t="shared" ca="1" si="636"/>
        <v/>
      </c>
      <c r="GA247" s="302"/>
      <c r="GB247" s="364"/>
      <c r="GC247" s="302"/>
    </row>
    <row r="248" spans="86:185" x14ac:dyDescent="0.25">
      <c r="CH248" s="445"/>
      <c r="CI248" s="300"/>
      <c r="CJ248" s="300"/>
      <c r="CK248" s="300"/>
      <c r="CL248" s="449"/>
      <c r="CM248" s="445"/>
      <c r="DG248" s="445"/>
      <c r="DH248" s="300"/>
      <c r="DI248" s="301"/>
      <c r="DJ248" s="324" t="s">
        <v>157</v>
      </c>
      <c r="DK248" s="324" t="s">
        <v>158</v>
      </c>
      <c r="DL248" s="325" t="s">
        <v>159</v>
      </c>
      <c r="DM248" s="325"/>
      <c r="DN248" s="326" t="s">
        <v>160</v>
      </c>
      <c r="DO248" s="325" t="s">
        <v>135</v>
      </c>
      <c r="DP248" s="302"/>
      <c r="DQ248" s="302"/>
      <c r="DR248" s="364"/>
      <c r="DS248" s="302"/>
      <c r="DU248" s="424"/>
      <c r="DV248" s="424"/>
      <c r="DW248" s="424"/>
      <c r="DX248" s="424"/>
      <c r="DY248" s="424"/>
      <c r="DZ248" s="424"/>
      <c r="EA248" s="424"/>
      <c r="EB248" s="424"/>
      <c r="EC248" s="424"/>
      <c r="ED248" s="424"/>
      <c r="EE248" s="424"/>
      <c r="EF248" s="424"/>
      <c r="EG248" s="424"/>
      <c r="EH248" s="424"/>
      <c r="EI248" s="424"/>
      <c r="EJ248" s="424"/>
      <c r="EK248" s="424"/>
      <c r="EL248" s="424"/>
      <c r="EM248" s="424"/>
      <c r="EN248" s="424"/>
      <c r="EO248" s="424"/>
      <c r="EP248" s="424"/>
      <c r="EQ248" s="424"/>
      <c r="ER248" s="424"/>
      <c r="ES248" s="424"/>
      <c r="ET248" s="424"/>
      <c r="EU248" s="424"/>
      <c r="EV248" s="424"/>
      <c r="EW248" s="424"/>
      <c r="EX248" s="424"/>
      <c r="EY248" s="424"/>
      <c r="EZ248" s="424"/>
      <c r="FA248" s="424"/>
      <c r="FB248" s="424"/>
      <c r="FC248" s="424"/>
      <c r="FD248" s="425"/>
      <c r="FE248" s="333"/>
      <c r="FO248" s="300"/>
      <c r="FP248" s="395" t="str">
        <f t="shared" ca="1" si="634"/>
        <v/>
      </c>
      <c r="FQ248" s="360" t="str">
        <f t="shared" ca="1" si="635"/>
        <v/>
      </c>
      <c r="FR248" s="360" t="str">
        <f t="shared" ca="1" si="626"/>
        <v/>
      </c>
      <c r="FS248" s="360" t="str">
        <f t="shared" ca="1" si="627"/>
        <v/>
      </c>
      <c r="FT248" s="360" t="str">
        <f t="shared" ca="1" si="628"/>
        <v/>
      </c>
      <c r="FU248" s="360" t="str">
        <f t="shared" ca="1" si="629"/>
        <v/>
      </c>
      <c r="FV248" s="360" t="str">
        <f t="shared" ca="1" si="630"/>
        <v/>
      </c>
      <c r="FW248" s="360" t="str">
        <f t="shared" ca="1" si="631"/>
        <v/>
      </c>
      <c r="FX248" s="360" t="str">
        <f t="shared" ca="1" si="632"/>
        <v/>
      </c>
      <c r="FY248" s="360" t="str">
        <f t="shared" ca="1" si="633"/>
        <v/>
      </c>
      <c r="FZ248" s="379" t="str">
        <f t="shared" ca="1" si="636"/>
        <v/>
      </c>
      <c r="GA248" s="302"/>
      <c r="GB248" s="364"/>
      <c r="GC248" s="302"/>
    </row>
    <row r="249" spans="86:185" x14ac:dyDescent="0.25">
      <c r="CH249" s="445"/>
      <c r="CI249" s="300"/>
      <c r="CJ249" s="300"/>
      <c r="CK249" s="300"/>
      <c r="CL249" s="449"/>
      <c r="CM249" s="445"/>
      <c r="DG249" s="445"/>
      <c r="DH249" s="300"/>
      <c r="DI249" s="395" t="str">
        <f ca="1">DI244</f>
        <v/>
      </c>
      <c r="DJ249" s="360" t="str">
        <f ca="1">IF(OR(DI249="",DP249="",DI249=DP249),"",CONCATENATE(DI249,DP249))</f>
        <v/>
      </c>
      <c r="DK249" s="360" t="str">
        <f ca="1">IF($DJ249="","",CONCATENATE(VLOOKUP($DJ249,games.a,9,FALSE),VLOOKUP($DJ249,games.a,12,FALSE)))</f>
        <v/>
      </c>
      <c r="DL249" s="354" t="str">
        <f ca="1">IF($DJ249="","",VLOOKUP($DJ249,games.a,10,FALSE))</f>
        <v/>
      </c>
      <c r="DM249" s="354" t="str">
        <f ca="1">IF($DJ249="","",VLOOKUP($DJ249,games.a,13,FALSE))</f>
        <v/>
      </c>
      <c r="DN249" s="361" t="str">
        <f ca="1">IF($DJ249="","",VLOOKUP($DJ249,games.a,6,FALSE))</f>
        <v/>
      </c>
      <c r="DO249" s="362" t="str">
        <f ca="1">IF($DJ249="","",VLOOKUP($DJ249,games.a,7,FALSE))</f>
        <v/>
      </c>
      <c r="DP249" s="363" t="str">
        <f ca="1">DI245</f>
        <v/>
      </c>
      <c r="DQ249" s="302"/>
      <c r="DR249" s="364"/>
      <c r="DS249" s="302"/>
      <c r="DU249" s="424"/>
      <c r="DV249" s="424"/>
      <c r="DW249" s="424"/>
      <c r="DX249" s="424"/>
      <c r="DY249" s="424"/>
      <c r="DZ249" s="424"/>
      <c r="EA249" s="424"/>
      <c r="EB249" s="424"/>
      <c r="EC249" s="424"/>
      <c r="ED249" s="424"/>
      <c r="EE249" s="424"/>
      <c r="EF249" s="424"/>
      <c r="EG249" s="424"/>
      <c r="EH249" s="424"/>
      <c r="EI249" s="424"/>
      <c r="EJ249" s="424"/>
      <c r="EK249" s="424"/>
      <c r="EL249" s="424"/>
      <c r="EM249" s="424"/>
      <c r="EN249" s="424"/>
      <c r="EO249" s="424"/>
      <c r="EP249" s="424"/>
      <c r="EQ249" s="424"/>
      <c r="ER249" s="424"/>
      <c r="ES249" s="424"/>
      <c r="ET249" s="424"/>
      <c r="EU249" s="424"/>
      <c r="EV249" s="424"/>
      <c r="EW249" s="424"/>
      <c r="EX249" s="424"/>
      <c r="EY249" s="424"/>
      <c r="EZ249" s="424"/>
      <c r="FA249" s="424"/>
      <c r="FB249" s="424"/>
      <c r="FC249" s="424"/>
      <c r="FD249" s="425"/>
      <c r="FE249" s="333"/>
      <c r="FO249" s="300"/>
      <c r="FP249" s="395" t="str">
        <f t="shared" ca="1" si="634"/>
        <v/>
      </c>
      <c r="FQ249" s="360" t="str">
        <f t="shared" ca="1" si="635"/>
        <v/>
      </c>
      <c r="FR249" s="360" t="str">
        <f t="shared" ca="1" si="626"/>
        <v/>
      </c>
      <c r="FS249" s="360" t="str">
        <f t="shared" ca="1" si="627"/>
        <v/>
      </c>
      <c r="FT249" s="360" t="str">
        <f t="shared" ca="1" si="628"/>
        <v/>
      </c>
      <c r="FU249" s="360" t="str">
        <f t="shared" ca="1" si="629"/>
        <v/>
      </c>
      <c r="FV249" s="360" t="str">
        <f t="shared" ca="1" si="630"/>
        <v/>
      </c>
      <c r="FW249" s="360" t="str">
        <f t="shared" ca="1" si="631"/>
        <v/>
      </c>
      <c r="FX249" s="360" t="str">
        <f t="shared" ca="1" si="632"/>
        <v/>
      </c>
      <c r="FY249" s="360" t="str">
        <f t="shared" ca="1" si="633"/>
        <v/>
      </c>
      <c r="FZ249" s="379" t="str">
        <f t="shared" ca="1" si="636"/>
        <v/>
      </c>
      <c r="GA249" s="302"/>
      <c r="GB249" s="364"/>
      <c r="GC249" s="302"/>
    </row>
    <row r="250" spans="86:185" x14ac:dyDescent="0.25">
      <c r="CH250" s="445"/>
      <c r="CI250" s="300"/>
      <c r="CJ250" s="300"/>
      <c r="CK250" s="300"/>
      <c r="CL250" s="449"/>
      <c r="CM250" s="445"/>
      <c r="DG250" s="445"/>
      <c r="DH250" s="300"/>
      <c r="DI250" s="395" t="str">
        <f ca="1">DI245</f>
        <v/>
      </c>
      <c r="DJ250" s="360" t="str">
        <f ca="1">IF(OR(DI250="",DP250="",DI250=DP250),"",CONCATENATE(DI250,DP250))</f>
        <v/>
      </c>
      <c r="DK250" s="360" t="str">
        <f ca="1">IF($DJ250="","",CONCATENATE(VLOOKUP($DJ250,games.a,9,FALSE),VLOOKUP($DJ250,games.a,12,FALSE)))</f>
        <v/>
      </c>
      <c r="DL250" s="354" t="str">
        <f ca="1">IF($DJ250="","",VLOOKUP($DJ250,games.a,10,FALSE))</f>
        <v/>
      </c>
      <c r="DM250" s="354" t="str">
        <f ca="1">IF($DJ250="","",VLOOKUP($DJ250,games.a,13,FALSE))</f>
        <v/>
      </c>
      <c r="DN250" s="361" t="str">
        <f ca="1">IF($DJ250="","",VLOOKUP($DJ250,games.a,6,FALSE))</f>
        <v/>
      </c>
      <c r="DO250" s="362" t="str">
        <f ca="1">IF($DJ250="","",VLOOKUP($DJ250,games.a,7,FALSE))</f>
        <v/>
      </c>
      <c r="DP250" s="379" t="str">
        <f ca="1">DP249</f>
        <v/>
      </c>
      <c r="DQ250" s="302"/>
      <c r="DR250" s="364"/>
      <c r="DS250" s="302"/>
      <c r="DU250" s="424"/>
      <c r="DV250" s="424"/>
      <c r="DW250" s="424"/>
      <c r="DX250" s="424"/>
      <c r="DY250" s="424"/>
      <c r="DZ250" s="424"/>
      <c r="EA250" s="424"/>
      <c r="EB250" s="424"/>
      <c r="EC250" s="424"/>
      <c r="ED250" s="424"/>
      <c r="EE250" s="424"/>
      <c r="EF250" s="424"/>
      <c r="EG250" s="424"/>
      <c r="EH250" s="424"/>
      <c r="EI250" s="424"/>
      <c r="EJ250" s="424"/>
      <c r="EK250" s="424"/>
      <c r="EL250" s="424"/>
      <c r="EM250" s="424"/>
      <c r="EN250" s="424"/>
      <c r="EO250" s="424"/>
      <c r="EP250" s="424"/>
      <c r="EQ250" s="424"/>
      <c r="ER250" s="424"/>
      <c r="ES250" s="424"/>
      <c r="ET250" s="424"/>
      <c r="EU250" s="424"/>
      <c r="EV250" s="424"/>
      <c r="EW250" s="424"/>
      <c r="EX250" s="424"/>
      <c r="EY250" s="424"/>
      <c r="EZ250" s="424"/>
      <c r="FA250" s="424"/>
      <c r="FB250" s="424"/>
      <c r="FC250" s="424"/>
      <c r="FD250" s="425"/>
      <c r="FE250" s="333"/>
      <c r="FO250" s="300"/>
      <c r="FP250" s="395" t="str">
        <f t="shared" ca="1" si="634"/>
        <v/>
      </c>
      <c r="FQ250" s="360" t="str">
        <f t="shared" ca="1" si="635"/>
        <v/>
      </c>
      <c r="FR250" s="360" t="str">
        <f t="shared" ca="1" si="626"/>
        <v/>
      </c>
      <c r="FS250" s="360" t="str">
        <f t="shared" ca="1" si="627"/>
        <v/>
      </c>
      <c r="FT250" s="360" t="str">
        <f t="shared" ca="1" si="628"/>
        <v/>
      </c>
      <c r="FU250" s="360" t="str">
        <f t="shared" ca="1" si="629"/>
        <v/>
      </c>
      <c r="FV250" s="360" t="str">
        <f t="shared" ca="1" si="630"/>
        <v/>
      </c>
      <c r="FW250" s="360" t="str">
        <f t="shared" ca="1" si="631"/>
        <v/>
      </c>
      <c r="FX250" s="360" t="str">
        <f t="shared" ca="1" si="632"/>
        <v/>
      </c>
      <c r="FY250" s="360" t="str">
        <f t="shared" ca="1" si="633"/>
        <v/>
      </c>
      <c r="FZ250" s="379" t="str">
        <f t="shared" ca="1" si="636"/>
        <v/>
      </c>
      <c r="GA250" s="302"/>
      <c r="GB250" s="364"/>
      <c r="GC250" s="302"/>
    </row>
    <row r="251" spans="86:185" x14ac:dyDescent="0.25">
      <c r="CH251" s="445"/>
      <c r="CI251" s="300"/>
      <c r="CJ251" s="300"/>
      <c r="CK251" s="300"/>
      <c r="CL251" s="449"/>
      <c r="CM251" s="445"/>
      <c r="DG251" s="445"/>
      <c r="DH251" s="300"/>
      <c r="DI251" s="395" t="str">
        <f ca="1">DI246</f>
        <v/>
      </c>
      <c r="DJ251" s="360" t="str">
        <f ca="1">IF(OR(DI251="",DP251="",DI251=DP251),"",CONCATENATE(DI251,DP251))</f>
        <v/>
      </c>
      <c r="DK251" s="360" t="str">
        <f ca="1">IF($DJ251="","",CONCATENATE(VLOOKUP($DJ251,games.a,9,FALSE),VLOOKUP($DJ251,games.a,12,FALSE)))</f>
        <v/>
      </c>
      <c r="DL251" s="354" t="str">
        <f ca="1">IF($DJ251="","",VLOOKUP($DJ251,games.a,10,FALSE))</f>
        <v/>
      </c>
      <c r="DM251" s="354" t="str">
        <f ca="1">IF($DJ251="","",VLOOKUP($DJ251,games.a,13,FALSE))</f>
        <v/>
      </c>
      <c r="DN251" s="361" t="str">
        <f ca="1">IF($DJ251="","",VLOOKUP($DJ251,games.a,6,FALSE))</f>
        <v/>
      </c>
      <c r="DO251" s="362" t="str">
        <f ca="1">IF($DJ251="","",VLOOKUP($DJ251,games.a,7,FALSE))</f>
        <v/>
      </c>
      <c r="DP251" s="379" t="str">
        <f ca="1">DP250</f>
        <v/>
      </c>
      <c r="DQ251" s="302"/>
      <c r="DR251" s="364"/>
      <c r="DS251" s="302"/>
      <c r="DU251" s="424"/>
      <c r="DV251" s="424"/>
      <c r="DW251" s="424"/>
      <c r="DX251" s="424"/>
      <c r="DY251" s="424"/>
      <c r="DZ251" s="424"/>
      <c r="EA251" s="424"/>
      <c r="EB251" s="424"/>
      <c r="EC251" s="424"/>
      <c r="ED251" s="424"/>
      <c r="EE251" s="424"/>
      <c r="EF251" s="424"/>
      <c r="EG251" s="424"/>
      <c r="EH251" s="424"/>
      <c r="EI251" s="424"/>
      <c r="EJ251" s="424"/>
      <c r="EK251" s="424"/>
      <c r="EL251" s="424"/>
      <c r="EM251" s="424"/>
      <c r="EN251" s="424"/>
      <c r="EO251" s="424"/>
      <c r="EP251" s="424"/>
      <c r="EQ251" s="424"/>
      <c r="ER251" s="424"/>
      <c r="ES251" s="424"/>
      <c r="ET251" s="424"/>
      <c r="EU251" s="424"/>
      <c r="EV251" s="424"/>
      <c r="EW251" s="424"/>
      <c r="EX251" s="424"/>
      <c r="EY251" s="424"/>
      <c r="EZ251" s="424"/>
      <c r="FA251" s="424"/>
      <c r="FB251" s="424"/>
      <c r="FC251" s="424"/>
      <c r="FD251" s="425"/>
      <c r="FE251" s="333"/>
      <c r="FO251" s="300"/>
      <c r="FP251" s="395" t="str">
        <f t="shared" ca="1" si="634"/>
        <v/>
      </c>
      <c r="FQ251" s="360" t="str">
        <f t="shared" ca="1" si="635"/>
        <v/>
      </c>
      <c r="FR251" s="360" t="str">
        <f t="shared" ca="1" si="626"/>
        <v/>
      </c>
      <c r="FS251" s="360" t="str">
        <f t="shared" ca="1" si="627"/>
        <v/>
      </c>
      <c r="FT251" s="360" t="str">
        <f t="shared" ca="1" si="628"/>
        <v/>
      </c>
      <c r="FU251" s="360" t="str">
        <f t="shared" ca="1" si="629"/>
        <v/>
      </c>
      <c r="FV251" s="360" t="str">
        <f t="shared" ca="1" si="630"/>
        <v/>
      </c>
      <c r="FW251" s="360" t="str">
        <f t="shared" ca="1" si="631"/>
        <v/>
      </c>
      <c r="FX251" s="360" t="str">
        <f t="shared" ca="1" si="632"/>
        <v/>
      </c>
      <c r="FY251" s="360" t="str">
        <f t="shared" ca="1" si="633"/>
        <v/>
      </c>
      <c r="FZ251" s="379" t="str">
        <f t="shared" ca="1" si="636"/>
        <v/>
      </c>
      <c r="GA251" s="302"/>
      <c r="GB251" s="364"/>
      <c r="GC251" s="302"/>
    </row>
    <row r="252" spans="86:185" x14ac:dyDescent="0.25">
      <c r="CH252" s="445"/>
      <c r="CI252" s="300"/>
      <c r="CJ252" s="300"/>
      <c r="CK252" s="300"/>
      <c r="CL252" s="449"/>
      <c r="CM252" s="445"/>
      <c r="DG252" s="445"/>
      <c r="DH252" s="300"/>
      <c r="DI252" s="395" t="str">
        <f ca="1">DI247</f>
        <v/>
      </c>
      <c r="DJ252" s="360" t="str">
        <f ca="1">IF(OR(DI252="",DP252="",DI252=DP252),"",CONCATENATE(DI252,DP252))</f>
        <v/>
      </c>
      <c r="DK252" s="360" t="str">
        <f ca="1">IF($DJ252="","",CONCATENATE(VLOOKUP($DJ252,games.a,9,FALSE),VLOOKUP($DJ252,games.a,12,FALSE)))</f>
        <v/>
      </c>
      <c r="DL252" s="354" t="str">
        <f ca="1">IF($DJ252="","",VLOOKUP($DJ252,games.a,10,FALSE))</f>
        <v/>
      </c>
      <c r="DM252" s="354" t="str">
        <f ca="1">IF($DJ252="","",VLOOKUP($DJ252,games.a,13,FALSE))</f>
        <v/>
      </c>
      <c r="DN252" s="361" t="str">
        <f ca="1">IF($DJ252="","",VLOOKUP($DJ252,games.a,6,FALSE))</f>
        <v/>
      </c>
      <c r="DO252" s="362" t="str">
        <f ca="1">IF($DJ252="","",VLOOKUP($DJ252,games.a,7,FALSE))</f>
        <v/>
      </c>
      <c r="DP252" s="379" t="str">
        <f ca="1">DP251</f>
        <v/>
      </c>
      <c r="DQ252" s="302"/>
      <c r="DR252" s="364"/>
      <c r="DS252" s="302"/>
      <c r="DU252" s="424"/>
      <c r="DV252" s="424"/>
      <c r="DW252" s="424"/>
      <c r="DX252" s="424"/>
      <c r="DY252" s="424"/>
      <c r="DZ252" s="424"/>
      <c r="EA252" s="424"/>
      <c r="EB252" s="424"/>
      <c r="EC252" s="424"/>
      <c r="ED252" s="424"/>
      <c r="EE252" s="424"/>
      <c r="EF252" s="424"/>
      <c r="EG252" s="424"/>
      <c r="EH252" s="424"/>
      <c r="EI252" s="424"/>
      <c r="EJ252" s="424"/>
      <c r="EK252" s="424"/>
      <c r="EL252" s="424"/>
      <c r="EM252" s="424"/>
      <c r="EN252" s="424"/>
      <c r="EO252" s="424"/>
      <c r="EP252" s="424"/>
      <c r="EQ252" s="424"/>
      <c r="ER252" s="424"/>
      <c r="ES252" s="424"/>
      <c r="ET252" s="424"/>
      <c r="EU252" s="424"/>
      <c r="EV252" s="424"/>
      <c r="EW252" s="424"/>
      <c r="EX252" s="424"/>
      <c r="EY252" s="424"/>
      <c r="EZ252" s="424"/>
      <c r="FA252" s="424"/>
      <c r="FB252" s="424"/>
      <c r="FC252" s="424"/>
      <c r="FD252" s="425"/>
      <c r="FE252" s="333"/>
      <c r="FO252" s="300"/>
      <c r="FP252" s="301"/>
      <c r="FQ252" s="324" t="s">
        <v>157</v>
      </c>
      <c r="FR252" s="324" t="s">
        <v>237</v>
      </c>
      <c r="FS252" s="324" t="s">
        <v>239</v>
      </c>
      <c r="FT252" s="324" t="s">
        <v>240</v>
      </c>
      <c r="FU252" s="324" t="s">
        <v>238</v>
      </c>
      <c r="FV252" s="324" t="s">
        <v>241</v>
      </c>
      <c r="FW252" s="324" t="s">
        <v>242</v>
      </c>
      <c r="FX252" s="326" t="s">
        <v>160</v>
      </c>
      <c r="FY252" s="325" t="s">
        <v>135</v>
      </c>
      <c r="FZ252" s="302"/>
      <c r="GA252" s="302"/>
      <c r="GB252" s="364"/>
      <c r="GC252" s="302"/>
    </row>
    <row r="253" spans="86:185" x14ac:dyDescent="0.25">
      <c r="CH253" s="445"/>
      <c r="CI253" s="300"/>
      <c r="CJ253" s="300"/>
      <c r="CK253" s="300"/>
      <c r="CL253" s="449"/>
      <c r="CM253" s="445"/>
      <c r="DG253" s="445"/>
      <c r="DH253" s="300"/>
      <c r="DI253" s="301"/>
      <c r="DJ253" s="324" t="s">
        <v>157</v>
      </c>
      <c r="DK253" s="324" t="s">
        <v>158</v>
      </c>
      <c r="DL253" s="325" t="s">
        <v>159</v>
      </c>
      <c r="DM253" s="325"/>
      <c r="DN253" s="326" t="s">
        <v>160</v>
      </c>
      <c r="DO253" s="325" t="s">
        <v>135</v>
      </c>
      <c r="DP253" s="302"/>
      <c r="DQ253" s="302"/>
      <c r="DR253" s="364"/>
      <c r="DS253" s="302"/>
      <c r="DU253" s="424"/>
      <c r="DV253" s="424"/>
      <c r="DW253" s="424"/>
      <c r="DX253" s="424"/>
      <c r="DY253" s="424"/>
      <c r="DZ253" s="424"/>
      <c r="EA253" s="424"/>
      <c r="EB253" s="424"/>
      <c r="EC253" s="424"/>
      <c r="ED253" s="424"/>
      <c r="EE253" s="424"/>
      <c r="EF253" s="424"/>
      <c r="EG253" s="424"/>
      <c r="EH253" s="424"/>
      <c r="EI253" s="424"/>
      <c r="EJ253" s="424"/>
      <c r="EK253" s="424"/>
      <c r="EL253" s="424"/>
      <c r="EM253" s="424"/>
      <c r="EN253" s="424"/>
      <c r="EO253" s="424"/>
      <c r="EP253" s="424"/>
      <c r="EQ253" s="424"/>
      <c r="ER253" s="424"/>
      <c r="ES253" s="424"/>
      <c r="ET253" s="424"/>
      <c r="EU253" s="424"/>
      <c r="EV253" s="424"/>
      <c r="EW253" s="424"/>
      <c r="EX253" s="424"/>
      <c r="EY253" s="424"/>
      <c r="EZ253" s="424"/>
      <c r="FA253" s="424"/>
      <c r="FB253" s="424"/>
      <c r="FC253" s="424"/>
      <c r="FD253" s="425"/>
      <c r="FE253" s="333"/>
      <c r="FO253" s="300"/>
      <c r="FP253" s="395" t="str">
        <f ca="1">FP242</f>
        <v/>
      </c>
      <c r="FQ253" s="360" t="str">
        <f ca="1">IF(OR(FP253="",FZ253="",FP253=FZ253),"",CONCATENATE(FP253,FZ253))</f>
        <v/>
      </c>
      <c r="FR253" s="360" t="str">
        <f t="shared" ref="FR253:FR262" ca="1" si="637">IF($FQ253="","",VLOOKUP($FQ253,games.a,9,FALSE))</f>
        <v/>
      </c>
      <c r="FS253" s="360" t="str">
        <f t="shared" ref="FS253:FS262" ca="1" si="638">IF($FQ253="","",VLOOKUP($FQ253,games.a,10,FALSE))</f>
        <v/>
      </c>
      <c r="FT253" s="360" t="str">
        <f t="shared" ref="FT253:FT262" ca="1" si="639">IF($FQ253="","",VLOOKUP($FQ253,games.a,11,FALSE))</f>
        <v/>
      </c>
      <c r="FU253" s="360" t="str">
        <f t="shared" ref="FU253:FU262" ca="1" si="640">IF($FQ253="","",VLOOKUP($FQ253,games.a,12,FALSE))</f>
        <v/>
      </c>
      <c r="FV253" s="360" t="str">
        <f t="shared" ref="FV253:FV262" ca="1" si="641">IF($FQ253="","",VLOOKUP($FQ253,games.a,13,FALSE))</f>
        <v/>
      </c>
      <c r="FW253" s="360" t="str">
        <f t="shared" ref="FW253:FW262" ca="1" si="642">IF($FQ253="","",VLOOKUP($FQ253,games.a,14,FALSE))</f>
        <v/>
      </c>
      <c r="FX253" s="360" t="str">
        <f t="shared" ref="FX253:FX262" ca="1" si="643">IF($FQ253="","",VLOOKUP($FQ253,games.a,6,FALSE))</f>
        <v/>
      </c>
      <c r="FY253" s="360" t="str">
        <f t="shared" ref="FY253:FY262" ca="1" si="644">IF($FQ253="","",VLOOKUP($FQ253,games.a,7,FALSE))</f>
        <v/>
      </c>
      <c r="FZ253" s="363" t="str">
        <f ca="1">FP163</f>
        <v/>
      </c>
      <c r="GA253" s="302"/>
      <c r="GB253" s="364"/>
      <c r="GC253" s="302"/>
    </row>
    <row r="254" spans="86:185" x14ac:dyDescent="0.25">
      <c r="CH254" s="445"/>
      <c r="CI254" s="300"/>
      <c r="CJ254" s="300"/>
      <c r="CK254" s="300"/>
      <c r="CL254" s="449"/>
      <c r="CM254" s="445"/>
      <c r="DG254" s="445"/>
      <c r="DH254" s="300"/>
      <c r="DI254" s="395" t="str">
        <f ca="1">DI249</f>
        <v/>
      </c>
      <c r="DJ254" s="360" t="str">
        <f ca="1">IF(OR(DI254="",DP254="",DI254=DP254),"",CONCATENATE(DI254,DP254))</f>
        <v/>
      </c>
      <c r="DK254" s="360" t="str">
        <f ca="1">IF($DJ254="","",CONCATENATE(VLOOKUP($DJ254,games.a,9,FALSE),VLOOKUP($DJ254,games.a,12,FALSE)))</f>
        <v/>
      </c>
      <c r="DL254" s="354" t="str">
        <f ca="1">IF($DJ254="","",VLOOKUP($DJ254,games.a,10,FALSE))</f>
        <v/>
      </c>
      <c r="DM254" s="354" t="str">
        <f ca="1">IF($DJ254="","",VLOOKUP($DJ254,games.a,13,FALSE))</f>
        <v/>
      </c>
      <c r="DN254" s="361" t="str">
        <f ca="1">IF($DJ254="","",VLOOKUP($DJ254,games.a,6,FALSE))</f>
        <v/>
      </c>
      <c r="DO254" s="362" t="str">
        <f ca="1">IF($DJ254="","",VLOOKUP($DJ254,games.a,7,FALSE))</f>
        <v/>
      </c>
      <c r="DP254" s="363" t="str">
        <f ca="1">DI246</f>
        <v/>
      </c>
      <c r="DQ254" s="302"/>
      <c r="DR254" s="364"/>
      <c r="DS254" s="302"/>
      <c r="DU254" s="424"/>
      <c r="DV254" s="424"/>
      <c r="DW254" s="424"/>
      <c r="DX254" s="424"/>
      <c r="DY254" s="424"/>
      <c r="DZ254" s="424"/>
      <c r="EA254" s="424"/>
      <c r="EB254" s="424"/>
      <c r="EC254" s="424"/>
      <c r="ED254" s="424"/>
      <c r="EE254" s="424"/>
      <c r="EF254" s="424"/>
      <c r="EG254" s="424"/>
      <c r="EH254" s="424"/>
      <c r="EI254" s="424"/>
      <c r="EJ254" s="424"/>
      <c r="EK254" s="424"/>
      <c r="EL254" s="424"/>
      <c r="EM254" s="424"/>
      <c r="EN254" s="424"/>
      <c r="EO254" s="424"/>
      <c r="EP254" s="424"/>
      <c r="EQ254" s="424"/>
      <c r="ER254" s="424"/>
      <c r="ES254" s="424"/>
      <c r="ET254" s="424"/>
      <c r="EU254" s="424"/>
      <c r="EV254" s="424"/>
      <c r="EW254" s="424"/>
      <c r="EX254" s="424"/>
      <c r="EY254" s="424"/>
      <c r="EZ254" s="424"/>
      <c r="FA254" s="424"/>
      <c r="FB254" s="424"/>
      <c r="FC254" s="424"/>
      <c r="FD254" s="425"/>
      <c r="FE254" s="333"/>
      <c r="FO254" s="300"/>
      <c r="FP254" s="395" t="str">
        <f t="shared" ref="FP254:FP262" ca="1" si="645">FP243</f>
        <v/>
      </c>
      <c r="FQ254" s="360" t="str">
        <f t="shared" ref="FQ254:FQ262" ca="1" si="646">IF(OR(FP254="",FZ254="",FP254=FZ254),"",CONCATENATE(FP254,FZ254))</f>
        <v/>
      </c>
      <c r="FR254" s="360" t="str">
        <f t="shared" ca="1" si="637"/>
        <v/>
      </c>
      <c r="FS254" s="360" t="str">
        <f t="shared" ca="1" si="638"/>
        <v/>
      </c>
      <c r="FT254" s="360" t="str">
        <f t="shared" ca="1" si="639"/>
        <v/>
      </c>
      <c r="FU254" s="360" t="str">
        <f t="shared" ca="1" si="640"/>
        <v/>
      </c>
      <c r="FV254" s="360" t="str">
        <f t="shared" ca="1" si="641"/>
        <v/>
      </c>
      <c r="FW254" s="360" t="str">
        <f t="shared" ca="1" si="642"/>
        <v/>
      </c>
      <c r="FX254" s="360" t="str">
        <f t="shared" ca="1" si="643"/>
        <v/>
      </c>
      <c r="FY254" s="360" t="str">
        <f t="shared" ca="1" si="644"/>
        <v/>
      </c>
      <c r="FZ254" s="379" t="str">
        <f ca="1">FZ253</f>
        <v/>
      </c>
      <c r="GA254" s="302"/>
      <c r="GB254" s="364"/>
      <c r="GC254" s="302"/>
    </row>
    <row r="255" spans="86:185" x14ac:dyDescent="0.25">
      <c r="CH255" s="445"/>
      <c r="CI255" s="300"/>
      <c r="CJ255" s="300"/>
      <c r="CK255" s="300"/>
      <c r="CL255" s="449"/>
      <c r="CM255" s="445"/>
      <c r="DG255" s="445"/>
      <c r="DH255" s="300"/>
      <c r="DI255" s="395" t="str">
        <f ca="1">DI250</f>
        <v/>
      </c>
      <c r="DJ255" s="360" t="str">
        <f ca="1">IF(OR(DI255="",DP255="",DI255=DP255),"",CONCATENATE(DI255,DP255))</f>
        <v/>
      </c>
      <c r="DK255" s="360" t="str">
        <f ca="1">IF($DJ255="","",CONCATENATE(VLOOKUP($DJ255,games.a,9,FALSE),VLOOKUP($DJ255,games.a,12,FALSE)))</f>
        <v/>
      </c>
      <c r="DL255" s="354" t="str">
        <f ca="1">IF($DJ255="","",VLOOKUP($DJ255,games.a,10,FALSE))</f>
        <v/>
      </c>
      <c r="DM255" s="354" t="str">
        <f ca="1">IF($DJ255="","",VLOOKUP($DJ255,games.a,13,FALSE))</f>
        <v/>
      </c>
      <c r="DN255" s="361" t="str">
        <f ca="1">IF($DJ255="","",VLOOKUP($DJ255,games.a,6,FALSE))</f>
        <v/>
      </c>
      <c r="DO255" s="362" t="str">
        <f ca="1">IF($DJ255="","",VLOOKUP($DJ255,games.a,7,FALSE))</f>
        <v/>
      </c>
      <c r="DP255" s="379" t="str">
        <f ca="1">DP254</f>
        <v/>
      </c>
      <c r="DQ255" s="302"/>
      <c r="DR255" s="364"/>
      <c r="DS255" s="302"/>
      <c r="DU255" s="424"/>
      <c r="DV255" s="424"/>
      <c r="DW255" s="424"/>
      <c r="DX255" s="424"/>
      <c r="DY255" s="424"/>
      <c r="DZ255" s="424"/>
      <c r="EA255" s="424"/>
      <c r="EB255" s="424"/>
      <c r="EC255" s="424"/>
      <c r="ED255" s="424"/>
      <c r="EE255" s="424"/>
      <c r="EF255" s="424"/>
      <c r="EG255" s="424"/>
      <c r="EH255" s="424"/>
      <c r="EI255" s="424"/>
      <c r="EJ255" s="424"/>
      <c r="EK255" s="424"/>
      <c r="EL255" s="424"/>
      <c r="EM255" s="424"/>
      <c r="EN255" s="424"/>
      <c r="EO255" s="424"/>
      <c r="EP255" s="424"/>
      <c r="EQ255" s="424"/>
      <c r="ER255" s="424"/>
      <c r="ES255" s="424"/>
      <c r="ET255" s="424"/>
      <c r="EU255" s="424"/>
      <c r="EV255" s="424"/>
      <c r="EW255" s="424"/>
      <c r="EX255" s="424"/>
      <c r="EY255" s="424"/>
      <c r="EZ255" s="424"/>
      <c r="FA255" s="424"/>
      <c r="FB255" s="424"/>
      <c r="FC255" s="424"/>
      <c r="FD255" s="425"/>
      <c r="FE255" s="333"/>
      <c r="FO255" s="300"/>
      <c r="FP255" s="395" t="str">
        <f t="shared" ca="1" si="645"/>
        <v/>
      </c>
      <c r="FQ255" s="360" t="str">
        <f t="shared" ca="1" si="646"/>
        <v/>
      </c>
      <c r="FR255" s="360" t="str">
        <f t="shared" ca="1" si="637"/>
        <v/>
      </c>
      <c r="FS255" s="360" t="str">
        <f t="shared" ca="1" si="638"/>
        <v/>
      </c>
      <c r="FT255" s="360" t="str">
        <f t="shared" ca="1" si="639"/>
        <v/>
      </c>
      <c r="FU255" s="360" t="str">
        <f t="shared" ca="1" si="640"/>
        <v/>
      </c>
      <c r="FV255" s="360" t="str">
        <f t="shared" ca="1" si="641"/>
        <v/>
      </c>
      <c r="FW255" s="360" t="str">
        <f t="shared" ca="1" si="642"/>
        <v/>
      </c>
      <c r="FX255" s="360" t="str">
        <f t="shared" ca="1" si="643"/>
        <v/>
      </c>
      <c r="FY255" s="360" t="str">
        <f t="shared" ca="1" si="644"/>
        <v/>
      </c>
      <c r="FZ255" s="379" t="str">
        <f t="shared" ref="FZ255:FZ262" ca="1" si="647">FZ254</f>
        <v/>
      </c>
      <c r="GA255" s="302"/>
      <c r="GB255" s="364"/>
      <c r="GC255" s="302"/>
    </row>
    <row r="256" spans="86:185" x14ac:dyDescent="0.25">
      <c r="CH256" s="445"/>
      <c r="CI256" s="300"/>
      <c r="CJ256" s="300"/>
      <c r="CK256" s="300"/>
      <c r="CL256" s="449"/>
      <c r="CM256" s="445"/>
      <c r="DG256" s="445"/>
      <c r="DH256" s="300"/>
      <c r="DI256" s="395" t="str">
        <f ca="1">DI251</f>
        <v/>
      </c>
      <c r="DJ256" s="360" t="str">
        <f ca="1">IF(OR(DI256="",DP256="",DI256=DP256),"",CONCATENATE(DI256,DP256))</f>
        <v/>
      </c>
      <c r="DK256" s="360" t="str">
        <f ca="1">IF($DJ256="","",CONCATENATE(VLOOKUP($DJ256,games.a,9,FALSE),VLOOKUP($DJ256,games.a,12,FALSE)))</f>
        <v/>
      </c>
      <c r="DL256" s="354" t="str">
        <f ca="1">IF($DJ256="","",VLOOKUP($DJ256,games.a,10,FALSE))</f>
        <v/>
      </c>
      <c r="DM256" s="354" t="str">
        <f ca="1">IF($DJ256="","",VLOOKUP($DJ256,games.a,13,FALSE))</f>
        <v/>
      </c>
      <c r="DN256" s="361" t="str">
        <f ca="1">IF($DJ256="","",VLOOKUP($DJ256,games.a,6,FALSE))</f>
        <v/>
      </c>
      <c r="DO256" s="362" t="str">
        <f ca="1">IF($DJ256="","",VLOOKUP($DJ256,games.a,7,FALSE))</f>
        <v/>
      </c>
      <c r="DP256" s="379" t="str">
        <f ca="1">DP255</f>
        <v/>
      </c>
      <c r="DQ256" s="302"/>
      <c r="DR256" s="364"/>
      <c r="DS256" s="302"/>
      <c r="DU256" s="424"/>
      <c r="DV256" s="424"/>
      <c r="DW256" s="424"/>
      <c r="DX256" s="424"/>
      <c r="DY256" s="424"/>
      <c r="DZ256" s="424"/>
      <c r="EA256" s="424"/>
      <c r="EB256" s="424"/>
      <c r="EC256" s="424"/>
      <c r="ED256" s="424"/>
      <c r="EE256" s="424"/>
      <c r="EF256" s="424"/>
      <c r="EG256" s="424"/>
      <c r="EH256" s="424"/>
      <c r="EI256" s="424"/>
      <c r="EJ256" s="424"/>
      <c r="EK256" s="424"/>
      <c r="EL256" s="424"/>
      <c r="EM256" s="424"/>
      <c r="EN256" s="424"/>
      <c r="EO256" s="424"/>
      <c r="EP256" s="424"/>
      <c r="EQ256" s="424"/>
      <c r="ER256" s="424"/>
      <c r="ES256" s="424"/>
      <c r="ET256" s="424"/>
      <c r="EU256" s="424"/>
      <c r="EV256" s="424"/>
      <c r="EW256" s="424"/>
      <c r="EX256" s="424"/>
      <c r="EY256" s="424"/>
      <c r="EZ256" s="424"/>
      <c r="FA256" s="424"/>
      <c r="FB256" s="424"/>
      <c r="FC256" s="424"/>
      <c r="FD256" s="425"/>
      <c r="FE256" s="333"/>
      <c r="FO256" s="300"/>
      <c r="FP256" s="395" t="str">
        <f t="shared" ca="1" si="645"/>
        <v/>
      </c>
      <c r="FQ256" s="360" t="str">
        <f t="shared" ca="1" si="646"/>
        <v/>
      </c>
      <c r="FR256" s="360" t="str">
        <f t="shared" ca="1" si="637"/>
        <v/>
      </c>
      <c r="FS256" s="360" t="str">
        <f t="shared" ca="1" si="638"/>
        <v/>
      </c>
      <c r="FT256" s="360" t="str">
        <f t="shared" ca="1" si="639"/>
        <v/>
      </c>
      <c r="FU256" s="360" t="str">
        <f t="shared" ca="1" si="640"/>
        <v/>
      </c>
      <c r="FV256" s="360" t="str">
        <f t="shared" ca="1" si="641"/>
        <v/>
      </c>
      <c r="FW256" s="360" t="str">
        <f t="shared" ca="1" si="642"/>
        <v/>
      </c>
      <c r="FX256" s="360" t="str">
        <f t="shared" ca="1" si="643"/>
        <v/>
      </c>
      <c r="FY256" s="360" t="str">
        <f t="shared" ca="1" si="644"/>
        <v/>
      </c>
      <c r="FZ256" s="379" t="str">
        <f t="shared" ca="1" si="647"/>
        <v/>
      </c>
      <c r="GA256" s="302"/>
      <c r="GB256" s="364"/>
      <c r="GC256" s="302"/>
    </row>
    <row r="257" spans="86:185" x14ac:dyDescent="0.25">
      <c r="CH257" s="445"/>
      <c r="CI257" s="300"/>
      <c r="CJ257" s="300"/>
      <c r="CK257" s="300"/>
      <c r="CL257" s="449"/>
      <c r="CM257" s="445"/>
      <c r="DG257" s="445"/>
      <c r="DH257" s="300"/>
      <c r="DI257" s="395" t="str">
        <f ca="1">DI252</f>
        <v/>
      </c>
      <c r="DJ257" s="360" t="str">
        <f ca="1">IF(OR(DI257="",DP257="",DI257=DP257),"",CONCATENATE(DI257,DP257))</f>
        <v/>
      </c>
      <c r="DK257" s="360" t="str">
        <f ca="1">IF($DJ257="","",CONCATENATE(VLOOKUP($DJ257,games.a,9,FALSE),VLOOKUP($DJ257,games.a,12,FALSE)))</f>
        <v/>
      </c>
      <c r="DL257" s="354" t="str">
        <f ca="1">IF($DJ257="","",VLOOKUP($DJ257,games.a,10,FALSE))</f>
        <v/>
      </c>
      <c r="DM257" s="354" t="str">
        <f ca="1">IF($DJ257="","",VLOOKUP($DJ257,games.a,13,FALSE))</f>
        <v/>
      </c>
      <c r="DN257" s="361" t="str">
        <f ca="1">IF($DJ257="","",VLOOKUP($DJ257,games.a,6,FALSE))</f>
        <v/>
      </c>
      <c r="DO257" s="362" t="str">
        <f ca="1">IF($DJ257="","",VLOOKUP($DJ257,games.a,7,FALSE))</f>
        <v/>
      </c>
      <c r="DP257" s="379" t="str">
        <f ca="1">DP256</f>
        <v/>
      </c>
      <c r="DQ257" s="302"/>
      <c r="DR257" s="364"/>
      <c r="DS257" s="302"/>
      <c r="DU257" s="424"/>
      <c r="DV257" s="424"/>
      <c r="DW257" s="424"/>
      <c r="DX257" s="424"/>
      <c r="DY257" s="424"/>
      <c r="DZ257" s="424"/>
      <c r="EA257" s="424"/>
      <c r="EB257" s="424"/>
      <c r="EC257" s="424"/>
      <c r="ED257" s="424"/>
      <c r="EE257" s="424"/>
      <c r="EF257" s="424"/>
      <c r="EG257" s="424"/>
      <c r="EH257" s="424"/>
      <c r="EI257" s="424"/>
      <c r="EJ257" s="424"/>
      <c r="EK257" s="424"/>
      <c r="EL257" s="424"/>
      <c r="EM257" s="424"/>
      <c r="EN257" s="424"/>
      <c r="EO257" s="424"/>
      <c r="EP257" s="424"/>
      <c r="EQ257" s="424"/>
      <c r="ER257" s="424"/>
      <c r="ES257" s="424"/>
      <c r="ET257" s="424"/>
      <c r="EU257" s="424"/>
      <c r="EV257" s="424"/>
      <c r="EW257" s="424"/>
      <c r="EX257" s="424"/>
      <c r="EY257" s="424"/>
      <c r="EZ257" s="424"/>
      <c r="FA257" s="424"/>
      <c r="FB257" s="424"/>
      <c r="FC257" s="424"/>
      <c r="FD257" s="425"/>
      <c r="FE257" s="333"/>
      <c r="FO257" s="300"/>
      <c r="FP257" s="395" t="str">
        <f t="shared" ca="1" si="645"/>
        <v/>
      </c>
      <c r="FQ257" s="360" t="str">
        <f t="shared" ca="1" si="646"/>
        <v/>
      </c>
      <c r="FR257" s="360" t="str">
        <f t="shared" ca="1" si="637"/>
        <v/>
      </c>
      <c r="FS257" s="360" t="str">
        <f t="shared" ca="1" si="638"/>
        <v/>
      </c>
      <c r="FT257" s="360" t="str">
        <f t="shared" ca="1" si="639"/>
        <v/>
      </c>
      <c r="FU257" s="360" t="str">
        <f t="shared" ca="1" si="640"/>
        <v/>
      </c>
      <c r="FV257" s="360" t="str">
        <f t="shared" ca="1" si="641"/>
        <v/>
      </c>
      <c r="FW257" s="360" t="str">
        <f t="shared" ca="1" si="642"/>
        <v/>
      </c>
      <c r="FX257" s="360" t="str">
        <f t="shared" ca="1" si="643"/>
        <v/>
      </c>
      <c r="FY257" s="360" t="str">
        <f t="shared" ca="1" si="644"/>
        <v/>
      </c>
      <c r="FZ257" s="379" t="str">
        <f t="shared" ca="1" si="647"/>
        <v/>
      </c>
      <c r="GA257" s="302"/>
      <c r="GB257" s="364"/>
      <c r="GC257" s="302"/>
    </row>
    <row r="258" spans="86:185" x14ac:dyDescent="0.25">
      <c r="CH258" s="445"/>
      <c r="CI258" s="300"/>
      <c r="CJ258" s="300"/>
      <c r="CK258" s="300"/>
      <c r="CL258" s="449"/>
      <c r="CM258" s="445"/>
      <c r="DG258" s="445"/>
      <c r="DH258" s="300"/>
      <c r="DI258" s="301"/>
      <c r="DJ258" s="324" t="s">
        <v>157</v>
      </c>
      <c r="DK258" s="324" t="s">
        <v>158</v>
      </c>
      <c r="DL258" s="325" t="s">
        <v>159</v>
      </c>
      <c r="DM258" s="325"/>
      <c r="DN258" s="326" t="s">
        <v>160</v>
      </c>
      <c r="DO258" s="325" t="s">
        <v>135</v>
      </c>
      <c r="DP258" s="302"/>
      <c r="DQ258" s="302"/>
      <c r="DR258" s="364"/>
      <c r="DS258" s="302"/>
      <c r="DU258" s="424"/>
      <c r="DV258" s="424"/>
      <c r="DW258" s="424"/>
      <c r="DX258" s="424"/>
      <c r="DY258" s="424"/>
      <c r="DZ258" s="424"/>
      <c r="EA258" s="424"/>
      <c r="EB258" s="424"/>
      <c r="EC258" s="424"/>
      <c r="ED258" s="424"/>
      <c r="EE258" s="424"/>
      <c r="EF258" s="424"/>
      <c r="EG258" s="424"/>
      <c r="EH258" s="424"/>
      <c r="EI258" s="424"/>
      <c r="EJ258" s="424"/>
      <c r="EK258" s="424"/>
      <c r="EL258" s="424"/>
      <c r="EM258" s="424"/>
      <c r="EN258" s="424"/>
      <c r="EO258" s="424"/>
      <c r="EP258" s="424"/>
      <c r="EQ258" s="424"/>
      <c r="ER258" s="424"/>
      <c r="ES258" s="424"/>
      <c r="ET258" s="424"/>
      <c r="EU258" s="424"/>
      <c r="EV258" s="424"/>
      <c r="EW258" s="424"/>
      <c r="EX258" s="424"/>
      <c r="EY258" s="424"/>
      <c r="EZ258" s="424"/>
      <c r="FA258" s="424"/>
      <c r="FB258" s="424"/>
      <c r="FC258" s="424"/>
      <c r="FD258" s="425"/>
      <c r="FE258" s="333"/>
      <c r="FO258" s="300"/>
      <c r="FP258" s="395" t="str">
        <f t="shared" ca="1" si="645"/>
        <v/>
      </c>
      <c r="FQ258" s="360" t="str">
        <f t="shared" ca="1" si="646"/>
        <v/>
      </c>
      <c r="FR258" s="360" t="str">
        <f t="shared" ca="1" si="637"/>
        <v/>
      </c>
      <c r="FS258" s="360" t="str">
        <f t="shared" ca="1" si="638"/>
        <v/>
      </c>
      <c r="FT258" s="360" t="str">
        <f t="shared" ca="1" si="639"/>
        <v/>
      </c>
      <c r="FU258" s="360" t="str">
        <f t="shared" ca="1" si="640"/>
        <v/>
      </c>
      <c r="FV258" s="360" t="str">
        <f t="shared" ca="1" si="641"/>
        <v/>
      </c>
      <c r="FW258" s="360" t="str">
        <f t="shared" ca="1" si="642"/>
        <v/>
      </c>
      <c r="FX258" s="360" t="str">
        <f t="shared" ca="1" si="643"/>
        <v/>
      </c>
      <c r="FY258" s="360" t="str">
        <f t="shared" ca="1" si="644"/>
        <v/>
      </c>
      <c r="FZ258" s="379" t="str">
        <f t="shared" ca="1" si="647"/>
        <v/>
      </c>
      <c r="GA258" s="302"/>
      <c r="GB258" s="364"/>
      <c r="GC258" s="302"/>
    </row>
    <row r="259" spans="86:185" x14ac:dyDescent="0.25">
      <c r="CH259" s="445"/>
      <c r="CI259" s="300"/>
      <c r="CJ259" s="300"/>
      <c r="CK259" s="300"/>
      <c r="CL259" s="449"/>
      <c r="CM259" s="445"/>
      <c r="DG259" s="445"/>
      <c r="DH259" s="300"/>
      <c r="DI259" s="395" t="str">
        <f ca="1">DI254</f>
        <v/>
      </c>
      <c r="DJ259" s="360" t="str">
        <f ca="1">IF(OR(DI259="",DP259="",DI259=DP259),"",CONCATENATE(DI259,DP259))</f>
        <v/>
      </c>
      <c r="DK259" s="360" t="str">
        <f ca="1">IF($DJ259="","",CONCATENATE(VLOOKUP($DJ259,games.a,9,FALSE),VLOOKUP($DJ259,games.a,12,FALSE)))</f>
        <v/>
      </c>
      <c r="DL259" s="354" t="str">
        <f ca="1">IF($DJ259="","",VLOOKUP($DJ259,games.a,10,FALSE))</f>
        <v/>
      </c>
      <c r="DM259" s="354" t="str">
        <f ca="1">IF($DJ259="","",VLOOKUP($DJ259,games.a,13,FALSE))</f>
        <v/>
      </c>
      <c r="DN259" s="361" t="str">
        <f ca="1">IF($DJ259="","",VLOOKUP($DJ259,games.a,6,FALSE))</f>
        <v/>
      </c>
      <c r="DO259" s="362" t="str">
        <f ca="1">IF($DJ259="","",VLOOKUP($DJ259,games.a,7,FALSE))</f>
        <v/>
      </c>
      <c r="DP259" s="363" t="str">
        <f ca="1">DI247</f>
        <v/>
      </c>
      <c r="DQ259" s="302"/>
      <c r="DR259" s="364"/>
      <c r="DS259" s="302"/>
      <c r="DU259" s="424"/>
      <c r="DV259" s="424"/>
      <c r="DW259" s="424"/>
      <c r="DX259" s="424"/>
      <c r="DY259" s="424"/>
      <c r="DZ259" s="424"/>
      <c r="EA259" s="424"/>
      <c r="EB259" s="424"/>
      <c r="EC259" s="424"/>
      <c r="ED259" s="424"/>
      <c r="EE259" s="424"/>
      <c r="EF259" s="424"/>
      <c r="EG259" s="424"/>
      <c r="EH259" s="424"/>
      <c r="EI259" s="424"/>
      <c r="EJ259" s="424"/>
      <c r="EK259" s="424"/>
      <c r="EL259" s="424"/>
      <c r="EM259" s="424"/>
      <c r="EN259" s="424"/>
      <c r="EO259" s="424"/>
      <c r="EP259" s="424"/>
      <c r="EQ259" s="424"/>
      <c r="ER259" s="424"/>
      <c r="ES259" s="424"/>
      <c r="ET259" s="424"/>
      <c r="EU259" s="424"/>
      <c r="EV259" s="424"/>
      <c r="EW259" s="424"/>
      <c r="EX259" s="424"/>
      <c r="EY259" s="424"/>
      <c r="EZ259" s="424"/>
      <c r="FA259" s="424"/>
      <c r="FB259" s="424"/>
      <c r="FC259" s="424"/>
      <c r="FD259" s="425"/>
      <c r="FE259" s="333"/>
      <c r="FO259" s="300"/>
      <c r="FP259" s="395" t="str">
        <f t="shared" ca="1" si="645"/>
        <v/>
      </c>
      <c r="FQ259" s="360" t="str">
        <f t="shared" ca="1" si="646"/>
        <v/>
      </c>
      <c r="FR259" s="360" t="str">
        <f t="shared" ca="1" si="637"/>
        <v/>
      </c>
      <c r="FS259" s="360" t="str">
        <f t="shared" ca="1" si="638"/>
        <v/>
      </c>
      <c r="FT259" s="360" t="str">
        <f t="shared" ca="1" si="639"/>
        <v/>
      </c>
      <c r="FU259" s="360" t="str">
        <f t="shared" ca="1" si="640"/>
        <v/>
      </c>
      <c r="FV259" s="360" t="str">
        <f t="shared" ca="1" si="641"/>
        <v/>
      </c>
      <c r="FW259" s="360" t="str">
        <f t="shared" ca="1" si="642"/>
        <v/>
      </c>
      <c r="FX259" s="360" t="str">
        <f t="shared" ca="1" si="643"/>
        <v/>
      </c>
      <c r="FY259" s="360" t="str">
        <f t="shared" ca="1" si="644"/>
        <v/>
      </c>
      <c r="FZ259" s="379" t="str">
        <f t="shared" ca="1" si="647"/>
        <v/>
      </c>
      <c r="GA259" s="302"/>
      <c r="GB259" s="364"/>
      <c r="GC259" s="302"/>
    </row>
    <row r="260" spans="86:185" x14ac:dyDescent="0.25">
      <c r="CH260" s="445"/>
      <c r="CI260" s="300"/>
      <c r="CJ260" s="300"/>
      <c r="CK260" s="300"/>
      <c r="CL260" s="449"/>
      <c r="CM260" s="445"/>
      <c r="DG260" s="445"/>
      <c r="DH260" s="300"/>
      <c r="DI260" s="395" t="str">
        <f ca="1">DI255</f>
        <v/>
      </c>
      <c r="DJ260" s="360" t="str">
        <f ca="1">IF(OR(DI260="",DP260="",DI260=DP260),"",CONCATENATE(DI260,DP260))</f>
        <v/>
      </c>
      <c r="DK260" s="360" t="str">
        <f ca="1">IF($DJ260="","",CONCATENATE(VLOOKUP($DJ260,games.a,9,FALSE),VLOOKUP($DJ260,games.a,12,FALSE)))</f>
        <v/>
      </c>
      <c r="DL260" s="354" t="str">
        <f ca="1">IF($DJ260="","",VLOOKUP($DJ260,games.a,10,FALSE))</f>
        <v/>
      </c>
      <c r="DM260" s="354" t="str">
        <f ca="1">IF($DJ260="","",VLOOKUP($DJ260,games.a,13,FALSE))</f>
        <v/>
      </c>
      <c r="DN260" s="361" t="str">
        <f ca="1">IF($DJ260="","",VLOOKUP($DJ260,games.a,6,FALSE))</f>
        <v/>
      </c>
      <c r="DO260" s="362" t="str">
        <f ca="1">IF($DJ260="","",VLOOKUP($DJ260,games.a,7,FALSE))</f>
        <v/>
      </c>
      <c r="DP260" s="379" t="str">
        <f ca="1">DP259</f>
        <v/>
      </c>
      <c r="DQ260" s="302"/>
      <c r="DR260" s="364"/>
      <c r="DS260" s="302"/>
      <c r="DU260" s="424"/>
      <c r="DV260" s="424"/>
      <c r="DW260" s="424"/>
      <c r="DX260" s="424"/>
      <c r="DY260" s="424"/>
      <c r="DZ260" s="424"/>
      <c r="EA260" s="424"/>
      <c r="EB260" s="424"/>
      <c r="EC260" s="424"/>
      <c r="ED260" s="424"/>
      <c r="EE260" s="424"/>
      <c r="EF260" s="424"/>
      <c r="EG260" s="424"/>
      <c r="EH260" s="424"/>
      <c r="EI260" s="424"/>
      <c r="EJ260" s="424"/>
      <c r="EK260" s="424"/>
      <c r="EL260" s="424"/>
      <c r="EM260" s="424"/>
      <c r="EN260" s="424"/>
      <c r="EO260" s="424"/>
      <c r="EP260" s="424"/>
      <c r="EQ260" s="424"/>
      <c r="ER260" s="424"/>
      <c r="ES260" s="424"/>
      <c r="ET260" s="424"/>
      <c r="EU260" s="424"/>
      <c r="EV260" s="424"/>
      <c r="EW260" s="424"/>
      <c r="EX260" s="424"/>
      <c r="EY260" s="424"/>
      <c r="EZ260" s="424"/>
      <c r="FA260" s="424"/>
      <c r="FB260" s="424"/>
      <c r="FC260" s="424"/>
      <c r="FD260" s="425"/>
      <c r="FE260" s="333"/>
      <c r="FO260" s="300"/>
      <c r="FP260" s="395" t="str">
        <f t="shared" ca="1" si="645"/>
        <v/>
      </c>
      <c r="FQ260" s="360" t="str">
        <f t="shared" ca="1" si="646"/>
        <v/>
      </c>
      <c r="FR260" s="360" t="str">
        <f t="shared" ca="1" si="637"/>
        <v/>
      </c>
      <c r="FS260" s="360" t="str">
        <f t="shared" ca="1" si="638"/>
        <v/>
      </c>
      <c r="FT260" s="360" t="str">
        <f t="shared" ca="1" si="639"/>
        <v/>
      </c>
      <c r="FU260" s="360" t="str">
        <f t="shared" ca="1" si="640"/>
        <v/>
      </c>
      <c r="FV260" s="360" t="str">
        <f t="shared" ca="1" si="641"/>
        <v/>
      </c>
      <c r="FW260" s="360" t="str">
        <f t="shared" ca="1" si="642"/>
        <v/>
      </c>
      <c r="FX260" s="360" t="str">
        <f t="shared" ca="1" si="643"/>
        <v/>
      </c>
      <c r="FY260" s="360" t="str">
        <f t="shared" ca="1" si="644"/>
        <v/>
      </c>
      <c r="FZ260" s="379" t="str">
        <f t="shared" ca="1" si="647"/>
        <v/>
      </c>
      <c r="GA260" s="302"/>
      <c r="GB260" s="364"/>
      <c r="GC260" s="302"/>
    </row>
    <row r="261" spans="86:185" x14ac:dyDescent="0.25">
      <c r="CH261" s="445"/>
      <c r="CI261" s="300"/>
      <c r="CJ261" s="300"/>
      <c r="CK261" s="300"/>
      <c r="CL261" s="449"/>
      <c r="CM261" s="445"/>
      <c r="DG261" s="445"/>
      <c r="DH261" s="300"/>
      <c r="DI261" s="395" t="str">
        <f ca="1">DI256</f>
        <v/>
      </c>
      <c r="DJ261" s="360" t="str">
        <f ca="1">IF(OR(DI261="",DP261="",DI261=DP261),"",CONCATENATE(DI261,DP261))</f>
        <v/>
      </c>
      <c r="DK261" s="360" t="str">
        <f ca="1">IF($DJ261="","",CONCATENATE(VLOOKUP($DJ261,games.a,9,FALSE),VLOOKUP($DJ261,games.a,12,FALSE)))</f>
        <v/>
      </c>
      <c r="DL261" s="354" t="str">
        <f ca="1">IF($DJ261="","",VLOOKUP($DJ261,games.a,10,FALSE))</f>
        <v/>
      </c>
      <c r="DM261" s="354" t="str">
        <f ca="1">IF($DJ261="","",VLOOKUP($DJ261,games.a,13,FALSE))</f>
        <v/>
      </c>
      <c r="DN261" s="361" t="str">
        <f ca="1">IF($DJ261="","",VLOOKUP($DJ261,games.a,6,FALSE))</f>
        <v/>
      </c>
      <c r="DO261" s="362" t="str">
        <f ca="1">IF($DJ261="","",VLOOKUP($DJ261,games.a,7,FALSE))</f>
        <v/>
      </c>
      <c r="DP261" s="379" t="str">
        <f ca="1">DP260</f>
        <v/>
      </c>
      <c r="DQ261" s="302"/>
      <c r="DR261" s="364"/>
      <c r="DS261" s="302"/>
      <c r="DU261" s="424"/>
      <c r="DV261" s="424"/>
      <c r="DW261" s="424"/>
      <c r="DX261" s="424"/>
      <c r="DY261" s="424"/>
      <c r="DZ261" s="424"/>
      <c r="EA261" s="424"/>
      <c r="EB261" s="424"/>
      <c r="EC261" s="424"/>
      <c r="ED261" s="424"/>
      <c r="EE261" s="424"/>
      <c r="EF261" s="424"/>
      <c r="EG261" s="424"/>
      <c r="EH261" s="424"/>
      <c r="EI261" s="424"/>
      <c r="EJ261" s="424"/>
      <c r="EK261" s="424"/>
      <c r="EL261" s="424"/>
      <c r="EM261" s="424"/>
      <c r="EN261" s="424"/>
      <c r="EO261" s="424"/>
      <c r="EP261" s="424"/>
      <c r="EQ261" s="424"/>
      <c r="ER261" s="424"/>
      <c r="ES261" s="424"/>
      <c r="ET261" s="424"/>
      <c r="EU261" s="424"/>
      <c r="EV261" s="424"/>
      <c r="EW261" s="424"/>
      <c r="EX261" s="424"/>
      <c r="EY261" s="424"/>
      <c r="EZ261" s="424"/>
      <c r="FA261" s="424"/>
      <c r="FB261" s="424"/>
      <c r="FC261" s="424"/>
      <c r="FD261" s="425"/>
      <c r="FE261" s="333"/>
      <c r="FO261" s="300"/>
      <c r="FP261" s="395" t="str">
        <f t="shared" ca="1" si="645"/>
        <v/>
      </c>
      <c r="FQ261" s="360" t="str">
        <f t="shared" ca="1" si="646"/>
        <v/>
      </c>
      <c r="FR261" s="360" t="str">
        <f t="shared" ca="1" si="637"/>
        <v/>
      </c>
      <c r="FS261" s="360" t="str">
        <f t="shared" ca="1" si="638"/>
        <v/>
      </c>
      <c r="FT261" s="360" t="str">
        <f t="shared" ca="1" si="639"/>
        <v/>
      </c>
      <c r="FU261" s="360" t="str">
        <f t="shared" ca="1" si="640"/>
        <v/>
      </c>
      <c r="FV261" s="360" t="str">
        <f t="shared" ca="1" si="641"/>
        <v/>
      </c>
      <c r="FW261" s="360" t="str">
        <f t="shared" ca="1" si="642"/>
        <v/>
      </c>
      <c r="FX261" s="360" t="str">
        <f t="shared" ca="1" si="643"/>
        <v/>
      </c>
      <c r="FY261" s="360" t="str">
        <f t="shared" ca="1" si="644"/>
        <v/>
      </c>
      <c r="FZ261" s="379" t="str">
        <f t="shared" ca="1" si="647"/>
        <v/>
      </c>
      <c r="GA261" s="302"/>
      <c r="GB261" s="364"/>
      <c r="GC261" s="302"/>
    </row>
    <row r="262" spans="86:185" x14ac:dyDescent="0.25">
      <c r="CH262" s="445"/>
      <c r="CI262" s="300"/>
      <c r="CJ262" s="300"/>
      <c r="CK262" s="300"/>
      <c r="CL262" s="447"/>
      <c r="CM262" s="445"/>
      <c r="DG262" s="445"/>
      <c r="DH262" s="300"/>
      <c r="DI262" s="395" t="str">
        <f ca="1">DI257</f>
        <v/>
      </c>
      <c r="DJ262" s="360" t="str">
        <f ca="1">IF(OR(DI262="",DP262="",DI262=DP262),"",CONCATENATE(DI262,DP262))</f>
        <v/>
      </c>
      <c r="DK262" s="360" t="str">
        <f ca="1">IF($DJ262="","",CONCATENATE(VLOOKUP($DJ262,games.a,9,FALSE),VLOOKUP($DJ262,games.a,12,FALSE)))</f>
        <v/>
      </c>
      <c r="DL262" s="354" t="str">
        <f ca="1">IF($DJ262="","",VLOOKUP($DJ262,games.a,10,FALSE))</f>
        <v/>
      </c>
      <c r="DM262" s="354" t="str">
        <f ca="1">IF($DJ262="","",VLOOKUP($DJ262,games.a,13,FALSE))</f>
        <v/>
      </c>
      <c r="DN262" s="361" t="str">
        <f ca="1">IF($DJ262="","",VLOOKUP($DJ262,games.a,6,FALSE))</f>
        <v/>
      </c>
      <c r="DO262" s="362" t="str">
        <f ca="1">IF($DJ262="","",VLOOKUP($DJ262,games.a,7,FALSE))</f>
        <v/>
      </c>
      <c r="DP262" s="379" t="str">
        <f ca="1">DP261</f>
        <v/>
      </c>
      <c r="DQ262" s="302"/>
      <c r="DR262" s="364"/>
      <c r="DS262" s="302"/>
      <c r="DU262" s="424"/>
      <c r="DV262" s="424"/>
      <c r="DW262" s="424"/>
      <c r="DX262" s="424"/>
      <c r="DY262" s="424"/>
      <c r="DZ262" s="424"/>
      <c r="EA262" s="424"/>
      <c r="EB262" s="424"/>
      <c r="EC262" s="424"/>
      <c r="ED262" s="424"/>
      <c r="EE262" s="424"/>
      <c r="EF262" s="424"/>
      <c r="EG262" s="424"/>
      <c r="EH262" s="424"/>
      <c r="EI262" s="424"/>
      <c r="EJ262" s="424"/>
      <c r="EK262" s="424"/>
      <c r="EL262" s="424"/>
      <c r="EM262" s="424"/>
      <c r="EN262" s="424"/>
      <c r="EO262" s="424"/>
      <c r="EP262" s="424"/>
      <c r="EQ262" s="424"/>
      <c r="ER262" s="424"/>
      <c r="ES262" s="424"/>
      <c r="ET262" s="424"/>
      <c r="EU262" s="424"/>
      <c r="EV262" s="424"/>
      <c r="EW262" s="424"/>
      <c r="EX262" s="424"/>
      <c r="EY262" s="424"/>
      <c r="EZ262" s="424"/>
      <c r="FA262" s="424"/>
      <c r="FB262" s="424"/>
      <c r="FC262" s="424"/>
      <c r="FD262" s="425"/>
      <c r="FE262" s="333"/>
      <c r="FO262" s="300"/>
      <c r="FP262" s="395" t="str">
        <f t="shared" ca="1" si="645"/>
        <v/>
      </c>
      <c r="FQ262" s="360" t="str">
        <f t="shared" ca="1" si="646"/>
        <v/>
      </c>
      <c r="FR262" s="360" t="str">
        <f t="shared" ca="1" si="637"/>
        <v/>
      </c>
      <c r="FS262" s="360" t="str">
        <f t="shared" ca="1" si="638"/>
        <v/>
      </c>
      <c r="FT262" s="360" t="str">
        <f t="shared" ca="1" si="639"/>
        <v/>
      </c>
      <c r="FU262" s="360" t="str">
        <f t="shared" ca="1" si="640"/>
        <v/>
      </c>
      <c r="FV262" s="360" t="str">
        <f t="shared" ca="1" si="641"/>
        <v/>
      </c>
      <c r="FW262" s="360" t="str">
        <f t="shared" ca="1" si="642"/>
        <v/>
      </c>
      <c r="FX262" s="360" t="str">
        <f t="shared" ca="1" si="643"/>
        <v/>
      </c>
      <c r="FY262" s="360" t="str">
        <f t="shared" ca="1" si="644"/>
        <v/>
      </c>
      <c r="FZ262" s="379" t="str">
        <f t="shared" ca="1" si="647"/>
        <v/>
      </c>
      <c r="GA262" s="302"/>
      <c r="GB262" s="364"/>
      <c r="GC262" s="302"/>
    </row>
    <row r="263" spans="86:185" x14ac:dyDescent="0.25">
      <c r="CH263" s="445"/>
      <c r="CI263" s="300"/>
      <c r="CJ263" s="300"/>
      <c r="CK263" s="300"/>
      <c r="CL263" s="447"/>
      <c r="CM263" s="445"/>
      <c r="DG263" s="445"/>
      <c r="DH263" s="445"/>
      <c r="DI263" s="301"/>
      <c r="DJ263" s="302"/>
      <c r="DK263" s="302"/>
      <c r="DL263" s="302"/>
      <c r="DM263" s="302"/>
      <c r="DN263" s="302"/>
      <c r="DO263" s="302"/>
      <c r="DP263" s="447"/>
      <c r="DQ263" s="302"/>
      <c r="DR263" s="446" t="s">
        <v>217</v>
      </c>
      <c r="DS263" s="302"/>
      <c r="DU263" s="424"/>
      <c r="DV263" s="424"/>
      <c r="DW263" s="424"/>
      <c r="DX263" s="424"/>
      <c r="DY263" s="424"/>
      <c r="DZ263" s="424"/>
      <c r="EA263" s="424"/>
      <c r="EB263" s="424"/>
      <c r="EC263" s="424"/>
      <c r="ED263" s="424"/>
      <c r="EE263" s="424"/>
      <c r="EF263" s="424"/>
      <c r="EG263" s="424"/>
      <c r="EH263" s="424"/>
      <c r="EI263" s="424"/>
      <c r="EJ263" s="424"/>
      <c r="EK263" s="424"/>
      <c r="EL263" s="424"/>
      <c r="EM263" s="424"/>
      <c r="EN263" s="424"/>
      <c r="EO263" s="424"/>
      <c r="EP263" s="424"/>
      <c r="EQ263" s="424"/>
      <c r="ER263" s="424"/>
      <c r="ES263" s="424"/>
      <c r="ET263" s="424"/>
      <c r="EU263" s="424"/>
      <c r="EV263" s="424"/>
      <c r="EW263" s="424"/>
      <c r="EX263" s="424"/>
      <c r="EY263" s="424"/>
      <c r="EZ263" s="424"/>
      <c r="FA263" s="424"/>
      <c r="FB263" s="424"/>
      <c r="FC263" s="424"/>
      <c r="FD263" s="425"/>
      <c r="FE263" s="333"/>
      <c r="FO263" s="445"/>
      <c r="FP263" s="301"/>
      <c r="FQ263" s="302"/>
      <c r="FR263" s="302"/>
      <c r="FS263" s="302"/>
      <c r="FT263" s="302"/>
      <c r="FU263" s="302"/>
      <c r="FV263" s="302"/>
      <c r="FW263" s="302"/>
      <c r="FX263" s="302"/>
      <c r="FY263" s="302"/>
      <c r="FZ263" s="302"/>
      <c r="GA263" s="302"/>
      <c r="GB263" s="446" t="s">
        <v>244</v>
      </c>
      <c r="GC263" s="302"/>
    </row>
    <row r="264" spans="86:185" x14ac:dyDescent="0.25">
      <c r="CH264" s="445"/>
      <c r="CI264" s="300"/>
      <c r="CJ264" s="300"/>
      <c r="CK264" s="300"/>
      <c r="CL264" s="449"/>
      <c r="CM264" s="445"/>
      <c r="DG264" s="445"/>
      <c r="DH264" s="445"/>
      <c r="DI264" s="301"/>
      <c r="DJ264" s="302"/>
      <c r="DK264" s="302"/>
      <c r="DL264" s="302"/>
      <c r="DM264" s="302"/>
      <c r="DN264" s="302"/>
      <c r="DO264" s="302"/>
      <c r="DP264" s="447"/>
      <c r="DQ264" s="302"/>
      <c r="DR264" s="448" t="s">
        <v>218</v>
      </c>
      <c r="DS264" s="302"/>
      <c r="DU264" s="424"/>
      <c r="DV264" s="424"/>
      <c r="DW264" s="424"/>
      <c r="DX264" s="424"/>
      <c r="DY264" s="424"/>
      <c r="DZ264" s="424"/>
      <c r="EA264" s="424"/>
      <c r="EB264" s="424"/>
      <c r="EC264" s="424"/>
      <c r="ED264" s="424"/>
      <c r="EE264" s="424"/>
      <c r="EF264" s="424"/>
      <c r="EG264" s="424"/>
      <c r="EH264" s="424"/>
      <c r="EI264" s="424"/>
      <c r="EJ264" s="424"/>
      <c r="EK264" s="424"/>
      <c r="EL264" s="424"/>
      <c r="EM264" s="424"/>
      <c r="EN264" s="424"/>
      <c r="EO264" s="424"/>
      <c r="EP264" s="424"/>
      <c r="EQ264" s="424"/>
      <c r="ER264" s="424"/>
      <c r="ES264" s="424"/>
      <c r="ET264" s="424"/>
      <c r="EU264" s="424"/>
      <c r="EV264" s="424"/>
      <c r="EW264" s="424"/>
      <c r="EX264" s="424"/>
      <c r="EY264" s="424"/>
      <c r="EZ264" s="424"/>
      <c r="FA264" s="424"/>
      <c r="FB264" s="424"/>
      <c r="FC264" s="424"/>
      <c r="FD264" s="425"/>
      <c r="FE264" s="333"/>
      <c r="FO264" s="445"/>
      <c r="FP264" s="301"/>
      <c r="FQ264" s="302"/>
      <c r="FR264" s="302"/>
      <c r="FS264" s="302"/>
      <c r="FT264" s="302"/>
      <c r="FU264" s="302"/>
      <c r="FV264" s="302"/>
      <c r="FW264" s="302"/>
      <c r="FX264" s="302"/>
      <c r="FY264" s="302"/>
      <c r="FZ264" s="447"/>
      <c r="GA264" s="302"/>
      <c r="GB264" s="327" t="s">
        <v>245</v>
      </c>
      <c r="GC264" s="302"/>
    </row>
    <row r="265" spans="86:185" x14ac:dyDescent="0.25">
      <c r="CH265" s="445"/>
      <c r="CI265" s="300"/>
      <c r="CJ265" s="300"/>
      <c r="CK265" s="300"/>
      <c r="CL265" s="449"/>
      <c r="CM265" s="445"/>
      <c r="DG265" s="445"/>
      <c r="DH265" s="300"/>
      <c r="DI265" s="323" t="b">
        <f ca="1">OR(NOT($AJ$44),COUNTIF(DN265:DN276,"")=9-(DP265-1)*DP265,COUNTIF(DN265:DN276,"")=9-(DP265-1)*DP265/2)</f>
        <v>1</v>
      </c>
      <c r="DJ265" s="324" t="s">
        <v>157</v>
      </c>
      <c r="DK265" s="324" t="s">
        <v>158</v>
      </c>
      <c r="DL265" s="325" t="s">
        <v>159</v>
      </c>
      <c r="DM265" s="325"/>
      <c r="DN265" s="326" t="s">
        <v>160</v>
      </c>
      <c r="DO265" s="325" t="s">
        <v>135</v>
      </c>
      <c r="DP265" s="323">
        <f ca="1">COUNT(DC42:DC44)</f>
        <v>0</v>
      </c>
      <c r="DQ265" s="302"/>
      <c r="DR265" s="364"/>
      <c r="DS265" s="302"/>
      <c r="DU265" s="424"/>
      <c r="DV265" s="329" t="s">
        <v>229</v>
      </c>
      <c r="DW265" s="365"/>
      <c r="DX265" s="329" t="s">
        <v>152</v>
      </c>
      <c r="DY265" s="329" t="s">
        <v>153</v>
      </c>
      <c r="DZ265" s="329" t="s">
        <v>154</v>
      </c>
      <c r="EA265" s="329" t="s">
        <v>155</v>
      </c>
      <c r="EB265" s="329" t="s">
        <v>125</v>
      </c>
      <c r="EC265" s="329" t="s">
        <v>226</v>
      </c>
      <c r="ED265" s="329" t="s">
        <v>126</v>
      </c>
      <c r="EE265" s="329" t="s">
        <v>227</v>
      </c>
      <c r="EF265" s="424"/>
      <c r="EG265" s="424"/>
      <c r="EH265" s="424"/>
      <c r="EI265" s="329" t="s">
        <v>228</v>
      </c>
      <c r="EJ265" s="329" t="s">
        <v>156</v>
      </c>
      <c r="EK265" s="329" t="s">
        <v>208</v>
      </c>
      <c r="EL265" s="424"/>
      <c r="EM265" s="424"/>
      <c r="EN265" s="424"/>
      <c r="EO265" s="424"/>
      <c r="EP265" s="424"/>
      <c r="EQ265" s="424"/>
      <c r="ER265" s="424"/>
      <c r="ES265" s="424"/>
      <c r="ET265" s="424"/>
      <c r="EU265" s="424"/>
      <c r="EV265" s="424"/>
      <c r="EW265" s="424"/>
      <c r="EX265" s="424"/>
      <c r="EY265" s="424"/>
      <c r="EZ265" s="424"/>
      <c r="FA265" s="424"/>
      <c r="FB265" s="424"/>
      <c r="FC265" s="424"/>
      <c r="FD265" s="425"/>
      <c r="FE265" s="333"/>
      <c r="FO265" s="300"/>
      <c r="FP265" s="301"/>
      <c r="FQ265" s="324" t="s">
        <v>157</v>
      </c>
      <c r="FR265" s="324" t="s">
        <v>237</v>
      </c>
      <c r="FS265" s="324" t="s">
        <v>239</v>
      </c>
      <c r="FT265" s="324" t="s">
        <v>240</v>
      </c>
      <c r="FU265" s="324" t="s">
        <v>238</v>
      </c>
      <c r="FV265" s="324" t="s">
        <v>241</v>
      </c>
      <c r="FW265" s="324" t="s">
        <v>242</v>
      </c>
      <c r="FX265" s="326" t="s">
        <v>160</v>
      </c>
      <c r="FY265" s="325" t="s">
        <v>135</v>
      </c>
      <c r="FZ265" s="302"/>
      <c r="GA265" s="302"/>
      <c r="GB265" s="364"/>
      <c r="GC265" s="302"/>
    </row>
    <row r="266" spans="86:185" x14ac:dyDescent="0.25">
      <c r="CH266" s="445"/>
      <c r="CI266" s="300"/>
      <c r="CJ266" s="300"/>
      <c r="CK266" s="300"/>
      <c r="CL266" s="449"/>
      <c r="CM266" s="445"/>
      <c r="DG266" s="445"/>
      <c r="DH266" s="300"/>
      <c r="DI266" s="359" t="str">
        <f ca="1">IF(DC42="","",VLOOKUP(DC42,xxx.aa1,16,FALSE))</f>
        <v/>
      </c>
      <c r="DJ266" s="360" t="str">
        <f ca="1">IF(OR(DI266="",DP266="",DI266=DP266),"",CONCATENATE(DI266,DP266))</f>
        <v/>
      </c>
      <c r="DK266" s="360" t="str">
        <f ca="1">IF($DJ266="","",CONCATENATE(VLOOKUP($DJ266,games.a,9,FALSE),VLOOKUP($DJ266,games.a,12,FALSE)))</f>
        <v/>
      </c>
      <c r="DL266" s="354" t="str">
        <f ca="1">IF($DJ266="","",VLOOKUP($DJ266,games.a,10,FALSE))</f>
        <v/>
      </c>
      <c r="DM266" s="354" t="str">
        <f ca="1">IF($DJ266="","",VLOOKUP($DJ266,games.a,13,FALSE))</f>
        <v/>
      </c>
      <c r="DN266" s="361" t="str">
        <f ca="1">IF($DJ266="","",VLOOKUP($DJ266,games.a,6,FALSE))</f>
        <v/>
      </c>
      <c r="DO266" s="362" t="str">
        <f ca="1">IF($DJ266="","",VLOOKUP($DJ266,games.a,7,FALSE))</f>
        <v/>
      </c>
      <c r="DP266" s="363" t="str">
        <f ca="1">DI266</f>
        <v/>
      </c>
      <c r="DQ266" s="302"/>
      <c r="DR266" s="364"/>
      <c r="DS266" s="302"/>
      <c r="DU266" s="424"/>
      <c r="DV266" s="366" t="str">
        <f ca="1">IF(OR(NOT($AJ$44),DI265),DI266,"")</f>
        <v/>
      </c>
      <c r="DW266" s="365"/>
      <c r="DX266" s="366">
        <f ca="1">IF($DV266="",0,COUNTIF(xxgy.aa,$DV266))</f>
        <v>0</v>
      </c>
      <c r="DY266" s="366">
        <f ca="1">IF($DV266="",0,COUNTIF(xxd.aa,$DV266))</f>
        <v>0</v>
      </c>
      <c r="DZ266" s="366">
        <f ca="1">IF($DV266="",0,1)*(SUMIF(xxo.aa,$DV266,xxl.aa)+SUMIF(xxi.aa,$DV266,xxk.aa))</f>
        <v>0</v>
      </c>
      <c r="EA266" s="366">
        <f ca="1">IF($DV266="",0,1)*(SUMIF(xxo.aa,$DV266,xxk.aa)+SUMIF(xxi.aa,$DV266,xxl.aa))</f>
        <v>0</v>
      </c>
      <c r="EB266" s="366">
        <f ca="1">DZ266-EA266</f>
        <v>0</v>
      </c>
      <c r="EC266" s="366">
        <f ca="1">IF(EA266=0,0,DZ266/EA266)</f>
        <v>0</v>
      </c>
      <c r="ED266" s="366">
        <f ca="1">$AJ$48*DX266+IF($AJ$44,0,1)*DY266</f>
        <v>0</v>
      </c>
      <c r="EE266" s="396">
        <f ca="1">ED266*1000000+IF($AJ$44,EC266,EB266)*1000*0</f>
        <v>0</v>
      </c>
      <c r="EF266" s="424"/>
      <c r="EG266" s="424"/>
      <c r="EH266" s="424"/>
      <c r="EI266" s="366">
        <f ca="1">IF(OR(ISERR(EE266),ISNA(EE266)),0,EE266)</f>
        <v>0</v>
      </c>
      <c r="EJ266" s="366">
        <f ca="1">IF(EI266=0,0,RANK(EI266,EI266:EI268,1))</f>
        <v>0</v>
      </c>
      <c r="EK266" s="366">
        <f ca="1">EJ266*40000*IF(COUNTIF($FC$42:$FC$65,DV266)&gt;0,0,1)</f>
        <v>0</v>
      </c>
      <c r="EL266" s="424"/>
      <c r="EM266" s="424"/>
      <c r="EN266" s="424"/>
      <c r="EO266" s="424"/>
      <c r="EP266" s="424"/>
      <c r="EQ266" s="424"/>
      <c r="ER266" s="424"/>
      <c r="ES266" s="424"/>
      <c r="ET266" s="424"/>
      <c r="EU266" s="424"/>
      <c r="EV266" s="424"/>
      <c r="EW266" s="424"/>
      <c r="EX266" s="424"/>
      <c r="EY266" s="424"/>
      <c r="EZ266" s="424"/>
      <c r="FA266" s="424"/>
      <c r="FB266" s="424"/>
      <c r="FC266" s="424"/>
      <c r="FD266" s="425"/>
      <c r="FE266" s="333"/>
      <c r="FO266" s="300"/>
      <c r="FP266" s="359" t="str">
        <f t="shared" ref="FP266:FP271" ca="1" si="648">IF(OR(NOT($FK$70),FK72=""),"",FK72)</f>
        <v/>
      </c>
      <c r="FQ266" s="360" t="str">
        <f t="shared" ref="FQ266:FQ271" ca="1" si="649">IF(OR(FP266="",FZ266="",FP266=FZ266),"",CONCATENATE(FP266,FZ266))</f>
        <v/>
      </c>
      <c r="FR266" s="360" t="str">
        <f t="shared" ref="FR266:FR271" ca="1" si="650">IF($FQ266="","",VLOOKUP($FQ266,games.a,9,FALSE))</f>
        <v/>
      </c>
      <c r="FS266" s="360" t="str">
        <f t="shared" ref="FS266:FS271" ca="1" si="651">IF($FQ266="","",VLOOKUP($FQ266,games.a,10,FALSE))</f>
        <v/>
      </c>
      <c r="FT266" s="360" t="str">
        <f t="shared" ref="FT266:FT271" ca="1" si="652">IF($FQ266="","",VLOOKUP($FQ266,games.a,11,FALSE))</f>
        <v/>
      </c>
      <c r="FU266" s="360" t="str">
        <f t="shared" ref="FU266:FU271" ca="1" si="653">IF($FQ266="","",VLOOKUP($FQ266,games.a,12,FALSE))</f>
        <v/>
      </c>
      <c r="FV266" s="360" t="str">
        <f t="shared" ref="FV266:FV271" ca="1" si="654">IF($FQ266="","",VLOOKUP($FQ266,games.a,13,FALSE))</f>
        <v/>
      </c>
      <c r="FW266" s="360" t="str">
        <f t="shared" ref="FW266:FW271" ca="1" si="655">IF($FQ266="","",VLOOKUP($FQ266,games.a,14,FALSE))</f>
        <v/>
      </c>
      <c r="FX266" s="360" t="str">
        <f t="shared" ref="FX266:FX271" ca="1" si="656">IF($FQ266="","",VLOOKUP($FQ266,games.a,6,FALSE))</f>
        <v/>
      </c>
      <c r="FY266" s="360" t="str">
        <f t="shared" ref="FY266:FY271" ca="1" si="657">IF($FQ266="","",VLOOKUP($FQ266,games.a,7,FALSE))</f>
        <v/>
      </c>
      <c r="FZ266" s="363" t="str">
        <f ca="1">FP266</f>
        <v/>
      </c>
      <c r="GA266" s="302"/>
      <c r="GB266" s="364"/>
      <c r="GC266" s="302"/>
    </row>
    <row r="267" spans="86:185" x14ac:dyDescent="0.25">
      <c r="CH267" s="445"/>
      <c r="CI267" s="300"/>
      <c r="CJ267" s="300"/>
      <c r="CK267" s="300"/>
      <c r="CL267" s="449"/>
      <c r="CM267" s="445"/>
      <c r="DG267" s="445"/>
      <c r="DH267" s="300"/>
      <c r="DI267" s="359" t="str">
        <f ca="1">IF(DC43="","",VLOOKUP(DC43,xxx.aa1,16,FALSE))</f>
        <v/>
      </c>
      <c r="DJ267" s="360" t="str">
        <f ca="1">IF(OR(DI267="",DP267="",DI267=DP267),"",CONCATENATE(DI267,DP267))</f>
        <v/>
      </c>
      <c r="DK267" s="360" t="str">
        <f ca="1">IF($DJ267="","",CONCATENATE(VLOOKUP($DJ267,games.a,9,FALSE),VLOOKUP($DJ267,games.a,12,FALSE)))</f>
        <v/>
      </c>
      <c r="DL267" s="354" t="str">
        <f ca="1">IF($DJ267="","",VLOOKUP($DJ267,games.a,10,FALSE))</f>
        <v/>
      </c>
      <c r="DM267" s="354" t="str">
        <f ca="1">IF($DJ267="","",VLOOKUP($DJ267,games.a,13,FALSE))</f>
        <v/>
      </c>
      <c r="DN267" s="361" t="str">
        <f ca="1">IF($DJ267="","",VLOOKUP($DJ267,games.a,6,FALSE))</f>
        <v/>
      </c>
      <c r="DO267" s="362" t="str">
        <f ca="1">IF($DJ267="","",VLOOKUP($DJ267,games.a,7,FALSE))</f>
        <v/>
      </c>
      <c r="DP267" s="379" t="str">
        <f ca="1">DP266</f>
        <v/>
      </c>
      <c r="DQ267" s="302"/>
      <c r="DR267" s="364"/>
      <c r="DS267" s="302"/>
      <c r="DU267" s="424"/>
      <c r="DV267" s="366" t="str">
        <f ca="1">IF(OR(NOT($AJ$44),DI265),DI267,"")</f>
        <v/>
      </c>
      <c r="DW267" s="365"/>
      <c r="DX267" s="366">
        <f ca="1">IF($DV267="",0,COUNTIF(xxgy.aa,$DV267))</f>
        <v>0</v>
      </c>
      <c r="DY267" s="366">
        <f ca="1">IF($DV267="",0,COUNTIF(xxd.aa,$DV267))</f>
        <v>0</v>
      </c>
      <c r="DZ267" s="366">
        <f ca="1">IF($DV267="",0,1)*(SUMIF(xxo.aa,$DV267,xxl.aa)+SUMIF(xxi.aa,$DV267,xxk.aa))</f>
        <v>0</v>
      </c>
      <c r="EA267" s="366">
        <f ca="1">IF($DV267="",0,1)*(SUMIF(xxo.aa,$DV267,xxk.aa)+SUMIF(xxi.aa,$DV267,xxl.aa))</f>
        <v>0</v>
      </c>
      <c r="EB267" s="366">
        <f ca="1">DZ267-EA267</f>
        <v>0</v>
      </c>
      <c r="EC267" s="366">
        <f ca="1">IF(EA267=0,0,DZ267/EA267)</f>
        <v>0</v>
      </c>
      <c r="ED267" s="366">
        <f ca="1">$AJ$48*DX267+IF($AJ$44,0,1)*DY267</f>
        <v>0</v>
      </c>
      <c r="EE267" s="396">
        <f ca="1">ED267*1000000+IF($AJ$44,EC267,EB267)*1000*0</f>
        <v>0</v>
      </c>
      <c r="EF267" s="424"/>
      <c r="EG267" s="424"/>
      <c r="EH267" s="424"/>
      <c r="EI267" s="366">
        <f ca="1">IF(OR(ISERR(EE267),ISNA(EE267)),0,EE267)</f>
        <v>0</v>
      </c>
      <c r="EJ267" s="366">
        <f ca="1">IF(EI267=0,0,RANK(EI267,EI266:EI268,1))</f>
        <v>0</v>
      </c>
      <c r="EK267" s="366">
        <f ca="1">EJ267*40000*IF(COUNTIF($FC$42:$FC$65,DV267)&gt;0,0,1)</f>
        <v>0</v>
      </c>
      <c r="EL267" s="424"/>
      <c r="EM267" s="424"/>
      <c r="EN267" s="424"/>
      <c r="EO267" s="424"/>
      <c r="EP267" s="424"/>
      <c r="EQ267" s="424"/>
      <c r="ER267" s="424"/>
      <c r="ES267" s="424"/>
      <c r="ET267" s="424"/>
      <c r="EU267" s="424"/>
      <c r="EV267" s="424"/>
      <c r="EW267" s="424"/>
      <c r="EX267" s="424"/>
      <c r="EY267" s="424"/>
      <c r="EZ267" s="424"/>
      <c r="FA267" s="424"/>
      <c r="FB267" s="424"/>
      <c r="FC267" s="424"/>
      <c r="FD267" s="425"/>
      <c r="FE267" s="333"/>
      <c r="FO267" s="300"/>
      <c r="FP267" s="359" t="str">
        <f t="shared" ca="1" si="648"/>
        <v/>
      </c>
      <c r="FQ267" s="360" t="str">
        <f t="shared" ca="1" si="649"/>
        <v/>
      </c>
      <c r="FR267" s="360" t="str">
        <f t="shared" ca="1" si="650"/>
        <v/>
      </c>
      <c r="FS267" s="360" t="str">
        <f t="shared" ca="1" si="651"/>
        <v/>
      </c>
      <c r="FT267" s="360" t="str">
        <f t="shared" ca="1" si="652"/>
        <v/>
      </c>
      <c r="FU267" s="360" t="str">
        <f t="shared" ca="1" si="653"/>
        <v/>
      </c>
      <c r="FV267" s="360" t="str">
        <f t="shared" ca="1" si="654"/>
        <v/>
      </c>
      <c r="FW267" s="360" t="str">
        <f t="shared" ca="1" si="655"/>
        <v/>
      </c>
      <c r="FX267" s="360" t="str">
        <f t="shared" ca="1" si="656"/>
        <v/>
      </c>
      <c r="FY267" s="360" t="str">
        <f t="shared" ca="1" si="657"/>
        <v/>
      </c>
      <c r="FZ267" s="379" t="str">
        <f ca="1">FZ266</f>
        <v/>
      </c>
      <c r="GA267" s="302"/>
      <c r="GB267" s="364"/>
      <c r="GC267" s="302"/>
    </row>
    <row r="268" spans="86:185" x14ac:dyDescent="0.25">
      <c r="CH268" s="445"/>
      <c r="CI268" s="300"/>
      <c r="CJ268" s="300"/>
      <c r="CK268" s="300"/>
      <c r="CL268" s="449"/>
      <c r="CM268" s="445"/>
      <c r="DG268" s="445"/>
      <c r="DH268" s="300"/>
      <c r="DI268" s="359" t="str">
        <f ca="1">IF(DC44="","",VLOOKUP(DC44,xxx.aa1,16,FALSE))</f>
        <v/>
      </c>
      <c r="DJ268" s="360" t="str">
        <f ca="1">IF(OR(DI268="",DP268="",DI268=DP268),"",CONCATENATE(DI268,DP268))</f>
        <v/>
      </c>
      <c r="DK268" s="360" t="str">
        <f ca="1">IF($DJ268="","",CONCATENATE(VLOOKUP($DJ268,games.a,9,FALSE),VLOOKUP($DJ268,games.a,12,FALSE)))</f>
        <v/>
      </c>
      <c r="DL268" s="354" t="str">
        <f ca="1">IF($DJ268="","",VLOOKUP($DJ268,games.a,10,FALSE))</f>
        <v/>
      </c>
      <c r="DM268" s="354" t="str">
        <f ca="1">IF($DJ268="","",VLOOKUP($DJ268,games.a,13,FALSE))</f>
        <v/>
      </c>
      <c r="DN268" s="361" t="str">
        <f ca="1">IF($DJ268="","",VLOOKUP($DJ268,games.a,6,FALSE))</f>
        <v/>
      </c>
      <c r="DO268" s="362" t="str">
        <f ca="1">IF($DJ268="","",VLOOKUP($DJ268,games.a,7,FALSE))</f>
        <v/>
      </c>
      <c r="DP268" s="379" t="str">
        <f ca="1">DP267</f>
        <v/>
      </c>
      <c r="DQ268" s="302"/>
      <c r="DR268" s="364"/>
      <c r="DS268" s="302"/>
      <c r="DU268" s="424"/>
      <c r="DV268" s="366" t="str">
        <f ca="1">IF(OR(NOT($AJ$44),DI265),DI268,"")</f>
        <v/>
      </c>
      <c r="DW268" s="365"/>
      <c r="DX268" s="366">
        <f ca="1">IF($DV268="",0,COUNTIF(xxgy.aa,$DV268))</f>
        <v>0</v>
      </c>
      <c r="DY268" s="366">
        <f ca="1">IF($DV268="",0,COUNTIF(xxd.aa,$DV268))</f>
        <v>0</v>
      </c>
      <c r="DZ268" s="366">
        <f ca="1">IF($DV268="",0,1)*(SUMIF(xxo.aa,$DV268,xxl.aa)+SUMIF(xxi.aa,$DV268,xxk.aa))</f>
        <v>0</v>
      </c>
      <c r="EA268" s="366">
        <f ca="1">IF($DV268="",0,1)*(SUMIF(xxo.aa,$DV268,xxk.aa)+SUMIF(xxi.aa,$DV268,xxl.aa))</f>
        <v>0</v>
      </c>
      <c r="EB268" s="366">
        <f ca="1">DZ268-EA268</f>
        <v>0</v>
      </c>
      <c r="EC268" s="366">
        <f ca="1">IF(EA268=0,0,DZ268/EA268)</f>
        <v>0</v>
      </c>
      <c r="ED268" s="366">
        <f ca="1">$AJ$48*DX268+IF($AJ$44,0,1)*DY268</f>
        <v>0</v>
      </c>
      <c r="EE268" s="396">
        <f ca="1">ED268*1000000+IF($AJ$44,EC268,EB268)*1000*0</f>
        <v>0</v>
      </c>
      <c r="EF268" s="424"/>
      <c r="EG268" s="424"/>
      <c r="EH268" s="424"/>
      <c r="EI268" s="366">
        <f ca="1">IF(OR(ISERR(EE268),ISNA(EE268)),0,EE268)</f>
        <v>0</v>
      </c>
      <c r="EJ268" s="366">
        <f ca="1">IF(EI268=0,0,RANK(EI268,EI266:EI268,1))</f>
        <v>0</v>
      </c>
      <c r="EK268" s="366">
        <f ca="1">EJ268*40000*IF(COUNTIF($FC$42:$FC$65,DV268)&gt;0,0,1)</f>
        <v>0</v>
      </c>
      <c r="EL268" s="424"/>
      <c r="EM268" s="424"/>
      <c r="EN268" s="424"/>
      <c r="EO268" s="424"/>
      <c r="EP268" s="424"/>
      <c r="EQ268" s="424"/>
      <c r="ER268" s="424"/>
      <c r="ES268" s="424"/>
      <c r="ET268" s="424"/>
      <c r="EU268" s="424"/>
      <c r="EV268" s="424"/>
      <c r="EW268" s="424"/>
      <c r="EX268" s="424"/>
      <c r="EY268" s="424"/>
      <c r="EZ268" s="424"/>
      <c r="FA268" s="424"/>
      <c r="FB268" s="424"/>
      <c r="FC268" s="424"/>
      <c r="FD268" s="425"/>
      <c r="FE268" s="333"/>
      <c r="FO268" s="300"/>
      <c r="FP268" s="359" t="str">
        <f t="shared" ca="1" si="648"/>
        <v/>
      </c>
      <c r="FQ268" s="360" t="str">
        <f t="shared" ca="1" si="649"/>
        <v/>
      </c>
      <c r="FR268" s="360" t="str">
        <f t="shared" ca="1" si="650"/>
        <v/>
      </c>
      <c r="FS268" s="360" t="str">
        <f t="shared" ca="1" si="651"/>
        <v/>
      </c>
      <c r="FT268" s="360" t="str">
        <f t="shared" ca="1" si="652"/>
        <v/>
      </c>
      <c r="FU268" s="360" t="str">
        <f t="shared" ca="1" si="653"/>
        <v/>
      </c>
      <c r="FV268" s="360" t="str">
        <f t="shared" ca="1" si="654"/>
        <v/>
      </c>
      <c r="FW268" s="360" t="str">
        <f t="shared" ca="1" si="655"/>
        <v/>
      </c>
      <c r="FX268" s="360" t="str">
        <f t="shared" ca="1" si="656"/>
        <v/>
      </c>
      <c r="FY268" s="360" t="str">
        <f t="shared" ca="1" si="657"/>
        <v/>
      </c>
      <c r="FZ268" s="379" t="str">
        <f ca="1">FZ267</f>
        <v/>
      </c>
      <c r="GA268" s="302"/>
      <c r="GB268" s="364"/>
      <c r="GC268" s="302"/>
    </row>
    <row r="269" spans="86:185" x14ac:dyDescent="0.25">
      <c r="CH269" s="445"/>
      <c r="CI269" s="300"/>
      <c r="CJ269" s="300"/>
      <c r="CK269" s="300"/>
      <c r="CL269" s="449"/>
      <c r="CM269" s="445"/>
      <c r="DG269" s="445"/>
      <c r="DH269" s="300"/>
      <c r="DI269" s="301"/>
      <c r="DJ269" s="324" t="s">
        <v>157</v>
      </c>
      <c r="DK269" s="324" t="s">
        <v>158</v>
      </c>
      <c r="DL269" s="325" t="s">
        <v>159</v>
      </c>
      <c r="DM269" s="325"/>
      <c r="DN269" s="326" t="s">
        <v>160</v>
      </c>
      <c r="DO269" s="325" t="s">
        <v>135</v>
      </c>
      <c r="DP269" s="302"/>
      <c r="DQ269" s="302"/>
      <c r="DR269" s="364"/>
      <c r="DS269" s="302"/>
      <c r="DU269" s="424"/>
      <c r="DV269" s="424"/>
      <c r="DW269" s="424"/>
      <c r="DX269" s="424"/>
      <c r="DY269" s="424"/>
      <c r="DZ269" s="424"/>
      <c r="EA269" s="424"/>
      <c r="EB269" s="424"/>
      <c r="EC269" s="424"/>
      <c r="ED269" s="424"/>
      <c r="EE269" s="424"/>
      <c r="EF269" s="424"/>
      <c r="EG269" s="424"/>
      <c r="EH269" s="424"/>
      <c r="EI269" s="424"/>
      <c r="EJ269" s="424"/>
      <c r="EK269" s="424"/>
      <c r="EL269" s="424"/>
      <c r="EM269" s="424"/>
      <c r="EN269" s="424"/>
      <c r="EO269" s="424"/>
      <c r="EP269" s="424"/>
      <c r="EQ269" s="424"/>
      <c r="ER269" s="424"/>
      <c r="ES269" s="424"/>
      <c r="ET269" s="424"/>
      <c r="EU269" s="424"/>
      <c r="EV269" s="424"/>
      <c r="EW269" s="424"/>
      <c r="EX269" s="424"/>
      <c r="EY269" s="424"/>
      <c r="EZ269" s="424"/>
      <c r="FA269" s="424"/>
      <c r="FB269" s="424"/>
      <c r="FC269" s="424"/>
      <c r="FD269" s="425"/>
      <c r="FE269" s="333"/>
      <c r="FO269" s="300"/>
      <c r="FP269" s="359" t="str">
        <f t="shared" ca="1" si="648"/>
        <v/>
      </c>
      <c r="FQ269" s="360" t="str">
        <f t="shared" ca="1" si="649"/>
        <v/>
      </c>
      <c r="FR269" s="360" t="str">
        <f t="shared" ca="1" si="650"/>
        <v/>
      </c>
      <c r="FS269" s="360" t="str">
        <f t="shared" ca="1" si="651"/>
        <v/>
      </c>
      <c r="FT269" s="360" t="str">
        <f t="shared" ca="1" si="652"/>
        <v/>
      </c>
      <c r="FU269" s="360" t="str">
        <f t="shared" ca="1" si="653"/>
        <v/>
      </c>
      <c r="FV269" s="360" t="str">
        <f t="shared" ca="1" si="654"/>
        <v/>
      </c>
      <c r="FW269" s="360" t="str">
        <f t="shared" ca="1" si="655"/>
        <v/>
      </c>
      <c r="FX269" s="360" t="str">
        <f t="shared" ca="1" si="656"/>
        <v/>
      </c>
      <c r="FY269" s="360" t="str">
        <f t="shared" ca="1" si="657"/>
        <v/>
      </c>
      <c r="FZ269" s="379" t="str">
        <f ca="1">FZ268</f>
        <v/>
      </c>
      <c r="GA269" s="302"/>
      <c r="GB269" s="364"/>
      <c r="GC269" s="302"/>
    </row>
    <row r="270" spans="86:185" x14ac:dyDescent="0.25">
      <c r="CH270" s="445"/>
      <c r="CI270" s="300"/>
      <c r="CJ270" s="300"/>
      <c r="CK270" s="300"/>
      <c r="CL270" s="449"/>
      <c r="CM270" s="445"/>
      <c r="DG270" s="445"/>
      <c r="DH270" s="300"/>
      <c r="DI270" s="395" t="str">
        <f ca="1">DI266</f>
        <v/>
      </c>
      <c r="DJ270" s="360" t="str">
        <f ca="1">IF(OR(DI270="",DP270="",DI270=DP270),"",CONCATENATE(DI270,DP270))</f>
        <v/>
      </c>
      <c r="DK270" s="360" t="str">
        <f ca="1">IF($DJ270="","",CONCATENATE(VLOOKUP($DJ270,games.a,9,FALSE),VLOOKUP($DJ270,games.a,12,FALSE)))</f>
        <v/>
      </c>
      <c r="DL270" s="354" t="str">
        <f ca="1">IF($DJ270="","",VLOOKUP($DJ270,games.a,10,FALSE))</f>
        <v/>
      </c>
      <c r="DM270" s="354" t="str">
        <f ca="1">IF($DJ270="","",VLOOKUP($DJ270,games.a,13,FALSE))</f>
        <v/>
      </c>
      <c r="DN270" s="361" t="str">
        <f ca="1">IF($DJ270="","",VLOOKUP($DJ270,games.a,6,FALSE))</f>
        <v/>
      </c>
      <c r="DO270" s="362" t="str">
        <f ca="1">IF($DJ270="","",VLOOKUP($DJ270,games.a,7,FALSE))</f>
        <v/>
      </c>
      <c r="DP270" s="363" t="str">
        <f ca="1">DI267</f>
        <v/>
      </c>
      <c r="DQ270" s="302"/>
      <c r="DR270" s="364"/>
      <c r="DS270" s="302"/>
      <c r="DU270" s="424"/>
      <c r="DV270" s="424"/>
      <c r="DW270" s="424"/>
      <c r="DX270" s="424"/>
      <c r="DY270" s="424"/>
      <c r="DZ270" s="424"/>
      <c r="EA270" s="424"/>
      <c r="EB270" s="424"/>
      <c r="EC270" s="424"/>
      <c r="ED270" s="424"/>
      <c r="EE270" s="424"/>
      <c r="EF270" s="424"/>
      <c r="EG270" s="424"/>
      <c r="EH270" s="424"/>
      <c r="EI270" s="424"/>
      <c r="EJ270" s="424"/>
      <c r="EK270" s="424"/>
      <c r="EL270" s="424"/>
      <c r="EM270" s="424"/>
      <c r="EN270" s="424"/>
      <c r="EO270" s="424"/>
      <c r="EP270" s="424"/>
      <c r="EQ270" s="424"/>
      <c r="ER270" s="424"/>
      <c r="ES270" s="424"/>
      <c r="ET270" s="424"/>
      <c r="EU270" s="424"/>
      <c r="EV270" s="424"/>
      <c r="EW270" s="424"/>
      <c r="EX270" s="424"/>
      <c r="EY270" s="424"/>
      <c r="EZ270" s="424"/>
      <c r="FA270" s="424"/>
      <c r="FB270" s="424"/>
      <c r="FC270" s="424"/>
      <c r="FD270" s="425"/>
      <c r="FE270" s="333"/>
      <c r="FO270" s="300"/>
      <c r="FP270" s="359" t="str">
        <f t="shared" ca="1" si="648"/>
        <v/>
      </c>
      <c r="FQ270" s="360" t="str">
        <f t="shared" ca="1" si="649"/>
        <v/>
      </c>
      <c r="FR270" s="360" t="str">
        <f t="shared" ca="1" si="650"/>
        <v/>
      </c>
      <c r="FS270" s="360" t="str">
        <f t="shared" ca="1" si="651"/>
        <v/>
      </c>
      <c r="FT270" s="360" t="str">
        <f t="shared" ca="1" si="652"/>
        <v/>
      </c>
      <c r="FU270" s="360" t="str">
        <f t="shared" ca="1" si="653"/>
        <v/>
      </c>
      <c r="FV270" s="360" t="str">
        <f t="shared" ca="1" si="654"/>
        <v/>
      </c>
      <c r="FW270" s="360" t="str">
        <f t="shared" ca="1" si="655"/>
        <v/>
      </c>
      <c r="FX270" s="360" t="str">
        <f t="shared" ca="1" si="656"/>
        <v/>
      </c>
      <c r="FY270" s="360" t="str">
        <f t="shared" ca="1" si="657"/>
        <v/>
      </c>
      <c r="FZ270" s="379" t="str">
        <f ca="1">FZ269</f>
        <v/>
      </c>
      <c r="GA270" s="302"/>
      <c r="GB270" s="364"/>
      <c r="GC270" s="302"/>
    </row>
    <row r="271" spans="86:185" x14ac:dyDescent="0.25">
      <c r="CH271" s="445"/>
      <c r="CI271" s="300"/>
      <c r="CJ271" s="300"/>
      <c r="CK271" s="300"/>
      <c r="CL271" s="449"/>
      <c r="CM271" s="445"/>
      <c r="DG271" s="445"/>
      <c r="DH271" s="300"/>
      <c r="DI271" s="395" t="str">
        <f ca="1">DI267</f>
        <v/>
      </c>
      <c r="DJ271" s="360" t="str">
        <f ca="1">IF(OR(DI271="",DP271="",DI271=DP271),"",CONCATENATE(DI271,DP271))</f>
        <v/>
      </c>
      <c r="DK271" s="360" t="str">
        <f ca="1">IF($DJ271="","",CONCATENATE(VLOOKUP($DJ271,games.a,9,FALSE),VLOOKUP($DJ271,games.a,12,FALSE)))</f>
        <v/>
      </c>
      <c r="DL271" s="354" t="str">
        <f ca="1">IF($DJ271="","",VLOOKUP($DJ271,games.a,10,FALSE))</f>
        <v/>
      </c>
      <c r="DM271" s="354" t="str">
        <f ca="1">IF($DJ271="","",VLOOKUP($DJ271,games.a,13,FALSE))</f>
        <v/>
      </c>
      <c r="DN271" s="361" t="str">
        <f ca="1">IF($DJ271="","",VLOOKUP($DJ271,games.a,6,FALSE))</f>
        <v/>
      </c>
      <c r="DO271" s="362" t="str">
        <f ca="1">IF($DJ271="","",VLOOKUP($DJ271,games.a,7,FALSE))</f>
        <v/>
      </c>
      <c r="DP271" s="379" t="str">
        <f ca="1">DP270</f>
        <v/>
      </c>
      <c r="DQ271" s="302"/>
      <c r="DR271" s="364"/>
      <c r="DS271" s="302"/>
      <c r="DU271" s="424"/>
      <c r="DV271" s="424"/>
      <c r="DW271" s="424"/>
      <c r="DX271" s="424"/>
      <c r="DY271" s="424"/>
      <c r="DZ271" s="424"/>
      <c r="EA271" s="424"/>
      <c r="EB271" s="424"/>
      <c r="EC271" s="424"/>
      <c r="ED271" s="424"/>
      <c r="EE271" s="424"/>
      <c r="EF271" s="424"/>
      <c r="EG271" s="424"/>
      <c r="EH271" s="424"/>
      <c r="EI271" s="424"/>
      <c r="EJ271" s="424"/>
      <c r="EK271" s="424"/>
      <c r="EL271" s="424"/>
      <c r="EM271" s="424"/>
      <c r="EN271" s="424"/>
      <c r="EO271" s="424"/>
      <c r="EP271" s="424"/>
      <c r="EQ271" s="424"/>
      <c r="ER271" s="424"/>
      <c r="ES271" s="424"/>
      <c r="ET271" s="424"/>
      <c r="EU271" s="424"/>
      <c r="EV271" s="424"/>
      <c r="EW271" s="424"/>
      <c r="EX271" s="424"/>
      <c r="EY271" s="424"/>
      <c r="EZ271" s="424"/>
      <c r="FA271" s="424"/>
      <c r="FB271" s="424"/>
      <c r="FC271" s="424"/>
      <c r="FD271" s="425"/>
      <c r="FE271" s="333"/>
      <c r="FO271" s="300"/>
      <c r="FP271" s="359" t="str">
        <f t="shared" ca="1" si="648"/>
        <v/>
      </c>
      <c r="FQ271" s="360" t="str">
        <f t="shared" ca="1" si="649"/>
        <v/>
      </c>
      <c r="FR271" s="360" t="str">
        <f t="shared" ca="1" si="650"/>
        <v/>
      </c>
      <c r="FS271" s="360" t="str">
        <f t="shared" ca="1" si="651"/>
        <v/>
      </c>
      <c r="FT271" s="360" t="str">
        <f t="shared" ca="1" si="652"/>
        <v/>
      </c>
      <c r="FU271" s="360" t="str">
        <f t="shared" ca="1" si="653"/>
        <v/>
      </c>
      <c r="FV271" s="360" t="str">
        <f t="shared" ca="1" si="654"/>
        <v/>
      </c>
      <c r="FW271" s="360" t="str">
        <f t="shared" ca="1" si="655"/>
        <v/>
      </c>
      <c r="FX271" s="360" t="str">
        <f t="shared" ca="1" si="656"/>
        <v/>
      </c>
      <c r="FY271" s="360" t="str">
        <f t="shared" ca="1" si="657"/>
        <v/>
      </c>
      <c r="FZ271" s="379" t="str">
        <f ca="1">FZ270</f>
        <v/>
      </c>
      <c r="GA271" s="302"/>
      <c r="GB271" s="364"/>
      <c r="GC271" s="302"/>
    </row>
    <row r="272" spans="86:185" x14ac:dyDescent="0.25">
      <c r="CH272" s="445"/>
      <c r="CI272" s="300"/>
      <c r="CJ272" s="300"/>
      <c r="CK272" s="300"/>
      <c r="CL272" s="449"/>
      <c r="CM272" s="445"/>
      <c r="DG272" s="445"/>
      <c r="DH272" s="300"/>
      <c r="DI272" s="395" t="str">
        <f ca="1">DI268</f>
        <v/>
      </c>
      <c r="DJ272" s="360" t="str">
        <f ca="1">IF(OR(DI272="",DP272="",DI272=DP272),"",CONCATENATE(DI272,DP272))</f>
        <v/>
      </c>
      <c r="DK272" s="360" t="str">
        <f ca="1">IF($DJ272="","",CONCATENATE(VLOOKUP($DJ272,games.a,9,FALSE),VLOOKUP($DJ272,games.a,12,FALSE)))</f>
        <v/>
      </c>
      <c r="DL272" s="354" t="str">
        <f ca="1">IF($DJ272="","",VLOOKUP($DJ272,games.a,10,FALSE))</f>
        <v/>
      </c>
      <c r="DM272" s="354" t="str">
        <f ca="1">IF($DJ272="","",VLOOKUP($DJ272,games.a,13,FALSE))</f>
        <v/>
      </c>
      <c r="DN272" s="361" t="str">
        <f ca="1">IF($DJ272="","",VLOOKUP($DJ272,games.a,6,FALSE))</f>
        <v/>
      </c>
      <c r="DO272" s="362" t="str">
        <f ca="1">IF($DJ272="","",VLOOKUP($DJ272,games.a,7,FALSE))</f>
        <v/>
      </c>
      <c r="DP272" s="379" t="str">
        <f ca="1">DP271</f>
        <v/>
      </c>
      <c r="DQ272" s="302"/>
      <c r="DR272" s="364"/>
      <c r="DS272" s="302"/>
      <c r="DU272" s="424"/>
      <c r="DV272" s="424"/>
      <c r="DW272" s="424"/>
      <c r="DX272" s="424"/>
      <c r="DY272" s="424"/>
      <c r="DZ272" s="424"/>
      <c r="EA272" s="424"/>
      <c r="EB272" s="424"/>
      <c r="EC272" s="424"/>
      <c r="ED272" s="424"/>
      <c r="EE272" s="424"/>
      <c r="EF272" s="424"/>
      <c r="EG272" s="424"/>
      <c r="EH272" s="424"/>
      <c r="EI272" s="424"/>
      <c r="EJ272" s="424"/>
      <c r="EK272" s="424"/>
      <c r="EL272" s="424"/>
      <c r="EM272" s="424"/>
      <c r="EN272" s="424"/>
      <c r="EO272" s="424"/>
      <c r="EP272" s="424"/>
      <c r="EQ272" s="424"/>
      <c r="ER272" s="424"/>
      <c r="ES272" s="424"/>
      <c r="ET272" s="424"/>
      <c r="EU272" s="424"/>
      <c r="EV272" s="424"/>
      <c r="EW272" s="424"/>
      <c r="EX272" s="424"/>
      <c r="EY272" s="424"/>
      <c r="EZ272" s="424"/>
      <c r="FA272" s="424"/>
      <c r="FB272" s="424"/>
      <c r="FC272" s="424"/>
      <c r="FD272" s="425"/>
      <c r="FE272" s="333"/>
      <c r="FO272" s="300"/>
      <c r="FP272" s="301"/>
      <c r="FQ272" s="324" t="s">
        <v>157</v>
      </c>
      <c r="FR272" s="324" t="s">
        <v>237</v>
      </c>
      <c r="FS272" s="324" t="s">
        <v>239</v>
      </c>
      <c r="FT272" s="324" t="s">
        <v>240</v>
      </c>
      <c r="FU272" s="324" t="s">
        <v>238</v>
      </c>
      <c r="FV272" s="324" t="s">
        <v>241</v>
      </c>
      <c r="FW272" s="324" t="s">
        <v>242</v>
      </c>
      <c r="FX272" s="326" t="s">
        <v>160</v>
      </c>
      <c r="FY272" s="325" t="s">
        <v>135</v>
      </c>
      <c r="FZ272" s="302"/>
      <c r="GA272" s="302"/>
      <c r="GB272" s="364"/>
      <c r="GC272" s="302"/>
    </row>
    <row r="273" spans="86:185" x14ac:dyDescent="0.25">
      <c r="CH273" s="445"/>
      <c r="CI273" s="300"/>
      <c r="CJ273" s="300"/>
      <c r="CK273" s="300"/>
      <c r="CL273" s="449"/>
      <c r="CM273" s="445"/>
      <c r="DG273" s="445"/>
      <c r="DH273" s="300"/>
      <c r="DI273" s="301"/>
      <c r="DJ273" s="324" t="s">
        <v>157</v>
      </c>
      <c r="DK273" s="324" t="s">
        <v>158</v>
      </c>
      <c r="DL273" s="325" t="s">
        <v>159</v>
      </c>
      <c r="DM273" s="325"/>
      <c r="DN273" s="326" t="s">
        <v>160</v>
      </c>
      <c r="DO273" s="325" t="s">
        <v>135</v>
      </c>
      <c r="DP273" s="302"/>
      <c r="DQ273" s="302"/>
      <c r="DR273" s="364"/>
      <c r="DS273" s="302"/>
      <c r="DU273" s="424"/>
      <c r="DV273" s="424"/>
      <c r="DW273" s="424"/>
      <c r="DX273" s="424"/>
      <c r="DY273" s="424"/>
      <c r="DZ273" s="424"/>
      <c r="EA273" s="424"/>
      <c r="EB273" s="424"/>
      <c r="EC273" s="424"/>
      <c r="ED273" s="424"/>
      <c r="EE273" s="424"/>
      <c r="EF273" s="424"/>
      <c r="EG273" s="424"/>
      <c r="EH273" s="424"/>
      <c r="EI273" s="424"/>
      <c r="EJ273" s="424"/>
      <c r="EK273" s="424"/>
      <c r="EL273" s="424"/>
      <c r="EM273" s="424"/>
      <c r="EN273" s="424"/>
      <c r="EO273" s="424"/>
      <c r="EP273" s="424"/>
      <c r="EQ273" s="424"/>
      <c r="ER273" s="424"/>
      <c r="ES273" s="424"/>
      <c r="ET273" s="424"/>
      <c r="EU273" s="424"/>
      <c r="EV273" s="424"/>
      <c r="EW273" s="424"/>
      <c r="EX273" s="424"/>
      <c r="EY273" s="424"/>
      <c r="EZ273" s="424"/>
      <c r="FA273" s="424"/>
      <c r="FB273" s="424"/>
      <c r="FC273" s="424"/>
      <c r="FD273" s="425"/>
      <c r="FE273" s="333"/>
      <c r="FO273" s="445"/>
      <c r="FP273" s="395" t="str">
        <f t="shared" ref="FP273:FP278" ca="1" si="658">FP266</f>
        <v/>
      </c>
      <c r="FQ273" s="360" t="str">
        <f t="shared" ref="FQ273:FQ278" ca="1" si="659">IF(OR(FP273="",FZ273="",FP273=FZ273),"",CONCATENATE(FP273,FZ273))</f>
        <v/>
      </c>
      <c r="FR273" s="360" t="str">
        <f t="shared" ref="FR273:FR278" ca="1" si="660">IF($FQ273="","",VLOOKUP($FQ273,games.a,9,FALSE))</f>
        <v/>
      </c>
      <c r="FS273" s="360" t="str">
        <f t="shared" ref="FS273:FS278" ca="1" si="661">IF($FQ273="","",VLOOKUP($FQ273,games.a,10,FALSE))</f>
        <v/>
      </c>
      <c r="FT273" s="360" t="str">
        <f t="shared" ref="FT273:FT278" ca="1" si="662">IF($FQ273="","",VLOOKUP($FQ273,games.a,11,FALSE))</f>
        <v/>
      </c>
      <c r="FU273" s="360" t="str">
        <f t="shared" ref="FU273:FU278" ca="1" si="663">IF($FQ273="","",VLOOKUP($FQ273,games.a,12,FALSE))</f>
        <v/>
      </c>
      <c r="FV273" s="360" t="str">
        <f t="shared" ref="FV273:FV278" ca="1" si="664">IF($FQ273="","",VLOOKUP($FQ273,games.a,13,FALSE))</f>
        <v/>
      </c>
      <c r="FW273" s="360" t="str">
        <f t="shared" ref="FW273:FW278" ca="1" si="665">IF($FQ273="","",VLOOKUP($FQ273,games.a,14,FALSE))</f>
        <v/>
      </c>
      <c r="FX273" s="360" t="str">
        <f t="shared" ref="FX273:FX278" ca="1" si="666">IF($FQ273="","",VLOOKUP($FQ273,games.a,6,FALSE))</f>
        <v/>
      </c>
      <c r="FY273" s="360" t="str">
        <f t="shared" ref="FY273:FY278" ca="1" si="667">IF($FQ273="","",VLOOKUP($FQ273,games.a,7,FALSE))</f>
        <v/>
      </c>
      <c r="FZ273" s="363" t="str">
        <f ca="1">FP267</f>
        <v/>
      </c>
      <c r="GA273" s="302"/>
      <c r="GB273" s="364"/>
      <c r="GC273" s="302"/>
    </row>
    <row r="274" spans="86:185" x14ac:dyDescent="0.25">
      <c r="CH274" s="445"/>
      <c r="CI274" s="300"/>
      <c r="CJ274" s="300"/>
      <c r="CK274" s="300"/>
      <c r="CL274" s="449"/>
      <c r="CM274" s="445"/>
      <c r="DG274" s="445"/>
      <c r="DH274" s="300"/>
      <c r="DI274" s="395" t="str">
        <f ca="1">DI270</f>
        <v/>
      </c>
      <c r="DJ274" s="360" t="str">
        <f ca="1">IF(OR(DI274="",DP274="",DI274=DP274),"",CONCATENATE(DI274,DP274))</f>
        <v/>
      </c>
      <c r="DK274" s="360" t="str">
        <f ca="1">IF($DJ274="","",CONCATENATE(VLOOKUP($DJ274,games.a,9,FALSE),VLOOKUP($DJ274,games.a,12,FALSE)))</f>
        <v/>
      </c>
      <c r="DL274" s="354" t="str">
        <f ca="1">IF($DJ274="","",VLOOKUP($DJ274,games.a,10,FALSE))</f>
        <v/>
      </c>
      <c r="DM274" s="354" t="str">
        <f ca="1">IF($DJ274="","",VLOOKUP($DJ274,games.a,13,FALSE))</f>
        <v/>
      </c>
      <c r="DN274" s="361" t="str">
        <f ca="1">IF($DJ274="","",VLOOKUP($DJ274,games.a,6,FALSE))</f>
        <v/>
      </c>
      <c r="DO274" s="362" t="str">
        <f ca="1">IF($DJ274="","",VLOOKUP($DJ274,games.a,7,FALSE))</f>
        <v/>
      </c>
      <c r="DP274" s="363" t="str">
        <f ca="1">DI268</f>
        <v/>
      </c>
      <c r="DQ274" s="302"/>
      <c r="DR274" s="364"/>
      <c r="DS274" s="302"/>
      <c r="DU274" s="424"/>
      <c r="DV274" s="424"/>
      <c r="DW274" s="424"/>
      <c r="DX274" s="424"/>
      <c r="DY274" s="424"/>
      <c r="DZ274" s="424"/>
      <c r="EA274" s="424"/>
      <c r="EB274" s="424"/>
      <c r="EC274" s="424"/>
      <c r="ED274" s="424"/>
      <c r="EE274" s="424"/>
      <c r="EF274" s="424"/>
      <c r="EG274" s="424"/>
      <c r="EH274" s="424"/>
      <c r="EI274" s="424"/>
      <c r="EJ274" s="424"/>
      <c r="EK274" s="424"/>
      <c r="EL274" s="424"/>
      <c r="EM274" s="424"/>
      <c r="EN274" s="424"/>
      <c r="EO274" s="424"/>
      <c r="EP274" s="424"/>
      <c r="EQ274" s="424"/>
      <c r="ER274" s="424"/>
      <c r="ES274" s="424"/>
      <c r="ET274" s="424"/>
      <c r="EU274" s="424"/>
      <c r="EV274" s="424"/>
      <c r="EW274" s="424"/>
      <c r="EX274" s="424"/>
      <c r="EY274" s="424"/>
      <c r="EZ274" s="424"/>
      <c r="FA274" s="424"/>
      <c r="FB274" s="424"/>
      <c r="FC274" s="424"/>
      <c r="FD274" s="425"/>
      <c r="FE274" s="333"/>
      <c r="FO274" s="445"/>
      <c r="FP274" s="395" t="str">
        <f t="shared" ca="1" si="658"/>
        <v/>
      </c>
      <c r="FQ274" s="360" t="str">
        <f t="shared" ca="1" si="659"/>
        <v/>
      </c>
      <c r="FR274" s="360" t="str">
        <f t="shared" ca="1" si="660"/>
        <v/>
      </c>
      <c r="FS274" s="360" t="str">
        <f t="shared" ca="1" si="661"/>
        <v/>
      </c>
      <c r="FT274" s="360" t="str">
        <f t="shared" ca="1" si="662"/>
        <v/>
      </c>
      <c r="FU274" s="360" t="str">
        <f t="shared" ca="1" si="663"/>
        <v/>
      </c>
      <c r="FV274" s="360" t="str">
        <f t="shared" ca="1" si="664"/>
        <v/>
      </c>
      <c r="FW274" s="360" t="str">
        <f t="shared" ca="1" si="665"/>
        <v/>
      </c>
      <c r="FX274" s="360" t="str">
        <f t="shared" ca="1" si="666"/>
        <v/>
      </c>
      <c r="FY274" s="360" t="str">
        <f t="shared" ca="1" si="667"/>
        <v/>
      </c>
      <c r="FZ274" s="379" t="str">
        <f ca="1">FZ273</f>
        <v/>
      </c>
      <c r="GA274" s="302"/>
      <c r="GB274" s="364"/>
      <c r="GC274" s="302"/>
    </row>
    <row r="275" spans="86:185" x14ac:dyDescent="0.25">
      <c r="CH275" s="445"/>
      <c r="CI275" s="300"/>
      <c r="CJ275" s="300"/>
      <c r="CK275" s="300"/>
      <c r="CL275" s="449"/>
      <c r="CM275" s="445"/>
      <c r="DG275" s="445"/>
      <c r="DH275" s="300"/>
      <c r="DI275" s="395" t="str">
        <f ca="1">DI271</f>
        <v/>
      </c>
      <c r="DJ275" s="360" t="str">
        <f ca="1">IF(OR(DI275="",DP275="",DI275=DP275),"",CONCATENATE(DI275,DP275))</f>
        <v/>
      </c>
      <c r="DK275" s="360" t="str">
        <f ca="1">IF($DJ275="","",CONCATENATE(VLOOKUP($DJ275,games.a,9,FALSE),VLOOKUP($DJ275,games.a,12,FALSE)))</f>
        <v/>
      </c>
      <c r="DL275" s="354" t="str">
        <f ca="1">IF($DJ275="","",VLOOKUP($DJ275,games.a,10,FALSE))</f>
        <v/>
      </c>
      <c r="DM275" s="354" t="str">
        <f ca="1">IF($DJ275="","",VLOOKUP($DJ275,games.a,13,FALSE))</f>
        <v/>
      </c>
      <c r="DN275" s="361" t="str">
        <f ca="1">IF($DJ275="","",VLOOKUP($DJ275,games.a,6,FALSE))</f>
        <v/>
      </c>
      <c r="DO275" s="362" t="str">
        <f ca="1">IF($DJ275="","",VLOOKUP($DJ275,games.a,7,FALSE))</f>
        <v/>
      </c>
      <c r="DP275" s="379" t="str">
        <f ca="1">DP274</f>
        <v/>
      </c>
      <c r="DQ275" s="302"/>
      <c r="DR275" s="364"/>
      <c r="DS275" s="302"/>
      <c r="DU275" s="424"/>
      <c r="DV275" s="424"/>
      <c r="DW275" s="424"/>
      <c r="DX275" s="424"/>
      <c r="DY275" s="424"/>
      <c r="DZ275" s="424"/>
      <c r="EA275" s="424"/>
      <c r="EB275" s="424"/>
      <c r="EC275" s="424"/>
      <c r="ED275" s="424"/>
      <c r="EE275" s="424"/>
      <c r="EF275" s="424"/>
      <c r="EG275" s="424"/>
      <c r="EH275" s="424"/>
      <c r="EI275" s="424"/>
      <c r="EJ275" s="424"/>
      <c r="EK275" s="424"/>
      <c r="EL275" s="424"/>
      <c r="EM275" s="424"/>
      <c r="EN275" s="424"/>
      <c r="EO275" s="424"/>
      <c r="EP275" s="424"/>
      <c r="EQ275" s="424"/>
      <c r="ER275" s="424"/>
      <c r="ES275" s="424"/>
      <c r="ET275" s="424"/>
      <c r="EU275" s="424"/>
      <c r="EV275" s="424"/>
      <c r="EW275" s="424"/>
      <c r="EX275" s="424"/>
      <c r="EY275" s="424"/>
      <c r="EZ275" s="424"/>
      <c r="FA275" s="424"/>
      <c r="FB275" s="424"/>
      <c r="FC275" s="424"/>
      <c r="FD275" s="425"/>
      <c r="FE275" s="333"/>
      <c r="FO275" s="300"/>
      <c r="FP275" s="395" t="str">
        <f t="shared" ca="1" si="658"/>
        <v/>
      </c>
      <c r="FQ275" s="360" t="str">
        <f t="shared" ca="1" si="659"/>
        <v/>
      </c>
      <c r="FR275" s="360" t="str">
        <f t="shared" ca="1" si="660"/>
        <v/>
      </c>
      <c r="FS275" s="360" t="str">
        <f t="shared" ca="1" si="661"/>
        <v/>
      </c>
      <c r="FT275" s="360" t="str">
        <f t="shared" ca="1" si="662"/>
        <v/>
      </c>
      <c r="FU275" s="360" t="str">
        <f t="shared" ca="1" si="663"/>
        <v/>
      </c>
      <c r="FV275" s="360" t="str">
        <f t="shared" ca="1" si="664"/>
        <v/>
      </c>
      <c r="FW275" s="360" t="str">
        <f t="shared" ca="1" si="665"/>
        <v/>
      </c>
      <c r="FX275" s="360" t="str">
        <f t="shared" ca="1" si="666"/>
        <v/>
      </c>
      <c r="FY275" s="360" t="str">
        <f t="shared" ca="1" si="667"/>
        <v/>
      </c>
      <c r="FZ275" s="379" t="str">
        <f ca="1">FZ274</f>
        <v/>
      </c>
      <c r="GA275" s="302"/>
      <c r="GB275" s="364"/>
      <c r="GC275" s="302"/>
    </row>
    <row r="276" spans="86:185" x14ac:dyDescent="0.25">
      <c r="CH276" s="445"/>
      <c r="CI276" s="300"/>
      <c r="CJ276" s="300"/>
      <c r="CK276" s="300"/>
      <c r="CL276" s="449"/>
      <c r="CM276" s="445"/>
      <c r="DG276" s="445"/>
      <c r="DH276" s="300"/>
      <c r="DI276" s="395" t="str">
        <f ca="1">DI272</f>
        <v/>
      </c>
      <c r="DJ276" s="360" t="str">
        <f ca="1">IF(OR(DI276="",DP276="",DI276=DP276),"",CONCATENATE(DI276,DP276))</f>
        <v/>
      </c>
      <c r="DK276" s="360" t="str">
        <f ca="1">IF($DJ276="","",CONCATENATE(VLOOKUP($DJ276,games.a,9,FALSE),VLOOKUP($DJ276,games.a,12,FALSE)))</f>
        <v/>
      </c>
      <c r="DL276" s="354" t="str">
        <f ca="1">IF($DJ276="","",VLOOKUP($DJ276,games.a,10,FALSE))</f>
        <v/>
      </c>
      <c r="DM276" s="354" t="str">
        <f ca="1">IF($DJ276="","",VLOOKUP($DJ276,games.a,13,FALSE))</f>
        <v/>
      </c>
      <c r="DN276" s="361" t="str">
        <f ca="1">IF($DJ276="","",VLOOKUP($DJ276,games.a,6,FALSE))</f>
        <v/>
      </c>
      <c r="DO276" s="362" t="str">
        <f ca="1">IF($DJ276="","",VLOOKUP($DJ276,games.a,7,FALSE))</f>
        <v/>
      </c>
      <c r="DP276" s="379" t="str">
        <f ca="1">DP275</f>
        <v/>
      </c>
      <c r="DQ276" s="302"/>
      <c r="DR276" s="364"/>
      <c r="DS276" s="302"/>
      <c r="DU276" s="424"/>
      <c r="DV276" s="424"/>
      <c r="DW276" s="424"/>
      <c r="DX276" s="424"/>
      <c r="DY276" s="424"/>
      <c r="DZ276" s="424"/>
      <c r="EA276" s="424"/>
      <c r="EB276" s="424"/>
      <c r="EC276" s="424"/>
      <c r="ED276" s="424"/>
      <c r="EE276" s="424"/>
      <c r="EF276" s="424"/>
      <c r="EG276" s="424"/>
      <c r="EH276" s="424"/>
      <c r="EI276" s="424"/>
      <c r="EJ276" s="424"/>
      <c r="EK276" s="424"/>
      <c r="EL276" s="424"/>
      <c r="EM276" s="424"/>
      <c r="EN276" s="424"/>
      <c r="EO276" s="424"/>
      <c r="EP276" s="424"/>
      <c r="EQ276" s="424"/>
      <c r="ER276" s="424"/>
      <c r="ES276" s="424"/>
      <c r="ET276" s="424"/>
      <c r="EU276" s="424"/>
      <c r="EV276" s="424"/>
      <c r="EW276" s="424"/>
      <c r="EX276" s="424"/>
      <c r="EY276" s="424"/>
      <c r="EZ276" s="424"/>
      <c r="FA276" s="424"/>
      <c r="FB276" s="424"/>
      <c r="FC276" s="424"/>
      <c r="FD276" s="425"/>
      <c r="FE276" s="333"/>
      <c r="FO276" s="300"/>
      <c r="FP276" s="395" t="str">
        <f t="shared" ca="1" si="658"/>
        <v/>
      </c>
      <c r="FQ276" s="360" t="str">
        <f t="shared" ca="1" si="659"/>
        <v/>
      </c>
      <c r="FR276" s="360" t="str">
        <f t="shared" ca="1" si="660"/>
        <v/>
      </c>
      <c r="FS276" s="360" t="str">
        <f t="shared" ca="1" si="661"/>
        <v/>
      </c>
      <c r="FT276" s="360" t="str">
        <f t="shared" ca="1" si="662"/>
        <v/>
      </c>
      <c r="FU276" s="360" t="str">
        <f t="shared" ca="1" si="663"/>
        <v/>
      </c>
      <c r="FV276" s="360" t="str">
        <f t="shared" ca="1" si="664"/>
        <v/>
      </c>
      <c r="FW276" s="360" t="str">
        <f t="shared" ca="1" si="665"/>
        <v/>
      </c>
      <c r="FX276" s="360" t="str">
        <f t="shared" ca="1" si="666"/>
        <v/>
      </c>
      <c r="FY276" s="360" t="str">
        <f t="shared" ca="1" si="667"/>
        <v/>
      </c>
      <c r="FZ276" s="379" t="str">
        <f ca="1">FZ275</f>
        <v/>
      </c>
      <c r="GA276" s="302"/>
      <c r="GB276" s="364"/>
      <c r="GC276" s="302"/>
    </row>
    <row r="277" spans="86:185" x14ac:dyDescent="0.25">
      <c r="CH277" s="445"/>
      <c r="CI277" s="300"/>
      <c r="CJ277" s="300"/>
      <c r="CK277" s="300"/>
      <c r="CL277" s="449"/>
      <c r="CM277" s="445"/>
      <c r="DG277" s="445"/>
      <c r="DH277" s="445"/>
      <c r="DI277" s="301"/>
      <c r="DJ277" s="445"/>
      <c r="DK277" s="302"/>
      <c r="DL277" s="302"/>
      <c r="DM277" s="302"/>
      <c r="DN277" s="302"/>
      <c r="DO277" s="302"/>
      <c r="DP277" s="447"/>
      <c r="DQ277" s="302"/>
      <c r="DR277" s="446" t="s">
        <v>218</v>
      </c>
      <c r="DS277" s="302"/>
      <c r="DU277" s="424"/>
      <c r="DV277" s="424"/>
      <c r="DW277" s="424"/>
      <c r="DX277" s="424"/>
      <c r="DY277" s="424"/>
      <c r="DZ277" s="424"/>
      <c r="EA277" s="424"/>
      <c r="EB277" s="424"/>
      <c r="EC277" s="424"/>
      <c r="ED277" s="424"/>
      <c r="EE277" s="424"/>
      <c r="EF277" s="424"/>
      <c r="EG277" s="424"/>
      <c r="EH277" s="424"/>
      <c r="EI277" s="424"/>
      <c r="EJ277" s="424"/>
      <c r="EK277" s="424"/>
      <c r="EL277" s="424"/>
      <c r="EM277" s="424"/>
      <c r="EN277" s="424"/>
      <c r="EO277" s="424"/>
      <c r="EP277" s="424"/>
      <c r="EQ277" s="424"/>
      <c r="ER277" s="424"/>
      <c r="ES277" s="424"/>
      <c r="ET277" s="424"/>
      <c r="EU277" s="424"/>
      <c r="EV277" s="424"/>
      <c r="EW277" s="424"/>
      <c r="EX277" s="424"/>
      <c r="EY277" s="424"/>
      <c r="EZ277" s="424"/>
      <c r="FA277" s="424"/>
      <c r="FB277" s="424"/>
      <c r="FC277" s="424"/>
      <c r="FD277" s="425"/>
      <c r="FE277" s="333"/>
      <c r="FO277" s="300"/>
      <c r="FP277" s="395" t="str">
        <f t="shared" ca="1" si="658"/>
        <v/>
      </c>
      <c r="FQ277" s="360" t="str">
        <f t="shared" ca="1" si="659"/>
        <v/>
      </c>
      <c r="FR277" s="360" t="str">
        <f t="shared" ca="1" si="660"/>
        <v/>
      </c>
      <c r="FS277" s="360" t="str">
        <f t="shared" ca="1" si="661"/>
        <v/>
      </c>
      <c r="FT277" s="360" t="str">
        <f t="shared" ca="1" si="662"/>
        <v/>
      </c>
      <c r="FU277" s="360" t="str">
        <f t="shared" ca="1" si="663"/>
        <v/>
      </c>
      <c r="FV277" s="360" t="str">
        <f t="shared" ca="1" si="664"/>
        <v/>
      </c>
      <c r="FW277" s="360" t="str">
        <f t="shared" ca="1" si="665"/>
        <v/>
      </c>
      <c r="FX277" s="360" t="str">
        <f t="shared" ca="1" si="666"/>
        <v/>
      </c>
      <c r="FY277" s="360" t="str">
        <f t="shared" ca="1" si="667"/>
        <v/>
      </c>
      <c r="FZ277" s="379" t="str">
        <f ca="1">FZ276</f>
        <v/>
      </c>
      <c r="GA277" s="302"/>
      <c r="GB277" s="364"/>
      <c r="GC277" s="302"/>
    </row>
    <row r="278" spans="86:185" x14ac:dyDescent="0.25">
      <c r="CH278" s="445"/>
      <c r="CI278" s="300"/>
      <c r="CJ278" s="300"/>
      <c r="CK278" s="300"/>
      <c r="CL278" s="449"/>
      <c r="CM278" s="445"/>
      <c r="DG278" s="445"/>
      <c r="DH278" s="445"/>
      <c r="DI278" s="301"/>
      <c r="DJ278" s="445"/>
      <c r="DK278" s="302"/>
      <c r="DL278" s="302"/>
      <c r="DM278" s="302"/>
      <c r="DN278" s="302"/>
      <c r="DO278" s="302"/>
      <c r="DP278" s="447"/>
      <c r="DQ278" s="302"/>
      <c r="DR278" s="448" t="s">
        <v>219</v>
      </c>
      <c r="DS278" s="302"/>
      <c r="DU278" s="424"/>
      <c r="DV278" s="424"/>
      <c r="DW278" s="424"/>
      <c r="DX278" s="424"/>
      <c r="DY278" s="424"/>
      <c r="DZ278" s="424"/>
      <c r="EA278" s="424"/>
      <c r="EB278" s="424"/>
      <c r="EC278" s="424"/>
      <c r="ED278" s="424"/>
      <c r="EE278" s="424"/>
      <c r="EF278" s="424"/>
      <c r="EG278" s="424"/>
      <c r="EH278" s="424"/>
      <c r="EI278" s="424"/>
      <c r="EJ278" s="424"/>
      <c r="EK278" s="424"/>
      <c r="EL278" s="424"/>
      <c r="EM278" s="424"/>
      <c r="EN278" s="424"/>
      <c r="EO278" s="424"/>
      <c r="EP278" s="424"/>
      <c r="EQ278" s="424"/>
      <c r="ER278" s="424"/>
      <c r="ES278" s="424"/>
      <c r="ET278" s="424"/>
      <c r="EU278" s="424"/>
      <c r="EV278" s="424"/>
      <c r="EW278" s="424"/>
      <c r="EX278" s="424"/>
      <c r="EY278" s="424"/>
      <c r="EZ278" s="424"/>
      <c r="FA278" s="424"/>
      <c r="FB278" s="424"/>
      <c r="FC278" s="424"/>
      <c r="FD278" s="425"/>
      <c r="FE278" s="333"/>
      <c r="FO278" s="300"/>
      <c r="FP278" s="395" t="str">
        <f t="shared" ca="1" si="658"/>
        <v/>
      </c>
      <c r="FQ278" s="360" t="str">
        <f t="shared" ca="1" si="659"/>
        <v/>
      </c>
      <c r="FR278" s="360" t="str">
        <f t="shared" ca="1" si="660"/>
        <v/>
      </c>
      <c r="FS278" s="360" t="str">
        <f t="shared" ca="1" si="661"/>
        <v/>
      </c>
      <c r="FT278" s="360" t="str">
        <f t="shared" ca="1" si="662"/>
        <v/>
      </c>
      <c r="FU278" s="360" t="str">
        <f t="shared" ca="1" si="663"/>
        <v/>
      </c>
      <c r="FV278" s="360" t="str">
        <f t="shared" ca="1" si="664"/>
        <v/>
      </c>
      <c r="FW278" s="360" t="str">
        <f t="shared" ca="1" si="665"/>
        <v/>
      </c>
      <c r="FX278" s="360" t="str">
        <f t="shared" ca="1" si="666"/>
        <v/>
      </c>
      <c r="FY278" s="360" t="str">
        <f t="shared" ca="1" si="667"/>
        <v/>
      </c>
      <c r="FZ278" s="379" t="str">
        <f ca="1">FZ277</f>
        <v/>
      </c>
      <c r="GA278" s="302"/>
      <c r="GB278" s="364"/>
      <c r="GC278" s="302"/>
    </row>
    <row r="279" spans="86:185" x14ac:dyDescent="0.25">
      <c r="CH279" s="445"/>
      <c r="CI279" s="300"/>
      <c r="CJ279" s="300"/>
      <c r="CK279" s="300"/>
      <c r="CL279" s="449"/>
      <c r="CM279" s="445"/>
      <c r="DG279" s="445"/>
      <c r="DH279" s="300"/>
      <c r="DI279" s="323" t="b">
        <f ca="1">OR(NOT($AJ$44),COUNTIF(DN279:DN284,"")=4-(DP279-1)*DP279,COUNTIF(DN279:DN284,"")=4-(DP279-1)*DP279/2)</f>
        <v>1</v>
      </c>
      <c r="DJ279" s="324" t="s">
        <v>157</v>
      </c>
      <c r="DK279" s="324" t="s">
        <v>158</v>
      </c>
      <c r="DL279" s="325" t="s">
        <v>159</v>
      </c>
      <c r="DM279" s="325"/>
      <c r="DN279" s="326" t="s">
        <v>160</v>
      </c>
      <c r="DO279" s="325" t="s">
        <v>135</v>
      </c>
      <c r="DP279" s="323">
        <f ca="1">COUNT(DF42:DF43)</f>
        <v>0</v>
      </c>
      <c r="DQ279" s="302"/>
      <c r="DR279" s="364"/>
      <c r="DS279" s="302"/>
      <c r="DU279" s="424"/>
      <c r="DV279" s="329" t="s">
        <v>229</v>
      </c>
      <c r="DW279" s="365"/>
      <c r="DX279" s="329" t="s">
        <v>152</v>
      </c>
      <c r="DY279" s="329" t="s">
        <v>153</v>
      </c>
      <c r="DZ279" s="329" t="s">
        <v>154</v>
      </c>
      <c r="EA279" s="329" t="s">
        <v>155</v>
      </c>
      <c r="EB279" s="329" t="s">
        <v>125</v>
      </c>
      <c r="EC279" s="329" t="s">
        <v>226</v>
      </c>
      <c r="ED279" s="329" t="s">
        <v>126</v>
      </c>
      <c r="EE279" s="329" t="s">
        <v>227</v>
      </c>
      <c r="EF279" s="424"/>
      <c r="EG279" s="424"/>
      <c r="EH279" s="424"/>
      <c r="EI279" s="329" t="s">
        <v>228</v>
      </c>
      <c r="EJ279" s="329" t="s">
        <v>156</v>
      </c>
      <c r="EK279" s="329" t="s">
        <v>208</v>
      </c>
      <c r="EL279" s="424"/>
      <c r="EM279" s="424"/>
      <c r="EN279" s="424"/>
      <c r="EO279" s="424"/>
      <c r="EP279" s="424"/>
      <c r="EQ279" s="424"/>
      <c r="ER279" s="424"/>
      <c r="ES279" s="424"/>
      <c r="ET279" s="424"/>
      <c r="EU279" s="424"/>
      <c r="EV279" s="424"/>
      <c r="EW279" s="424"/>
      <c r="EX279" s="424"/>
      <c r="EY279" s="424"/>
      <c r="EZ279" s="424"/>
      <c r="FA279" s="424"/>
      <c r="FB279" s="424"/>
      <c r="FC279" s="424"/>
      <c r="FD279" s="425"/>
      <c r="FE279" s="333"/>
      <c r="FO279" s="300"/>
      <c r="FP279" s="301"/>
      <c r="FQ279" s="324" t="s">
        <v>157</v>
      </c>
      <c r="FR279" s="324" t="s">
        <v>237</v>
      </c>
      <c r="FS279" s="324" t="s">
        <v>239</v>
      </c>
      <c r="FT279" s="324" t="s">
        <v>240</v>
      </c>
      <c r="FU279" s="324" t="s">
        <v>238</v>
      </c>
      <c r="FV279" s="324" t="s">
        <v>241</v>
      </c>
      <c r="FW279" s="324" t="s">
        <v>242</v>
      </c>
      <c r="FX279" s="326" t="s">
        <v>160</v>
      </c>
      <c r="FY279" s="325" t="s">
        <v>135</v>
      </c>
      <c r="FZ279" s="302"/>
      <c r="GA279" s="302"/>
      <c r="GB279" s="364"/>
      <c r="GC279" s="302"/>
    </row>
    <row r="280" spans="86:185" x14ac:dyDescent="0.25">
      <c r="CH280" s="445"/>
      <c r="CI280" s="300"/>
      <c r="CJ280" s="300"/>
      <c r="CK280" s="300"/>
      <c r="CL280" s="449"/>
      <c r="CM280" s="445"/>
      <c r="DG280" s="445"/>
      <c r="DH280" s="300"/>
      <c r="DI280" s="359" t="str">
        <f ca="1">IF(DF42="","",VLOOKUP(DF42,xxx.aa1,19,FALSE))</f>
        <v/>
      </c>
      <c r="DJ280" s="360" t="str">
        <f ca="1">IF(OR(DI280="",DP280="",DI280=DP280),"",CONCATENATE(DI280,DP280))</f>
        <v/>
      </c>
      <c r="DK280" s="360" t="str">
        <f ca="1">IF($DJ280="","",CONCATENATE(VLOOKUP($DJ280,games.a,9,FALSE),VLOOKUP($DJ280,games.a,12,FALSE)))</f>
        <v/>
      </c>
      <c r="DL280" s="354" t="str">
        <f ca="1">IF($DJ280="","",VLOOKUP($DJ280,games.a,10,FALSE))</f>
        <v/>
      </c>
      <c r="DM280" s="354" t="str">
        <f ca="1">IF($DJ280="","",VLOOKUP($DJ280,games.a,13,FALSE))</f>
        <v/>
      </c>
      <c r="DN280" s="361" t="str">
        <f ca="1">IF($DJ280="","",VLOOKUP($DJ280,games.a,6,FALSE))</f>
        <v/>
      </c>
      <c r="DO280" s="362" t="str">
        <f ca="1">IF($DJ280="","",VLOOKUP($DJ280,games.a,7,FALSE))</f>
        <v/>
      </c>
      <c r="DP280" s="363" t="str">
        <f ca="1">DI280</f>
        <v/>
      </c>
      <c r="DQ280" s="302"/>
      <c r="DR280" s="364"/>
      <c r="DS280" s="302"/>
      <c r="DU280" s="424"/>
      <c r="DV280" s="366" t="str">
        <f ca="1">IF(OR(NOT($AJ$44),DI279),DI280,"")</f>
        <v/>
      </c>
      <c r="DW280" s="365"/>
      <c r="DX280" s="366">
        <f ca="1">IF($DV280="",0,COUNTIF(xxgy.aa,$DV280))</f>
        <v>0</v>
      </c>
      <c r="DY280" s="366">
        <f ca="1">IF($DV280="",0,COUNTIF(xxd.aa,$DV280))</f>
        <v>0</v>
      </c>
      <c r="DZ280" s="366">
        <f ca="1">IF($DV280="",0,1)*(SUMIF(xxo.aa,$DV280,xxl.aa)+SUMIF(xxi.aa,$DV280,xxk.aa))</f>
        <v>0</v>
      </c>
      <c r="EA280" s="366">
        <f ca="1">IF($DV280="",0,1)*(SUMIF(xxo.aa,$DV280,xxk.aa)+SUMIF(xxi.aa,$DV280,xxl.aa))</f>
        <v>0</v>
      </c>
      <c r="EB280" s="366">
        <f ca="1">DZ280-EA280</f>
        <v>0</v>
      </c>
      <c r="EC280" s="366">
        <f ca="1">IF(EA280=0,0,DZ280/EA280)</f>
        <v>0</v>
      </c>
      <c r="ED280" s="366">
        <f ca="1">$AJ$48*DX280+IF($AJ$44,0,1)*DY280</f>
        <v>0</v>
      </c>
      <c r="EE280" s="396">
        <f ca="1">ED280*1000000+IF($AJ$44,EC280,EB280)*1000*0</f>
        <v>0</v>
      </c>
      <c r="EF280" s="424"/>
      <c r="EG280" s="424"/>
      <c r="EH280" s="424"/>
      <c r="EI280" s="366">
        <f ca="1">IF(OR(ISERR(EE280),ISNA(EE280)),0,EE280)</f>
        <v>0</v>
      </c>
      <c r="EJ280" s="366">
        <f ca="1">IF(EI280=0,0,RANK(EI280,EI280:EI281,1))</f>
        <v>0</v>
      </c>
      <c r="EK280" s="366">
        <f ca="1">EJ280*40000*IF(COUNTIF($FC$42:$FC$65,DV280)&gt;0,0,1)</f>
        <v>0</v>
      </c>
      <c r="EL280" s="424"/>
      <c r="EM280" s="424"/>
      <c r="EN280" s="424"/>
      <c r="EO280" s="424"/>
      <c r="EP280" s="424"/>
      <c r="EQ280" s="424"/>
      <c r="ER280" s="424"/>
      <c r="ES280" s="424"/>
      <c r="ET280" s="424"/>
      <c r="EU280" s="424"/>
      <c r="EV280" s="424"/>
      <c r="EW280" s="424"/>
      <c r="EX280" s="424"/>
      <c r="EY280" s="424"/>
      <c r="EZ280" s="424"/>
      <c r="FA280" s="424"/>
      <c r="FB280" s="424"/>
      <c r="FC280" s="424"/>
      <c r="FD280" s="425"/>
      <c r="FE280" s="333"/>
      <c r="FP280" s="395" t="str">
        <f t="shared" ref="FP280:FP285" ca="1" si="668">FP273</f>
        <v/>
      </c>
      <c r="FQ280" s="360" t="str">
        <f t="shared" ref="FQ280:FQ285" ca="1" si="669">IF(OR(FP280="",FZ280="",FP280=FZ280),"",CONCATENATE(FP280,FZ280))</f>
        <v/>
      </c>
      <c r="FR280" s="360" t="str">
        <f t="shared" ref="FR280:FR285" ca="1" si="670">IF($FQ280="","",VLOOKUP($FQ280,games.a,9,FALSE))</f>
        <v/>
      </c>
      <c r="FS280" s="360" t="str">
        <f t="shared" ref="FS280:FS285" ca="1" si="671">IF($FQ280="","",VLOOKUP($FQ280,games.a,10,FALSE))</f>
        <v/>
      </c>
      <c r="FT280" s="360" t="str">
        <f t="shared" ref="FT280:FT285" ca="1" si="672">IF($FQ280="","",VLOOKUP($FQ280,games.a,11,FALSE))</f>
        <v/>
      </c>
      <c r="FU280" s="360" t="str">
        <f t="shared" ref="FU280:FU285" ca="1" si="673">IF($FQ280="","",VLOOKUP($FQ280,games.a,12,FALSE))</f>
        <v/>
      </c>
      <c r="FV280" s="360" t="str">
        <f t="shared" ref="FV280:FV285" ca="1" si="674">IF($FQ280="","",VLOOKUP($FQ280,games.a,13,FALSE))</f>
        <v/>
      </c>
      <c r="FW280" s="360" t="str">
        <f t="shared" ref="FW280:FW285" ca="1" si="675">IF($FQ280="","",VLOOKUP($FQ280,games.a,14,FALSE))</f>
        <v/>
      </c>
      <c r="FX280" s="360" t="str">
        <f t="shared" ref="FX280:FX285" ca="1" si="676">IF($FQ280="","",VLOOKUP($FQ280,games.a,6,FALSE))</f>
        <v/>
      </c>
      <c r="FY280" s="360" t="str">
        <f t="shared" ref="FY280:FY285" ca="1" si="677">IF($FQ280="","",VLOOKUP($FQ280,games.a,7,FALSE))</f>
        <v/>
      </c>
      <c r="FZ280" s="363" t="str">
        <f ca="1">FP268</f>
        <v/>
      </c>
      <c r="GA280" s="302"/>
      <c r="GB280" s="364"/>
    </row>
    <row r="281" spans="86:185" x14ac:dyDescent="0.25">
      <c r="CH281" s="445"/>
      <c r="CI281" s="300"/>
      <c r="CJ281" s="300"/>
      <c r="CK281" s="300"/>
      <c r="CL281" s="449"/>
      <c r="CM281" s="445"/>
      <c r="DG281" s="445"/>
      <c r="DH281" s="300"/>
      <c r="DI281" s="359" t="str">
        <f ca="1">IF(DF43="","",VLOOKUP(DF43,xxx.aa1,19,FALSE))</f>
        <v/>
      </c>
      <c r="DJ281" s="360" t="str">
        <f ca="1">IF(OR(DI281="",DP281="",DI281=DP281),"",CONCATENATE(DI281,DP281))</f>
        <v/>
      </c>
      <c r="DK281" s="360" t="str">
        <f ca="1">IF($DJ281="","",CONCATENATE(VLOOKUP($DJ281,games.a,9,FALSE),VLOOKUP($DJ281,games.a,12,FALSE)))</f>
        <v/>
      </c>
      <c r="DL281" s="354" t="str">
        <f ca="1">IF($DJ281="","",VLOOKUP($DJ281,games.a,10,FALSE))</f>
        <v/>
      </c>
      <c r="DM281" s="354" t="str">
        <f ca="1">IF($DJ281="","",VLOOKUP($DJ281,games.a,13,FALSE))</f>
        <v/>
      </c>
      <c r="DN281" s="361" t="str">
        <f ca="1">IF($DJ281="","",VLOOKUP($DJ281,games.a,6,FALSE))</f>
        <v/>
      </c>
      <c r="DO281" s="362" t="str">
        <f ca="1">IF($DJ281="","",VLOOKUP($DJ281,games.a,7,FALSE))</f>
        <v/>
      </c>
      <c r="DP281" s="379" t="str">
        <f ca="1">DP280</f>
        <v/>
      </c>
      <c r="DQ281" s="302"/>
      <c r="DR281" s="364"/>
      <c r="DS281" s="302"/>
      <c r="DU281" s="424"/>
      <c r="DV281" s="366" t="str">
        <f ca="1">IF(OR(NOT($AJ$44),DI279),DI281,"")</f>
        <v/>
      </c>
      <c r="DW281" s="365"/>
      <c r="DX281" s="366">
        <f ca="1">IF($DV281="",0,COUNTIF(xxgy.aa,$DV281))</f>
        <v>0</v>
      </c>
      <c r="DY281" s="366">
        <f ca="1">IF($DV281="",0,COUNTIF(xxd.aa,$DV281))</f>
        <v>0</v>
      </c>
      <c r="DZ281" s="366">
        <f ca="1">IF($DV281="",0,1)*(SUMIF(xxo.aa,$DV281,xxl.aa)+SUMIF(xxi.aa,$DV281,xxk.aa))</f>
        <v>0</v>
      </c>
      <c r="EA281" s="366">
        <f ca="1">IF($DV281="",0,1)*(SUMIF(xxo.aa,$DV281,xxk.aa)+SUMIF(xxi.aa,$DV281,xxl.aa))</f>
        <v>0</v>
      </c>
      <c r="EB281" s="366">
        <f ca="1">DZ281-EA281</f>
        <v>0</v>
      </c>
      <c r="EC281" s="366">
        <f ca="1">IF(EA281=0,0,DZ281/EA281)</f>
        <v>0</v>
      </c>
      <c r="ED281" s="366">
        <f ca="1">$AJ$48*DX281+IF($AJ$44,0,1)*DY281</f>
        <v>0</v>
      </c>
      <c r="EE281" s="396">
        <f ca="1">ED281*1000000+IF($AJ$44,EC281,EB281)*1000*0</f>
        <v>0</v>
      </c>
      <c r="EF281" s="424"/>
      <c r="EG281" s="424"/>
      <c r="EH281" s="424"/>
      <c r="EI281" s="366">
        <f ca="1">IF(OR(ISERR(EE281),ISNA(EE281)),0,EE281)</f>
        <v>0</v>
      </c>
      <c r="EJ281" s="366">
        <f ca="1">IF(EI281=0,0,RANK(EI281,EI280:EI281,1))</f>
        <v>0</v>
      </c>
      <c r="EK281" s="366">
        <f ca="1">EJ281*40000*IF(COUNTIF($FC$42:$FC$65,DV281)&gt;0,0,1)</f>
        <v>0</v>
      </c>
      <c r="EL281" s="424"/>
      <c r="EM281" s="424"/>
      <c r="EN281" s="424"/>
      <c r="EO281" s="424"/>
      <c r="EP281" s="424"/>
      <c r="EQ281" s="424"/>
      <c r="ER281" s="424"/>
      <c r="ES281" s="424"/>
      <c r="ET281" s="424"/>
      <c r="EU281" s="424"/>
      <c r="EV281" s="424"/>
      <c r="EW281" s="424"/>
      <c r="EX281" s="424"/>
      <c r="EY281" s="424"/>
      <c r="EZ281" s="424"/>
      <c r="FA281" s="424"/>
      <c r="FB281" s="424"/>
      <c r="FC281" s="424"/>
      <c r="FD281" s="425"/>
      <c r="FE281" s="333"/>
      <c r="FO281" s="445"/>
      <c r="FP281" s="395" t="str">
        <f t="shared" ca="1" si="668"/>
        <v/>
      </c>
      <c r="FQ281" s="360" t="str">
        <f t="shared" ca="1" si="669"/>
        <v/>
      </c>
      <c r="FR281" s="360" t="str">
        <f t="shared" ca="1" si="670"/>
        <v/>
      </c>
      <c r="FS281" s="360" t="str">
        <f t="shared" ca="1" si="671"/>
        <v/>
      </c>
      <c r="FT281" s="360" t="str">
        <f t="shared" ca="1" si="672"/>
        <v/>
      </c>
      <c r="FU281" s="360" t="str">
        <f t="shared" ca="1" si="673"/>
        <v/>
      </c>
      <c r="FV281" s="360" t="str">
        <f t="shared" ca="1" si="674"/>
        <v/>
      </c>
      <c r="FW281" s="360" t="str">
        <f t="shared" ca="1" si="675"/>
        <v/>
      </c>
      <c r="FX281" s="360" t="str">
        <f t="shared" ca="1" si="676"/>
        <v/>
      </c>
      <c r="FY281" s="360" t="str">
        <f t="shared" ca="1" si="677"/>
        <v/>
      </c>
      <c r="FZ281" s="379" t="str">
        <f ca="1">FZ280</f>
        <v/>
      </c>
      <c r="GA281" s="302"/>
      <c r="GB281" s="364"/>
      <c r="GC281" s="445"/>
    </row>
    <row r="282" spans="86:185" x14ac:dyDescent="0.25">
      <c r="CH282" s="445"/>
      <c r="CI282" s="300"/>
      <c r="CJ282" s="300"/>
      <c r="CK282" s="300"/>
      <c r="CL282" s="449"/>
      <c r="CM282" s="445"/>
      <c r="DG282" s="445"/>
      <c r="DH282" s="300"/>
      <c r="DI282" s="301"/>
      <c r="DJ282" s="324" t="s">
        <v>157</v>
      </c>
      <c r="DK282" s="324" t="s">
        <v>158</v>
      </c>
      <c r="DL282" s="325" t="s">
        <v>159</v>
      </c>
      <c r="DM282" s="325"/>
      <c r="DN282" s="326" t="s">
        <v>160</v>
      </c>
      <c r="DO282" s="325" t="s">
        <v>135</v>
      </c>
      <c r="DP282" s="302"/>
      <c r="DQ282" s="302"/>
      <c r="DR282" s="364"/>
      <c r="DS282" s="302"/>
      <c r="DU282" s="424"/>
      <c r="DV282" s="424"/>
      <c r="DW282" s="424"/>
      <c r="DX282" s="424"/>
      <c r="DY282" s="424"/>
      <c r="DZ282" s="424"/>
      <c r="EA282" s="424"/>
      <c r="EB282" s="424"/>
      <c r="EC282" s="424"/>
      <c r="ED282" s="424"/>
      <c r="EE282" s="424"/>
      <c r="EF282" s="424"/>
      <c r="EG282" s="424"/>
      <c r="EH282" s="424"/>
      <c r="EI282" s="424"/>
      <c r="EJ282" s="424"/>
      <c r="EK282" s="424"/>
      <c r="EL282" s="424"/>
      <c r="EM282" s="424"/>
      <c r="EN282" s="424"/>
      <c r="EO282" s="424"/>
      <c r="EP282" s="424"/>
      <c r="EQ282" s="424"/>
      <c r="ER282" s="424"/>
      <c r="ES282" s="424"/>
      <c r="ET282" s="424"/>
      <c r="EU282" s="424"/>
      <c r="EV282" s="424"/>
      <c r="EW282" s="424"/>
      <c r="EX282" s="424"/>
      <c r="EY282" s="424"/>
      <c r="EZ282" s="424"/>
      <c r="FA282" s="424"/>
      <c r="FB282" s="424"/>
      <c r="FC282" s="424"/>
      <c r="FD282" s="425"/>
      <c r="FE282" s="333"/>
      <c r="FO282" s="445"/>
      <c r="FP282" s="395" t="str">
        <f t="shared" ca="1" si="668"/>
        <v/>
      </c>
      <c r="FQ282" s="360" t="str">
        <f t="shared" ca="1" si="669"/>
        <v/>
      </c>
      <c r="FR282" s="360" t="str">
        <f t="shared" ca="1" si="670"/>
        <v/>
      </c>
      <c r="FS282" s="360" t="str">
        <f t="shared" ca="1" si="671"/>
        <v/>
      </c>
      <c r="FT282" s="360" t="str">
        <f t="shared" ca="1" si="672"/>
        <v/>
      </c>
      <c r="FU282" s="360" t="str">
        <f t="shared" ca="1" si="673"/>
        <v/>
      </c>
      <c r="FV282" s="360" t="str">
        <f t="shared" ca="1" si="674"/>
        <v/>
      </c>
      <c r="FW282" s="360" t="str">
        <f t="shared" ca="1" si="675"/>
        <v/>
      </c>
      <c r="FX282" s="360" t="str">
        <f t="shared" ca="1" si="676"/>
        <v/>
      </c>
      <c r="FY282" s="360" t="str">
        <f t="shared" ca="1" si="677"/>
        <v/>
      </c>
      <c r="FZ282" s="379" t="str">
        <f ca="1">FZ281</f>
        <v/>
      </c>
      <c r="GA282" s="302"/>
      <c r="GB282" s="364"/>
      <c r="GC282" s="445"/>
    </row>
    <row r="283" spans="86:185" x14ac:dyDescent="0.25">
      <c r="CH283" s="445"/>
      <c r="CI283" s="300"/>
      <c r="CJ283" s="300"/>
      <c r="CK283" s="300"/>
      <c r="CL283" s="449"/>
      <c r="CM283" s="445"/>
      <c r="DG283" s="445"/>
      <c r="DH283" s="300"/>
      <c r="DI283" s="395" t="str">
        <f ca="1">DI280</f>
        <v/>
      </c>
      <c r="DJ283" s="360" t="str">
        <f ca="1">IF(OR(DI283="",DP283="",DI283=DP283),"",CONCATENATE(DI283,DP283))</f>
        <v/>
      </c>
      <c r="DK283" s="360" t="str">
        <f ca="1">IF($DJ283="","",CONCATENATE(VLOOKUP($DJ283,games.a,9,FALSE),VLOOKUP($DJ283,games.a,12,FALSE)))</f>
        <v/>
      </c>
      <c r="DL283" s="354" t="str">
        <f ca="1">IF($DJ283="","",VLOOKUP($DJ283,games.a,10,FALSE))</f>
        <v/>
      </c>
      <c r="DM283" s="354" t="str">
        <f ca="1">IF($DJ283="","",VLOOKUP($DJ283,games.a,13,FALSE))</f>
        <v/>
      </c>
      <c r="DN283" s="361" t="str">
        <f ca="1">IF($DJ283="","",VLOOKUP($DJ283,games.a,6,FALSE))</f>
        <v/>
      </c>
      <c r="DO283" s="362" t="str">
        <f ca="1">IF($DJ283="","",VLOOKUP($DJ283,games.a,7,FALSE))</f>
        <v/>
      </c>
      <c r="DP283" s="363" t="str">
        <f ca="1">DI281</f>
        <v/>
      </c>
      <c r="DQ283" s="302"/>
      <c r="DR283" s="364"/>
      <c r="DS283" s="302"/>
      <c r="DU283" s="424"/>
      <c r="DV283" s="424"/>
      <c r="DW283" s="424"/>
      <c r="DX283" s="424"/>
      <c r="DY283" s="424"/>
      <c r="DZ283" s="424"/>
      <c r="EA283" s="424"/>
      <c r="EB283" s="424"/>
      <c r="EC283" s="424"/>
      <c r="ED283" s="424"/>
      <c r="EE283" s="424"/>
      <c r="EF283" s="424"/>
      <c r="EG283" s="424"/>
      <c r="EH283" s="424"/>
      <c r="EI283" s="424"/>
      <c r="EJ283" s="424"/>
      <c r="EK283" s="424"/>
      <c r="EL283" s="424"/>
      <c r="EM283" s="424"/>
      <c r="EN283" s="424"/>
      <c r="EO283" s="424"/>
      <c r="EP283" s="424"/>
      <c r="EQ283" s="424"/>
      <c r="ER283" s="424"/>
      <c r="ES283" s="424"/>
      <c r="ET283" s="424"/>
      <c r="EU283" s="424"/>
      <c r="EV283" s="424"/>
      <c r="EW283" s="424"/>
      <c r="EX283" s="424"/>
      <c r="EY283" s="424"/>
      <c r="EZ283" s="424"/>
      <c r="FA283" s="424"/>
      <c r="FB283" s="424"/>
      <c r="FC283" s="424"/>
      <c r="FD283" s="425"/>
      <c r="FE283" s="333"/>
      <c r="FO283" s="445"/>
      <c r="FP283" s="395" t="str">
        <f t="shared" ca="1" si="668"/>
        <v/>
      </c>
      <c r="FQ283" s="360" t="str">
        <f t="shared" ca="1" si="669"/>
        <v/>
      </c>
      <c r="FR283" s="360" t="str">
        <f t="shared" ca="1" si="670"/>
        <v/>
      </c>
      <c r="FS283" s="360" t="str">
        <f t="shared" ca="1" si="671"/>
        <v/>
      </c>
      <c r="FT283" s="360" t="str">
        <f t="shared" ca="1" si="672"/>
        <v/>
      </c>
      <c r="FU283" s="360" t="str">
        <f t="shared" ca="1" si="673"/>
        <v/>
      </c>
      <c r="FV283" s="360" t="str">
        <f t="shared" ca="1" si="674"/>
        <v/>
      </c>
      <c r="FW283" s="360" t="str">
        <f t="shared" ca="1" si="675"/>
        <v/>
      </c>
      <c r="FX283" s="360" t="str">
        <f t="shared" ca="1" si="676"/>
        <v/>
      </c>
      <c r="FY283" s="360" t="str">
        <f t="shared" ca="1" si="677"/>
        <v/>
      </c>
      <c r="FZ283" s="379" t="str">
        <f ca="1">FZ282</f>
        <v/>
      </c>
      <c r="GA283" s="302"/>
      <c r="GB283" s="364"/>
      <c r="GC283" s="445"/>
    </row>
    <row r="284" spans="86:185" x14ac:dyDescent="0.25">
      <c r="CH284" s="445"/>
      <c r="CI284" s="300"/>
      <c r="CJ284" s="300"/>
      <c r="CK284" s="300"/>
      <c r="CL284" s="447"/>
      <c r="CM284" s="445"/>
      <c r="DG284" s="445"/>
      <c r="DH284" s="300"/>
      <c r="DI284" s="395" t="str">
        <f ca="1">DI281</f>
        <v/>
      </c>
      <c r="DJ284" s="360" t="str">
        <f ca="1">IF(OR(DI284="",DP284="",DI284=DP284),"",CONCATENATE(DI284,DP284))</f>
        <v/>
      </c>
      <c r="DK284" s="360" t="str">
        <f ca="1">IF($DJ284="","",CONCATENATE(VLOOKUP($DJ284,games.a,9,FALSE),VLOOKUP($DJ284,games.a,12,FALSE)))</f>
        <v/>
      </c>
      <c r="DL284" s="354" t="str">
        <f ca="1">IF($DJ284="","",VLOOKUP($DJ284,games.a,10,FALSE))</f>
        <v/>
      </c>
      <c r="DM284" s="354" t="str">
        <f ca="1">IF($DJ284="","",VLOOKUP($DJ284,games.a,13,FALSE))</f>
        <v/>
      </c>
      <c r="DN284" s="361" t="str">
        <f ca="1">IF($DJ284="","",VLOOKUP($DJ284,games.a,6,FALSE))</f>
        <v/>
      </c>
      <c r="DO284" s="362" t="str">
        <f ca="1">IF($DJ284="","",VLOOKUP($DJ284,games.a,7,FALSE))</f>
        <v/>
      </c>
      <c r="DP284" s="379" t="str">
        <f ca="1">DP283</f>
        <v/>
      </c>
      <c r="DQ284" s="302"/>
      <c r="DR284" s="364"/>
      <c r="DS284" s="302"/>
      <c r="DU284" s="424"/>
      <c r="DV284" s="424"/>
      <c r="DW284" s="424"/>
      <c r="DX284" s="424"/>
      <c r="DY284" s="424"/>
      <c r="DZ284" s="424"/>
      <c r="EA284" s="424"/>
      <c r="EB284" s="424"/>
      <c r="EC284" s="424"/>
      <c r="ED284" s="424"/>
      <c r="EE284" s="424"/>
      <c r="EF284" s="424"/>
      <c r="EG284" s="424"/>
      <c r="EH284" s="424"/>
      <c r="EI284" s="424"/>
      <c r="EJ284" s="424"/>
      <c r="EK284" s="424"/>
      <c r="EL284" s="424"/>
      <c r="EM284" s="424"/>
      <c r="EN284" s="424"/>
      <c r="EO284" s="424"/>
      <c r="EP284" s="424"/>
      <c r="EQ284" s="424"/>
      <c r="ER284" s="424"/>
      <c r="ES284" s="424"/>
      <c r="ET284" s="424"/>
      <c r="EU284" s="424"/>
      <c r="EV284" s="424"/>
      <c r="EW284" s="424"/>
      <c r="EX284" s="424"/>
      <c r="EY284" s="424"/>
      <c r="EZ284" s="424"/>
      <c r="FA284" s="424"/>
      <c r="FB284" s="424"/>
      <c r="FC284" s="424"/>
      <c r="FD284" s="425"/>
      <c r="FE284" s="333"/>
      <c r="FO284" s="445"/>
      <c r="FP284" s="395" t="str">
        <f t="shared" ca="1" si="668"/>
        <v/>
      </c>
      <c r="FQ284" s="360" t="str">
        <f t="shared" ca="1" si="669"/>
        <v/>
      </c>
      <c r="FR284" s="360" t="str">
        <f t="shared" ca="1" si="670"/>
        <v/>
      </c>
      <c r="FS284" s="360" t="str">
        <f t="shared" ca="1" si="671"/>
        <v/>
      </c>
      <c r="FT284" s="360" t="str">
        <f t="shared" ca="1" si="672"/>
        <v/>
      </c>
      <c r="FU284" s="360" t="str">
        <f t="shared" ca="1" si="673"/>
        <v/>
      </c>
      <c r="FV284" s="360" t="str">
        <f t="shared" ca="1" si="674"/>
        <v/>
      </c>
      <c r="FW284" s="360" t="str">
        <f t="shared" ca="1" si="675"/>
        <v/>
      </c>
      <c r="FX284" s="360" t="str">
        <f t="shared" ca="1" si="676"/>
        <v/>
      </c>
      <c r="FY284" s="360" t="str">
        <f t="shared" ca="1" si="677"/>
        <v/>
      </c>
      <c r="FZ284" s="379" t="str">
        <f ca="1">FZ283</f>
        <v/>
      </c>
      <c r="GA284" s="302"/>
      <c r="GB284" s="364"/>
      <c r="GC284" s="445"/>
    </row>
    <row r="285" spans="86:185" x14ac:dyDescent="0.25">
      <c r="CH285" s="445"/>
      <c r="CI285" s="300"/>
      <c r="CJ285" s="300"/>
      <c r="CK285" s="300"/>
      <c r="CL285" s="447"/>
      <c r="CM285" s="445"/>
      <c r="DG285" s="445"/>
      <c r="DH285" s="300"/>
      <c r="DI285" s="301"/>
      <c r="DJ285" s="302"/>
      <c r="DK285" s="302"/>
      <c r="DL285" s="302"/>
      <c r="DM285" s="302"/>
      <c r="DN285" s="302"/>
      <c r="DO285" s="302"/>
      <c r="DP285" s="302"/>
      <c r="DQ285" s="302"/>
      <c r="DR285" s="446" t="s">
        <v>219</v>
      </c>
      <c r="DS285" s="302"/>
      <c r="DU285" s="424"/>
      <c r="DV285" s="424"/>
      <c r="DW285" s="424"/>
      <c r="DX285" s="424"/>
      <c r="DY285" s="424"/>
      <c r="DZ285" s="424"/>
      <c r="EA285" s="424"/>
      <c r="EB285" s="424"/>
      <c r="EC285" s="424"/>
      <c r="ED285" s="424"/>
      <c r="EE285" s="424"/>
      <c r="EF285" s="424"/>
      <c r="EG285" s="424"/>
      <c r="EH285" s="424"/>
      <c r="EI285" s="424"/>
      <c r="EJ285" s="424"/>
      <c r="EK285" s="424"/>
      <c r="EL285" s="424"/>
      <c r="EM285" s="424"/>
      <c r="EN285" s="424"/>
      <c r="EO285" s="424"/>
      <c r="EP285" s="424"/>
      <c r="EQ285" s="424"/>
      <c r="ER285" s="424"/>
      <c r="ES285" s="424"/>
      <c r="ET285" s="424"/>
      <c r="EU285" s="424"/>
      <c r="EV285" s="424"/>
      <c r="EW285" s="424"/>
      <c r="EX285" s="424"/>
      <c r="EY285" s="424"/>
      <c r="EZ285" s="424"/>
      <c r="FA285" s="424"/>
      <c r="FB285" s="424"/>
      <c r="FC285" s="424"/>
      <c r="FD285" s="425"/>
      <c r="FE285" s="333"/>
      <c r="FO285" s="445"/>
      <c r="FP285" s="395" t="str">
        <f t="shared" ca="1" si="668"/>
        <v/>
      </c>
      <c r="FQ285" s="360" t="str">
        <f t="shared" ca="1" si="669"/>
        <v/>
      </c>
      <c r="FR285" s="360" t="str">
        <f t="shared" ca="1" si="670"/>
        <v/>
      </c>
      <c r="FS285" s="360" t="str">
        <f t="shared" ca="1" si="671"/>
        <v/>
      </c>
      <c r="FT285" s="360" t="str">
        <f t="shared" ca="1" si="672"/>
        <v/>
      </c>
      <c r="FU285" s="360" t="str">
        <f t="shared" ca="1" si="673"/>
        <v/>
      </c>
      <c r="FV285" s="360" t="str">
        <f t="shared" ca="1" si="674"/>
        <v/>
      </c>
      <c r="FW285" s="360" t="str">
        <f t="shared" ca="1" si="675"/>
        <v/>
      </c>
      <c r="FX285" s="360" t="str">
        <f t="shared" ca="1" si="676"/>
        <v/>
      </c>
      <c r="FY285" s="360" t="str">
        <f t="shared" ca="1" si="677"/>
        <v/>
      </c>
      <c r="FZ285" s="379" t="str">
        <f ca="1">FZ284</f>
        <v/>
      </c>
      <c r="GA285" s="302"/>
      <c r="GB285" s="364"/>
      <c r="GC285" s="445"/>
    </row>
    <row r="286" spans="86:185" x14ac:dyDescent="0.25">
      <c r="CH286" s="445"/>
      <c r="CI286" s="300"/>
      <c r="CJ286" s="300"/>
      <c r="CK286" s="300"/>
      <c r="CL286" s="449"/>
      <c r="CM286" s="445"/>
      <c r="DG286" s="445"/>
      <c r="DH286" s="300"/>
      <c r="DI286" s="301"/>
      <c r="DJ286" s="302"/>
      <c r="DK286" s="302"/>
      <c r="DL286" s="302"/>
      <c r="DM286" s="302"/>
      <c r="DN286" s="302"/>
      <c r="DO286" s="302"/>
      <c r="DP286" s="447"/>
      <c r="DQ286" s="302"/>
      <c r="DR286" s="450" t="s">
        <v>220</v>
      </c>
      <c r="DS286" s="302"/>
      <c r="DU286" s="424"/>
      <c r="DV286" s="424"/>
      <c r="DW286" s="424"/>
      <c r="DX286" s="424"/>
      <c r="DY286" s="424"/>
      <c r="DZ286" s="424"/>
      <c r="EA286" s="424"/>
      <c r="EB286" s="424"/>
      <c r="EC286" s="424"/>
      <c r="ED286" s="424"/>
      <c r="EE286" s="424"/>
      <c r="EF286" s="424"/>
      <c r="EG286" s="424"/>
      <c r="EH286" s="424"/>
      <c r="EI286" s="424"/>
      <c r="EJ286" s="424"/>
      <c r="EK286" s="424"/>
      <c r="EL286" s="424"/>
      <c r="EM286" s="424"/>
      <c r="EN286" s="424"/>
      <c r="EO286" s="424"/>
      <c r="EP286" s="424"/>
      <c r="EQ286" s="424"/>
      <c r="ER286" s="424"/>
      <c r="ES286" s="424"/>
      <c r="ET286" s="424"/>
      <c r="EU286" s="424"/>
      <c r="EV286" s="424"/>
      <c r="EW286" s="424"/>
      <c r="EX286" s="424"/>
      <c r="EY286" s="424"/>
      <c r="EZ286" s="424"/>
      <c r="FA286" s="424"/>
      <c r="FB286" s="424"/>
      <c r="FC286" s="424"/>
      <c r="FD286" s="425"/>
      <c r="FE286" s="333"/>
      <c r="FO286" s="445"/>
      <c r="FP286" s="301"/>
      <c r="FQ286" s="324" t="s">
        <v>157</v>
      </c>
      <c r="FR286" s="324" t="s">
        <v>237</v>
      </c>
      <c r="FS286" s="324" t="s">
        <v>239</v>
      </c>
      <c r="FT286" s="324" t="s">
        <v>240</v>
      </c>
      <c r="FU286" s="324" t="s">
        <v>238</v>
      </c>
      <c r="FV286" s="324" t="s">
        <v>241</v>
      </c>
      <c r="FW286" s="324" t="s">
        <v>242</v>
      </c>
      <c r="FX286" s="326" t="s">
        <v>160</v>
      </c>
      <c r="FY286" s="325" t="s">
        <v>135</v>
      </c>
      <c r="FZ286" s="302"/>
      <c r="GA286" s="302"/>
      <c r="GB286" s="364"/>
      <c r="GC286" s="445"/>
    </row>
    <row r="287" spans="86:185" x14ac:dyDescent="0.25">
      <c r="CH287" s="445"/>
      <c r="CI287" s="300"/>
      <c r="CJ287" s="300"/>
      <c r="CK287" s="300"/>
      <c r="CL287" s="449"/>
      <c r="CM287" s="445"/>
      <c r="DG287" s="445"/>
      <c r="DH287" s="300"/>
      <c r="DI287" s="323" t="b">
        <f>OR(NOT($AJ$44),COUNTIF(DN287:DN316,"")=25-(DP287-1)*DP287,COUNTIF(DN287:DN316,"")=25-(DP287-1)*DP287/2)</f>
        <v>1</v>
      </c>
      <c r="DJ287" s="324" t="s">
        <v>157</v>
      </c>
      <c r="DK287" s="324" t="s">
        <v>158</v>
      </c>
      <c r="DL287" s="325" t="s">
        <v>159</v>
      </c>
      <c r="DM287" s="325"/>
      <c r="DN287" s="326" t="s">
        <v>160</v>
      </c>
      <c r="DO287" s="325" t="s">
        <v>135</v>
      </c>
      <c r="DP287" s="323">
        <f>COUNT(CQ68:CQ72)</f>
        <v>0</v>
      </c>
      <c r="DQ287" s="302"/>
      <c r="DR287" s="364"/>
      <c r="DS287" s="302"/>
      <c r="DU287" s="424"/>
      <c r="DV287" s="329" t="s">
        <v>223</v>
      </c>
      <c r="DW287" s="329" t="s">
        <v>224</v>
      </c>
      <c r="DX287" s="329" t="s">
        <v>152</v>
      </c>
      <c r="DZ287" s="329" t="s">
        <v>154</v>
      </c>
      <c r="EA287" s="329" t="s">
        <v>155</v>
      </c>
      <c r="EC287" s="329" t="s">
        <v>226</v>
      </c>
      <c r="EE287" s="329" t="s">
        <v>227</v>
      </c>
      <c r="EI287" s="329" t="s">
        <v>228</v>
      </c>
      <c r="EJ287" s="329" t="s">
        <v>156</v>
      </c>
      <c r="EK287" s="329" t="s">
        <v>208</v>
      </c>
      <c r="EM287" s="329" t="s">
        <v>212</v>
      </c>
      <c r="EN287" s="330" t="s">
        <v>227</v>
      </c>
      <c r="EO287" s="329" t="s">
        <v>225</v>
      </c>
      <c r="EP287" s="328"/>
      <c r="EQ287" s="328"/>
      <c r="ER287" s="328"/>
      <c r="ES287" s="331" t="str">
        <f>IF(ER288=0,"xxx",VLOOKUP(ER288,EM288:EP292,IF($AJ$54,2,3),FALSE))</f>
        <v>xxx</v>
      </c>
      <c r="ET287" s="328"/>
      <c r="EU287" s="328"/>
      <c r="EV287" s="331" t="str">
        <f>IF(ER289=0,"xxx",VLOOKUP(ER289,EM288:EP292,IF($AJ$54,2,3),FALSE))</f>
        <v>xxx</v>
      </c>
      <c r="EW287" s="328"/>
      <c r="EX287" s="328"/>
      <c r="EY287" s="424"/>
      <c r="EZ287" s="424"/>
      <c r="FA287" s="424"/>
      <c r="FB287" s="424"/>
      <c r="FC287" s="324"/>
      <c r="FD287" s="425"/>
      <c r="FE287" s="333"/>
      <c r="FO287" s="445"/>
      <c r="FP287" s="395" t="str">
        <f t="shared" ref="FP287:FP292" ca="1" si="678">FP280</f>
        <v/>
      </c>
      <c r="FQ287" s="360" t="str">
        <f t="shared" ref="FQ287:FQ292" ca="1" si="679">IF(OR(FP287="",FZ287="",FP287=FZ287),"",CONCATENATE(FP287,FZ287))</f>
        <v/>
      </c>
      <c r="FR287" s="360" t="str">
        <f t="shared" ref="FR287:FR292" ca="1" si="680">IF($FQ287="","",VLOOKUP($FQ287,games.a,9,FALSE))</f>
        <v/>
      </c>
      <c r="FS287" s="360" t="str">
        <f t="shared" ref="FS287:FS292" ca="1" si="681">IF($FQ287="","",VLOOKUP($FQ287,games.a,10,FALSE))</f>
        <v/>
      </c>
      <c r="FT287" s="360" t="str">
        <f t="shared" ref="FT287:FT292" ca="1" si="682">IF($FQ287="","",VLOOKUP($FQ287,games.a,11,FALSE))</f>
        <v/>
      </c>
      <c r="FU287" s="360" t="str">
        <f t="shared" ref="FU287:FU292" ca="1" si="683">IF($FQ287="","",VLOOKUP($FQ287,games.a,12,FALSE))</f>
        <v/>
      </c>
      <c r="FV287" s="360" t="str">
        <f t="shared" ref="FV287:FV292" ca="1" si="684">IF($FQ287="","",VLOOKUP($FQ287,games.a,13,FALSE))</f>
        <v/>
      </c>
      <c r="FW287" s="360" t="str">
        <f t="shared" ref="FW287:FW292" ca="1" si="685">IF($FQ287="","",VLOOKUP($FQ287,games.a,14,FALSE))</f>
        <v/>
      </c>
      <c r="FX287" s="360" t="str">
        <f t="shared" ref="FX287:FX292" ca="1" si="686">IF($FQ287="","",VLOOKUP($FQ287,games.a,6,FALSE))</f>
        <v/>
      </c>
      <c r="FY287" s="360" t="str">
        <f t="shared" ref="FY287:FY292" ca="1" si="687">IF($FQ287="","",VLOOKUP($FQ287,games.a,7,FALSE))</f>
        <v/>
      </c>
      <c r="FZ287" s="363" t="str">
        <f ca="1">FP269</f>
        <v/>
      </c>
      <c r="GA287" s="302"/>
      <c r="GB287" s="364"/>
      <c r="GC287" s="445"/>
    </row>
    <row r="288" spans="86:185" x14ac:dyDescent="0.25">
      <c r="CH288" s="445"/>
      <c r="CI288" s="300"/>
      <c r="CJ288" s="300"/>
      <c r="CK288" s="300"/>
      <c r="CL288" s="449"/>
      <c r="CM288" s="445"/>
      <c r="DG288" s="445"/>
      <c r="DI288" s="359" t="str">
        <f>IF(CQ68="","",VLOOKUP(CQ68,xxx.aa2,4,FALSE))</f>
        <v/>
      </c>
      <c r="DJ288" s="360" t="str">
        <f>IF(OR(DI288="",DP288="",DI288=DP288),"",CONCATENATE(DI288,DP288))</f>
        <v/>
      </c>
      <c r="DK288" s="360" t="str">
        <f>IF($DJ288="","",CONCATENATE(VLOOKUP($DJ288,games.a,9,FALSE),VLOOKUP($DJ288,games.a,12,FALSE)))</f>
        <v/>
      </c>
      <c r="DL288" s="354" t="str">
        <f>IF($DJ288="","",VLOOKUP($DJ288,games.a,10,FALSE))</f>
        <v/>
      </c>
      <c r="DM288" s="354" t="str">
        <f>IF($DJ288="","",VLOOKUP($DJ288,games.a,13,FALSE))</f>
        <v/>
      </c>
      <c r="DN288" s="361" t="str">
        <f>IF($DJ288="","",VLOOKUP($DJ288,games.a,6,FALSE))</f>
        <v/>
      </c>
      <c r="DO288" s="362" t="str">
        <f>IF($DJ288="","",VLOOKUP($DJ288,games.a,7,FALSE))</f>
        <v/>
      </c>
      <c r="DP288" s="363" t="str">
        <f>DI288</f>
        <v/>
      </c>
      <c r="DQ288" s="302"/>
      <c r="DR288" s="364"/>
      <c r="DU288" s="424"/>
      <c r="DV288" s="366" t="str">
        <f>IF(AND($AJ$44,DI287,DP287&lt;&gt;2),DI288,"")</f>
        <v/>
      </c>
      <c r="DW288" s="366">
        <f>IF(DV288="",-1,COUNTIF(xxgy.aa,DV288))</f>
        <v>-1</v>
      </c>
      <c r="DX288" s="366">
        <f>IF($DV288="",0,COUNTIF(yygy.aa,$DV288))</f>
        <v>0</v>
      </c>
      <c r="DZ288" s="366">
        <f ca="1">IF($DV288="",0,1)*(SUMIF(yyo.aa,$DV288,yyl.aa)+SUMIF(yyi.aa,$DV288,yyk.aa))</f>
        <v>0</v>
      </c>
      <c r="EA288" s="366">
        <f ca="1">IF($DV288="",0,1)*(SUMIF(yyo.aa,$DV288,yyk.aa)+SUMIF(yyi.aa,$DV288,yyl.aa))</f>
        <v>0</v>
      </c>
      <c r="EC288" s="366">
        <f ca="1">IF(EA288=0,0,DZ288/EA288)</f>
        <v>0</v>
      </c>
      <c r="EE288" s="366">
        <f ca="1">DW288*1000000+DX288*1000+EC288</f>
        <v>-1000000</v>
      </c>
      <c r="EI288" s="366">
        <f ca="1">IF(OR(ISERR(EE288),ISNA(EE288),DW288&lt;0),0,EE288)</f>
        <v>0</v>
      </c>
      <c r="EJ288" s="366">
        <f ca="1">IF(EI288=0,0,RANK(EI288,EI288:EI292,1))</f>
        <v>0</v>
      </c>
      <c r="EK288" s="366">
        <f ca="1">EJ288*40000*IF(COUNTIF($FC$288:$FC$297,DV288)&gt;0,0,1)</f>
        <v>0</v>
      </c>
      <c r="EM288" s="367">
        <f>IF($AJ$54,COUNTIF(EE294:EE298,EN288)*IF(EN288=0,0,1),COUNTIF(DW288:DW292,EO288)*IF(EO288&lt;0,0,1))+EP288/1000</f>
        <v>1E-3</v>
      </c>
      <c r="EN288" s="368">
        <v>0</v>
      </c>
      <c r="EO288" s="369">
        <f>LARGE(DW288:DW292,EP288)</f>
        <v>-1</v>
      </c>
      <c r="EP288" s="369">
        <v>1</v>
      </c>
      <c r="EQ288" s="365"/>
      <c r="ER288" s="370">
        <f>IF(LARGE(EM288:EM292,EP288)&lt;1,0,LARGE(EM288:EM292,EP288))</f>
        <v>0</v>
      </c>
      <c r="ES288" s="371" t="str">
        <f ca="1">IF(DW288=ES287,DV288,IF(EE294=ES287,DV294,""))</f>
        <v/>
      </c>
      <c r="ET288" s="369" t="str">
        <f ca="1">IF(ES288="","",EP288)</f>
        <v/>
      </c>
      <c r="EU288" s="372" t="str">
        <f ca="1">IF(ISERR(LARGE(ET288:ET292,EP288)),"",LARGE(ET288:ET292,EP288))</f>
        <v/>
      </c>
      <c r="EV288" s="371" t="str">
        <f ca="1">IF(DW288=EV287,DV288,IF(EE294=EV287,DV294,""))</f>
        <v/>
      </c>
      <c r="EW288" s="369" t="str">
        <f ca="1">IF(EV288="","",EP288)</f>
        <v/>
      </c>
      <c r="EX288" s="372" t="str">
        <f ca="1">IF(ISERR(LARGE(EW288:EW292,EP288)),"",LARGE(EW288:EW292,EP288))</f>
        <v/>
      </c>
      <c r="EY288" s="424"/>
      <c r="EZ288" s="424"/>
      <c r="FA288" s="424"/>
      <c r="FB288" s="424"/>
      <c r="FC288" s="366"/>
      <c r="FD288" s="425"/>
      <c r="FE288" s="333"/>
      <c r="FO288" s="445"/>
      <c r="FP288" s="395" t="str">
        <f t="shared" ca="1" si="678"/>
        <v/>
      </c>
      <c r="FQ288" s="360" t="str">
        <f t="shared" ca="1" si="679"/>
        <v/>
      </c>
      <c r="FR288" s="360" t="str">
        <f t="shared" ca="1" si="680"/>
        <v/>
      </c>
      <c r="FS288" s="360" t="str">
        <f t="shared" ca="1" si="681"/>
        <v/>
      </c>
      <c r="FT288" s="360" t="str">
        <f t="shared" ca="1" si="682"/>
        <v/>
      </c>
      <c r="FU288" s="360" t="str">
        <f t="shared" ca="1" si="683"/>
        <v/>
      </c>
      <c r="FV288" s="360" t="str">
        <f t="shared" ca="1" si="684"/>
        <v/>
      </c>
      <c r="FW288" s="360" t="str">
        <f t="shared" ca="1" si="685"/>
        <v/>
      </c>
      <c r="FX288" s="360" t="str">
        <f t="shared" ca="1" si="686"/>
        <v/>
      </c>
      <c r="FY288" s="360" t="str">
        <f t="shared" ca="1" si="687"/>
        <v/>
      </c>
      <c r="FZ288" s="379" t="str">
        <f ca="1">FZ287</f>
        <v/>
      </c>
      <c r="GA288" s="302"/>
      <c r="GB288" s="364"/>
      <c r="GC288" s="445"/>
    </row>
    <row r="289" spans="86:185" x14ac:dyDescent="0.25">
      <c r="CH289" s="445"/>
      <c r="CI289" s="300"/>
      <c r="CJ289" s="300"/>
      <c r="CK289" s="300"/>
      <c r="CL289" s="449"/>
      <c r="CM289" s="445"/>
      <c r="DG289" s="445"/>
      <c r="DH289" s="445"/>
      <c r="DI289" s="359" t="str">
        <f>IF(CQ69="","",VLOOKUP(CQ69,xxx.aa2,4,FALSE))</f>
        <v/>
      </c>
      <c r="DJ289" s="360" t="str">
        <f>IF(OR(DI289="",DP289="",DI289=DP289),"",CONCATENATE(DI289,DP289))</f>
        <v/>
      </c>
      <c r="DK289" s="360" t="str">
        <f>IF($DJ289="","",CONCATENATE(VLOOKUP($DJ289,games.a,9,FALSE),VLOOKUP($DJ289,games.a,12,FALSE)))</f>
        <v/>
      </c>
      <c r="DL289" s="354" t="str">
        <f>IF($DJ289="","",VLOOKUP($DJ289,games.a,10,FALSE))</f>
        <v/>
      </c>
      <c r="DM289" s="354" t="str">
        <f>IF($DJ289="","",VLOOKUP($DJ289,games.a,13,FALSE))</f>
        <v/>
      </c>
      <c r="DN289" s="361" t="str">
        <f>IF($DJ289="","",VLOOKUP($DJ289,games.a,6,FALSE))</f>
        <v/>
      </c>
      <c r="DO289" s="362" t="str">
        <f>IF($DJ289="","",VLOOKUP($DJ289,games.a,7,FALSE))</f>
        <v/>
      </c>
      <c r="DP289" s="379" t="str">
        <f>DP288</f>
        <v/>
      </c>
      <c r="DQ289" s="302"/>
      <c r="DR289" s="364"/>
      <c r="DS289" s="445"/>
      <c r="DU289" s="424"/>
      <c r="DV289" s="366" t="str">
        <f>IF(AND($AJ$44,DI287,DP287&lt;&gt;2),DI289,"")</f>
        <v/>
      </c>
      <c r="DW289" s="366">
        <f>IF(DV289="",-1,COUNTIF(xxgy.aa,DV289))</f>
        <v>-1</v>
      </c>
      <c r="DX289" s="366">
        <f>IF($DV289="",0,COUNTIF(yygy.aa,$DV289))</f>
        <v>0</v>
      </c>
      <c r="DZ289" s="366">
        <f ca="1">IF($DV289="",0,1)*(SUMIF(yyo.aa,$DV289,yyl.aa)+SUMIF(yyi.aa,$DV289,yyk.aa))</f>
        <v>0</v>
      </c>
      <c r="EA289" s="366">
        <f ca="1">IF($DV289="",0,1)*(SUMIF(yyo.aa,$DV289,yyk.aa)+SUMIF(yyi.aa,$DV289,yyl.aa))</f>
        <v>0</v>
      </c>
      <c r="EC289" s="366">
        <f ca="1">IF(EA289=0,0,DZ289/EA289)</f>
        <v>0</v>
      </c>
      <c r="EE289" s="366">
        <f ca="1">DW289*1000000+DX289*1000+EC289</f>
        <v>-1000000</v>
      </c>
      <c r="EI289" s="366">
        <f ca="1">IF(OR(ISERR(EE289),ISNA(EE289),DW289&lt;0),0,EE289)</f>
        <v>0</v>
      </c>
      <c r="EJ289" s="366">
        <f ca="1">IF(EI289=0,0,RANK(EI289,EI288:EI292,1))</f>
        <v>0</v>
      </c>
      <c r="EK289" s="366">
        <f ca="1">EJ289*40000*IF(COUNTIF($FC$288:$FC$297,DV289)&gt;0,0,1)</f>
        <v>0</v>
      </c>
      <c r="EM289" s="367">
        <f>IF($AJ$54,COUNTIF(EE294:EE298,EN288)*IF(OR(EN289=0,EN289=EN288),0,1),COUNTIF(DW288:DW292,EO289)*IF(OR(EO289=EO288,EO289&lt;0),0,1))+EP289/1000</f>
        <v>2E-3</v>
      </c>
      <c r="EN289" s="368">
        <v>0</v>
      </c>
      <c r="EO289" s="369">
        <f>LARGE(DW288:DW292,EP289)</f>
        <v>-1</v>
      </c>
      <c r="EP289" s="369">
        <v>2</v>
      </c>
      <c r="EQ289" s="365"/>
      <c r="ER289" s="370">
        <f>IF(LARGE(EM288:EM292,EP289)&lt;1,0,LARGE(EM288:EM292,EP289))</f>
        <v>0</v>
      </c>
      <c r="ES289" s="371" t="str">
        <f ca="1">IF(DW289=ES287,DV289,IF(EE295=ES287,DV295,""))</f>
        <v/>
      </c>
      <c r="ET289" s="369" t="str">
        <f ca="1">IF(ES289="","",EP289)</f>
        <v/>
      </c>
      <c r="EU289" s="372" t="str">
        <f ca="1">IF(ISERR(LARGE(ET288:ET292,EP289)),"",LARGE(ET288:ET292,EP289))</f>
        <v/>
      </c>
      <c r="EV289" s="371" t="str">
        <f ca="1">IF(DW289=EV287,DV289,IF(EE295=EV287,DV295,""))</f>
        <v/>
      </c>
      <c r="EW289" s="369" t="str">
        <f ca="1">IF(EV289="","",EP289)</f>
        <v/>
      </c>
      <c r="EX289" s="388" t="str">
        <f ca="1">IF(ISERR(LARGE(EW154:EW160,EP289)),"",LARGE(EW154:EW160,EP289))</f>
        <v/>
      </c>
      <c r="EY289" s="424"/>
      <c r="EZ289" s="424"/>
      <c r="FA289" s="424"/>
      <c r="FB289" s="424"/>
      <c r="FC289" s="366"/>
      <c r="FD289" s="425"/>
      <c r="FE289" s="333"/>
      <c r="FO289" s="445"/>
      <c r="FP289" s="395" t="str">
        <f t="shared" ca="1" si="678"/>
        <v/>
      </c>
      <c r="FQ289" s="360" t="str">
        <f t="shared" ca="1" si="679"/>
        <v/>
      </c>
      <c r="FR289" s="360" t="str">
        <f t="shared" ca="1" si="680"/>
        <v/>
      </c>
      <c r="FS289" s="360" t="str">
        <f t="shared" ca="1" si="681"/>
        <v/>
      </c>
      <c r="FT289" s="360" t="str">
        <f t="shared" ca="1" si="682"/>
        <v/>
      </c>
      <c r="FU289" s="360" t="str">
        <f t="shared" ca="1" si="683"/>
        <v/>
      </c>
      <c r="FV289" s="360" t="str">
        <f t="shared" ca="1" si="684"/>
        <v/>
      </c>
      <c r="FW289" s="360" t="str">
        <f t="shared" ca="1" si="685"/>
        <v/>
      </c>
      <c r="FX289" s="360" t="str">
        <f t="shared" ca="1" si="686"/>
        <v/>
      </c>
      <c r="FY289" s="360" t="str">
        <f t="shared" ca="1" si="687"/>
        <v/>
      </c>
      <c r="FZ289" s="379" t="str">
        <f ca="1">FZ288</f>
        <v/>
      </c>
      <c r="GA289" s="302"/>
      <c r="GB289" s="364"/>
      <c r="GC289" s="445"/>
    </row>
    <row r="290" spans="86:185" x14ac:dyDescent="0.25">
      <c r="CH290" s="445"/>
      <c r="CI290" s="300"/>
      <c r="CJ290" s="300"/>
      <c r="CK290" s="300"/>
      <c r="CL290" s="449"/>
      <c r="CM290" s="445"/>
      <c r="DG290" s="445"/>
      <c r="DH290" s="445"/>
      <c r="DI290" s="359" t="str">
        <f>IF(CQ70="","",VLOOKUP(CQ70,xxx.aa2,4,FALSE))</f>
        <v/>
      </c>
      <c r="DJ290" s="360" t="str">
        <f>IF(OR(DI290="",DP290="",DI290=DP290),"",CONCATENATE(DI290,DP290))</f>
        <v/>
      </c>
      <c r="DK290" s="360" t="str">
        <f>IF($DJ290="","",CONCATENATE(VLOOKUP($DJ290,games.a,9,FALSE),VLOOKUP($DJ290,games.a,12,FALSE)))</f>
        <v/>
      </c>
      <c r="DL290" s="354" t="str">
        <f>IF($DJ290="","",VLOOKUP($DJ290,games.a,10,FALSE))</f>
        <v/>
      </c>
      <c r="DM290" s="354" t="str">
        <f>IF($DJ290="","",VLOOKUP($DJ290,games.a,13,FALSE))</f>
        <v/>
      </c>
      <c r="DN290" s="361" t="str">
        <f>IF($DJ290="","",VLOOKUP($DJ290,games.a,6,FALSE))</f>
        <v/>
      </c>
      <c r="DO290" s="362" t="str">
        <f>IF($DJ290="","",VLOOKUP($DJ290,games.a,7,FALSE))</f>
        <v/>
      </c>
      <c r="DP290" s="379" t="str">
        <f>DP289</f>
        <v/>
      </c>
      <c r="DQ290" s="302"/>
      <c r="DR290" s="364"/>
      <c r="DS290" s="445"/>
      <c r="DU290" s="424"/>
      <c r="DV290" s="366" t="str">
        <f>IF(AND($AJ$44,DI287,DP287&lt;&gt;2),DI290,"")</f>
        <v/>
      </c>
      <c r="DW290" s="366">
        <f>IF(DV290="",-1,COUNTIF(xxgy.aa,DV290))</f>
        <v>-1</v>
      </c>
      <c r="DX290" s="366">
        <f>IF($DV290="",0,COUNTIF(yygy.aa,$DV290))</f>
        <v>0</v>
      </c>
      <c r="DZ290" s="366">
        <f ca="1">IF($DV290="",0,1)*(SUMIF(yyo.aa,$DV290,yyl.aa)+SUMIF(yyi.aa,$DV290,yyk.aa))</f>
        <v>0</v>
      </c>
      <c r="EA290" s="366">
        <f ca="1">IF($DV290="",0,1)*(SUMIF(yyo.aa,$DV290,yyk.aa)+SUMIF(yyi.aa,$DV290,yyl.aa))</f>
        <v>0</v>
      </c>
      <c r="EC290" s="366">
        <f ca="1">IF(EA290=0,0,DZ290/EA290)</f>
        <v>0</v>
      </c>
      <c r="EE290" s="366">
        <f ca="1">DW290*1000000+DX290*1000+EC290</f>
        <v>-1000000</v>
      </c>
      <c r="EI290" s="366">
        <f ca="1">IF(OR(ISERR(EE290),ISNA(EE290),DW290&lt;0),0,EE290)</f>
        <v>0</v>
      </c>
      <c r="EJ290" s="366">
        <f ca="1">IF(EI290=0,0,RANK(EI290,EI288:EI292,1))</f>
        <v>0</v>
      </c>
      <c r="EK290" s="366">
        <f ca="1">EJ290*40000*IF(COUNTIF($FC$288:$FC$297,DV290)&gt;0,0,1)</f>
        <v>0</v>
      </c>
      <c r="EL290" s="365"/>
      <c r="EM290" s="367">
        <f>IF($AJ$54,COUNTIF(EE294:EE298,EN289)*IF(OR(EN290=0,EN290=EN289),0,1),COUNTIF(DW288:DW292,EO290)*IF(OR(EO290=EO289,EO290&lt;0),0,1))+EP290/1000</f>
        <v>3.0000000000000001E-3</v>
      </c>
      <c r="EN290" s="368">
        <v>0</v>
      </c>
      <c r="EO290" s="369">
        <f>LARGE(DW288:DW292,EP290)</f>
        <v>-1</v>
      </c>
      <c r="EP290" s="369">
        <v>3</v>
      </c>
      <c r="EQ290" s="365"/>
      <c r="ER290" s="365"/>
      <c r="ES290" s="371" t="str">
        <f ca="1">IF(DW290=ES287,DV290,IF(EE296=ES287,DV296,""))</f>
        <v/>
      </c>
      <c r="ET290" s="369" t="str">
        <f ca="1">IF(ES290="","",EP290)</f>
        <v/>
      </c>
      <c r="EU290" s="388" t="str">
        <f ca="1">IF(ISERR(LARGE(ET288:ET292,EP290)),"",LARGE(ET288:ET292,EP290))</f>
        <v/>
      </c>
      <c r="EV290" s="371" t="str">
        <f ca="1">IF(DW290=EV287,DV290,IF(EE296=EV287,DV296,""))</f>
        <v/>
      </c>
      <c r="EW290" s="369" t="str">
        <f ca="1">IF(EV290="","",EP290)</f>
        <v/>
      </c>
      <c r="EX290" s="386"/>
      <c r="EY290" s="424"/>
      <c r="EZ290" s="424"/>
      <c r="FA290" s="424"/>
      <c r="FB290" s="424"/>
      <c r="FC290" s="366"/>
      <c r="FD290" s="425"/>
      <c r="FE290" s="333"/>
      <c r="FO290" s="445"/>
      <c r="FP290" s="395" t="str">
        <f t="shared" ca="1" si="678"/>
        <v/>
      </c>
      <c r="FQ290" s="360" t="str">
        <f t="shared" ca="1" si="679"/>
        <v/>
      </c>
      <c r="FR290" s="360" t="str">
        <f t="shared" ca="1" si="680"/>
        <v/>
      </c>
      <c r="FS290" s="360" t="str">
        <f t="shared" ca="1" si="681"/>
        <v/>
      </c>
      <c r="FT290" s="360" t="str">
        <f t="shared" ca="1" si="682"/>
        <v/>
      </c>
      <c r="FU290" s="360" t="str">
        <f t="shared" ca="1" si="683"/>
        <v/>
      </c>
      <c r="FV290" s="360" t="str">
        <f t="shared" ca="1" si="684"/>
        <v/>
      </c>
      <c r="FW290" s="360" t="str">
        <f t="shared" ca="1" si="685"/>
        <v/>
      </c>
      <c r="FX290" s="360" t="str">
        <f t="shared" ca="1" si="686"/>
        <v/>
      </c>
      <c r="FY290" s="360" t="str">
        <f t="shared" ca="1" si="687"/>
        <v/>
      </c>
      <c r="FZ290" s="379" t="str">
        <f ca="1">FZ289</f>
        <v/>
      </c>
      <c r="GA290" s="302"/>
      <c r="GB290" s="364"/>
      <c r="GC290" s="445"/>
    </row>
    <row r="291" spans="86:185" x14ac:dyDescent="0.25">
      <c r="CH291" s="445"/>
      <c r="CI291" s="300"/>
      <c r="CJ291" s="300"/>
      <c r="CK291" s="300"/>
      <c r="CL291" s="449"/>
      <c r="CM291" s="445"/>
      <c r="DG291" s="445"/>
      <c r="DH291" s="445"/>
      <c r="DI291" s="359" t="str">
        <f>IF(CQ71="","",VLOOKUP(CQ71,xxx.aa2,4,FALSE))</f>
        <v/>
      </c>
      <c r="DJ291" s="360" t="str">
        <f>IF(OR(DI291="",DP291="",DI291=DP291),"",CONCATENATE(DI291,DP291))</f>
        <v/>
      </c>
      <c r="DK291" s="360" t="str">
        <f>IF($DJ291="","",CONCATENATE(VLOOKUP($DJ291,games.a,9,FALSE),VLOOKUP($DJ291,games.a,12,FALSE)))</f>
        <v/>
      </c>
      <c r="DL291" s="354" t="str">
        <f>IF($DJ291="","",VLOOKUP($DJ291,games.a,10,FALSE))</f>
        <v/>
      </c>
      <c r="DM291" s="354" t="str">
        <f>IF($DJ291="","",VLOOKUP($DJ291,games.a,13,FALSE))</f>
        <v/>
      </c>
      <c r="DN291" s="361" t="str">
        <f>IF($DJ291="","",VLOOKUP($DJ291,games.a,6,FALSE))</f>
        <v/>
      </c>
      <c r="DO291" s="362" t="str">
        <f>IF($DJ291="","",VLOOKUP($DJ291,games.a,7,FALSE))</f>
        <v/>
      </c>
      <c r="DP291" s="379" t="str">
        <f>DP290</f>
        <v/>
      </c>
      <c r="DQ291" s="302"/>
      <c r="DR291" s="364"/>
      <c r="DS291" s="445"/>
      <c r="DU291" s="424"/>
      <c r="DV291" s="366" t="str">
        <f>IF(AND($AJ$44,DI287,DP287&lt;&gt;2),DI291,"")</f>
        <v/>
      </c>
      <c r="DW291" s="366">
        <f>IF(DV291="",-1,COUNTIF(xxgy.aa,DV291))</f>
        <v>-1</v>
      </c>
      <c r="DX291" s="366">
        <f>IF($DV291="",0,COUNTIF(yygy.aa,$DV291))</f>
        <v>0</v>
      </c>
      <c r="DZ291" s="366">
        <f ca="1">IF($DV291="",0,1)*(SUMIF(yyo.aa,$DV291,yyl.aa)+SUMIF(yyi.aa,$DV291,yyk.aa))</f>
        <v>0</v>
      </c>
      <c r="EA291" s="366">
        <f ca="1">IF($DV291="",0,1)*(SUMIF(yyo.aa,$DV291,yyk.aa)+SUMIF(yyi.aa,$DV291,yyl.aa))</f>
        <v>0</v>
      </c>
      <c r="EC291" s="366">
        <f ca="1">IF(EA291=0,0,DZ291/EA291)</f>
        <v>0</v>
      </c>
      <c r="EE291" s="366">
        <f ca="1">DW291*1000000+DX291*1000+EC291</f>
        <v>-1000000</v>
      </c>
      <c r="EI291" s="366">
        <f ca="1">IF(OR(ISERR(EE291),ISNA(EE291),DW291&lt;0),0,EE291)</f>
        <v>0</v>
      </c>
      <c r="EJ291" s="366">
        <f ca="1">IF(EI291=0,0,RANK(EI291,EI288:EI292,1))</f>
        <v>0</v>
      </c>
      <c r="EK291" s="366">
        <f ca="1">EJ291*40000*IF(COUNTIF($FC$288:$FC$297,DV291)&gt;0,0,1)</f>
        <v>0</v>
      </c>
      <c r="EL291" s="365"/>
      <c r="EM291" s="367">
        <f>IF($AJ$54,COUNTIF(EE294:EE298,EN290)*IF(OR(EN291=0,EN291=EN290),0,1),COUNTIF(DW288:DW292,EO291)*IF(OR(EO291=EO290,EO291&lt;0),0,1))+EP291/1000</f>
        <v>4.0000000000000001E-3</v>
      </c>
      <c r="EN291" s="368">
        <v>0</v>
      </c>
      <c r="EO291" s="369">
        <f>LARGE(DW288:DW292,EP291)</f>
        <v>-1</v>
      </c>
      <c r="EP291" s="369">
        <v>4</v>
      </c>
      <c r="EQ291" s="365"/>
      <c r="ER291" s="365"/>
      <c r="ES291" s="371" t="str">
        <f ca="1">IF(DW291=ES287,DV291,IF(EE297=ES287,DV297,""))</f>
        <v/>
      </c>
      <c r="ET291" s="369" t="str">
        <f ca="1">IF(ES291="","",EP291)</f>
        <v/>
      </c>
      <c r="EU291" s="365"/>
      <c r="EV291" s="371" t="str">
        <f ca="1">IF(DW291=EV287,DV291,IF(EE297=EV287,DV297,""))</f>
        <v/>
      </c>
      <c r="EW291" s="369" t="str">
        <f ca="1">IF(EV291="","",EP291)</f>
        <v/>
      </c>
      <c r="EX291" s="386"/>
      <c r="EY291" s="424"/>
      <c r="EZ291" s="424"/>
      <c r="FA291" s="424"/>
      <c r="FB291" s="424"/>
      <c r="FC291" s="366"/>
      <c r="FD291" s="425"/>
      <c r="FE291" s="333"/>
      <c r="FO291" s="445"/>
      <c r="FP291" s="395" t="str">
        <f t="shared" ca="1" si="678"/>
        <v/>
      </c>
      <c r="FQ291" s="360" t="str">
        <f t="shared" ca="1" si="679"/>
        <v/>
      </c>
      <c r="FR291" s="360" t="str">
        <f t="shared" ca="1" si="680"/>
        <v/>
      </c>
      <c r="FS291" s="360" t="str">
        <f t="shared" ca="1" si="681"/>
        <v/>
      </c>
      <c r="FT291" s="360" t="str">
        <f t="shared" ca="1" si="682"/>
        <v/>
      </c>
      <c r="FU291" s="360" t="str">
        <f t="shared" ca="1" si="683"/>
        <v/>
      </c>
      <c r="FV291" s="360" t="str">
        <f t="shared" ca="1" si="684"/>
        <v/>
      </c>
      <c r="FW291" s="360" t="str">
        <f t="shared" ca="1" si="685"/>
        <v/>
      </c>
      <c r="FX291" s="360" t="str">
        <f t="shared" ca="1" si="686"/>
        <v/>
      </c>
      <c r="FY291" s="360" t="str">
        <f t="shared" ca="1" si="687"/>
        <v/>
      </c>
      <c r="FZ291" s="379" t="str">
        <f ca="1">FZ290</f>
        <v/>
      </c>
      <c r="GA291" s="302"/>
      <c r="GB291" s="364"/>
      <c r="GC291" s="445"/>
    </row>
    <row r="292" spans="86:185" x14ac:dyDescent="0.25">
      <c r="CH292" s="445"/>
      <c r="CI292" s="300"/>
      <c r="CJ292" s="300"/>
      <c r="CK292" s="300"/>
      <c r="CL292" s="449"/>
      <c r="CM292" s="445"/>
      <c r="DG292" s="445"/>
      <c r="DH292" s="445"/>
      <c r="DI292" s="359" t="str">
        <f>IF(CQ72="","",VLOOKUP(CQ72,xxx.aa2,4,FALSE))</f>
        <v/>
      </c>
      <c r="DJ292" s="360" t="str">
        <f>IF(OR(DI292="",DP292="",DI292=DP292),"",CONCATENATE(DI292,DP292))</f>
        <v/>
      </c>
      <c r="DK292" s="360" t="str">
        <f>IF($DJ292="","",CONCATENATE(VLOOKUP($DJ292,games.a,9,FALSE),VLOOKUP($DJ292,games.a,12,FALSE)))</f>
        <v/>
      </c>
      <c r="DL292" s="354" t="str">
        <f>IF($DJ292="","",VLOOKUP($DJ292,games.a,10,FALSE))</f>
        <v/>
      </c>
      <c r="DM292" s="354" t="str">
        <f>IF($DJ292="","",VLOOKUP($DJ292,games.a,13,FALSE))</f>
        <v/>
      </c>
      <c r="DN292" s="361" t="str">
        <f>IF($DJ292="","",VLOOKUP($DJ292,games.a,6,FALSE))</f>
        <v/>
      </c>
      <c r="DO292" s="362" t="str">
        <f>IF($DJ292="","",VLOOKUP($DJ292,games.a,7,FALSE))</f>
        <v/>
      </c>
      <c r="DP292" s="379" t="str">
        <f>DP291</f>
        <v/>
      </c>
      <c r="DQ292" s="302"/>
      <c r="DR292" s="364"/>
      <c r="DS292" s="445"/>
      <c r="DU292" s="424"/>
      <c r="DV292" s="366" t="str">
        <f>IF(AND($AJ$44,DI287,DP287&lt;&gt;2),DI292,"")</f>
        <v/>
      </c>
      <c r="DW292" s="366">
        <f>IF(DV292="",-1,COUNTIF(xxgy.aa,DV292))</f>
        <v>-1</v>
      </c>
      <c r="DX292" s="366">
        <f>IF($DV292="",0,COUNTIF(yygy.aa,$DV292))</f>
        <v>0</v>
      </c>
      <c r="DZ292" s="366">
        <f ca="1">IF($DV292="",0,1)*(SUMIF(yyo.aa,$DV292,yyl.aa)+SUMIF(yyi.aa,$DV292,yyk.aa))</f>
        <v>0</v>
      </c>
      <c r="EA292" s="366">
        <f ca="1">IF($DV292="",0,1)*(SUMIF(yyo.aa,$DV292,yyk.aa)+SUMIF(yyi.aa,$DV292,yyl.aa))</f>
        <v>0</v>
      </c>
      <c r="EC292" s="366">
        <f ca="1">IF(EA292=0,0,DZ292/EA292)</f>
        <v>0</v>
      </c>
      <c r="EE292" s="366">
        <f ca="1">DW292*1000000+DX292*1000+EC292</f>
        <v>-1000000</v>
      </c>
      <c r="EI292" s="366">
        <f ca="1">IF(OR(ISERR(EE292),ISNA(EE292),DW292&lt;0),0,EE292)</f>
        <v>0</v>
      </c>
      <c r="EJ292" s="366">
        <f ca="1">IF(EI292=0,0,RANK(EI292,EI288:EI292,1))</f>
        <v>0</v>
      </c>
      <c r="EK292" s="366">
        <f ca="1">EJ292*40000*IF(COUNTIF($FC$288:$FC$297,DV292)&gt;0,0,1)</f>
        <v>0</v>
      </c>
      <c r="EL292" s="365"/>
      <c r="EM292" s="367">
        <f>IF($AJ$54,COUNTIF(EE294:EE298,EN291)*IF(OR(EN292=0,EN292=EN291),0,1),COUNTIF(DW288:DW292,EO292)*IF(OR(EO292=EO291,EO292&lt;0),0,1))+EP292/1000</f>
        <v>5.0000000000000001E-3</v>
      </c>
      <c r="EN292" s="368">
        <v>0</v>
      </c>
      <c r="EO292" s="369">
        <f>LARGE(DW288:DW292,EP292)</f>
        <v>-1</v>
      </c>
      <c r="EP292" s="369">
        <v>5</v>
      </c>
      <c r="EQ292" s="365"/>
      <c r="ER292" s="365"/>
      <c r="ES292" s="371" t="str">
        <f ca="1">IF(DW292=ES287,DV292,IF(EE298=ES287,DV298,""))</f>
        <v/>
      </c>
      <c r="ET292" s="369" t="str">
        <f ca="1">IF(ES292="","",EP292)</f>
        <v/>
      </c>
      <c r="EU292" s="451"/>
      <c r="EV292" s="371" t="str">
        <f ca="1">IF(DW292=EV287,DV292,IF(EE298=EV287,DV298,""))</f>
        <v/>
      </c>
      <c r="EW292" s="369" t="str">
        <f ca="1">IF(EV292="","",EP292)</f>
        <v/>
      </c>
      <c r="EX292" s="391"/>
      <c r="EY292" s="424"/>
      <c r="EZ292" s="424"/>
      <c r="FA292" s="424"/>
      <c r="FB292" s="424"/>
      <c r="FC292" s="366"/>
      <c r="FD292" s="425"/>
      <c r="FE292" s="333"/>
      <c r="FO292" s="445"/>
      <c r="FP292" s="395" t="str">
        <f t="shared" ca="1" si="678"/>
        <v/>
      </c>
      <c r="FQ292" s="360" t="str">
        <f t="shared" ca="1" si="679"/>
        <v/>
      </c>
      <c r="FR292" s="360" t="str">
        <f t="shared" ca="1" si="680"/>
        <v/>
      </c>
      <c r="FS292" s="360" t="str">
        <f t="shared" ca="1" si="681"/>
        <v/>
      </c>
      <c r="FT292" s="360" t="str">
        <f t="shared" ca="1" si="682"/>
        <v/>
      </c>
      <c r="FU292" s="360" t="str">
        <f t="shared" ca="1" si="683"/>
        <v/>
      </c>
      <c r="FV292" s="360" t="str">
        <f t="shared" ca="1" si="684"/>
        <v/>
      </c>
      <c r="FW292" s="360" t="str">
        <f t="shared" ca="1" si="685"/>
        <v/>
      </c>
      <c r="FX292" s="360" t="str">
        <f t="shared" ca="1" si="686"/>
        <v/>
      </c>
      <c r="FY292" s="360" t="str">
        <f t="shared" ca="1" si="687"/>
        <v/>
      </c>
      <c r="FZ292" s="379" t="str">
        <f ca="1">FZ291</f>
        <v/>
      </c>
      <c r="GA292" s="302"/>
      <c r="GB292" s="364"/>
      <c r="GC292" s="445"/>
    </row>
    <row r="293" spans="86:185" x14ac:dyDescent="0.25">
      <c r="CH293" s="445"/>
      <c r="CI293" s="300"/>
      <c r="CJ293" s="300"/>
      <c r="CK293" s="300"/>
      <c r="CL293" s="449"/>
      <c r="CM293" s="445"/>
      <c r="DG293" s="445"/>
      <c r="DH293" s="445"/>
      <c r="DI293" s="301"/>
      <c r="DJ293" s="324" t="s">
        <v>157</v>
      </c>
      <c r="DK293" s="324" t="s">
        <v>158</v>
      </c>
      <c r="DL293" s="325" t="s">
        <v>159</v>
      </c>
      <c r="DM293" s="325"/>
      <c r="DN293" s="326" t="s">
        <v>160</v>
      </c>
      <c r="DO293" s="325" t="s">
        <v>135</v>
      </c>
      <c r="DP293" s="302"/>
      <c r="DQ293" s="302"/>
      <c r="DR293" s="364"/>
      <c r="DS293" s="445"/>
      <c r="DU293" s="424"/>
      <c r="DV293" s="329" t="s">
        <v>229</v>
      </c>
      <c r="DW293" s="365"/>
      <c r="DX293" s="329" t="s">
        <v>152</v>
      </c>
      <c r="DY293" s="329" t="s">
        <v>153</v>
      </c>
      <c r="DZ293" s="329" t="s">
        <v>154</v>
      </c>
      <c r="EA293" s="329" t="s">
        <v>155</v>
      </c>
      <c r="EB293" s="329" t="s">
        <v>125</v>
      </c>
      <c r="EC293" s="329" t="s">
        <v>226</v>
      </c>
      <c r="ED293" s="329" t="s">
        <v>126</v>
      </c>
      <c r="EE293" s="329" t="s">
        <v>227</v>
      </c>
      <c r="EF293" s="330" t="s">
        <v>154</v>
      </c>
      <c r="EG293" s="330" t="s">
        <v>155</v>
      </c>
      <c r="EH293" s="330" t="s">
        <v>125</v>
      </c>
      <c r="EI293" s="329" t="s">
        <v>228</v>
      </c>
      <c r="EJ293" s="329" t="s">
        <v>156</v>
      </c>
      <c r="EK293" s="329" t="s">
        <v>208</v>
      </c>
      <c r="EL293" s="365"/>
      <c r="EM293" s="365"/>
      <c r="EN293" s="365"/>
      <c r="EO293" s="365"/>
      <c r="EP293" s="365"/>
      <c r="EQ293" s="365"/>
      <c r="ER293" s="365"/>
      <c r="ES293" s="365"/>
      <c r="ET293" s="365"/>
      <c r="EU293" s="365"/>
      <c r="EV293" s="365"/>
      <c r="EW293" s="365"/>
      <c r="EX293" s="365"/>
      <c r="EY293" s="424"/>
      <c r="EZ293" s="424"/>
      <c r="FA293" s="424"/>
      <c r="FB293" s="424"/>
      <c r="FC293" s="366"/>
      <c r="FD293" s="425"/>
      <c r="FE293" s="333"/>
      <c r="FO293" s="445"/>
      <c r="FP293" s="301"/>
      <c r="FQ293" s="324" t="s">
        <v>157</v>
      </c>
      <c r="FR293" s="324" t="s">
        <v>237</v>
      </c>
      <c r="FS293" s="324" t="s">
        <v>239</v>
      </c>
      <c r="FT293" s="324" t="s">
        <v>240</v>
      </c>
      <c r="FU293" s="324" t="s">
        <v>238</v>
      </c>
      <c r="FV293" s="324" t="s">
        <v>241</v>
      </c>
      <c r="FW293" s="324" t="s">
        <v>242</v>
      </c>
      <c r="FX293" s="326" t="s">
        <v>160</v>
      </c>
      <c r="FY293" s="325" t="s">
        <v>135</v>
      </c>
      <c r="FZ293" s="302"/>
      <c r="GA293" s="302"/>
      <c r="GB293" s="364"/>
      <c r="GC293" s="445"/>
    </row>
    <row r="294" spans="86:185" x14ac:dyDescent="0.25">
      <c r="CH294" s="445"/>
      <c r="CI294" s="300"/>
      <c r="CJ294" s="300"/>
      <c r="CK294" s="300"/>
      <c r="CL294" s="449"/>
      <c r="CM294" s="445"/>
      <c r="DG294" s="445"/>
      <c r="DH294" s="445"/>
      <c r="DI294" s="395" t="str">
        <f>DI288</f>
        <v/>
      </c>
      <c r="DJ294" s="360" t="str">
        <f>IF(OR(DI294="",DP294="",DI294=DP294),"",CONCATENATE(DI294,DP294))</f>
        <v/>
      </c>
      <c r="DK294" s="360" t="str">
        <f>IF($DJ294="","",CONCATENATE(VLOOKUP($DJ294,games.a,9,FALSE),VLOOKUP($DJ294,games.a,12,FALSE)))</f>
        <v/>
      </c>
      <c r="DL294" s="354" t="str">
        <f>IF($DJ294="","",VLOOKUP($DJ294,games.a,10,FALSE))</f>
        <v/>
      </c>
      <c r="DM294" s="354" t="str">
        <f>IF($DJ294="","",VLOOKUP($DJ294,games.a,13,FALSE))</f>
        <v/>
      </c>
      <c r="DN294" s="361" t="str">
        <f>IF($DJ294="","",VLOOKUP($DJ294,games.a,6,FALSE))</f>
        <v/>
      </c>
      <c r="DO294" s="362" t="str">
        <f>IF($DJ294="","",VLOOKUP($DJ294,games.a,7,FALSE))</f>
        <v/>
      </c>
      <c r="DP294" s="363" t="str">
        <f>DI289</f>
        <v/>
      </c>
      <c r="DQ294" s="302"/>
      <c r="DR294" s="364"/>
      <c r="DS294" s="445"/>
      <c r="DU294" s="424"/>
      <c r="DV294" s="366" t="str">
        <f>IF(OR(NOT($AJ$44),AND(DI287,DV288="")),DI288,"")</f>
        <v/>
      </c>
      <c r="DW294" s="365"/>
      <c r="DX294" s="366">
        <f>IF($DV294="",0,COUNTIF(xxgy.aa,$DV294))</f>
        <v>0</v>
      </c>
      <c r="DY294" s="366">
        <f>IF($DV294="",0,COUNTIF(xxd.aa,$DV294))</f>
        <v>0</v>
      </c>
      <c r="DZ294" s="366">
        <f ca="1">IF($DV294="",0,1)*(SUMIF(xxo.aa,$DV294,xxl.aa)+SUMIF(xxi.aa,$DV294,xxk.aa))</f>
        <v>0</v>
      </c>
      <c r="EA294" s="366">
        <f ca="1">IF($DV294="",0,1)*(SUMIF(xxo.aa,$DV294,xxk.aa)+SUMIF(xxi.aa,$DV294,xxl.aa))</f>
        <v>0</v>
      </c>
      <c r="EB294" s="366">
        <f ca="1">DZ294-EA294</f>
        <v>0</v>
      </c>
      <c r="EC294" s="366">
        <f ca="1">IF(EA294=0,0,DZ294/EA294)</f>
        <v>0</v>
      </c>
      <c r="ED294" s="366">
        <f>$AJ$48*DX294+IF($AJ$44,0,1)*DY294</f>
        <v>0</v>
      </c>
      <c r="EE294" s="396">
        <f ca="1">ED294*1000000+IF($AJ$44,EC294,EB294)*1000*0</f>
        <v>0</v>
      </c>
      <c r="EF294" s="366">
        <f ca="1">IF($DV294="",0,1)*(SUMIF(yyo.aa,$DV294,yyl.aa)+SUMIF(yyi.aa,$DV294,yyk.aa))</f>
        <v>0</v>
      </c>
      <c r="EG294" s="366">
        <f ca="1">IF($DV294="",0,1)*(SUMIF(yyo.aa,$DV294,yyk.aa)+SUMIF(yyi.aa,$DV294,yyl.aa))</f>
        <v>0</v>
      </c>
      <c r="EH294" s="366">
        <f ca="1">EF294-EG294</f>
        <v>0</v>
      </c>
      <c r="EI294" s="366">
        <f ca="1">IF(OR(ISERR(EE294),ISNA(EE294)),0,EE294)+IF($AJ$54,EH294,0)</f>
        <v>0</v>
      </c>
      <c r="EJ294" s="366">
        <f ca="1">IF(EI294=0,0,RANK(EI294,EI294:EI298,1))</f>
        <v>0</v>
      </c>
      <c r="EK294" s="366">
        <f ca="1">EJ294*40000*IF(COUNTIF($FC$288:$FC$297,DV294)&gt;0,0,1)</f>
        <v>0</v>
      </c>
      <c r="EL294" s="365"/>
      <c r="EM294" s="365"/>
      <c r="EN294" s="365"/>
      <c r="EO294" s="365"/>
      <c r="EP294" s="365"/>
      <c r="EQ294" s="365"/>
      <c r="ER294" s="365"/>
      <c r="ES294" s="365"/>
      <c r="ET294" s="365"/>
      <c r="EU294" s="365"/>
      <c r="EV294" s="365"/>
      <c r="EW294" s="365"/>
      <c r="EX294" s="365"/>
      <c r="EY294" s="365"/>
      <c r="EZ294" s="365"/>
      <c r="FA294" s="365"/>
      <c r="FB294" s="424"/>
      <c r="FC294" s="366"/>
      <c r="FD294" s="425"/>
      <c r="FE294" s="333"/>
      <c r="FO294" s="445"/>
      <c r="FP294" s="395" t="str">
        <f t="shared" ref="FP294:FP299" ca="1" si="688">FP287</f>
        <v/>
      </c>
      <c r="FQ294" s="360" t="str">
        <f t="shared" ref="FQ294:FQ299" ca="1" si="689">IF(OR(FP294="",FZ294="",FP294=FZ294),"",CONCATENATE(FP294,FZ294))</f>
        <v/>
      </c>
      <c r="FR294" s="360" t="str">
        <f t="shared" ref="FR294:FR299" ca="1" si="690">IF($FQ294="","",VLOOKUP($FQ294,games.a,9,FALSE))</f>
        <v/>
      </c>
      <c r="FS294" s="360" t="str">
        <f t="shared" ref="FS294:FS299" ca="1" si="691">IF($FQ294="","",VLOOKUP($FQ294,games.a,10,FALSE))</f>
        <v/>
      </c>
      <c r="FT294" s="360" t="str">
        <f t="shared" ref="FT294:FT299" ca="1" si="692">IF($FQ294="","",VLOOKUP($FQ294,games.a,11,FALSE))</f>
        <v/>
      </c>
      <c r="FU294" s="360" t="str">
        <f t="shared" ref="FU294:FU299" ca="1" si="693">IF($FQ294="","",VLOOKUP($FQ294,games.a,12,FALSE))</f>
        <v/>
      </c>
      <c r="FV294" s="360" t="str">
        <f t="shared" ref="FV294:FV299" ca="1" si="694">IF($FQ294="","",VLOOKUP($FQ294,games.a,13,FALSE))</f>
        <v/>
      </c>
      <c r="FW294" s="360" t="str">
        <f t="shared" ref="FW294:FW299" ca="1" si="695">IF($FQ294="","",VLOOKUP($FQ294,games.a,14,FALSE))</f>
        <v/>
      </c>
      <c r="FX294" s="360" t="str">
        <f t="shared" ref="FX294:FX299" ca="1" si="696">IF($FQ294="","",VLOOKUP($FQ294,games.a,6,FALSE))</f>
        <v/>
      </c>
      <c r="FY294" s="360" t="str">
        <f t="shared" ref="FY294:FY299" ca="1" si="697">IF($FQ294="","",VLOOKUP($FQ294,games.a,7,FALSE))</f>
        <v/>
      </c>
      <c r="FZ294" s="363" t="str">
        <f ca="1">FP270</f>
        <v/>
      </c>
      <c r="GA294" s="302"/>
      <c r="GB294" s="364"/>
      <c r="GC294" s="445"/>
    </row>
    <row r="295" spans="86:185" x14ac:dyDescent="0.25">
      <c r="CH295" s="445"/>
      <c r="CI295" s="300"/>
      <c r="CJ295" s="300"/>
      <c r="CK295" s="300"/>
      <c r="CL295" s="449"/>
      <c r="CM295" s="445"/>
      <c r="DG295" s="445"/>
      <c r="DH295" s="445"/>
      <c r="DI295" s="395" t="str">
        <f>DI289</f>
        <v/>
      </c>
      <c r="DJ295" s="360" t="str">
        <f>IF(OR(DI295="",DP295="",DI295=DP295),"",CONCATENATE(DI295,DP295))</f>
        <v/>
      </c>
      <c r="DK295" s="360" t="str">
        <f>IF($DJ295="","",CONCATENATE(VLOOKUP($DJ295,games.a,9,FALSE),VLOOKUP($DJ295,games.a,12,FALSE)))</f>
        <v/>
      </c>
      <c r="DL295" s="354" t="str">
        <f>IF($DJ295="","",VLOOKUP($DJ295,games.a,10,FALSE))</f>
        <v/>
      </c>
      <c r="DM295" s="354" t="str">
        <f>IF($DJ295="","",VLOOKUP($DJ295,games.a,13,FALSE))</f>
        <v/>
      </c>
      <c r="DN295" s="361" t="str">
        <f>IF($DJ295="","",VLOOKUP($DJ295,games.a,6,FALSE))</f>
        <v/>
      </c>
      <c r="DO295" s="362" t="str">
        <f>IF($DJ295="","",VLOOKUP($DJ295,games.a,7,FALSE))</f>
        <v/>
      </c>
      <c r="DP295" s="379" t="str">
        <f>DP294</f>
        <v/>
      </c>
      <c r="DQ295" s="302"/>
      <c r="DR295" s="364"/>
      <c r="DS295" s="445"/>
      <c r="DU295" s="424"/>
      <c r="DV295" s="366" t="str">
        <f>IF(OR(NOT($AJ$44),AND(DI287,DV289="")),DI289,"")</f>
        <v/>
      </c>
      <c r="DW295" s="365"/>
      <c r="DX295" s="366">
        <f>IF($DV295="",0,COUNTIF(xxgy.aa,$DV295))</f>
        <v>0</v>
      </c>
      <c r="DY295" s="366">
        <f>IF($DV295="",0,COUNTIF(xxd.aa,$DV295))</f>
        <v>0</v>
      </c>
      <c r="DZ295" s="366">
        <f ca="1">IF($DV295="",0,1)*(SUMIF(xxo.aa,$DV295,xxl.aa)+SUMIF(xxi.aa,$DV295,xxk.aa))</f>
        <v>0</v>
      </c>
      <c r="EA295" s="366">
        <f ca="1">IF($DV295="",0,1)*(SUMIF(xxo.aa,$DV295,xxk.aa)+SUMIF(xxi.aa,$DV295,xxl.aa))</f>
        <v>0</v>
      </c>
      <c r="EB295" s="366">
        <f ca="1">DZ295-EA295</f>
        <v>0</v>
      </c>
      <c r="EC295" s="366">
        <f ca="1">IF(EA295=0,0,DZ295/EA295)</f>
        <v>0</v>
      </c>
      <c r="ED295" s="366">
        <f>$AJ$48*DX295+IF($AJ$44,0,1)*DY295</f>
        <v>0</v>
      </c>
      <c r="EE295" s="396">
        <f ca="1">ED295*1000000+IF($AJ$44,EC295,EB295)*1000*0</f>
        <v>0</v>
      </c>
      <c r="EF295" s="366">
        <f ca="1">IF($DV295="",0,1)*(SUMIF(yyo.aa,$DV295,yyl.aa)+SUMIF(yyi.aa,$DV295,yyk.aa))</f>
        <v>0</v>
      </c>
      <c r="EG295" s="366">
        <f ca="1">IF($DV295="",0,1)*(SUMIF(yyo.aa,$DV295,yyk.aa)+SUMIF(yyi.aa,$DV295,yyl.aa))</f>
        <v>0</v>
      </c>
      <c r="EH295" s="366">
        <f ca="1">EF295-EG295</f>
        <v>0</v>
      </c>
      <c r="EI295" s="366">
        <f ca="1">IF(OR(ISERR(EE295),ISNA(EE295)),0,EE295)+IF($AJ$54,EH295,0)</f>
        <v>0</v>
      </c>
      <c r="EJ295" s="366">
        <f ca="1">IF(EI295=0,0,RANK(EI295,EI294:EI298,1))</f>
        <v>0</v>
      </c>
      <c r="EK295" s="366">
        <f ca="1">EJ295*40000*IF(COUNTIF($FC$288:$FC$297,DV295)&gt;0,0,1)</f>
        <v>0</v>
      </c>
      <c r="EL295" s="365"/>
      <c r="EM295" s="365"/>
      <c r="EN295" s="365"/>
      <c r="EO295" s="365"/>
      <c r="EP295" s="365"/>
      <c r="EQ295" s="365"/>
      <c r="ER295" s="398"/>
      <c r="ES295" s="329" t="s">
        <v>157</v>
      </c>
      <c r="ET295" s="329" t="s">
        <v>158</v>
      </c>
      <c r="EU295" s="399"/>
      <c r="EV295" s="400"/>
      <c r="EW295" s="401" t="s">
        <v>160</v>
      </c>
      <c r="EX295" s="402" t="s">
        <v>135</v>
      </c>
      <c r="EY295" s="403">
        <f ca="1">COUNT(EU288:EU290)</f>
        <v>0</v>
      </c>
      <c r="EZ295" s="365"/>
      <c r="FA295" s="365"/>
      <c r="FB295" s="424"/>
      <c r="FC295" s="366"/>
      <c r="FD295" s="425"/>
      <c r="FE295" s="333"/>
      <c r="FO295" s="445"/>
      <c r="FP295" s="395" t="str">
        <f t="shared" ca="1" si="688"/>
        <v/>
      </c>
      <c r="FQ295" s="360" t="str">
        <f t="shared" ca="1" si="689"/>
        <v/>
      </c>
      <c r="FR295" s="360" t="str">
        <f t="shared" ca="1" si="690"/>
        <v/>
      </c>
      <c r="FS295" s="360" t="str">
        <f t="shared" ca="1" si="691"/>
        <v/>
      </c>
      <c r="FT295" s="360" t="str">
        <f t="shared" ca="1" si="692"/>
        <v/>
      </c>
      <c r="FU295" s="360" t="str">
        <f t="shared" ca="1" si="693"/>
        <v/>
      </c>
      <c r="FV295" s="360" t="str">
        <f t="shared" ca="1" si="694"/>
        <v/>
      </c>
      <c r="FW295" s="360" t="str">
        <f t="shared" ca="1" si="695"/>
        <v/>
      </c>
      <c r="FX295" s="360" t="str">
        <f t="shared" ca="1" si="696"/>
        <v/>
      </c>
      <c r="FY295" s="360" t="str">
        <f t="shared" ca="1" si="697"/>
        <v/>
      </c>
      <c r="FZ295" s="379" t="str">
        <f ca="1">FZ294</f>
        <v/>
      </c>
      <c r="GA295" s="302"/>
      <c r="GB295" s="364"/>
      <c r="GC295" s="445"/>
    </row>
    <row r="296" spans="86:185" x14ac:dyDescent="0.25">
      <c r="CH296" s="445"/>
      <c r="CI296" s="300"/>
      <c r="CJ296" s="300"/>
      <c r="CK296" s="300"/>
      <c r="CL296" s="449"/>
      <c r="CM296" s="445"/>
      <c r="DG296" s="445"/>
      <c r="DH296" s="445"/>
      <c r="DI296" s="395" t="str">
        <f>DI290</f>
        <v/>
      </c>
      <c r="DJ296" s="360" t="str">
        <f>IF(OR(DI296="",DP296="",DI296=DP296),"",CONCATENATE(DI296,DP296))</f>
        <v/>
      </c>
      <c r="DK296" s="360" t="str">
        <f>IF($DJ296="","",CONCATENATE(VLOOKUP($DJ296,games.a,9,FALSE),VLOOKUP($DJ296,games.a,12,FALSE)))</f>
        <v/>
      </c>
      <c r="DL296" s="354" t="str">
        <f>IF($DJ296="","",VLOOKUP($DJ296,games.a,10,FALSE))</f>
        <v/>
      </c>
      <c r="DM296" s="354" t="str">
        <f>IF($DJ296="","",VLOOKUP($DJ296,games.a,13,FALSE))</f>
        <v/>
      </c>
      <c r="DN296" s="361" t="str">
        <f>IF($DJ296="","",VLOOKUP($DJ296,games.a,6,FALSE))</f>
        <v/>
      </c>
      <c r="DO296" s="362" t="str">
        <f>IF($DJ296="","",VLOOKUP($DJ296,games.a,7,FALSE))</f>
        <v/>
      </c>
      <c r="DP296" s="379" t="str">
        <f>DP295</f>
        <v/>
      </c>
      <c r="DQ296" s="302"/>
      <c r="DR296" s="364"/>
      <c r="DS296" s="445"/>
      <c r="DU296" s="424"/>
      <c r="DV296" s="366" t="str">
        <f>IF(OR(NOT($AJ$44),AND(DI287,DV290="")),DI290,"")</f>
        <v/>
      </c>
      <c r="DW296" s="365"/>
      <c r="DX296" s="366">
        <f>IF($DV296="",0,COUNTIF(xxgy.aa,$DV296))</f>
        <v>0</v>
      </c>
      <c r="DY296" s="366">
        <f>IF($DV296="",0,COUNTIF(xxd.aa,$DV296))</f>
        <v>0</v>
      </c>
      <c r="DZ296" s="366">
        <f ca="1">IF($DV296="",0,1)*(SUMIF(xxo.aa,$DV296,xxl.aa)+SUMIF(xxi.aa,$DV296,xxk.aa))</f>
        <v>0</v>
      </c>
      <c r="EA296" s="366">
        <f ca="1">IF($DV296="",0,1)*(SUMIF(xxo.aa,$DV296,xxk.aa)+SUMIF(xxi.aa,$DV296,xxl.aa))</f>
        <v>0</v>
      </c>
      <c r="EB296" s="366">
        <f ca="1">DZ296-EA296</f>
        <v>0</v>
      </c>
      <c r="EC296" s="366">
        <f ca="1">IF(EA296=0,0,DZ296/EA296)</f>
        <v>0</v>
      </c>
      <c r="ED296" s="366">
        <f>$AJ$48*DX296+IF($AJ$44,0,1)*DY296</f>
        <v>0</v>
      </c>
      <c r="EE296" s="396">
        <f ca="1">ED296*1000000+IF($AJ$44,EC296,EB296)*1000*0</f>
        <v>0</v>
      </c>
      <c r="EF296" s="366">
        <f ca="1">IF($DV296="",0,1)*(SUMIF(yyo.aa,$DV296,yyl.aa)+SUMIF(yyi.aa,$DV296,yyk.aa))</f>
        <v>0</v>
      </c>
      <c r="EG296" s="366">
        <f ca="1">IF($DV296="",0,1)*(SUMIF(yyo.aa,$DV296,yyk.aa)+SUMIF(yyi.aa,$DV296,yyl.aa))</f>
        <v>0</v>
      </c>
      <c r="EH296" s="366">
        <f ca="1">EF296-EG296</f>
        <v>0</v>
      </c>
      <c r="EI296" s="366">
        <f ca="1">IF(OR(ISERR(EE296),ISNA(EE296)),0,EE296)+IF($AJ$54,EH296,0)</f>
        <v>0</v>
      </c>
      <c r="EJ296" s="366">
        <f ca="1">IF(EI296=0,0,RANK(EI296,EI294:EI298,1))</f>
        <v>0</v>
      </c>
      <c r="EK296" s="366">
        <f ca="1">EJ296*40000*IF(COUNTIF($FC$288:$FC$297,DV296)&gt;0,0,1)</f>
        <v>0</v>
      </c>
      <c r="EL296" s="365"/>
      <c r="EM296" s="365"/>
      <c r="EN296" s="365"/>
      <c r="EO296" s="365"/>
      <c r="EP296" s="365"/>
      <c r="EQ296" s="365"/>
      <c r="ER296" s="404" t="str">
        <f ca="1">IF(EU288="","",VLOOKUP(EU288,yyy.aa2,4,FALSE))</f>
        <v/>
      </c>
      <c r="ES296" s="371" t="str">
        <f ca="1">IF(OR(ER296="",EY296="",ER296=EY296),"",CONCATENATE(ER296,EY296))</f>
        <v/>
      </c>
      <c r="ET296" s="422" t="str">
        <f ca="1">IF(OR(ES296="",EY295&gt;2),"",CONCATENATE(VLOOKUP(ES296,games.a,9,FALSE),VLOOKUP(ES296,games.a,12,FALSE)))</f>
        <v/>
      </c>
      <c r="EU296" s="406"/>
      <c r="EV296" s="407"/>
      <c r="EW296" s="423" t="str">
        <f ca="1">IF(ES296="","",VLOOKUP(ES296,games.a,6,FALSE))</f>
        <v/>
      </c>
      <c r="EX296" s="409" t="str">
        <f ca="1">IF(ES296="","",VLOOKUP(ES296,games.a,7,FALSE))</f>
        <v/>
      </c>
      <c r="EY296" s="410" t="str">
        <f ca="1">ER296</f>
        <v/>
      </c>
      <c r="EZ296" s="411"/>
      <c r="FA296" s="412"/>
      <c r="FB296" s="424"/>
      <c r="FC296" s="366"/>
      <c r="FD296" s="425"/>
      <c r="FE296" s="333"/>
      <c r="FO296" s="445"/>
      <c r="FP296" s="395" t="str">
        <f t="shared" ca="1" si="688"/>
        <v/>
      </c>
      <c r="FQ296" s="360" t="str">
        <f t="shared" ca="1" si="689"/>
        <v/>
      </c>
      <c r="FR296" s="360" t="str">
        <f t="shared" ca="1" si="690"/>
        <v/>
      </c>
      <c r="FS296" s="360" t="str">
        <f t="shared" ca="1" si="691"/>
        <v/>
      </c>
      <c r="FT296" s="360" t="str">
        <f t="shared" ca="1" si="692"/>
        <v/>
      </c>
      <c r="FU296" s="360" t="str">
        <f t="shared" ca="1" si="693"/>
        <v/>
      </c>
      <c r="FV296" s="360" t="str">
        <f t="shared" ca="1" si="694"/>
        <v/>
      </c>
      <c r="FW296" s="360" t="str">
        <f t="shared" ca="1" si="695"/>
        <v/>
      </c>
      <c r="FX296" s="360" t="str">
        <f t="shared" ca="1" si="696"/>
        <v/>
      </c>
      <c r="FY296" s="360" t="str">
        <f t="shared" ca="1" si="697"/>
        <v/>
      </c>
      <c r="FZ296" s="379" t="str">
        <f ca="1">FZ295</f>
        <v/>
      </c>
      <c r="GA296" s="302"/>
      <c r="GB296" s="364"/>
      <c r="GC296" s="445"/>
    </row>
    <row r="297" spans="86:185" x14ac:dyDescent="0.25">
      <c r="CH297" s="445"/>
      <c r="CI297" s="300"/>
      <c r="CJ297" s="300"/>
      <c r="CK297" s="300"/>
      <c r="CL297" s="449"/>
      <c r="CM297" s="445"/>
      <c r="DG297" s="445"/>
      <c r="DH297" s="445"/>
      <c r="DI297" s="395" t="str">
        <f>DI291</f>
        <v/>
      </c>
      <c r="DJ297" s="360" t="str">
        <f>IF(OR(DI297="",DP297="",DI297=DP297),"",CONCATENATE(DI297,DP297))</f>
        <v/>
      </c>
      <c r="DK297" s="360" t="str">
        <f>IF($DJ297="","",CONCATENATE(VLOOKUP($DJ297,games.a,9,FALSE),VLOOKUP($DJ297,games.a,12,FALSE)))</f>
        <v/>
      </c>
      <c r="DL297" s="354" t="str">
        <f>IF($DJ297="","",VLOOKUP($DJ297,games.a,10,FALSE))</f>
        <v/>
      </c>
      <c r="DM297" s="354" t="str">
        <f>IF($DJ297="","",VLOOKUP($DJ297,games.a,13,FALSE))</f>
        <v/>
      </c>
      <c r="DN297" s="361" t="str">
        <f>IF($DJ297="","",VLOOKUP($DJ297,games.a,6,FALSE))</f>
        <v/>
      </c>
      <c r="DO297" s="362" t="str">
        <f>IF($DJ297="","",VLOOKUP($DJ297,games.a,7,FALSE))</f>
        <v/>
      </c>
      <c r="DP297" s="379" t="str">
        <f>DP296</f>
        <v/>
      </c>
      <c r="DQ297" s="302"/>
      <c r="DR297" s="364"/>
      <c r="DS297" s="445"/>
      <c r="DU297" s="424"/>
      <c r="DV297" s="366" t="str">
        <f>IF(OR(NOT($AJ$44),AND(DI287,DV291="")),DI291,"")</f>
        <v/>
      </c>
      <c r="DW297" s="365"/>
      <c r="DX297" s="366">
        <f>IF($DV297="",0,COUNTIF(xxgy.aa,$DV297))</f>
        <v>0</v>
      </c>
      <c r="DY297" s="366">
        <f>IF($DV297="",0,COUNTIF(xxd.aa,$DV297))</f>
        <v>0</v>
      </c>
      <c r="DZ297" s="366">
        <f ca="1">IF($DV297="",0,1)*(SUMIF(xxo.aa,$DV297,xxl.aa)+SUMIF(xxi.aa,$DV297,xxk.aa))</f>
        <v>0</v>
      </c>
      <c r="EA297" s="366">
        <f ca="1">IF($DV297="",0,1)*(SUMIF(xxo.aa,$DV297,xxk.aa)+SUMIF(xxi.aa,$DV297,xxl.aa))</f>
        <v>0</v>
      </c>
      <c r="EB297" s="366">
        <f ca="1">DZ297-EA297</f>
        <v>0</v>
      </c>
      <c r="EC297" s="366">
        <f ca="1">IF(EA297=0,0,DZ297/EA297)</f>
        <v>0</v>
      </c>
      <c r="ED297" s="366">
        <f>$AJ$48*DX297+IF($AJ$44,0,1)*DY297</f>
        <v>0</v>
      </c>
      <c r="EE297" s="396">
        <f ca="1">ED297*1000000+IF($AJ$44,EC297,EB297)*1000*0</f>
        <v>0</v>
      </c>
      <c r="EF297" s="366">
        <f ca="1">IF($DV297="",0,1)*(SUMIF(yyo.aa,$DV297,yyl.aa)+SUMIF(yyi.aa,$DV297,yyk.aa))</f>
        <v>0</v>
      </c>
      <c r="EG297" s="366">
        <f ca="1">IF($DV297="",0,1)*(SUMIF(yyo.aa,$DV297,yyk.aa)+SUMIF(yyi.aa,$DV297,yyl.aa))</f>
        <v>0</v>
      </c>
      <c r="EH297" s="366">
        <f ca="1">EF297-EG297</f>
        <v>0</v>
      </c>
      <c r="EI297" s="366">
        <f ca="1">IF(OR(ISERR(EE297),ISNA(EE297)),0,EE297)+IF($AJ$54,EH297,0)</f>
        <v>0</v>
      </c>
      <c r="EJ297" s="366">
        <f ca="1">IF(EI297=0,0,RANK(EI297,EI294:EI298,1))</f>
        <v>0</v>
      </c>
      <c r="EK297" s="366">
        <f ca="1">EJ297*40000*IF(COUNTIF($FC$288:$FC$297,DV297)&gt;0,0,1)</f>
        <v>0</v>
      </c>
      <c r="EL297" s="365"/>
      <c r="EM297" s="365"/>
      <c r="EN297" s="365"/>
      <c r="EO297" s="365"/>
      <c r="EP297" s="365"/>
      <c r="EQ297" s="365"/>
      <c r="ER297" s="404" t="str">
        <f ca="1">IF(EU289="","",VLOOKUP(EU289,yyy.aa2,4,FALSE))</f>
        <v/>
      </c>
      <c r="ES297" s="371" t="str">
        <f ca="1">IF(OR(ER297="",EY297="",ER297=EY297),"",CONCATENATE(ER297,EY297))</f>
        <v/>
      </c>
      <c r="ET297" s="422" t="str">
        <f ca="1">IF(OR(ES297="",EY295&gt;2),"",CONCATENATE(VLOOKUP(ES297,games.a,9,FALSE),VLOOKUP(ES297,games.a,12,FALSE)))</f>
        <v/>
      </c>
      <c r="EU297" s="413"/>
      <c r="EV297" s="414"/>
      <c r="EW297" s="423" t="str">
        <f ca="1">IF(ES297="","",VLOOKUP(ES297,games.a,6,FALSE))</f>
        <v/>
      </c>
      <c r="EX297" s="409" t="str">
        <f ca="1">IF(ES297="","",VLOOKUP(ES297,games.a,7,FALSE))</f>
        <v/>
      </c>
      <c r="EY297" s="415" t="str">
        <f ca="1">EY296</f>
        <v/>
      </c>
      <c r="EZ297" s="416"/>
      <c r="FA297" s="417"/>
      <c r="FB297" s="424"/>
      <c r="FC297" s="366"/>
      <c r="FD297" s="425"/>
      <c r="FE297" s="333"/>
      <c r="FO297" s="445"/>
      <c r="FP297" s="395" t="str">
        <f t="shared" ca="1" si="688"/>
        <v/>
      </c>
      <c r="FQ297" s="360" t="str">
        <f t="shared" ca="1" si="689"/>
        <v/>
      </c>
      <c r="FR297" s="360" t="str">
        <f t="shared" ca="1" si="690"/>
        <v/>
      </c>
      <c r="FS297" s="360" t="str">
        <f t="shared" ca="1" si="691"/>
        <v/>
      </c>
      <c r="FT297" s="360" t="str">
        <f t="shared" ca="1" si="692"/>
        <v/>
      </c>
      <c r="FU297" s="360" t="str">
        <f t="shared" ca="1" si="693"/>
        <v/>
      </c>
      <c r="FV297" s="360" t="str">
        <f t="shared" ca="1" si="694"/>
        <v/>
      </c>
      <c r="FW297" s="360" t="str">
        <f t="shared" ca="1" si="695"/>
        <v/>
      </c>
      <c r="FX297" s="360" t="str">
        <f t="shared" ca="1" si="696"/>
        <v/>
      </c>
      <c r="FY297" s="360" t="str">
        <f t="shared" ca="1" si="697"/>
        <v/>
      </c>
      <c r="FZ297" s="379" t="str">
        <f ca="1">FZ296</f>
        <v/>
      </c>
      <c r="GA297" s="302"/>
      <c r="GB297" s="364"/>
      <c r="GC297" s="445"/>
    </row>
    <row r="298" spans="86:185" x14ac:dyDescent="0.25">
      <c r="CH298" s="445"/>
      <c r="CI298" s="300"/>
      <c r="CJ298" s="300"/>
      <c r="CK298" s="300"/>
      <c r="CL298" s="449"/>
      <c r="CM298" s="445"/>
      <c r="DG298" s="445"/>
      <c r="DH298" s="445"/>
      <c r="DI298" s="395" t="str">
        <f>DI292</f>
        <v/>
      </c>
      <c r="DJ298" s="360" t="str">
        <f>IF(OR(DI298="",DP298="",DI298=DP298),"",CONCATENATE(DI298,DP298))</f>
        <v/>
      </c>
      <c r="DK298" s="360" t="str">
        <f>IF($DJ298="","",CONCATENATE(VLOOKUP($DJ298,games.a,9,FALSE),VLOOKUP($DJ298,games.a,12,FALSE)))</f>
        <v/>
      </c>
      <c r="DL298" s="354" t="str">
        <f>IF($DJ298="","",VLOOKUP($DJ298,games.a,10,FALSE))</f>
        <v/>
      </c>
      <c r="DM298" s="354" t="str">
        <f>IF($DJ298="","",VLOOKUP($DJ298,games.a,13,FALSE))</f>
        <v/>
      </c>
      <c r="DN298" s="361" t="str">
        <f>IF($DJ298="","",VLOOKUP($DJ298,games.a,6,FALSE))</f>
        <v/>
      </c>
      <c r="DO298" s="362" t="str">
        <f>IF($DJ298="","",VLOOKUP($DJ298,games.a,7,FALSE))</f>
        <v/>
      </c>
      <c r="DP298" s="379" t="str">
        <f>DP297</f>
        <v/>
      </c>
      <c r="DQ298" s="302"/>
      <c r="DR298" s="364"/>
      <c r="DS298" s="445"/>
      <c r="DU298" s="424"/>
      <c r="DV298" s="366" t="str">
        <f>IF(OR(NOT($AJ$44),AND(DI287,DV292="")),DI292,"")</f>
        <v/>
      </c>
      <c r="DW298" s="365"/>
      <c r="DX298" s="366">
        <f>IF($DV298="",0,COUNTIF(xxgy.aa,$DV298))</f>
        <v>0</v>
      </c>
      <c r="DY298" s="366">
        <f>IF($DV298="",0,COUNTIF(xxd.aa,$DV298))</f>
        <v>0</v>
      </c>
      <c r="DZ298" s="366">
        <f ca="1">IF($DV298="",0,1)*(SUMIF(xxo.aa,$DV298,xxl.aa)+SUMIF(xxi.aa,$DV298,xxk.aa))</f>
        <v>0</v>
      </c>
      <c r="EA298" s="366">
        <f ca="1">IF($DV298="",0,1)*(SUMIF(xxo.aa,$DV298,xxk.aa)+SUMIF(xxi.aa,$DV298,xxl.aa))</f>
        <v>0</v>
      </c>
      <c r="EB298" s="366">
        <f ca="1">DZ298-EA298</f>
        <v>0</v>
      </c>
      <c r="EC298" s="366">
        <f ca="1">IF(EA298=0,0,DZ298/EA298)</f>
        <v>0</v>
      </c>
      <c r="ED298" s="366">
        <f>$AJ$48*DX298+IF($AJ$44,0,1)*DY298</f>
        <v>0</v>
      </c>
      <c r="EE298" s="396">
        <f ca="1">ED298*1000000+IF($AJ$44,EC298,EB298)*1000*0</f>
        <v>0</v>
      </c>
      <c r="EF298" s="366">
        <f ca="1">IF($DV298="",0,1)*(SUMIF(yyo.aa,$DV298,yyl.aa)+SUMIF(yyi.aa,$DV298,yyk.aa))</f>
        <v>0</v>
      </c>
      <c r="EG298" s="366">
        <f ca="1">IF($DV298="",0,1)*(SUMIF(yyo.aa,$DV298,yyk.aa)+SUMIF(yyi.aa,$DV298,yyl.aa))</f>
        <v>0</v>
      </c>
      <c r="EH298" s="366">
        <f ca="1">EF298-EG298</f>
        <v>0</v>
      </c>
      <c r="EI298" s="366">
        <f ca="1">IF(OR(ISERR(EE298),ISNA(EE298)),0,EE298)+IF($AJ$54,EH298,0)</f>
        <v>0</v>
      </c>
      <c r="EJ298" s="366">
        <f ca="1">IF(EI298=0,0,RANK(EI298,EI294:EI298,1))</f>
        <v>0</v>
      </c>
      <c r="EK298" s="366">
        <f ca="1">EJ298*40000*IF(COUNTIF($FC$288:$FC$297,DV298)&gt;0,0,1)</f>
        <v>0</v>
      </c>
      <c r="EL298" s="365"/>
      <c r="EM298" s="365"/>
      <c r="EN298" s="365"/>
      <c r="EO298" s="365"/>
      <c r="EP298" s="365"/>
      <c r="EQ298" s="365"/>
      <c r="ER298" s="404" t="str">
        <f ca="1">IF(EU290="","",VLOOKUP(EU290,yyy.aa2,4,FALSE))</f>
        <v/>
      </c>
      <c r="ES298" s="371" t="str">
        <f ca="1">IF(OR(ER298="",EY298="",ER298=EY298),"",CONCATENATE(ER298,EY298))</f>
        <v/>
      </c>
      <c r="ET298" s="422" t="str">
        <f ca="1">IF(OR(ES298="",EY295&gt;2),"",CONCATENATE(VLOOKUP(ES298,games.a,9,FALSE),VLOOKUP(ES298,games.a,12,FALSE)))</f>
        <v/>
      </c>
      <c r="EU298" s="413"/>
      <c r="EV298" s="414"/>
      <c r="EW298" s="423" t="str">
        <f ca="1">IF(ES298="","",VLOOKUP(ES298,games.a,6,FALSE))</f>
        <v/>
      </c>
      <c r="EX298" s="409" t="str">
        <f ca="1">IF(ES298="","",VLOOKUP(ES298,games.a,7,FALSE))</f>
        <v/>
      </c>
      <c r="EY298" s="415" t="str">
        <f ca="1">EY297</f>
        <v/>
      </c>
      <c r="EZ298" s="416"/>
      <c r="FA298" s="417"/>
      <c r="FB298" s="424"/>
      <c r="FD298" s="425"/>
      <c r="FE298" s="333"/>
      <c r="FO298" s="445"/>
      <c r="FP298" s="395" t="str">
        <f t="shared" ca="1" si="688"/>
        <v/>
      </c>
      <c r="FQ298" s="360" t="str">
        <f t="shared" ca="1" si="689"/>
        <v/>
      </c>
      <c r="FR298" s="360" t="str">
        <f t="shared" ca="1" si="690"/>
        <v/>
      </c>
      <c r="FS298" s="360" t="str">
        <f t="shared" ca="1" si="691"/>
        <v/>
      </c>
      <c r="FT298" s="360" t="str">
        <f t="shared" ca="1" si="692"/>
        <v/>
      </c>
      <c r="FU298" s="360" t="str">
        <f t="shared" ca="1" si="693"/>
        <v/>
      </c>
      <c r="FV298" s="360" t="str">
        <f t="shared" ca="1" si="694"/>
        <v/>
      </c>
      <c r="FW298" s="360" t="str">
        <f t="shared" ca="1" si="695"/>
        <v/>
      </c>
      <c r="FX298" s="360" t="str">
        <f t="shared" ca="1" si="696"/>
        <v/>
      </c>
      <c r="FY298" s="360" t="str">
        <f t="shared" ca="1" si="697"/>
        <v/>
      </c>
      <c r="FZ298" s="379" t="str">
        <f ca="1">FZ297</f>
        <v/>
      </c>
      <c r="GA298" s="302"/>
      <c r="GB298" s="364"/>
      <c r="GC298" s="445"/>
    </row>
    <row r="299" spans="86:185" x14ac:dyDescent="0.25">
      <c r="CH299" s="445"/>
      <c r="CI299" s="300"/>
      <c r="CJ299" s="300"/>
      <c r="CK299" s="300"/>
      <c r="CL299" s="449"/>
      <c r="CM299" s="445"/>
      <c r="DG299" s="445"/>
      <c r="DH299" s="445"/>
      <c r="DI299" s="301"/>
      <c r="DJ299" s="324" t="s">
        <v>157</v>
      </c>
      <c r="DK299" s="324" t="s">
        <v>158</v>
      </c>
      <c r="DL299" s="325" t="s">
        <v>159</v>
      </c>
      <c r="DM299" s="325"/>
      <c r="DN299" s="326" t="s">
        <v>160</v>
      </c>
      <c r="DO299" s="325" t="s">
        <v>135</v>
      </c>
      <c r="DP299" s="302"/>
      <c r="DQ299" s="302"/>
      <c r="DR299" s="364"/>
      <c r="DS299" s="445"/>
      <c r="DU299" s="424"/>
      <c r="EL299" s="365"/>
      <c r="EO299" s="365"/>
      <c r="EP299" s="365"/>
      <c r="EQ299" s="365"/>
      <c r="ER299" s="398"/>
      <c r="ES299" s="329" t="s">
        <v>157</v>
      </c>
      <c r="ET299" s="329" t="s">
        <v>158</v>
      </c>
      <c r="EU299" s="399"/>
      <c r="EV299" s="400"/>
      <c r="EW299" s="401" t="s">
        <v>160</v>
      </c>
      <c r="EX299" s="402" t="s">
        <v>135</v>
      </c>
      <c r="EY299" s="398"/>
      <c r="EZ299" s="365"/>
      <c r="FA299" s="365"/>
      <c r="FB299" s="424"/>
      <c r="FD299" s="425"/>
      <c r="FE299" s="333"/>
      <c r="FO299" s="445"/>
      <c r="FP299" s="395" t="str">
        <f t="shared" ca="1" si="688"/>
        <v/>
      </c>
      <c r="FQ299" s="360" t="str">
        <f t="shared" ca="1" si="689"/>
        <v/>
      </c>
      <c r="FR299" s="360" t="str">
        <f t="shared" ca="1" si="690"/>
        <v/>
      </c>
      <c r="FS299" s="360" t="str">
        <f t="shared" ca="1" si="691"/>
        <v/>
      </c>
      <c r="FT299" s="360" t="str">
        <f t="shared" ca="1" si="692"/>
        <v/>
      </c>
      <c r="FU299" s="360" t="str">
        <f t="shared" ca="1" si="693"/>
        <v/>
      </c>
      <c r="FV299" s="360" t="str">
        <f t="shared" ca="1" si="694"/>
        <v/>
      </c>
      <c r="FW299" s="360" t="str">
        <f t="shared" ca="1" si="695"/>
        <v/>
      </c>
      <c r="FX299" s="360" t="str">
        <f t="shared" ca="1" si="696"/>
        <v/>
      </c>
      <c r="FY299" s="360" t="str">
        <f t="shared" ca="1" si="697"/>
        <v/>
      </c>
      <c r="FZ299" s="379" t="str">
        <f ca="1">FZ298</f>
        <v/>
      </c>
      <c r="GA299" s="302"/>
      <c r="GB299" s="364"/>
      <c r="GC299" s="445"/>
    </row>
    <row r="300" spans="86:185" x14ac:dyDescent="0.25">
      <c r="CH300" s="445"/>
      <c r="CI300" s="300"/>
      <c r="CJ300" s="300"/>
      <c r="CK300" s="300"/>
      <c r="CL300" s="449"/>
      <c r="CM300" s="445"/>
      <c r="DG300" s="445"/>
      <c r="DH300" s="445"/>
      <c r="DI300" s="395" t="str">
        <f>DI294</f>
        <v/>
      </c>
      <c r="DJ300" s="360" t="str">
        <f>IF(OR(DI300="",DP300="",DI300=DP300),"",CONCATENATE(DI300,DP300))</f>
        <v/>
      </c>
      <c r="DK300" s="360" t="str">
        <f>IF($DJ300="","",CONCATENATE(VLOOKUP($DJ300,games.a,9,FALSE),VLOOKUP($DJ300,games.a,12,FALSE)))</f>
        <v/>
      </c>
      <c r="DL300" s="354" t="str">
        <f>IF($DJ300="","",VLOOKUP($DJ300,games.a,10,FALSE))</f>
        <v/>
      </c>
      <c r="DM300" s="354" t="str">
        <f>IF($DJ300="","",VLOOKUP($DJ300,games.a,13,FALSE))</f>
        <v/>
      </c>
      <c r="DN300" s="361" t="str">
        <f>IF($DJ300="","",VLOOKUP($DJ300,games.a,6,FALSE))</f>
        <v/>
      </c>
      <c r="DO300" s="362" t="str">
        <f>IF($DJ300="","",VLOOKUP($DJ300,games.a,7,FALSE))</f>
        <v/>
      </c>
      <c r="DP300" s="363" t="str">
        <f>DI290</f>
        <v/>
      </c>
      <c r="DQ300" s="302"/>
      <c r="DR300" s="364"/>
      <c r="DS300" s="445"/>
      <c r="DU300" s="424"/>
      <c r="EL300" s="365"/>
      <c r="EO300" s="365"/>
      <c r="EP300" s="365"/>
      <c r="EQ300" s="365"/>
      <c r="ER300" s="404" t="str">
        <f ca="1">ER296</f>
        <v/>
      </c>
      <c r="ES300" s="371" t="str">
        <f ca="1">IF(OR(ER300="",EY300="",ER300=EY300),"",CONCATENATE(ER300,EY300))</f>
        <v/>
      </c>
      <c r="ET300" s="422" t="str">
        <f ca="1">IF(OR(ES300="",EY295&gt;2),"",CONCATENATE(VLOOKUP(ES300,games.a,9,FALSE),VLOOKUP(ES300,games.a,12,FALSE)))</f>
        <v/>
      </c>
      <c r="EU300" s="406"/>
      <c r="EV300" s="407"/>
      <c r="EW300" s="423" t="str">
        <f ca="1">IF(ES300="","",VLOOKUP(ES300,games.a,6,FALSE))</f>
        <v/>
      </c>
      <c r="EX300" s="409" t="str">
        <f ca="1">IF(ES300="","",VLOOKUP(ES300,games.a,7,FALSE))</f>
        <v/>
      </c>
      <c r="EY300" s="410" t="str">
        <f ca="1">ER297</f>
        <v/>
      </c>
      <c r="EZ300" s="411"/>
      <c r="FA300" s="412"/>
      <c r="FB300" s="424"/>
      <c r="FD300" s="425"/>
      <c r="FE300" s="333"/>
      <c r="FP300" s="301"/>
      <c r="FQ300" s="324" t="s">
        <v>157</v>
      </c>
      <c r="FR300" s="324" t="s">
        <v>237</v>
      </c>
      <c r="FS300" s="324" t="s">
        <v>239</v>
      </c>
      <c r="FT300" s="324" t="s">
        <v>240</v>
      </c>
      <c r="FU300" s="324" t="s">
        <v>238</v>
      </c>
      <c r="FV300" s="324" t="s">
        <v>241</v>
      </c>
      <c r="FW300" s="324" t="s">
        <v>242</v>
      </c>
      <c r="FX300" s="326" t="s">
        <v>160</v>
      </c>
      <c r="FY300" s="325" t="s">
        <v>135</v>
      </c>
      <c r="FZ300" s="302"/>
      <c r="GA300" s="302"/>
      <c r="GB300" s="364"/>
    </row>
    <row r="301" spans="86:185" x14ac:dyDescent="0.25">
      <c r="CH301" s="445"/>
      <c r="CI301" s="300"/>
      <c r="CJ301" s="300"/>
      <c r="CK301" s="300"/>
      <c r="CL301" s="449"/>
      <c r="CM301" s="445"/>
      <c r="DG301" s="445"/>
      <c r="DH301" s="445"/>
      <c r="DI301" s="395" t="str">
        <f>DI295</f>
        <v/>
      </c>
      <c r="DJ301" s="360" t="str">
        <f>IF(OR(DI301="",DP301="",DI301=DP301),"",CONCATENATE(DI301,DP301))</f>
        <v/>
      </c>
      <c r="DK301" s="360" t="str">
        <f>IF($DJ301="","",CONCATENATE(VLOOKUP($DJ301,games.a,9,FALSE),VLOOKUP($DJ301,games.a,12,FALSE)))</f>
        <v/>
      </c>
      <c r="DL301" s="354" t="str">
        <f>IF($DJ301="","",VLOOKUP($DJ301,games.a,10,FALSE))</f>
        <v/>
      </c>
      <c r="DM301" s="354" t="str">
        <f>IF($DJ301="","",VLOOKUP($DJ301,games.a,13,FALSE))</f>
        <v/>
      </c>
      <c r="DN301" s="361" t="str">
        <f>IF($DJ301="","",VLOOKUP($DJ301,games.a,6,FALSE))</f>
        <v/>
      </c>
      <c r="DO301" s="362" t="str">
        <f>IF($DJ301="","",VLOOKUP($DJ301,games.a,7,FALSE))</f>
        <v/>
      </c>
      <c r="DP301" s="379" t="str">
        <f>DP300</f>
        <v/>
      </c>
      <c r="DQ301" s="302"/>
      <c r="DR301" s="364"/>
      <c r="DS301" s="445"/>
      <c r="DU301" s="424"/>
      <c r="EL301" s="365"/>
      <c r="EO301" s="365"/>
      <c r="EP301" s="365"/>
      <c r="EQ301" s="365"/>
      <c r="ER301" s="404" t="str">
        <f ca="1">ER297</f>
        <v/>
      </c>
      <c r="ES301" s="371" t="str">
        <f ca="1">IF(OR(ER301="",EY301="",ER301=EY301),"",CONCATENATE(ER301,EY301))</f>
        <v/>
      </c>
      <c r="ET301" s="422" t="str">
        <f ca="1">IF(OR(ES301="",EY295&gt;2),"",CONCATENATE(VLOOKUP(ES301,games.a,9,FALSE),VLOOKUP(ES301,games.a,12,FALSE)))</f>
        <v/>
      </c>
      <c r="EU301" s="413"/>
      <c r="EV301" s="414"/>
      <c r="EW301" s="423" t="str">
        <f ca="1">IF(ES301="","",VLOOKUP(ES301,games.a,6,FALSE))</f>
        <v/>
      </c>
      <c r="EX301" s="409" t="str">
        <f ca="1">IF(ES301="","",VLOOKUP(ES301,games.a,7,FALSE))</f>
        <v/>
      </c>
      <c r="EY301" s="415" t="str">
        <f ca="1">EY300</f>
        <v/>
      </c>
      <c r="EZ301" s="416"/>
      <c r="FA301" s="417"/>
      <c r="FB301" s="424"/>
      <c r="FD301" s="425"/>
      <c r="FE301" s="333"/>
      <c r="FP301" s="395" t="str">
        <f t="shared" ref="FP301:FP306" ca="1" si="698">FP294</f>
        <v/>
      </c>
      <c r="FQ301" s="360" t="str">
        <f t="shared" ref="FQ301:FQ306" ca="1" si="699">IF(OR(FP301="",FZ301="",FP301=FZ301),"",CONCATENATE(FP301,FZ301))</f>
        <v/>
      </c>
      <c r="FR301" s="360" t="str">
        <f t="shared" ref="FR301:FR306" ca="1" si="700">IF($FQ301="","",VLOOKUP($FQ301,games.a,9,FALSE))</f>
        <v/>
      </c>
      <c r="FS301" s="360" t="str">
        <f t="shared" ref="FS301:FS306" ca="1" si="701">IF($FQ301="","",VLOOKUP($FQ301,games.a,10,FALSE))</f>
        <v/>
      </c>
      <c r="FT301" s="360" t="str">
        <f t="shared" ref="FT301:FT306" ca="1" si="702">IF($FQ301="","",VLOOKUP($FQ301,games.a,11,FALSE))</f>
        <v/>
      </c>
      <c r="FU301" s="360" t="str">
        <f t="shared" ref="FU301:FU306" ca="1" si="703">IF($FQ301="","",VLOOKUP($FQ301,games.a,12,FALSE))</f>
        <v/>
      </c>
      <c r="FV301" s="360" t="str">
        <f t="shared" ref="FV301:FV306" ca="1" si="704">IF($FQ301="","",VLOOKUP($FQ301,games.a,13,FALSE))</f>
        <v/>
      </c>
      <c r="FW301" s="360" t="str">
        <f t="shared" ref="FW301:FW306" ca="1" si="705">IF($FQ301="","",VLOOKUP($FQ301,games.a,14,FALSE))</f>
        <v/>
      </c>
      <c r="FX301" s="360" t="str">
        <f t="shared" ref="FX301:FX306" ca="1" si="706">IF($FQ301="","",VLOOKUP($FQ301,games.a,6,FALSE))</f>
        <v/>
      </c>
      <c r="FY301" s="360" t="str">
        <f t="shared" ref="FY301:FY306" ca="1" si="707">IF($FQ301="","",VLOOKUP($FQ301,games.a,7,FALSE))</f>
        <v/>
      </c>
      <c r="FZ301" s="363" t="str">
        <f ca="1">FP271</f>
        <v/>
      </c>
      <c r="GA301" s="302"/>
      <c r="GB301" s="364"/>
    </row>
    <row r="302" spans="86:185" x14ac:dyDescent="0.25">
      <c r="CH302" s="445"/>
      <c r="CI302" s="300"/>
      <c r="CJ302" s="300"/>
      <c r="CK302" s="300"/>
      <c r="CL302" s="449"/>
      <c r="CM302" s="445"/>
      <c r="DG302" s="445"/>
      <c r="DH302" s="445"/>
      <c r="DI302" s="395" t="str">
        <f>DI296</f>
        <v/>
      </c>
      <c r="DJ302" s="360" t="str">
        <f>IF(OR(DI302="",DP302="",DI302=DP302),"",CONCATENATE(DI302,DP302))</f>
        <v/>
      </c>
      <c r="DK302" s="360" t="str">
        <f>IF($DJ302="","",CONCATENATE(VLOOKUP($DJ302,games.a,9,FALSE),VLOOKUP($DJ302,games.a,12,FALSE)))</f>
        <v/>
      </c>
      <c r="DL302" s="354" t="str">
        <f>IF($DJ302="","",VLOOKUP($DJ302,games.a,10,FALSE))</f>
        <v/>
      </c>
      <c r="DM302" s="354" t="str">
        <f>IF($DJ302="","",VLOOKUP($DJ302,games.a,13,FALSE))</f>
        <v/>
      </c>
      <c r="DN302" s="361" t="str">
        <f>IF($DJ302="","",VLOOKUP($DJ302,games.a,6,FALSE))</f>
        <v/>
      </c>
      <c r="DO302" s="362" t="str">
        <f>IF($DJ302="","",VLOOKUP($DJ302,games.a,7,FALSE))</f>
        <v/>
      </c>
      <c r="DP302" s="379" t="str">
        <f>DP301</f>
        <v/>
      </c>
      <c r="DQ302" s="302"/>
      <c r="DR302" s="364"/>
      <c r="DS302" s="445"/>
      <c r="DU302" s="424"/>
      <c r="EL302" s="365"/>
      <c r="EO302" s="365"/>
      <c r="EP302" s="365"/>
      <c r="EQ302" s="365"/>
      <c r="ER302" s="404" t="str">
        <f ca="1">ER298</f>
        <v/>
      </c>
      <c r="ES302" s="371" t="str">
        <f ca="1">IF(OR(ER302="",EY302="",ER302=EY302),"",CONCATENATE(ER302,EY302))</f>
        <v/>
      </c>
      <c r="ET302" s="422" t="str">
        <f ca="1">IF(OR(ES302="",EY295&gt;2),"",CONCATENATE(VLOOKUP(ES302,games.a,9,FALSE),VLOOKUP(ES302,games.a,12,FALSE)))</f>
        <v/>
      </c>
      <c r="EU302" s="413"/>
      <c r="EV302" s="414"/>
      <c r="EW302" s="423" t="str">
        <f ca="1">IF(ES302="","",VLOOKUP(ES302,games.a,6,FALSE))</f>
        <v/>
      </c>
      <c r="EX302" s="409" t="str">
        <f ca="1">IF(ES302="","",VLOOKUP(ES302,games.a,7,FALSE))</f>
        <v/>
      </c>
      <c r="EY302" s="415" t="str">
        <f ca="1">EY301</f>
        <v/>
      </c>
      <c r="EZ302" s="416"/>
      <c r="FA302" s="417"/>
      <c r="FB302" s="424"/>
      <c r="FC302" s="424"/>
      <c r="FD302" s="425"/>
      <c r="FE302" s="333"/>
      <c r="FP302" s="395" t="str">
        <f t="shared" ca="1" si="698"/>
        <v/>
      </c>
      <c r="FQ302" s="360" t="str">
        <f t="shared" ca="1" si="699"/>
        <v/>
      </c>
      <c r="FR302" s="360" t="str">
        <f t="shared" ca="1" si="700"/>
        <v/>
      </c>
      <c r="FS302" s="360" t="str">
        <f t="shared" ca="1" si="701"/>
        <v/>
      </c>
      <c r="FT302" s="360" t="str">
        <f t="shared" ca="1" si="702"/>
        <v/>
      </c>
      <c r="FU302" s="360" t="str">
        <f t="shared" ca="1" si="703"/>
        <v/>
      </c>
      <c r="FV302" s="360" t="str">
        <f t="shared" ca="1" si="704"/>
        <v/>
      </c>
      <c r="FW302" s="360" t="str">
        <f t="shared" ca="1" si="705"/>
        <v/>
      </c>
      <c r="FX302" s="360" t="str">
        <f t="shared" ca="1" si="706"/>
        <v/>
      </c>
      <c r="FY302" s="360" t="str">
        <f t="shared" ca="1" si="707"/>
        <v/>
      </c>
      <c r="FZ302" s="379" t="str">
        <f ca="1">FZ301</f>
        <v/>
      </c>
      <c r="GA302" s="302"/>
      <c r="GB302" s="364"/>
    </row>
    <row r="303" spans="86:185" x14ac:dyDescent="0.25">
      <c r="CH303" s="445"/>
      <c r="CI303" s="300"/>
      <c r="CJ303" s="300"/>
      <c r="CK303" s="300"/>
      <c r="CL303" s="449"/>
      <c r="CM303" s="445"/>
      <c r="DG303" s="445"/>
      <c r="DH303" s="445"/>
      <c r="DI303" s="395" t="str">
        <f>DI297</f>
        <v/>
      </c>
      <c r="DJ303" s="360" t="str">
        <f>IF(OR(DI303="",DP303="",DI303=DP303),"",CONCATENATE(DI303,DP303))</f>
        <v/>
      </c>
      <c r="DK303" s="360" t="str">
        <f>IF($DJ303="","",CONCATENATE(VLOOKUP($DJ303,games.a,9,FALSE),VLOOKUP($DJ303,games.a,12,FALSE)))</f>
        <v/>
      </c>
      <c r="DL303" s="354" t="str">
        <f>IF($DJ303="","",VLOOKUP($DJ303,games.a,10,FALSE))</f>
        <v/>
      </c>
      <c r="DM303" s="354" t="str">
        <f>IF($DJ303="","",VLOOKUP($DJ303,games.a,13,FALSE))</f>
        <v/>
      </c>
      <c r="DN303" s="361" t="str">
        <f>IF($DJ303="","",VLOOKUP($DJ303,games.a,6,FALSE))</f>
        <v/>
      </c>
      <c r="DO303" s="362" t="str">
        <f>IF($DJ303="","",VLOOKUP($DJ303,games.a,7,FALSE))</f>
        <v/>
      </c>
      <c r="DP303" s="379" t="str">
        <f>DP302</f>
        <v/>
      </c>
      <c r="DQ303" s="302"/>
      <c r="DR303" s="364"/>
      <c r="DS303" s="445"/>
      <c r="DU303" s="424"/>
      <c r="EL303" s="365"/>
      <c r="EO303" s="365"/>
      <c r="EP303" s="365"/>
      <c r="EQ303" s="365"/>
      <c r="ER303" s="398"/>
      <c r="ES303" s="329" t="s">
        <v>157</v>
      </c>
      <c r="ET303" s="329" t="s">
        <v>158</v>
      </c>
      <c r="EU303" s="399"/>
      <c r="EV303" s="400"/>
      <c r="EW303" s="401" t="s">
        <v>160</v>
      </c>
      <c r="EX303" s="402" t="s">
        <v>135</v>
      </c>
      <c r="EY303" s="398"/>
      <c r="EZ303" s="365"/>
      <c r="FA303" s="365"/>
      <c r="FB303" s="424"/>
      <c r="FC303" s="424"/>
      <c r="FD303" s="425"/>
      <c r="FE303" s="333"/>
      <c r="FP303" s="395" t="str">
        <f t="shared" ca="1" si="698"/>
        <v/>
      </c>
      <c r="FQ303" s="360" t="str">
        <f t="shared" ca="1" si="699"/>
        <v/>
      </c>
      <c r="FR303" s="360" t="str">
        <f t="shared" ca="1" si="700"/>
        <v/>
      </c>
      <c r="FS303" s="360" t="str">
        <f t="shared" ca="1" si="701"/>
        <v/>
      </c>
      <c r="FT303" s="360" t="str">
        <f t="shared" ca="1" si="702"/>
        <v/>
      </c>
      <c r="FU303" s="360" t="str">
        <f t="shared" ca="1" si="703"/>
        <v/>
      </c>
      <c r="FV303" s="360" t="str">
        <f t="shared" ca="1" si="704"/>
        <v/>
      </c>
      <c r="FW303" s="360" t="str">
        <f t="shared" ca="1" si="705"/>
        <v/>
      </c>
      <c r="FX303" s="360" t="str">
        <f t="shared" ca="1" si="706"/>
        <v/>
      </c>
      <c r="FY303" s="360" t="str">
        <f t="shared" ca="1" si="707"/>
        <v/>
      </c>
      <c r="FZ303" s="379" t="str">
        <f ca="1">FZ302</f>
        <v/>
      </c>
      <c r="GA303" s="302"/>
      <c r="GB303" s="364"/>
    </row>
    <row r="304" spans="86:185" x14ac:dyDescent="0.25">
      <c r="CH304" s="445"/>
      <c r="CI304" s="300"/>
      <c r="CJ304" s="300"/>
      <c r="CK304" s="300"/>
      <c r="CL304" s="449"/>
      <c r="CM304" s="445"/>
      <c r="DG304" s="445"/>
      <c r="DH304" s="445"/>
      <c r="DI304" s="395" t="str">
        <f>DI298</f>
        <v/>
      </c>
      <c r="DJ304" s="360" t="str">
        <f>IF(OR(DI304="",DP304="",DI304=DP304),"",CONCATENATE(DI304,DP304))</f>
        <v/>
      </c>
      <c r="DK304" s="360" t="str">
        <f>IF($DJ304="","",CONCATENATE(VLOOKUP($DJ304,games.a,9,FALSE),VLOOKUP($DJ304,games.a,12,FALSE)))</f>
        <v/>
      </c>
      <c r="DL304" s="354" t="str">
        <f>IF($DJ304="","",VLOOKUP($DJ304,games.a,10,FALSE))</f>
        <v/>
      </c>
      <c r="DM304" s="354" t="str">
        <f>IF($DJ304="","",VLOOKUP($DJ304,games.a,13,FALSE))</f>
        <v/>
      </c>
      <c r="DN304" s="361" t="str">
        <f>IF($DJ304="","",VLOOKUP($DJ304,games.a,6,FALSE))</f>
        <v/>
      </c>
      <c r="DO304" s="362" t="str">
        <f>IF($DJ304="","",VLOOKUP($DJ304,games.a,7,FALSE))</f>
        <v/>
      </c>
      <c r="DP304" s="379" t="str">
        <f>DP303</f>
        <v/>
      </c>
      <c r="DQ304" s="302"/>
      <c r="DR304" s="364"/>
      <c r="DS304" s="445"/>
      <c r="DU304" s="424"/>
      <c r="EL304" s="365"/>
      <c r="EO304" s="365"/>
      <c r="EP304" s="365"/>
      <c r="EQ304" s="424"/>
      <c r="ER304" s="404" t="str">
        <f ca="1">ER300</f>
        <v/>
      </c>
      <c r="ES304" s="371" t="str">
        <f ca="1">IF(OR(ER304="",EY304="",ER304=EY304),"",CONCATENATE(ER304,EY304))</f>
        <v/>
      </c>
      <c r="ET304" s="422" t="str">
        <f ca="1">IF(OR(ES304="",EY295&gt;2),"",CONCATENATE(VLOOKUP(ES304,games.a,9,FALSE),VLOOKUP(ES304,games.a,12,FALSE)))</f>
        <v/>
      </c>
      <c r="EU304" s="406"/>
      <c r="EV304" s="407"/>
      <c r="EW304" s="423" t="str">
        <f ca="1">IF(ES304="","",VLOOKUP(ES304,games.a,6,FALSE))</f>
        <v/>
      </c>
      <c r="EX304" s="409" t="str">
        <f ca="1">IF(ES304="","",VLOOKUP(ES304,games.a,7,FALSE))</f>
        <v/>
      </c>
      <c r="EY304" s="410" t="str">
        <f ca="1">ER298</f>
        <v/>
      </c>
      <c r="EZ304" s="411"/>
      <c r="FA304" s="412"/>
      <c r="FB304" s="424"/>
      <c r="FC304" s="424"/>
      <c r="FD304" s="425"/>
      <c r="FE304" s="333"/>
      <c r="FP304" s="395" t="str">
        <f t="shared" ca="1" si="698"/>
        <v/>
      </c>
      <c r="FQ304" s="360" t="str">
        <f t="shared" ca="1" si="699"/>
        <v/>
      </c>
      <c r="FR304" s="360" t="str">
        <f t="shared" ca="1" si="700"/>
        <v/>
      </c>
      <c r="FS304" s="360" t="str">
        <f t="shared" ca="1" si="701"/>
        <v/>
      </c>
      <c r="FT304" s="360" t="str">
        <f t="shared" ca="1" si="702"/>
        <v/>
      </c>
      <c r="FU304" s="360" t="str">
        <f t="shared" ca="1" si="703"/>
        <v/>
      </c>
      <c r="FV304" s="360" t="str">
        <f t="shared" ca="1" si="704"/>
        <v/>
      </c>
      <c r="FW304" s="360" t="str">
        <f t="shared" ca="1" si="705"/>
        <v/>
      </c>
      <c r="FX304" s="360" t="str">
        <f t="shared" ca="1" si="706"/>
        <v/>
      </c>
      <c r="FY304" s="360" t="str">
        <f t="shared" ca="1" si="707"/>
        <v/>
      </c>
      <c r="FZ304" s="379" t="str">
        <f ca="1">FZ303</f>
        <v/>
      </c>
      <c r="GA304" s="302"/>
      <c r="GB304" s="364"/>
    </row>
    <row r="305" spans="86:184" x14ac:dyDescent="0.25">
      <c r="CH305" s="445"/>
      <c r="CI305" s="300"/>
      <c r="CJ305" s="300"/>
      <c r="CK305" s="300"/>
      <c r="CL305" s="449"/>
      <c r="CM305" s="445"/>
      <c r="DG305" s="445"/>
      <c r="DH305" s="445"/>
      <c r="DI305" s="301"/>
      <c r="DJ305" s="324" t="s">
        <v>157</v>
      </c>
      <c r="DK305" s="324" t="s">
        <v>158</v>
      </c>
      <c r="DL305" s="325" t="s">
        <v>159</v>
      </c>
      <c r="DM305" s="325"/>
      <c r="DN305" s="326" t="s">
        <v>160</v>
      </c>
      <c r="DO305" s="325" t="s">
        <v>135</v>
      </c>
      <c r="DP305" s="302"/>
      <c r="DQ305" s="302"/>
      <c r="DR305" s="364"/>
      <c r="DS305" s="445"/>
      <c r="DU305" s="424"/>
      <c r="EL305" s="365"/>
      <c r="EO305" s="365"/>
      <c r="EP305" s="365"/>
      <c r="EQ305" s="424"/>
      <c r="ER305" s="404" t="str">
        <f ca="1">ER301</f>
        <v/>
      </c>
      <c r="ES305" s="371" t="str">
        <f ca="1">IF(OR(ER305="",EY305="",ER305=EY305),"",CONCATENATE(ER305,EY305))</f>
        <v/>
      </c>
      <c r="ET305" s="422" t="str">
        <f ca="1">IF(OR(ES305="",EY295&gt;2),"",CONCATENATE(VLOOKUP(ES305,games.a,9,FALSE),VLOOKUP(ES305,games.a,12,FALSE)))</f>
        <v/>
      </c>
      <c r="EU305" s="413"/>
      <c r="EV305" s="414"/>
      <c r="EW305" s="423" t="str">
        <f ca="1">IF(ES305="","",VLOOKUP(ES305,games.a,6,FALSE))</f>
        <v/>
      </c>
      <c r="EX305" s="409" t="str">
        <f ca="1">IF(ES305="","",VLOOKUP(ES305,games.a,7,FALSE))</f>
        <v/>
      </c>
      <c r="EY305" s="415" t="str">
        <f ca="1">EY304</f>
        <v/>
      </c>
      <c r="EZ305" s="416"/>
      <c r="FA305" s="417"/>
      <c r="FB305" s="424"/>
      <c r="FC305" s="424"/>
      <c r="FD305" s="425"/>
      <c r="FE305" s="333"/>
      <c r="FP305" s="395" t="str">
        <f t="shared" ca="1" si="698"/>
        <v/>
      </c>
      <c r="FQ305" s="360" t="str">
        <f t="shared" ca="1" si="699"/>
        <v/>
      </c>
      <c r="FR305" s="360" t="str">
        <f t="shared" ca="1" si="700"/>
        <v/>
      </c>
      <c r="FS305" s="360" t="str">
        <f t="shared" ca="1" si="701"/>
        <v/>
      </c>
      <c r="FT305" s="360" t="str">
        <f t="shared" ca="1" si="702"/>
        <v/>
      </c>
      <c r="FU305" s="360" t="str">
        <f t="shared" ca="1" si="703"/>
        <v/>
      </c>
      <c r="FV305" s="360" t="str">
        <f t="shared" ca="1" si="704"/>
        <v/>
      </c>
      <c r="FW305" s="360" t="str">
        <f t="shared" ca="1" si="705"/>
        <v/>
      </c>
      <c r="FX305" s="360" t="str">
        <f t="shared" ca="1" si="706"/>
        <v/>
      </c>
      <c r="FY305" s="360" t="str">
        <f t="shared" ca="1" si="707"/>
        <v/>
      </c>
      <c r="FZ305" s="379" t="str">
        <f ca="1">FZ304</f>
        <v/>
      </c>
      <c r="GA305" s="302"/>
      <c r="GB305" s="364"/>
    </row>
    <row r="306" spans="86:184" x14ac:dyDescent="0.25">
      <c r="CH306" s="445"/>
      <c r="CI306" s="300"/>
      <c r="CJ306" s="300"/>
      <c r="CK306" s="300"/>
      <c r="CL306" s="449"/>
      <c r="CM306" s="445"/>
      <c r="DG306" s="445"/>
      <c r="DH306" s="445"/>
      <c r="DI306" s="395" t="str">
        <f>DI300</f>
        <v/>
      </c>
      <c r="DJ306" s="360" t="str">
        <f>IF(OR(DI306="",DP306="",DI306=DP306),"",CONCATENATE(DI306,DP306))</f>
        <v/>
      </c>
      <c r="DK306" s="360" t="str">
        <f>IF($DJ306="","",CONCATENATE(VLOOKUP($DJ306,games.a,9,FALSE),VLOOKUP($DJ306,games.a,12,FALSE)))</f>
        <v/>
      </c>
      <c r="DL306" s="354" t="str">
        <f>IF($DJ306="","",VLOOKUP($DJ306,games.a,10,FALSE))</f>
        <v/>
      </c>
      <c r="DM306" s="354" t="str">
        <f>IF($DJ306="","",VLOOKUP($DJ306,games.a,13,FALSE))</f>
        <v/>
      </c>
      <c r="DN306" s="361" t="str">
        <f>IF($DJ306="","",VLOOKUP($DJ306,games.a,6,FALSE))</f>
        <v/>
      </c>
      <c r="DO306" s="362" t="str">
        <f>IF($DJ306="","",VLOOKUP($DJ306,games.a,7,FALSE))</f>
        <v/>
      </c>
      <c r="DP306" s="363" t="str">
        <f>DI291</f>
        <v/>
      </c>
      <c r="DQ306" s="302"/>
      <c r="DR306" s="364"/>
      <c r="DS306" s="445"/>
      <c r="DU306" s="424"/>
      <c r="EL306" s="365"/>
      <c r="EO306" s="365"/>
      <c r="EP306" s="365"/>
      <c r="EQ306" s="424"/>
      <c r="ER306" s="404" t="str">
        <f ca="1">ER302</f>
        <v/>
      </c>
      <c r="ES306" s="371" t="str">
        <f ca="1">IF(OR(ER306="",EY306="",ER306=EY306),"",CONCATENATE(ER306,EY306))</f>
        <v/>
      </c>
      <c r="ET306" s="422" t="str">
        <f ca="1">IF(OR(ES306="",EY295&gt;2),"",CONCATENATE(VLOOKUP(ES306,games.a,9,FALSE),VLOOKUP(ES306,games.a,12,FALSE)))</f>
        <v/>
      </c>
      <c r="EU306" s="413"/>
      <c r="EV306" s="414"/>
      <c r="EW306" s="423" t="str">
        <f ca="1">IF(ES306="","",VLOOKUP(ES306,games.a,6,FALSE))</f>
        <v/>
      </c>
      <c r="EX306" s="409" t="str">
        <f ca="1">IF(ES306="","",VLOOKUP(ES306,games.a,7,FALSE))</f>
        <v/>
      </c>
      <c r="EY306" s="415" t="str">
        <f ca="1">EY305</f>
        <v/>
      </c>
      <c r="EZ306" s="416"/>
      <c r="FA306" s="417"/>
      <c r="FB306" s="424"/>
      <c r="FC306" s="424"/>
      <c r="FD306" s="425"/>
      <c r="FE306" s="333"/>
      <c r="FP306" s="395" t="str">
        <f t="shared" ca="1" si="698"/>
        <v/>
      </c>
      <c r="FQ306" s="360" t="str">
        <f t="shared" ca="1" si="699"/>
        <v/>
      </c>
      <c r="FR306" s="360" t="str">
        <f t="shared" ca="1" si="700"/>
        <v/>
      </c>
      <c r="FS306" s="360" t="str">
        <f t="shared" ca="1" si="701"/>
        <v/>
      </c>
      <c r="FT306" s="360" t="str">
        <f t="shared" ca="1" si="702"/>
        <v/>
      </c>
      <c r="FU306" s="360" t="str">
        <f t="shared" ca="1" si="703"/>
        <v/>
      </c>
      <c r="FV306" s="360" t="str">
        <f t="shared" ca="1" si="704"/>
        <v/>
      </c>
      <c r="FW306" s="360" t="str">
        <f t="shared" ca="1" si="705"/>
        <v/>
      </c>
      <c r="FX306" s="360" t="str">
        <f t="shared" ca="1" si="706"/>
        <v/>
      </c>
      <c r="FY306" s="360" t="str">
        <f t="shared" ca="1" si="707"/>
        <v/>
      </c>
      <c r="FZ306" s="379" t="str">
        <f ca="1">FZ305</f>
        <v/>
      </c>
      <c r="GA306" s="302"/>
      <c r="GB306" s="364"/>
    </row>
    <row r="307" spans="86:184" x14ac:dyDescent="0.25">
      <c r="CH307" s="445"/>
      <c r="CI307" s="300"/>
      <c r="CJ307" s="300"/>
      <c r="CK307" s="300"/>
      <c r="CL307" s="449"/>
      <c r="CM307" s="445"/>
      <c r="DG307" s="445"/>
      <c r="DH307" s="445"/>
      <c r="DI307" s="395" t="str">
        <f>DI301</f>
        <v/>
      </c>
      <c r="DJ307" s="360" t="str">
        <f>IF(OR(DI307="",DP307="",DI307=DP307),"",CONCATENATE(DI307,DP307))</f>
        <v/>
      </c>
      <c r="DK307" s="360" t="str">
        <f>IF($DJ307="","",CONCATENATE(VLOOKUP($DJ307,games.a,9,FALSE),VLOOKUP($DJ307,games.a,12,FALSE)))</f>
        <v/>
      </c>
      <c r="DL307" s="354" t="str">
        <f>IF($DJ307="","",VLOOKUP($DJ307,games.a,10,FALSE))</f>
        <v/>
      </c>
      <c r="DM307" s="354" t="str">
        <f>IF($DJ307="","",VLOOKUP($DJ307,games.a,13,FALSE))</f>
        <v/>
      </c>
      <c r="DN307" s="361" t="str">
        <f>IF($DJ307="","",VLOOKUP($DJ307,games.a,6,FALSE))</f>
        <v/>
      </c>
      <c r="DO307" s="362" t="str">
        <f>IF($DJ307="","",VLOOKUP($DJ307,games.a,7,FALSE))</f>
        <v/>
      </c>
      <c r="DP307" s="379" t="str">
        <f>DP306</f>
        <v/>
      </c>
      <c r="DQ307" s="302"/>
      <c r="DR307" s="364"/>
      <c r="DS307" s="445"/>
      <c r="DU307" s="424"/>
      <c r="EL307" s="365"/>
      <c r="EO307" s="365"/>
      <c r="EP307" s="365"/>
      <c r="EQ307" s="424"/>
      <c r="ER307" s="424"/>
      <c r="ES307" s="424"/>
      <c r="ET307" s="424"/>
      <c r="EU307" s="424"/>
      <c r="EV307" s="424"/>
      <c r="EW307" s="424"/>
      <c r="EX307" s="424"/>
      <c r="EY307" s="424"/>
      <c r="EZ307" s="424"/>
      <c r="FA307" s="424"/>
      <c r="FD307" s="425"/>
      <c r="FE307" s="333"/>
      <c r="FP307" s="301"/>
      <c r="FQ307" s="302"/>
      <c r="FR307" s="302"/>
      <c r="FS307" s="302"/>
      <c r="FT307" s="302"/>
      <c r="FU307" s="302"/>
      <c r="FV307" s="302"/>
      <c r="FW307" s="302"/>
      <c r="FX307" s="302"/>
      <c r="FY307" s="302"/>
      <c r="FZ307" s="302"/>
      <c r="GA307" s="302"/>
      <c r="GB307" s="446" t="s">
        <v>245</v>
      </c>
    </row>
    <row r="308" spans="86:184" x14ac:dyDescent="0.25">
      <c r="CH308" s="445"/>
      <c r="CI308" s="300"/>
      <c r="CJ308" s="300"/>
      <c r="CK308" s="300"/>
      <c r="CL308" s="449"/>
      <c r="CM308" s="445"/>
      <c r="DG308" s="445"/>
      <c r="DH308" s="445"/>
      <c r="DI308" s="395" t="str">
        <f>DI302</f>
        <v/>
      </c>
      <c r="DJ308" s="360" t="str">
        <f>IF(OR(DI308="",DP308="",DI308=DP308),"",CONCATENATE(DI308,DP308))</f>
        <v/>
      </c>
      <c r="DK308" s="360" t="str">
        <f>IF($DJ308="","",CONCATENATE(VLOOKUP($DJ308,games.a,9,FALSE),VLOOKUP($DJ308,games.a,12,FALSE)))</f>
        <v/>
      </c>
      <c r="DL308" s="354" t="str">
        <f>IF($DJ308="","",VLOOKUP($DJ308,games.a,10,FALSE))</f>
        <v/>
      </c>
      <c r="DM308" s="354" t="str">
        <f>IF($DJ308="","",VLOOKUP($DJ308,games.a,13,FALSE))</f>
        <v/>
      </c>
      <c r="DN308" s="361" t="str">
        <f>IF($DJ308="","",VLOOKUP($DJ308,games.a,6,FALSE))</f>
        <v/>
      </c>
      <c r="DO308" s="362" t="str">
        <f>IF($DJ308="","",VLOOKUP($DJ308,games.a,7,FALSE))</f>
        <v/>
      </c>
      <c r="DP308" s="379" t="str">
        <f>DP307</f>
        <v/>
      </c>
      <c r="DQ308" s="302"/>
      <c r="DR308" s="364"/>
      <c r="DS308" s="445"/>
      <c r="DU308" s="424"/>
      <c r="EL308" s="365"/>
      <c r="EO308" s="424"/>
      <c r="EP308" s="424"/>
      <c r="EQ308" s="424"/>
      <c r="ER308" s="398"/>
      <c r="ES308" s="329" t="s">
        <v>157</v>
      </c>
      <c r="ET308" s="329" t="s">
        <v>158</v>
      </c>
      <c r="EU308" s="399"/>
      <c r="EV308" s="400"/>
      <c r="EW308" s="401" t="s">
        <v>160</v>
      </c>
      <c r="EX308" s="402" t="s">
        <v>135</v>
      </c>
      <c r="EY308" s="365"/>
      <c r="EZ308" s="365"/>
      <c r="FA308" s="365"/>
      <c r="FD308" s="425"/>
      <c r="FE308" s="333"/>
      <c r="FP308" s="301"/>
      <c r="FQ308" s="302"/>
      <c r="FR308" s="302"/>
      <c r="FS308" s="302"/>
      <c r="FT308" s="302"/>
      <c r="FU308" s="302"/>
      <c r="FV308" s="302"/>
      <c r="FW308" s="302"/>
      <c r="FX308" s="302"/>
      <c r="FY308" s="302"/>
      <c r="FZ308" s="447"/>
      <c r="GA308" s="302"/>
      <c r="GB308" s="327" t="s">
        <v>246</v>
      </c>
    </row>
    <row r="309" spans="86:184" x14ac:dyDescent="0.25">
      <c r="CH309" s="445"/>
      <c r="CI309" s="300"/>
      <c r="CJ309" s="300"/>
      <c r="CK309" s="300"/>
      <c r="CL309" s="449"/>
      <c r="CM309" s="445"/>
      <c r="DG309" s="445"/>
      <c r="DH309" s="445"/>
      <c r="DI309" s="395" t="str">
        <f>DI303</f>
        <v/>
      </c>
      <c r="DJ309" s="360" t="str">
        <f>IF(OR(DI309="",DP309="",DI309=DP309),"",CONCATENATE(DI309,DP309))</f>
        <v/>
      </c>
      <c r="DK309" s="360" t="str">
        <f>IF($DJ309="","",CONCATENATE(VLOOKUP($DJ309,games.a,9,FALSE),VLOOKUP($DJ309,games.a,12,FALSE)))</f>
        <v/>
      </c>
      <c r="DL309" s="354" t="str">
        <f>IF($DJ309="","",VLOOKUP($DJ309,games.a,10,FALSE))</f>
        <v/>
      </c>
      <c r="DM309" s="354" t="str">
        <f>IF($DJ309="","",VLOOKUP($DJ309,games.a,13,FALSE))</f>
        <v/>
      </c>
      <c r="DN309" s="361" t="str">
        <f>IF($DJ309="","",VLOOKUP($DJ309,games.a,6,FALSE))</f>
        <v/>
      </c>
      <c r="DO309" s="362" t="str">
        <f>IF($DJ309="","",VLOOKUP($DJ309,games.a,7,FALSE))</f>
        <v/>
      </c>
      <c r="DP309" s="379" t="str">
        <f>DP308</f>
        <v/>
      </c>
      <c r="DQ309" s="302"/>
      <c r="DR309" s="364"/>
      <c r="DS309" s="445"/>
      <c r="DU309" s="424"/>
      <c r="EL309" s="365"/>
      <c r="EO309" s="424"/>
      <c r="EP309" s="424"/>
      <c r="EQ309" s="424"/>
      <c r="ER309" s="404" t="str">
        <f ca="1">IF(EX288="","",VLOOKUP(EX288,yyy.aa2,7,FALSE))</f>
        <v/>
      </c>
      <c r="ES309" s="371" t="str">
        <f ca="1">IF(OR(ER309="",EY309="",ER309=EY309),"",CONCATENATE(ER309,EY309))</f>
        <v/>
      </c>
      <c r="ET309" s="369" t="str">
        <f ca="1">IF(ES309="","",CONCATENATE(VLOOKUP(ES309,games.a,9,FALSE),VLOOKUP(ES309,games.a,12,FALSE)))</f>
        <v/>
      </c>
      <c r="EU309" s="406"/>
      <c r="EV309" s="407"/>
      <c r="EW309" s="423" t="str">
        <f ca="1">IF(ES309="","",VLOOKUP(ES309,games.a,6,FALSE))</f>
        <v/>
      </c>
      <c r="EX309" s="409" t="str">
        <f ca="1">IF(ES309="","",VLOOKUP(ES309,games.a,7,FALSE))</f>
        <v/>
      </c>
      <c r="EY309" s="410" t="str">
        <f ca="1">ER309</f>
        <v/>
      </c>
      <c r="EZ309" s="411"/>
      <c r="FA309" s="412"/>
      <c r="FD309" s="425"/>
      <c r="FE309" s="333"/>
      <c r="FP309" s="301"/>
      <c r="FQ309" s="324" t="s">
        <v>157</v>
      </c>
      <c r="FR309" s="324" t="s">
        <v>237</v>
      </c>
      <c r="FS309" s="324" t="s">
        <v>239</v>
      </c>
      <c r="FT309" s="324" t="s">
        <v>240</v>
      </c>
      <c r="FU309" s="324" t="s">
        <v>238</v>
      </c>
      <c r="FV309" s="324" t="s">
        <v>241</v>
      </c>
      <c r="FW309" s="324" t="s">
        <v>242</v>
      </c>
      <c r="FX309" s="326" t="s">
        <v>160</v>
      </c>
      <c r="FY309" s="325" t="s">
        <v>135</v>
      </c>
      <c r="FZ309" s="302"/>
      <c r="GA309" s="302"/>
      <c r="GB309" s="364"/>
    </row>
    <row r="310" spans="86:184" x14ac:dyDescent="0.25">
      <c r="CH310" s="445"/>
      <c r="CI310" s="300"/>
      <c r="CJ310" s="300"/>
      <c r="CK310" s="300"/>
      <c r="CL310" s="449"/>
      <c r="CM310" s="445"/>
      <c r="CN310" s="300"/>
      <c r="CO310" s="302"/>
      <c r="CP310" s="302"/>
      <c r="CQ310" s="302"/>
      <c r="CR310" s="302"/>
      <c r="CS310" s="302"/>
      <c r="CT310" s="302"/>
      <c r="CU310" s="302"/>
      <c r="CV310" s="302"/>
      <c r="CW310" s="302"/>
      <c r="CX310" s="302"/>
      <c r="CY310" s="302"/>
      <c r="CZ310" s="302"/>
      <c r="DA310" s="302"/>
      <c r="DB310" s="302"/>
      <c r="DC310" s="302"/>
      <c r="DD310" s="302"/>
      <c r="DE310" s="302"/>
      <c r="DF310" s="302"/>
      <c r="DG310" s="445"/>
      <c r="DH310" s="445"/>
      <c r="DI310" s="395" t="str">
        <f>DI304</f>
        <v/>
      </c>
      <c r="DJ310" s="360" t="str">
        <f>IF(OR(DI310="",DP310="",DI310=DP310),"",CONCATENATE(DI310,DP310))</f>
        <v/>
      </c>
      <c r="DK310" s="360" t="str">
        <f>IF($DJ310="","",CONCATENATE(VLOOKUP($DJ310,games.a,9,FALSE),VLOOKUP($DJ310,games.a,12,FALSE)))</f>
        <v/>
      </c>
      <c r="DL310" s="354" t="str">
        <f>IF($DJ310="","",VLOOKUP($DJ310,games.a,10,FALSE))</f>
        <v/>
      </c>
      <c r="DM310" s="354" t="str">
        <f>IF($DJ310="","",VLOOKUP($DJ310,games.a,13,FALSE))</f>
        <v/>
      </c>
      <c r="DN310" s="361" t="str">
        <f>IF($DJ310="","",VLOOKUP($DJ310,games.a,6,FALSE))</f>
        <v/>
      </c>
      <c r="DO310" s="362" t="str">
        <f>IF($DJ310="","",VLOOKUP($DJ310,games.a,7,FALSE))</f>
        <v/>
      </c>
      <c r="DP310" s="379" t="str">
        <f>DP309</f>
        <v/>
      </c>
      <c r="DQ310" s="302"/>
      <c r="DR310" s="364"/>
      <c r="DS310" s="445"/>
      <c r="DU310" s="424"/>
      <c r="EL310" s="365"/>
      <c r="EM310" s="424"/>
      <c r="EN310" s="424"/>
      <c r="EO310" s="424"/>
      <c r="EP310" s="424"/>
      <c r="EQ310" s="424"/>
      <c r="ER310" s="404" t="str">
        <f ca="1">IF(EX289="","",VLOOKUP(EX289,yyy.aa2,7,FALSE))</f>
        <v/>
      </c>
      <c r="ES310" s="371" t="str">
        <f ca="1">IF(OR(ER310="",EY310="",ER310=EY310),"",CONCATENATE(ER310,EY310))</f>
        <v/>
      </c>
      <c r="ET310" s="369" t="str">
        <f ca="1">IF(ES310="","",CONCATENATE(VLOOKUP(ES310,games.a,9,FALSE),VLOOKUP(ES310,games.a,12,FALSE)))</f>
        <v/>
      </c>
      <c r="EU310" s="413"/>
      <c r="EV310" s="414"/>
      <c r="EW310" s="423" t="str">
        <f ca="1">IF(ES310="","",VLOOKUP(ES310,games.a,6,FALSE))</f>
        <v/>
      </c>
      <c r="EX310" s="409" t="str">
        <f ca="1">IF(ES310="","",VLOOKUP(ES310,games.a,7,FALSE))</f>
        <v/>
      </c>
      <c r="EY310" s="415" t="str">
        <f ca="1">EY309</f>
        <v/>
      </c>
      <c r="EZ310" s="416"/>
      <c r="FA310" s="417"/>
      <c r="FD310" s="425"/>
      <c r="FE310" s="333"/>
      <c r="FP310" s="359" t="str">
        <f t="shared" ref="FP310:FP315" ca="1" si="708">IF(OR(NOT($FK$81),FK83=""),"",FK83)</f>
        <v/>
      </c>
      <c r="FQ310" s="360" t="str">
        <f t="shared" ref="FQ310:FQ315" ca="1" si="709">IF(OR(FP310="",FZ310="",FP310=FZ310),"",CONCATENATE(FP310,FZ310))</f>
        <v/>
      </c>
      <c r="FR310" s="360" t="str">
        <f t="shared" ref="FR310:FR315" ca="1" si="710">IF($FQ310="","",VLOOKUP($FQ310,games.a,9,FALSE))</f>
        <v/>
      </c>
      <c r="FS310" s="360" t="str">
        <f t="shared" ref="FS310:FS315" ca="1" si="711">IF($FQ310="","",VLOOKUP($FQ310,games.a,10,FALSE))</f>
        <v/>
      </c>
      <c r="FT310" s="360" t="str">
        <f t="shared" ref="FT310:FT315" ca="1" si="712">IF($FQ310="","",VLOOKUP($FQ310,games.a,11,FALSE))</f>
        <v/>
      </c>
      <c r="FU310" s="360" t="str">
        <f t="shared" ref="FU310:FU315" ca="1" si="713">IF($FQ310="","",VLOOKUP($FQ310,games.a,12,FALSE))</f>
        <v/>
      </c>
      <c r="FV310" s="360" t="str">
        <f t="shared" ref="FV310:FV315" ca="1" si="714">IF($FQ310="","",VLOOKUP($FQ310,games.a,13,FALSE))</f>
        <v/>
      </c>
      <c r="FW310" s="360" t="str">
        <f t="shared" ref="FW310:FW315" ca="1" si="715">IF($FQ310="","",VLOOKUP($FQ310,games.a,14,FALSE))</f>
        <v/>
      </c>
      <c r="FX310" s="360" t="str">
        <f t="shared" ref="FX310:FX315" ca="1" si="716">IF($FQ310="","",VLOOKUP($FQ310,games.a,6,FALSE))</f>
        <v/>
      </c>
      <c r="FY310" s="360" t="str">
        <f t="shared" ref="FY310:FY315" ca="1" si="717">IF($FQ310="","",VLOOKUP($FQ310,games.a,7,FALSE))</f>
        <v/>
      </c>
      <c r="FZ310" s="363" t="str">
        <f ca="1">FP310</f>
        <v/>
      </c>
      <c r="GA310" s="302"/>
      <c r="GB310" s="364"/>
    </row>
    <row r="311" spans="86:184" x14ac:dyDescent="0.25">
      <c r="CH311" s="445"/>
      <c r="CI311" s="300"/>
      <c r="CJ311" s="300"/>
      <c r="CK311" s="300"/>
      <c r="CL311" s="449"/>
      <c r="CM311" s="445"/>
      <c r="CN311" s="300"/>
      <c r="CO311" s="302"/>
      <c r="CP311" s="302"/>
      <c r="CQ311" s="302"/>
      <c r="CR311" s="302"/>
      <c r="CS311" s="302"/>
      <c r="CT311" s="302"/>
      <c r="CU311" s="302"/>
      <c r="CV311" s="302"/>
      <c r="CW311" s="302"/>
      <c r="CX311" s="302"/>
      <c r="CY311" s="302"/>
      <c r="CZ311" s="302"/>
      <c r="DA311" s="302"/>
      <c r="DB311" s="302"/>
      <c r="DC311" s="302"/>
      <c r="DD311" s="302"/>
      <c r="DE311" s="302"/>
      <c r="DF311" s="302"/>
      <c r="DG311" s="445"/>
      <c r="DH311" s="445"/>
      <c r="DI311" s="301"/>
      <c r="DJ311" s="324" t="s">
        <v>157</v>
      </c>
      <c r="DK311" s="324" t="s">
        <v>158</v>
      </c>
      <c r="DL311" s="325" t="s">
        <v>159</v>
      </c>
      <c r="DM311" s="325"/>
      <c r="DN311" s="326" t="s">
        <v>160</v>
      </c>
      <c r="DO311" s="325" t="s">
        <v>135</v>
      </c>
      <c r="DP311" s="302"/>
      <c r="DQ311" s="302"/>
      <c r="DR311" s="364"/>
      <c r="DS311" s="445"/>
      <c r="DU311" s="424"/>
      <c r="EL311" s="365"/>
      <c r="EM311" s="424"/>
      <c r="EN311" s="424"/>
      <c r="EO311" s="424"/>
      <c r="EP311" s="424"/>
      <c r="EQ311" s="424"/>
      <c r="ER311" s="398"/>
      <c r="ES311" s="329" t="s">
        <v>157</v>
      </c>
      <c r="ET311" s="329" t="s">
        <v>158</v>
      </c>
      <c r="EU311" s="399"/>
      <c r="EV311" s="400"/>
      <c r="EW311" s="401" t="s">
        <v>160</v>
      </c>
      <c r="EX311" s="402" t="s">
        <v>135</v>
      </c>
      <c r="EY311" s="398"/>
      <c r="EZ311" s="365"/>
      <c r="FA311" s="365"/>
      <c r="FD311" s="425"/>
      <c r="FE311" s="333"/>
      <c r="FP311" s="359" t="str">
        <f t="shared" ca="1" si="708"/>
        <v/>
      </c>
      <c r="FQ311" s="360" t="str">
        <f t="shared" ca="1" si="709"/>
        <v/>
      </c>
      <c r="FR311" s="360" t="str">
        <f t="shared" ca="1" si="710"/>
        <v/>
      </c>
      <c r="FS311" s="360" t="str">
        <f t="shared" ca="1" si="711"/>
        <v/>
      </c>
      <c r="FT311" s="360" t="str">
        <f t="shared" ca="1" si="712"/>
        <v/>
      </c>
      <c r="FU311" s="360" t="str">
        <f t="shared" ca="1" si="713"/>
        <v/>
      </c>
      <c r="FV311" s="360" t="str">
        <f t="shared" ca="1" si="714"/>
        <v/>
      </c>
      <c r="FW311" s="360" t="str">
        <f t="shared" ca="1" si="715"/>
        <v/>
      </c>
      <c r="FX311" s="360" t="str">
        <f t="shared" ca="1" si="716"/>
        <v/>
      </c>
      <c r="FY311" s="360" t="str">
        <f t="shared" ca="1" si="717"/>
        <v/>
      </c>
      <c r="FZ311" s="379" t="str">
        <f ca="1">FZ310</f>
        <v/>
      </c>
      <c r="GA311" s="302"/>
      <c r="GB311" s="364"/>
    </row>
    <row r="312" spans="86:184" x14ac:dyDescent="0.25">
      <c r="CH312" s="445"/>
      <c r="CI312" s="300"/>
      <c r="CJ312" s="300"/>
      <c r="CK312" s="300"/>
      <c r="CL312" s="449"/>
      <c r="CM312" s="445"/>
      <c r="CN312" s="300"/>
      <c r="CO312" s="302"/>
      <c r="CP312" s="302"/>
      <c r="CQ312" s="302"/>
      <c r="CR312" s="302"/>
      <c r="CS312" s="302"/>
      <c r="CT312" s="302"/>
      <c r="CU312" s="302"/>
      <c r="CV312" s="302"/>
      <c r="CW312" s="302"/>
      <c r="CX312" s="302"/>
      <c r="CY312" s="302"/>
      <c r="CZ312" s="302"/>
      <c r="DA312" s="302"/>
      <c r="DB312" s="302"/>
      <c r="DC312" s="302"/>
      <c r="DD312" s="302"/>
      <c r="DE312" s="302"/>
      <c r="DF312" s="302"/>
      <c r="DG312" s="445"/>
      <c r="DH312" s="445"/>
      <c r="DI312" s="395" t="str">
        <f>DI306</f>
        <v/>
      </c>
      <c r="DJ312" s="360" t="str">
        <f>IF(OR(DI312="",DP312="",DI312=DP312),"",CONCATENATE(DI312,DP312))</f>
        <v/>
      </c>
      <c r="DK312" s="360" t="str">
        <f>IF($DJ312="","",CONCATENATE(VLOOKUP($DJ312,games.a,9,FALSE),VLOOKUP($DJ312,games.a,12,FALSE)))</f>
        <v/>
      </c>
      <c r="DL312" s="354" t="str">
        <f>IF($DJ312="","",VLOOKUP($DJ312,games.a,10,FALSE))</f>
        <v/>
      </c>
      <c r="DM312" s="354" t="str">
        <f>IF($DJ312="","",VLOOKUP($DJ312,games.a,13,FALSE))</f>
        <v/>
      </c>
      <c r="DN312" s="361" t="str">
        <f>IF($DJ312="","",VLOOKUP($DJ312,games.a,6,FALSE))</f>
        <v/>
      </c>
      <c r="DO312" s="362" t="str">
        <f>IF($DJ312="","",VLOOKUP($DJ312,games.a,7,FALSE))</f>
        <v/>
      </c>
      <c r="DP312" s="363" t="str">
        <f>DI292</f>
        <v/>
      </c>
      <c r="DQ312" s="302"/>
      <c r="DR312" s="364"/>
      <c r="DS312" s="445"/>
      <c r="DU312" s="424"/>
      <c r="EL312" s="365"/>
      <c r="EM312" s="424"/>
      <c r="EN312" s="424"/>
      <c r="EO312" s="424"/>
      <c r="EP312" s="424"/>
      <c r="EQ312" s="424"/>
      <c r="ER312" s="404" t="str">
        <f ca="1">ER309</f>
        <v/>
      </c>
      <c r="ES312" s="371" t="str">
        <f ca="1">IF(OR(ER312="",EY312="",ER312=EY312),"",CONCATENATE(ER312,EY312))</f>
        <v/>
      </c>
      <c r="ET312" s="369" t="str">
        <f ca="1">IF(ES312="","",CONCATENATE(VLOOKUP(ES312,games.a,9,FALSE),VLOOKUP(ES312,games.a,12,FALSE)))</f>
        <v/>
      </c>
      <c r="EU312" s="406"/>
      <c r="EV312" s="407"/>
      <c r="EW312" s="423" t="str">
        <f ca="1">IF(ES312="","",VLOOKUP(ES312,games.a,6,FALSE))</f>
        <v/>
      </c>
      <c r="EX312" s="409" t="str">
        <f ca="1">IF(ES312="","",VLOOKUP(ES312,games.a,7,FALSE))</f>
        <v/>
      </c>
      <c r="EY312" s="410" t="str">
        <f ca="1">ER310</f>
        <v/>
      </c>
      <c r="EZ312" s="411"/>
      <c r="FA312" s="412"/>
      <c r="FD312" s="425"/>
      <c r="FE312" s="333"/>
      <c r="FP312" s="359" t="str">
        <f t="shared" ca="1" si="708"/>
        <v/>
      </c>
      <c r="FQ312" s="360" t="str">
        <f t="shared" ca="1" si="709"/>
        <v/>
      </c>
      <c r="FR312" s="360" t="str">
        <f t="shared" ca="1" si="710"/>
        <v/>
      </c>
      <c r="FS312" s="360" t="str">
        <f t="shared" ca="1" si="711"/>
        <v/>
      </c>
      <c r="FT312" s="360" t="str">
        <f t="shared" ca="1" si="712"/>
        <v/>
      </c>
      <c r="FU312" s="360" t="str">
        <f t="shared" ca="1" si="713"/>
        <v/>
      </c>
      <c r="FV312" s="360" t="str">
        <f t="shared" ca="1" si="714"/>
        <v/>
      </c>
      <c r="FW312" s="360" t="str">
        <f t="shared" ca="1" si="715"/>
        <v/>
      </c>
      <c r="FX312" s="360" t="str">
        <f t="shared" ca="1" si="716"/>
        <v/>
      </c>
      <c r="FY312" s="360" t="str">
        <f t="shared" ca="1" si="717"/>
        <v/>
      </c>
      <c r="FZ312" s="379" t="str">
        <f ca="1">FZ311</f>
        <v/>
      </c>
      <c r="GA312" s="302"/>
      <c r="GB312" s="364"/>
    </row>
    <row r="313" spans="86:184" x14ac:dyDescent="0.25">
      <c r="CH313" s="445"/>
      <c r="CI313" s="300"/>
      <c r="CJ313" s="300"/>
      <c r="CK313" s="300"/>
      <c r="CL313" s="449"/>
      <c r="CM313" s="445"/>
      <c r="CN313" s="300"/>
      <c r="CO313" s="302"/>
      <c r="CP313" s="302"/>
      <c r="CQ313" s="302"/>
      <c r="CR313" s="302"/>
      <c r="CS313" s="302"/>
      <c r="CT313" s="302"/>
      <c r="CU313" s="302"/>
      <c r="CV313" s="302"/>
      <c r="CW313" s="302"/>
      <c r="CX313" s="302"/>
      <c r="CY313" s="302"/>
      <c r="CZ313" s="302"/>
      <c r="DA313" s="302"/>
      <c r="DB313" s="302"/>
      <c r="DC313" s="302"/>
      <c r="DD313" s="302"/>
      <c r="DE313" s="302"/>
      <c r="DF313" s="302"/>
      <c r="DG313" s="445"/>
      <c r="DH313" s="445"/>
      <c r="DI313" s="395" t="str">
        <f>DI307</f>
        <v/>
      </c>
      <c r="DJ313" s="360" t="str">
        <f>IF(OR(DI313="",DP313="",DI313=DP313),"",CONCATENATE(DI313,DP313))</f>
        <v/>
      </c>
      <c r="DK313" s="360" t="str">
        <f>IF($DJ313="","",CONCATENATE(VLOOKUP($DJ313,games.a,9,FALSE),VLOOKUP($DJ313,games.a,12,FALSE)))</f>
        <v/>
      </c>
      <c r="DL313" s="354" t="str">
        <f>IF($DJ313="","",VLOOKUP($DJ313,games.a,10,FALSE))</f>
        <v/>
      </c>
      <c r="DM313" s="354" t="str">
        <f>IF($DJ313="","",VLOOKUP($DJ313,games.a,13,FALSE))</f>
        <v/>
      </c>
      <c r="DN313" s="361" t="str">
        <f>IF($DJ313="","",VLOOKUP($DJ313,games.a,6,FALSE))</f>
        <v/>
      </c>
      <c r="DO313" s="362" t="str">
        <f>IF($DJ313="","",VLOOKUP($DJ313,games.a,7,FALSE))</f>
        <v/>
      </c>
      <c r="DP313" s="379" t="str">
        <f>DP312</f>
        <v/>
      </c>
      <c r="DQ313" s="302"/>
      <c r="DR313" s="364"/>
      <c r="DS313" s="445"/>
      <c r="DU313" s="424"/>
      <c r="EL313" s="424"/>
      <c r="EM313" s="424"/>
      <c r="EN313" s="424"/>
      <c r="EO313" s="424"/>
      <c r="EP313" s="424"/>
      <c r="EQ313" s="424"/>
      <c r="ER313" s="404" t="str">
        <f ca="1">ER310</f>
        <v/>
      </c>
      <c r="ES313" s="371" t="str">
        <f ca="1">IF(OR(ER313="",EY313="",ER313=EY313),"",CONCATENATE(ER313,EY313))</f>
        <v/>
      </c>
      <c r="ET313" s="369" t="str">
        <f ca="1">IF(ES313="","",CONCATENATE(VLOOKUP(ES313,games.a,9,FALSE),VLOOKUP(ES313,games.a,12,FALSE)))</f>
        <v/>
      </c>
      <c r="EU313" s="420"/>
      <c r="EV313" s="421"/>
      <c r="EW313" s="423" t="str">
        <f ca="1">IF(ES313="","",VLOOKUP(ES313,games.a,6,FALSE))</f>
        <v/>
      </c>
      <c r="EX313" s="409" t="str">
        <f ca="1">IF(ES313="","",VLOOKUP(ES313,games.a,7,FALSE))</f>
        <v/>
      </c>
      <c r="EY313" s="415" t="str">
        <f ca="1">EY312</f>
        <v/>
      </c>
      <c r="EZ313" s="416"/>
      <c r="FA313" s="417"/>
      <c r="FD313" s="425"/>
      <c r="FE313" s="333"/>
      <c r="FP313" s="359" t="str">
        <f t="shared" ca="1" si="708"/>
        <v/>
      </c>
      <c r="FQ313" s="360" t="str">
        <f t="shared" ca="1" si="709"/>
        <v/>
      </c>
      <c r="FR313" s="360" t="str">
        <f t="shared" ca="1" si="710"/>
        <v/>
      </c>
      <c r="FS313" s="360" t="str">
        <f t="shared" ca="1" si="711"/>
        <v/>
      </c>
      <c r="FT313" s="360" t="str">
        <f t="shared" ca="1" si="712"/>
        <v/>
      </c>
      <c r="FU313" s="360" t="str">
        <f t="shared" ca="1" si="713"/>
        <v/>
      </c>
      <c r="FV313" s="360" t="str">
        <f t="shared" ca="1" si="714"/>
        <v/>
      </c>
      <c r="FW313" s="360" t="str">
        <f t="shared" ca="1" si="715"/>
        <v/>
      </c>
      <c r="FX313" s="360" t="str">
        <f t="shared" ca="1" si="716"/>
        <v/>
      </c>
      <c r="FY313" s="360" t="str">
        <f t="shared" ca="1" si="717"/>
        <v/>
      </c>
      <c r="FZ313" s="379" t="str">
        <f ca="1">FZ312</f>
        <v/>
      </c>
      <c r="GA313" s="302"/>
      <c r="GB313" s="364"/>
    </row>
    <row r="314" spans="86:184" x14ac:dyDescent="0.25">
      <c r="CH314" s="445"/>
      <c r="CI314" s="300"/>
      <c r="CJ314" s="300"/>
      <c r="CK314" s="300"/>
      <c r="CL314" s="449"/>
      <c r="CM314" s="445"/>
      <c r="CN314" s="300"/>
      <c r="CO314" s="302"/>
      <c r="CP314" s="302"/>
      <c r="CQ314" s="302"/>
      <c r="CR314" s="302"/>
      <c r="CS314" s="302"/>
      <c r="CT314" s="302"/>
      <c r="CU314" s="302"/>
      <c r="CV314" s="302"/>
      <c r="CW314" s="302"/>
      <c r="CX314" s="302"/>
      <c r="CY314" s="302"/>
      <c r="CZ314" s="302"/>
      <c r="DA314" s="302"/>
      <c r="DB314" s="302"/>
      <c r="DC314" s="302"/>
      <c r="DD314" s="302"/>
      <c r="DE314" s="302"/>
      <c r="DF314" s="302"/>
      <c r="DG314" s="445"/>
      <c r="DH314" s="445"/>
      <c r="DI314" s="395" t="str">
        <f>DI308</f>
        <v/>
      </c>
      <c r="DJ314" s="360" t="str">
        <f>IF(OR(DI314="",DP314="",DI314=DP314),"",CONCATENATE(DI314,DP314))</f>
        <v/>
      </c>
      <c r="DK314" s="360" t="str">
        <f>IF($DJ314="","",CONCATENATE(VLOOKUP($DJ314,games.a,9,FALSE),VLOOKUP($DJ314,games.a,12,FALSE)))</f>
        <v/>
      </c>
      <c r="DL314" s="354" t="str">
        <f>IF($DJ314="","",VLOOKUP($DJ314,games.a,10,FALSE))</f>
        <v/>
      </c>
      <c r="DM314" s="354" t="str">
        <f>IF($DJ314="","",VLOOKUP($DJ314,games.a,13,FALSE))</f>
        <v/>
      </c>
      <c r="DN314" s="361" t="str">
        <f>IF($DJ314="","",VLOOKUP($DJ314,games.a,6,FALSE))</f>
        <v/>
      </c>
      <c r="DO314" s="362" t="str">
        <f>IF($DJ314="","",VLOOKUP($DJ314,games.a,7,FALSE))</f>
        <v/>
      </c>
      <c r="DP314" s="379" t="str">
        <f>DP313</f>
        <v/>
      </c>
      <c r="DQ314" s="302"/>
      <c r="DR314" s="364"/>
      <c r="DS314" s="445"/>
      <c r="DU314" s="424"/>
      <c r="EL314" s="424"/>
      <c r="EM314" s="424"/>
      <c r="EN314" s="424"/>
      <c r="EO314" s="424"/>
      <c r="EP314" s="424"/>
      <c r="EQ314" s="424"/>
      <c r="ER314" s="424"/>
      <c r="ES314" s="424"/>
      <c r="ET314" s="424"/>
      <c r="EU314" s="424"/>
      <c r="EV314" s="424"/>
      <c r="EW314" s="424"/>
      <c r="EX314" s="424"/>
      <c r="EY314" s="424"/>
      <c r="EZ314" s="424"/>
      <c r="FA314" s="424"/>
      <c r="FE314" s="333"/>
      <c r="FP314" s="359" t="str">
        <f t="shared" ca="1" si="708"/>
        <v/>
      </c>
      <c r="FQ314" s="360" t="str">
        <f t="shared" ca="1" si="709"/>
        <v/>
      </c>
      <c r="FR314" s="360" t="str">
        <f t="shared" ca="1" si="710"/>
        <v/>
      </c>
      <c r="FS314" s="360" t="str">
        <f t="shared" ca="1" si="711"/>
        <v/>
      </c>
      <c r="FT314" s="360" t="str">
        <f t="shared" ca="1" si="712"/>
        <v/>
      </c>
      <c r="FU314" s="360" t="str">
        <f t="shared" ca="1" si="713"/>
        <v/>
      </c>
      <c r="FV314" s="360" t="str">
        <f t="shared" ca="1" si="714"/>
        <v/>
      </c>
      <c r="FW314" s="360" t="str">
        <f t="shared" ca="1" si="715"/>
        <v/>
      </c>
      <c r="FX314" s="360" t="str">
        <f t="shared" ca="1" si="716"/>
        <v/>
      </c>
      <c r="FY314" s="360" t="str">
        <f t="shared" ca="1" si="717"/>
        <v/>
      </c>
      <c r="FZ314" s="379" t="str">
        <f ca="1">FZ313</f>
        <v/>
      </c>
      <c r="GA314" s="302"/>
      <c r="GB314" s="364"/>
    </row>
    <row r="315" spans="86:184" x14ac:dyDescent="0.25">
      <c r="CH315" s="445"/>
      <c r="CI315" s="300"/>
      <c r="CJ315" s="300"/>
      <c r="CK315" s="300"/>
      <c r="CL315" s="449"/>
      <c r="CM315" s="445"/>
      <c r="CN315" s="300"/>
      <c r="CO315" s="302"/>
      <c r="CP315" s="302"/>
      <c r="CQ315" s="302"/>
      <c r="CR315" s="302"/>
      <c r="CS315" s="302"/>
      <c r="CT315" s="302"/>
      <c r="CU315" s="302"/>
      <c r="CV315" s="302"/>
      <c r="CW315" s="302"/>
      <c r="CX315" s="302"/>
      <c r="CY315" s="302"/>
      <c r="CZ315" s="302"/>
      <c r="DA315" s="302"/>
      <c r="DB315" s="302"/>
      <c r="DC315" s="302"/>
      <c r="DD315" s="302"/>
      <c r="DE315" s="302"/>
      <c r="DF315" s="302"/>
      <c r="DG315" s="445"/>
      <c r="DH315" s="445"/>
      <c r="DI315" s="395" t="str">
        <f>DI309</f>
        <v/>
      </c>
      <c r="DJ315" s="360" t="str">
        <f>IF(OR(DI315="",DP315="",DI315=DP315),"",CONCATENATE(DI315,DP315))</f>
        <v/>
      </c>
      <c r="DK315" s="360" t="str">
        <f>IF($DJ315="","",CONCATENATE(VLOOKUP($DJ315,games.a,9,FALSE),VLOOKUP($DJ315,games.a,12,FALSE)))</f>
        <v/>
      </c>
      <c r="DL315" s="354" t="str">
        <f>IF($DJ315="","",VLOOKUP($DJ315,games.a,10,FALSE))</f>
        <v/>
      </c>
      <c r="DM315" s="354" t="str">
        <f>IF($DJ315="","",VLOOKUP($DJ315,games.a,13,FALSE))</f>
        <v/>
      </c>
      <c r="DN315" s="361" t="str">
        <f>IF($DJ315="","",VLOOKUP($DJ315,games.a,6,FALSE))</f>
        <v/>
      </c>
      <c r="DO315" s="362" t="str">
        <f>IF($DJ315="","",VLOOKUP($DJ315,games.a,7,FALSE))</f>
        <v/>
      </c>
      <c r="DP315" s="379" t="str">
        <f>DP314</f>
        <v/>
      </c>
      <c r="DQ315" s="302"/>
      <c r="DR315" s="364"/>
      <c r="DS315" s="445"/>
      <c r="DU315" s="424"/>
      <c r="EL315" s="424"/>
      <c r="EM315" s="424"/>
      <c r="EN315" s="424"/>
      <c r="EO315" s="424"/>
      <c r="EP315" s="424"/>
      <c r="EQ315" s="424"/>
      <c r="ER315" s="424"/>
      <c r="ES315" s="424"/>
      <c r="ET315" s="424"/>
      <c r="EU315" s="424"/>
      <c r="EV315" s="424"/>
      <c r="EW315" s="424"/>
      <c r="EX315" s="424"/>
      <c r="EY315" s="424"/>
      <c r="EZ315" s="424"/>
      <c r="FA315" s="424"/>
      <c r="FE315" s="333"/>
      <c r="FP315" s="359" t="str">
        <f t="shared" ca="1" si="708"/>
        <v/>
      </c>
      <c r="FQ315" s="360" t="str">
        <f t="shared" ca="1" si="709"/>
        <v/>
      </c>
      <c r="FR315" s="360" t="str">
        <f t="shared" ca="1" si="710"/>
        <v/>
      </c>
      <c r="FS315" s="360" t="str">
        <f t="shared" ca="1" si="711"/>
        <v/>
      </c>
      <c r="FT315" s="360" t="str">
        <f t="shared" ca="1" si="712"/>
        <v/>
      </c>
      <c r="FU315" s="360" t="str">
        <f t="shared" ca="1" si="713"/>
        <v/>
      </c>
      <c r="FV315" s="360" t="str">
        <f t="shared" ca="1" si="714"/>
        <v/>
      </c>
      <c r="FW315" s="360" t="str">
        <f t="shared" ca="1" si="715"/>
        <v/>
      </c>
      <c r="FX315" s="360" t="str">
        <f t="shared" ca="1" si="716"/>
        <v/>
      </c>
      <c r="FY315" s="360" t="str">
        <f t="shared" ca="1" si="717"/>
        <v/>
      </c>
      <c r="FZ315" s="379" t="str">
        <f ca="1">FZ314</f>
        <v/>
      </c>
      <c r="GA315" s="302"/>
      <c r="GB315" s="364"/>
    </row>
    <row r="316" spans="86:184" x14ac:dyDescent="0.25">
      <c r="CH316" s="445"/>
      <c r="CI316" s="300"/>
      <c r="CJ316" s="300"/>
      <c r="CK316" s="300"/>
      <c r="CL316" s="449"/>
      <c r="CM316" s="445"/>
      <c r="CN316" s="300"/>
      <c r="CO316" s="302"/>
      <c r="CP316" s="302"/>
      <c r="CQ316" s="302"/>
      <c r="CR316" s="302"/>
      <c r="CS316" s="302"/>
      <c r="CT316" s="302"/>
      <c r="CU316" s="302"/>
      <c r="CV316" s="302"/>
      <c r="CW316" s="302"/>
      <c r="CX316" s="302"/>
      <c r="CY316" s="302"/>
      <c r="CZ316" s="302"/>
      <c r="DA316" s="302"/>
      <c r="DB316" s="302"/>
      <c r="DC316" s="302"/>
      <c r="DD316" s="302"/>
      <c r="DE316" s="302"/>
      <c r="DF316" s="302"/>
      <c r="DG316" s="445"/>
      <c r="DH316" s="445"/>
      <c r="DI316" s="395" t="str">
        <f>DI310</f>
        <v/>
      </c>
      <c r="DJ316" s="360" t="str">
        <f>IF(OR(DI316="",DP316="",DI316=DP316),"",CONCATENATE(DI316,DP316))</f>
        <v/>
      </c>
      <c r="DK316" s="360" t="str">
        <f>IF($DJ316="","",CONCATENATE(VLOOKUP($DJ316,games.a,9,FALSE),VLOOKUP($DJ316,games.a,12,FALSE)))</f>
        <v/>
      </c>
      <c r="DL316" s="354" t="str">
        <f>IF($DJ316="","",VLOOKUP($DJ316,games.a,10,FALSE))</f>
        <v/>
      </c>
      <c r="DM316" s="354" t="str">
        <f>IF($DJ316="","",VLOOKUP($DJ316,games.a,13,FALSE))</f>
        <v/>
      </c>
      <c r="DN316" s="361" t="str">
        <f>IF($DJ316="","",VLOOKUP($DJ316,games.a,6,FALSE))</f>
        <v/>
      </c>
      <c r="DO316" s="362" t="str">
        <f>IF($DJ316="","",VLOOKUP($DJ316,games.a,7,FALSE))</f>
        <v/>
      </c>
      <c r="DP316" s="379" t="str">
        <f>DP315</f>
        <v/>
      </c>
      <c r="DQ316" s="302"/>
      <c r="DR316" s="364"/>
      <c r="DS316" s="445"/>
      <c r="DU316" s="424"/>
      <c r="EL316" s="424"/>
      <c r="EM316" s="424"/>
      <c r="EN316" s="424"/>
      <c r="EO316" s="424"/>
      <c r="EP316" s="424"/>
      <c r="EQ316" s="424"/>
      <c r="FE316" s="333"/>
      <c r="FP316" s="301"/>
      <c r="FQ316" s="324" t="s">
        <v>157</v>
      </c>
      <c r="FR316" s="324" t="s">
        <v>237</v>
      </c>
      <c r="FS316" s="324" t="s">
        <v>239</v>
      </c>
      <c r="FT316" s="324" t="s">
        <v>240</v>
      </c>
      <c r="FU316" s="324" t="s">
        <v>238</v>
      </c>
      <c r="FV316" s="324" t="s">
        <v>241</v>
      </c>
      <c r="FW316" s="324" t="s">
        <v>242</v>
      </c>
      <c r="FX316" s="326" t="s">
        <v>160</v>
      </c>
      <c r="FY316" s="325" t="s">
        <v>135</v>
      </c>
      <c r="FZ316" s="302"/>
      <c r="GA316" s="302"/>
      <c r="GB316" s="364"/>
    </row>
    <row r="317" spans="86:184" x14ac:dyDescent="0.25">
      <c r="CH317" s="445"/>
      <c r="CI317" s="300"/>
      <c r="CJ317" s="300"/>
      <c r="CK317" s="300"/>
      <c r="CL317" s="449"/>
      <c r="CM317" s="445"/>
      <c r="CN317" s="300"/>
      <c r="CO317" s="302"/>
      <c r="CP317" s="302"/>
      <c r="CQ317" s="302"/>
      <c r="CR317" s="302"/>
      <c r="CS317" s="302"/>
      <c r="CT317" s="302"/>
      <c r="CU317" s="302"/>
      <c r="CV317" s="302"/>
      <c r="CW317" s="302"/>
      <c r="CX317" s="302"/>
      <c r="CY317" s="302"/>
      <c r="CZ317" s="302"/>
      <c r="DA317" s="302"/>
      <c r="DB317" s="302"/>
      <c r="DC317" s="302"/>
      <c r="DD317" s="302"/>
      <c r="DE317" s="302"/>
      <c r="DF317" s="302"/>
      <c r="DG317" s="445"/>
      <c r="DH317" s="445"/>
      <c r="DI317" s="301"/>
      <c r="DJ317" s="302"/>
      <c r="DK317" s="302"/>
      <c r="DL317" s="302"/>
      <c r="DM317" s="302"/>
      <c r="DN317" s="302"/>
      <c r="DO317" s="302"/>
      <c r="DP317" s="447"/>
      <c r="DQ317" s="302"/>
      <c r="DR317" s="446" t="s">
        <v>220</v>
      </c>
      <c r="DS317" s="445"/>
      <c r="DU317" s="424"/>
      <c r="EL317" s="424"/>
      <c r="EM317" s="424"/>
      <c r="EN317" s="424"/>
      <c r="EO317" s="424"/>
      <c r="EP317" s="424"/>
      <c r="EQ317" s="424"/>
      <c r="FE317" s="333"/>
      <c r="FP317" s="395" t="str">
        <f t="shared" ref="FP317:FP322" ca="1" si="718">FP310</f>
        <v/>
      </c>
      <c r="FQ317" s="360" t="str">
        <f t="shared" ref="FQ317:FQ322" ca="1" si="719">IF(OR(FP317="",FZ317="",FP317=FZ317),"",CONCATENATE(FP317,FZ317))</f>
        <v/>
      </c>
      <c r="FR317" s="360" t="str">
        <f t="shared" ref="FR317:FR322" ca="1" si="720">IF($FQ317="","",VLOOKUP($FQ317,games.a,9,FALSE))</f>
        <v/>
      </c>
      <c r="FS317" s="360" t="str">
        <f t="shared" ref="FS317:FS322" ca="1" si="721">IF($FQ317="","",VLOOKUP($FQ317,games.a,10,FALSE))</f>
        <v/>
      </c>
      <c r="FT317" s="360" t="str">
        <f t="shared" ref="FT317:FT322" ca="1" si="722">IF($FQ317="","",VLOOKUP($FQ317,games.a,11,FALSE))</f>
        <v/>
      </c>
      <c r="FU317" s="360" t="str">
        <f t="shared" ref="FU317:FU322" ca="1" si="723">IF($FQ317="","",VLOOKUP($FQ317,games.a,12,FALSE))</f>
        <v/>
      </c>
      <c r="FV317" s="360" t="str">
        <f t="shared" ref="FV317:FV322" ca="1" si="724">IF($FQ317="","",VLOOKUP($FQ317,games.a,13,FALSE))</f>
        <v/>
      </c>
      <c r="FW317" s="360" t="str">
        <f t="shared" ref="FW317:FW322" ca="1" si="725">IF($FQ317="","",VLOOKUP($FQ317,games.a,14,FALSE))</f>
        <v/>
      </c>
      <c r="FX317" s="360" t="str">
        <f t="shared" ref="FX317:FX322" ca="1" si="726">IF($FQ317="","",VLOOKUP($FQ317,games.a,6,FALSE))</f>
        <v/>
      </c>
      <c r="FY317" s="360" t="str">
        <f t="shared" ref="FY317:FY322" ca="1" si="727">IF($FQ317="","",VLOOKUP($FQ317,games.a,7,FALSE))</f>
        <v/>
      </c>
      <c r="FZ317" s="363" t="str">
        <f ca="1">FP311</f>
        <v/>
      </c>
      <c r="GA317" s="302"/>
      <c r="GB317" s="364"/>
    </row>
    <row r="318" spans="86:184" x14ac:dyDescent="0.25">
      <c r="DI318" s="301"/>
      <c r="DJ318" s="302"/>
      <c r="DK318" s="302"/>
      <c r="DL318" s="302"/>
      <c r="DM318" s="302"/>
      <c r="DN318" s="302"/>
      <c r="DO318" s="302"/>
      <c r="DP318" s="447"/>
      <c r="DQ318" s="302"/>
      <c r="DR318" s="448" t="s">
        <v>221</v>
      </c>
      <c r="EL318" s="424"/>
      <c r="EM318" s="424"/>
      <c r="EN318" s="424"/>
      <c r="EO318" s="424"/>
      <c r="EP318" s="424"/>
      <c r="EQ318" s="424"/>
      <c r="FP318" s="395" t="str">
        <f t="shared" ca="1" si="718"/>
        <v/>
      </c>
      <c r="FQ318" s="360" t="str">
        <f t="shared" ca="1" si="719"/>
        <v/>
      </c>
      <c r="FR318" s="360" t="str">
        <f t="shared" ca="1" si="720"/>
        <v/>
      </c>
      <c r="FS318" s="360" t="str">
        <f t="shared" ca="1" si="721"/>
        <v/>
      </c>
      <c r="FT318" s="360" t="str">
        <f t="shared" ca="1" si="722"/>
        <v/>
      </c>
      <c r="FU318" s="360" t="str">
        <f t="shared" ca="1" si="723"/>
        <v/>
      </c>
      <c r="FV318" s="360" t="str">
        <f t="shared" ca="1" si="724"/>
        <v/>
      </c>
      <c r="FW318" s="360" t="str">
        <f t="shared" ca="1" si="725"/>
        <v/>
      </c>
      <c r="FX318" s="360" t="str">
        <f t="shared" ca="1" si="726"/>
        <v/>
      </c>
      <c r="FY318" s="360" t="str">
        <f t="shared" ca="1" si="727"/>
        <v/>
      </c>
      <c r="FZ318" s="379" t="str">
        <f ca="1">FZ317</f>
        <v/>
      </c>
      <c r="GA318" s="302"/>
      <c r="GB318" s="364"/>
    </row>
    <row r="319" spans="86:184" x14ac:dyDescent="0.25">
      <c r="DI319" s="323" t="b">
        <f>OR(NOT($AJ$44),COUNTIF(DN319:DN330,"")=9-(DP319-1)*DP319,COUNTIF(DN319:DN330,"")=9-(DP319-1)*DP319/2)</f>
        <v>1</v>
      </c>
      <c r="DJ319" s="324" t="s">
        <v>157</v>
      </c>
      <c r="DK319" s="324" t="s">
        <v>158</v>
      </c>
      <c r="DL319" s="325" t="s">
        <v>159</v>
      </c>
      <c r="DM319" s="325"/>
      <c r="DN319" s="326" t="s">
        <v>160</v>
      </c>
      <c r="DO319" s="325" t="s">
        <v>135</v>
      </c>
      <c r="DP319" s="323">
        <f>COUNT(CT68:CT70)</f>
        <v>0</v>
      </c>
      <c r="DQ319" s="302"/>
      <c r="DR319" s="364"/>
      <c r="DV319" s="329" t="s">
        <v>229</v>
      </c>
      <c r="DW319" s="365"/>
      <c r="DX319" s="329" t="s">
        <v>152</v>
      </c>
      <c r="DY319" s="329" t="s">
        <v>153</v>
      </c>
      <c r="DZ319" s="329" t="s">
        <v>154</v>
      </c>
      <c r="EA319" s="329" t="s">
        <v>155</v>
      </c>
      <c r="EB319" s="329" t="s">
        <v>125</v>
      </c>
      <c r="EC319" s="329" t="s">
        <v>226</v>
      </c>
      <c r="ED319" s="329" t="s">
        <v>126</v>
      </c>
      <c r="EE319" s="329" t="s">
        <v>227</v>
      </c>
      <c r="EF319" s="424"/>
      <c r="EG319" s="424"/>
      <c r="EH319" s="424"/>
      <c r="EI319" s="329" t="s">
        <v>228</v>
      </c>
      <c r="EJ319" s="329" t="s">
        <v>156</v>
      </c>
      <c r="EK319" s="329" t="s">
        <v>208</v>
      </c>
      <c r="EL319" s="424"/>
      <c r="EM319" s="424"/>
      <c r="EN319" s="424"/>
      <c r="EO319" s="424"/>
      <c r="EP319" s="424"/>
      <c r="EQ319" s="424"/>
      <c r="FP319" s="395" t="str">
        <f t="shared" ca="1" si="718"/>
        <v/>
      </c>
      <c r="FQ319" s="360" t="str">
        <f t="shared" ca="1" si="719"/>
        <v/>
      </c>
      <c r="FR319" s="360" t="str">
        <f t="shared" ca="1" si="720"/>
        <v/>
      </c>
      <c r="FS319" s="360" t="str">
        <f t="shared" ca="1" si="721"/>
        <v/>
      </c>
      <c r="FT319" s="360" t="str">
        <f t="shared" ca="1" si="722"/>
        <v/>
      </c>
      <c r="FU319" s="360" t="str">
        <f t="shared" ca="1" si="723"/>
        <v/>
      </c>
      <c r="FV319" s="360" t="str">
        <f t="shared" ca="1" si="724"/>
        <v/>
      </c>
      <c r="FW319" s="360" t="str">
        <f t="shared" ca="1" si="725"/>
        <v/>
      </c>
      <c r="FX319" s="360" t="str">
        <f t="shared" ca="1" si="726"/>
        <v/>
      </c>
      <c r="FY319" s="360" t="str">
        <f t="shared" ca="1" si="727"/>
        <v/>
      </c>
      <c r="FZ319" s="379" t="str">
        <f ca="1">FZ318</f>
        <v/>
      </c>
      <c r="GA319" s="302"/>
      <c r="GB319" s="364"/>
    </row>
    <row r="320" spans="86:184" x14ac:dyDescent="0.25">
      <c r="DI320" s="359" t="str">
        <f>IF(CT68="","",VLOOKUP(CT68,xxx.aa2,7,FALSE))</f>
        <v/>
      </c>
      <c r="DJ320" s="360" t="str">
        <f>IF(OR(DI320="",DP320="",DI320=DP320),"",CONCATENATE(DI320,DP320))</f>
        <v/>
      </c>
      <c r="DK320" s="360" t="str">
        <f>IF($DJ320="","",CONCATENATE(VLOOKUP($DJ320,games.a,9,FALSE),VLOOKUP($DJ320,games.a,12,FALSE)))</f>
        <v/>
      </c>
      <c r="DL320" s="354" t="str">
        <f>IF($DJ320="","",VLOOKUP($DJ320,games.a,10,FALSE))</f>
        <v/>
      </c>
      <c r="DM320" s="354" t="str">
        <f>IF($DJ320="","",VLOOKUP($DJ320,games.a,13,FALSE))</f>
        <v/>
      </c>
      <c r="DN320" s="361" t="str">
        <f>IF($DJ320="","",VLOOKUP($DJ320,games.a,6,FALSE))</f>
        <v/>
      </c>
      <c r="DO320" s="362" t="str">
        <f>IF($DJ320="","",VLOOKUP($DJ320,games.a,7,FALSE))</f>
        <v/>
      </c>
      <c r="DP320" s="363" t="str">
        <f>DI320</f>
        <v/>
      </c>
      <c r="DQ320" s="302"/>
      <c r="DR320" s="364"/>
      <c r="DV320" s="366" t="str">
        <f>IF(OR(NOT($AJ$44),DI319),DI320,"")</f>
        <v/>
      </c>
      <c r="DW320" s="365"/>
      <c r="DX320" s="366">
        <f>IF($DV320="",0,COUNTIF(xxgy.aa,$DV320))</f>
        <v>0</v>
      </c>
      <c r="DY320" s="366">
        <f>IF($DV320="",0,COUNTIF(xxd.aa,$DV320))</f>
        <v>0</v>
      </c>
      <c r="DZ320" s="366">
        <f ca="1">IF($DV320="",0,1)*(SUMIF(xxo.aa,$DV320,xxl.aa)+SUMIF(xxi.aa,$DV320,xxk.aa))</f>
        <v>0</v>
      </c>
      <c r="EA320" s="366">
        <f ca="1">IF($DV320="",0,1)*(SUMIF(xxo.aa,$DV320,xxk.aa)+SUMIF(xxi.aa,$DV320,xxl.aa))</f>
        <v>0</v>
      </c>
      <c r="EB320" s="366">
        <f ca="1">DZ320-EA320</f>
        <v>0</v>
      </c>
      <c r="EC320" s="366">
        <f ca="1">IF(EA320=0,0,DZ320/EA320)</f>
        <v>0</v>
      </c>
      <c r="ED320" s="366">
        <f>$AJ$48*DX320+IF($AJ$44,0,1)*DY320</f>
        <v>0</v>
      </c>
      <c r="EE320" s="396">
        <f ca="1">ED320*1000000+IF($AJ$44,EC320,EB320)*1000*0</f>
        <v>0</v>
      </c>
      <c r="EF320" s="424"/>
      <c r="EG320" s="424"/>
      <c r="EH320" s="424"/>
      <c r="EI320" s="366">
        <f ca="1">IF(OR(ISERR(EE320),ISNA(EE320)),0,EE320)</f>
        <v>0</v>
      </c>
      <c r="EJ320" s="366">
        <f ca="1">IF(EI320=0,0,RANK(EI320,EI320:EI322,1))</f>
        <v>0</v>
      </c>
      <c r="EK320" s="366">
        <f ca="1">EJ320*40000*IF(COUNTIF($FC$288:$FC$297,DV320)&gt;0,0,1)</f>
        <v>0</v>
      </c>
      <c r="EL320" s="424"/>
      <c r="EM320" s="424"/>
      <c r="EN320" s="424"/>
      <c r="EO320" s="424"/>
      <c r="EP320" s="424"/>
      <c r="EQ320" s="424"/>
      <c r="FP320" s="395" t="str">
        <f t="shared" ca="1" si="718"/>
        <v/>
      </c>
      <c r="FQ320" s="360" t="str">
        <f t="shared" ca="1" si="719"/>
        <v/>
      </c>
      <c r="FR320" s="360" t="str">
        <f t="shared" ca="1" si="720"/>
        <v/>
      </c>
      <c r="FS320" s="360" t="str">
        <f t="shared" ca="1" si="721"/>
        <v/>
      </c>
      <c r="FT320" s="360" t="str">
        <f t="shared" ca="1" si="722"/>
        <v/>
      </c>
      <c r="FU320" s="360" t="str">
        <f t="shared" ca="1" si="723"/>
        <v/>
      </c>
      <c r="FV320" s="360" t="str">
        <f t="shared" ca="1" si="724"/>
        <v/>
      </c>
      <c r="FW320" s="360" t="str">
        <f t="shared" ca="1" si="725"/>
        <v/>
      </c>
      <c r="FX320" s="360" t="str">
        <f t="shared" ca="1" si="726"/>
        <v/>
      </c>
      <c r="FY320" s="360" t="str">
        <f t="shared" ca="1" si="727"/>
        <v/>
      </c>
      <c r="FZ320" s="379" t="str">
        <f ca="1">FZ319</f>
        <v/>
      </c>
      <c r="GA320" s="302"/>
      <c r="GB320" s="364"/>
    </row>
    <row r="321" spans="113:184" x14ac:dyDescent="0.25">
      <c r="DI321" s="359" t="str">
        <f>IF(CT69="","",VLOOKUP(CT69,xxx.aa2,7,FALSE))</f>
        <v/>
      </c>
      <c r="DJ321" s="360" t="str">
        <f>IF(OR(DI321="",DP321="",DI321=DP321),"",CONCATENATE(DI321,DP321))</f>
        <v/>
      </c>
      <c r="DK321" s="360" t="str">
        <f>IF($DJ321="","",CONCATENATE(VLOOKUP($DJ321,games.a,9,FALSE),VLOOKUP($DJ321,games.a,12,FALSE)))</f>
        <v/>
      </c>
      <c r="DL321" s="354" t="str">
        <f>IF($DJ321="","",VLOOKUP($DJ321,games.a,10,FALSE))</f>
        <v/>
      </c>
      <c r="DM321" s="354" t="str">
        <f>IF($DJ321="","",VLOOKUP($DJ321,games.a,13,FALSE))</f>
        <v/>
      </c>
      <c r="DN321" s="361" t="str">
        <f>IF($DJ321="","",VLOOKUP($DJ321,games.a,6,FALSE))</f>
        <v/>
      </c>
      <c r="DO321" s="362" t="str">
        <f>IF($DJ321="","",VLOOKUP($DJ321,games.a,7,FALSE))</f>
        <v/>
      </c>
      <c r="DP321" s="379" t="str">
        <f>DP320</f>
        <v/>
      </c>
      <c r="DQ321" s="302"/>
      <c r="DR321" s="364"/>
      <c r="DV321" s="366" t="str">
        <f>IF(OR(NOT($AJ$44),DI319),DI321,"")</f>
        <v/>
      </c>
      <c r="DW321" s="365"/>
      <c r="DX321" s="366">
        <f>IF($DV321="",0,COUNTIF(xxgy.aa,$DV321))</f>
        <v>0</v>
      </c>
      <c r="DY321" s="366">
        <f>IF($DV321="",0,COUNTIF(xxd.aa,$DV321))</f>
        <v>0</v>
      </c>
      <c r="DZ321" s="366">
        <f ca="1">IF($DV321="",0,1)*(SUMIF(xxo.aa,$DV321,xxl.aa)+SUMIF(xxi.aa,$DV321,xxk.aa))</f>
        <v>0</v>
      </c>
      <c r="EA321" s="366">
        <f ca="1">IF($DV321="",0,1)*(SUMIF(xxo.aa,$DV321,xxk.aa)+SUMIF(xxi.aa,$DV321,xxl.aa))</f>
        <v>0</v>
      </c>
      <c r="EB321" s="366">
        <f ca="1">DZ321-EA321</f>
        <v>0</v>
      </c>
      <c r="EC321" s="366">
        <f ca="1">IF(EA321=0,0,DZ321/EA321)</f>
        <v>0</v>
      </c>
      <c r="ED321" s="366">
        <f>$AJ$48*DX321+IF($AJ$44,0,1)*DY321</f>
        <v>0</v>
      </c>
      <c r="EE321" s="396">
        <f ca="1">ED321*1000000+IF($AJ$44,EC321,EB321)*1000*0</f>
        <v>0</v>
      </c>
      <c r="EF321" s="424"/>
      <c r="EG321" s="424"/>
      <c r="EH321" s="424"/>
      <c r="EI321" s="366">
        <f ca="1">IF(OR(ISERR(EE321),ISNA(EE321)),0,EE321)</f>
        <v>0</v>
      </c>
      <c r="EJ321" s="366">
        <f ca="1">IF(EI321=0,0,RANK(EI321,EI320:EI322,1))</f>
        <v>0</v>
      </c>
      <c r="EK321" s="366">
        <f ca="1">EJ321*40000*IF(COUNTIF($FC$288:$FC$297,DV321)&gt;0,0,1)</f>
        <v>0</v>
      </c>
      <c r="EL321" s="424"/>
      <c r="EM321" s="424"/>
      <c r="EN321" s="424"/>
      <c r="EO321" s="424"/>
      <c r="EP321" s="424"/>
      <c r="EQ321" s="424"/>
      <c r="FP321" s="395" t="str">
        <f t="shared" ca="1" si="718"/>
        <v/>
      </c>
      <c r="FQ321" s="360" t="str">
        <f t="shared" ca="1" si="719"/>
        <v/>
      </c>
      <c r="FR321" s="360" t="str">
        <f t="shared" ca="1" si="720"/>
        <v/>
      </c>
      <c r="FS321" s="360" t="str">
        <f t="shared" ca="1" si="721"/>
        <v/>
      </c>
      <c r="FT321" s="360" t="str">
        <f t="shared" ca="1" si="722"/>
        <v/>
      </c>
      <c r="FU321" s="360" t="str">
        <f t="shared" ca="1" si="723"/>
        <v/>
      </c>
      <c r="FV321" s="360" t="str">
        <f t="shared" ca="1" si="724"/>
        <v/>
      </c>
      <c r="FW321" s="360" t="str">
        <f t="shared" ca="1" si="725"/>
        <v/>
      </c>
      <c r="FX321" s="360" t="str">
        <f t="shared" ca="1" si="726"/>
        <v/>
      </c>
      <c r="FY321" s="360" t="str">
        <f t="shared" ca="1" si="727"/>
        <v/>
      </c>
      <c r="FZ321" s="379" t="str">
        <f ca="1">FZ320</f>
        <v/>
      </c>
      <c r="GA321" s="302"/>
      <c r="GB321" s="364"/>
    </row>
    <row r="322" spans="113:184" x14ac:dyDescent="0.25">
      <c r="DI322" s="359" t="str">
        <f>IF(CT70="","",VLOOKUP(CT70,xxx.aa2,7,FALSE))</f>
        <v/>
      </c>
      <c r="DJ322" s="360" t="str">
        <f>IF(OR(DI322="",DP322="",DI322=DP322),"",CONCATENATE(DI322,DP322))</f>
        <v/>
      </c>
      <c r="DK322" s="360" t="str">
        <f>IF($DJ322="","",CONCATENATE(VLOOKUP($DJ322,games.a,9,FALSE),VLOOKUP($DJ322,games.a,12,FALSE)))</f>
        <v/>
      </c>
      <c r="DL322" s="354" t="str">
        <f>IF($DJ322="","",VLOOKUP($DJ322,games.a,10,FALSE))</f>
        <v/>
      </c>
      <c r="DM322" s="354" t="str">
        <f>IF($DJ322="","",VLOOKUP($DJ322,games.a,13,FALSE))</f>
        <v/>
      </c>
      <c r="DN322" s="361" t="str">
        <f>IF($DJ322="","",VLOOKUP($DJ322,games.a,6,FALSE))</f>
        <v/>
      </c>
      <c r="DO322" s="362" t="str">
        <f>IF($DJ322="","",VLOOKUP($DJ322,games.a,7,FALSE))</f>
        <v/>
      </c>
      <c r="DP322" s="379" t="str">
        <f>DP321</f>
        <v/>
      </c>
      <c r="DQ322" s="302"/>
      <c r="DR322" s="364"/>
      <c r="DV322" s="366" t="str">
        <f>IF(OR(NOT($AJ$44),DI319),DI322,"")</f>
        <v/>
      </c>
      <c r="DW322" s="365"/>
      <c r="DX322" s="366">
        <f>IF($DV322="",0,COUNTIF(xxgy.aa,$DV322))</f>
        <v>0</v>
      </c>
      <c r="DY322" s="366">
        <f>IF($DV322="",0,COUNTIF(xxd.aa,$DV322))</f>
        <v>0</v>
      </c>
      <c r="DZ322" s="366">
        <f ca="1">IF($DV322="",0,1)*(SUMIF(xxo.aa,$DV322,xxl.aa)+SUMIF(xxi.aa,$DV322,xxk.aa))</f>
        <v>0</v>
      </c>
      <c r="EA322" s="366">
        <f ca="1">IF($DV322="",0,1)*(SUMIF(xxo.aa,$DV322,xxk.aa)+SUMIF(xxi.aa,$DV322,xxl.aa))</f>
        <v>0</v>
      </c>
      <c r="EB322" s="366">
        <f ca="1">DZ322-EA322</f>
        <v>0</v>
      </c>
      <c r="EC322" s="366">
        <f ca="1">IF(EA322=0,0,DZ322/EA322)</f>
        <v>0</v>
      </c>
      <c r="ED322" s="366">
        <f>$AJ$48*DX322+IF($AJ$44,0,1)*DY322</f>
        <v>0</v>
      </c>
      <c r="EE322" s="396">
        <f ca="1">ED322*1000000+IF($AJ$44,EC322,EB322)*1000*0</f>
        <v>0</v>
      </c>
      <c r="EF322" s="424"/>
      <c r="EG322" s="424"/>
      <c r="EH322" s="424"/>
      <c r="EI322" s="366">
        <f ca="1">IF(OR(ISERR(EE322),ISNA(EE322)),0,EE322)</f>
        <v>0</v>
      </c>
      <c r="EJ322" s="366">
        <f ca="1">IF(EI322=0,0,RANK(EI322,EI320:EI322,1))</f>
        <v>0</v>
      </c>
      <c r="EK322" s="366">
        <f ca="1">EJ322*40000*IF(COUNTIF($FC$288:$FC$297,DV322)&gt;0,0,1)</f>
        <v>0</v>
      </c>
      <c r="EL322" s="424"/>
      <c r="EM322" s="424"/>
      <c r="EN322" s="424"/>
      <c r="EO322" s="424"/>
      <c r="EP322" s="424"/>
      <c r="EQ322" s="424"/>
      <c r="FP322" s="395" t="str">
        <f t="shared" ca="1" si="718"/>
        <v/>
      </c>
      <c r="FQ322" s="360" t="str">
        <f t="shared" ca="1" si="719"/>
        <v/>
      </c>
      <c r="FR322" s="360" t="str">
        <f t="shared" ca="1" si="720"/>
        <v/>
      </c>
      <c r="FS322" s="360" t="str">
        <f t="shared" ca="1" si="721"/>
        <v/>
      </c>
      <c r="FT322" s="360" t="str">
        <f t="shared" ca="1" si="722"/>
        <v/>
      </c>
      <c r="FU322" s="360" t="str">
        <f t="shared" ca="1" si="723"/>
        <v/>
      </c>
      <c r="FV322" s="360" t="str">
        <f t="shared" ca="1" si="724"/>
        <v/>
      </c>
      <c r="FW322" s="360" t="str">
        <f t="shared" ca="1" si="725"/>
        <v/>
      </c>
      <c r="FX322" s="360" t="str">
        <f t="shared" ca="1" si="726"/>
        <v/>
      </c>
      <c r="FY322" s="360" t="str">
        <f t="shared" ca="1" si="727"/>
        <v/>
      </c>
      <c r="FZ322" s="379" t="str">
        <f ca="1">FZ321</f>
        <v/>
      </c>
      <c r="GA322" s="302"/>
      <c r="GB322" s="364"/>
    </row>
    <row r="323" spans="113:184" x14ac:dyDescent="0.25">
      <c r="DI323" s="301"/>
      <c r="DJ323" s="324" t="s">
        <v>157</v>
      </c>
      <c r="DK323" s="324" t="s">
        <v>158</v>
      </c>
      <c r="DL323" s="325" t="s">
        <v>159</v>
      </c>
      <c r="DM323" s="325"/>
      <c r="DN323" s="326" t="s">
        <v>160</v>
      </c>
      <c r="DO323" s="325" t="s">
        <v>135</v>
      </c>
      <c r="DP323" s="302"/>
      <c r="DQ323" s="302"/>
      <c r="DR323" s="364"/>
      <c r="DV323" s="424"/>
      <c r="DW323" s="424"/>
      <c r="DX323" s="424"/>
      <c r="DY323" s="424"/>
      <c r="DZ323" s="424"/>
      <c r="EA323" s="424"/>
      <c r="EB323" s="424"/>
      <c r="EC323" s="424"/>
      <c r="ED323" s="424"/>
      <c r="EE323" s="424"/>
      <c r="EF323" s="424"/>
      <c r="EG323" s="424"/>
      <c r="EH323" s="424"/>
      <c r="EI323" s="424"/>
      <c r="EJ323" s="424"/>
      <c r="EK323" s="424"/>
      <c r="EL323" s="424"/>
      <c r="EM323" s="424"/>
      <c r="EN323" s="424"/>
      <c r="EO323" s="424"/>
      <c r="EP323" s="424"/>
      <c r="EQ323" s="424"/>
      <c r="FP323" s="301"/>
      <c r="FQ323" s="324" t="s">
        <v>157</v>
      </c>
      <c r="FR323" s="324" t="s">
        <v>237</v>
      </c>
      <c r="FS323" s="324" t="s">
        <v>239</v>
      </c>
      <c r="FT323" s="324" t="s">
        <v>240</v>
      </c>
      <c r="FU323" s="324" t="s">
        <v>238</v>
      </c>
      <c r="FV323" s="324" t="s">
        <v>241</v>
      </c>
      <c r="FW323" s="324" t="s">
        <v>242</v>
      </c>
      <c r="FX323" s="326" t="s">
        <v>160</v>
      </c>
      <c r="FY323" s="325" t="s">
        <v>135</v>
      </c>
      <c r="FZ323" s="302"/>
      <c r="GA323" s="302"/>
      <c r="GB323" s="364"/>
    </row>
    <row r="324" spans="113:184" x14ac:dyDescent="0.25">
      <c r="DI324" s="395" t="str">
        <f>DI320</f>
        <v/>
      </c>
      <c r="DJ324" s="360" t="str">
        <f>IF(OR(DI324="",DP324="",DI324=DP324),"",CONCATENATE(DI324,DP324))</f>
        <v/>
      </c>
      <c r="DK324" s="360" t="str">
        <f>IF($DJ324="","",CONCATENATE(VLOOKUP($DJ324,games.a,9,FALSE),VLOOKUP($DJ324,games.a,12,FALSE)))</f>
        <v/>
      </c>
      <c r="DL324" s="354" t="str">
        <f>IF($DJ324="","",VLOOKUP($DJ324,games.a,10,FALSE))</f>
        <v/>
      </c>
      <c r="DM324" s="354" t="str">
        <f>IF($DJ324="","",VLOOKUP($DJ324,games.a,13,FALSE))</f>
        <v/>
      </c>
      <c r="DN324" s="361" t="str">
        <f>IF($DJ324="","",VLOOKUP($DJ324,games.a,6,FALSE))</f>
        <v/>
      </c>
      <c r="DO324" s="362" t="str">
        <f>IF($DJ324="","",VLOOKUP($DJ324,games.a,7,FALSE))</f>
        <v/>
      </c>
      <c r="DP324" s="363" t="str">
        <f>DI321</f>
        <v/>
      </c>
      <c r="DQ324" s="302"/>
      <c r="DR324" s="364"/>
      <c r="DV324" s="424"/>
      <c r="DW324" s="424"/>
      <c r="DX324" s="424"/>
      <c r="DY324" s="424"/>
      <c r="DZ324" s="424"/>
      <c r="EA324" s="424"/>
      <c r="EB324" s="424"/>
      <c r="EC324" s="424"/>
      <c r="ED324" s="424"/>
      <c r="EE324" s="424"/>
      <c r="EF324" s="424"/>
      <c r="EG324" s="424"/>
      <c r="EH324" s="424"/>
      <c r="EI324" s="424"/>
      <c r="EJ324" s="424"/>
      <c r="EK324" s="424"/>
      <c r="EL324" s="424"/>
      <c r="EM324" s="424"/>
      <c r="EN324" s="424"/>
      <c r="EO324" s="424"/>
      <c r="EP324" s="424"/>
      <c r="EQ324" s="424"/>
      <c r="FP324" s="395" t="str">
        <f t="shared" ref="FP324:FP329" ca="1" si="728">FP317</f>
        <v/>
      </c>
      <c r="FQ324" s="360" t="str">
        <f t="shared" ref="FQ324:FQ329" ca="1" si="729">IF(OR(FP324="",FZ324="",FP324=FZ324),"",CONCATENATE(FP324,FZ324))</f>
        <v/>
      </c>
      <c r="FR324" s="360" t="str">
        <f t="shared" ref="FR324:FR329" ca="1" si="730">IF($FQ324="","",VLOOKUP($FQ324,games.a,9,FALSE))</f>
        <v/>
      </c>
      <c r="FS324" s="360" t="str">
        <f t="shared" ref="FS324:FS329" ca="1" si="731">IF($FQ324="","",VLOOKUP($FQ324,games.a,10,FALSE))</f>
        <v/>
      </c>
      <c r="FT324" s="360" t="str">
        <f t="shared" ref="FT324:FT329" ca="1" si="732">IF($FQ324="","",VLOOKUP($FQ324,games.a,11,FALSE))</f>
        <v/>
      </c>
      <c r="FU324" s="360" t="str">
        <f t="shared" ref="FU324:FU329" ca="1" si="733">IF($FQ324="","",VLOOKUP($FQ324,games.a,12,FALSE))</f>
        <v/>
      </c>
      <c r="FV324" s="360" t="str">
        <f t="shared" ref="FV324:FV329" ca="1" si="734">IF($FQ324="","",VLOOKUP($FQ324,games.a,13,FALSE))</f>
        <v/>
      </c>
      <c r="FW324" s="360" t="str">
        <f t="shared" ref="FW324:FW329" ca="1" si="735">IF($FQ324="","",VLOOKUP($FQ324,games.a,14,FALSE))</f>
        <v/>
      </c>
      <c r="FX324" s="360" t="str">
        <f t="shared" ref="FX324:FX329" ca="1" si="736">IF($FQ324="","",VLOOKUP($FQ324,games.a,6,FALSE))</f>
        <v/>
      </c>
      <c r="FY324" s="360" t="str">
        <f t="shared" ref="FY324:FY329" ca="1" si="737">IF($FQ324="","",VLOOKUP($FQ324,games.a,7,FALSE))</f>
        <v/>
      </c>
      <c r="FZ324" s="363" t="str">
        <f ca="1">FP312</f>
        <v/>
      </c>
      <c r="GA324" s="302"/>
      <c r="GB324" s="364"/>
    </row>
    <row r="325" spans="113:184" x14ac:dyDescent="0.25">
      <c r="DI325" s="395" t="str">
        <f>DI321</f>
        <v/>
      </c>
      <c r="DJ325" s="360" t="str">
        <f>IF(OR(DI325="",DP325="",DI325=DP325),"",CONCATENATE(DI325,DP325))</f>
        <v/>
      </c>
      <c r="DK325" s="360" t="str">
        <f>IF($DJ325="","",CONCATENATE(VLOOKUP($DJ325,games.a,9,FALSE),VLOOKUP($DJ325,games.a,12,FALSE)))</f>
        <v/>
      </c>
      <c r="DL325" s="354" t="str">
        <f>IF($DJ325="","",VLOOKUP($DJ325,games.a,10,FALSE))</f>
        <v/>
      </c>
      <c r="DM325" s="354" t="str">
        <f>IF($DJ325="","",VLOOKUP($DJ325,games.a,13,FALSE))</f>
        <v/>
      </c>
      <c r="DN325" s="361" t="str">
        <f>IF($DJ325="","",VLOOKUP($DJ325,games.a,6,FALSE))</f>
        <v/>
      </c>
      <c r="DO325" s="362" t="str">
        <f>IF($DJ325="","",VLOOKUP($DJ325,games.a,7,FALSE))</f>
        <v/>
      </c>
      <c r="DP325" s="379" t="str">
        <f>DP324</f>
        <v/>
      </c>
      <c r="DQ325" s="302"/>
      <c r="DR325" s="364"/>
      <c r="DV325" s="424"/>
      <c r="DW325" s="424"/>
      <c r="DX325" s="424"/>
      <c r="DY325" s="424"/>
      <c r="DZ325" s="424"/>
      <c r="EA325" s="424"/>
      <c r="EB325" s="424"/>
      <c r="EC325" s="424"/>
      <c r="ED325" s="424"/>
      <c r="EE325" s="424"/>
      <c r="EF325" s="424"/>
      <c r="EG325" s="424"/>
      <c r="EH325" s="424"/>
      <c r="EI325" s="424"/>
      <c r="EJ325" s="424"/>
      <c r="EK325" s="424"/>
      <c r="EL325" s="424"/>
      <c r="EM325" s="424"/>
      <c r="EN325" s="424"/>
      <c r="EO325" s="424"/>
      <c r="EP325" s="424"/>
      <c r="EQ325" s="424"/>
      <c r="FP325" s="395" t="str">
        <f t="shared" ca="1" si="728"/>
        <v/>
      </c>
      <c r="FQ325" s="360" t="str">
        <f t="shared" ca="1" si="729"/>
        <v/>
      </c>
      <c r="FR325" s="360" t="str">
        <f t="shared" ca="1" si="730"/>
        <v/>
      </c>
      <c r="FS325" s="360" t="str">
        <f t="shared" ca="1" si="731"/>
        <v/>
      </c>
      <c r="FT325" s="360" t="str">
        <f t="shared" ca="1" si="732"/>
        <v/>
      </c>
      <c r="FU325" s="360" t="str">
        <f t="shared" ca="1" si="733"/>
        <v/>
      </c>
      <c r="FV325" s="360" t="str">
        <f t="shared" ca="1" si="734"/>
        <v/>
      </c>
      <c r="FW325" s="360" t="str">
        <f t="shared" ca="1" si="735"/>
        <v/>
      </c>
      <c r="FX325" s="360" t="str">
        <f t="shared" ca="1" si="736"/>
        <v/>
      </c>
      <c r="FY325" s="360" t="str">
        <f t="shared" ca="1" si="737"/>
        <v/>
      </c>
      <c r="FZ325" s="379" t="str">
        <f ca="1">FZ324</f>
        <v/>
      </c>
      <c r="GA325" s="302"/>
      <c r="GB325" s="364"/>
    </row>
    <row r="326" spans="113:184" x14ac:dyDescent="0.25">
      <c r="DI326" s="395" t="str">
        <f>DI322</f>
        <v/>
      </c>
      <c r="DJ326" s="360" t="str">
        <f>IF(OR(DI326="",DP326="",DI326=DP326),"",CONCATENATE(DI326,DP326))</f>
        <v/>
      </c>
      <c r="DK326" s="360" t="str">
        <f>IF($DJ326="","",CONCATENATE(VLOOKUP($DJ326,games.a,9,FALSE),VLOOKUP($DJ326,games.a,12,FALSE)))</f>
        <v/>
      </c>
      <c r="DL326" s="354" t="str">
        <f>IF($DJ326="","",VLOOKUP($DJ326,games.a,10,FALSE))</f>
        <v/>
      </c>
      <c r="DM326" s="354" t="str">
        <f>IF($DJ326="","",VLOOKUP($DJ326,games.a,13,FALSE))</f>
        <v/>
      </c>
      <c r="DN326" s="361" t="str">
        <f>IF($DJ326="","",VLOOKUP($DJ326,games.a,6,FALSE))</f>
        <v/>
      </c>
      <c r="DO326" s="362" t="str">
        <f>IF($DJ326="","",VLOOKUP($DJ326,games.a,7,FALSE))</f>
        <v/>
      </c>
      <c r="DP326" s="379" t="str">
        <f>DP325</f>
        <v/>
      </c>
      <c r="DQ326" s="302"/>
      <c r="DR326" s="364"/>
      <c r="DV326" s="424"/>
      <c r="DW326" s="424"/>
      <c r="DX326" s="424"/>
      <c r="DY326" s="424"/>
      <c r="DZ326" s="424"/>
      <c r="EA326" s="424"/>
      <c r="EB326" s="424"/>
      <c r="EC326" s="424"/>
      <c r="ED326" s="424"/>
      <c r="EE326" s="424"/>
      <c r="EF326" s="424"/>
      <c r="EG326" s="424"/>
      <c r="EH326" s="424"/>
      <c r="EI326" s="424"/>
      <c r="EJ326" s="424"/>
      <c r="EK326" s="424"/>
      <c r="EL326" s="424"/>
      <c r="EM326" s="424"/>
      <c r="EN326" s="424"/>
      <c r="EO326" s="424"/>
      <c r="EP326" s="424"/>
      <c r="EQ326" s="424"/>
      <c r="FP326" s="395" t="str">
        <f t="shared" ca="1" si="728"/>
        <v/>
      </c>
      <c r="FQ326" s="360" t="str">
        <f t="shared" ca="1" si="729"/>
        <v/>
      </c>
      <c r="FR326" s="360" t="str">
        <f t="shared" ca="1" si="730"/>
        <v/>
      </c>
      <c r="FS326" s="360" t="str">
        <f t="shared" ca="1" si="731"/>
        <v/>
      </c>
      <c r="FT326" s="360" t="str">
        <f t="shared" ca="1" si="732"/>
        <v/>
      </c>
      <c r="FU326" s="360" t="str">
        <f t="shared" ca="1" si="733"/>
        <v/>
      </c>
      <c r="FV326" s="360" t="str">
        <f t="shared" ca="1" si="734"/>
        <v/>
      </c>
      <c r="FW326" s="360" t="str">
        <f t="shared" ca="1" si="735"/>
        <v/>
      </c>
      <c r="FX326" s="360" t="str">
        <f t="shared" ca="1" si="736"/>
        <v/>
      </c>
      <c r="FY326" s="360" t="str">
        <f t="shared" ca="1" si="737"/>
        <v/>
      </c>
      <c r="FZ326" s="379" t="str">
        <f ca="1">FZ325</f>
        <v/>
      </c>
      <c r="GA326" s="302"/>
      <c r="GB326" s="364"/>
    </row>
    <row r="327" spans="113:184" x14ac:dyDescent="0.25">
      <c r="DI327" s="301"/>
      <c r="DJ327" s="324" t="s">
        <v>157</v>
      </c>
      <c r="DK327" s="324" t="s">
        <v>158</v>
      </c>
      <c r="DL327" s="325" t="s">
        <v>159</v>
      </c>
      <c r="DM327" s="325"/>
      <c r="DN327" s="326" t="s">
        <v>160</v>
      </c>
      <c r="DO327" s="325" t="s">
        <v>135</v>
      </c>
      <c r="DP327" s="302"/>
      <c r="DQ327" s="302"/>
      <c r="DR327" s="364"/>
      <c r="DV327" s="424"/>
      <c r="DW327" s="424"/>
      <c r="DX327" s="424"/>
      <c r="DY327" s="424"/>
      <c r="DZ327" s="424"/>
      <c r="EA327" s="424"/>
      <c r="EB327" s="424"/>
      <c r="EC327" s="424"/>
      <c r="ED327" s="424"/>
      <c r="EE327" s="424"/>
      <c r="EF327" s="424"/>
      <c r="EG327" s="424"/>
      <c r="EH327" s="424"/>
      <c r="EI327" s="424"/>
      <c r="EJ327" s="424"/>
      <c r="EK327" s="424"/>
      <c r="EL327" s="424"/>
      <c r="EM327" s="424"/>
      <c r="EN327" s="424"/>
      <c r="EO327" s="424"/>
      <c r="EP327" s="424"/>
      <c r="EQ327" s="424"/>
      <c r="FP327" s="395" t="str">
        <f t="shared" ca="1" si="728"/>
        <v/>
      </c>
      <c r="FQ327" s="360" t="str">
        <f t="shared" ca="1" si="729"/>
        <v/>
      </c>
      <c r="FR327" s="360" t="str">
        <f t="shared" ca="1" si="730"/>
        <v/>
      </c>
      <c r="FS327" s="360" t="str">
        <f t="shared" ca="1" si="731"/>
        <v/>
      </c>
      <c r="FT327" s="360" t="str">
        <f t="shared" ca="1" si="732"/>
        <v/>
      </c>
      <c r="FU327" s="360" t="str">
        <f t="shared" ca="1" si="733"/>
        <v/>
      </c>
      <c r="FV327" s="360" t="str">
        <f t="shared" ca="1" si="734"/>
        <v/>
      </c>
      <c r="FW327" s="360" t="str">
        <f t="shared" ca="1" si="735"/>
        <v/>
      </c>
      <c r="FX327" s="360" t="str">
        <f t="shared" ca="1" si="736"/>
        <v/>
      </c>
      <c r="FY327" s="360" t="str">
        <f t="shared" ca="1" si="737"/>
        <v/>
      </c>
      <c r="FZ327" s="379" t="str">
        <f ca="1">FZ326</f>
        <v/>
      </c>
      <c r="GA327" s="302"/>
      <c r="GB327" s="364"/>
    </row>
    <row r="328" spans="113:184" x14ac:dyDescent="0.25">
      <c r="DI328" s="395" t="str">
        <f>DI324</f>
        <v/>
      </c>
      <c r="DJ328" s="360" t="str">
        <f>IF(OR(DI328="",DP328="",DI328=DP328),"",CONCATENATE(DI328,DP328))</f>
        <v/>
      </c>
      <c r="DK328" s="360" t="str">
        <f>IF($DJ328="","",CONCATENATE(VLOOKUP($DJ328,games.a,9,FALSE),VLOOKUP($DJ328,games.a,12,FALSE)))</f>
        <v/>
      </c>
      <c r="DL328" s="354" t="str">
        <f>IF($DJ328="","",VLOOKUP($DJ328,games.a,10,FALSE))</f>
        <v/>
      </c>
      <c r="DM328" s="354" t="str">
        <f>IF($DJ328="","",VLOOKUP($DJ328,games.a,13,FALSE))</f>
        <v/>
      </c>
      <c r="DN328" s="361" t="str">
        <f>IF($DJ328="","",VLOOKUP($DJ328,games.a,6,FALSE))</f>
        <v/>
      </c>
      <c r="DO328" s="362" t="str">
        <f>IF($DJ328="","",VLOOKUP($DJ328,games.a,7,FALSE))</f>
        <v/>
      </c>
      <c r="DP328" s="363" t="str">
        <f>DI322</f>
        <v/>
      </c>
      <c r="DQ328" s="302"/>
      <c r="DR328" s="364"/>
      <c r="DV328" s="424"/>
      <c r="DW328" s="424"/>
      <c r="DX328" s="424"/>
      <c r="DY328" s="424"/>
      <c r="DZ328" s="424"/>
      <c r="EA328" s="424"/>
      <c r="EB328" s="424"/>
      <c r="EC328" s="424"/>
      <c r="ED328" s="424"/>
      <c r="EE328" s="424"/>
      <c r="EF328" s="424"/>
      <c r="EG328" s="424"/>
      <c r="EH328" s="424"/>
      <c r="EI328" s="424"/>
      <c r="EJ328" s="424"/>
      <c r="EK328" s="424"/>
      <c r="EL328" s="424"/>
      <c r="EM328" s="424"/>
      <c r="EN328" s="424"/>
      <c r="EO328" s="424"/>
      <c r="EP328" s="424"/>
      <c r="EQ328" s="424"/>
      <c r="FP328" s="395" t="str">
        <f t="shared" ca="1" si="728"/>
        <v/>
      </c>
      <c r="FQ328" s="360" t="str">
        <f t="shared" ca="1" si="729"/>
        <v/>
      </c>
      <c r="FR328" s="360" t="str">
        <f t="shared" ca="1" si="730"/>
        <v/>
      </c>
      <c r="FS328" s="360" t="str">
        <f t="shared" ca="1" si="731"/>
        <v/>
      </c>
      <c r="FT328" s="360" t="str">
        <f t="shared" ca="1" si="732"/>
        <v/>
      </c>
      <c r="FU328" s="360" t="str">
        <f t="shared" ca="1" si="733"/>
        <v/>
      </c>
      <c r="FV328" s="360" t="str">
        <f t="shared" ca="1" si="734"/>
        <v/>
      </c>
      <c r="FW328" s="360" t="str">
        <f t="shared" ca="1" si="735"/>
        <v/>
      </c>
      <c r="FX328" s="360" t="str">
        <f t="shared" ca="1" si="736"/>
        <v/>
      </c>
      <c r="FY328" s="360" t="str">
        <f t="shared" ca="1" si="737"/>
        <v/>
      </c>
      <c r="FZ328" s="379" t="str">
        <f ca="1">FZ327</f>
        <v/>
      </c>
      <c r="GA328" s="302"/>
      <c r="GB328" s="364"/>
    </row>
    <row r="329" spans="113:184" x14ac:dyDescent="0.25">
      <c r="DI329" s="395" t="str">
        <f>DI325</f>
        <v/>
      </c>
      <c r="DJ329" s="360" t="str">
        <f>IF(OR(DI329="",DP329="",DI329=DP329),"",CONCATENATE(DI329,DP329))</f>
        <v/>
      </c>
      <c r="DK329" s="360" t="str">
        <f>IF($DJ329="","",CONCATENATE(VLOOKUP($DJ329,games.a,9,FALSE),VLOOKUP($DJ329,games.a,12,FALSE)))</f>
        <v/>
      </c>
      <c r="DL329" s="354" t="str">
        <f>IF($DJ329="","",VLOOKUP($DJ329,games.a,10,FALSE))</f>
        <v/>
      </c>
      <c r="DM329" s="354" t="str">
        <f>IF($DJ329="","",VLOOKUP($DJ329,games.a,13,FALSE))</f>
        <v/>
      </c>
      <c r="DN329" s="361" t="str">
        <f>IF($DJ329="","",VLOOKUP($DJ329,games.a,6,FALSE))</f>
        <v/>
      </c>
      <c r="DO329" s="362" t="str">
        <f>IF($DJ329="","",VLOOKUP($DJ329,games.a,7,FALSE))</f>
        <v/>
      </c>
      <c r="DP329" s="379" t="str">
        <f>DP328</f>
        <v/>
      </c>
      <c r="DQ329" s="302"/>
      <c r="DR329" s="364"/>
      <c r="DV329" s="424"/>
      <c r="DW329" s="424"/>
      <c r="DX329" s="424"/>
      <c r="DY329" s="424"/>
      <c r="DZ329" s="424"/>
      <c r="EA329" s="424"/>
      <c r="EB329" s="424"/>
      <c r="EC329" s="424"/>
      <c r="ED329" s="424"/>
      <c r="EE329" s="424"/>
      <c r="EF329" s="424"/>
      <c r="EG329" s="424"/>
      <c r="EH329" s="424"/>
      <c r="EI329" s="424"/>
      <c r="EJ329" s="424"/>
      <c r="EK329" s="424"/>
      <c r="EL329" s="424"/>
      <c r="EM329" s="424"/>
      <c r="EN329" s="424"/>
      <c r="EO329" s="424"/>
      <c r="EP329" s="424"/>
      <c r="EQ329" s="424"/>
      <c r="FP329" s="395" t="str">
        <f t="shared" ca="1" si="728"/>
        <v/>
      </c>
      <c r="FQ329" s="360" t="str">
        <f t="shared" ca="1" si="729"/>
        <v/>
      </c>
      <c r="FR329" s="360" t="str">
        <f t="shared" ca="1" si="730"/>
        <v/>
      </c>
      <c r="FS329" s="360" t="str">
        <f t="shared" ca="1" si="731"/>
        <v/>
      </c>
      <c r="FT329" s="360" t="str">
        <f t="shared" ca="1" si="732"/>
        <v/>
      </c>
      <c r="FU329" s="360" t="str">
        <f t="shared" ca="1" si="733"/>
        <v/>
      </c>
      <c r="FV329" s="360" t="str">
        <f t="shared" ca="1" si="734"/>
        <v/>
      </c>
      <c r="FW329" s="360" t="str">
        <f t="shared" ca="1" si="735"/>
        <v/>
      </c>
      <c r="FX329" s="360" t="str">
        <f t="shared" ca="1" si="736"/>
        <v/>
      </c>
      <c r="FY329" s="360" t="str">
        <f t="shared" ca="1" si="737"/>
        <v/>
      </c>
      <c r="FZ329" s="379" t="str">
        <f ca="1">FZ328</f>
        <v/>
      </c>
      <c r="GA329" s="302"/>
      <c r="GB329" s="364"/>
    </row>
    <row r="330" spans="113:184" x14ac:dyDescent="0.25">
      <c r="DI330" s="395" t="str">
        <f>DI326</f>
        <v/>
      </c>
      <c r="DJ330" s="360" t="str">
        <f>IF(OR(DI330="",DP330="",DI330=DP330),"",CONCATENATE(DI330,DP330))</f>
        <v/>
      </c>
      <c r="DK330" s="360" t="str">
        <f>IF($DJ330="","",CONCATENATE(VLOOKUP($DJ330,games.a,9,FALSE),VLOOKUP($DJ330,games.a,12,FALSE)))</f>
        <v/>
      </c>
      <c r="DL330" s="354" t="str">
        <f>IF($DJ330="","",VLOOKUP($DJ330,games.a,10,FALSE))</f>
        <v/>
      </c>
      <c r="DM330" s="354" t="str">
        <f>IF($DJ330="","",VLOOKUP($DJ330,games.a,13,FALSE))</f>
        <v/>
      </c>
      <c r="DN330" s="361" t="str">
        <f>IF($DJ330="","",VLOOKUP($DJ330,games.a,6,FALSE))</f>
        <v/>
      </c>
      <c r="DO330" s="362" t="str">
        <f>IF($DJ330="","",VLOOKUP($DJ330,games.a,7,FALSE))</f>
        <v/>
      </c>
      <c r="DP330" s="379" t="str">
        <f>DP329</f>
        <v/>
      </c>
      <c r="DQ330" s="302"/>
      <c r="DR330" s="364"/>
      <c r="DV330" s="424"/>
      <c r="DW330" s="424"/>
      <c r="DX330" s="424"/>
      <c r="DY330" s="424"/>
      <c r="DZ330" s="424"/>
      <c r="EA330" s="424"/>
      <c r="EB330" s="424"/>
      <c r="EC330" s="424"/>
      <c r="ED330" s="424"/>
      <c r="EE330" s="424"/>
      <c r="EF330" s="424"/>
      <c r="EG330" s="424"/>
      <c r="EH330" s="424"/>
      <c r="EI330" s="424"/>
      <c r="EJ330" s="424"/>
      <c r="EK330" s="424"/>
      <c r="EL330" s="424"/>
      <c r="EM330" s="424"/>
      <c r="EN330" s="424"/>
      <c r="EO330" s="424"/>
      <c r="EP330" s="424"/>
      <c r="EQ330" s="424"/>
      <c r="FP330" s="301"/>
      <c r="FQ330" s="324" t="s">
        <v>157</v>
      </c>
      <c r="FR330" s="324" t="s">
        <v>237</v>
      </c>
      <c r="FS330" s="324" t="s">
        <v>239</v>
      </c>
      <c r="FT330" s="324" t="s">
        <v>240</v>
      </c>
      <c r="FU330" s="324" t="s">
        <v>238</v>
      </c>
      <c r="FV330" s="324" t="s">
        <v>241</v>
      </c>
      <c r="FW330" s="324" t="s">
        <v>242</v>
      </c>
      <c r="FX330" s="326" t="s">
        <v>160</v>
      </c>
      <c r="FY330" s="325" t="s">
        <v>135</v>
      </c>
      <c r="FZ330" s="302"/>
      <c r="GA330" s="302"/>
      <c r="GB330" s="364"/>
    </row>
    <row r="331" spans="113:184" x14ac:dyDescent="0.25">
      <c r="DI331" s="301"/>
      <c r="DJ331" s="445"/>
      <c r="DK331" s="302"/>
      <c r="DL331" s="302"/>
      <c r="DM331" s="302"/>
      <c r="DN331" s="302"/>
      <c r="DO331" s="302"/>
      <c r="DP331" s="447"/>
      <c r="DQ331" s="302"/>
      <c r="DR331" s="446" t="s">
        <v>221</v>
      </c>
      <c r="DV331" s="424"/>
      <c r="DW331" s="424"/>
      <c r="DX331" s="424"/>
      <c r="DY331" s="424"/>
      <c r="DZ331" s="424"/>
      <c r="EA331" s="424"/>
      <c r="EB331" s="424"/>
      <c r="EC331" s="424"/>
      <c r="ED331" s="424"/>
      <c r="EE331" s="424"/>
      <c r="EF331" s="424"/>
      <c r="EG331" s="424"/>
      <c r="EH331" s="424"/>
      <c r="EI331" s="424"/>
      <c r="EJ331" s="424"/>
      <c r="EK331" s="424"/>
      <c r="EL331" s="424"/>
      <c r="EM331" s="424"/>
      <c r="EN331" s="424"/>
      <c r="EO331" s="424"/>
      <c r="EP331" s="424"/>
      <c r="EQ331" s="424"/>
      <c r="FP331" s="395" t="str">
        <f t="shared" ref="FP331:FP336" ca="1" si="738">FP324</f>
        <v/>
      </c>
      <c r="FQ331" s="360" t="str">
        <f t="shared" ref="FQ331:FQ336" ca="1" si="739">IF(OR(FP331="",FZ331="",FP331=FZ331),"",CONCATENATE(FP331,FZ331))</f>
        <v/>
      </c>
      <c r="FR331" s="360" t="str">
        <f t="shared" ref="FR331:FR336" ca="1" si="740">IF($FQ331="","",VLOOKUP($FQ331,games.a,9,FALSE))</f>
        <v/>
      </c>
      <c r="FS331" s="360" t="str">
        <f t="shared" ref="FS331:FS336" ca="1" si="741">IF($FQ331="","",VLOOKUP($FQ331,games.a,10,FALSE))</f>
        <v/>
      </c>
      <c r="FT331" s="360" t="str">
        <f t="shared" ref="FT331:FT336" ca="1" si="742">IF($FQ331="","",VLOOKUP($FQ331,games.a,11,FALSE))</f>
        <v/>
      </c>
      <c r="FU331" s="360" t="str">
        <f t="shared" ref="FU331:FU336" ca="1" si="743">IF($FQ331="","",VLOOKUP($FQ331,games.a,12,FALSE))</f>
        <v/>
      </c>
      <c r="FV331" s="360" t="str">
        <f t="shared" ref="FV331:FV336" ca="1" si="744">IF($FQ331="","",VLOOKUP($FQ331,games.a,13,FALSE))</f>
        <v/>
      </c>
      <c r="FW331" s="360" t="str">
        <f t="shared" ref="FW331:FW336" ca="1" si="745">IF($FQ331="","",VLOOKUP($FQ331,games.a,14,FALSE))</f>
        <v/>
      </c>
      <c r="FX331" s="360" t="str">
        <f t="shared" ref="FX331:FX336" ca="1" si="746">IF($FQ331="","",VLOOKUP($FQ331,games.a,6,FALSE))</f>
        <v/>
      </c>
      <c r="FY331" s="360" t="str">
        <f t="shared" ref="FY331:FY336" ca="1" si="747">IF($FQ331="","",VLOOKUP($FQ331,games.a,7,FALSE))</f>
        <v/>
      </c>
      <c r="FZ331" s="363" t="str">
        <f ca="1">FP313</f>
        <v/>
      </c>
      <c r="GA331" s="302"/>
      <c r="GB331" s="364"/>
    </row>
    <row r="332" spans="113:184" x14ac:dyDescent="0.25">
      <c r="DI332" s="301"/>
      <c r="DJ332" s="445"/>
      <c r="DK332" s="302"/>
      <c r="DL332" s="302"/>
      <c r="DM332" s="302"/>
      <c r="DN332" s="302"/>
      <c r="DO332" s="302"/>
      <c r="DP332" s="447"/>
      <c r="DQ332" s="302"/>
      <c r="DR332" s="448" t="s">
        <v>222</v>
      </c>
      <c r="DV332" s="424"/>
      <c r="DW332" s="424"/>
      <c r="DX332" s="424"/>
      <c r="DY332" s="424"/>
      <c r="DZ332" s="424"/>
      <c r="EA332" s="424"/>
      <c r="EB332" s="424"/>
      <c r="EC332" s="424"/>
      <c r="ED332" s="424"/>
      <c r="EE332" s="424"/>
      <c r="EF332" s="424"/>
      <c r="EG332" s="424"/>
      <c r="EH332" s="424"/>
      <c r="EI332" s="424"/>
      <c r="EJ332" s="424"/>
      <c r="EK332" s="424"/>
      <c r="EL332" s="424"/>
      <c r="EM332" s="424"/>
      <c r="EN332" s="424"/>
      <c r="EO332" s="424"/>
      <c r="EP332" s="424"/>
      <c r="EQ332" s="424"/>
      <c r="FP332" s="395" t="str">
        <f t="shared" ca="1" si="738"/>
        <v/>
      </c>
      <c r="FQ332" s="360" t="str">
        <f t="shared" ca="1" si="739"/>
        <v/>
      </c>
      <c r="FR332" s="360" t="str">
        <f t="shared" ca="1" si="740"/>
        <v/>
      </c>
      <c r="FS332" s="360" t="str">
        <f t="shared" ca="1" si="741"/>
        <v/>
      </c>
      <c r="FT332" s="360" t="str">
        <f t="shared" ca="1" si="742"/>
        <v/>
      </c>
      <c r="FU332" s="360" t="str">
        <f t="shared" ca="1" si="743"/>
        <v/>
      </c>
      <c r="FV332" s="360" t="str">
        <f t="shared" ca="1" si="744"/>
        <v/>
      </c>
      <c r="FW332" s="360" t="str">
        <f t="shared" ca="1" si="745"/>
        <v/>
      </c>
      <c r="FX332" s="360" t="str">
        <f t="shared" ca="1" si="746"/>
        <v/>
      </c>
      <c r="FY332" s="360" t="str">
        <f t="shared" ca="1" si="747"/>
        <v/>
      </c>
      <c r="FZ332" s="379" t="str">
        <f ca="1">FZ331</f>
        <v/>
      </c>
      <c r="GA332" s="302"/>
      <c r="GB332" s="364"/>
    </row>
    <row r="333" spans="113:184" x14ac:dyDescent="0.25">
      <c r="DI333" s="323" t="b">
        <f>OR(NOT($AJ$44),COUNTIF(DN333:DN338,"")=4-(DP333-1)*DP333,COUNTIF(DN333:DN338,"")=4-(DP333-1)*DP333/2)</f>
        <v>1</v>
      </c>
      <c r="DJ333" s="324" t="s">
        <v>157</v>
      </c>
      <c r="DK333" s="324" t="s">
        <v>158</v>
      </c>
      <c r="DL333" s="325" t="s">
        <v>159</v>
      </c>
      <c r="DM333" s="325"/>
      <c r="DN333" s="326" t="s">
        <v>160</v>
      </c>
      <c r="DO333" s="325" t="s">
        <v>135</v>
      </c>
      <c r="DP333" s="323">
        <f>COUNT(CW68:CW69)</f>
        <v>0</v>
      </c>
      <c r="DQ333" s="302"/>
      <c r="DR333" s="364"/>
      <c r="DV333" s="329" t="s">
        <v>229</v>
      </c>
      <c r="DW333" s="365"/>
      <c r="DX333" s="329" t="s">
        <v>152</v>
      </c>
      <c r="DY333" s="329" t="s">
        <v>153</v>
      </c>
      <c r="DZ333" s="329" t="s">
        <v>154</v>
      </c>
      <c r="EA333" s="329" t="s">
        <v>155</v>
      </c>
      <c r="EB333" s="329" t="s">
        <v>125</v>
      </c>
      <c r="EC333" s="329" t="s">
        <v>226</v>
      </c>
      <c r="ED333" s="329" t="s">
        <v>126</v>
      </c>
      <c r="EE333" s="329" t="s">
        <v>227</v>
      </c>
      <c r="EF333" s="424"/>
      <c r="EG333" s="424"/>
      <c r="EH333" s="424"/>
      <c r="EI333" s="329" t="s">
        <v>228</v>
      </c>
      <c r="EJ333" s="329" t="s">
        <v>156</v>
      </c>
      <c r="EK333" s="329" t="s">
        <v>208</v>
      </c>
      <c r="EL333" s="424"/>
      <c r="EM333" s="424"/>
      <c r="EN333" s="424"/>
      <c r="EO333" s="424"/>
      <c r="EP333" s="424"/>
      <c r="EQ333" s="424"/>
      <c r="FP333" s="395" t="str">
        <f t="shared" ca="1" si="738"/>
        <v/>
      </c>
      <c r="FQ333" s="360" t="str">
        <f t="shared" ca="1" si="739"/>
        <v/>
      </c>
      <c r="FR333" s="360" t="str">
        <f t="shared" ca="1" si="740"/>
        <v/>
      </c>
      <c r="FS333" s="360" t="str">
        <f t="shared" ca="1" si="741"/>
        <v/>
      </c>
      <c r="FT333" s="360" t="str">
        <f t="shared" ca="1" si="742"/>
        <v/>
      </c>
      <c r="FU333" s="360" t="str">
        <f t="shared" ca="1" si="743"/>
        <v/>
      </c>
      <c r="FV333" s="360" t="str">
        <f t="shared" ca="1" si="744"/>
        <v/>
      </c>
      <c r="FW333" s="360" t="str">
        <f t="shared" ca="1" si="745"/>
        <v/>
      </c>
      <c r="FX333" s="360" t="str">
        <f t="shared" ca="1" si="746"/>
        <v/>
      </c>
      <c r="FY333" s="360" t="str">
        <f t="shared" ca="1" si="747"/>
        <v/>
      </c>
      <c r="FZ333" s="379" t="str">
        <f ca="1">FZ332</f>
        <v/>
      </c>
      <c r="GA333" s="302"/>
      <c r="GB333" s="364"/>
    </row>
    <row r="334" spans="113:184" x14ac:dyDescent="0.25">
      <c r="DI334" s="359" t="str">
        <f>IF(CW68="","",VLOOKUP(CW68,xxx.aa2,10,FALSE))</f>
        <v/>
      </c>
      <c r="DJ334" s="360" t="str">
        <f>IF(OR(DI334="",DP334="",DI334=DP334),"",CONCATENATE(DI334,DP334))</f>
        <v/>
      </c>
      <c r="DK334" s="360" t="str">
        <f>IF($DJ334="","",CONCATENATE(VLOOKUP($DJ334,games.a,9,FALSE),VLOOKUP($DJ334,games.a,12,FALSE)))</f>
        <v/>
      </c>
      <c r="DL334" s="354" t="str">
        <f>IF($DJ334="","",VLOOKUP($DJ334,games.a,10,FALSE))</f>
        <v/>
      </c>
      <c r="DM334" s="354" t="str">
        <f>IF($DJ334="","",VLOOKUP($DJ334,games.a,13,FALSE))</f>
        <v/>
      </c>
      <c r="DN334" s="361" t="str">
        <f>IF($DJ334="","",VLOOKUP($DJ334,games.a,6,FALSE))</f>
        <v/>
      </c>
      <c r="DO334" s="362" t="str">
        <f>IF($DJ334="","",VLOOKUP($DJ334,games.a,7,FALSE))</f>
        <v/>
      </c>
      <c r="DP334" s="363" t="str">
        <f>DI334</f>
        <v/>
      </c>
      <c r="DQ334" s="302"/>
      <c r="DR334" s="364"/>
      <c r="DV334" s="366" t="str">
        <f>IF(OR(NOT($AJ$44),DI333),DI334,"")</f>
        <v/>
      </c>
      <c r="DW334" s="365"/>
      <c r="DX334" s="366">
        <f>IF($DV334="",0,COUNTIF(xxgy.aa,$DV334))</f>
        <v>0</v>
      </c>
      <c r="DY334" s="366">
        <f>IF($DV334="",0,COUNTIF(xxd.aa,$DV334))</f>
        <v>0</v>
      </c>
      <c r="DZ334" s="366">
        <f ca="1">IF($DV334="",0,1)*(SUMIF(xxo.aa,$DV334,xxl.aa)+SUMIF(xxi.aa,$DV334,xxk.aa))</f>
        <v>0</v>
      </c>
      <c r="EA334" s="366">
        <f ca="1">IF($DV334="",0,1)*(SUMIF(xxo.aa,$DV334,xxk.aa)+SUMIF(xxi.aa,$DV334,xxl.aa))</f>
        <v>0</v>
      </c>
      <c r="EB334" s="366">
        <f ca="1">DZ334-EA334</f>
        <v>0</v>
      </c>
      <c r="EC334" s="366">
        <f ca="1">IF(EA334=0,0,DZ334/EA334)</f>
        <v>0</v>
      </c>
      <c r="ED334" s="366">
        <f>$AJ$48*DX334+IF($AJ$44,0,1)*DY334</f>
        <v>0</v>
      </c>
      <c r="EE334" s="396">
        <f ca="1">ED334*1000000+IF($AJ$44,EC334,EB334)*1000*0</f>
        <v>0</v>
      </c>
      <c r="EF334" s="424"/>
      <c r="EG334" s="424"/>
      <c r="EH334" s="424"/>
      <c r="EI334" s="366">
        <f ca="1">IF(OR(ISERR(EE334),ISNA(EE334)),0,EE334)</f>
        <v>0</v>
      </c>
      <c r="EJ334" s="366">
        <f ca="1">IF(EI334=0,0,RANK(EI334,EI334:EI335,1))</f>
        <v>0</v>
      </c>
      <c r="EK334" s="366">
        <f ca="1">EJ334*40000*IF(COUNTIF($FC$288:$FC$297,DV334)&gt;0,0,1)</f>
        <v>0</v>
      </c>
      <c r="EL334" s="424"/>
      <c r="EM334" s="424"/>
      <c r="EN334" s="424"/>
      <c r="EO334" s="424"/>
      <c r="EP334" s="424"/>
      <c r="EQ334" s="424"/>
      <c r="FP334" s="395" t="str">
        <f t="shared" ca="1" si="738"/>
        <v/>
      </c>
      <c r="FQ334" s="360" t="str">
        <f t="shared" ca="1" si="739"/>
        <v/>
      </c>
      <c r="FR334" s="360" t="str">
        <f t="shared" ca="1" si="740"/>
        <v/>
      </c>
      <c r="FS334" s="360" t="str">
        <f t="shared" ca="1" si="741"/>
        <v/>
      </c>
      <c r="FT334" s="360" t="str">
        <f t="shared" ca="1" si="742"/>
        <v/>
      </c>
      <c r="FU334" s="360" t="str">
        <f t="shared" ca="1" si="743"/>
        <v/>
      </c>
      <c r="FV334" s="360" t="str">
        <f t="shared" ca="1" si="744"/>
        <v/>
      </c>
      <c r="FW334" s="360" t="str">
        <f t="shared" ca="1" si="745"/>
        <v/>
      </c>
      <c r="FX334" s="360" t="str">
        <f t="shared" ca="1" si="746"/>
        <v/>
      </c>
      <c r="FY334" s="360" t="str">
        <f t="shared" ca="1" si="747"/>
        <v/>
      </c>
      <c r="FZ334" s="379" t="str">
        <f ca="1">FZ333</f>
        <v/>
      </c>
      <c r="GA334" s="302"/>
      <c r="GB334" s="364"/>
    </row>
    <row r="335" spans="113:184" x14ac:dyDescent="0.25">
      <c r="DI335" s="359" t="str">
        <f>IF(CW69="","",VLOOKUP(CW69,xxx.aa2,10,FALSE))</f>
        <v/>
      </c>
      <c r="DJ335" s="452" t="str">
        <f>IF(OR(DI335="",DP335="",DI335=DP335),"",CONCATENATE(DI335,DP335))</f>
        <v/>
      </c>
      <c r="DK335" s="360" t="str">
        <f>IF($DJ335="","",CONCATENATE(VLOOKUP($DJ335,games.a,9,FALSE),VLOOKUP($DJ335,games.a,12,FALSE)))</f>
        <v/>
      </c>
      <c r="DL335" s="354" t="str">
        <f>IF($DJ335="","",VLOOKUP($DJ335,games.a,10,FALSE))</f>
        <v/>
      </c>
      <c r="DM335" s="354" t="str">
        <f>IF($DJ335="","",VLOOKUP($DJ335,games.a,13,FALSE))</f>
        <v/>
      </c>
      <c r="DN335" s="361" t="str">
        <f>IF($DJ335="","",VLOOKUP($DJ335,games.a,6,FALSE))</f>
        <v/>
      </c>
      <c r="DO335" s="362" t="str">
        <f>IF($DJ335="","",VLOOKUP($DJ335,games.a,7,FALSE))</f>
        <v/>
      </c>
      <c r="DP335" s="379" t="str">
        <f>DP334</f>
        <v/>
      </c>
      <c r="DQ335" s="302"/>
      <c r="DR335" s="364"/>
      <c r="DV335" s="366" t="str">
        <f>IF(OR(NOT($AJ$44),DI333),DI335,"")</f>
        <v/>
      </c>
      <c r="DW335" s="365"/>
      <c r="DX335" s="366">
        <f>IF($DV335="",0,COUNTIF(xxgy.aa,$DV335))</f>
        <v>0</v>
      </c>
      <c r="DY335" s="366">
        <f>IF($DV335="",0,COUNTIF(xxd.aa,$DV335))</f>
        <v>0</v>
      </c>
      <c r="DZ335" s="366">
        <f ca="1">IF($DV335="",0,1)*(SUMIF(xxo.aa,$DV335,xxl.aa)+SUMIF(xxi.aa,$DV335,xxk.aa))</f>
        <v>0</v>
      </c>
      <c r="EA335" s="366">
        <f ca="1">IF($DV335="",0,1)*(SUMIF(xxo.aa,$DV335,xxk.aa)+SUMIF(xxi.aa,$DV335,xxl.aa))</f>
        <v>0</v>
      </c>
      <c r="EB335" s="366">
        <f ca="1">DZ335-EA335</f>
        <v>0</v>
      </c>
      <c r="EC335" s="366">
        <f ca="1">IF(EA335=0,0,DZ335/EA335)</f>
        <v>0</v>
      </c>
      <c r="ED335" s="366">
        <f>$AJ$48*DX335+IF($AJ$44,0,1)*DY335</f>
        <v>0</v>
      </c>
      <c r="EE335" s="396">
        <f ca="1">ED335*1000000+IF($AJ$44,EC335,EB335)*1000*0</f>
        <v>0</v>
      </c>
      <c r="EF335" s="424"/>
      <c r="EG335" s="424"/>
      <c r="EH335" s="424"/>
      <c r="EI335" s="366">
        <f ca="1">IF(OR(ISERR(EE335),ISNA(EE335)),0,EE335)</f>
        <v>0</v>
      </c>
      <c r="EJ335" s="366">
        <f ca="1">IF(EI335=0,0,RANK(EI335,EI334:EI335,1))</f>
        <v>0</v>
      </c>
      <c r="EK335" s="366">
        <f ca="1">EJ335*40000*IF(COUNTIF($FC$288:$FC$297,DV335)&gt;0,0,1)</f>
        <v>0</v>
      </c>
      <c r="EL335" s="424"/>
      <c r="EM335" s="424"/>
      <c r="EN335" s="424"/>
      <c r="EO335" s="424"/>
      <c r="EP335" s="424"/>
      <c r="EQ335" s="424"/>
      <c r="FP335" s="395" t="str">
        <f t="shared" ca="1" si="738"/>
        <v/>
      </c>
      <c r="FQ335" s="360" t="str">
        <f t="shared" ca="1" si="739"/>
        <v/>
      </c>
      <c r="FR335" s="360" t="str">
        <f t="shared" ca="1" si="740"/>
        <v/>
      </c>
      <c r="FS335" s="360" t="str">
        <f t="shared" ca="1" si="741"/>
        <v/>
      </c>
      <c r="FT335" s="360" t="str">
        <f t="shared" ca="1" si="742"/>
        <v/>
      </c>
      <c r="FU335" s="360" t="str">
        <f t="shared" ca="1" si="743"/>
        <v/>
      </c>
      <c r="FV335" s="360" t="str">
        <f t="shared" ca="1" si="744"/>
        <v/>
      </c>
      <c r="FW335" s="360" t="str">
        <f t="shared" ca="1" si="745"/>
        <v/>
      </c>
      <c r="FX335" s="360" t="str">
        <f t="shared" ca="1" si="746"/>
        <v/>
      </c>
      <c r="FY335" s="360" t="str">
        <f t="shared" ca="1" si="747"/>
        <v/>
      </c>
      <c r="FZ335" s="379" t="str">
        <f ca="1">FZ334</f>
        <v/>
      </c>
      <c r="GA335" s="302"/>
      <c r="GB335" s="364"/>
    </row>
    <row r="336" spans="113:184" x14ac:dyDescent="0.25">
      <c r="DI336" s="301"/>
      <c r="DJ336" s="324" t="s">
        <v>157</v>
      </c>
      <c r="DK336" s="324" t="s">
        <v>158</v>
      </c>
      <c r="DL336" s="325" t="s">
        <v>159</v>
      </c>
      <c r="DM336" s="325"/>
      <c r="DN336" s="326" t="s">
        <v>160</v>
      </c>
      <c r="DO336" s="325" t="s">
        <v>135</v>
      </c>
      <c r="DP336" s="302"/>
      <c r="DQ336" s="302"/>
      <c r="DR336" s="364"/>
      <c r="DV336" s="424"/>
      <c r="DW336" s="424"/>
      <c r="DX336" s="424"/>
      <c r="DY336" s="424"/>
      <c r="DZ336" s="424"/>
      <c r="EA336" s="424"/>
      <c r="EB336" s="424"/>
      <c r="EC336" s="424"/>
      <c r="ED336" s="424"/>
      <c r="EE336" s="424"/>
      <c r="EF336" s="424"/>
      <c r="EG336" s="424"/>
      <c r="EH336" s="424"/>
      <c r="EI336" s="424"/>
      <c r="EJ336" s="424"/>
      <c r="EK336" s="424"/>
      <c r="EL336" s="424"/>
      <c r="EM336" s="424"/>
      <c r="EN336" s="424"/>
      <c r="EO336" s="424"/>
      <c r="EP336" s="424"/>
      <c r="EQ336" s="424"/>
      <c r="FP336" s="395" t="str">
        <f t="shared" ca="1" si="738"/>
        <v/>
      </c>
      <c r="FQ336" s="360" t="str">
        <f t="shared" ca="1" si="739"/>
        <v/>
      </c>
      <c r="FR336" s="360" t="str">
        <f t="shared" ca="1" si="740"/>
        <v/>
      </c>
      <c r="FS336" s="360" t="str">
        <f t="shared" ca="1" si="741"/>
        <v/>
      </c>
      <c r="FT336" s="360" t="str">
        <f t="shared" ca="1" si="742"/>
        <v/>
      </c>
      <c r="FU336" s="360" t="str">
        <f t="shared" ca="1" si="743"/>
        <v/>
      </c>
      <c r="FV336" s="360" t="str">
        <f t="shared" ca="1" si="744"/>
        <v/>
      </c>
      <c r="FW336" s="360" t="str">
        <f t="shared" ca="1" si="745"/>
        <v/>
      </c>
      <c r="FX336" s="360" t="str">
        <f t="shared" ca="1" si="746"/>
        <v/>
      </c>
      <c r="FY336" s="360" t="str">
        <f t="shared" ca="1" si="747"/>
        <v/>
      </c>
      <c r="FZ336" s="379" t="str">
        <f ca="1">FZ335</f>
        <v/>
      </c>
      <c r="GA336" s="302"/>
      <c r="GB336" s="364"/>
    </row>
    <row r="337" spans="86:184" x14ac:dyDescent="0.25">
      <c r="DI337" s="395" t="str">
        <f>DI334</f>
        <v/>
      </c>
      <c r="DJ337" s="360" t="str">
        <f>IF(OR(DI337="",DP337="",DI337=DP337),"",CONCATENATE(DI337,DP337))</f>
        <v/>
      </c>
      <c r="DK337" s="360" t="str">
        <f>IF($DJ337="","",CONCATENATE(VLOOKUP($DJ337,games.a,9,FALSE),VLOOKUP($DJ337,games.a,12,FALSE)))</f>
        <v/>
      </c>
      <c r="DL337" s="354" t="str">
        <f>IF($DJ337="","",VLOOKUP($DJ337,games.a,10,FALSE))</f>
        <v/>
      </c>
      <c r="DM337" s="354" t="str">
        <f>IF($DJ337="","",VLOOKUP($DJ337,games.a,13,FALSE))</f>
        <v/>
      </c>
      <c r="DN337" s="361" t="str">
        <f>IF($DJ337="","",VLOOKUP($DJ337,games.a,6,FALSE))</f>
        <v/>
      </c>
      <c r="DO337" s="362" t="str">
        <f>IF($DJ337="","",VLOOKUP($DJ337,games.a,7,FALSE))</f>
        <v/>
      </c>
      <c r="DP337" s="363" t="str">
        <f>DI335</f>
        <v/>
      </c>
      <c r="DQ337" s="302"/>
      <c r="DR337" s="364"/>
      <c r="DV337" s="424"/>
      <c r="DW337" s="424"/>
      <c r="DX337" s="424"/>
      <c r="DY337" s="424"/>
      <c r="DZ337" s="424"/>
      <c r="EA337" s="424"/>
      <c r="EB337" s="424"/>
      <c r="EC337" s="424"/>
      <c r="ED337" s="424"/>
      <c r="EE337" s="424"/>
      <c r="EF337" s="424"/>
      <c r="EG337" s="424"/>
      <c r="EH337" s="424"/>
      <c r="EI337" s="424"/>
      <c r="EJ337" s="424"/>
      <c r="EK337" s="424"/>
      <c r="EL337" s="424"/>
      <c r="EM337" s="424"/>
      <c r="EN337" s="424"/>
      <c r="EO337" s="424"/>
      <c r="EP337" s="424"/>
      <c r="EQ337" s="424"/>
      <c r="FP337" s="301"/>
      <c r="FQ337" s="324" t="s">
        <v>157</v>
      </c>
      <c r="FR337" s="324" t="s">
        <v>237</v>
      </c>
      <c r="FS337" s="324" t="s">
        <v>239</v>
      </c>
      <c r="FT337" s="324" t="s">
        <v>240</v>
      </c>
      <c r="FU337" s="324" t="s">
        <v>238</v>
      </c>
      <c r="FV337" s="324" t="s">
        <v>241</v>
      </c>
      <c r="FW337" s="324" t="s">
        <v>242</v>
      </c>
      <c r="FX337" s="326" t="s">
        <v>160</v>
      </c>
      <c r="FY337" s="325" t="s">
        <v>135</v>
      </c>
      <c r="FZ337" s="302"/>
      <c r="GA337" s="302"/>
      <c r="GB337" s="364"/>
    </row>
    <row r="338" spans="86:184" x14ac:dyDescent="0.25">
      <c r="DI338" s="395" t="str">
        <f>DI335</f>
        <v/>
      </c>
      <c r="DJ338" s="360" t="str">
        <f>IF(OR(DI338="",DP338="",DI338=DP338),"",CONCATENATE(DI338,DP338))</f>
        <v/>
      </c>
      <c r="DK338" s="360" t="str">
        <f>IF($DJ338="","",CONCATENATE(VLOOKUP($DJ338,games.a,9,FALSE),VLOOKUP($DJ338,games.a,12,FALSE)))</f>
        <v/>
      </c>
      <c r="DL338" s="354" t="str">
        <f>IF($DJ338="","",VLOOKUP($DJ338,games.a,10,FALSE))</f>
        <v/>
      </c>
      <c r="DM338" s="354" t="str">
        <f>IF($DJ338="","",VLOOKUP($DJ338,games.a,13,FALSE))</f>
        <v/>
      </c>
      <c r="DN338" s="361" t="str">
        <f>IF($DJ338="","",VLOOKUP($DJ338,games.a,6,FALSE))</f>
        <v/>
      </c>
      <c r="DO338" s="362" t="str">
        <f>IF($DJ338="","",VLOOKUP($DJ338,games.a,7,FALSE))</f>
        <v/>
      </c>
      <c r="DP338" s="379" t="str">
        <f>DP337</f>
        <v/>
      </c>
      <c r="DQ338" s="302"/>
      <c r="DR338" s="364"/>
      <c r="DV338" s="424"/>
      <c r="DW338" s="424"/>
      <c r="DX338" s="424"/>
      <c r="DY338" s="424"/>
      <c r="DZ338" s="424"/>
      <c r="EA338" s="424"/>
      <c r="EB338" s="424"/>
      <c r="EC338" s="424"/>
      <c r="ED338" s="424"/>
      <c r="EE338" s="424"/>
      <c r="EF338" s="424"/>
      <c r="EG338" s="424"/>
      <c r="EH338" s="424"/>
      <c r="EI338" s="424"/>
      <c r="EJ338" s="424"/>
      <c r="EK338" s="424"/>
      <c r="EL338" s="424"/>
      <c r="EM338" s="424"/>
      <c r="EN338" s="424"/>
      <c r="EO338" s="424"/>
      <c r="EP338" s="424"/>
      <c r="EQ338" s="424"/>
      <c r="FP338" s="395" t="str">
        <f t="shared" ref="FP338:FP343" ca="1" si="748">FP331</f>
        <v/>
      </c>
      <c r="FQ338" s="360" t="str">
        <f t="shared" ref="FQ338:FQ343" ca="1" si="749">IF(OR(FP338="",FZ338="",FP338=FZ338),"",CONCATENATE(FP338,FZ338))</f>
        <v/>
      </c>
      <c r="FR338" s="360" t="str">
        <f t="shared" ref="FR338:FR343" ca="1" si="750">IF($FQ338="","",VLOOKUP($FQ338,games.a,9,FALSE))</f>
        <v/>
      </c>
      <c r="FS338" s="360" t="str">
        <f t="shared" ref="FS338:FS343" ca="1" si="751">IF($FQ338="","",VLOOKUP($FQ338,games.a,10,FALSE))</f>
        <v/>
      </c>
      <c r="FT338" s="360" t="str">
        <f t="shared" ref="FT338:FT343" ca="1" si="752">IF($FQ338="","",VLOOKUP($FQ338,games.a,11,FALSE))</f>
        <v/>
      </c>
      <c r="FU338" s="360" t="str">
        <f t="shared" ref="FU338:FU343" ca="1" si="753">IF($FQ338="","",VLOOKUP($FQ338,games.a,12,FALSE))</f>
        <v/>
      </c>
      <c r="FV338" s="360" t="str">
        <f t="shared" ref="FV338:FV343" ca="1" si="754">IF($FQ338="","",VLOOKUP($FQ338,games.a,13,FALSE))</f>
        <v/>
      </c>
      <c r="FW338" s="360" t="str">
        <f t="shared" ref="FW338:FW343" ca="1" si="755">IF($FQ338="","",VLOOKUP($FQ338,games.a,14,FALSE))</f>
        <v/>
      </c>
      <c r="FX338" s="360" t="str">
        <f t="shared" ref="FX338:FX343" ca="1" si="756">IF($FQ338="","",VLOOKUP($FQ338,games.a,6,FALSE))</f>
        <v/>
      </c>
      <c r="FY338" s="360" t="str">
        <f t="shared" ref="FY338:FY343" ca="1" si="757">IF($FQ338="","",VLOOKUP($FQ338,games.a,7,FALSE))</f>
        <v/>
      </c>
      <c r="FZ338" s="363" t="str">
        <f ca="1">FP314</f>
        <v/>
      </c>
      <c r="GA338" s="302"/>
      <c r="GB338" s="364"/>
    </row>
    <row r="339" spans="86:184" x14ac:dyDescent="0.25">
      <c r="DI339" s="301"/>
      <c r="DJ339" s="302"/>
      <c r="DK339" s="302"/>
      <c r="DL339" s="302"/>
      <c r="DM339" s="302"/>
      <c r="DN339" s="302"/>
      <c r="DO339" s="302"/>
      <c r="DP339" s="302"/>
      <c r="DQ339" s="302"/>
      <c r="DR339" s="446" t="s">
        <v>222</v>
      </c>
      <c r="DV339" s="424"/>
      <c r="DW339" s="424"/>
      <c r="DX339" s="424"/>
      <c r="DY339" s="424"/>
      <c r="DZ339" s="424"/>
      <c r="EA339" s="424"/>
      <c r="EB339" s="424"/>
      <c r="EC339" s="424"/>
      <c r="ED339" s="424"/>
      <c r="EE339" s="424"/>
      <c r="EF339" s="424"/>
      <c r="EG339" s="424"/>
      <c r="EH339" s="424"/>
      <c r="EI339" s="424"/>
      <c r="EJ339" s="424"/>
      <c r="EK339" s="424"/>
      <c r="EL339" s="424"/>
      <c r="EM339" s="424"/>
      <c r="EN339" s="424"/>
      <c r="EO339" s="424"/>
      <c r="EP339" s="424"/>
      <c r="EQ339" s="424"/>
      <c r="FP339" s="395" t="str">
        <f t="shared" ca="1" si="748"/>
        <v/>
      </c>
      <c r="FQ339" s="360" t="str">
        <f t="shared" ca="1" si="749"/>
        <v/>
      </c>
      <c r="FR339" s="360" t="str">
        <f t="shared" ca="1" si="750"/>
        <v/>
      </c>
      <c r="FS339" s="360" t="str">
        <f t="shared" ca="1" si="751"/>
        <v/>
      </c>
      <c r="FT339" s="360" t="str">
        <f t="shared" ca="1" si="752"/>
        <v/>
      </c>
      <c r="FU339" s="360" t="str">
        <f t="shared" ca="1" si="753"/>
        <v/>
      </c>
      <c r="FV339" s="360" t="str">
        <f t="shared" ca="1" si="754"/>
        <v/>
      </c>
      <c r="FW339" s="360" t="str">
        <f t="shared" ca="1" si="755"/>
        <v/>
      </c>
      <c r="FX339" s="360" t="str">
        <f t="shared" ca="1" si="756"/>
        <v/>
      </c>
      <c r="FY339" s="360" t="str">
        <f t="shared" ca="1" si="757"/>
        <v/>
      </c>
      <c r="FZ339" s="379" t="str">
        <f ca="1">FZ338</f>
        <v/>
      </c>
      <c r="GA339" s="302"/>
      <c r="GB339" s="364"/>
    </row>
    <row r="340" spans="86:184" x14ac:dyDescent="0.25">
      <c r="DV340" s="424"/>
      <c r="DW340" s="424"/>
      <c r="DX340" s="424"/>
      <c r="DY340" s="424"/>
      <c r="DZ340" s="424"/>
      <c r="EA340" s="424"/>
      <c r="EB340" s="424"/>
      <c r="EC340" s="424"/>
      <c r="ED340" s="424"/>
      <c r="EE340" s="424"/>
      <c r="EF340" s="424"/>
      <c r="EG340" s="424"/>
      <c r="EH340" s="424"/>
      <c r="EI340" s="424"/>
      <c r="EJ340" s="424"/>
      <c r="EK340" s="424"/>
      <c r="EL340" s="424"/>
      <c r="EM340" s="424"/>
      <c r="EN340" s="424"/>
      <c r="EO340" s="424"/>
      <c r="EP340" s="424"/>
      <c r="FP340" s="395" t="str">
        <f t="shared" ca="1" si="748"/>
        <v/>
      </c>
      <c r="FQ340" s="360" t="str">
        <f t="shared" ca="1" si="749"/>
        <v/>
      </c>
      <c r="FR340" s="360" t="str">
        <f t="shared" ca="1" si="750"/>
        <v/>
      </c>
      <c r="FS340" s="360" t="str">
        <f t="shared" ca="1" si="751"/>
        <v/>
      </c>
      <c r="FT340" s="360" t="str">
        <f t="shared" ca="1" si="752"/>
        <v/>
      </c>
      <c r="FU340" s="360" t="str">
        <f t="shared" ca="1" si="753"/>
        <v/>
      </c>
      <c r="FV340" s="360" t="str">
        <f t="shared" ca="1" si="754"/>
        <v/>
      </c>
      <c r="FW340" s="360" t="str">
        <f t="shared" ca="1" si="755"/>
        <v/>
      </c>
      <c r="FX340" s="360" t="str">
        <f t="shared" ca="1" si="756"/>
        <v/>
      </c>
      <c r="FY340" s="360" t="str">
        <f t="shared" ca="1" si="757"/>
        <v/>
      </c>
      <c r="FZ340" s="379" t="str">
        <f ca="1">FZ339</f>
        <v/>
      </c>
      <c r="GA340" s="302"/>
      <c r="GB340" s="364"/>
    </row>
    <row r="341" spans="86:184" x14ac:dyDescent="0.25">
      <c r="CH341" s="296"/>
      <c r="CI341" s="296"/>
      <c r="CJ341" s="296"/>
      <c r="CK341" s="296"/>
      <c r="CL341" s="296"/>
      <c r="CM341" s="296"/>
      <c r="DG341" s="296"/>
      <c r="DH341" s="300"/>
      <c r="DI341" s="301"/>
      <c r="DJ341" s="302"/>
      <c r="DK341" s="302"/>
      <c r="DL341" s="302"/>
      <c r="DM341" s="302"/>
      <c r="DN341" s="302"/>
      <c r="DO341" s="302"/>
      <c r="DP341" s="302"/>
      <c r="DQ341" s="302"/>
      <c r="DR341" s="303"/>
      <c r="DS341" s="302"/>
      <c r="EK341" s="305"/>
      <c r="FP341" s="395" t="str">
        <f t="shared" ca="1" si="748"/>
        <v/>
      </c>
      <c r="FQ341" s="360" t="str">
        <f t="shared" ca="1" si="749"/>
        <v/>
      </c>
      <c r="FR341" s="360" t="str">
        <f t="shared" ca="1" si="750"/>
        <v/>
      </c>
      <c r="FS341" s="360" t="str">
        <f t="shared" ca="1" si="751"/>
        <v/>
      </c>
      <c r="FT341" s="360" t="str">
        <f t="shared" ca="1" si="752"/>
        <v/>
      </c>
      <c r="FU341" s="360" t="str">
        <f t="shared" ca="1" si="753"/>
        <v/>
      </c>
      <c r="FV341" s="360" t="str">
        <f t="shared" ca="1" si="754"/>
        <v/>
      </c>
      <c r="FW341" s="360" t="str">
        <f t="shared" ca="1" si="755"/>
        <v/>
      </c>
      <c r="FX341" s="360" t="str">
        <f t="shared" ca="1" si="756"/>
        <v/>
      </c>
      <c r="FY341" s="360" t="str">
        <f t="shared" ca="1" si="757"/>
        <v/>
      </c>
      <c r="FZ341" s="379" t="str">
        <f ca="1">FZ340</f>
        <v/>
      </c>
      <c r="GA341" s="302"/>
      <c r="GB341" s="364"/>
    </row>
    <row r="342" spans="86:184" x14ac:dyDescent="0.25">
      <c r="CH342" s="296"/>
      <c r="CI342" s="454" t="s">
        <v>212</v>
      </c>
      <c r="CJ342" s="454" t="s">
        <v>408</v>
      </c>
      <c r="CK342" s="454" t="s">
        <v>409</v>
      </c>
      <c r="CL342" s="296"/>
      <c r="CM342" s="296"/>
      <c r="CO342" s="455">
        <f ca="1">IF(CN343=0,"xxx",VLOOKUP(CN343,CI343:CL366,IF($AJ$44,3,2),FALSE))</f>
        <v>20</v>
      </c>
      <c r="CP342" s="456"/>
      <c r="CQ342" s="457" t="s">
        <v>151</v>
      </c>
      <c r="CR342" s="455">
        <f ca="1">IF(CN344=0,"xxx",VLOOKUP(CN344,CI343:CL366,IF($AJ$44,3,2),FALSE))</f>
        <v>25</v>
      </c>
      <c r="CS342" s="456"/>
      <c r="CT342" s="457" t="s">
        <v>215</v>
      </c>
      <c r="CU342" s="455">
        <f ca="1">IF(CN345=0,"xxx",VLOOKUP(CN345,CI343:CL366,IF($AJ$44,3,2),FALSE))</f>
        <v>52</v>
      </c>
      <c r="CV342" s="456"/>
      <c r="CW342" s="457" t="s">
        <v>216</v>
      </c>
      <c r="CX342" s="455" t="str">
        <f ca="1">IF(CN346=0,"xxx",VLOOKUP(CN346,CI343:CL366,IF($AJ$44,3,2),FALSE))</f>
        <v>xxx</v>
      </c>
      <c r="CY342" s="456"/>
      <c r="CZ342" s="457" t="s">
        <v>217</v>
      </c>
      <c r="DA342" s="455" t="str">
        <f ca="1">IF(CN347=0,"xxx",VLOOKUP(CN347,CI343:CL366,IF($AJ$44,3,2),FALSE))</f>
        <v>xxx</v>
      </c>
      <c r="DB342" s="456"/>
      <c r="DC342" s="457" t="s">
        <v>218</v>
      </c>
      <c r="DD342" s="455" t="str">
        <f ca="1">IF(CN348=0,"xxx",VLOOKUP(CN348,CI343:CL366,IF($AJ$44,3,2),FALSE))</f>
        <v>xxx</v>
      </c>
      <c r="DE342" s="456"/>
      <c r="DF342" s="457" t="s">
        <v>219</v>
      </c>
      <c r="DG342" s="296"/>
      <c r="DH342" s="300"/>
      <c r="DI342" s="323" t="b">
        <f ca="1">OR(NOT($AJ$44),COUNTIF(DN342:DN451,"")=100-(DP342-1)*DP342,COUNTIF(DN342:DN451,"")=100-(DP342-1)*DP342/2)</f>
        <v>1</v>
      </c>
      <c r="DJ342" s="458" t="s">
        <v>157</v>
      </c>
      <c r="DK342" s="458" t="s">
        <v>158</v>
      </c>
      <c r="DL342" s="459" t="s">
        <v>159</v>
      </c>
      <c r="DM342" s="459"/>
      <c r="DN342" s="460" t="s">
        <v>160</v>
      </c>
      <c r="DO342" s="459" t="s">
        <v>135</v>
      </c>
      <c r="DP342" s="323">
        <f ca="1">COUNT(CQ343:CQ352)</f>
        <v>2</v>
      </c>
      <c r="DQ342" s="302"/>
      <c r="DR342" s="327" t="s">
        <v>151</v>
      </c>
      <c r="DS342" s="302"/>
      <c r="DU342" s="328"/>
      <c r="DV342" s="329" t="s">
        <v>223</v>
      </c>
      <c r="DW342" s="329" t="s">
        <v>224</v>
      </c>
      <c r="DX342" s="329" t="s">
        <v>152</v>
      </c>
      <c r="DZ342" s="329" t="s">
        <v>154</v>
      </c>
      <c r="EA342" s="329" t="s">
        <v>155</v>
      </c>
      <c r="EC342" s="329" t="s">
        <v>226</v>
      </c>
      <c r="EE342" s="329" t="s">
        <v>227</v>
      </c>
      <c r="EI342" s="329" t="s">
        <v>228</v>
      </c>
      <c r="EJ342" s="329" t="s">
        <v>156</v>
      </c>
      <c r="EK342" s="329" t="s">
        <v>208</v>
      </c>
      <c r="EM342" s="329" t="s">
        <v>212</v>
      </c>
      <c r="EN342" s="330" t="s">
        <v>227</v>
      </c>
      <c r="EO342" s="329" t="s">
        <v>225</v>
      </c>
      <c r="EP342" s="328"/>
      <c r="EQ342" s="328"/>
      <c r="ER342" s="328"/>
      <c r="ES342" s="331" t="str">
        <f ca="1">IF(ER343=0,"xxx",VLOOKUP(ER343,EM343:EP352,IF($AJ$54,2,3),FALSE))</f>
        <v>xxx</v>
      </c>
      <c r="ET342" s="328"/>
      <c r="EU342" s="328"/>
      <c r="EV342" s="331" t="str">
        <f ca="1">IF(ER344=0,"xxx",VLOOKUP(ER344,EM343:EP352,IF($AJ$54,2,3),FALSE))</f>
        <v>xxx</v>
      </c>
      <c r="EW342" s="328"/>
      <c r="EX342" s="328"/>
      <c r="EY342" s="331" t="str">
        <f ca="1">IF(ER345=0,"xxx",VLOOKUP(ER345,EM343:EP352,IF($AJ$54,2,3),FALSE))</f>
        <v>xxx</v>
      </c>
      <c r="EZ342" s="328"/>
      <c r="FA342" s="328"/>
      <c r="FB342" s="328"/>
      <c r="FC342" s="458"/>
      <c r="FD342" s="332"/>
      <c r="FE342" s="333"/>
      <c r="FP342" s="395" t="str">
        <f t="shared" ca="1" si="748"/>
        <v/>
      </c>
      <c r="FQ342" s="360" t="str">
        <f t="shared" ca="1" si="749"/>
        <v/>
      </c>
      <c r="FR342" s="360" t="str">
        <f t="shared" ca="1" si="750"/>
        <v/>
      </c>
      <c r="FS342" s="360" t="str">
        <f t="shared" ca="1" si="751"/>
        <v/>
      </c>
      <c r="FT342" s="360" t="str">
        <f t="shared" ca="1" si="752"/>
        <v/>
      </c>
      <c r="FU342" s="360" t="str">
        <f t="shared" ca="1" si="753"/>
        <v/>
      </c>
      <c r="FV342" s="360" t="str">
        <f t="shared" ca="1" si="754"/>
        <v/>
      </c>
      <c r="FW342" s="360" t="str">
        <f t="shared" ca="1" si="755"/>
        <v/>
      </c>
      <c r="FX342" s="360" t="str">
        <f t="shared" ca="1" si="756"/>
        <v/>
      </c>
      <c r="FY342" s="360" t="str">
        <f t="shared" ca="1" si="757"/>
        <v/>
      </c>
      <c r="FZ342" s="379" t="str">
        <f ca="1">FZ341</f>
        <v/>
      </c>
      <c r="GA342" s="302"/>
      <c r="GB342" s="364"/>
    </row>
    <row r="343" spans="86:184" x14ac:dyDescent="0.25">
      <c r="CH343" s="350"/>
      <c r="CI343" s="461">
        <f ca="1">IF($AJ$44,COUNTIF($BO$42:$BO$65,CK343)*IF(CK343=0,0,1),COUNTIF($BM$42:$BM$65,CJ343)*IF(CJ343=0,0,1))+CL343/1000</f>
        <v>2.0009999999999999</v>
      </c>
      <c r="CJ343" s="352">
        <f ca="1">LARGE($BM$42:$BM$65,CL343)</f>
        <v>52</v>
      </c>
      <c r="CK343" s="353">
        <f ca="1">LARGE($BO$42:$BO$65,CL343)</f>
        <v>0.9</v>
      </c>
      <c r="CL343" s="354">
        <v>1</v>
      </c>
      <c r="CM343" s="350"/>
      <c r="CN343" s="462">
        <f ca="1">IF(LARGE(CI343:CI366,CL343)&lt;2,0,LARGE(CI343:CI366,CL343))</f>
        <v>2.0070000000000001</v>
      </c>
      <c r="CO343" s="356" t="str">
        <f ca="1">IF(OR(CO$342=$BM42,CO$342=$BO42),$BC42,"")</f>
        <v>Bakafogó-Honvéd-Sashegy SE</v>
      </c>
      <c r="CP343" s="357">
        <f ca="1">IF(CO343="","",$CL343)</f>
        <v>1</v>
      </c>
      <c r="CQ343" s="463">
        <f ca="1">IF(ISERR(LARGE(CP343:CP366,$CL343)),"",LARGE(CP343:CP366,$CL343))</f>
        <v>10</v>
      </c>
      <c r="CR343" s="356" t="str">
        <f ca="1">IF(OR(CR$342=$BM42,CR$342=$BO42),$BC42,"")</f>
        <v/>
      </c>
      <c r="CS343" s="357" t="str">
        <f ca="1">IF(CR343="","",$CL343)</f>
        <v/>
      </c>
      <c r="CT343" s="463">
        <f ca="1">IF(ISERR(LARGE(CS343:CS366,$CL343)),"",LARGE(CS343:CS366,$CL343))</f>
        <v>7</v>
      </c>
      <c r="CU343" s="356" t="str">
        <f ca="1">IF(OR(CU$342=$BM42,CU$342=$BO42),$BC42,"")</f>
        <v/>
      </c>
      <c r="CV343" s="357" t="str">
        <f ca="1">IF(CU343="","",$CL343)</f>
        <v/>
      </c>
      <c r="CW343" s="463">
        <f ca="1">IF(ISERR(LARGE(CV343:CV366,$CL343)),"",LARGE(CV343:CV366,$CL343))</f>
        <v>8</v>
      </c>
      <c r="CX343" s="356" t="str">
        <f ca="1">IF(OR(CX$342=$BM42,CX$342=$BO42),$BC42,"")</f>
        <v/>
      </c>
      <c r="CY343" s="357" t="str">
        <f ca="1">IF(CX343="","",$CL343)</f>
        <v/>
      </c>
      <c r="CZ343" s="463" t="str">
        <f ca="1">IF(ISERR(LARGE(CY343:CY366,$CL343)),"",LARGE(CY343:CY366,$CL343))</f>
        <v/>
      </c>
      <c r="DA343" s="356" t="str">
        <f ca="1">IF(OR(DA$342=$BM42,DA$342=$BO42),$BC42,"")</f>
        <v/>
      </c>
      <c r="DB343" s="357" t="str">
        <f ca="1">IF(DA343="","",$CL343)</f>
        <v/>
      </c>
      <c r="DC343" s="463" t="str">
        <f ca="1">IF(ISERR(LARGE(DB343:DB366,$CL343)),"",LARGE(DB343:DB366,$CL343))</f>
        <v/>
      </c>
      <c r="DD343" s="356" t="str">
        <f ca="1">IF(OR(DD$342=$BM42,DD$342=$BO42),$BC42,"")</f>
        <v/>
      </c>
      <c r="DE343" s="357" t="str">
        <f ca="1">IF(DD343="","",$CL343)</f>
        <v/>
      </c>
      <c r="DF343" s="463" t="str">
        <f ca="1">IF(ISERR(LARGE(DE343:DE366,$CL343)),"",LARGE(DE343:DE366,$CL343))</f>
        <v/>
      </c>
      <c r="DG343" s="350"/>
      <c r="DH343" s="300"/>
      <c r="DI343" s="464" t="str">
        <f t="shared" ref="DI343:DI352" ca="1" si="758">IF(CQ343="","",VLOOKUP(CQ343,xxx.av1,4,FALSE))</f>
        <v>Vakana</v>
      </c>
      <c r="DJ343" s="465" t="str">
        <f t="shared" ref="DJ343:DJ352" ca="1" si="759">IF(OR(DI343="",DP343="",DI343=DP343,COUNTIF(games.av,DI343&amp;DP343)=0),"",CONCATENATE(DI343,DP343))</f>
        <v/>
      </c>
      <c r="DK343" s="360" t="str">
        <f t="shared" ref="DK343:DK352" ca="1" si="760">IF($DJ343="","",CONCATENATE(VLOOKUP($DJ343,games.a,9,FALSE),VLOOKUP($DJ343,games.a,12,FALSE)))</f>
        <v/>
      </c>
      <c r="DL343" s="354" t="str">
        <f t="shared" ref="DL343:DL352" ca="1" si="761">IF($DJ343="","",VLOOKUP($DJ343,games.a,10,FALSE))</f>
        <v/>
      </c>
      <c r="DM343" s="354" t="str">
        <f t="shared" ref="DM343:DM352" ca="1" si="762">IF($DJ343="","",VLOOKUP($DJ343,games.a,13,FALSE))</f>
        <v/>
      </c>
      <c r="DN343" s="361" t="str">
        <f t="shared" ref="DN343:DN352" ca="1" si="763">IF($DJ343="","",VLOOKUP($DJ343,games.a,6,FALSE))</f>
        <v/>
      </c>
      <c r="DO343" s="362" t="str">
        <f t="shared" ref="DO343:DO352" ca="1" si="764">IF($DJ343="","",VLOOKUP($DJ343,games.a,7,FALSE))</f>
        <v/>
      </c>
      <c r="DP343" s="466" t="str">
        <f ca="1">DI343</f>
        <v>Vakana</v>
      </c>
      <c r="DQ343" s="302"/>
      <c r="DR343" s="364"/>
      <c r="DS343" s="302"/>
      <c r="DU343" s="365"/>
      <c r="DV343" s="366" t="str">
        <f ca="1">IF(AND($AJ$44,DI342,DP342&lt;&gt;2),DI343,"")</f>
        <v/>
      </c>
      <c r="DW343" s="366">
        <f t="shared" ref="DW343:DW352" ca="1" si="765">IF(DV343="",-1,COUNTIF(xxgy.av,DV343))</f>
        <v>-1</v>
      </c>
      <c r="DX343" s="366">
        <f t="shared" ref="DX343:DX352" ca="1" si="766">IF($DV343="",0,COUNTIF(yygy.av,$DV343))</f>
        <v>0</v>
      </c>
      <c r="DZ343" s="366">
        <f t="shared" ref="DZ343:DZ352" ca="1" si="767">IF($DV343="",0,1)*(SUMIF(yyo.av,$DV343,yyl.av)+SUMIF(yyi.av,$DV343,yyk.av))</f>
        <v>0</v>
      </c>
      <c r="EA343" s="366">
        <f t="shared" ref="EA343:EA352" ca="1" si="768">IF($DV343="",0,1)*(SUMIF(yyo.av,$DV343,yyk.av)+SUMIF(yyi.av,$DV343,yyl.av))</f>
        <v>0</v>
      </c>
      <c r="EC343" s="366">
        <f ca="1">IF(EA343=0,0,DZ343/EA343)</f>
        <v>0</v>
      </c>
      <c r="EE343" s="366">
        <f t="shared" ref="EE343:EE352" ca="1" si="769">DW343*1000000+DX343*1000+EC343</f>
        <v>-1000000</v>
      </c>
      <c r="EI343" s="366">
        <f t="shared" ref="EI343:EI352" ca="1" si="770">IF(OR(ISERR(EE343),ISNA(EE343),DW343&lt;0),0,EE343)</f>
        <v>0</v>
      </c>
      <c r="EJ343" s="366">
        <f ca="1">IF(EI343=0,0,RANK(EI343,EI343:EI352,1))</f>
        <v>0</v>
      </c>
      <c r="EK343" s="366">
        <f ca="1">EJ343*40000*IF(COUNTIF($FC$343:$FC$366,DV343)&gt;0,0,1)</f>
        <v>0</v>
      </c>
      <c r="EM343" s="367">
        <f ca="1">IF($AJ$54,COUNTIF(EE354:EE363,EN343)*IF(EN343=0,0,1),COUNTIF(DW343:DW352,EO343)*IF(EO343&lt;0,0,1))+EP343/1000</f>
        <v>1E-3</v>
      </c>
      <c r="EN343" s="368">
        <v>0</v>
      </c>
      <c r="EO343" s="369">
        <f ca="1">LARGE(DW343:DW352,EP343)</f>
        <v>-1</v>
      </c>
      <c r="EP343" s="369">
        <v>1</v>
      </c>
      <c r="EQ343" s="365"/>
      <c r="ER343" s="370">
        <f ca="1">IF(LARGE(EM343:EM352,EP343)&lt;1,0,LARGE(EM343:EM352,EP343))</f>
        <v>0</v>
      </c>
      <c r="ES343" s="371" t="str">
        <f ca="1">IF(DW343=ES342,DV343,IF(EE354=ES342,DV354,""))</f>
        <v/>
      </c>
      <c r="ET343" s="369" t="str">
        <f t="shared" ref="ET343:ET352" ca="1" si="771">IF(ES343="","",EP343)</f>
        <v/>
      </c>
      <c r="EU343" s="372" t="str">
        <f ca="1">IF(ISERR(LARGE(ET343:ET352,EP343)),"",LARGE(ET343:ET352,EP343))</f>
        <v/>
      </c>
      <c r="EV343" s="371" t="str">
        <f ca="1">IF(DW343=EV342,DV343,IF(EE354=EV342,DV354,""))</f>
        <v/>
      </c>
      <c r="EW343" s="369" t="str">
        <f t="shared" ref="EW343:EW352" ca="1" si="772">IF(EV343="","",EP343)</f>
        <v/>
      </c>
      <c r="EX343" s="372" t="str">
        <f ca="1">IF(ISERR(LARGE(EW343:EW352,EP343)),"",LARGE(EW343:EW352,EP343))</f>
        <v/>
      </c>
      <c r="EY343" s="371" t="str">
        <f ca="1">IF(DW343=EY342,DV343,IF(EE354=EY342,DV354,""))</f>
        <v/>
      </c>
      <c r="EZ343" s="369" t="str">
        <f t="shared" ref="EZ343:EZ352" ca="1" si="773">IF(EY343="","",EP343)</f>
        <v/>
      </c>
      <c r="FA343" s="372" t="str">
        <f ca="1">IF(ISERR(LARGE(EZ343:EZ352,EP343)),"",LARGE(EZ343:EZ352,EP343))</f>
        <v/>
      </c>
      <c r="FB343" s="365"/>
      <c r="FC343" s="366"/>
      <c r="FD343" s="373"/>
      <c r="FE343" s="333"/>
      <c r="FP343" s="395" t="str">
        <f t="shared" ca="1" si="748"/>
        <v/>
      </c>
      <c r="FQ343" s="360" t="str">
        <f t="shared" ca="1" si="749"/>
        <v/>
      </c>
      <c r="FR343" s="360" t="str">
        <f t="shared" ca="1" si="750"/>
        <v/>
      </c>
      <c r="FS343" s="360" t="str">
        <f t="shared" ca="1" si="751"/>
        <v/>
      </c>
      <c r="FT343" s="360" t="str">
        <f t="shared" ca="1" si="752"/>
        <v/>
      </c>
      <c r="FU343" s="360" t="str">
        <f t="shared" ca="1" si="753"/>
        <v/>
      </c>
      <c r="FV343" s="360" t="str">
        <f t="shared" ca="1" si="754"/>
        <v/>
      </c>
      <c r="FW343" s="360" t="str">
        <f t="shared" ca="1" si="755"/>
        <v/>
      </c>
      <c r="FX343" s="360" t="str">
        <f t="shared" ca="1" si="756"/>
        <v/>
      </c>
      <c r="FY343" s="360" t="str">
        <f t="shared" ca="1" si="757"/>
        <v/>
      </c>
      <c r="FZ343" s="379" t="str">
        <f ca="1">FZ342</f>
        <v/>
      </c>
      <c r="GA343" s="302"/>
      <c r="GB343" s="364"/>
    </row>
    <row r="344" spans="86:184" x14ac:dyDescent="0.25">
      <c r="CH344" s="350"/>
      <c r="CI344" s="353">
        <f ca="1">IF($AJ$44,COUNTIF($BO$42:$BO$65,CK344)*IF(OR(CK344=CK343,CK344=0),0,1),COUNTIF($BM$42:$BM$65,CJ344)*IF(OR(CJ344=CJ343,CJ344=0),0,1))+CL344/1000</f>
        <v>2E-3</v>
      </c>
      <c r="CJ344" s="352">
        <f t="shared" ref="CJ344:CJ366" ca="1" si="774">LARGE($BM$42:$BM$65,CL344)</f>
        <v>52</v>
      </c>
      <c r="CK344" s="353">
        <f t="shared" ref="CK344:CK366" ca="1" si="775">LARGE($BO$42:$BO$65,CL344)</f>
        <v>0.9</v>
      </c>
      <c r="CL344" s="354">
        <v>2</v>
      </c>
      <c r="CM344" s="350"/>
      <c r="CN344" s="462">
        <f ca="1">IF(LARGE(CI343:CI366,CL344)&lt;2,0,LARGE(CI343:CI366,CL344))</f>
        <v>2.0049999999999999</v>
      </c>
      <c r="CO344" s="356" t="str">
        <f t="shared" ref="CO344:CO366" ca="1" si="776">IF(OR(CO$342=$BM43,CO$342=$BO43),$BC43,"")</f>
        <v/>
      </c>
      <c r="CP344" s="357" t="str">
        <f t="shared" ref="CP344:CP366" ca="1" si="777">IF(CO344="","",$CL344)</f>
        <v/>
      </c>
      <c r="CQ344" s="463">
        <f ca="1">IF(ISERR(LARGE(CP343:CP366,$CL344)),"",LARGE(CP343:CP366,$CL344))</f>
        <v>1</v>
      </c>
      <c r="CR344" s="356" t="str">
        <f t="shared" ref="CR344:CR366" ca="1" si="778">IF(OR(CR$342=$BM43,CR$342=$BO43),$BC43,"")</f>
        <v/>
      </c>
      <c r="CS344" s="357" t="str">
        <f t="shared" ref="CS344:CS366" ca="1" si="779">IF(CR344="","",$CL344)</f>
        <v/>
      </c>
      <c r="CT344" s="463">
        <f ca="1">IF(ISERR(LARGE(CS343:CS366,$CL344)),"",LARGE(CS343:CS366,$CL344))</f>
        <v>6</v>
      </c>
      <c r="CU344" s="356" t="str">
        <f t="shared" ref="CU344:CU366" ca="1" si="780">IF(OR(CU$342=$BM43,CU$342=$BO43),$BC43,"")</f>
        <v>BBK</v>
      </c>
      <c r="CV344" s="357">
        <f t="shared" ref="CV344:CV366" ca="1" si="781">IF(CU344="","",$CL344)</f>
        <v>2</v>
      </c>
      <c r="CW344" s="463">
        <f ca="1">IF(ISERR(LARGE(CV343:CV366,$CL344)),"",LARGE(CV343:CV366,$CL344))</f>
        <v>2</v>
      </c>
      <c r="CX344" s="356" t="str">
        <f t="shared" ref="CX344:CX366" ca="1" si="782">IF(OR(CX$342=$BM43,CX$342=$BO43),$BC43,"")</f>
        <v/>
      </c>
      <c r="CY344" s="357" t="str">
        <f t="shared" ref="CY344:CY366" ca="1" si="783">IF(CX344="","",$CL344)</f>
        <v/>
      </c>
      <c r="CZ344" s="463" t="str">
        <f ca="1">IF(ISERR(LARGE(CY343:CY366,$CL344)),"",LARGE(CY343:CY366,$CL344))</f>
        <v/>
      </c>
      <c r="DA344" s="356" t="str">
        <f t="shared" ref="DA344:DA366" ca="1" si="784">IF(OR(DA$342=$BM43,DA$342=$BO43),$BC43,"")</f>
        <v/>
      </c>
      <c r="DB344" s="357" t="str">
        <f t="shared" ref="DB344:DB366" ca="1" si="785">IF(DA344="","",$CL344)</f>
        <v/>
      </c>
      <c r="DC344" s="463" t="str">
        <f ca="1">IF(ISERR(LARGE(DB343:DB366,$CL344)),"",LARGE(DB343:DB366,$CL344))</f>
        <v/>
      </c>
      <c r="DD344" s="356" t="str">
        <f t="shared" ref="DD344:DD366" ca="1" si="786">IF(OR(DD$342=$BM43,DD$342=$BO43),$BC43,"")</f>
        <v/>
      </c>
      <c r="DE344" s="357" t="str">
        <f t="shared" ref="DE344:DE366" ca="1" si="787">IF(DD344="","",$CL344)</f>
        <v/>
      </c>
      <c r="DF344" s="463" t="str">
        <f ca="1">IF(ISERR(LARGE(DE343:DE366,$CL344)),"",LARGE(DE343:DE366,$CL344))</f>
        <v/>
      </c>
      <c r="DG344" s="350"/>
      <c r="DH344" s="300"/>
      <c r="DI344" s="464" t="str">
        <f t="shared" ca="1" si="758"/>
        <v>Bakafogó-Honvéd-Sashegy SE</v>
      </c>
      <c r="DJ344" s="465" t="str">
        <f t="shared" ca="1" si="759"/>
        <v>Bakafogó-Honvéd-Sashegy SEVakana</v>
      </c>
      <c r="DK344" s="360" t="str">
        <f t="shared" ca="1" si="760"/>
        <v/>
      </c>
      <c r="DL344" s="354" t="str">
        <f t="shared" ca="1" si="761"/>
        <v>Bakafogó-Honvéd-Sashegy SE</v>
      </c>
      <c r="DM344" s="354" t="str">
        <f t="shared" ca="1" si="762"/>
        <v>Vakana</v>
      </c>
      <c r="DN344" s="361">
        <f t="shared" ca="1" si="763"/>
        <v>4</v>
      </c>
      <c r="DO344" s="362">
        <f t="shared" ca="1" si="764"/>
        <v>4</v>
      </c>
      <c r="DP344" s="379" t="str">
        <f ca="1">DP343</f>
        <v>Vakana</v>
      </c>
      <c r="DQ344" s="302"/>
      <c r="DR344" s="364"/>
      <c r="DS344" s="302"/>
      <c r="DU344" s="365"/>
      <c r="DV344" s="366" t="str">
        <f ca="1">IF(AND($AJ$44,DI342,DP342&lt;&gt;2),DI344,"")</f>
        <v/>
      </c>
      <c r="DW344" s="366">
        <f t="shared" ca="1" si="765"/>
        <v>-1</v>
      </c>
      <c r="DX344" s="366">
        <f t="shared" ca="1" si="766"/>
        <v>0</v>
      </c>
      <c r="DZ344" s="366">
        <f t="shared" ca="1" si="767"/>
        <v>0</v>
      </c>
      <c r="EA344" s="366">
        <f t="shared" ca="1" si="768"/>
        <v>0</v>
      </c>
      <c r="EC344" s="366">
        <f t="shared" ref="EC344:EC352" ca="1" si="788">IF(EA344=0,0,DZ344/EA344)</f>
        <v>0</v>
      </c>
      <c r="EE344" s="366">
        <f t="shared" ca="1" si="769"/>
        <v>-1000000</v>
      </c>
      <c r="EI344" s="366">
        <f t="shared" ca="1" si="770"/>
        <v>0</v>
      </c>
      <c r="EJ344" s="366">
        <f ca="1">IF(EI344=0,0,RANK(EI344,EI343:EI352,1))</f>
        <v>0</v>
      </c>
      <c r="EK344" s="366">
        <f t="shared" ref="EK344:EK352" ca="1" si="789">EJ344*40000*IF(COUNTIF($FC$343:$FC$366,DV344)&gt;0,0,1)</f>
        <v>0</v>
      </c>
      <c r="EM344" s="367">
        <f ca="1">IF($AJ$54,COUNTIF(EE354:EE363,EN343)*IF(OR(EN344=0,EN344=EN343),0,1),COUNTIF(DW343:DW352,EO344)*IF(OR(EO344=EO343,EO344&lt;0),0,1))+EP344/1000</f>
        <v>2E-3</v>
      </c>
      <c r="EN344" s="368">
        <v>0</v>
      </c>
      <c r="EO344" s="369">
        <f ca="1">LARGE(DW343:DW352,EP344)</f>
        <v>-1</v>
      </c>
      <c r="EP344" s="369">
        <v>2</v>
      </c>
      <c r="EQ344" s="365"/>
      <c r="ER344" s="370">
        <f ca="1">IF(LARGE(EM343:EM352,EP344)&lt;1,0,LARGE(EM343:EM352,EP344))</f>
        <v>0</v>
      </c>
      <c r="ES344" s="371" t="str">
        <f ca="1">IF(DW344=ES342,DV344,IF(EE355=ES342,DV355,""))</f>
        <v/>
      </c>
      <c r="ET344" s="369" t="str">
        <f t="shared" ca="1" si="771"/>
        <v/>
      </c>
      <c r="EU344" s="372" t="str">
        <f ca="1">IF(ISERR(LARGE(ET343:ET352,EP344)),"",LARGE(ET343:ET352,EP344))</f>
        <v/>
      </c>
      <c r="EV344" s="371" t="str">
        <f ca="1">IF(DW344=EV342,DV344,IF(EE355=EV342,DV355,""))</f>
        <v/>
      </c>
      <c r="EW344" s="369" t="str">
        <f t="shared" ca="1" si="772"/>
        <v/>
      </c>
      <c r="EX344" s="372" t="str">
        <f ca="1">IF(ISERR(LARGE(EW343:EW352,EP344)),"",LARGE(EW343:EW352,EP344))</f>
        <v/>
      </c>
      <c r="EY344" s="371" t="str">
        <f ca="1">IF(DW344=EY342,DV344,IF(EE355=EY342,DV355,""))</f>
        <v/>
      </c>
      <c r="EZ344" s="369" t="str">
        <f t="shared" ca="1" si="773"/>
        <v/>
      </c>
      <c r="FA344" s="372" t="str">
        <f ca="1">IF(ISERR(LARGE(EZ343:EZ352,EP344)),"",LARGE(EZ343:EZ352,EP344))</f>
        <v/>
      </c>
      <c r="FB344" s="365"/>
      <c r="FC344" s="366"/>
      <c r="FD344" s="373"/>
      <c r="FE344" s="333"/>
      <c r="FP344" s="301"/>
      <c r="FQ344" s="324" t="s">
        <v>157</v>
      </c>
      <c r="FR344" s="324" t="s">
        <v>237</v>
      </c>
      <c r="FS344" s="324" t="s">
        <v>239</v>
      </c>
      <c r="FT344" s="324" t="s">
        <v>240</v>
      </c>
      <c r="FU344" s="324" t="s">
        <v>238</v>
      </c>
      <c r="FV344" s="324" t="s">
        <v>241</v>
      </c>
      <c r="FW344" s="324" t="s">
        <v>242</v>
      </c>
      <c r="FX344" s="326" t="s">
        <v>160</v>
      </c>
      <c r="FY344" s="325" t="s">
        <v>135</v>
      </c>
      <c r="FZ344" s="302"/>
      <c r="GA344" s="302"/>
      <c r="GB344" s="364"/>
    </row>
    <row r="345" spans="86:184" x14ac:dyDescent="0.25">
      <c r="CH345" s="350"/>
      <c r="CI345" s="353">
        <f t="shared" ref="CI345:CI366" ca="1" si="790">IF($AJ$44,COUNTIF($BO$42:$BO$65,CK345)*IF(OR(CK345=CK344,CK345=0),0,1),COUNTIF($BM$42:$BM$65,CJ345)*IF(OR(CJ345=CJ344,CJ345=0),0,1))+CL345/1000</f>
        <v>1.0029999999999999</v>
      </c>
      <c r="CJ345" s="352">
        <f t="shared" ca="1" si="774"/>
        <v>45</v>
      </c>
      <c r="CK345" s="353">
        <f t="shared" ca="1" si="775"/>
        <v>0.77500000000000002</v>
      </c>
      <c r="CL345" s="354">
        <v>3</v>
      </c>
      <c r="CM345" s="350"/>
      <c r="CN345" s="462">
        <f ca="1">IF(LARGE(CI343:CI366,CL345)&lt;2,0,LARGE(CI343:CI366,CL345))</f>
        <v>2.0009999999999999</v>
      </c>
      <c r="CO345" s="356" t="str">
        <f t="shared" ca="1" si="776"/>
        <v/>
      </c>
      <c r="CP345" s="357" t="str">
        <f t="shared" ca="1" si="777"/>
        <v/>
      </c>
      <c r="CQ345" s="463" t="str">
        <f ca="1">IF(ISERR(LARGE(CP343:CP366,$CL345)),"",LARGE(CP343:CP366,$CL345))</f>
        <v/>
      </c>
      <c r="CR345" s="356" t="str">
        <f t="shared" ca="1" si="778"/>
        <v/>
      </c>
      <c r="CS345" s="357" t="str">
        <f t="shared" ca="1" si="779"/>
        <v/>
      </c>
      <c r="CT345" s="463" t="str">
        <f ca="1">IF(ISERR(LARGE(CS343:CS366,$CL345)),"",LARGE(CS343:CS366,$CL345))</f>
        <v/>
      </c>
      <c r="CU345" s="356" t="str">
        <f t="shared" ca="1" si="780"/>
        <v/>
      </c>
      <c r="CV345" s="357" t="str">
        <f t="shared" ca="1" si="781"/>
        <v/>
      </c>
      <c r="CW345" s="463" t="str">
        <f ca="1">IF(ISERR(LARGE(CV343:CV366,$CL345)),"",LARGE(CV343:CV366,$CL345))</f>
        <v/>
      </c>
      <c r="CX345" s="356" t="str">
        <f t="shared" ca="1" si="782"/>
        <v/>
      </c>
      <c r="CY345" s="357" t="str">
        <f t="shared" ca="1" si="783"/>
        <v/>
      </c>
      <c r="CZ345" s="463" t="str">
        <f ca="1">IF(ISERR(LARGE(CY343:CY366,$CL345)),"",LARGE(CY343:CY366,$CL345))</f>
        <v/>
      </c>
      <c r="DA345" s="356" t="str">
        <f t="shared" ca="1" si="784"/>
        <v/>
      </c>
      <c r="DB345" s="357" t="str">
        <f t="shared" ca="1" si="785"/>
        <v/>
      </c>
      <c r="DC345" s="463" t="str">
        <f ca="1">IF(ISERR(LARGE(DB343:DB366,$CL345)),"",LARGE(DB343:DB366,$CL345))</f>
        <v/>
      </c>
      <c r="DD345" s="356" t="str">
        <f t="shared" ca="1" si="786"/>
        <v/>
      </c>
      <c r="DE345" s="357" t="str">
        <f t="shared" ca="1" si="787"/>
        <v/>
      </c>
      <c r="DF345" s="380"/>
      <c r="DG345" s="350"/>
      <c r="DH345" s="300"/>
      <c r="DI345" s="464" t="str">
        <f t="shared" ca="1" si="758"/>
        <v/>
      </c>
      <c r="DJ345" s="465" t="str">
        <f t="shared" ca="1" si="759"/>
        <v/>
      </c>
      <c r="DK345" s="360" t="str">
        <f t="shared" ca="1" si="760"/>
        <v/>
      </c>
      <c r="DL345" s="354" t="str">
        <f t="shared" ca="1" si="761"/>
        <v/>
      </c>
      <c r="DM345" s="354" t="str">
        <f t="shared" ca="1" si="762"/>
        <v/>
      </c>
      <c r="DN345" s="361" t="str">
        <f t="shared" ca="1" si="763"/>
        <v/>
      </c>
      <c r="DO345" s="362" t="str">
        <f t="shared" ca="1" si="764"/>
        <v/>
      </c>
      <c r="DP345" s="379" t="str">
        <f t="shared" ref="DP345:DP352" ca="1" si="791">DP344</f>
        <v>Vakana</v>
      </c>
      <c r="DQ345" s="302"/>
      <c r="DR345" s="364"/>
      <c r="DS345" s="302"/>
      <c r="DU345" s="365"/>
      <c r="DV345" s="366" t="str">
        <f ca="1">IF(AND($AJ$44,DI342,DP342&lt;&gt;2),DI345,"")</f>
        <v/>
      </c>
      <c r="DW345" s="366">
        <f t="shared" ca="1" si="765"/>
        <v>-1</v>
      </c>
      <c r="DX345" s="366">
        <f t="shared" ca="1" si="766"/>
        <v>0</v>
      </c>
      <c r="DZ345" s="366">
        <f t="shared" ca="1" si="767"/>
        <v>0</v>
      </c>
      <c r="EA345" s="366">
        <f t="shared" ca="1" si="768"/>
        <v>0</v>
      </c>
      <c r="EC345" s="366">
        <f t="shared" ca="1" si="788"/>
        <v>0</v>
      </c>
      <c r="EE345" s="366">
        <f t="shared" ca="1" si="769"/>
        <v>-1000000</v>
      </c>
      <c r="EI345" s="366">
        <f t="shared" ca="1" si="770"/>
        <v>0</v>
      </c>
      <c r="EJ345" s="366">
        <f ca="1">IF(EI345=0,0,RANK(EI345,EI343:EI352,1))</f>
        <v>0</v>
      </c>
      <c r="EK345" s="366">
        <f t="shared" ca="1" si="789"/>
        <v>0</v>
      </c>
      <c r="EL345" s="365"/>
      <c r="EM345" s="367">
        <f ca="1">IF($AJ$54,COUNTIF(EE354:EE363,EN344)*IF(OR(EN345=0,EN345=EN344),0,1),COUNTIF(DW343:DW352,EO345)*IF(OR(EO345=EO344,EO345&lt;0),0,1))+EP345/1000</f>
        <v>3.0000000000000001E-3</v>
      </c>
      <c r="EN345" s="368">
        <v>0</v>
      </c>
      <c r="EO345" s="369">
        <f ca="1">LARGE(DW343:DW352,EP345)</f>
        <v>-1</v>
      </c>
      <c r="EP345" s="369">
        <v>3</v>
      </c>
      <c r="EQ345" s="365"/>
      <c r="ER345" s="370">
        <f ca="1">IF(LARGE(EM343:EM352,EP345)&lt;1,0,LARGE(EM343:EM352,EP345))</f>
        <v>0</v>
      </c>
      <c r="ES345" s="371" t="str">
        <f ca="1">IF(DW345=ES342,DV345,IF(EE356=ES342,DV356,""))</f>
        <v/>
      </c>
      <c r="ET345" s="369" t="str">
        <f t="shared" ca="1" si="771"/>
        <v/>
      </c>
      <c r="EU345" s="372" t="str">
        <f ca="1">IF(ISERR(LARGE(ET343:ET352,EP345)),"",LARGE(ET343:ET352,EP345))</f>
        <v/>
      </c>
      <c r="EV345" s="371" t="str">
        <f ca="1">IF(DW345=EV342,DV345,IF(EE356=EV342,DV356,""))</f>
        <v/>
      </c>
      <c r="EW345" s="369" t="str">
        <f t="shared" ca="1" si="772"/>
        <v/>
      </c>
      <c r="EX345" s="381"/>
      <c r="EY345" s="371" t="str">
        <f ca="1">IF(DW345=EY342,DV345,IF(EE356=EY342,DV356,""))</f>
        <v/>
      </c>
      <c r="EZ345" s="369" t="str">
        <f t="shared" ca="1" si="773"/>
        <v/>
      </c>
      <c r="FA345" s="381"/>
      <c r="FB345" s="365"/>
      <c r="FC345" s="366"/>
      <c r="FD345" s="373"/>
      <c r="FE345" s="333"/>
      <c r="FP345" s="395" t="str">
        <f t="shared" ref="FP345:FP350" ca="1" si="792">FP338</f>
        <v/>
      </c>
      <c r="FQ345" s="360" t="str">
        <f t="shared" ref="FQ345:FQ350" ca="1" si="793">IF(OR(FP345="",FZ345="",FP345=FZ345),"",CONCATENATE(FP345,FZ345))</f>
        <v/>
      </c>
      <c r="FR345" s="360" t="str">
        <f t="shared" ref="FR345:FR350" ca="1" si="794">IF($FQ345="","",VLOOKUP($FQ345,games.a,9,FALSE))</f>
        <v/>
      </c>
      <c r="FS345" s="360" t="str">
        <f t="shared" ref="FS345:FS350" ca="1" si="795">IF($FQ345="","",VLOOKUP($FQ345,games.a,10,FALSE))</f>
        <v/>
      </c>
      <c r="FT345" s="360" t="str">
        <f t="shared" ref="FT345:FT350" ca="1" si="796">IF($FQ345="","",VLOOKUP($FQ345,games.a,11,FALSE))</f>
        <v/>
      </c>
      <c r="FU345" s="360" t="str">
        <f t="shared" ref="FU345:FU350" ca="1" si="797">IF($FQ345="","",VLOOKUP($FQ345,games.a,12,FALSE))</f>
        <v/>
      </c>
      <c r="FV345" s="360" t="str">
        <f t="shared" ref="FV345:FV350" ca="1" si="798">IF($FQ345="","",VLOOKUP($FQ345,games.a,13,FALSE))</f>
        <v/>
      </c>
      <c r="FW345" s="360" t="str">
        <f t="shared" ref="FW345:FW350" ca="1" si="799">IF($FQ345="","",VLOOKUP($FQ345,games.a,14,FALSE))</f>
        <v/>
      </c>
      <c r="FX345" s="360" t="str">
        <f t="shared" ref="FX345:FX350" ca="1" si="800">IF($FQ345="","",VLOOKUP($FQ345,games.a,6,FALSE))</f>
        <v/>
      </c>
      <c r="FY345" s="360" t="str">
        <f t="shared" ref="FY345:FY350" ca="1" si="801">IF($FQ345="","",VLOOKUP($FQ345,games.a,7,FALSE))</f>
        <v/>
      </c>
      <c r="FZ345" s="363" t="str">
        <f ca="1">FP315</f>
        <v/>
      </c>
      <c r="GA345" s="302"/>
      <c r="GB345" s="364"/>
    </row>
    <row r="346" spans="86:184" x14ac:dyDescent="0.25">
      <c r="CH346" s="350"/>
      <c r="CI346" s="353">
        <f t="shared" ca="1" si="790"/>
        <v>1.004</v>
      </c>
      <c r="CJ346" s="352">
        <f t="shared" ca="1" si="774"/>
        <v>41</v>
      </c>
      <c r="CK346" s="353">
        <f t="shared" ca="1" si="775"/>
        <v>0.77500000000000002</v>
      </c>
      <c r="CL346" s="354">
        <v>4</v>
      </c>
      <c r="CM346" s="350"/>
      <c r="CN346" s="462">
        <f ca="1">IF(LARGE(CI343:CI366,CL346)&lt;2,0,LARGE(CI343:CI366,CL346))</f>
        <v>0</v>
      </c>
      <c r="CO346" s="356" t="str">
        <f t="shared" ca="1" si="776"/>
        <v/>
      </c>
      <c r="CP346" s="357" t="str">
        <f t="shared" ca="1" si="777"/>
        <v/>
      </c>
      <c r="CQ346" s="463" t="str">
        <f ca="1">IF(ISERR(LARGE(CP343:CP366,$CL346)),"",LARGE(CP343:CP366,$CL346))</f>
        <v/>
      </c>
      <c r="CR346" s="356" t="str">
        <f t="shared" ca="1" si="778"/>
        <v/>
      </c>
      <c r="CS346" s="357" t="str">
        <f t="shared" ca="1" si="779"/>
        <v/>
      </c>
      <c r="CT346" s="463" t="str">
        <f ca="1">IF(ISERR(LARGE(CS343:CS366,$CL346)),"",LARGE(CS343:CS366,$CL346))</f>
        <v/>
      </c>
      <c r="CU346" s="356" t="str">
        <f t="shared" ca="1" si="780"/>
        <v/>
      </c>
      <c r="CV346" s="357" t="str">
        <f t="shared" ca="1" si="781"/>
        <v/>
      </c>
      <c r="CW346" s="463" t="str">
        <f ca="1">IF(ISERR(LARGE(CV343:CV366,$CL346)),"",LARGE(CV343:CV366,$CL346))</f>
        <v/>
      </c>
      <c r="CX346" s="356" t="str">
        <f t="shared" ca="1" si="782"/>
        <v/>
      </c>
      <c r="CY346" s="357" t="str">
        <f t="shared" ca="1" si="783"/>
        <v/>
      </c>
      <c r="CZ346" s="463" t="str">
        <f ca="1">IF(ISERR(LARGE(CY343:CY366,$CL346)),"",LARGE(CY343:CY366,$CL346))</f>
        <v/>
      </c>
      <c r="DA346" s="356" t="str">
        <f t="shared" ca="1" si="784"/>
        <v/>
      </c>
      <c r="DB346" s="357" t="str">
        <f t="shared" ca="1" si="785"/>
        <v/>
      </c>
      <c r="DC346" s="380"/>
      <c r="DD346" s="356" t="str">
        <f t="shared" ca="1" si="786"/>
        <v/>
      </c>
      <c r="DE346" s="357" t="str">
        <f t="shared" ca="1" si="787"/>
        <v/>
      </c>
      <c r="DF346" s="385"/>
      <c r="DG346" s="350"/>
      <c r="DH346" s="300"/>
      <c r="DI346" s="464" t="str">
        <f t="shared" ca="1" si="758"/>
        <v/>
      </c>
      <c r="DJ346" s="465" t="str">
        <f t="shared" ca="1" si="759"/>
        <v/>
      </c>
      <c r="DK346" s="360" t="str">
        <f t="shared" ca="1" si="760"/>
        <v/>
      </c>
      <c r="DL346" s="354" t="str">
        <f t="shared" ca="1" si="761"/>
        <v/>
      </c>
      <c r="DM346" s="354" t="str">
        <f t="shared" ca="1" si="762"/>
        <v/>
      </c>
      <c r="DN346" s="361" t="str">
        <f t="shared" ca="1" si="763"/>
        <v/>
      </c>
      <c r="DO346" s="362" t="str">
        <f t="shared" ca="1" si="764"/>
        <v/>
      </c>
      <c r="DP346" s="379" t="str">
        <f t="shared" ca="1" si="791"/>
        <v>Vakana</v>
      </c>
      <c r="DQ346" s="302"/>
      <c r="DR346" s="364"/>
      <c r="DS346" s="302"/>
      <c r="DU346" s="365"/>
      <c r="DV346" s="366" t="str">
        <f ca="1">IF(AND($AJ$44,DI342,DP342&lt;&gt;2),DI346,"")</f>
        <v/>
      </c>
      <c r="DW346" s="366">
        <f t="shared" ca="1" si="765"/>
        <v>-1</v>
      </c>
      <c r="DX346" s="366">
        <f t="shared" ca="1" si="766"/>
        <v>0</v>
      </c>
      <c r="DZ346" s="366">
        <f t="shared" ca="1" si="767"/>
        <v>0</v>
      </c>
      <c r="EA346" s="366">
        <f t="shared" ca="1" si="768"/>
        <v>0</v>
      </c>
      <c r="EC346" s="366">
        <f t="shared" ca="1" si="788"/>
        <v>0</v>
      </c>
      <c r="EE346" s="366">
        <f t="shared" ca="1" si="769"/>
        <v>-1000000</v>
      </c>
      <c r="EI346" s="366">
        <f t="shared" ca="1" si="770"/>
        <v>0</v>
      </c>
      <c r="EJ346" s="366">
        <f ca="1">IF(EI346=0,0,RANK(EI346,EI343:EI352,1))</f>
        <v>0</v>
      </c>
      <c r="EK346" s="366">
        <f t="shared" ca="1" si="789"/>
        <v>0</v>
      </c>
      <c r="EL346" s="365"/>
      <c r="EM346" s="367">
        <f ca="1">IF($AJ$54,COUNTIF(EE354:EE363,EN345)*IF(OR(EN346=0,EN346=EN345),0,1),COUNTIF(DW343:DW352,EO346)*IF(OR(EO346=EO345,EO346&lt;0),0,1))+EP346/1000</f>
        <v>4.0000000000000001E-3</v>
      </c>
      <c r="EN346" s="368">
        <v>0</v>
      </c>
      <c r="EO346" s="369">
        <f ca="1">LARGE(DW343:DW352,EP346)</f>
        <v>-1</v>
      </c>
      <c r="EP346" s="369">
        <v>4</v>
      </c>
      <c r="EQ346" s="365"/>
      <c r="ER346" s="365"/>
      <c r="ES346" s="371" t="str">
        <f ca="1">IF(DW346=ES342,DV346,IF(EE357=ES342,DV357,""))</f>
        <v/>
      </c>
      <c r="ET346" s="369" t="str">
        <f t="shared" ca="1" si="771"/>
        <v/>
      </c>
      <c r="EU346" s="372" t="str">
        <f ca="1">IF(ISERR(LARGE(ET343:ET352,EP346)),"",LARGE(ET343:ET352,EP346))</f>
        <v/>
      </c>
      <c r="EV346" s="371" t="str">
        <f ca="1">IF(DW346=EV342,DV346,IF(EE357=EV342,DV357,""))</f>
        <v/>
      </c>
      <c r="EW346" s="369" t="str">
        <f t="shared" ca="1" si="772"/>
        <v/>
      </c>
      <c r="EX346" s="386"/>
      <c r="EY346" s="371" t="str">
        <f ca="1">IF(DW346=EY342,DV346,IF(EE357=EY342,DV357,""))</f>
        <v/>
      </c>
      <c r="EZ346" s="369" t="str">
        <f t="shared" ca="1" si="773"/>
        <v/>
      </c>
      <c r="FA346" s="386"/>
      <c r="FB346" s="365"/>
      <c r="FC346" s="366"/>
      <c r="FD346" s="373"/>
      <c r="FE346" s="333"/>
      <c r="FP346" s="395" t="str">
        <f t="shared" ca="1" si="792"/>
        <v/>
      </c>
      <c r="FQ346" s="360" t="str">
        <f t="shared" ca="1" si="793"/>
        <v/>
      </c>
      <c r="FR346" s="360" t="str">
        <f t="shared" ca="1" si="794"/>
        <v/>
      </c>
      <c r="FS346" s="360" t="str">
        <f t="shared" ca="1" si="795"/>
        <v/>
      </c>
      <c r="FT346" s="360" t="str">
        <f t="shared" ca="1" si="796"/>
        <v/>
      </c>
      <c r="FU346" s="360" t="str">
        <f t="shared" ca="1" si="797"/>
        <v/>
      </c>
      <c r="FV346" s="360" t="str">
        <f t="shared" ca="1" si="798"/>
        <v/>
      </c>
      <c r="FW346" s="360" t="str">
        <f t="shared" ca="1" si="799"/>
        <v/>
      </c>
      <c r="FX346" s="360" t="str">
        <f t="shared" ca="1" si="800"/>
        <v/>
      </c>
      <c r="FY346" s="360" t="str">
        <f t="shared" ca="1" si="801"/>
        <v/>
      </c>
      <c r="FZ346" s="379" t="str">
        <f ca="1">FZ345</f>
        <v/>
      </c>
      <c r="GA346" s="302"/>
      <c r="GB346" s="364"/>
    </row>
    <row r="347" spans="86:184" x14ac:dyDescent="0.25">
      <c r="CH347" s="350"/>
      <c r="CI347" s="353">
        <f t="shared" ca="1" si="790"/>
        <v>2.0049999999999999</v>
      </c>
      <c r="CJ347" s="352">
        <f t="shared" ca="1" si="774"/>
        <v>25</v>
      </c>
      <c r="CK347" s="353">
        <f t="shared" ca="1" si="775"/>
        <v>0.67500000000000004</v>
      </c>
      <c r="CL347" s="354">
        <v>5</v>
      </c>
      <c r="CM347" s="350"/>
      <c r="CN347" s="462">
        <f ca="1">IF(LARGE(CI343:CI366,CL347)&lt;2,0,LARGE(CI343:CI366,CL347))</f>
        <v>0</v>
      </c>
      <c r="CO347" s="356" t="str">
        <f t="shared" ca="1" si="776"/>
        <v/>
      </c>
      <c r="CP347" s="357" t="str">
        <f t="shared" ca="1" si="777"/>
        <v/>
      </c>
      <c r="CQ347" s="463" t="str">
        <f ca="1">IF(ISERR(LARGE(CP343:CP366,$CL347)),"",LARGE(CP343:CP366,$CL347))</f>
        <v/>
      </c>
      <c r="CR347" s="356" t="str">
        <f t="shared" ca="1" si="778"/>
        <v/>
      </c>
      <c r="CS347" s="357" t="str">
        <f t="shared" ca="1" si="779"/>
        <v/>
      </c>
      <c r="CT347" s="463" t="str">
        <f ca="1">IF(ISERR(LARGE(CS343:CS366,$CL347)),"",LARGE(CS343:CS366,$CL347))</f>
        <v/>
      </c>
      <c r="CU347" s="356" t="str">
        <f t="shared" ca="1" si="780"/>
        <v/>
      </c>
      <c r="CV347" s="357" t="str">
        <f t="shared" ca="1" si="781"/>
        <v/>
      </c>
      <c r="CW347" s="463" t="str">
        <f ca="1">IF(ISERR(LARGE(CV343:CV366,$CL347)),"",LARGE(CV343:CV366,$CL347))</f>
        <v/>
      </c>
      <c r="CX347" s="356" t="str">
        <f t="shared" ca="1" si="782"/>
        <v/>
      </c>
      <c r="CY347" s="357" t="str">
        <f t="shared" ca="1" si="783"/>
        <v/>
      </c>
      <c r="CZ347" s="380"/>
      <c r="DA347" s="356" t="str">
        <f t="shared" ca="1" si="784"/>
        <v/>
      </c>
      <c r="DB347" s="357" t="str">
        <f t="shared" ca="1" si="785"/>
        <v/>
      </c>
      <c r="DC347" s="385"/>
      <c r="DD347" s="356" t="str">
        <f t="shared" ca="1" si="786"/>
        <v/>
      </c>
      <c r="DE347" s="357" t="str">
        <f t="shared" ca="1" si="787"/>
        <v/>
      </c>
      <c r="DF347" s="385"/>
      <c r="DG347" s="350"/>
      <c r="DH347" s="300"/>
      <c r="DI347" s="464" t="str">
        <f t="shared" ca="1" si="758"/>
        <v/>
      </c>
      <c r="DJ347" s="465" t="str">
        <f t="shared" ca="1" si="759"/>
        <v/>
      </c>
      <c r="DK347" s="360" t="str">
        <f t="shared" ca="1" si="760"/>
        <v/>
      </c>
      <c r="DL347" s="354" t="str">
        <f t="shared" ca="1" si="761"/>
        <v/>
      </c>
      <c r="DM347" s="354" t="str">
        <f t="shared" ca="1" si="762"/>
        <v/>
      </c>
      <c r="DN347" s="361" t="str">
        <f t="shared" ca="1" si="763"/>
        <v/>
      </c>
      <c r="DO347" s="362" t="str">
        <f t="shared" ca="1" si="764"/>
        <v/>
      </c>
      <c r="DP347" s="379" t="str">
        <f t="shared" ca="1" si="791"/>
        <v>Vakana</v>
      </c>
      <c r="DQ347" s="302"/>
      <c r="DR347" s="364"/>
      <c r="DS347" s="302"/>
      <c r="DU347" s="365"/>
      <c r="DV347" s="366" t="str">
        <f ca="1">IF(AND($AJ$44,DI342,DP342&lt;&gt;2),DI347,"")</f>
        <v/>
      </c>
      <c r="DW347" s="366">
        <f t="shared" ca="1" si="765"/>
        <v>-1</v>
      </c>
      <c r="DX347" s="366">
        <f t="shared" ca="1" si="766"/>
        <v>0</v>
      </c>
      <c r="DZ347" s="366">
        <f t="shared" ca="1" si="767"/>
        <v>0</v>
      </c>
      <c r="EA347" s="366">
        <f t="shared" ca="1" si="768"/>
        <v>0</v>
      </c>
      <c r="EC347" s="366">
        <f t="shared" ca="1" si="788"/>
        <v>0</v>
      </c>
      <c r="EE347" s="366">
        <f t="shared" ca="1" si="769"/>
        <v>-1000000</v>
      </c>
      <c r="EI347" s="366">
        <f t="shared" ca="1" si="770"/>
        <v>0</v>
      </c>
      <c r="EJ347" s="366">
        <f ca="1">IF(EI347=0,0,RANK(EI347,EI343:EI352,1))</f>
        <v>0</v>
      </c>
      <c r="EK347" s="366">
        <f t="shared" ca="1" si="789"/>
        <v>0</v>
      </c>
      <c r="EL347" s="365"/>
      <c r="EM347" s="367">
        <f ca="1">IF($AJ$54,COUNTIF(EE354:EE363,EN346)*IF(OR(EN347=0,EN347=EN346),0,1),COUNTIF(DW343:DW352,EO347)*IF(OR(EO347=EO346,EO347&lt;0),0,1))+EP347/1000</f>
        <v>5.0000000000000001E-3</v>
      </c>
      <c r="EN347" s="368">
        <v>0</v>
      </c>
      <c r="EO347" s="369">
        <f ca="1">LARGE(DW343:DW352,EP347)</f>
        <v>-1</v>
      </c>
      <c r="EP347" s="369">
        <v>5</v>
      </c>
      <c r="EQ347" s="365"/>
      <c r="ER347" s="365"/>
      <c r="ES347" s="371" t="str">
        <f ca="1">IF(DW347=ES342,DV347,IF(EE358=ES342,DV358,""))</f>
        <v/>
      </c>
      <c r="ET347" s="369" t="str">
        <f t="shared" ca="1" si="771"/>
        <v/>
      </c>
      <c r="EU347" s="388" t="str">
        <f ca="1">IF(ISERR(LARGE(ET343:ET352,EP347)),"",LARGE(ET343:ET352,EP347))</f>
        <v/>
      </c>
      <c r="EV347" s="371" t="str">
        <f ca="1">IF(DW347=EV342,DV347,IF(EE358=EV342,DV358,""))</f>
        <v/>
      </c>
      <c r="EW347" s="369" t="str">
        <f t="shared" ca="1" si="772"/>
        <v/>
      </c>
      <c r="EX347" s="386"/>
      <c r="EY347" s="371" t="str">
        <f ca="1">IF(DW347=EY342,DV347,IF(EE358=EY342,DV358,""))</f>
        <v/>
      </c>
      <c r="EZ347" s="369" t="str">
        <f t="shared" ca="1" si="773"/>
        <v/>
      </c>
      <c r="FA347" s="386"/>
      <c r="FB347" s="365"/>
      <c r="FC347" s="366"/>
      <c r="FD347" s="373"/>
      <c r="FE347" s="333"/>
      <c r="FP347" s="395" t="str">
        <f t="shared" ca="1" si="792"/>
        <v/>
      </c>
      <c r="FQ347" s="360" t="str">
        <f t="shared" ca="1" si="793"/>
        <v/>
      </c>
      <c r="FR347" s="360" t="str">
        <f t="shared" ca="1" si="794"/>
        <v/>
      </c>
      <c r="FS347" s="360" t="str">
        <f t="shared" ca="1" si="795"/>
        <v/>
      </c>
      <c r="FT347" s="360" t="str">
        <f t="shared" ca="1" si="796"/>
        <v/>
      </c>
      <c r="FU347" s="360" t="str">
        <f t="shared" ca="1" si="797"/>
        <v/>
      </c>
      <c r="FV347" s="360" t="str">
        <f t="shared" ca="1" si="798"/>
        <v/>
      </c>
      <c r="FW347" s="360" t="str">
        <f t="shared" ca="1" si="799"/>
        <v/>
      </c>
      <c r="FX347" s="360" t="str">
        <f t="shared" ca="1" si="800"/>
        <v/>
      </c>
      <c r="FY347" s="360" t="str">
        <f t="shared" ca="1" si="801"/>
        <v/>
      </c>
      <c r="FZ347" s="379" t="str">
        <f ca="1">FZ346</f>
        <v/>
      </c>
      <c r="GA347" s="302"/>
      <c r="GB347" s="364"/>
    </row>
    <row r="348" spans="86:184" x14ac:dyDescent="0.25">
      <c r="CH348" s="350"/>
      <c r="CI348" s="353">
        <f t="shared" ca="1" si="790"/>
        <v>6.0000000000000001E-3</v>
      </c>
      <c r="CJ348" s="352">
        <f t="shared" ca="1" si="774"/>
        <v>25</v>
      </c>
      <c r="CK348" s="353">
        <f t="shared" ca="1" si="775"/>
        <v>0.6</v>
      </c>
      <c r="CL348" s="354">
        <v>6</v>
      </c>
      <c r="CM348" s="350"/>
      <c r="CN348" s="462">
        <f ca="1">IF(LARGE(CI343:CI366,CL348)&lt;2,0,LARGE(CI343:CI366,CL348))</f>
        <v>0</v>
      </c>
      <c r="CO348" s="356" t="str">
        <f t="shared" ca="1" si="776"/>
        <v/>
      </c>
      <c r="CP348" s="357" t="str">
        <f t="shared" ca="1" si="777"/>
        <v/>
      </c>
      <c r="CQ348" s="463" t="str">
        <f ca="1">IF(ISERR(LARGE(CP343:CP366,$CL348)),"",LARGE(CP343:CP366,$CL348))</f>
        <v/>
      </c>
      <c r="CR348" s="356" t="str">
        <f t="shared" ca="1" si="778"/>
        <v>Élelmesek</v>
      </c>
      <c r="CS348" s="357">
        <f t="shared" ca="1" si="779"/>
        <v>6</v>
      </c>
      <c r="CT348" s="463" t="str">
        <f ca="1">IF(ISERR(LARGE(CS343:CS366,$CL348)),"",LARGE(CS343:CS366,$CL348))</f>
        <v/>
      </c>
      <c r="CU348" s="356" t="str">
        <f t="shared" ca="1" si="780"/>
        <v/>
      </c>
      <c r="CV348" s="357" t="str">
        <f t="shared" ca="1" si="781"/>
        <v/>
      </c>
      <c r="CW348" s="380"/>
      <c r="CX348" s="356" t="str">
        <f t="shared" ca="1" si="782"/>
        <v/>
      </c>
      <c r="CY348" s="357" t="str">
        <f t="shared" ca="1" si="783"/>
        <v/>
      </c>
      <c r="CZ348" s="385"/>
      <c r="DA348" s="356" t="str">
        <f t="shared" ca="1" si="784"/>
        <v/>
      </c>
      <c r="DB348" s="357" t="str">
        <f t="shared" ca="1" si="785"/>
        <v/>
      </c>
      <c r="DC348" s="385"/>
      <c r="DD348" s="356" t="str">
        <f t="shared" ca="1" si="786"/>
        <v/>
      </c>
      <c r="DE348" s="357" t="str">
        <f t="shared" ca="1" si="787"/>
        <v/>
      </c>
      <c r="DF348" s="385"/>
      <c r="DG348" s="350"/>
      <c r="DH348" s="300"/>
      <c r="DI348" s="464" t="str">
        <f t="shared" ca="1" si="758"/>
        <v/>
      </c>
      <c r="DJ348" s="465" t="str">
        <f t="shared" ca="1" si="759"/>
        <v/>
      </c>
      <c r="DK348" s="360" t="str">
        <f t="shared" ca="1" si="760"/>
        <v/>
      </c>
      <c r="DL348" s="354" t="str">
        <f t="shared" ca="1" si="761"/>
        <v/>
      </c>
      <c r="DM348" s="354" t="str">
        <f t="shared" ca="1" si="762"/>
        <v/>
      </c>
      <c r="DN348" s="361" t="str">
        <f t="shared" ca="1" si="763"/>
        <v/>
      </c>
      <c r="DO348" s="362" t="str">
        <f t="shared" ca="1" si="764"/>
        <v/>
      </c>
      <c r="DP348" s="379" t="str">
        <f t="shared" ca="1" si="791"/>
        <v>Vakana</v>
      </c>
      <c r="DQ348" s="302"/>
      <c r="DR348" s="364"/>
      <c r="DS348" s="302"/>
      <c r="DU348" s="365"/>
      <c r="DV348" s="366" t="str">
        <f ca="1">IF(AND($AJ$44,DI342,DP342&lt;&gt;2),DI348,"")</f>
        <v/>
      </c>
      <c r="DW348" s="366">
        <f t="shared" ca="1" si="765"/>
        <v>-1</v>
      </c>
      <c r="DX348" s="366">
        <f t="shared" ca="1" si="766"/>
        <v>0</v>
      </c>
      <c r="DZ348" s="366">
        <f t="shared" ca="1" si="767"/>
        <v>0</v>
      </c>
      <c r="EA348" s="366">
        <f t="shared" ca="1" si="768"/>
        <v>0</v>
      </c>
      <c r="EC348" s="366">
        <f t="shared" ca="1" si="788"/>
        <v>0</v>
      </c>
      <c r="EE348" s="366">
        <f t="shared" ca="1" si="769"/>
        <v>-1000000</v>
      </c>
      <c r="EI348" s="366">
        <f t="shared" ca="1" si="770"/>
        <v>0</v>
      </c>
      <c r="EJ348" s="366">
        <f ca="1">IF(EI348=0,0,RANK(EI348,EI343:EI352,1))</f>
        <v>0</v>
      </c>
      <c r="EK348" s="366">
        <f t="shared" ca="1" si="789"/>
        <v>0</v>
      </c>
      <c r="EL348" s="365"/>
      <c r="EM348" s="367">
        <f ca="1">IF($AJ$54,COUNTIF(EE354:EE363,EN347)*IF(OR(EN348=0,EN348=EN347),0,1),COUNTIF(DW343:DW352,EO348)*IF(OR(EO348=EO347,EO348&lt;0),0,1))+EP348/1000</f>
        <v>6.0000000000000001E-3</v>
      </c>
      <c r="EN348" s="368">
        <v>0</v>
      </c>
      <c r="EO348" s="369">
        <f ca="1">LARGE(DW343:DW352,EP348)</f>
        <v>-1</v>
      </c>
      <c r="EP348" s="369">
        <v>6</v>
      </c>
      <c r="EQ348" s="365"/>
      <c r="ER348" s="365"/>
      <c r="ES348" s="371" t="str">
        <f ca="1">IF(DW348=ES342,DV348,IF(EE359=ES342,DV359,""))</f>
        <v/>
      </c>
      <c r="ET348" s="369" t="str">
        <f t="shared" ca="1" si="771"/>
        <v/>
      </c>
      <c r="EU348" s="386"/>
      <c r="EV348" s="371" t="str">
        <f ca="1">IF(DW348=EV342,DV348,IF(EE359=EV342,DV359,""))</f>
        <v/>
      </c>
      <c r="EW348" s="369" t="str">
        <f t="shared" ca="1" si="772"/>
        <v/>
      </c>
      <c r="EX348" s="386"/>
      <c r="EY348" s="371" t="str">
        <f ca="1">IF(DW348=EY342,DV348,IF(EE359=EY342,DV359,""))</f>
        <v/>
      </c>
      <c r="EZ348" s="369" t="str">
        <f t="shared" ca="1" si="773"/>
        <v/>
      </c>
      <c r="FA348" s="386"/>
      <c r="FB348" s="365"/>
      <c r="FC348" s="366"/>
      <c r="FD348" s="373"/>
      <c r="FE348" s="333"/>
      <c r="FP348" s="395" t="str">
        <f t="shared" ca="1" si="792"/>
        <v/>
      </c>
      <c r="FQ348" s="360" t="str">
        <f t="shared" ca="1" si="793"/>
        <v/>
      </c>
      <c r="FR348" s="360" t="str">
        <f t="shared" ca="1" si="794"/>
        <v/>
      </c>
      <c r="FS348" s="360" t="str">
        <f t="shared" ca="1" si="795"/>
        <v/>
      </c>
      <c r="FT348" s="360" t="str">
        <f t="shared" ca="1" si="796"/>
        <v/>
      </c>
      <c r="FU348" s="360" t="str">
        <f t="shared" ca="1" si="797"/>
        <v/>
      </c>
      <c r="FV348" s="360" t="str">
        <f t="shared" ca="1" si="798"/>
        <v/>
      </c>
      <c r="FW348" s="360" t="str">
        <f t="shared" ca="1" si="799"/>
        <v/>
      </c>
      <c r="FX348" s="360" t="str">
        <f t="shared" ca="1" si="800"/>
        <v/>
      </c>
      <c r="FY348" s="360" t="str">
        <f t="shared" ca="1" si="801"/>
        <v/>
      </c>
      <c r="FZ348" s="379" t="str">
        <f ca="1">FZ347</f>
        <v/>
      </c>
      <c r="GA348" s="302"/>
      <c r="GB348" s="364"/>
    </row>
    <row r="349" spans="86:184" x14ac:dyDescent="0.25">
      <c r="CH349" s="350"/>
      <c r="CI349" s="353">
        <f t="shared" ca="1" si="790"/>
        <v>2.0070000000000001</v>
      </c>
      <c r="CJ349" s="352">
        <f t="shared" ca="1" si="774"/>
        <v>20</v>
      </c>
      <c r="CK349" s="353">
        <f t="shared" ca="1" si="775"/>
        <v>0.6</v>
      </c>
      <c r="CL349" s="354">
        <v>7</v>
      </c>
      <c r="CM349" s="350"/>
      <c r="CN349" s="300"/>
      <c r="CO349" s="356" t="str">
        <f t="shared" ca="1" si="776"/>
        <v/>
      </c>
      <c r="CP349" s="357" t="str">
        <f t="shared" ca="1" si="777"/>
        <v/>
      </c>
      <c r="CQ349" s="463" t="str">
        <f ca="1">IF(ISERR(LARGE(CP343:CP366,$CL349)),"",LARGE(CP343:CP366,$CL349))</f>
        <v/>
      </c>
      <c r="CR349" s="356" t="str">
        <f t="shared" ca="1" si="778"/>
        <v>Hercules-Ludovika</v>
      </c>
      <c r="CS349" s="357">
        <f t="shared" ca="1" si="779"/>
        <v>7</v>
      </c>
      <c r="CT349" s="463" t="str">
        <f ca="1">IF(ISERR(LARGE(CS343:CS366,$CL349)),"",LARGE(CS343:CS366,$CL349))</f>
        <v/>
      </c>
      <c r="CU349" s="356" t="str">
        <f t="shared" ca="1" si="780"/>
        <v/>
      </c>
      <c r="CV349" s="357" t="str">
        <f t="shared" ca="1" si="781"/>
        <v/>
      </c>
      <c r="CW349" s="385"/>
      <c r="CX349" s="356" t="str">
        <f t="shared" ca="1" si="782"/>
        <v/>
      </c>
      <c r="CY349" s="357" t="str">
        <f t="shared" ca="1" si="783"/>
        <v/>
      </c>
      <c r="CZ349" s="385"/>
      <c r="DA349" s="356" t="str">
        <f t="shared" ca="1" si="784"/>
        <v/>
      </c>
      <c r="DB349" s="357" t="str">
        <f t="shared" ca="1" si="785"/>
        <v/>
      </c>
      <c r="DC349" s="385"/>
      <c r="DD349" s="356" t="str">
        <f t="shared" ca="1" si="786"/>
        <v/>
      </c>
      <c r="DE349" s="357" t="str">
        <f t="shared" ca="1" si="787"/>
        <v/>
      </c>
      <c r="DF349" s="385"/>
      <c r="DG349" s="350"/>
      <c r="DH349" s="300"/>
      <c r="DI349" s="464" t="str">
        <f t="shared" ca="1" si="758"/>
        <v/>
      </c>
      <c r="DJ349" s="465" t="str">
        <f t="shared" ca="1" si="759"/>
        <v/>
      </c>
      <c r="DK349" s="360" t="str">
        <f t="shared" ca="1" si="760"/>
        <v/>
      </c>
      <c r="DL349" s="354" t="str">
        <f t="shared" ca="1" si="761"/>
        <v/>
      </c>
      <c r="DM349" s="354" t="str">
        <f t="shared" ca="1" si="762"/>
        <v/>
      </c>
      <c r="DN349" s="361" t="str">
        <f t="shared" ca="1" si="763"/>
        <v/>
      </c>
      <c r="DO349" s="362" t="str">
        <f t="shared" ca="1" si="764"/>
        <v/>
      </c>
      <c r="DP349" s="379" t="str">
        <f t="shared" ca="1" si="791"/>
        <v>Vakana</v>
      </c>
      <c r="DQ349" s="302"/>
      <c r="DR349" s="364"/>
      <c r="DS349" s="302"/>
      <c r="DU349" s="365"/>
      <c r="DV349" s="366" t="str">
        <f ca="1">IF(AND($AJ$44,DI342,DP342&lt;&gt;2),DI349,"")</f>
        <v/>
      </c>
      <c r="DW349" s="366">
        <f t="shared" ca="1" si="765"/>
        <v>-1</v>
      </c>
      <c r="DX349" s="366">
        <f t="shared" ca="1" si="766"/>
        <v>0</v>
      </c>
      <c r="DZ349" s="366">
        <f t="shared" ca="1" si="767"/>
        <v>0</v>
      </c>
      <c r="EA349" s="366">
        <f t="shared" ca="1" si="768"/>
        <v>0</v>
      </c>
      <c r="EC349" s="366">
        <f t="shared" ca="1" si="788"/>
        <v>0</v>
      </c>
      <c r="EE349" s="366">
        <f t="shared" ca="1" si="769"/>
        <v>-1000000</v>
      </c>
      <c r="EI349" s="366">
        <f t="shared" ca="1" si="770"/>
        <v>0</v>
      </c>
      <c r="EJ349" s="366">
        <f ca="1">IF(EI349=0,0,RANK(EI349,EI343:EI352,1))</f>
        <v>0</v>
      </c>
      <c r="EK349" s="366">
        <f t="shared" ca="1" si="789"/>
        <v>0</v>
      </c>
      <c r="EL349" s="365"/>
      <c r="EM349" s="367">
        <f ca="1">IF($AJ$54,COUNTIF(EE354:EE363,EN348)*IF(OR(EN349=0,EN349=EN348),0,1),COUNTIF(DW343:DW352,EO349)*IF(OR(EO349=EO348,EO349&lt;0),0,1))+EP349/1000</f>
        <v>7.0000000000000001E-3</v>
      </c>
      <c r="EN349" s="368">
        <v>0</v>
      </c>
      <c r="EO349" s="369">
        <f ca="1">LARGE(DW343:DW352,EP349)</f>
        <v>-1</v>
      </c>
      <c r="EP349" s="369">
        <v>7</v>
      </c>
      <c r="EQ349" s="365"/>
      <c r="ER349" s="365"/>
      <c r="ES349" s="371" t="str">
        <f ca="1">IF(DW349=ES342,DV349,IF(EE360=ES342,DV360,""))</f>
        <v/>
      </c>
      <c r="ET349" s="369" t="str">
        <f t="shared" ca="1" si="771"/>
        <v/>
      </c>
      <c r="EU349" s="386"/>
      <c r="EV349" s="371" t="str">
        <f ca="1">IF(DW349=EV342,DV349,IF(EE360=EV342,DV360,""))</f>
        <v/>
      </c>
      <c r="EW349" s="369" t="str">
        <f t="shared" ca="1" si="772"/>
        <v/>
      </c>
      <c r="EX349" s="386"/>
      <c r="EY349" s="371" t="str">
        <f ca="1">IF(DW349=EY342,DV349,IF(EE360=EY342,DV360,""))</f>
        <v/>
      </c>
      <c r="EZ349" s="369" t="str">
        <f t="shared" ca="1" si="773"/>
        <v/>
      </c>
      <c r="FA349" s="386"/>
      <c r="FB349" s="365"/>
      <c r="FC349" s="366"/>
      <c r="FD349" s="373"/>
      <c r="FE349" s="333"/>
      <c r="FP349" s="395" t="str">
        <f t="shared" ca="1" si="792"/>
        <v/>
      </c>
      <c r="FQ349" s="360" t="str">
        <f t="shared" ca="1" si="793"/>
        <v/>
      </c>
      <c r="FR349" s="360" t="str">
        <f t="shared" ca="1" si="794"/>
        <v/>
      </c>
      <c r="FS349" s="360" t="str">
        <f t="shared" ca="1" si="795"/>
        <v/>
      </c>
      <c r="FT349" s="360" t="str">
        <f t="shared" ca="1" si="796"/>
        <v/>
      </c>
      <c r="FU349" s="360" t="str">
        <f t="shared" ca="1" si="797"/>
        <v/>
      </c>
      <c r="FV349" s="360" t="str">
        <f t="shared" ca="1" si="798"/>
        <v/>
      </c>
      <c r="FW349" s="360" t="str">
        <f t="shared" ca="1" si="799"/>
        <v/>
      </c>
      <c r="FX349" s="360" t="str">
        <f t="shared" ca="1" si="800"/>
        <v/>
      </c>
      <c r="FY349" s="360" t="str">
        <f t="shared" ca="1" si="801"/>
        <v/>
      </c>
      <c r="FZ349" s="379" t="str">
        <f ca="1">FZ348</f>
        <v/>
      </c>
      <c r="GA349" s="302"/>
      <c r="GB349" s="364"/>
    </row>
    <row r="350" spans="86:184" x14ac:dyDescent="0.25">
      <c r="CH350" s="350"/>
      <c r="CI350" s="353">
        <f t="shared" ca="1" si="790"/>
        <v>8.0000000000000002E-3</v>
      </c>
      <c r="CJ350" s="352">
        <f t="shared" ca="1" si="774"/>
        <v>20</v>
      </c>
      <c r="CK350" s="353">
        <f t="shared" ca="1" si="775"/>
        <v>0.57499999999999996</v>
      </c>
      <c r="CL350" s="354">
        <v>8</v>
      </c>
      <c r="CM350" s="350"/>
      <c r="CN350" s="300"/>
      <c r="CO350" s="356" t="str">
        <f t="shared" ca="1" si="776"/>
        <v/>
      </c>
      <c r="CP350" s="357" t="str">
        <f t="shared" ca="1" si="777"/>
        <v/>
      </c>
      <c r="CQ350" s="463" t="str">
        <f ca="1">IF(ISERR(LARGE(CP343:CP366,$CL350)),"",LARGE(CP343:CP366,$CL350))</f>
        <v/>
      </c>
      <c r="CR350" s="356" t="str">
        <f t="shared" ca="1" si="778"/>
        <v/>
      </c>
      <c r="CS350" s="357" t="str">
        <f t="shared" ca="1" si="779"/>
        <v/>
      </c>
      <c r="CT350" s="380"/>
      <c r="CU350" s="356" t="str">
        <f t="shared" ca="1" si="780"/>
        <v>K&amp;H</v>
      </c>
      <c r="CV350" s="357">
        <f t="shared" ca="1" si="781"/>
        <v>8</v>
      </c>
      <c r="CW350" s="385"/>
      <c r="CX350" s="356" t="str">
        <f t="shared" ca="1" si="782"/>
        <v/>
      </c>
      <c r="CY350" s="357" t="str">
        <f t="shared" ca="1" si="783"/>
        <v/>
      </c>
      <c r="CZ350" s="385"/>
      <c r="DA350" s="356" t="str">
        <f t="shared" ca="1" si="784"/>
        <v/>
      </c>
      <c r="DB350" s="357" t="str">
        <f t="shared" ca="1" si="785"/>
        <v/>
      </c>
      <c r="DC350" s="385"/>
      <c r="DD350" s="356" t="str">
        <f t="shared" ca="1" si="786"/>
        <v/>
      </c>
      <c r="DE350" s="357" t="str">
        <f t="shared" ca="1" si="787"/>
        <v/>
      </c>
      <c r="DF350" s="385"/>
      <c r="DG350" s="350"/>
      <c r="DH350" s="300"/>
      <c r="DI350" s="464" t="str">
        <f t="shared" ca="1" si="758"/>
        <v/>
      </c>
      <c r="DJ350" s="465" t="str">
        <f t="shared" ca="1" si="759"/>
        <v/>
      </c>
      <c r="DK350" s="360" t="str">
        <f t="shared" ca="1" si="760"/>
        <v/>
      </c>
      <c r="DL350" s="354" t="str">
        <f t="shared" ca="1" si="761"/>
        <v/>
      </c>
      <c r="DM350" s="354" t="str">
        <f t="shared" ca="1" si="762"/>
        <v/>
      </c>
      <c r="DN350" s="361" t="str">
        <f t="shared" ca="1" si="763"/>
        <v/>
      </c>
      <c r="DO350" s="362" t="str">
        <f t="shared" ca="1" si="764"/>
        <v/>
      </c>
      <c r="DP350" s="379" t="str">
        <f t="shared" ca="1" si="791"/>
        <v>Vakana</v>
      </c>
      <c r="DQ350" s="302"/>
      <c r="DR350" s="364"/>
      <c r="DS350" s="302"/>
      <c r="DU350" s="365"/>
      <c r="DV350" s="366" t="str">
        <f ca="1">IF(AND($AJ$44,DI342,DP342&lt;&gt;2),DI350,"")</f>
        <v/>
      </c>
      <c r="DW350" s="366">
        <f t="shared" ca="1" si="765"/>
        <v>-1</v>
      </c>
      <c r="DX350" s="366">
        <f t="shared" ca="1" si="766"/>
        <v>0</v>
      </c>
      <c r="DZ350" s="366">
        <f t="shared" ca="1" si="767"/>
        <v>0</v>
      </c>
      <c r="EA350" s="366">
        <f t="shared" ca="1" si="768"/>
        <v>0</v>
      </c>
      <c r="EC350" s="366">
        <f t="shared" ca="1" si="788"/>
        <v>0</v>
      </c>
      <c r="EE350" s="366">
        <f t="shared" ca="1" si="769"/>
        <v>-1000000</v>
      </c>
      <c r="EI350" s="366">
        <f t="shared" ca="1" si="770"/>
        <v>0</v>
      </c>
      <c r="EJ350" s="366">
        <f ca="1">IF(EI350=0,0,RANK(EI350,EI343:EI352,1))</f>
        <v>0</v>
      </c>
      <c r="EK350" s="366">
        <f t="shared" ca="1" si="789"/>
        <v>0</v>
      </c>
      <c r="EL350" s="365"/>
      <c r="EM350" s="367">
        <f ca="1">IF($AJ$54,COUNTIF(EE354:EE363,EN349)*IF(OR(EN350=0,EN350=EN349),0,1),COUNTIF(DW343:DW352,EO350)*IF(OR(EO350=EO349,EO350&lt;0),0,1))+EP350/1000</f>
        <v>8.0000000000000002E-3</v>
      </c>
      <c r="EN350" s="368">
        <v>0</v>
      </c>
      <c r="EO350" s="369">
        <f ca="1">LARGE(DW343:DW352,EP350)</f>
        <v>-1</v>
      </c>
      <c r="EP350" s="369">
        <v>8</v>
      </c>
      <c r="EQ350" s="365"/>
      <c r="ER350" s="365"/>
      <c r="ES350" s="371" t="str">
        <f ca="1">IF(DW350=ES342,DV350,IF(EE361=ES342,DV361,""))</f>
        <v/>
      </c>
      <c r="ET350" s="369" t="str">
        <f t="shared" ca="1" si="771"/>
        <v/>
      </c>
      <c r="EU350" s="386"/>
      <c r="EV350" s="371" t="str">
        <f ca="1">IF(DW350=EV342,DV350,IF(EE361=EV342,DV361,""))</f>
        <v/>
      </c>
      <c r="EW350" s="369" t="str">
        <f t="shared" ca="1" si="772"/>
        <v/>
      </c>
      <c r="EX350" s="386"/>
      <c r="EY350" s="371" t="str">
        <f ca="1">IF(DW350=EY342,DV350,IF(EE361=EY342,DV361,""))</f>
        <v/>
      </c>
      <c r="EZ350" s="369" t="str">
        <f t="shared" ca="1" si="773"/>
        <v/>
      </c>
      <c r="FA350" s="386"/>
      <c r="FB350" s="365"/>
      <c r="FC350" s="366"/>
      <c r="FD350" s="373"/>
      <c r="FE350" s="333"/>
      <c r="FP350" s="395" t="str">
        <f t="shared" ca="1" si="792"/>
        <v/>
      </c>
      <c r="FQ350" s="360" t="str">
        <f t="shared" ca="1" si="793"/>
        <v/>
      </c>
      <c r="FR350" s="360" t="str">
        <f t="shared" ca="1" si="794"/>
        <v/>
      </c>
      <c r="FS350" s="360" t="str">
        <f t="shared" ca="1" si="795"/>
        <v/>
      </c>
      <c r="FT350" s="360" t="str">
        <f t="shared" ca="1" si="796"/>
        <v/>
      </c>
      <c r="FU350" s="360" t="str">
        <f t="shared" ca="1" si="797"/>
        <v/>
      </c>
      <c r="FV350" s="360" t="str">
        <f t="shared" ca="1" si="798"/>
        <v/>
      </c>
      <c r="FW350" s="360" t="str">
        <f t="shared" ca="1" si="799"/>
        <v/>
      </c>
      <c r="FX350" s="360" t="str">
        <f t="shared" ca="1" si="800"/>
        <v/>
      </c>
      <c r="FY350" s="360" t="str">
        <f t="shared" ca="1" si="801"/>
        <v/>
      </c>
      <c r="FZ350" s="379" t="str">
        <f ca="1">FZ349</f>
        <v/>
      </c>
      <c r="GA350" s="302"/>
      <c r="GB350" s="364"/>
    </row>
    <row r="351" spans="86:184" x14ac:dyDescent="0.25">
      <c r="CH351" s="350"/>
      <c r="CI351" s="353">
        <f t="shared" ca="1" si="790"/>
        <v>1.0089999999999999</v>
      </c>
      <c r="CJ351" s="352">
        <f t="shared" ca="1" si="774"/>
        <v>14</v>
      </c>
      <c r="CK351" s="353">
        <f t="shared" ca="1" si="775"/>
        <v>0.57499999999999996</v>
      </c>
      <c r="CL351" s="354">
        <v>9</v>
      </c>
      <c r="CM351" s="350"/>
      <c r="CN351" s="300"/>
      <c r="CO351" s="356" t="str">
        <f t="shared" ca="1" si="776"/>
        <v/>
      </c>
      <c r="CP351" s="357" t="str">
        <f t="shared" ca="1" si="777"/>
        <v/>
      </c>
      <c r="CQ351" s="463" t="str">
        <f ca="1">IF(ISERR(LARGE(CP343:CP366,$CL351)),"",LARGE(CP343:CP366,$CL351))</f>
        <v/>
      </c>
      <c r="CR351" s="356" t="str">
        <f t="shared" ca="1" si="778"/>
        <v/>
      </c>
      <c r="CS351" s="357" t="str">
        <f t="shared" ca="1" si="779"/>
        <v/>
      </c>
      <c r="CT351" s="385"/>
      <c r="CU351" s="356" t="str">
        <f t="shared" ca="1" si="780"/>
        <v/>
      </c>
      <c r="CV351" s="357" t="str">
        <f t="shared" ca="1" si="781"/>
        <v/>
      </c>
      <c r="CW351" s="385"/>
      <c r="CX351" s="356" t="str">
        <f t="shared" ca="1" si="782"/>
        <v/>
      </c>
      <c r="CY351" s="357" t="str">
        <f t="shared" ca="1" si="783"/>
        <v/>
      </c>
      <c r="CZ351" s="385"/>
      <c r="DA351" s="356" t="str">
        <f t="shared" ca="1" si="784"/>
        <v/>
      </c>
      <c r="DB351" s="357" t="str">
        <f t="shared" ca="1" si="785"/>
        <v/>
      </c>
      <c r="DC351" s="385"/>
      <c r="DD351" s="356" t="str">
        <f t="shared" ca="1" si="786"/>
        <v/>
      </c>
      <c r="DE351" s="357" t="str">
        <f t="shared" ca="1" si="787"/>
        <v/>
      </c>
      <c r="DF351" s="385"/>
      <c r="DG351" s="350"/>
      <c r="DH351" s="300"/>
      <c r="DI351" s="464" t="str">
        <f t="shared" ca="1" si="758"/>
        <v/>
      </c>
      <c r="DJ351" s="465" t="str">
        <f t="shared" ca="1" si="759"/>
        <v/>
      </c>
      <c r="DK351" s="360" t="str">
        <f t="shared" ca="1" si="760"/>
        <v/>
      </c>
      <c r="DL351" s="354" t="str">
        <f t="shared" ca="1" si="761"/>
        <v/>
      </c>
      <c r="DM351" s="354" t="str">
        <f t="shared" ca="1" si="762"/>
        <v/>
      </c>
      <c r="DN351" s="361" t="str">
        <f t="shared" ca="1" si="763"/>
        <v/>
      </c>
      <c r="DO351" s="362" t="str">
        <f t="shared" ca="1" si="764"/>
        <v/>
      </c>
      <c r="DP351" s="379" t="str">
        <f t="shared" ca="1" si="791"/>
        <v>Vakana</v>
      </c>
      <c r="DQ351" s="302"/>
      <c r="DR351" s="364"/>
      <c r="DS351" s="302"/>
      <c r="DU351" s="365"/>
      <c r="DV351" s="366" t="str">
        <f ca="1">IF(AND($AJ$44,DI342,DP342&lt;&gt;2),DI351,"")</f>
        <v/>
      </c>
      <c r="DW351" s="366">
        <f t="shared" ca="1" si="765"/>
        <v>-1</v>
      </c>
      <c r="DX351" s="366">
        <f t="shared" ca="1" si="766"/>
        <v>0</v>
      </c>
      <c r="DZ351" s="366">
        <f t="shared" ca="1" si="767"/>
        <v>0</v>
      </c>
      <c r="EA351" s="366">
        <f t="shared" ca="1" si="768"/>
        <v>0</v>
      </c>
      <c r="EC351" s="366">
        <f t="shared" ca="1" si="788"/>
        <v>0</v>
      </c>
      <c r="EE351" s="366">
        <f t="shared" ca="1" si="769"/>
        <v>-1000000</v>
      </c>
      <c r="EI351" s="366">
        <f t="shared" ca="1" si="770"/>
        <v>0</v>
      </c>
      <c r="EJ351" s="366">
        <f ca="1">IF(EI351=0,0,RANK(EI351,EI343:EI352,1))</f>
        <v>0</v>
      </c>
      <c r="EK351" s="366">
        <f t="shared" ca="1" si="789"/>
        <v>0</v>
      </c>
      <c r="EL351" s="365"/>
      <c r="EM351" s="367">
        <f ca="1">IF($AJ$54,COUNTIF(EE354:EE363,EN350)*IF(OR(EN351=0,EN351=EN350),0,1),COUNTIF(DW343:DW352,EO351)*IF(OR(EO351=EO350,EO351&lt;0),0,1))+EP351/1000</f>
        <v>8.9999999999999993E-3</v>
      </c>
      <c r="EN351" s="368">
        <v>0</v>
      </c>
      <c r="EO351" s="369">
        <f ca="1">LARGE(DW343:DW352,EP351)</f>
        <v>-1</v>
      </c>
      <c r="EP351" s="369">
        <v>9</v>
      </c>
      <c r="EQ351" s="365"/>
      <c r="ER351" s="365"/>
      <c r="ES351" s="371" t="str">
        <f ca="1">IF(DW351=ES342,DV351,IF(EE362=ES342,DV362,""))</f>
        <v/>
      </c>
      <c r="ET351" s="369" t="str">
        <f t="shared" ca="1" si="771"/>
        <v/>
      </c>
      <c r="EU351" s="386"/>
      <c r="EV351" s="371" t="str">
        <f ca="1">IF(DW351=EV342,DV351,IF(EE362=EV342,DV362,""))</f>
        <v/>
      </c>
      <c r="EW351" s="369" t="str">
        <f t="shared" ca="1" si="772"/>
        <v/>
      </c>
      <c r="EX351" s="386"/>
      <c r="EY351" s="371" t="str">
        <f ca="1">IF(DW351=EY342,DV351,IF(EE362=EY342,DV362,""))</f>
        <v/>
      </c>
      <c r="EZ351" s="369" t="str">
        <f t="shared" ca="1" si="773"/>
        <v/>
      </c>
      <c r="FA351" s="386"/>
      <c r="FB351" s="365"/>
      <c r="FC351" s="366"/>
      <c r="FD351" s="373"/>
      <c r="FE351" s="333"/>
      <c r="FP351" s="301"/>
      <c r="FQ351" s="302"/>
      <c r="FR351" s="302"/>
      <c r="FS351" s="302"/>
      <c r="FT351" s="302"/>
      <c r="FU351" s="302"/>
      <c r="FV351" s="302"/>
      <c r="FW351" s="302"/>
      <c r="FX351" s="302"/>
      <c r="FY351" s="302"/>
      <c r="FZ351" s="302"/>
      <c r="GA351" s="302"/>
      <c r="GB351" s="446" t="s">
        <v>246</v>
      </c>
    </row>
    <row r="352" spans="86:184" x14ac:dyDescent="0.25">
      <c r="CH352" s="350"/>
      <c r="CI352" s="353">
        <f t="shared" ca="1" si="790"/>
        <v>1.01</v>
      </c>
      <c r="CJ352" s="352">
        <f t="shared" ca="1" si="774"/>
        <v>13</v>
      </c>
      <c r="CK352" s="353">
        <f t="shared" ca="1" si="775"/>
        <v>0.55000000000000004</v>
      </c>
      <c r="CL352" s="354">
        <v>10</v>
      </c>
      <c r="CM352" s="350"/>
      <c r="CN352" s="300"/>
      <c r="CO352" s="356" t="str">
        <f t="shared" ca="1" si="776"/>
        <v>Vakana</v>
      </c>
      <c r="CP352" s="357">
        <f t="shared" ca="1" si="777"/>
        <v>10</v>
      </c>
      <c r="CQ352" s="463" t="str">
        <f ca="1">IF(ISERR(LARGE(CP343:CP366,$CL352)),"",LARGE(CP343:CP366,$CL352))</f>
        <v/>
      </c>
      <c r="CR352" s="356" t="str">
        <f t="shared" ca="1" si="778"/>
        <v/>
      </c>
      <c r="CS352" s="357" t="str">
        <f t="shared" ca="1" si="779"/>
        <v/>
      </c>
      <c r="CT352" s="385"/>
      <c r="CU352" s="356" t="str">
        <f t="shared" ca="1" si="780"/>
        <v/>
      </c>
      <c r="CV352" s="357" t="str">
        <f t="shared" ca="1" si="781"/>
        <v/>
      </c>
      <c r="CW352" s="385"/>
      <c r="CX352" s="356" t="str">
        <f t="shared" ca="1" si="782"/>
        <v/>
      </c>
      <c r="CY352" s="357" t="str">
        <f t="shared" ca="1" si="783"/>
        <v/>
      </c>
      <c r="CZ352" s="385"/>
      <c r="DA352" s="356" t="str">
        <f t="shared" ca="1" si="784"/>
        <v/>
      </c>
      <c r="DB352" s="357" t="str">
        <f t="shared" ca="1" si="785"/>
        <v/>
      </c>
      <c r="DC352" s="385"/>
      <c r="DD352" s="356" t="str">
        <f t="shared" ca="1" si="786"/>
        <v/>
      </c>
      <c r="DE352" s="357" t="str">
        <f t="shared" ca="1" si="787"/>
        <v/>
      </c>
      <c r="DF352" s="385"/>
      <c r="DG352" s="350"/>
      <c r="DH352" s="300"/>
      <c r="DI352" s="464" t="str">
        <f t="shared" ca="1" si="758"/>
        <v/>
      </c>
      <c r="DJ352" s="465" t="str">
        <f t="shared" ca="1" si="759"/>
        <v/>
      </c>
      <c r="DK352" s="360" t="str">
        <f t="shared" ca="1" si="760"/>
        <v/>
      </c>
      <c r="DL352" s="354" t="str">
        <f t="shared" ca="1" si="761"/>
        <v/>
      </c>
      <c r="DM352" s="354" t="str">
        <f t="shared" ca="1" si="762"/>
        <v/>
      </c>
      <c r="DN352" s="361" t="str">
        <f t="shared" ca="1" si="763"/>
        <v/>
      </c>
      <c r="DO352" s="362" t="str">
        <f t="shared" ca="1" si="764"/>
        <v/>
      </c>
      <c r="DP352" s="379" t="str">
        <f t="shared" ca="1" si="791"/>
        <v>Vakana</v>
      </c>
      <c r="DQ352" s="302"/>
      <c r="DR352" s="364"/>
      <c r="DS352" s="302"/>
      <c r="DU352" s="365"/>
      <c r="DV352" s="366" t="str">
        <f ca="1">IF(AND($AJ$44,DI342,DP342&lt;&gt;2),DI352,"")</f>
        <v/>
      </c>
      <c r="DW352" s="366">
        <f t="shared" ca="1" si="765"/>
        <v>-1</v>
      </c>
      <c r="DX352" s="366">
        <f t="shared" ca="1" si="766"/>
        <v>0</v>
      </c>
      <c r="DZ352" s="366">
        <f t="shared" ca="1" si="767"/>
        <v>0</v>
      </c>
      <c r="EA352" s="366">
        <f t="shared" ca="1" si="768"/>
        <v>0</v>
      </c>
      <c r="EC352" s="366">
        <f t="shared" ca="1" si="788"/>
        <v>0</v>
      </c>
      <c r="EE352" s="366">
        <f t="shared" ca="1" si="769"/>
        <v>-1000000</v>
      </c>
      <c r="EI352" s="366">
        <f t="shared" ca="1" si="770"/>
        <v>0</v>
      </c>
      <c r="EJ352" s="366">
        <f ca="1">IF(EI352=0,0,RANK(EI352,EI343:EI352,1))</f>
        <v>0</v>
      </c>
      <c r="EK352" s="366">
        <f t="shared" ca="1" si="789"/>
        <v>0</v>
      </c>
      <c r="EL352" s="365"/>
      <c r="EM352" s="367">
        <f ca="1">IF($AJ$54,COUNTIF(EE354:EE363,EN351)*IF(OR(EN352=0,EN352=EN351),0,1),COUNTIF(DW343:DW352,EO352)*IF(OR(EO352=EO351,EO352&lt;0),0,1))+EP352/1000</f>
        <v>0.01</v>
      </c>
      <c r="EN352" s="368">
        <v>0</v>
      </c>
      <c r="EO352" s="369">
        <f ca="1">LARGE(DW343:DW352,EP352)</f>
        <v>-1</v>
      </c>
      <c r="EP352" s="369">
        <v>10</v>
      </c>
      <c r="EQ352" s="365"/>
      <c r="ER352" s="365"/>
      <c r="ES352" s="371" t="str">
        <f ca="1">IF(DW352=ES342,DV352,IF(EE363=ES342,DV363,""))</f>
        <v/>
      </c>
      <c r="ET352" s="369" t="str">
        <f t="shared" ca="1" si="771"/>
        <v/>
      </c>
      <c r="EU352" s="391"/>
      <c r="EV352" s="371" t="str">
        <f ca="1">IF(DW352=EV342,DV352,IF(EE363=EV342,DV363,""))</f>
        <v/>
      </c>
      <c r="EW352" s="369" t="str">
        <f t="shared" ca="1" si="772"/>
        <v/>
      </c>
      <c r="EX352" s="391"/>
      <c r="EY352" s="371" t="str">
        <f ca="1">IF(DW352=EY342,DV352,IF(EE363=EY342,DV363,""))</f>
        <v/>
      </c>
      <c r="EZ352" s="369" t="str">
        <f t="shared" ca="1" si="773"/>
        <v/>
      </c>
      <c r="FA352" s="391"/>
      <c r="FB352" s="365"/>
      <c r="FC352" s="366"/>
      <c r="FD352" s="373"/>
      <c r="FE352" s="333"/>
    </row>
    <row r="353" spans="86:161" x14ac:dyDescent="0.25">
      <c r="CH353" s="350"/>
      <c r="CI353" s="353">
        <f t="shared" ca="1" si="790"/>
        <v>1.0109999999999999</v>
      </c>
      <c r="CJ353" s="352">
        <f t="shared" ca="1" si="774"/>
        <v>12</v>
      </c>
      <c r="CK353" s="353">
        <f t="shared" ca="1" si="775"/>
        <v>0.5</v>
      </c>
      <c r="CL353" s="354">
        <v>11</v>
      </c>
      <c r="CM353" s="350"/>
      <c r="CN353" s="300"/>
      <c r="CO353" s="356" t="str">
        <f t="shared" ca="1" si="776"/>
        <v/>
      </c>
      <c r="CP353" s="357" t="str">
        <f t="shared" ca="1" si="777"/>
        <v/>
      </c>
      <c r="CQ353" s="380"/>
      <c r="CR353" s="356" t="str">
        <f t="shared" ca="1" si="778"/>
        <v/>
      </c>
      <c r="CS353" s="357" t="str">
        <f t="shared" ca="1" si="779"/>
        <v/>
      </c>
      <c r="CT353" s="385"/>
      <c r="CU353" s="356" t="str">
        <f t="shared" ca="1" si="780"/>
        <v/>
      </c>
      <c r="CV353" s="357" t="str">
        <f t="shared" ca="1" si="781"/>
        <v/>
      </c>
      <c r="CW353" s="385"/>
      <c r="CX353" s="356" t="str">
        <f t="shared" ca="1" si="782"/>
        <v/>
      </c>
      <c r="CY353" s="357" t="str">
        <f t="shared" ca="1" si="783"/>
        <v/>
      </c>
      <c r="CZ353" s="385"/>
      <c r="DA353" s="356" t="str">
        <f t="shared" ca="1" si="784"/>
        <v/>
      </c>
      <c r="DB353" s="357" t="str">
        <f t="shared" ca="1" si="785"/>
        <v/>
      </c>
      <c r="DC353" s="385"/>
      <c r="DD353" s="356" t="str">
        <f t="shared" ca="1" si="786"/>
        <v/>
      </c>
      <c r="DE353" s="357" t="str">
        <f t="shared" ca="1" si="787"/>
        <v/>
      </c>
      <c r="DF353" s="385"/>
      <c r="DG353" s="350"/>
      <c r="DH353" s="300"/>
      <c r="DI353" s="301"/>
      <c r="DJ353" s="458" t="s">
        <v>157</v>
      </c>
      <c r="DK353" s="458" t="s">
        <v>158</v>
      </c>
      <c r="DL353" s="459" t="s">
        <v>159</v>
      </c>
      <c r="DM353" s="459"/>
      <c r="DN353" s="460" t="s">
        <v>160</v>
      </c>
      <c r="DO353" s="459" t="s">
        <v>135</v>
      </c>
      <c r="DP353" s="302"/>
      <c r="DQ353" s="302"/>
      <c r="DR353" s="364"/>
      <c r="DS353" s="302"/>
      <c r="DU353" s="365"/>
      <c r="DV353" s="329" t="s">
        <v>229</v>
      </c>
      <c r="DW353" s="365"/>
      <c r="DX353" s="329" t="s">
        <v>152</v>
      </c>
      <c r="DY353" s="329" t="s">
        <v>153</v>
      </c>
      <c r="DZ353" s="329" t="s">
        <v>154</v>
      </c>
      <c r="EA353" s="329" t="s">
        <v>155</v>
      </c>
      <c r="EB353" s="329" t="s">
        <v>125</v>
      </c>
      <c r="EC353" s="329" t="s">
        <v>226</v>
      </c>
      <c r="ED353" s="329" t="s">
        <v>126</v>
      </c>
      <c r="EE353" s="329" t="s">
        <v>227</v>
      </c>
      <c r="EF353" s="330" t="s">
        <v>154</v>
      </c>
      <c r="EG353" s="330" t="s">
        <v>155</v>
      </c>
      <c r="EH353" s="330" t="s">
        <v>125</v>
      </c>
      <c r="EI353" s="329" t="s">
        <v>228</v>
      </c>
      <c r="EJ353" s="329" t="s">
        <v>156</v>
      </c>
      <c r="EK353" s="329" t="s">
        <v>208</v>
      </c>
      <c r="EL353" s="365"/>
      <c r="EM353" s="365"/>
      <c r="EN353" s="365"/>
      <c r="EO353" s="365"/>
      <c r="EP353" s="365"/>
      <c r="EQ353" s="365"/>
      <c r="ER353" s="365"/>
      <c r="ES353" s="365"/>
      <c r="ET353" s="365"/>
      <c r="EU353" s="365"/>
      <c r="EV353" s="365"/>
      <c r="EW353" s="365"/>
      <c r="EX353" s="365"/>
      <c r="EY353" s="365"/>
      <c r="EZ353" s="365"/>
      <c r="FA353" s="365"/>
      <c r="FB353" s="365"/>
      <c r="FC353" s="366"/>
      <c r="FD353" s="373"/>
      <c r="FE353" s="333"/>
    </row>
    <row r="354" spans="86:161" x14ac:dyDescent="0.25">
      <c r="CH354" s="350"/>
      <c r="CI354" s="353">
        <f t="shared" ca="1" si="790"/>
        <v>1.2E-2</v>
      </c>
      <c r="CJ354" s="352">
        <f t="shared" ca="1" si="774"/>
        <v>0</v>
      </c>
      <c r="CK354" s="353">
        <f t="shared" ca="1" si="775"/>
        <v>0</v>
      </c>
      <c r="CL354" s="354">
        <v>12</v>
      </c>
      <c r="CM354" s="350"/>
      <c r="CN354" s="300"/>
      <c r="CO354" s="356" t="str">
        <f t="shared" ca="1" si="776"/>
        <v/>
      </c>
      <c r="CP354" s="357" t="str">
        <f t="shared" ca="1" si="777"/>
        <v/>
      </c>
      <c r="CQ354" s="385"/>
      <c r="CR354" s="356" t="str">
        <f t="shared" ca="1" si="778"/>
        <v/>
      </c>
      <c r="CS354" s="357" t="str">
        <f t="shared" ca="1" si="779"/>
        <v/>
      </c>
      <c r="CT354" s="385"/>
      <c r="CU354" s="356" t="str">
        <f t="shared" ca="1" si="780"/>
        <v/>
      </c>
      <c r="CV354" s="357" t="str">
        <f t="shared" ca="1" si="781"/>
        <v/>
      </c>
      <c r="CW354" s="385"/>
      <c r="CX354" s="356" t="str">
        <f t="shared" ca="1" si="782"/>
        <v/>
      </c>
      <c r="CY354" s="357" t="str">
        <f t="shared" ca="1" si="783"/>
        <v/>
      </c>
      <c r="CZ354" s="385"/>
      <c r="DA354" s="356" t="str">
        <f t="shared" ca="1" si="784"/>
        <v/>
      </c>
      <c r="DB354" s="357" t="str">
        <f t="shared" ca="1" si="785"/>
        <v/>
      </c>
      <c r="DC354" s="385"/>
      <c r="DD354" s="356" t="str">
        <f t="shared" ca="1" si="786"/>
        <v/>
      </c>
      <c r="DE354" s="357" t="str">
        <f t="shared" ca="1" si="787"/>
        <v/>
      </c>
      <c r="DF354" s="385"/>
      <c r="DG354" s="350"/>
      <c r="DH354" s="300"/>
      <c r="DI354" s="395" t="str">
        <f ca="1">DI343</f>
        <v>Vakana</v>
      </c>
      <c r="DJ354" s="465" t="str">
        <f t="shared" ref="DJ354:DJ363" ca="1" si="802">IF(OR(DI354="",DP354="",DI354=DP354,COUNTIF(games.av,DI354&amp;DP354)=0),"",CONCATENATE(DI354,DP354))</f>
        <v>VakanaBakafogó-Honvéd-Sashegy SE</v>
      </c>
      <c r="DK354" s="360" t="str">
        <f t="shared" ref="DK354:DK363" ca="1" si="803">IF($DJ354="","",CONCATENATE(VLOOKUP($DJ354,games.a,9,FALSE),VLOOKUP($DJ354,games.a,12,FALSE)))</f>
        <v>Bakafogó-Honvéd-Sashegy SE</v>
      </c>
      <c r="DL354" s="354" t="str">
        <f t="shared" ref="DL354:DL363" ca="1" si="804">IF($DJ354="","",VLOOKUP($DJ354,games.a,10,FALSE))</f>
        <v/>
      </c>
      <c r="DM354" s="354" t="str">
        <f t="shared" ref="DM354:DM363" ca="1" si="805">IF($DJ354="","",VLOOKUP($DJ354,games.a,13,FALSE))</f>
        <v/>
      </c>
      <c r="DN354" s="361">
        <f t="shared" ref="DN354:DN363" ca="1" si="806">IF($DJ354="","",VLOOKUP($DJ354,games.a,6,FALSE))</f>
        <v>0</v>
      </c>
      <c r="DO354" s="362">
        <f t="shared" ref="DO354:DO363" ca="1" si="807">IF($DJ354="","",VLOOKUP($DJ354,games.a,7,FALSE))</f>
        <v>1</v>
      </c>
      <c r="DP354" s="466" t="str">
        <f ca="1">DI344</f>
        <v>Bakafogó-Honvéd-Sashegy SE</v>
      </c>
      <c r="DQ354" s="302"/>
      <c r="DR354" s="364"/>
      <c r="DS354" s="302"/>
      <c r="DU354" s="365"/>
      <c r="DV354" s="366" t="str">
        <f ca="1">IF(OR(NOT($AJ$44),AND(DI342,DV343="")),DI343,"")</f>
        <v>Vakana</v>
      </c>
      <c r="DW354" s="365"/>
      <c r="DX354" s="366">
        <f t="shared" ref="DX354:DX363" ca="1" si="808">IF($DV354="",0,COUNTIF(xxgy.av,$DV354))</f>
        <v>0</v>
      </c>
      <c r="DY354" s="366">
        <f t="shared" ref="DY354:DY363" ca="1" si="809">IF($DV354="",0,COUNTIF(xxd.av,$DV354))</f>
        <v>1</v>
      </c>
      <c r="DZ354" s="366">
        <f t="shared" ref="DZ354:DZ363" ca="1" si="810">IF($DV354="",0,1)*(SUMIF(xxo.av,$DV354,xxl.av)+SUMIF(xxi.av,$DV354,xxk.av))</f>
        <v>4</v>
      </c>
      <c r="EA354" s="366">
        <f t="shared" ref="EA354:EA363" ca="1" si="811">IF($DV354="",0,1)*(SUMIF(xxo.av,$DV354,xxk.av)+SUMIF(xxi.av,$DV354,xxl.av))</f>
        <v>5</v>
      </c>
      <c r="EB354" s="366">
        <f ca="1">DZ354-EA354</f>
        <v>-1</v>
      </c>
      <c r="EC354" s="366">
        <f ca="1">IF(EA354=0,0,DZ354/EA354)</f>
        <v>0.8</v>
      </c>
      <c r="ED354" s="366">
        <f t="shared" ref="ED354:ED363" ca="1" si="812">$AJ$48*DX354+IF($AJ$44,0,1)*DY354</f>
        <v>1</v>
      </c>
      <c r="EE354" s="396">
        <f ca="1">ED354*1000000+IF($AJ$44,EC354,EB354)*1000*0</f>
        <v>1000000</v>
      </c>
      <c r="EF354" s="366">
        <f t="shared" ref="EF354:EF363" ca="1" si="813">IF($DV354="",0,1)*(SUMIF(yyo.av,$DV354,yyl.av)+SUMIF(yyi.av,$DV354,yyk.av))</f>
        <v>0</v>
      </c>
      <c r="EG354" s="366">
        <f t="shared" ref="EG354:EG363" ca="1" si="814">IF($DV354="",0,1)*(SUMIF(yyo.av,$DV354,yyk.av)+SUMIF(yyi.av,$DV354,yyl.av))</f>
        <v>0</v>
      </c>
      <c r="EH354" s="366">
        <f ca="1">EF354-EG354</f>
        <v>0</v>
      </c>
      <c r="EI354" s="366">
        <f ca="1">IF(OR(ISERR(EE354),ISNA(EE354)),0,EE354)+IF($AJ$54,EH354,0)</f>
        <v>1000000</v>
      </c>
      <c r="EJ354" s="366">
        <f ca="1">IF(EI354=0,0,RANK(EI354,EI354:EI363,1))</f>
        <v>9</v>
      </c>
      <c r="EK354" s="366">
        <f t="shared" ref="EK354:EK363" ca="1" si="815">EJ354*40000*IF(COUNTIF($FC$343:$FC$366,DV354)&gt;0,0,1)</f>
        <v>360000</v>
      </c>
      <c r="EL354" s="365"/>
      <c r="EO354" s="365"/>
      <c r="EP354" s="365"/>
      <c r="EQ354" s="365"/>
      <c r="ER354" s="398"/>
      <c r="ES354" s="329" t="s">
        <v>157</v>
      </c>
      <c r="ET354" s="329" t="s">
        <v>158</v>
      </c>
      <c r="EU354" s="399"/>
      <c r="EV354" s="400"/>
      <c r="EW354" s="401" t="s">
        <v>160</v>
      </c>
      <c r="EX354" s="402" t="s">
        <v>135</v>
      </c>
      <c r="EY354" s="403">
        <f ca="1">COUNT(EU343:EU347)</f>
        <v>0</v>
      </c>
      <c r="EZ354" s="365"/>
      <c r="FA354" s="365"/>
      <c r="FB354" s="365"/>
      <c r="FC354" s="366"/>
      <c r="FD354" s="373"/>
      <c r="FE354" s="333"/>
    </row>
    <row r="355" spans="86:161" x14ac:dyDescent="0.25">
      <c r="CH355" s="350"/>
      <c r="CI355" s="353">
        <f t="shared" ca="1" si="790"/>
        <v>1.2999999999999999E-2</v>
      </c>
      <c r="CJ355" s="352">
        <f t="shared" ca="1" si="774"/>
        <v>0</v>
      </c>
      <c r="CK355" s="353">
        <f t="shared" ca="1" si="775"/>
        <v>0</v>
      </c>
      <c r="CL355" s="354">
        <v>13</v>
      </c>
      <c r="CM355" s="350"/>
      <c r="CN355" s="300"/>
      <c r="CO355" s="356" t="str">
        <f t="shared" ca="1" si="776"/>
        <v/>
      </c>
      <c r="CP355" s="357" t="str">
        <f t="shared" ca="1" si="777"/>
        <v/>
      </c>
      <c r="CQ355" s="385"/>
      <c r="CR355" s="356" t="str">
        <f t="shared" ca="1" si="778"/>
        <v/>
      </c>
      <c r="CS355" s="357" t="str">
        <f t="shared" ca="1" si="779"/>
        <v/>
      </c>
      <c r="CT355" s="385"/>
      <c r="CU355" s="356" t="str">
        <f t="shared" ca="1" si="780"/>
        <v/>
      </c>
      <c r="CV355" s="357" t="str">
        <f t="shared" ca="1" si="781"/>
        <v/>
      </c>
      <c r="CW355" s="385"/>
      <c r="CX355" s="356" t="str">
        <f t="shared" ca="1" si="782"/>
        <v/>
      </c>
      <c r="CY355" s="357" t="str">
        <f t="shared" ca="1" si="783"/>
        <v/>
      </c>
      <c r="CZ355" s="385"/>
      <c r="DA355" s="356" t="str">
        <f t="shared" ca="1" si="784"/>
        <v/>
      </c>
      <c r="DB355" s="357" t="str">
        <f t="shared" ca="1" si="785"/>
        <v/>
      </c>
      <c r="DC355" s="385"/>
      <c r="DD355" s="356" t="str">
        <f t="shared" ca="1" si="786"/>
        <v/>
      </c>
      <c r="DE355" s="357" t="str">
        <f t="shared" ca="1" si="787"/>
        <v/>
      </c>
      <c r="DF355" s="385"/>
      <c r="DG355" s="350"/>
      <c r="DH355" s="300"/>
      <c r="DI355" s="395" t="str">
        <f t="shared" ref="DI355:DI363" ca="1" si="816">DI344</f>
        <v>Bakafogó-Honvéd-Sashegy SE</v>
      </c>
      <c r="DJ355" s="465" t="str">
        <f t="shared" ca="1" si="802"/>
        <v/>
      </c>
      <c r="DK355" s="360" t="str">
        <f t="shared" ca="1" si="803"/>
        <v/>
      </c>
      <c r="DL355" s="354" t="str">
        <f t="shared" ca="1" si="804"/>
        <v/>
      </c>
      <c r="DM355" s="354" t="str">
        <f t="shared" ca="1" si="805"/>
        <v/>
      </c>
      <c r="DN355" s="361" t="str">
        <f t="shared" ca="1" si="806"/>
        <v/>
      </c>
      <c r="DO355" s="362" t="str">
        <f t="shared" ca="1" si="807"/>
        <v/>
      </c>
      <c r="DP355" s="379" t="str">
        <f ca="1">DP354</f>
        <v>Bakafogó-Honvéd-Sashegy SE</v>
      </c>
      <c r="DQ355" s="302"/>
      <c r="DR355" s="364"/>
      <c r="DS355" s="302"/>
      <c r="DU355" s="365"/>
      <c r="DV355" s="366" t="str">
        <f ca="1">IF(OR(NOT($AJ$44),AND(DI342,DV344="")),DI344,"")</f>
        <v>Bakafogó-Honvéd-Sashegy SE</v>
      </c>
      <c r="DW355" s="365"/>
      <c r="DX355" s="366">
        <f t="shared" ca="1" si="808"/>
        <v>1</v>
      </c>
      <c r="DY355" s="366">
        <f t="shared" ca="1" si="809"/>
        <v>1</v>
      </c>
      <c r="DZ355" s="366">
        <f t="shared" ca="1" si="810"/>
        <v>5</v>
      </c>
      <c r="EA355" s="366">
        <f t="shared" ca="1" si="811"/>
        <v>4</v>
      </c>
      <c r="EB355" s="366">
        <f t="shared" ref="EB355:EB363" ca="1" si="817">DZ355-EA355</f>
        <v>1</v>
      </c>
      <c r="EC355" s="366">
        <f t="shared" ref="EC355:EC363" ca="1" si="818">IF(EA355=0,0,DZ355/EA355)</f>
        <v>1.25</v>
      </c>
      <c r="ED355" s="366">
        <f t="shared" ca="1" si="812"/>
        <v>4</v>
      </c>
      <c r="EE355" s="396">
        <f t="shared" ref="EE355:EE363" ca="1" si="819">ED355*1000000+IF($AJ$44,EC355,EB355)*1000*0</f>
        <v>4000000</v>
      </c>
      <c r="EF355" s="366">
        <f t="shared" ca="1" si="813"/>
        <v>0</v>
      </c>
      <c r="EG355" s="366">
        <f t="shared" ca="1" si="814"/>
        <v>0</v>
      </c>
      <c r="EH355" s="366">
        <f t="shared" ref="EH355:EH363" ca="1" si="820">EF355-EG355</f>
        <v>0</v>
      </c>
      <c r="EI355" s="366">
        <f t="shared" ref="EI355:EI363" ca="1" si="821">IF(OR(ISERR(EE355),ISNA(EE355)),0,EE355)+IF($AJ$54,EH355,0)</f>
        <v>4000000</v>
      </c>
      <c r="EJ355" s="366">
        <f ca="1">IF(EI355=0,0,RANK(EI355,EI354:EI363,1))</f>
        <v>10</v>
      </c>
      <c r="EK355" s="366">
        <f t="shared" ca="1" si="815"/>
        <v>400000</v>
      </c>
      <c r="EL355" s="365"/>
      <c r="EO355" s="365"/>
      <c r="EP355" s="365"/>
      <c r="EQ355" s="365"/>
      <c r="ER355" s="404" t="str">
        <f ca="1">IF(EU343="","",VLOOKUP(EU343,yyy.av1.10,4,FALSE))</f>
        <v/>
      </c>
      <c r="ES355" s="371" t="str">
        <f ca="1">IF(OR(ER355="",EY355="",ER355=EY355),"",CONCATENATE(ER355,EY355))</f>
        <v/>
      </c>
      <c r="ET355" s="405" t="str">
        <f ca="1">IF(OR(ES355="",EY354&gt;2),"",CONCATENATE(VLOOKUP(ES355,games.a,9,FALSE),VLOOKUP(ES355,games.a,12,FALSE)))</f>
        <v/>
      </c>
      <c r="EU355" s="406"/>
      <c r="EV355" s="407"/>
      <c r="EW355" s="408" t="str">
        <f ca="1">IF(ES355="","",VLOOKUP(ES355,games.a,6,FALSE))</f>
        <v/>
      </c>
      <c r="EX355" s="409" t="str">
        <f ca="1">IF(ES355="","",VLOOKUP(ES355,games.a,7,FALSE))</f>
        <v/>
      </c>
      <c r="EY355" s="410" t="str">
        <f ca="1">ER355</f>
        <v/>
      </c>
      <c r="EZ355" s="411"/>
      <c r="FA355" s="412"/>
      <c r="FB355" s="365"/>
      <c r="FC355" s="366"/>
      <c r="FD355" s="373"/>
      <c r="FE355" s="333"/>
    </row>
    <row r="356" spans="86:161" x14ac:dyDescent="0.25">
      <c r="CH356" s="350"/>
      <c r="CI356" s="353">
        <f t="shared" ca="1" si="790"/>
        <v>1.4E-2</v>
      </c>
      <c r="CJ356" s="352">
        <f t="shared" ca="1" si="774"/>
        <v>0</v>
      </c>
      <c r="CK356" s="353">
        <f t="shared" ca="1" si="775"/>
        <v>0</v>
      </c>
      <c r="CL356" s="354">
        <v>14</v>
      </c>
      <c r="CM356" s="350"/>
      <c r="CN356" s="300"/>
      <c r="CO356" s="356" t="str">
        <f t="shared" ca="1" si="776"/>
        <v/>
      </c>
      <c r="CP356" s="357" t="str">
        <f t="shared" ca="1" si="777"/>
        <v/>
      </c>
      <c r="CQ356" s="385"/>
      <c r="CR356" s="356" t="str">
        <f t="shared" ca="1" si="778"/>
        <v/>
      </c>
      <c r="CS356" s="357" t="str">
        <f t="shared" ca="1" si="779"/>
        <v/>
      </c>
      <c r="CT356" s="385"/>
      <c r="CU356" s="356" t="str">
        <f t="shared" ca="1" si="780"/>
        <v/>
      </c>
      <c r="CV356" s="357" t="str">
        <f t="shared" ca="1" si="781"/>
        <v/>
      </c>
      <c r="CW356" s="385"/>
      <c r="CX356" s="356" t="str">
        <f t="shared" ca="1" si="782"/>
        <v/>
      </c>
      <c r="CY356" s="357" t="str">
        <f t="shared" ca="1" si="783"/>
        <v/>
      </c>
      <c r="CZ356" s="385"/>
      <c r="DA356" s="356" t="str">
        <f t="shared" ca="1" si="784"/>
        <v/>
      </c>
      <c r="DB356" s="357" t="str">
        <f t="shared" ca="1" si="785"/>
        <v/>
      </c>
      <c r="DC356" s="385"/>
      <c r="DD356" s="356" t="str">
        <f t="shared" ca="1" si="786"/>
        <v/>
      </c>
      <c r="DE356" s="357" t="str">
        <f t="shared" ca="1" si="787"/>
        <v/>
      </c>
      <c r="DF356" s="385"/>
      <c r="DG356" s="350"/>
      <c r="DH356" s="300"/>
      <c r="DI356" s="395" t="str">
        <f t="shared" ca="1" si="816"/>
        <v/>
      </c>
      <c r="DJ356" s="465" t="str">
        <f t="shared" ca="1" si="802"/>
        <v/>
      </c>
      <c r="DK356" s="360" t="str">
        <f t="shared" ca="1" si="803"/>
        <v/>
      </c>
      <c r="DL356" s="354" t="str">
        <f t="shared" ca="1" si="804"/>
        <v/>
      </c>
      <c r="DM356" s="354" t="str">
        <f t="shared" ca="1" si="805"/>
        <v/>
      </c>
      <c r="DN356" s="361" t="str">
        <f t="shared" ca="1" si="806"/>
        <v/>
      </c>
      <c r="DO356" s="362" t="str">
        <f t="shared" ca="1" si="807"/>
        <v/>
      </c>
      <c r="DP356" s="379" t="str">
        <f t="shared" ref="DP356:DP363" ca="1" si="822">DP355</f>
        <v>Bakafogó-Honvéd-Sashegy SE</v>
      </c>
      <c r="DQ356" s="302"/>
      <c r="DR356" s="364"/>
      <c r="DS356" s="302"/>
      <c r="DU356" s="365"/>
      <c r="DV356" s="366" t="str">
        <f ca="1">IF(OR(NOT($AJ$44),AND(DI342,DV345="")),DI345,"")</f>
        <v/>
      </c>
      <c r="DW356" s="365"/>
      <c r="DX356" s="366">
        <f t="shared" ca="1" si="808"/>
        <v>0</v>
      </c>
      <c r="DY356" s="366">
        <f t="shared" ca="1" si="809"/>
        <v>0</v>
      </c>
      <c r="DZ356" s="366">
        <f t="shared" ca="1" si="810"/>
        <v>0</v>
      </c>
      <c r="EA356" s="366">
        <f t="shared" ca="1" si="811"/>
        <v>0</v>
      </c>
      <c r="EB356" s="366">
        <f t="shared" ca="1" si="817"/>
        <v>0</v>
      </c>
      <c r="EC356" s="366">
        <f t="shared" ca="1" si="818"/>
        <v>0</v>
      </c>
      <c r="ED356" s="366">
        <f t="shared" ca="1" si="812"/>
        <v>0</v>
      </c>
      <c r="EE356" s="396">
        <f t="shared" ca="1" si="819"/>
        <v>0</v>
      </c>
      <c r="EF356" s="366">
        <f t="shared" ca="1" si="813"/>
        <v>0</v>
      </c>
      <c r="EG356" s="366">
        <f t="shared" ca="1" si="814"/>
        <v>0</v>
      </c>
      <c r="EH356" s="366">
        <f t="shared" ca="1" si="820"/>
        <v>0</v>
      </c>
      <c r="EI356" s="366">
        <f t="shared" ca="1" si="821"/>
        <v>0</v>
      </c>
      <c r="EJ356" s="366">
        <f ca="1">IF(EI356=0,0,RANK(EI356,EI354:EI363,1))</f>
        <v>0</v>
      </c>
      <c r="EK356" s="366">
        <f t="shared" ca="1" si="815"/>
        <v>0</v>
      </c>
      <c r="EL356" s="365"/>
      <c r="EO356" s="365"/>
      <c r="EP356" s="365"/>
      <c r="EQ356" s="365"/>
      <c r="ER356" s="404" t="str">
        <f ca="1">IF(EU344="","",VLOOKUP(EU344,yyy.av1.10,4,FALSE))</f>
        <v/>
      </c>
      <c r="ES356" s="371" t="str">
        <f ca="1">IF(OR(ER356="",EY356="",ER356=EY356),"",CONCATENATE(ER356,EY356))</f>
        <v/>
      </c>
      <c r="ET356" s="405" t="str">
        <f ca="1">IF(OR(ES356="",EY354&gt;2),"",CONCATENATE(VLOOKUP(ES356,games.a,9,FALSE),VLOOKUP(ES356,games.a,12,FALSE)))</f>
        <v/>
      </c>
      <c r="EU356" s="413"/>
      <c r="EV356" s="414"/>
      <c r="EW356" s="408" t="str">
        <f ca="1">IF(ES356="","",VLOOKUP(ES356,games.a,6,FALSE))</f>
        <v/>
      </c>
      <c r="EX356" s="409" t="str">
        <f ca="1">IF(ES356="","",VLOOKUP(ES356,games.a,7,FALSE))</f>
        <v/>
      </c>
      <c r="EY356" s="415" t="str">
        <f ca="1">EY355</f>
        <v/>
      </c>
      <c r="EZ356" s="416"/>
      <c r="FA356" s="417"/>
      <c r="FB356" s="365"/>
      <c r="FC356" s="366"/>
      <c r="FD356" s="373"/>
      <c r="FE356" s="333"/>
    </row>
    <row r="357" spans="86:161" x14ac:dyDescent="0.25">
      <c r="CH357" s="350"/>
      <c r="CI357" s="353">
        <f t="shared" ca="1" si="790"/>
        <v>1.4999999999999999E-2</v>
      </c>
      <c r="CJ357" s="352">
        <f t="shared" ca="1" si="774"/>
        <v>0</v>
      </c>
      <c r="CK357" s="353">
        <f t="shared" ca="1" si="775"/>
        <v>0</v>
      </c>
      <c r="CL357" s="354">
        <v>15</v>
      </c>
      <c r="CM357" s="350"/>
      <c r="CN357" s="300"/>
      <c r="CO357" s="356" t="str">
        <f t="shared" ca="1" si="776"/>
        <v/>
      </c>
      <c r="CP357" s="357" t="str">
        <f t="shared" ca="1" si="777"/>
        <v/>
      </c>
      <c r="CQ357" s="385"/>
      <c r="CR357" s="356" t="str">
        <f t="shared" ca="1" si="778"/>
        <v/>
      </c>
      <c r="CS357" s="357" t="str">
        <f t="shared" ca="1" si="779"/>
        <v/>
      </c>
      <c r="CT357" s="385"/>
      <c r="CU357" s="356" t="str">
        <f t="shared" ca="1" si="780"/>
        <v/>
      </c>
      <c r="CV357" s="357" t="str">
        <f t="shared" ca="1" si="781"/>
        <v/>
      </c>
      <c r="CW357" s="385"/>
      <c r="CX357" s="356" t="str">
        <f t="shared" ca="1" si="782"/>
        <v/>
      </c>
      <c r="CY357" s="357" t="str">
        <f t="shared" ca="1" si="783"/>
        <v/>
      </c>
      <c r="CZ357" s="385"/>
      <c r="DA357" s="356" t="str">
        <f t="shared" ca="1" si="784"/>
        <v/>
      </c>
      <c r="DB357" s="357" t="str">
        <f t="shared" ca="1" si="785"/>
        <v/>
      </c>
      <c r="DC357" s="385"/>
      <c r="DD357" s="356" t="str">
        <f t="shared" ca="1" si="786"/>
        <v/>
      </c>
      <c r="DE357" s="357" t="str">
        <f t="shared" ca="1" si="787"/>
        <v/>
      </c>
      <c r="DF357" s="385"/>
      <c r="DG357" s="350"/>
      <c r="DH357" s="300"/>
      <c r="DI357" s="395" t="str">
        <f t="shared" ca="1" si="816"/>
        <v/>
      </c>
      <c r="DJ357" s="465" t="str">
        <f t="shared" ca="1" si="802"/>
        <v/>
      </c>
      <c r="DK357" s="360" t="str">
        <f t="shared" ca="1" si="803"/>
        <v/>
      </c>
      <c r="DL357" s="354" t="str">
        <f t="shared" ca="1" si="804"/>
        <v/>
      </c>
      <c r="DM357" s="354" t="str">
        <f t="shared" ca="1" si="805"/>
        <v/>
      </c>
      <c r="DN357" s="361" t="str">
        <f t="shared" ca="1" si="806"/>
        <v/>
      </c>
      <c r="DO357" s="362" t="str">
        <f t="shared" ca="1" si="807"/>
        <v/>
      </c>
      <c r="DP357" s="379" t="str">
        <f t="shared" ca="1" si="822"/>
        <v>Bakafogó-Honvéd-Sashegy SE</v>
      </c>
      <c r="DQ357" s="302"/>
      <c r="DR357" s="364"/>
      <c r="DS357" s="302"/>
      <c r="DU357" s="365"/>
      <c r="DV357" s="366" t="str">
        <f ca="1">IF(OR(NOT($AJ$44),AND(DI342,DV346="")),DI346,"")</f>
        <v/>
      </c>
      <c r="DW357" s="365"/>
      <c r="DX357" s="366">
        <f t="shared" ca="1" si="808"/>
        <v>0</v>
      </c>
      <c r="DY357" s="366">
        <f t="shared" ca="1" si="809"/>
        <v>0</v>
      </c>
      <c r="DZ357" s="366">
        <f t="shared" ca="1" si="810"/>
        <v>0</v>
      </c>
      <c r="EA357" s="366">
        <f t="shared" ca="1" si="811"/>
        <v>0</v>
      </c>
      <c r="EB357" s="366">
        <f t="shared" ca="1" si="817"/>
        <v>0</v>
      </c>
      <c r="EC357" s="366">
        <f t="shared" ca="1" si="818"/>
        <v>0</v>
      </c>
      <c r="ED357" s="366">
        <f t="shared" ca="1" si="812"/>
        <v>0</v>
      </c>
      <c r="EE357" s="396">
        <f t="shared" ca="1" si="819"/>
        <v>0</v>
      </c>
      <c r="EF357" s="366">
        <f t="shared" ca="1" si="813"/>
        <v>0</v>
      </c>
      <c r="EG357" s="366">
        <f t="shared" ca="1" si="814"/>
        <v>0</v>
      </c>
      <c r="EH357" s="366">
        <f t="shared" ca="1" si="820"/>
        <v>0</v>
      </c>
      <c r="EI357" s="366">
        <f t="shared" ca="1" si="821"/>
        <v>0</v>
      </c>
      <c r="EJ357" s="366">
        <f ca="1">IF(EI357=0,0,RANK(EI357,EI354:EI363,1))</f>
        <v>0</v>
      </c>
      <c r="EK357" s="366">
        <f t="shared" ca="1" si="815"/>
        <v>0</v>
      </c>
      <c r="EL357" s="365"/>
      <c r="EO357" s="365"/>
      <c r="EP357" s="365"/>
      <c r="EQ357" s="365"/>
      <c r="ER357" s="404" t="str">
        <f ca="1">IF(EU345="","",VLOOKUP(EU345,yyy.av1.10,4,FALSE))</f>
        <v/>
      </c>
      <c r="ES357" s="371" t="str">
        <f ca="1">IF(OR(ER357="",EY357="",ER357=EY357),"",CONCATENATE(ER357,EY357))</f>
        <v/>
      </c>
      <c r="ET357" s="405" t="str">
        <f ca="1">IF(OR(ES357="",EY354&gt;2),"",CONCATENATE(VLOOKUP(ES357,games.a,9,FALSE),VLOOKUP(ES357,games.a,12,FALSE)))</f>
        <v/>
      </c>
      <c r="EU357" s="413"/>
      <c r="EV357" s="414"/>
      <c r="EW357" s="408" t="str">
        <f ca="1">IF(ES357="","",VLOOKUP(ES357,games.a,6,FALSE))</f>
        <v/>
      </c>
      <c r="EX357" s="409" t="str">
        <f ca="1">IF(ES357="","",VLOOKUP(ES357,games.a,7,FALSE))</f>
        <v/>
      </c>
      <c r="EY357" s="415" t="str">
        <f ca="1">EY356</f>
        <v/>
      </c>
      <c r="EZ357" s="416"/>
      <c r="FA357" s="417"/>
      <c r="FB357" s="365"/>
      <c r="FC357" s="366"/>
      <c r="FD357" s="373"/>
      <c r="FE357" s="333"/>
    </row>
    <row r="358" spans="86:161" x14ac:dyDescent="0.25">
      <c r="CH358" s="350"/>
      <c r="CI358" s="353">
        <f t="shared" ca="1" si="790"/>
        <v>1.6E-2</v>
      </c>
      <c r="CJ358" s="352">
        <f t="shared" ca="1" si="774"/>
        <v>0</v>
      </c>
      <c r="CK358" s="353">
        <f t="shared" ca="1" si="775"/>
        <v>0</v>
      </c>
      <c r="CL358" s="354">
        <v>16</v>
      </c>
      <c r="CM358" s="350"/>
      <c r="CN358" s="300"/>
      <c r="CO358" s="356" t="str">
        <f t="shared" ca="1" si="776"/>
        <v/>
      </c>
      <c r="CP358" s="357" t="str">
        <f t="shared" ca="1" si="777"/>
        <v/>
      </c>
      <c r="CQ358" s="385"/>
      <c r="CR358" s="356" t="str">
        <f t="shared" ca="1" si="778"/>
        <v/>
      </c>
      <c r="CS358" s="357" t="str">
        <f t="shared" ca="1" si="779"/>
        <v/>
      </c>
      <c r="CT358" s="385"/>
      <c r="CU358" s="356" t="str">
        <f t="shared" ca="1" si="780"/>
        <v/>
      </c>
      <c r="CV358" s="357" t="str">
        <f t="shared" ca="1" si="781"/>
        <v/>
      </c>
      <c r="CW358" s="385"/>
      <c r="CX358" s="356" t="str">
        <f t="shared" ca="1" si="782"/>
        <v/>
      </c>
      <c r="CY358" s="357" t="str">
        <f t="shared" ca="1" si="783"/>
        <v/>
      </c>
      <c r="CZ358" s="385"/>
      <c r="DA358" s="356" t="str">
        <f t="shared" ca="1" si="784"/>
        <v/>
      </c>
      <c r="DB358" s="357" t="str">
        <f t="shared" ca="1" si="785"/>
        <v/>
      </c>
      <c r="DC358" s="385"/>
      <c r="DD358" s="356" t="str">
        <f t="shared" ca="1" si="786"/>
        <v/>
      </c>
      <c r="DE358" s="357" t="str">
        <f t="shared" ca="1" si="787"/>
        <v/>
      </c>
      <c r="DF358" s="385"/>
      <c r="DG358" s="350"/>
      <c r="DH358" s="300"/>
      <c r="DI358" s="395" t="str">
        <f t="shared" ca="1" si="816"/>
        <v/>
      </c>
      <c r="DJ358" s="465" t="str">
        <f t="shared" ca="1" si="802"/>
        <v/>
      </c>
      <c r="DK358" s="360" t="str">
        <f t="shared" ca="1" si="803"/>
        <v/>
      </c>
      <c r="DL358" s="354" t="str">
        <f t="shared" ca="1" si="804"/>
        <v/>
      </c>
      <c r="DM358" s="354" t="str">
        <f t="shared" ca="1" si="805"/>
        <v/>
      </c>
      <c r="DN358" s="361" t="str">
        <f t="shared" ca="1" si="806"/>
        <v/>
      </c>
      <c r="DO358" s="362" t="str">
        <f t="shared" ca="1" si="807"/>
        <v/>
      </c>
      <c r="DP358" s="379" t="str">
        <f t="shared" ca="1" si="822"/>
        <v>Bakafogó-Honvéd-Sashegy SE</v>
      </c>
      <c r="DQ358" s="302"/>
      <c r="DR358" s="364"/>
      <c r="DS358" s="302"/>
      <c r="DU358" s="365"/>
      <c r="DV358" s="366" t="str">
        <f ca="1">IF(OR(NOT($AJ$44),AND(DI342,DV347="")),DI347,"")</f>
        <v/>
      </c>
      <c r="DW358" s="365"/>
      <c r="DX358" s="366">
        <f t="shared" ca="1" si="808"/>
        <v>0</v>
      </c>
      <c r="DY358" s="366">
        <f t="shared" ca="1" si="809"/>
        <v>0</v>
      </c>
      <c r="DZ358" s="366">
        <f t="shared" ca="1" si="810"/>
        <v>0</v>
      </c>
      <c r="EA358" s="366">
        <f t="shared" ca="1" si="811"/>
        <v>0</v>
      </c>
      <c r="EB358" s="366">
        <f t="shared" ca="1" si="817"/>
        <v>0</v>
      </c>
      <c r="EC358" s="366">
        <f t="shared" ca="1" si="818"/>
        <v>0</v>
      </c>
      <c r="ED358" s="366">
        <f t="shared" ca="1" si="812"/>
        <v>0</v>
      </c>
      <c r="EE358" s="396">
        <f t="shared" ca="1" si="819"/>
        <v>0</v>
      </c>
      <c r="EF358" s="366">
        <f t="shared" ca="1" si="813"/>
        <v>0</v>
      </c>
      <c r="EG358" s="366">
        <f t="shared" ca="1" si="814"/>
        <v>0</v>
      </c>
      <c r="EH358" s="366">
        <f t="shared" ca="1" si="820"/>
        <v>0</v>
      </c>
      <c r="EI358" s="366">
        <f t="shared" ca="1" si="821"/>
        <v>0</v>
      </c>
      <c r="EJ358" s="366">
        <f ca="1">IF(EI358=0,0,RANK(EI358,EI354:EI363,1))</f>
        <v>0</v>
      </c>
      <c r="EK358" s="366">
        <f t="shared" ca="1" si="815"/>
        <v>0</v>
      </c>
      <c r="EL358" s="365"/>
      <c r="EO358" s="365"/>
      <c r="EP358" s="365"/>
      <c r="EQ358" s="365"/>
      <c r="ER358" s="404" t="str">
        <f ca="1">IF(EU346="","",VLOOKUP(EU346,yyy.av1.10,4,FALSE))</f>
        <v/>
      </c>
      <c r="ES358" s="371" t="str">
        <f ca="1">IF(OR(ER358="",EY358="",ER358=EY358),"",CONCATENATE(ER358,EY358))</f>
        <v/>
      </c>
      <c r="ET358" s="405" t="str">
        <f ca="1">IF(OR(ES358="",EY354&gt;2),"",CONCATENATE(VLOOKUP(ES358,games.a,9,FALSE),VLOOKUP(ES358,games.a,12,FALSE)))</f>
        <v/>
      </c>
      <c r="EU358" s="413"/>
      <c r="EV358" s="414"/>
      <c r="EW358" s="408" t="str">
        <f ca="1">IF(ES358="","",VLOOKUP(ES358,games.a,6,FALSE))</f>
        <v/>
      </c>
      <c r="EX358" s="409" t="str">
        <f ca="1">IF(ES358="","",VLOOKUP(ES358,games.a,7,FALSE))</f>
        <v/>
      </c>
      <c r="EY358" s="415" t="str">
        <f ca="1">EY357</f>
        <v/>
      </c>
      <c r="EZ358" s="416"/>
      <c r="FA358" s="417"/>
      <c r="FB358" s="365"/>
      <c r="FC358" s="366"/>
      <c r="FD358" s="373"/>
      <c r="FE358" s="333"/>
    </row>
    <row r="359" spans="86:161" x14ac:dyDescent="0.25">
      <c r="CH359" s="350"/>
      <c r="CI359" s="353">
        <f t="shared" ca="1" si="790"/>
        <v>1.7000000000000001E-2</v>
      </c>
      <c r="CJ359" s="352">
        <f t="shared" ca="1" si="774"/>
        <v>0</v>
      </c>
      <c r="CK359" s="353">
        <f t="shared" ca="1" si="775"/>
        <v>0</v>
      </c>
      <c r="CL359" s="354">
        <v>17</v>
      </c>
      <c r="CM359" s="350"/>
      <c r="CN359" s="300"/>
      <c r="CO359" s="356" t="str">
        <f t="shared" ca="1" si="776"/>
        <v/>
      </c>
      <c r="CP359" s="357" t="str">
        <f t="shared" ca="1" si="777"/>
        <v/>
      </c>
      <c r="CQ359" s="385"/>
      <c r="CR359" s="356" t="str">
        <f t="shared" ca="1" si="778"/>
        <v/>
      </c>
      <c r="CS359" s="357" t="str">
        <f t="shared" ca="1" si="779"/>
        <v/>
      </c>
      <c r="CT359" s="385"/>
      <c r="CU359" s="356" t="str">
        <f t="shared" ca="1" si="780"/>
        <v/>
      </c>
      <c r="CV359" s="357" t="str">
        <f t="shared" ca="1" si="781"/>
        <v/>
      </c>
      <c r="CW359" s="385"/>
      <c r="CX359" s="356" t="str">
        <f t="shared" ca="1" si="782"/>
        <v/>
      </c>
      <c r="CY359" s="357" t="str">
        <f t="shared" ca="1" si="783"/>
        <v/>
      </c>
      <c r="CZ359" s="385"/>
      <c r="DA359" s="356" t="str">
        <f t="shared" ca="1" si="784"/>
        <v/>
      </c>
      <c r="DB359" s="357" t="str">
        <f t="shared" ca="1" si="785"/>
        <v/>
      </c>
      <c r="DC359" s="385"/>
      <c r="DD359" s="356" t="str">
        <f t="shared" ca="1" si="786"/>
        <v/>
      </c>
      <c r="DE359" s="357" t="str">
        <f t="shared" ca="1" si="787"/>
        <v/>
      </c>
      <c r="DF359" s="385"/>
      <c r="DG359" s="350"/>
      <c r="DH359" s="300"/>
      <c r="DI359" s="395" t="str">
        <f t="shared" ca="1" si="816"/>
        <v/>
      </c>
      <c r="DJ359" s="465" t="str">
        <f t="shared" ca="1" si="802"/>
        <v/>
      </c>
      <c r="DK359" s="360" t="str">
        <f t="shared" ca="1" si="803"/>
        <v/>
      </c>
      <c r="DL359" s="354" t="str">
        <f t="shared" ca="1" si="804"/>
        <v/>
      </c>
      <c r="DM359" s="354" t="str">
        <f t="shared" ca="1" si="805"/>
        <v/>
      </c>
      <c r="DN359" s="361" t="str">
        <f t="shared" ca="1" si="806"/>
        <v/>
      </c>
      <c r="DO359" s="362" t="str">
        <f t="shared" ca="1" si="807"/>
        <v/>
      </c>
      <c r="DP359" s="379" t="str">
        <f t="shared" ca="1" si="822"/>
        <v>Bakafogó-Honvéd-Sashegy SE</v>
      </c>
      <c r="DQ359" s="302"/>
      <c r="DR359" s="364"/>
      <c r="DS359" s="302"/>
      <c r="DU359" s="365"/>
      <c r="DV359" s="366" t="str">
        <f ca="1">IF(OR(NOT($AJ$44),AND(DI342,DV348="")),DI348,"")</f>
        <v/>
      </c>
      <c r="DW359" s="365"/>
      <c r="DX359" s="366">
        <f t="shared" ca="1" si="808"/>
        <v>0</v>
      </c>
      <c r="DY359" s="366">
        <f t="shared" ca="1" si="809"/>
        <v>0</v>
      </c>
      <c r="DZ359" s="366">
        <f t="shared" ca="1" si="810"/>
        <v>0</v>
      </c>
      <c r="EA359" s="366">
        <f t="shared" ca="1" si="811"/>
        <v>0</v>
      </c>
      <c r="EB359" s="366">
        <f t="shared" ca="1" si="817"/>
        <v>0</v>
      </c>
      <c r="EC359" s="366">
        <f t="shared" ca="1" si="818"/>
        <v>0</v>
      </c>
      <c r="ED359" s="366">
        <f t="shared" ca="1" si="812"/>
        <v>0</v>
      </c>
      <c r="EE359" s="396">
        <f t="shared" ca="1" si="819"/>
        <v>0</v>
      </c>
      <c r="EF359" s="366">
        <f t="shared" ca="1" si="813"/>
        <v>0</v>
      </c>
      <c r="EG359" s="366">
        <f t="shared" ca="1" si="814"/>
        <v>0</v>
      </c>
      <c r="EH359" s="366">
        <f t="shared" ca="1" si="820"/>
        <v>0</v>
      </c>
      <c r="EI359" s="366">
        <f t="shared" ca="1" si="821"/>
        <v>0</v>
      </c>
      <c r="EJ359" s="366">
        <f ca="1">IF(EI359=0,0,RANK(EI359,EI354:EI363,1))</f>
        <v>0</v>
      </c>
      <c r="EK359" s="366">
        <f t="shared" ca="1" si="815"/>
        <v>0</v>
      </c>
      <c r="EL359" s="365"/>
      <c r="EO359" s="365"/>
      <c r="EP359" s="365"/>
      <c r="EQ359" s="365"/>
      <c r="ER359" s="404" t="str">
        <f ca="1">IF(EU347="","",VLOOKUP(EU347,yyy.av1.10,4,FALSE))</f>
        <v/>
      </c>
      <c r="ES359" s="371" t="str">
        <f ca="1">IF(OR(ER359="",EY359="",ER359=EY359),"",CONCATENATE(ER359,EY359))</f>
        <v/>
      </c>
      <c r="ET359" s="405" t="str">
        <f ca="1">IF(OR(ES359="",EY354&gt;2),"",CONCATENATE(VLOOKUP(ES359,games.a,9,FALSE),VLOOKUP(ES359,games.a,12,FALSE)))</f>
        <v/>
      </c>
      <c r="EU359" s="420"/>
      <c r="EV359" s="421"/>
      <c r="EW359" s="408" t="str">
        <f ca="1">IF(ES359="","",VLOOKUP(ES359,games.a,6,FALSE))</f>
        <v/>
      </c>
      <c r="EX359" s="409" t="str">
        <f ca="1">IF(ES359="","",VLOOKUP(ES359,games.a,7,FALSE))</f>
        <v/>
      </c>
      <c r="EY359" s="415" t="str">
        <f ca="1">EY358</f>
        <v/>
      </c>
      <c r="EZ359" s="416"/>
      <c r="FA359" s="417"/>
      <c r="FB359" s="365"/>
      <c r="FC359" s="366"/>
      <c r="FD359" s="373"/>
      <c r="FE359" s="333"/>
    </row>
    <row r="360" spans="86:161" x14ac:dyDescent="0.25">
      <c r="CH360" s="350"/>
      <c r="CI360" s="353">
        <f t="shared" ca="1" si="790"/>
        <v>1.7999999999999999E-2</v>
      </c>
      <c r="CJ360" s="352">
        <f t="shared" ca="1" si="774"/>
        <v>0</v>
      </c>
      <c r="CK360" s="353">
        <f t="shared" ca="1" si="775"/>
        <v>0</v>
      </c>
      <c r="CL360" s="354">
        <v>18</v>
      </c>
      <c r="CM360" s="350"/>
      <c r="CN360" s="300"/>
      <c r="CO360" s="356" t="str">
        <f t="shared" ca="1" si="776"/>
        <v/>
      </c>
      <c r="CP360" s="357" t="str">
        <f t="shared" ca="1" si="777"/>
        <v/>
      </c>
      <c r="CQ360" s="385"/>
      <c r="CR360" s="356" t="str">
        <f t="shared" ca="1" si="778"/>
        <v/>
      </c>
      <c r="CS360" s="357" t="str">
        <f t="shared" ca="1" si="779"/>
        <v/>
      </c>
      <c r="CT360" s="385"/>
      <c r="CU360" s="356" t="str">
        <f t="shared" ca="1" si="780"/>
        <v/>
      </c>
      <c r="CV360" s="357" t="str">
        <f t="shared" ca="1" si="781"/>
        <v/>
      </c>
      <c r="CW360" s="385"/>
      <c r="CX360" s="356" t="str">
        <f t="shared" ca="1" si="782"/>
        <v/>
      </c>
      <c r="CY360" s="357" t="str">
        <f t="shared" ca="1" si="783"/>
        <v/>
      </c>
      <c r="CZ360" s="385"/>
      <c r="DA360" s="356" t="str">
        <f t="shared" ca="1" si="784"/>
        <v/>
      </c>
      <c r="DB360" s="357" t="str">
        <f t="shared" ca="1" si="785"/>
        <v/>
      </c>
      <c r="DC360" s="385"/>
      <c r="DD360" s="356" t="str">
        <f t="shared" ca="1" si="786"/>
        <v/>
      </c>
      <c r="DE360" s="357" t="str">
        <f t="shared" ca="1" si="787"/>
        <v/>
      </c>
      <c r="DF360" s="385"/>
      <c r="DG360" s="350"/>
      <c r="DH360" s="300"/>
      <c r="DI360" s="395" t="str">
        <f t="shared" ca="1" si="816"/>
        <v/>
      </c>
      <c r="DJ360" s="465" t="str">
        <f t="shared" ca="1" si="802"/>
        <v/>
      </c>
      <c r="DK360" s="360" t="str">
        <f t="shared" ca="1" si="803"/>
        <v/>
      </c>
      <c r="DL360" s="354" t="str">
        <f t="shared" ca="1" si="804"/>
        <v/>
      </c>
      <c r="DM360" s="354" t="str">
        <f t="shared" ca="1" si="805"/>
        <v/>
      </c>
      <c r="DN360" s="361" t="str">
        <f t="shared" ca="1" si="806"/>
        <v/>
      </c>
      <c r="DO360" s="362" t="str">
        <f t="shared" ca="1" si="807"/>
        <v/>
      </c>
      <c r="DP360" s="379" t="str">
        <f t="shared" ca="1" si="822"/>
        <v>Bakafogó-Honvéd-Sashegy SE</v>
      </c>
      <c r="DQ360" s="302"/>
      <c r="DR360" s="364"/>
      <c r="DS360" s="302"/>
      <c r="DU360" s="365"/>
      <c r="DV360" s="366" t="str">
        <f ca="1">IF(OR(NOT($AJ$44),AND(DI342,DV349="")),DI349,"")</f>
        <v/>
      </c>
      <c r="DW360" s="365"/>
      <c r="DX360" s="366">
        <f t="shared" ca="1" si="808"/>
        <v>0</v>
      </c>
      <c r="DY360" s="366">
        <f t="shared" ca="1" si="809"/>
        <v>0</v>
      </c>
      <c r="DZ360" s="366">
        <f t="shared" ca="1" si="810"/>
        <v>0</v>
      </c>
      <c r="EA360" s="366">
        <f t="shared" ca="1" si="811"/>
        <v>0</v>
      </c>
      <c r="EB360" s="366">
        <f t="shared" ca="1" si="817"/>
        <v>0</v>
      </c>
      <c r="EC360" s="366">
        <f t="shared" ca="1" si="818"/>
        <v>0</v>
      </c>
      <c r="ED360" s="366">
        <f t="shared" ca="1" si="812"/>
        <v>0</v>
      </c>
      <c r="EE360" s="396">
        <f t="shared" ca="1" si="819"/>
        <v>0</v>
      </c>
      <c r="EF360" s="366">
        <f t="shared" ca="1" si="813"/>
        <v>0</v>
      </c>
      <c r="EG360" s="366">
        <f t="shared" ca="1" si="814"/>
        <v>0</v>
      </c>
      <c r="EH360" s="366">
        <f t="shared" ca="1" si="820"/>
        <v>0</v>
      </c>
      <c r="EI360" s="366">
        <f t="shared" ca="1" si="821"/>
        <v>0</v>
      </c>
      <c r="EJ360" s="366">
        <f ca="1">IF(EI360=0,0,RANK(EI360,EI354:EI363,1))</f>
        <v>0</v>
      </c>
      <c r="EK360" s="366">
        <f t="shared" ca="1" si="815"/>
        <v>0</v>
      </c>
      <c r="EL360" s="365"/>
      <c r="EO360" s="365"/>
      <c r="EP360" s="365"/>
      <c r="EQ360" s="365"/>
      <c r="ER360" s="398"/>
      <c r="ES360" s="329" t="s">
        <v>157</v>
      </c>
      <c r="ET360" s="329" t="s">
        <v>158</v>
      </c>
      <c r="EU360" s="399"/>
      <c r="EV360" s="400"/>
      <c r="EW360" s="401" t="s">
        <v>160</v>
      </c>
      <c r="EX360" s="402" t="s">
        <v>135</v>
      </c>
      <c r="EY360" s="398"/>
      <c r="EZ360" s="365"/>
      <c r="FA360" s="365"/>
      <c r="FB360" s="365"/>
      <c r="FC360" s="366"/>
      <c r="FD360" s="373"/>
      <c r="FE360" s="333"/>
    </row>
    <row r="361" spans="86:161" x14ac:dyDescent="0.25">
      <c r="CH361" s="350"/>
      <c r="CI361" s="353">
        <f t="shared" ca="1" si="790"/>
        <v>1.9E-2</v>
      </c>
      <c r="CJ361" s="352">
        <f t="shared" ca="1" si="774"/>
        <v>0</v>
      </c>
      <c r="CK361" s="353">
        <f t="shared" ca="1" si="775"/>
        <v>0</v>
      </c>
      <c r="CL361" s="354">
        <v>19</v>
      </c>
      <c r="CM361" s="350"/>
      <c r="CN361" s="300"/>
      <c r="CO361" s="356" t="str">
        <f t="shared" ca="1" si="776"/>
        <v/>
      </c>
      <c r="CP361" s="357" t="str">
        <f t="shared" ca="1" si="777"/>
        <v/>
      </c>
      <c r="CQ361" s="385"/>
      <c r="CR361" s="356" t="str">
        <f t="shared" ca="1" si="778"/>
        <v/>
      </c>
      <c r="CS361" s="357" t="str">
        <f t="shared" ca="1" si="779"/>
        <v/>
      </c>
      <c r="CT361" s="385"/>
      <c r="CU361" s="356" t="str">
        <f t="shared" ca="1" si="780"/>
        <v/>
      </c>
      <c r="CV361" s="357" t="str">
        <f t="shared" ca="1" si="781"/>
        <v/>
      </c>
      <c r="CW361" s="385"/>
      <c r="CX361" s="356" t="str">
        <f t="shared" ca="1" si="782"/>
        <v/>
      </c>
      <c r="CY361" s="357" t="str">
        <f t="shared" ca="1" si="783"/>
        <v/>
      </c>
      <c r="CZ361" s="385"/>
      <c r="DA361" s="356" t="str">
        <f t="shared" ca="1" si="784"/>
        <v/>
      </c>
      <c r="DB361" s="357" t="str">
        <f t="shared" ca="1" si="785"/>
        <v/>
      </c>
      <c r="DC361" s="385"/>
      <c r="DD361" s="356" t="str">
        <f t="shared" ca="1" si="786"/>
        <v/>
      </c>
      <c r="DE361" s="357" t="str">
        <f t="shared" ca="1" si="787"/>
        <v/>
      </c>
      <c r="DF361" s="385"/>
      <c r="DG361" s="350"/>
      <c r="DH361" s="300"/>
      <c r="DI361" s="395" t="str">
        <f t="shared" ca="1" si="816"/>
        <v/>
      </c>
      <c r="DJ361" s="465" t="str">
        <f t="shared" ca="1" si="802"/>
        <v/>
      </c>
      <c r="DK361" s="360" t="str">
        <f t="shared" ca="1" si="803"/>
        <v/>
      </c>
      <c r="DL361" s="354" t="str">
        <f t="shared" ca="1" si="804"/>
        <v/>
      </c>
      <c r="DM361" s="354" t="str">
        <f t="shared" ca="1" si="805"/>
        <v/>
      </c>
      <c r="DN361" s="361" t="str">
        <f t="shared" ca="1" si="806"/>
        <v/>
      </c>
      <c r="DO361" s="362" t="str">
        <f t="shared" ca="1" si="807"/>
        <v/>
      </c>
      <c r="DP361" s="379" t="str">
        <f t="shared" ca="1" si="822"/>
        <v>Bakafogó-Honvéd-Sashegy SE</v>
      </c>
      <c r="DQ361" s="302"/>
      <c r="DR361" s="364"/>
      <c r="DS361" s="302"/>
      <c r="DU361" s="365"/>
      <c r="DV361" s="366" t="str">
        <f ca="1">IF(OR(NOT($AJ$44),AND(DI342,DV350="")),DI350,"")</f>
        <v/>
      </c>
      <c r="DW361" s="365"/>
      <c r="DX361" s="366">
        <f t="shared" ca="1" si="808"/>
        <v>0</v>
      </c>
      <c r="DY361" s="366">
        <f t="shared" ca="1" si="809"/>
        <v>0</v>
      </c>
      <c r="DZ361" s="366">
        <f t="shared" ca="1" si="810"/>
        <v>0</v>
      </c>
      <c r="EA361" s="366">
        <f t="shared" ca="1" si="811"/>
        <v>0</v>
      </c>
      <c r="EB361" s="366">
        <f t="shared" ca="1" si="817"/>
        <v>0</v>
      </c>
      <c r="EC361" s="366">
        <f t="shared" ca="1" si="818"/>
        <v>0</v>
      </c>
      <c r="ED361" s="366">
        <f t="shared" ca="1" si="812"/>
        <v>0</v>
      </c>
      <c r="EE361" s="396">
        <f t="shared" ca="1" si="819"/>
        <v>0</v>
      </c>
      <c r="EF361" s="366">
        <f t="shared" ca="1" si="813"/>
        <v>0</v>
      </c>
      <c r="EG361" s="366">
        <f t="shared" ca="1" si="814"/>
        <v>0</v>
      </c>
      <c r="EH361" s="366">
        <f t="shared" ca="1" si="820"/>
        <v>0</v>
      </c>
      <c r="EI361" s="366">
        <f t="shared" ca="1" si="821"/>
        <v>0</v>
      </c>
      <c r="EJ361" s="366">
        <f ca="1">IF(EI361=0,0,RANK(EI361,EI354:EI363,1))</f>
        <v>0</v>
      </c>
      <c r="EK361" s="366">
        <f t="shared" ca="1" si="815"/>
        <v>0</v>
      </c>
      <c r="EL361" s="365"/>
      <c r="EO361" s="365"/>
      <c r="EP361" s="365"/>
      <c r="EQ361" s="365"/>
      <c r="ER361" s="404" t="str">
        <f ca="1">ER355</f>
        <v/>
      </c>
      <c r="ES361" s="371" t="str">
        <f ca="1">IF(OR(ER361="",EY361="",ER361=EY361),"",CONCATENATE(ER361,EY361))</f>
        <v/>
      </c>
      <c r="ET361" s="422" t="str">
        <f ca="1">IF(OR(ES361="",EY354&gt;2),"",CONCATENATE(VLOOKUP(ES361,games.a,9,FALSE),VLOOKUP(ES361,games.a,12,FALSE)))</f>
        <v/>
      </c>
      <c r="EU361" s="406"/>
      <c r="EV361" s="407"/>
      <c r="EW361" s="423" t="str">
        <f ca="1">IF(ES361="","",VLOOKUP(ES361,games.a,6,FALSE))</f>
        <v/>
      </c>
      <c r="EX361" s="409" t="str">
        <f ca="1">IF(ES361="","",VLOOKUP(ES361,games.a,7,FALSE))</f>
        <v/>
      </c>
      <c r="EY361" s="410" t="str">
        <f ca="1">ER356</f>
        <v/>
      </c>
      <c r="EZ361" s="411"/>
      <c r="FA361" s="412"/>
      <c r="FB361" s="365"/>
      <c r="FC361" s="366"/>
      <c r="FD361" s="373"/>
      <c r="FE361" s="333"/>
    </row>
    <row r="362" spans="86:161" x14ac:dyDescent="0.25">
      <c r="CH362" s="350"/>
      <c r="CI362" s="353">
        <f t="shared" ca="1" si="790"/>
        <v>0.02</v>
      </c>
      <c r="CJ362" s="352">
        <f t="shared" ca="1" si="774"/>
        <v>0</v>
      </c>
      <c r="CK362" s="353">
        <f t="shared" ca="1" si="775"/>
        <v>0</v>
      </c>
      <c r="CL362" s="354">
        <v>20</v>
      </c>
      <c r="CM362" s="350"/>
      <c r="CN362" s="300"/>
      <c r="CO362" s="356" t="str">
        <f t="shared" ca="1" si="776"/>
        <v/>
      </c>
      <c r="CP362" s="357" t="str">
        <f t="shared" ca="1" si="777"/>
        <v/>
      </c>
      <c r="CQ362" s="385"/>
      <c r="CR362" s="356" t="str">
        <f t="shared" ca="1" si="778"/>
        <v/>
      </c>
      <c r="CS362" s="357" t="str">
        <f t="shared" ca="1" si="779"/>
        <v/>
      </c>
      <c r="CT362" s="385"/>
      <c r="CU362" s="356" t="str">
        <f t="shared" ca="1" si="780"/>
        <v/>
      </c>
      <c r="CV362" s="357" t="str">
        <f t="shared" ca="1" si="781"/>
        <v/>
      </c>
      <c r="CW362" s="385"/>
      <c r="CX362" s="356" t="str">
        <f t="shared" ca="1" si="782"/>
        <v/>
      </c>
      <c r="CY362" s="357" t="str">
        <f t="shared" ca="1" si="783"/>
        <v/>
      </c>
      <c r="CZ362" s="385"/>
      <c r="DA362" s="356" t="str">
        <f t="shared" ca="1" si="784"/>
        <v/>
      </c>
      <c r="DB362" s="357" t="str">
        <f t="shared" ca="1" si="785"/>
        <v/>
      </c>
      <c r="DC362" s="385"/>
      <c r="DD362" s="356" t="str">
        <f t="shared" ca="1" si="786"/>
        <v/>
      </c>
      <c r="DE362" s="357" t="str">
        <f t="shared" ca="1" si="787"/>
        <v/>
      </c>
      <c r="DF362" s="385"/>
      <c r="DG362" s="350"/>
      <c r="DH362" s="300"/>
      <c r="DI362" s="395" t="str">
        <f t="shared" ca="1" si="816"/>
        <v/>
      </c>
      <c r="DJ362" s="465" t="str">
        <f t="shared" ca="1" si="802"/>
        <v/>
      </c>
      <c r="DK362" s="360" t="str">
        <f t="shared" ca="1" si="803"/>
        <v/>
      </c>
      <c r="DL362" s="354" t="str">
        <f t="shared" ca="1" si="804"/>
        <v/>
      </c>
      <c r="DM362" s="354" t="str">
        <f t="shared" ca="1" si="805"/>
        <v/>
      </c>
      <c r="DN362" s="361" t="str">
        <f t="shared" ca="1" si="806"/>
        <v/>
      </c>
      <c r="DO362" s="362" t="str">
        <f t="shared" ca="1" si="807"/>
        <v/>
      </c>
      <c r="DP362" s="379" t="str">
        <f t="shared" ca="1" si="822"/>
        <v>Bakafogó-Honvéd-Sashegy SE</v>
      </c>
      <c r="DQ362" s="302"/>
      <c r="DR362" s="364"/>
      <c r="DS362" s="302"/>
      <c r="DU362" s="365"/>
      <c r="DV362" s="366" t="str">
        <f ca="1">IF(OR(NOT($AJ$44),AND(DI342,DV351="")),DI351,"")</f>
        <v/>
      </c>
      <c r="DW362" s="365"/>
      <c r="DX362" s="366">
        <f t="shared" ca="1" si="808"/>
        <v>0</v>
      </c>
      <c r="DY362" s="366">
        <f t="shared" ca="1" si="809"/>
        <v>0</v>
      </c>
      <c r="DZ362" s="366">
        <f t="shared" ca="1" si="810"/>
        <v>0</v>
      </c>
      <c r="EA362" s="366">
        <f t="shared" ca="1" si="811"/>
        <v>0</v>
      </c>
      <c r="EB362" s="366">
        <f t="shared" ca="1" si="817"/>
        <v>0</v>
      </c>
      <c r="EC362" s="366">
        <f t="shared" ca="1" si="818"/>
        <v>0</v>
      </c>
      <c r="ED362" s="366">
        <f t="shared" ca="1" si="812"/>
        <v>0</v>
      </c>
      <c r="EE362" s="396">
        <f t="shared" ca="1" si="819"/>
        <v>0</v>
      </c>
      <c r="EF362" s="366">
        <f t="shared" ca="1" si="813"/>
        <v>0</v>
      </c>
      <c r="EG362" s="366">
        <f t="shared" ca="1" si="814"/>
        <v>0</v>
      </c>
      <c r="EH362" s="366">
        <f t="shared" ca="1" si="820"/>
        <v>0</v>
      </c>
      <c r="EI362" s="366">
        <f t="shared" ca="1" si="821"/>
        <v>0</v>
      </c>
      <c r="EJ362" s="366">
        <f ca="1">IF(EI362=0,0,RANK(EI362,EI354:EI363,1))</f>
        <v>0</v>
      </c>
      <c r="EK362" s="366">
        <f t="shared" ca="1" si="815"/>
        <v>0</v>
      </c>
      <c r="EL362" s="365"/>
      <c r="EO362" s="365"/>
      <c r="EP362" s="365"/>
      <c r="EQ362" s="365"/>
      <c r="ER362" s="404" t="str">
        <f ca="1">ER356</f>
        <v/>
      </c>
      <c r="ES362" s="371" t="str">
        <f ca="1">IF(OR(ER362="",EY362="",ER362=EY362),"",CONCATENATE(ER362,EY362))</f>
        <v/>
      </c>
      <c r="ET362" s="422" t="str">
        <f ca="1">IF(OR(ES362="",EY354&gt;2),"",CONCATENATE(VLOOKUP(ES362,games.a,9,FALSE),VLOOKUP(ES362,games.a,12,FALSE)))</f>
        <v/>
      </c>
      <c r="EU362" s="413"/>
      <c r="EV362" s="414"/>
      <c r="EW362" s="423" t="str">
        <f ca="1">IF(ES362="","",VLOOKUP(ES362,games.a,6,FALSE))</f>
        <v/>
      </c>
      <c r="EX362" s="409" t="str">
        <f ca="1">IF(ES362="","",VLOOKUP(ES362,games.a,7,FALSE))</f>
        <v/>
      </c>
      <c r="EY362" s="415" t="str">
        <f ca="1">EY361</f>
        <v/>
      </c>
      <c r="EZ362" s="416"/>
      <c r="FA362" s="417"/>
      <c r="FB362" s="365"/>
      <c r="FC362" s="366"/>
      <c r="FD362" s="373"/>
      <c r="FE362" s="333"/>
    </row>
    <row r="363" spans="86:161" x14ac:dyDescent="0.25">
      <c r="CH363" s="350"/>
      <c r="CI363" s="353">
        <f t="shared" ca="1" si="790"/>
        <v>2.1000000000000001E-2</v>
      </c>
      <c r="CJ363" s="352">
        <f t="shared" ca="1" si="774"/>
        <v>0</v>
      </c>
      <c r="CK363" s="353">
        <f t="shared" ca="1" si="775"/>
        <v>0</v>
      </c>
      <c r="CL363" s="354">
        <v>21</v>
      </c>
      <c r="CM363" s="350"/>
      <c r="CO363" s="356" t="str">
        <f t="shared" ca="1" si="776"/>
        <v/>
      </c>
      <c r="CP363" s="357" t="str">
        <f t="shared" ca="1" si="777"/>
        <v/>
      </c>
      <c r="CQ363" s="385"/>
      <c r="CR363" s="356" t="str">
        <f t="shared" ca="1" si="778"/>
        <v/>
      </c>
      <c r="CS363" s="357" t="str">
        <f t="shared" ca="1" si="779"/>
        <v/>
      </c>
      <c r="CT363" s="385"/>
      <c r="CU363" s="356" t="str">
        <f t="shared" ca="1" si="780"/>
        <v/>
      </c>
      <c r="CV363" s="357" t="str">
        <f t="shared" ca="1" si="781"/>
        <v/>
      </c>
      <c r="CW363" s="385"/>
      <c r="CX363" s="356" t="str">
        <f t="shared" ca="1" si="782"/>
        <v/>
      </c>
      <c r="CY363" s="357" t="str">
        <f t="shared" ca="1" si="783"/>
        <v/>
      </c>
      <c r="CZ363" s="385"/>
      <c r="DA363" s="356" t="str">
        <f t="shared" ca="1" si="784"/>
        <v/>
      </c>
      <c r="DB363" s="357" t="str">
        <f t="shared" ca="1" si="785"/>
        <v/>
      </c>
      <c r="DC363" s="385"/>
      <c r="DD363" s="356" t="str">
        <f t="shared" ca="1" si="786"/>
        <v/>
      </c>
      <c r="DE363" s="357" t="str">
        <f t="shared" ca="1" si="787"/>
        <v/>
      </c>
      <c r="DF363" s="385"/>
      <c r="DG363" s="350"/>
      <c r="DH363" s="300"/>
      <c r="DI363" s="395" t="str">
        <f t="shared" ca="1" si="816"/>
        <v/>
      </c>
      <c r="DJ363" s="465" t="str">
        <f t="shared" ca="1" si="802"/>
        <v/>
      </c>
      <c r="DK363" s="360" t="str">
        <f t="shared" ca="1" si="803"/>
        <v/>
      </c>
      <c r="DL363" s="354" t="str">
        <f t="shared" ca="1" si="804"/>
        <v/>
      </c>
      <c r="DM363" s="354" t="str">
        <f t="shared" ca="1" si="805"/>
        <v/>
      </c>
      <c r="DN363" s="361" t="str">
        <f t="shared" ca="1" si="806"/>
        <v/>
      </c>
      <c r="DO363" s="362" t="str">
        <f t="shared" ca="1" si="807"/>
        <v/>
      </c>
      <c r="DP363" s="379" t="str">
        <f t="shared" ca="1" si="822"/>
        <v>Bakafogó-Honvéd-Sashegy SE</v>
      </c>
      <c r="DQ363" s="302"/>
      <c r="DR363" s="364"/>
      <c r="DS363" s="302"/>
      <c r="DU363" s="424"/>
      <c r="DV363" s="366" t="str">
        <f ca="1">IF(OR(NOT($AJ$44),AND(DI342,DV352="")),DI352,"")</f>
        <v/>
      </c>
      <c r="DW363" s="365"/>
      <c r="DX363" s="366">
        <f t="shared" ca="1" si="808"/>
        <v>0</v>
      </c>
      <c r="DY363" s="366">
        <f t="shared" ca="1" si="809"/>
        <v>0</v>
      </c>
      <c r="DZ363" s="366">
        <f t="shared" ca="1" si="810"/>
        <v>0</v>
      </c>
      <c r="EA363" s="366">
        <f t="shared" ca="1" si="811"/>
        <v>0</v>
      </c>
      <c r="EB363" s="366">
        <f t="shared" ca="1" si="817"/>
        <v>0</v>
      </c>
      <c r="EC363" s="366">
        <f t="shared" ca="1" si="818"/>
        <v>0</v>
      </c>
      <c r="ED363" s="366">
        <f t="shared" ca="1" si="812"/>
        <v>0</v>
      </c>
      <c r="EE363" s="396">
        <f t="shared" ca="1" si="819"/>
        <v>0</v>
      </c>
      <c r="EF363" s="366">
        <f t="shared" ca="1" si="813"/>
        <v>0</v>
      </c>
      <c r="EG363" s="366">
        <f t="shared" ca="1" si="814"/>
        <v>0</v>
      </c>
      <c r="EH363" s="366">
        <f t="shared" ca="1" si="820"/>
        <v>0</v>
      </c>
      <c r="EI363" s="366">
        <f t="shared" ca="1" si="821"/>
        <v>0</v>
      </c>
      <c r="EJ363" s="366">
        <f ca="1">IF(EI363=0,0,RANK(EI363,EI354:EI363,1))</f>
        <v>0</v>
      </c>
      <c r="EK363" s="366">
        <f t="shared" ca="1" si="815"/>
        <v>0</v>
      </c>
      <c r="EL363" s="365"/>
      <c r="EO363" s="424"/>
      <c r="EP363" s="424"/>
      <c r="EQ363" s="424"/>
      <c r="ER363" s="404" t="str">
        <f ca="1">ER357</f>
        <v/>
      </c>
      <c r="ES363" s="371" t="str">
        <f ca="1">IF(OR(ER363="",EY363="",ER363=EY363),"",CONCATENATE(ER363,EY363))</f>
        <v/>
      </c>
      <c r="ET363" s="422" t="str">
        <f ca="1">IF(OR(ES363="",EY354&gt;2),"",CONCATENATE(VLOOKUP(ES363,games.a,9,FALSE),VLOOKUP(ES363,games.a,12,FALSE)))</f>
        <v/>
      </c>
      <c r="EU363" s="413"/>
      <c r="EV363" s="414"/>
      <c r="EW363" s="423" t="str">
        <f ca="1">IF(ES363="","",VLOOKUP(ES363,games.a,6,FALSE))</f>
        <v/>
      </c>
      <c r="EX363" s="409" t="str">
        <f ca="1">IF(ES363="","",VLOOKUP(ES363,games.a,7,FALSE))</f>
        <v/>
      </c>
      <c r="EY363" s="415" t="str">
        <f ca="1">EY362</f>
        <v/>
      </c>
      <c r="EZ363" s="416"/>
      <c r="FA363" s="417"/>
      <c r="FB363" s="424"/>
      <c r="FC363" s="366"/>
      <c r="FD363" s="425"/>
      <c r="FE363" s="333"/>
    </row>
    <row r="364" spans="86:161" x14ac:dyDescent="0.25">
      <c r="CH364" s="350"/>
      <c r="CI364" s="353">
        <f t="shared" ca="1" si="790"/>
        <v>2.1999999999999999E-2</v>
      </c>
      <c r="CJ364" s="352">
        <f t="shared" ca="1" si="774"/>
        <v>0</v>
      </c>
      <c r="CK364" s="353">
        <f t="shared" ca="1" si="775"/>
        <v>0</v>
      </c>
      <c r="CL364" s="354">
        <v>22</v>
      </c>
      <c r="CM364" s="350"/>
      <c r="CO364" s="356" t="str">
        <f t="shared" ca="1" si="776"/>
        <v/>
      </c>
      <c r="CP364" s="357" t="str">
        <f t="shared" ca="1" si="777"/>
        <v/>
      </c>
      <c r="CQ364" s="385"/>
      <c r="CR364" s="356" t="str">
        <f t="shared" ca="1" si="778"/>
        <v/>
      </c>
      <c r="CS364" s="357" t="str">
        <f t="shared" ca="1" si="779"/>
        <v/>
      </c>
      <c r="CT364" s="385"/>
      <c r="CU364" s="356" t="str">
        <f t="shared" ca="1" si="780"/>
        <v/>
      </c>
      <c r="CV364" s="357" t="str">
        <f t="shared" ca="1" si="781"/>
        <v/>
      </c>
      <c r="CW364" s="385"/>
      <c r="CX364" s="356" t="str">
        <f t="shared" ca="1" si="782"/>
        <v/>
      </c>
      <c r="CY364" s="357" t="str">
        <f t="shared" ca="1" si="783"/>
        <v/>
      </c>
      <c r="CZ364" s="385"/>
      <c r="DA364" s="356" t="str">
        <f t="shared" ca="1" si="784"/>
        <v/>
      </c>
      <c r="DB364" s="357" t="str">
        <f t="shared" ca="1" si="785"/>
        <v/>
      </c>
      <c r="DC364" s="385"/>
      <c r="DD364" s="356" t="str">
        <f t="shared" ca="1" si="786"/>
        <v/>
      </c>
      <c r="DE364" s="357" t="str">
        <f t="shared" ca="1" si="787"/>
        <v/>
      </c>
      <c r="DF364" s="385"/>
      <c r="DG364" s="350"/>
      <c r="DH364" s="300"/>
      <c r="DI364" s="301"/>
      <c r="DJ364" s="458" t="s">
        <v>157</v>
      </c>
      <c r="DK364" s="458" t="s">
        <v>158</v>
      </c>
      <c r="DL364" s="459" t="s">
        <v>159</v>
      </c>
      <c r="DM364" s="459"/>
      <c r="DN364" s="460" t="s">
        <v>160</v>
      </c>
      <c r="DO364" s="459" t="s">
        <v>135</v>
      </c>
      <c r="DP364" s="302"/>
      <c r="DQ364" s="302"/>
      <c r="DR364" s="364"/>
      <c r="DS364" s="302"/>
      <c r="DU364" s="424"/>
      <c r="EL364" s="365"/>
      <c r="EO364" s="424"/>
      <c r="EP364" s="424"/>
      <c r="EQ364" s="424"/>
      <c r="ER364" s="404" t="str">
        <f ca="1">ER358</f>
        <v/>
      </c>
      <c r="ES364" s="371" t="str">
        <f ca="1">IF(OR(ER364="",EY364="",ER364=EY364),"",CONCATENATE(ER364,EY364))</f>
        <v/>
      </c>
      <c r="ET364" s="422" t="str">
        <f ca="1">IF(OR(ES364="",EY354&gt;2),"",CONCATENATE(VLOOKUP(ES364,games.a,9,FALSE),VLOOKUP(ES364,games.a,12,FALSE)))</f>
        <v/>
      </c>
      <c r="EU364" s="413"/>
      <c r="EV364" s="414"/>
      <c r="EW364" s="423" t="str">
        <f ca="1">IF(ES364="","",VLOOKUP(ES364,games.a,6,FALSE))</f>
        <v/>
      </c>
      <c r="EX364" s="409" t="str">
        <f ca="1">IF(ES364="","",VLOOKUP(ES364,games.a,7,FALSE))</f>
        <v/>
      </c>
      <c r="EY364" s="415" t="str">
        <f ca="1">EY363</f>
        <v/>
      </c>
      <c r="EZ364" s="416"/>
      <c r="FA364" s="417"/>
      <c r="FB364" s="424"/>
      <c r="FC364" s="366"/>
      <c r="FD364" s="425"/>
      <c r="FE364" s="333"/>
    </row>
    <row r="365" spans="86:161" x14ac:dyDescent="0.25">
      <c r="CH365" s="350"/>
      <c r="CI365" s="353">
        <f t="shared" ca="1" si="790"/>
        <v>2.3E-2</v>
      </c>
      <c r="CJ365" s="352">
        <f t="shared" ca="1" si="774"/>
        <v>0</v>
      </c>
      <c r="CK365" s="353">
        <f t="shared" ca="1" si="775"/>
        <v>0</v>
      </c>
      <c r="CL365" s="354">
        <v>23</v>
      </c>
      <c r="CM365" s="350"/>
      <c r="CO365" s="356" t="str">
        <f t="shared" ca="1" si="776"/>
        <v/>
      </c>
      <c r="CP365" s="357" t="str">
        <f t="shared" ca="1" si="777"/>
        <v/>
      </c>
      <c r="CQ365" s="385"/>
      <c r="CR365" s="356" t="str">
        <f t="shared" ca="1" si="778"/>
        <v/>
      </c>
      <c r="CS365" s="357" t="str">
        <f t="shared" ca="1" si="779"/>
        <v/>
      </c>
      <c r="CT365" s="385"/>
      <c r="CU365" s="356" t="str">
        <f t="shared" ca="1" si="780"/>
        <v/>
      </c>
      <c r="CV365" s="357" t="str">
        <f t="shared" ca="1" si="781"/>
        <v/>
      </c>
      <c r="CW365" s="385"/>
      <c r="CX365" s="356" t="str">
        <f t="shared" ca="1" si="782"/>
        <v/>
      </c>
      <c r="CY365" s="357" t="str">
        <f t="shared" ca="1" si="783"/>
        <v/>
      </c>
      <c r="CZ365" s="385"/>
      <c r="DA365" s="356" t="str">
        <f t="shared" ca="1" si="784"/>
        <v/>
      </c>
      <c r="DB365" s="357" t="str">
        <f t="shared" ca="1" si="785"/>
        <v/>
      </c>
      <c r="DC365" s="385"/>
      <c r="DD365" s="356" t="str">
        <f t="shared" ca="1" si="786"/>
        <v/>
      </c>
      <c r="DE365" s="357" t="str">
        <f t="shared" ca="1" si="787"/>
        <v/>
      </c>
      <c r="DF365" s="385"/>
      <c r="DG365" s="350"/>
      <c r="DH365" s="300"/>
      <c r="DI365" s="395" t="str">
        <f ca="1">DI354</f>
        <v>Vakana</v>
      </c>
      <c r="DJ365" s="465" t="str">
        <f t="shared" ref="DJ365:DJ374" ca="1" si="823">IF(OR(DI365="",DP365="",DI365=DP365,COUNTIF(games.av,DI365&amp;DP365)=0),"",CONCATENATE(DI365,DP365))</f>
        <v/>
      </c>
      <c r="DK365" s="360" t="str">
        <f t="shared" ref="DK365:DK374" ca="1" si="824">IF($DJ365="","",CONCATENATE(VLOOKUP($DJ365,games.a,9,FALSE),VLOOKUP($DJ365,games.a,12,FALSE)))</f>
        <v/>
      </c>
      <c r="DL365" s="354" t="str">
        <f t="shared" ref="DL365:DL374" ca="1" si="825">IF($DJ365="","",VLOOKUP($DJ365,games.a,10,FALSE))</f>
        <v/>
      </c>
      <c r="DM365" s="354" t="str">
        <f t="shared" ref="DM365:DM374" ca="1" si="826">IF($DJ365="","",VLOOKUP($DJ365,games.a,13,FALSE))</f>
        <v/>
      </c>
      <c r="DN365" s="361" t="str">
        <f t="shared" ref="DN365:DN374" ca="1" si="827">IF($DJ365="","",VLOOKUP($DJ365,games.a,6,FALSE))</f>
        <v/>
      </c>
      <c r="DO365" s="362" t="str">
        <f t="shared" ref="DO365:DO374" ca="1" si="828">IF($DJ365="","",VLOOKUP($DJ365,games.a,7,FALSE))</f>
        <v/>
      </c>
      <c r="DP365" s="466" t="str">
        <f ca="1">DI345</f>
        <v/>
      </c>
      <c r="DQ365" s="302"/>
      <c r="DR365" s="364"/>
      <c r="DS365" s="302"/>
      <c r="DU365" s="424"/>
      <c r="EL365" s="365"/>
      <c r="EM365" s="424"/>
      <c r="EN365" s="424"/>
      <c r="EO365" s="424"/>
      <c r="EP365" s="424"/>
      <c r="EQ365" s="424"/>
      <c r="ER365" s="404" t="str">
        <f ca="1">ER359</f>
        <v/>
      </c>
      <c r="ES365" s="371" t="str">
        <f ca="1">IF(OR(ER365="",EY365="",ER365=EY365),"",CONCATENATE(ER365,EY365))</f>
        <v/>
      </c>
      <c r="ET365" s="422" t="str">
        <f ca="1">IF(OR(ES365="",EY354&gt;2),"",CONCATENATE(VLOOKUP(ES365,games.a,9,FALSE),VLOOKUP(ES365,games.a,12,FALSE)))</f>
        <v/>
      </c>
      <c r="EU365" s="420"/>
      <c r="EV365" s="421"/>
      <c r="EW365" s="423" t="str">
        <f ca="1">IF(ES365="","",VLOOKUP(ES365,games.a,6,FALSE))</f>
        <v/>
      </c>
      <c r="EX365" s="409" t="str">
        <f ca="1">IF(ES365="","",VLOOKUP(ES365,games.a,7,FALSE))</f>
        <v/>
      </c>
      <c r="EY365" s="415" t="str">
        <f ca="1">EY364</f>
        <v/>
      </c>
      <c r="EZ365" s="416"/>
      <c r="FA365" s="417"/>
      <c r="FB365" s="424"/>
      <c r="FC365" s="366"/>
      <c r="FD365" s="425"/>
      <c r="FE365" s="333"/>
    </row>
    <row r="366" spans="86:161" x14ac:dyDescent="0.25">
      <c r="CH366" s="350"/>
      <c r="CI366" s="353">
        <f t="shared" ca="1" si="790"/>
        <v>2.4E-2</v>
      </c>
      <c r="CJ366" s="352">
        <f t="shared" ca="1" si="774"/>
        <v>0</v>
      </c>
      <c r="CK366" s="353">
        <f t="shared" ca="1" si="775"/>
        <v>0</v>
      </c>
      <c r="CL366" s="354">
        <v>24</v>
      </c>
      <c r="CM366" s="350"/>
      <c r="CO366" s="356" t="str">
        <f t="shared" ca="1" si="776"/>
        <v/>
      </c>
      <c r="CP366" s="357" t="str">
        <f t="shared" ca="1" si="777"/>
        <v/>
      </c>
      <c r="CQ366" s="357"/>
      <c r="CR366" s="356" t="str">
        <f t="shared" ca="1" si="778"/>
        <v/>
      </c>
      <c r="CS366" s="357" t="str">
        <f t="shared" ca="1" si="779"/>
        <v/>
      </c>
      <c r="CT366" s="357"/>
      <c r="CU366" s="356" t="str">
        <f t="shared" ca="1" si="780"/>
        <v/>
      </c>
      <c r="CV366" s="357" t="str">
        <f t="shared" ca="1" si="781"/>
        <v/>
      </c>
      <c r="CW366" s="357"/>
      <c r="CX366" s="356" t="str">
        <f t="shared" ca="1" si="782"/>
        <v/>
      </c>
      <c r="CY366" s="357" t="str">
        <f t="shared" ca="1" si="783"/>
        <v/>
      </c>
      <c r="CZ366" s="357"/>
      <c r="DA366" s="356" t="str">
        <f t="shared" ca="1" si="784"/>
        <v/>
      </c>
      <c r="DB366" s="357" t="str">
        <f t="shared" ca="1" si="785"/>
        <v/>
      </c>
      <c r="DC366" s="357"/>
      <c r="DD366" s="356" t="str">
        <f t="shared" ca="1" si="786"/>
        <v/>
      </c>
      <c r="DE366" s="357" t="str">
        <f t="shared" ca="1" si="787"/>
        <v/>
      </c>
      <c r="DF366" s="357"/>
      <c r="DG366" s="350"/>
      <c r="DH366" s="300"/>
      <c r="DI366" s="395" t="str">
        <f t="shared" ref="DI366:DI374" ca="1" si="829">DI355</f>
        <v>Bakafogó-Honvéd-Sashegy SE</v>
      </c>
      <c r="DJ366" s="465" t="str">
        <f t="shared" ca="1" si="823"/>
        <v/>
      </c>
      <c r="DK366" s="360" t="str">
        <f t="shared" ca="1" si="824"/>
        <v/>
      </c>
      <c r="DL366" s="354" t="str">
        <f t="shared" ca="1" si="825"/>
        <v/>
      </c>
      <c r="DM366" s="354" t="str">
        <f t="shared" ca="1" si="826"/>
        <v/>
      </c>
      <c r="DN366" s="361" t="str">
        <f t="shared" ca="1" si="827"/>
        <v/>
      </c>
      <c r="DO366" s="362" t="str">
        <f t="shared" ca="1" si="828"/>
        <v/>
      </c>
      <c r="DP366" s="379" t="str">
        <f ca="1">DP365</f>
        <v/>
      </c>
      <c r="DQ366" s="302"/>
      <c r="DR366" s="364"/>
      <c r="DS366" s="302"/>
      <c r="DU366" s="424"/>
      <c r="EL366" s="365"/>
      <c r="EM366" s="424"/>
      <c r="EN366" s="424"/>
      <c r="EO366" s="424"/>
      <c r="EP366" s="424"/>
      <c r="EQ366" s="424"/>
      <c r="ER366" s="398"/>
      <c r="ES366" s="329" t="s">
        <v>157</v>
      </c>
      <c r="ET366" s="329" t="s">
        <v>158</v>
      </c>
      <c r="EU366" s="399"/>
      <c r="EV366" s="400"/>
      <c r="EW366" s="401" t="s">
        <v>160</v>
      </c>
      <c r="EX366" s="402" t="s">
        <v>135</v>
      </c>
      <c r="EY366" s="398"/>
      <c r="EZ366" s="365"/>
      <c r="FA366" s="365"/>
      <c r="FB366" s="424"/>
      <c r="FC366" s="366"/>
      <c r="FD366" s="425"/>
      <c r="FE366" s="333"/>
    </row>
    <row r="367" spans="86:161" x14ac:dyDescent="0.25">
      <c r="CH367" s="350"/>
      <c r="CI367" s="350"/>
      <c r="CJ367" s="350"/>
      <c r="CK367" s="350"/>
      <c r="CL367" s="350"/>
      <c r="CM367" s="350"/>
      <c r="DG367" s="350"/>
      <c r="DH367" s="300"/>
      <c r="DI367" s="395" t="str">
        <f t="shared" ca="1" si="829"/>
        <v/>
      </c>
      <c r="DJ367" s="465" t="str">
        <f t="shared" ca="1" si="823"/>
        <v/>
      </c>
      <c r="DK367" s="360" t="str">
        <f t="shared" ca="1" si="824"/>
        <v/>
      </c>
      <c r="DL367" s="354" t="str">
        <f t="shared" ca="1" si="825"/>
        <v/>
      </c>
      <c r="DM367" s="354" t="str">
        <f t="shared" ca="1" si="826"/>
        <v/>
      </c>
      <c r="DN367" s="361" t="str">
        <f t="shared" ca="1" si="827"/>
        <v/>
      </c>
      <c r="DO367" s="362" t="str">
        <f t="shared" ca="1" si="828"/>
        <v/>
      </c>
      <c r="DP367" s="379" t="str">
        <f t="shared" ref="DP367:DP374" ca="1" si="830">DP366</f>
        <v/>
      </c>
      <c r="DQ367" s="302"/>
      <c r="DR367" s="364"/>
      <c r="DS367" s="302"/>
      <c r="DU367" s="424"/>
      <c r="EL367" s="365"/>
      <c r="EM367" s="424"/>
      <c r="EN367" s="424"/>
      <c r="EO367" s="424"/>
      <c r="EP367" s="424"/>
      <c r="EQ367" s="424"/>
      <c r="ER367" s="404" t="str">
        <f ca="1">ER361</f>
        <v/>
      </c>
      <c r="ES367" s="371" t="str">
        <f ca="1">IF(OR(ER367="",EY367="",ER367=EY367),"",CONCATENATE(ER367,EY367))</f>
        <v/>
      </c>
      <c r="ET367" s="422" t="str">
        <f ca="1">IF(OR(ES367="",EY354&gt;2),"",CONCATENATE(VLOOKUP(ES367,games.a,9,FALSE),VLOOKUP(ES367,games.a,12,FALSE)))</f>
        <v/>
      </c>
      <c r="EU367" s="406"/>
      <c r="EV367" s="407"/>
      <c r="EW367" s="423" t="str">
        <f ca="1">IF(ES367="","",VLOOKUP(ES367,games.a,6,FALSE))</f>
        <v/>
      </c>
      <c r="EX367" s="409" t="str">
        <f ca="1">IF(ES367="","",VLOOKUP(ES367,games.a,7,FALSE))</f>
        <v/>
      </c>
      <c r="EY367" s="410" t="str">
        <f ca="1">ER357</f>
        <v/>
      </c>
      <c r="EZ367" s="411"/>
      <c r="FA367" s="412"/>
      <c r="FB367" s="424"/>
      <c r="FC367" s="424"/>
      <c r="FD367" s="425"/>
      <c r="FE367" s="333"/>
    </row>
    <row r="368" spans="86:161" x14ac:dyDescent="0.25">
      <c r="CH368" s="350"/>
      <c r="CI368" s="454" t="s">
        <v>212</v>
      </c>
      <c r="CJ368" s="454" t="s">
        <v>213</v>
      </c>
      <c r="CK368" s="454" t="s">
        <v>214</v>
      </c>
      <c r="CL368" s="296"/>
      <c r="CM368" s="296"/>
      <c r="CO368" s="455" t="str">
        <f>IF(CN369=0,"xxx",VLOOKUP(CN369,CI369:CL378,IF($AJ$44,3,2),FALSE))</f>
        <v>xxx</v>
      </c>
      <c r="CP368" s="456"/>
      <c r="CQ368" s="457" t="s">
        <v>220</v>
      </c>
      <c r="CR368" s="455" t="str">
        <f>IF(CN370=0,"xxx",VLOOKUP(CN370,CI369:CL378,IF($AJ$44,3,2),FALSE))</f>
        <v>xxx</v>
      </c>
      <c r="CS368" s="456"/>
      <c r="CT368" s="457" t="s">
        <v>221</v>
      </c>
      <c r="CU368" s="455" t="str">
        <f>IF(CN371=0,"xxx",VLOOKUP(CN371,CI369:CL378,IF($AJ$44,3,2),FALSE))</f>
        <v>xxx</v>
      </c>
      <c r="CV368" s="456"/>
      <c r="CW368" s="457" t="s">
        <v>222</v>
      </c>
      <c r="DG368" s="350"/>
      <c r="DH368" s="300"/>
      <c r="DI368" s="395" t="str">
        <f t="shared" ca="1" si="829"/>
        <v/>
      </c>
      <c r="DJ368" s="465" t="str">
        <f t="shared" ca="1" si="823"/>
        <v/>
      </c>
      <c r="DK368" s="360" t="str">
        <f t="shared" ca="1" si="824"/>
        <v/>
      </c>
      <c r="DL368" s="354" t="str">
        <f t="shared" ca="1" si="825"/>
        <v/>
      </c>
      <c r="DM368" s="354" t="str">
        <f t="shared" ca="1" si="826"/>
        <v/>
      </c>
      <c r="DN368" s="361" t="str">
        <f t="shared" ca="1" si="827"/>
        <v/>
      </c>
      <c r="DO368" s="362" t="str">
        <f t="shared" ca="1" si="828"/>
        <v/>
      </c>
      <c r="DP368" s="379" t="str">
        <f t="shared" ca="1" si="830"/>
        <v/>
      </c>
      <c r="DQ368" s="302"/>
      <c r="DR368" s="364"/>
      <c r="DS368" s="302"/>
      <c r="DU368" s="424"/>
      <c r="EL368" s="424"/>
      <c r="EM368" s="424"/>
      <c r="EN368" s="424"/>
      <c r="EO368" s="424"/>
      <c r="EP368" s="424"/>
      <c r="EQ368" s="424"/>
      <c r="ER368" s="404" t="str">
        <f ca="1">ER362</f>
        <v/>
      </c>
      <c r="ES368" s="371" t="str">
        <f ca="1">IF(OR(ER368="",EY368="",ER368=EY368),"",CONCATENATE(ER368,EY368))</f>
        <v/>
      </c>
      <c r="ET368" s="422" t="str">
        <f ca="1">IF(OR(ES368="",EY354&gt;2),"",CONCATENATE(VLOOKUP(ES368,games.a,9,FALSE),VLOOKUP(ES368,games.a,12,FALSE)))</f>
        <v/>
      </c>
      <c r="EU368" s="413"/>
      <c r="EV368" s="414"/>
      <c r="EW368" s="423" t="str">
        <f ca="1">IF(ES368="","",VLOOKUP(ES368,games.a,6,FALSE))</f>
        <v/>
      </c>
      <c r="EX368" s="409" t="str">
        <f ca="1">IF(ES368="","",VLOOKUP(ES368,games.a,7,FALSE))</f>
        <v/>
      </c>
      <c r="EY368" s="415" t="str">
        <f ca="1">EY367</f>
        <v/>
      </c>
      <c r="EZ368" s="416"/>
      <c r="FA368" s="417"/>
      <c r="FB368" s="424"/>
      <c r="FC368" s="424"/>
      <c r="FD368" s="425"/>
      <c r="FE368" s="333"/>
    </row>
    <row r="369" spans="86:161" x14ac:dyDescent="0.25">
      <c r="CH369" s="350"/>
      <c r="CI369" s="461">
        <f>IF($AJ$44,COUNTIF($BO$94:$BO$103,CK369)*IF(CK369=0,0,1),COUNTIF($BM$94:$BM$103,CJ369)*IF(CJ369=0,0,1))+CL369/1000</f>
        <v>1E-3</v>
      </c>
      <c r="CJ369" s="352">
        <f>LARGE($BM$94:$BM$103,CL369)</f>
        <v>0</v>
      </c>
      <c r="CK369" s="353">
        <f>LARGE($BO$94:$BO$103,CL369)</f>
        <v>0</v>
      </c>
      <c r="CL369" s="354">
        <v>1</v>
      </c>
      <c r="CM369" s="350"/>
      <c r="CN369" s="462">
        <f>IF(LARGE(CI369:CI378,CL369)&lt;2,0,LARGE(CI369:CI378,CL369))</f>
        <v>0</v>
      </c>
      <c r="CO369" s="356" t="str">
        <f>IF(OR(CO$368=$B94,CO$368=$BO94),$BC94,"")</f>
        <v/>
      </c>
      <c r="CP369" s="357" t="str">
        <f>IF(CO369="","",$CL369)</f>
        <v/>
      </c>
      <c r="CQ369" s="463" t="str">
        <f>IF(ISERR(LARGE(CP369:CP378,$CL369)),"",LARGE(CP369:CP378,$CL369))</f>
        <v/>
      </c>
      <c r="CR369" s="356" t="str">
        <f>IF(OR(CR$368=$B94,CR$368=$BO94),$BC94,"")</f>
        <v/>
      </c>
      <c r="CS369" s="357" t="str">
        <f>IF(CR369="","",$CL369)</f>
        <v/>
      </c>
      <c r="CT369" s="463" t="str">
        <f>IF(ISERR(LARGE(CS369:CS378,$CL369)),"",LARGE(CS369:CS378,$CL369))</f>
        <v/>
      </c>
      <c r="CU369" s="356" t="str">
        <f>IF(OR(CU$368=$B94,CU$368=$BO94),$BC94,"")</f>
        <v/>
      </c>
      <c r="CV369" s="357" t="str">
        <f>IF(CU369="","",$CL369)</f>
        <v/>
      </c>
      <c r="CW369" s="463" t="str">
        <f>IF(ISERR(LARGE(CV369:CV378,$CL369)),"",LARGE(CV369:CV378,$CL369))</f>
        <v/>
      </c>
      <c r="DG369" s="350"/>
      <c r="DH369" s="300"/>
      <c r="DI369" s="395" t="str">
        <f t="shared" ca="1" si="829"/>
        <v/>
      </c>
      <c r="DJ369" s="465" t="str">
        <f t="shared" ca="1" si="823"/>
        <v/>
      </c>
      <c r="DK369" s="360" t="str">
        <f t="shared" ca="1" si="824"/>
        <v/>
      </c>
      <c r="DL369" s="354" t="str">
        <f t="shared" ca="1" si="825"/>
        <v/>
      </c>
      <c r="DM369" s="354" t="str">
        <f t="shared" ca="1" si="826"/>
        <v/>
      </c>
      <c r="DN369" s="361" t="str">
        <f t="shared" ca="1" si="827"/>
        <v/>
      </c>
      <c r="DO369" s="362" t="str">
        <f t="shared" ca="1" si="828"/>
        <v/>
      </c>
      <c r="DP369" s="379" t="str">
        <f t="shared" ca="1" si="830"/>
        <v/>
      </c>
      <c r="DQ369" s="302"/>
      <c r="DR369" s="364"/>
      <c r="DS369" s="302"/>
      <c r="DU369" s="424"/>
      <c r="EL369" s="424"/>
      <c r="EM369" s="424"/>
      <c r="EN369" s="424"/>
      <c r="EO369" s="424"/>
      <c r="EP369" s="424"/>
      <c r="EQ369" s="424"/>
      <c r="ER369" s="404" t="str">
        <f ca="1">ER363</f>
        <v/>
      </c>
      <c r="ES369" s="371" t="str">
        <f ca="1">IF(OR(ER369="",EY369="",ER369=EY369),"",CONCATENATE(ER369,EY369))</f>
        <v/>
      </c>
      <c r="ET369" s="422" t="str">
        <f ca="1">IF(OR(ES369="",EY354&gt;2),"",CONCATENATE(VLOOKUP(ES369,games.a,9,FALSE),VLOOKUP(ES369,games.a,12,FALSE)))</f>
        <v/>
      </c>
      <c r="EU369" s="413"/>
      <c r="EV369" s="414"/>
      <c r="EW369" s="423" t="str">
        <f ca="1">IF(ES369="","",VLOOKUP(ES369,games.a,6,FALSE))</f>
        <v/>
      </c>
      <c r="EX369" s="409" t="str">
        <f ca="1">IF(ES369="","",VLOOKUP(ES369,games.a,7,FALSE))</f>
        <v/>
      </c>
      <c r="EY369" s="415" t="str">
        <f ca="1">EY368</f>
        <v/>
      </c>
      <c r="EZ369" s="416"/>
      <c r="FA369" s="417"/>
      <c r="FB369" s="424"/>
      <c r="FC369" s="424"/>
      <c r="FD369" s="425"/>
      <c r="FE369" s="333"/>
    </row>
    <row r="370" spans="86:161" x14ac:dyDescent="0.25">
      <c r="CH370" s="350"/>
      <c r="CI370" s="353">
        <f>IF($AJ$44,COUNTIF($BO$94:$BO$103,CK370)*IF(OR(CK370=CK369,CK370=0),0,1),COUNTIF($BM$94:$BM$103,CJ370)*IF(OR(CJ370=CJ369,CJ370=0),0,1))+CL370/1000</f>
        <v>2E-3</v>
      </c>
      <c r="CJ370" s="352">
        <f t="shared" ref="CJ370:CJ378" si="831">LARGE($BM$94:$BM$103,CL370)</f>
        <v>0</v>
      </c>
      <c r="CK370" s="353">
        <f t="shared" ref="CK370:CK378" si="832">LARGE($BO$94:$BO$103,CL370)</f>
        <v>0</v>
      </c>
      <c r="CL370" s="354">
        <v>2</v>
      </c>
      <c r="CM370" s="350"/>
      <c r="CN370" s="462">
        <f>IF(LARGE(CI369:CI378,CL370)&lt;2,0,LARGE(CI369:CI378,CL370))</f>
        <v>0</v>
      </c>
      <c r="CO370" s="356" t="str">
        <f t="shared" ref="CO370:CO378" si="833">IF(OR(CO$368=$B95,CO$368=$BO95),$BC95,"")</f>
        <v/>
      </c>
      <c r="CP370" s="357" t="str">
        <f t="shared" ref="CP370:CP378" si="834">IF(CO370="","",$CL370)</f>
        <v/>
      </c>
      <c r="CQ370" s="463" t="str">
        <f>IF(ISERR(LARGE(CP369:CP378,$CL370)),"",LARGE(CP369:CP378,$CL370))</f>
        <v/>
      </c>
      <c r="CR370" s="356" t="str">
        <f t="shared" ref="CR370:CR378" si="835">IF(OR(CR$368=$B95,CR$368=$BO95),$BC95,"")</f>
        <v/>
      </c>
      <c r="CS370" s="357" t="str">
        <f t="shared" ref="CS370:CS378" si="836">IF(CR370="","",$CL370)</f>
        <v/>
      </c>
      <c r="CT370" s="463" t="str">
        <f>IF(ISERR(LARGE(CS369:CS378,$CL370)),"",LARGE(CS369:CS378,$CL370))</f>
        <v/>
      </c>
      <c r="CU370" s="356" t="str">
        <f t="shared" ref="CU370:CU378" si="837">IF(OR(CU$368=$B95,CU$368=$BO95),$BC95,"")</f>
        <v/>
      </c>
      <c r="CV370" s="357" t="str">
        <f t="shared" ref="CV370:CV378" si="838">IF(CU370="","",$CL370)</f>
        <v/>
      </c>
      <c r="CW370" s="463" t="str">
        <f>IF(ISERR(LARGE(CV369:CV378,$CL370)),"",LARGE(CV369:CV378,$CL370))</f>
        <v/>
      </c>
      <c r="DG370" s="350"/>
      <c r="DH370" s="300"/>
      <c r="DI370" s="395" t="str">
        <f t="shared" ca="1" si="829"/>
        <v/>
      </c>
      <c r="DJ370" s="465" t="str">
        <f t="shared" ca="1" si="823"/>
        <v/>
      </c>
      <c r="DK370" s="360" t="str">
        <f t="shared" ca="1" si="824"/>
        <v/>
      </c>
      <c r="DL370" s="354" t="str">
        <f t="shared" ca="1" si="825"/>
        <v/>
      </c>
      <c r="DM370" s="354" t="str">
        <f t="shared" ca="1" si="826"/>
        <v/>
      </c>
      <c r="DN370" s="361" t="str">
        <f t="shared" ca="1" si="827"/>
        <v/>
      </c>
      <c r="DO370" s="362" t="str">
        <f t="shared" ca="1" si="828"/>
        <v/>
      </c>
      <c r="DP370" s="379" t="str">
        <f t="shared" ca="1" si="830"/>
        <v/>
      </c>
      <c r="DQ370" s="302"/>
      <c r="DR370" s="364"/>
      <c r="DS370" s="302"/>
      <c r="DU370" s="424"/>
      <c r="EL370" s="424"/>
      <c r="EM370" s="424"/>
      <c r="EN370" s="424"/>
      <c r="EO370" s="424"/>
      <c r="EP370" s="424"/>
      <c r="EQ370" s="424"/>
      <c r="ER370" s="404" t="str">
        <f ca="1">ER364</f>
        <v/>
      </c>
      <c r="ES370" s="371" t="str">
        <f ca="1">IF(OR(ER370="",EY370="",ER370=EY370),"",CONCATENATE(ER370,EY370))</f>
        <v/>
      </c>
      <c r="ET370" s="422" t="str">
        <f ca="1">IF(OR(ES370="",EY354&gt;2),"",CONCATENATE(VLOOKUP(ES370,games.a,9,FALSE),VLOOKUP(ES370,games.a,12,FALSE)))</f>
        <v/>
      </c>
      <c r="EU370" s="413"/>
      <c r="EV370" s="414"/>
      <c r="EW370" s="423" t="str">
        <f ca="1">IF(ES370="","",VLOOKUP(ES370,games.a,6,FALSE))</f>
        <v/>
      </c>
      <c r="EX370" s="409" t="str">
        <f ca="1">IF(ES370="","",VLOOKUP(ES370,games.a,7,FALSE))</f>
        <v/>
      </c>
      <c r="EY370" s="415" t="str">
        <f ca="1">EY369</f>
        <v/>
      </c>
      <c r="EZ370" s="416"/>
      <c r="FA370" s="417"/>
      <c r="FB370" s="424"/>
      <c r="FC370" s="424"/>
      <c r="FD370" s="425"/>
      <c r="FE370" s="333"/>
    </row>
    <row r="371" spans="86:161" x14ac:dyDescent="0.25">
      <c r="CH371" s="350"/>
      <c r="CI371" s="353">
        <f t="shared" ref="CI371:CI378" si="839">IF($AJ$44,COUNTIF($BO$94:$BO$103,CK371)*IF(OR(CK371=CK370,CK371=0),0,1),COUNTIF($BM$94:$BM$103,CJ371)*IF(OR(CJ371=CJ370,CJ371=0),0,1))+CL371/1000</f>
        <v>3.0000000000000001E-3</v>
      </c>
      <c r="CJ371" s="352">
        <f t="shared" si="831"/>
        <v>0</v>
      </c>
      <c r="CK371" s="353">
        <f t="shared" si="832"/>
        <v>0</v>
      </c>
      <c r="CL371" s="354">
        <v>3</v>
      </c>
      <c r="CM371" s="350"/>
      <c r="CN371" s="462">
        <f>IF(LARGE(CI369:CI378,CL371)&lt;2,0,LARGE(CI369:CI378,CL371))</f>
        <v>0</v>
      </c>
      <c r="CO371" s="356" t="str">
        <f t="shared" si="833"/>
        <v/>
      </c>
      <c r="CP371" s="357" t="str">
        <f t="shared" si="834"/>
        <v/>
      </c>
      <c r="CQ371" s="463" t="str">
        <f>IF(ISERR(LARGE(CP369:CP378,$CL371)),"",LARGE(CP369:CP378,$CL371))</f>
        <v/>
      </c>
      <c r="CR371" s="356" t="str">
        <f t="shared" si="835"/>
        <v/>
      </c>
      <c r="CS371" s="357" t="str">
        <f t="shared" si="836"/>
        <v/>
      </c>
      <c r="CT371" s="463" t="str">
        <f>IF(ISERR(LARGE(CS369:CS378,$CL371)),"",LARGE(CS369:CS378,$CL371))</f>
        <v/>
      </c>
      <c r="CU371" s="356" t="str">
        <f t="shared" si="837"/>
        <v/>
      </c>
      <c r="CV371" s="357" t="str">
        <f t="shared" si="838"/>
        <v/>
      </c>
      <c r="CW371" s="385"/>
      <c r="DG371" s="350"/>
      <c r="DH371" s="300"/>
      <c r="DI371" s="395" t="str">
        <f t="shared" ca="1" si="829"/>
        <v/>
      </c>
      <c r="DJ371" s="465" t="str">
        <f t="shared" ca="1" si="823"/>
        <v/>
      </c>
      <c r="DK371" s="360" t="str">
        <f t="shared" ca="1" si="824"/>
        <v/>
      </c>
      <c r="DL371" s="354" t="str">
        <f t="shared" ca="1" si="825"/>
        <v/>
      </c>
      <c r="DM371" s="354" t="str">
        <f t="shared" ca="1" si="826"/>
        <v/>
      </c>
      <c r="DN371" s="361" t="str">
        <f t="shared" ca="1" si="827"/>
        <v/>
      </c>
      <c r="DO371" s="362" t="str">
        <f t="shared" ca="1" si="828"/>
        <v/>
      </c>
      <c r="DP371" s="379" t="str">
        <f t="shared" ca="1" si="830"/>
        <v/>
      </c>
      <c r="DQ371" s="302"/>
      <c r="DR371" s="364"/>
      <c r="DS371" s="302"/>
      <c r="DU371" s="424"/>
      <c r="EL371" s="424"/>
      <c r="EM371" s="424"/>
      <c r="EN371" s="424"/>
      <c r="EO371" s="424"/>
      <c r="EP371" s="424"/>
      <c r="EQ371" s="424"/>
      <c r="ER371" s="404" t="str">
        <f ca="1">ER365</f>
        <v/>
      </c>
      <c r="ES371" s="371" t="str">
        <f ca="1">IF(OR(ER371="",EY371="",ER371=EY371),"",CONCATENATE(ER371,EY371))</f>
        <v/>
      </c>
      <c r="ET371" s="422" t="str">
        <f ca="1">IF(OR(ES371="",EY354&gt;2),"",CONCATENATE(VLOOKUP(ES371,games.a,9,FALSE),VLOOKUP(ES371,games.a,12,FALSE)))</f>
        <v/>
      </c>
      <c r="EU371" s="420"/>
      <c r="EV371" s="421"/>
      <c r="EW371" s="423" t="str">
        <f ca="1">IF(ES371="","",VLOOKUP(ES371,games.a,6,FALSE))</f>
        <v/>
      </c>
      <c r="EX371" s="409" t="str">
        <f ca="1">IF(ES371="","",VLOOKUP(ES371,games.a,7,FALSE))</f>
        <v/>
      </c>
      <c r="EY371" s="415" t="str">
        <f ca="1">EY370</f>
        <v/>
      </c>
      <c r="EZ371" s="416"/>
      <c r="FA371" s="417"/>
      <c r="FB371" s="424"/>
      <c r="FC371" s="424"/>
      <c r="FD371" s="425"/>
      <c r="FE371" s="333"/>
    </row>
    <row r="372" spans="86:161" x14ac:dyDescent="0.25">
      <c r="CH372" s="350"/>
      <c r="CI372" s="353">
        <f t="shared" si="839"/>
        <v>4.0000000000000001E-3</v>
      </c>
      <c r="CJ372" s="352">
        <f t="shared" si="831"/>
        <v>0</v>
      </c>
      <c r="CK372" s="353">
        <f t="shared" si="832"/>
        <v>0</v>
      </c>
      <c r="CL372" s="354">
        <v>4</v>
      </c>
      <c r="CM372" s="350"/>
      <c r="CN372" s="300"/>
      <c r="CO372" s="356" t="str">
        <f t="shared" si="833"/>
        <v/>
      </c>
      <c r="CP372" s="357" t="str">
        <f t="shared" si="834"/>
        <v/>
      </c>
      <c r="CQ372" s="463" t="str">
        <f>IF(ISERR(LARGE(CP369:CP378,$CL372)),"",LARGE(CP369:CP378,$CL372))</f>
        <v/>
      </c>
      <c r="CR372" s="356" t="str">
        <f t="shared" si="835"/>
        <v/>
      </c>
      <c r="CS372" s="357" t="str">
        <f t="shared" si="836"/>
        <v/>
      </c>
      <c r="CT372" s="385"/>
      <c r="CU372" s="356" t="str">
        <f t="shared" si="837"/>
        <v/>
      </c>
      <c r="CV372" s="357" t="str">
        <f t="shared" si="838"/>
        <v/>
      </c>
      <c r="CW372" s="385"/>
      <c r="DG372" s="350"/>
      <c r="DH372" s="300"/>
      <c r="DI372" s="395" t="str">
        <f t="shared" ca="1" si="829"/>
        <v/>
      </c>
      <c r="DJ372" s="465" t="str">
        <f t="shared" ca="1" si="823"/>
        <v/>
      </c>
      <c r="DK372" s="360" t="str">
        <f t="shared" ca="1" si="824"/>
        <v/>
      </c>
      <c r="DL372" s="354" t="str">
        <f t="shared" ca="1" si="825"/>
        <v/>
      </c>
      <c r="DM372" s="354" t="str">
        <f t="shared" ca="1" si="826"/>
        <v/>
      </c>
      <c r="DN372" s="361" t="str">
        <f t="shared" ca="1" si="827"/>
        <v/>
      </c>
      <c r="DO372" s="362" t="str">
        <f t="shared" ca="1" si="828"/>
        <v/>
      </c>
      <c r="DP372" s="379" t="str">
        <f t="shared" ca="1" si="830"/>
        <v/>
      </c>
      <c r="DQ372" s="302"/>
      <c r="DR372" s="364"/>
      <c r="DS372" s="302"/>
      <c r="DU372" s="424"/>
      <c r="EL372" s="424"/>
      <c r="EM372" s="424"/>
      <c r="EN372" s="424"/>
      <c r="EO372" s="424"/>
      <c r="EP372" s="424"/>
      <c r="EQ372" s="424"/>
      <c r="ER372" s="398"/>
      <c r="ES372" s="329" t="s">
        <v>157</v>
      </c>
      <c r="ET372" s="329" t="s">
        <v>158</v>
      </c>
      <c r="EU372" s="399"/>
      <c r="EV372" s="400"/>
      <c r="EW372" s="401" t="s">
        <v>160</v>
      </c>
      <c r="EX372" s="402" t="s">
        <v>135</v>
      </c>
      <c r="EY372" s="398"/>
      <c r="EZ372" s="365"/>
      <c r="FA372" s="365"/>
      <c r="FB372" s="424"/>
      <c r="FC372" s="424"/>
      <c r="FD372" s="425"/>
      <c r="FE372" s="333"/>
    </row>
    <row r="373" spans="86:161" x14ac:dyDescent="0.25">
      <c r="CH373" s="350"/>
      <c r="CI373" s="353">
        <f t="shared" si="839"/>
        <v>5.0000000000000001E-3</v>
      </c>
      <c r="CJ373" s="352">
        <f t="shared" si="831"/>
        <v>0</v>
      </c>
      <c r="CK373" s="353">
        <f t="shared" si="832"/>
        <v>0</v>
      </c>
      <c r="CL373" s="354">
        <v>5</v>
      </c>
      <c r="CM373" s="350"/>
      <c r="CN373" s="300"/>
      <c r="CO373" s="356" t="str">
        <f t="shared" si="833"/>
        <v/>
      </c>
      <c r="CP373" s="357" t="str">
        <f t="shared" si="834"/>
        <v/>
      </c>
      <c r="CQ373" s="463" t="str">
        <f>IF(ISERR(LARGE(CP369:CP378,$CL373)),"",LARGE(CP369:CP378,$CL373))</f>
        <v/>
      </c>
      <c r="CR373" s="356" t="str">
        <f t="shared" si="835"/>
        <v/>
      </c>
      <c r="CS373" s="357" t="str">
        <f t="shared" si="836"/>
        <v/>
      </c>
      <c r="CT373" s="385"/>
      <c r="CU373" s="356" t="str">
        <f t="shared" si="837"/>
        <v/>
      </c>
      <c r="CV373" s="357" t="str">
        <f t="shared" si="838"/>
        <v/>
      </c>
      <c r="CW373" s="385"/>
      <c r="DG373" s="350"/>
      <c r="DH373" s="300"/>
      <c r="DI373" s="395" t="str">
        <f t="shared" ca="1" si="829"/>
        <v/>
      </c>
      <c r="DJ373" s="465" t="str">
        <f t="shared" ca="1" si="823"/>
        <v/>
      </c>
      <c r="DK373" s="360" t="str">
        <f t="shared" ca="1" si="824"/>
        <v/>
      </c>
      <c r="DL373" s="354" t="str">
        <f t="shared" ca="1" si="825"/>
        <v/>
      </c>
      <c r="DM373" s="354" t="str">
        <f t="shared" ca="1" si="826"/>
        <v/>
      </c>
      <c r="DN373" s="361" t="str">
        <f t="shared" ca="1" si="827"/>
        <v/>
      </c>
      <c r="DO373" s="362" t="str">
        <f t="shared" ca="1" si="828"/>
        <v/>
      </c>
      <c r="DP373" s="379" t="str">
        <f t="shared" ca="1" si="830"/>
        <v/>
      </c>
      <c r="DQ373" s="302"/>
      <c r="DR373" s="364"/>
      <c r="DS373" s="302"/>
      <c r="DU373" s="424"/>
      <c r="EL373" s="424"/>
      <c r="EM373" s="424"/>
      <c r="EN373" s="424"/>
      <c r="EO373" s="424"/>
      <c r="EP373" s="424"/>
      <c r="EQ373" s="424"/>
      <c r="ER373" s="404" t="str">
        <f ca="1">ER367</f>
        <v/>
      </c>
      <c r="ES373" s="371" t="str">
        <f ca="1">IF(OR(ER373="",EY373="",ER373=EY373),"",CONCATENATE(ER373,EY373))</f>
        <v/>
      </c>
      <c r="ET373" s="422" t="str">
        <f ca="1">IF(OR(ES373="",EY354&gt;2),"",CONCATENATE(VLOOKUP(ES373,games.a,9,FALSE),VLOOKUP(ES373,games.a,12,FALSE)))</f>
        <v/>
      </c>
      <c r="EU373" s="406"/>
      <c r="EV373" s="407"/>
      <c r="EW373" s="423" t="str">
        <f ca="1">IF(ES373="","",VLOOKUP(ES373,games.a,6,FALSE))</f>
        <v/>
      </c>
      <c r="EX373" s="409" t="str">
        <f ca="1">IF(ES373="","",VLOOKUP(ES373,games.a,7,FALSE))</f>
        <v/>
      </c>
      <c r="EY373" s="410" t="str">
        <f ca="1">ER358</f>
        <v/>
      </c>
      <c r="EZ373" s="411"/>
      <c r="FA373" s="412"/>
      <c r="FB373" s="424"/>
      <c r="FC373" s="424"/>
      <c r="FD373" s="425"/>
      <c r="FE373" s="333"/>
    </row>
    <row r="374" spans="86:161" x14ac:dyDescent="0.25">
      <c r="CH374" s="350"/>
      <c r="CI374" s="353">
        <f t="shared" si="839"/>
        <v>6.0000000000000001E-3</v>
      </c>
      <c r="CJ374" s="352">
        <f t="shared" si="831"/>
        <v>0</v>
      </c>
      <c r="CK374" s="353">
        <f t="shared" si="832"/>
        <v>0</v>
      </c>
      <c r="CL374" s="354">
        <v>6</v>
      </c>
      <c r="CM374" s="350"/>
      <c r="CN374" s="300"/>
      <c r="CO374" s="356" t="str">
        <f t="shared" si="833"/>
        <v/>
      </c>
      <c r="CP374" s="357" t="str">
        <f t="shared" si="834"/>
        <v/>
      </c>
      <c r="CQ374" s="385"/>
      <c r="CR374" s="356" t="str">
        <f t="shared" si="835"/>
        <v/>
      </c>
      <c r="CS374" s="357" t="str">
        <f t="shared" si="836"/>
        <v/>
      </c>
      <c r="CT374" s="385"/>
      <c r="CU374" s="356" t="str">
        <f t="shared" si="837"/>
        <v/>
      </c>
      <c r="CV374" s="357" t="str">
        <f t="shared" si="838"/>
        <v/>
      </c>
      <c r="CW374" s="385"/>
      <c r="DG374" s="350"/>
      <c r="DH374" s="300"/>
      <c r="DI374" s="395" t="str">
        <f t="shared" ca="1" si="829"/>
        <v/>
      </c>
      <c r="DJ374" s="465" t="str">
        <f t="shared" ca="1" si="823"/>
        <v/>
      </c>
      <c r="DK374" s="360" t="str">
        <f t="shared" ca="1" si="824"/>
        <v/>
      </c>
      <c r="DL374" s="354" t="str">
        <f t="shared" ca="1" si="825"/>
        <v/>
      </c>
      <c r="DM374" s="354" t="str">
        <f t="shared" ca="1" si="826"/>
        <v/>
      </c>
      <c r="DN374" s="361" t="str">
        <f t="shared" ca="1" si="827"/>
        <v/>
      </c>
      <c r="DO374" s="362" t="str">
        <f t="shared" ca="1" si="828"/>
        <v/>
      </c>
      <c r="DP374" s="379" t="str">
        <f t="shared" ca="1" si="830"/>
        <v/>
      </c>
      <c r="DQ374" s="302"/>
      <c r="DR374" s="364"/>
      <c r="DS374" s="302"/>
      <c r="DU374" s="424"/>
      <c r="EL374" s="424"/>
      <c r="EM374" s="424"/>
      <c r="EN374" s="424"/>
      <c r="EO374" s="424"/>
      <c r="EP374" s="424"/>
      <c r="EQ374" s="424"/>
      <c r="ER374" s="404" t="str">
        <f ca="1">ER368</f>
        <v/>
      </c>
      <c r="ES374" s="371" t="str">
        <f ca="1">IF(OR(ER374="",EY374="",ER374=EY374),"",CONCATENATE(ER374,EY374))</f>
        <v/>
      </c>
      <c r="ET374" s="422" t="str">
        <f ca="1">IF(OR(ES374="",EY354&gt;2),"",CONCATENATE(VLOOKUP(ES374,games.a,9,FALSE),VLOOKUP(ES374,games.a,12,FALSE)))</f>
        <v/>
      </c>
      <c r="EU374" s="413"/>
      <c r="EV374" s="414"/>
      <c r="EW374" s="423" t="str">
        <f ca="1">IF(ES374="","",VLOOKUP(ES374,games.a,6,FALSE))</f>
        <v/>
      </c>
      <c r="EX374" s="409" t="str">
        <f ca="1">IF(ES374="","",VLOOKUP(ES374,games.a,7,FALSE))</f>
        <v/>
      </c>
      <c r="EY374" s="415" t="str">
        <f ca="1">EY373</f>
        <v/>
      </c>
      <c r="EZ374" s="416"/>
      <c r="FA374" s="417"/>
      <c r="FB374" s="424"/>
      <c r="FC374" s="424"/>
      <c r="FD374" s="425"/>
      <c r="FE374" s="333"/>
    </row>
    <row r="375" spans="86:161" x14ac:dyDescent="0.25">
      <c r="CH375" s="350"/>
      <c r="CI375" s="353">
        <f t="shared" si="839"/>
        <v>7.0000000000000001E-3</v>
      </c>
      <c r="CJ375" s="352">
        <f t="shared" si="831"/>
        <v>0</v>
      </c>
      <c r="CK375" s="353">
        <f t="shared" si="832"/>
        <v>0</v>
      </c>
      <c r="CL375" s="354">
        <v>7</v>
      </c>
      <c r="CM375" s="350"/>
      <c r="CN375" s="300"/>
      <c r="CO375" s="356" t="str">
        <f t="shared" si="833"/>
        <v/>
      </c>
      <c r="CP375" s="357" t="str">
        <f t="shared" si="834"/>
        <v/>
      </c>
      <c r="CQ375" s="385"/>
      <c r="CR375" s="356" t="str">
        <f t="shared" si="835"/>
        <v/>
      </c>
      <c r="CS375" s="357" t="str">
        <f t="shared" si="836"/>
        <v/>
      </c>
      <c r="CT375" s="385"/>
      <c r="CU375" s="356" t="str">
        <f t="shared" si="837"/>
        <v/>
      </c>
      <c r="CV375" s="357" t="str">
        <f t="shared" si="838"/>
        <v/>
      </c>
      <c r="CW375" s="385"/>
      <c r="DG375" s="350"/>
      <c r="DH375" s="300"/>
      <c r="DI375" s="301"/>
      <c r="DJ375" s="458" t="s">
        <v>157</v>
      </c>
      <c r="DK375" s="458" t="s">
        <v>158</v>
      </c>
      <c r="DL375" s="459" t="s">
        <v>159</v>
      </c>
      <c r="DM375" s="459"/>
      <c r="DN375" s="460" t="s">
        <v>160</v>
      </c>
      <c r="DO375" s="459" t="s">
        <v>135</v>
      </c>
      <c r="DP375" s="302"/>
      <c r="DQ375" s="302"/>
      <c r="DR375" s="364"/>
      <c r="DS375" s="302"/>
      <c r="DU375" s="424"/>
      <c r="EL375" s="424"/>
      <c r="EM375" s="424"/>
      <c r="EN375" s="424"/>
      <c r="EO375" s="424"/>
      <c r="EP375" s="424"/>
      <c r="EQ375" s="424"/>
      <c r="ER375" s="404" t="str">
        <f ca="1">ER369</f>
        <v/>
      </c>
      <c r="ES375" s="371" t="str">
        <f ca="1">IF(OR(ER375="",EY375="",ER375=EY375),"",CONCATENATE(ER375,EY375))</f>
        <v/>
      </c>
      <c r="ET375" s="422" t="str">
        <f ca="1">IF(OR(ES375="",EY354&gt;2),"",CONCATENATE(VLOOKUP(ES375,games.a,9,FALSE),VLOOKUP(ES375,games.a,12,FALSE)))</f>
        <v/>
      </c>
      <c r="EU375" s="413"/>
      <c r="EV375" s="414"/>
      <c r="EW375" s="423" t="str">
        <f ca="1">IF(ES375="","",VLOOKUP(ES375,games.a,6,FALSE))</f>
        <v/>
      </c>
      <c r="EX375" s="409" t="str">
        <f ca="1">IF(ES375="","",VLOOKUP(ES375,games.a,7,FALSE))</f>
        <v/>
      </c>
      <c r="EY375" s="415" t="str">
        <f ca="1">EY374</f>
        <v/>
      </c>
      <c r="EZ375" s="416"/>
      <c r="FA375" s="417"/>
      <c r="FB375" s="424"/>
      <c r="FC375" s="424"/>
      <c r="FD375" s="425"/>
      <c r="FE375" s="333"/>
    </row>
    <row r="376" spans="86:161" x14ac:dyDescent="0.25">
      <c r="CH376" s="350"/>
      <c r="CI376" s="353">
        <f t="shared" si="839"/>
        <v>8.0000000000000002E-3</v>
      </c>
      <c r="CJ376" s="352">
        <f t="shared" si="831"/>
        <v>0</v>
      </c>
      <c r="CK376" s="353">
        <f t="shared" si="832"/>
        <v>0</v>
      </c>
      <c r="CL376" s="354">
        <v>8</v>
      </c>
      <c r="CM376" s="350"/>
      <c r="CN376" s="300"/>
      <c r="CO376" s="356" t="str">
        <f t="shared" si="833"/>
        <v/>
      </c>
      <c r="CP376" s="357" t="str">
        <f t="shared" si="834"/>
        <v/>
      </c>
      <c r="CQ376" s="385"/>
      <c r="CR376" s="356" t="str">
        <f t="shared" si="835"/>
        <v/>
      </c>
      <c r="CS376" s="357" t="str">
        <f t="shared" si="836"/>
        <v/>
      </c>
      <c r="CT376" s="385"/>
      <c r="CU376" s="356" t="str">
        <f t="shared" si="837"/>
        <v/>
      </c>
      <c r="CV376" s="357" t="str">
        <f t="shared" si="838"/>
        <v/>
      </c>
      <c r="CW376" s="385"/>
      <c r="DG376" s="350"/>
      <c r="DH376" s="300"/>
      <c r="DI376" s="395" t="str">
        <f ca="1">DI365</f>
        <v>Vakana</v>
      </c>
      <c r="DJ376" s="465" t="str">
        <f t="shared" ref="DJ376:DJ385" ca="1" si="840">IF(OR(DI376="",DP376="",DI376=DP376,COUNTIF(games.av,DI376&amp;DP376)=0),"",CONCATENATE(DI376,DP376))</f>
        <v/>
      </c>
      <c r="DK376" s="360" t="str">
        <f t="shared" ref="DK376:DK385" ca="1" si="841">IF($DJ376="","",CONCATENATE(VLOOKUP($DJ376,games.a,9,FALSE),VLOOKUP($DJ376,games.a,12,FALSE)))</f>
        <v/>
      </c>
      <c r="DL376" s="354" t="str">
        <f t="shared" ref="DL376:DL385" ca="1" si="842">IF($DJ376="","",VLOOKUP($DJ376,games.a,10,FALSE))</f>
        <v/>
      </c>
      <c r="DM376" s="354" t="str">
        <f t="shared" ref="DM376:DM385" ca="1" si="843">IF($DJ376="","",VLOOKUP($DJ376,games.a,13,FALSE))</f>
        <v/>
      </c>
      <c r="DN376" s="361" t="str">
        <f t="shared" ref="DN376:DN385" ca="1" si="844">IF($DJ376="","",VLOOKUP($DJ376,games.a,6,FALSE))</f>
        <v/>
      </c>
      <c r="DO376" s="362" t="str">
        <f t="shared" ref="DO376:DO385" ca="1" si="845">IF($DJ376="","",VLOOKUP($DJ376,games.a,7,FALSE))</f>
        <v/>
      </c>
      <c r="DP376" s="466" t="str">
        <f ca="1">DI346</f>
        <v/>
      </c>
      <c r="DQ376" s="302"/>
      <c r="DR376" s="364"/>
      <c r="DS376" s="302"/>
      <c r="DU376" s="424"/>
      <c r="DV376" s="424"/>
      <c r="DW376" s="424"/>
      <c r="DX376" s="424"/>
      <c r="DY376" s="424"/>
      <c r="DZ376" s="424"/>
      <c r="EA376" s="424"/>
      <c r="EB376" s="424"/>
      <c r="EC376" s="424"/>
      <c r="ED376" s="424"/>
      <c r="EE376" s="424"/>
      <c r="EF376" s="424"/>
      <c r="EG376" s="424"/>
      <c r="EH376" s="424"/>
      <c r="EI376" s="424"/>
      <c r="EJ376" s="424"/>
      <c r="EK376" s="424"/>
      <c r="EL376" s="424"/>
      <c r="EM376" s="424"/>
      <c r="EN376" s="424"/>
      <c r="EO376" s="424"/>
      <c r="EP376" s="424"/>
      <c r="EQ376" s="424"/>
      <c r="ER376" s="404" t="str">
        <f ca="1">ER370</f>
        <v/>
      </c>
      <c r="ES376" s="371" t="str">
        <f ca="1">IF(OR(ER376="",EY376="",ER376=EY376),"",CONCATENATE(ER376,EY376))</f>
        <v/>
      </c>
      <c r="ET376" s="422" t="str">
        <f ca="1">IF(OR(ES376="",EY354&gt;2),"",CONCATENATE(VLOOKUP(ES376,games.a,9,FALSE),VLOOKUP(ES376,games.a,12,FALSE)))</f>
        <v/>
      </c>
      <c r="EU376" s="413"/>
      <c r="EV376" s="414"/>
      <c r="EW376" s="423" t="str">
        <f ca="1">IF(ES376="","",VLOOKUP(ES376,games.a,6,FALSE))</f>
        <v/>
      </c>
      <c r="EX376" s="409" t="str">
        <f ca="1">IF(ES376="","",VLOOKUP(ES376,games.a,7,FALSE))</f>
        <v/>
      </c>
      <c r="EY376" s="415" t="str">
        <f ca="1">EY375</f>
        <v/>
      </c>
      <c r="EZ376" s="416"/>
      <c r="FA376" s="417"/>
      <c r="FB376" s="424"/>
      <c r="FC376" s="424"/>
      <c r="FD376" s="425"/>
      <c r="FE376" s="333"/>
    </row>
    <row r="377" spans="86:161" x14ac:dyDescent="0.25">
      <c r="CH377" s="350"/>
      <c r="CI377" s="353">
        <f t="shared" si="839"/>
        <v>8.9999999999999993E-3</v>
      </c>
      <c r="CJ377" s="352">
        <f t="shared" si="831"/>
        <v>0</v>
      </c>
      <c r="CK377" s="353">
        <f t="shared" si="832"/>
        <v>0</v>
      </c>
      <c r="CL377" s="354">
        <v>9</v>
      </c>
      <c r="CM377" s="350"/>
      <c r="CN377" s="300"/>
      <c r="CO377" s="356" t="str">
        <f t="shared" si="833"/>
        <v/>
      </c>
      <c r="CP377" s="357" t="str">
        <f t="shared" si="834"/>
        <v/>
      </c>
      <c r="CQ377" s="385"/>
      <c r="CR377" s="356" t="str">
        <f t="shared" si="835"/>
        <v/>
      </c>
      <c r="CS377" s="357" t="str">
        <f t="shared" si="836"/>
        <v/>
      </c>
      <c r="CT377" s="385"/>
      <c r="CU377" s="356" t="str">
        <f t="shared" si="837"/>
        <v/>
      </c>
      <c r="CV377" s="357" t="str">
        <f t="shared" si="838"/>
        <v/>
      </c>
      <c r="CW377" s="385"/>
      <c r="DG377" s="350"/>
      <c r="DH377" s="300"/>
      <c r="DI377" s="395" t="str">
        <f t="shared" ref="DI377:DI385" ca="1" si="846">DI366</f>
        <v>Bakafogó-Honvéd-Sashegy SE</v>
      </c>
      <c r="DJ377" s="465" t="str">
        <f t="shared" ca="1" si="840"/>
        <v/>
      </c>
      <c r="DK377" s="360" t="str">
        <f t="shared" ca="1" si="841"/>
        <v/>
      </c>
      <c r="DL377" s="354" t="str">
        <f t="shared" ca="1" si="842"/>
        <v/>
      </c>
      <c r="DM377" s="354" t="str">
        <f t="shared" ca="1" si="843"/>
        <v/>
      </c>
      <c r="DN377" s="361" t="str">
        <f t="shared" ca="1" si="844"/>
        <v/>
      </c>
      <c r="DO377" s="362" t="str">
        <f t="shared" ca="1" si="845"/>
        <v/>
      </c>
      <c r="DP377" s="379" t="str">
        <f ca="1">DP376</f>
        <v/>
      </c>
      <c r="DQ377" s="302"/>
      <c r="DR377" s="364"/>
      <c r="DS377" s="302"/>
      <c r="DU377" s="424"/>
      <c r="DV377" s="424"/>
      <c r="DW377" s="424"/>
      <c r="DX377" s="424"/>
      <c r="DY377" s="424"/>
      <c r="DZ377" s="424"/>
      <c r="EA377" s="424"/>
      <c r="EB377" s="424"/>
      <c r="EC377" s="424"/>
      <c r="ED377" s="424"/>
      <c r="EE377" s="424"/>
      <c r="EF377" s="424"/>
      <c r="EG377" s="424"/>
      <c r="EH377" s="424"/>
      <c r="EI377" s="424"/>
      <c r="EJ377" s="424"/>
      <c r="EK377" s="424"/>
      <c r="EL377" s="424"/>
      <c r="EM377" s="424"/>
      <c r="EN377" s="424"/>
      <c r="EO377" s="424"/>
      <c r="EP377" s="424"/>
      <c r="EQ377" s="424"/>
      <c r="ER377" s="404" t="str">
        <f ca="1">ER371</f>
        <v/>
      </c>
      <c r="ES377" s="371" t="str">
        <f ca="1">IF(OR(ER377="",EY377="",ER377=EY377),"",CONCATENATE(ER377,EY377))</f>
        <v/>
      </c>
      <c r="ET377" s="422" t="str">
        <f ca="1">IF(OR(ES377="",EY354&gt;2),"",CONCATENATE(VLOOKUP(ES377,games.a,9,FALSE),VLOOKUP(ES377,games.a,12,FALSE)))</f>
        <v/>
      </c>
      <c r="EU377" s="420"/>
      <c r="EV377" s="421"/>
      <c r="EW377" s="423" t="str">
        <f ca="1">IF(ES377="","",VLOOKUP(ES377,games.a,6,FALSE))</f>
        <v/>
      </c>
      <c r="EX377" s="409" t="str">
        <f ca="1">IF(ES377="","",VLOOKUP(ES377,games.a,7,FALSE))</f>
        <v/>
      </c>
      <c r="EY377" s="415" t="str">
        <f ca="1">EY376</f>
        <v/>
      </c>
      <c r="EZ377" s="416"/>
      <c r="FA377" s="417"/>
      <c r="FB377" s="424"/>
      <c r="FC377" s="424"/>
      <c r="FD377" s="425"/>
      <c r="FE377" s="333"/>
    </row>
    <row r="378" spans="86:161" x14ac:dyDescent="0.25">
      <c r="CH378" s="350"/>
      <c r="CI378" s="353">
        <f t="shared" si="839"/>
        <v>0.01</v>
      </c>
      <c r="CJ378" s="352">
        <f t="shared" si="831"/>
        <v>0</v>
      </c>
      <c r="CK378" s="353">
        <f t="shared" si="832"/>
        <v>0</v>
      </c>
      <c r="CL378" s="354">
        <v>10</v>
      </c>
      <c r="CM378" s="350"/>
      <c r="CN378" s="300"/>
      <c r="CO378" s="356" t="str">
        <f t="shared" si="833"/>
        <v/>
      </c>
      <c r="CP378" s="357" t="str">
        <f t="shared" si="834"/>
        <v/>
      </c>
      <c r="CQ378" s="357"/>
      <c r="CR378" s="356" t="str">
        <f t="shared" si="835"/>
        <v/>
      </c>
      <c r="CS378" s="357" t="str">
        <f t="shared" si="836"/>
        <v/>
      </c>
      <c r="CT378" s="357"/>
      <c r="CU378" s="356" t="str">
        <f t="shared" si="837"/>
        <v/>
      </c>
      <c r="CV378" s="357" t="str">
        <f t="shared" si="838"/>
        <v/>
      </c>
      <c r="CW378" s="357"/>
      <c r="DG378" s="350"/>
      <c r="DH378" s="300"/>
      <c r="DI378" s="395" t="str">
        <f t="shared" ca="1" si="846"/>
        <v/>
      </c>
      <c r="DJ378" s="465" t="str">
        <f t="shared" ca="1" si="840"/>
        <v/>
      </c>
      <c r="DK378" s="360" t="str">
        <f t="shared" ca="1" si="841"/>
        <v/>
      </c>
      <c r="DL378" s="354" t="str">
        <f t="shared" ca="1" si="842"/>
        <v/>
      </c>
      <c r="DM378" s="354" t="str">
        <f t="shared" ca="1" si="843"/>
        <v/>
      </c>
      <c r="DN378" s="361" t="str">
        <f t="shared" ca="1" si="844"/>
        <v/>
      </c>
      <c r="DO378" s="362" t="str">
        <f t="shared" ca="1" si="845"/>
        <v/>
      </c>
      <c r="DP378" s="379" t="str">
        <f t="shared" ref="DP378:DP385" ca="1" si="847">DP377</f>
        <v/>
      </c>
      <c r="DQ378" s="302"/>
      <c r="DR378" s="364"/>
      <c r="DS378" s="302"/>
      <c r="DU378" s="424"/>
      <c r="DV378" s="424"/>
      <c r="DW378" s="424"/>
      <c r="DX378" s="424"/>
      <c r="DY378" s="424"/>
      <c r="DZ378" s="424"/>
      <c r="EA378" s="424"/>
      <c r="EB378" s="424"/>
      <c r="EC378" s="424"/>
      <c r="ED378" s="424"/>
      <c r="EE378" s="424"/>
      <c r="EF378" s="424"/>
      <c r="EG378" s="424"/>
      <c r="EH378" s="424"/>
      <c r="EI378" s="424"/>
      <c r="EJ378" s="424"/>
      <c r="EK378" s="424"/>
      <c r="EL378" s="424"/>
      <c r="EM378" s="424"/>
      <c r="EN378" s="424"/>
      <c r="EO378" s="424"/>
      <c r="EP378" s="424"/>
      <c r="EQ378" s="424"/>
      <c r="ER378" s="398"/>
      <c r="ES378" s="329" t="s">
        <v>157</v>
      </c>
      <c r="ET378" s="329" t="s">
        <v>158</v>
      </c>
      <c r="EU378" s="399"/>
      <c r="EV378" s="400"/>
      <c r="EW378" s="401" t="s">
        <v>160</v>
      </c>
      <c r="EX378" s="402" t="s">
        <v>135</v>
      </c>
      <c r="EY378" s="398"/>
      <c r="EZ378" s="365"/>
      <c r="FA378" s="365"/>
      <c r="FB378" s="424"/>
      <c r="FC378" s="424"/>
      <c r="FD378" s="425"/>
      <c r="FE378" s="333"/>
    </row>
    <row r="379" spans="86:161" x14ac:dyDescent="0.25">
      <c r="CH379" s="350"/>
      <c r="CI379" s="350"/>
      <c r="CJ379" s="350"/>
      <c r="CK379" s="350"/>
      <c r="CL379" s="350"/>
      <c r="CM379" s="350"/>
      <c r="CN379" s="300"/>
      <c r="DG379" s="350"/>
      <c r="DH379" s="300"/>
      <c r="DI379" s="395" t="str">
        <f t="shared" ca="1" si="846"/>
        <v/>
      </c>
      <c r="DJ379" s="465" t="str">
        <f t="shared" ca="1" si="840"/>
        <v/>
      </c>
      <c r="DK379" s="360" t="str">
        <f t="shared" ca="1" si="841"/>
        <v/>
      </c>
      <c r="DL379" s="354" t="str">
        <f t="shared" ca="1" si="842"/>
        <v/>
      </c>
      <c r="DM379" s="354" t="str">
        <f t="shared" ca="1" si="843"/>
        <v/>
      </c>
      <c r="DN379" s="361" t="str">
        <f t="shared" ca="1" si="844"/>
        <v/>
      </c>
      <c r="DO379" s="362" t="str">
        <f t="shared" ca="1" si="845"/>
        <v/>
      </c>
      <c r="DP379" s="379" t="str">
        <f t="shared" ca="1" si="847"/>
        <v/>
      </c>
      <c r="DQ379" s="302"/>
      <c r="DR379" s="364"/>
      <c r="DS379" s="302"/>
      <c r="DU379" s="424"/>
      <c r="DV379" s="424"/>
      <c r="DW379" s="424"/>
      <c r="DX379" s="424"/>
      <c r="DY379" s="424"/>
      <c r="DZ379" s="424"/>
      <c r="EA379" s="424"/>
      <c r="EB379" s="424"/>
      <c r="EC379" s="424"/>
      <c r="ED379" s="424"/>
      <c r="EE379" s="424"/>
      <c r="EF379" s="424"/>
      <c r="EG379" s="424"/>
      <c r="EH379" s="424"/>
      <c r="EI379" s="424"/>
      <c r="EJ379" s="424"/>
      <c r="EK379" s="424"/>
      <c r="EL379" s="424"/>
      <c r="EM379" s="424"/>
      <c r="EN379" s="424"/>
      <c r="EO379" s="424"/>
      <c r="EP379" s="424"/>
      <c r="EQ379" s="424"/>
      <c r="ER379" s="404" t="str">
        <f ca="1">ER373</f>
        <v/>
      </c>
      <c r="ES379" s="371" t="str">
        <f ca="1">IF(OR(ER379="",EY379="",ER379=EY379),"",CONCATENATE(ER379,EY379))</f>
        <v/>
      </c>
      <c r="ET379" s="422" t="str">
        <f ca="1">IF(OR(ES379="",EY354&gt;2),"",CONCATENATE(VLOOKUP(ES379,games.a,9,FALSE),VLOOKUP(ES379,games.a,12,FALSE)))</f>
        <v/>
      </c>
      <c r="EU379" s="406"/>
      <c r="EV379" s="407"/>
      <c r="EW379" s="423" t="str">
        <f ca="1">IF(ES379="","",VLOOKUP(ES379,games.a,6,FALSE))</f>
        <v/>
      </c>
      <c r="EX379" s="409" t="str">
        <f ca="1">IF(ES379="","",VLOOKUP(ES379,games.a,7,FALSE))</f>
        <v/>
      </c>
      <c r="EY379" s="410" t="str">
        <f ca="1">ER359</f>
        <v/>
      </c>
      <c r="EZ379" s="411"/>
      <c r="FA379" s="412"/>
      <c r="FB379" s="424"/>
      <c r="FC379" s="424"/>
      <c r="FD379" s="425"/>
      <c r="FE379" s="333"/>
    </row>
    <row r="380" spans="86:161" x14ac:dyDescent="0.25">
      <c r="CH380" s="350"/>
      <c r="CI380" s="350"/>
      <c r="CJ380" s="350"/>
      <c r="CK380" s="350"/>
      <c r="CL380" s="350"/>
      <c r="CM380" s="350"/>
      <c r="CN380" s="300"/>
      <c r="DG380" s="350"/>
      <c r="DH380" s="300"/>
      <c r="DI380" s="395" t="str">
        <f t="shared" ca="1" si="846"/>
        <v/>
      </c>
      <c r="DJ380" s="465" t="str">
        <f t="shared" ca="1" si="840"/>
        <v/>
      </c>
      <c r="DK380" s="360" t="str">
        <f t="shared" ca="1" si="841"/>
        <v/>
      </c>
      <c r="DL380" s="354" t="str">
        <f t="shared" ca="1" si="842"/>
        <v/>
      </c>
      <c r="DM380" s="354" t="str">
        <f t="shared" ca="1" si="843"/>
        <v/>
      </c>
      <c r="DN380" s="361" t="str">
        <f t="shared" ca="1" si="844"/>
        <v/>
      </c>
      <c r="DO380" s="362" t="str">
        <f t="shared" ca="1" si="845"/>
        <v/>
      </c>
      <c r="DP380" s="379" t="str">
        <f t="shared" ca="1" si="847"/>
        <v/>
      </c>
      <c r="DQ380" s="302"/>
      <c r="DR380" s="364"/>
      <c r="DS380" s="302"/>
      <c r="DU380" s="424"/>
      <c r="DV380" s="424"/>
      <c r="DW380" s="424"/>
      <c r="DX380" s="424"/>
      <c r="DY380" s="424"/>
      <c r="DZ380" s="424"/>
      <c r="EA380" s="424"/>
      <c r="EB380" s="424"/>
      <c r="EC380" s="424"/>
      <c r="ED380" s="424"/>
      <c r="EE380" s="424"/>
      <c r="EF380" s="424"/>
      <c r="EG380" s="424"/>
      <c r="EH380" s="424"/>
      <c r="EI380" s="424"/>
      <c r="EJ380" s="424"/>
      <c r="EK380" s="424"/>
      <c r="EL380" s="424"/>
      <c r="EM380" s="424"/>
      <c r="EN380" s="424"/>
      <c r="EO380" s="424"/>
      <c r="EP380" s="424"/>
      <c r="EQ380" s="424"/>
      <c r="ER380" s="404" t="str">
        <f ca="1">ER374</f>
        <v/>
      </c>
      <c r="ES380" s="371" t="str">
        <f ca="1">IF(OR(ER380="",EY380="",ER380=EY380),"",CONCATENATE(ER380,EY380))</f>
        <v/>
      </c>
      <c r="ET380" s="422" t="str">
        <f ca="1">IF(OR(ES380="",EY354&gt;2),"",CONCATENATE(VLOOKUP(ES380,games.a,9,FALSE),VLOOKUP(ES380,games.a,12,FALSE)))</f>
        <v/>
      </c>
      <c r="EU380" s="413"/>
      <c r="EV380" s="414"/>
      <c r="EW380" s="423" t="str">
        <f ca="1">IF(ES380="","",VLOOKUP(ES380,games.a,6,FALSE))</f>
        <v/>
      </c>
      <c r="EX380" s="409" t="str">
        <f ca="1">IF(ES380="","",VLOOKUP(ES380,games.a,7,FALSE))</f>
        <v/>
      </c>
      <c r="EY380" s="415" t="str">
        <f ca="1">EY379</f>
        <v/>
      </c>
      <c r="EZ380" s="416"/>
      <c r="FA380" s="417"/>
      <c r="FB380" s="424"/>
      <c r="FC380" s="424"/>
      <c r="FD380" s="425"/>
      <c r="FE380" s="333"/>
    </row>
    <row r="381" spans="86:161" x14ac:dyDescent="0.25">
      <c r="CH381" s="350"/>
      <c r="CI381" s="350"/>
      <c r="CJ381" s="350"/>
      <c r="CK381" s="350"/>
      <c r="CL381" s="350"/>
      <c r="CM381" s="350"/>
      <c r="CN381" s="300"/>
      <c r="DG381" s="350"/>
      <c r="DH381" s="300"/>
      <c r="DI381" s="395" t="str">
        <f t="shared" ca="1" si="846"/>
        <v/>
      </c>
      <c r="DJ381" s="465" t="str">
        <f t="shared" ca="1" si="840"/>
        <v/>
      </c>
      <c r="DK381" s="360" t="str">
        <f t="shared" ca="1" si="841"/>
        <v/>
      </c>
      <c r="DL381" s="354" t="str">
        <f t="shared" ca="1" si="842"/>
        <v/>
      </c>
      <c r="DM381" s="354" t="str">
        <f t="shared" ca="1" si="843"/>
        <v/>
      </c>
      <c r="DN381" s="361" t="str">
        <f t="shared" ca="1" si="844"/>
        <v/>
      </c>
      <c r="DO381" s="362" t="str">
        <f t="shared" ca="1" si="845"/>
        <v/>
      </c>
      <c r="DP381" s="379" t="str">
        <f t="shared" ca="1" si="847"/>
        <v/>
      </c>
      <c r="DQ381" s="302"/>
      <c r="DR381" s="364"/>
      <c r="DS381" s="302"/>
      <c r="DU381" s="424"/>
      <c r="DV381" s="424"/>
      <c r="DW381" s="424"/>
      <c r="DX381" s="424"/>
      <c r="DY381" s="424"/>
      <c r="DZ381" s="424"/>
      <c r="EA381" s="424"/>
      <c r="EB381" s="424"/>
      <c r="EC381" s="424"/>
      <c r="ED381" s="424"/>
      <c r="EE381" s="424"/>
      <c r="EF381" s="424"/>
      <c r="EG381" s="424"/>
      <c r="EH381" s="424"/>
      <c r="EI381" s="424"/>
      <c r="EJ381" s="424"/>
      <c r="EK381" s="424"/>
      <c r="EL381" s="424"/>
      <c r="EM381" s="424"/>
      <c r="EN381" s="424"/>
      <c r="EO381" s="424"/>
      <c r="EP381" s="424"/>
      <c r="EQ381" s="424"/>
      <c r="ER381" s="404" t="str">
        <f ca="1">ER375</f>
        <v/>
      </c>
      <c r="ES381" s="371" t="str">
        <f ca="1">IF(OR(ER381="",EY381="",ER381=EY381),"",CONCATENATE(ER381,EY381))</f>
        <v/>
      </c>
      <c r="ET381" s="422" t="str">
        <f ca="1">IF(OR(ES381="",EY354&gt;2),"",CONCATENATE(VLOOKUP(ES381,games.a,9,FALSE),VLOOKUP(ES381,games.a,12,FALSE)))</f>
        <v/>
      </c>
      <c r="EU381" s="413"/>
      <c r="EV381" s="414"/>
      <c r="EW381" s="423" t="str">
        <f ca="1">IF(ES381="","",VLOOKUP(ES381,games.a,6,FALSE))</f>
        <v/>
      </c>
      <c r="EX381" s="409" t="str">
        <f ca="1">IF(ES381="","",VLOOKUP(ES381,games.a,7,FALSE))</f>
        <v/>
      </c>
      <c r="EY381" s="415" t="str">
        <f ca="1">EY380</f>
        <v/>
      </c>
      <c r="EZ381" s="416"/>
      <c r="FA381" s="417"/>
      <c r="FB381" s="424"/>
      <c r="FC381" s="424"/>
      <c r="FD381" s="425"/>
      <c r="FE381" s="333"/>
    </row>
    <row r="382" spans="86:161" x14ac:dyDescent="0.25">
      <c r="CH382" s="350"/>
      <c r="CI382" s="350"/>
      <c r="CJ382" s="350"/>
      <c r="CK382" s="350"/>
      <c r="CL382" s="350"/>
      <c r="CM382" s="350"/>
      <c r="CN382" s="300"/>
      <c r="DG382" s="350"/>
      <c r="DH382" s="300"/>
      <c r="DI382" s="395" t="str">
        <f t="shared" ca="1" si="846"/>
        <v/>
      </c>
      <c r="DJ382" s="465" t="str">
        <f t="shared" ca="1" si="840"/>
        <v/>
      </c>
      <c r="DK382" s="360" t="str">
        <f t="shared" ca="1" si="841"/>
        <v/>
      </c>
      <c r="DL382" s="354" t="str">
        <f t="shared" ca="1" si="842"/>
        <v/>
      </c>
      <c r="DM382" s="354" t="str">
        <f t="shared" ca="1" si="843"/>
        <v/>
      </c>
      <c r="DN382" s="361" t="str">
        <f t="shared" ca="1" si="844"/>
        <v/>
      </c>
      <c r="DO382" s="362" t="str">
        <f t="shared" ca="1" si="845"/>
        <v/>
      </c>
      <c r="DP382" s="379" t="str">
        <f t="shared" ca="1" si="847"/>
        <v/>
      </c>
      <c r="DQ382" s="302"/>
      <c r="DR382" s="364"/>
      <c r="DS382" s="302"/>
      <c r="DU382" s="424"/>
      <c r="DV382" s="424"/>
      <c r="DW382" s="424"/>
      <c r="DX382" s="424"/>
      <c r="DY382" s="424"/>
      <c r="DZ382" s="424"/>
      <c r="EA382" s="424"/>
      <c r="EB382" s="424"/>
      <c r="EC382" s="424"/>
      <c r="ED382" s="424"/>
      <c r="EE382" s="424"/>
      <c r="EF382" s="424"/>
      <c r="EG382" s="424"/>
      <c r="EH382" s="424"/>
      <c r="EI382" s="424"/>
      <c r="EJ382" s="424"/>
      <c r="EK382" s="424"/>
      <c r="EL382" s="424"/>
      <c r="EM382" s="424"/>
      <c r="EN382" s="424"/>
      <c r="EO382" s="424"/>
      <c r="EP382" s="424"/>
      <c r="EQ382" s="424"/>
      <c r="ER382" s="404" t="str">
        <f ca="1">ER376</f>
        <v/>
      </c>
      <c r="ES382" s="371" t="str">
        <f ca="1">IF(OR(ER382="",EY382="",ER382=EY382),"",CONCATENATE(ER382,EY382))</f>
        <v/>
      </c>
      <c r="ET382" s="422" t="str">
        <f ca="1">IF(OR(ES382="",EY354&gt;2),"",CONCATENATE(VLOOKUP(ES382,games.a,9,FALSE),VLOOKUP(ES382,games.a,12,FALSE)))</f>
        <v/>
      </c>
      <c r="EU382" s="413"/>
      <c r="EV382" s="414"/>
      <c r="EW382" s="423" t="str">
        <f ca="1">IF(ES382="","",VLOOKUP(ES382,games.a,6,FALSE))</f>
        <v/>
      </c>
      <c r="EX382" s="409" t="str">
        <f ca="1">IF(ES382="","",VLOOKUP(ES382,games.a,7,FALSE))</f>
        <v/>
      </c>
      <c r="EY382" s="415" t="str">
        <f ca="1">EY381</f>
        <v/>
      </c>
      <c r="EZ382" s="416"/>
      <c r="FA382" s="417"/>
      <c r="FB382" s="424"/>
      <c r="FC382" s="424"/>
      <c r="FD382" s="425"/>
      <c r="FE382" s="333"/>
    </row>
    <row r="383" spans="86:161" x14ac:dyDescent="0.25">
      <c r="CH383" s="350"/>
      <c r="CI383" s="350"/>
      <c r="CJ383" s="350"/>
      <c r="CK383" s="350"/>
      <c r="CL383" s="350"/>
      <c r="CM383" s="350"/>
      <c r="CN383" s="300"/>
      <c r="DG383" s="350"/>
      <c r="DH383" s="300"/>
      <c r="DI383" s="395" t="str">
        <f t="shared" ca="1" si="846"/>
        <v/>
      </c>
      <c r="DJ383" s="465" t="str">
        <f t="shared" ca="1" si="840"/>
        <v/>
      </c>
      <c r="DK383" s="360" t="str">
        <f t="shared" ca="1" si="841"/>
        <v/>
      </c>
      <c r="DL383" s="354" t="str">
        <f t="shared" ca="1" si="842"/>
        <v/>
      </c>
      <c r="DM383" s="354" t="str">
        <f t="shared" ca="1" si="843"/>
        <v/>
      </c>
      <c r="DN383" s="361" t="str">
        <f t="shared" ca="1" si="844"/>
        <v/>
      </c>
      <c r="DO383" s="362" t="str">
        <f t="shared" ca="1" si="845"/>
        <v/>
      </c>
      <c r="DP383" s="379" t="str">
        <f t="shared" ca="1" si="847"/>
        <v/>
      </c>
      <c r="DQ383" s="302"/>
      <c r="DR383" s="364"/>
      <c r="DS383" s="302"/>
      <c r="DU383" s="424"/>
      <c r="DV383" s="424"/>
      <c r="DW383" s="424"/>
      <c r="DX383" s="424"/>
      <c r="DY383" s="424"/>
      <c r="DZ383" s="424"/>
      <c r="EA383" s="424"/>
      <c r="EB383" s="424"/>
      <c r="EC383" s="424"/>
      <c r="ED383" s="424"/>
      <c r="EE383" s="424"/>
      <c r="EF383" s="424"/>
      <c r="EG383" s="424"/>
      <c r="EH383" s="424"/>
      <c r="EI383" s="424"/>
      <c r="EJ383" s="424"/>
      <c r="EK383" s="424"/>
      <c r="EL383" s="424"/>
      <c r="EM383" s="424"/>
      <c r="EN383" s="424"/>
      <c r="EO383" s="424"/>
      <c r="EP383" s="424"/>
      <c r="EQ383" s="424"/>
      <c r="ER383" s="404" t="str">
        <f ca="1">ER377</f>
        <v/>
      </c>
      <c r="ES383" s="371" t="str">
        <f ca="1">IF(OR(ER383="",EY383="",ER383=EY383),"",CONCATENATE(ER383,EY383))</f>
        <v/>
      </c>
      <c r="ET383" s="422" t="str">
        <f ca="1">IF(OR(ES383="",EY354&gt;2),"",CONCATENATE(VLOOKUP(ES383,games.a,9,FALSE),VLOOKUP(ES383,games.a,12,FALSE)))</f>
        <v/>
      </c>
      <c r="EU383" s="420"/>
      <c r="EV383" s="421"/>
      <c r="EW383" s="423" t="str">
        <f ca="1">IF(ES383="","",VLOOKUP(ES383,games.a,6,FALSE))</f>
        <v/>
      </c>
      <c r="EX383" s="409" t="str">
        <f ca="1">IF(ES383="","",VLOOKUP(ES383,games.a,7,FALSE))</f>
        <v/>
      </c>
      <c r="EY383" s="415" t="str">
        <f ca="1">EY382</f>
        <v/>
      </c>
      <c r="EZ383" s="416"/>
      <c r="FA383" s="417"/>
      <c r="FB383" s="424"/>
      <c r="FC383" s="424"/>
      <c r="FD383" s="425"/>
      <c r="FE383" s="333"/>
    </row>
    <row r="384" spans="86:161" x14ac:dyDescent="0.25">
      <c r="CH384" s="350"/>
      <c r="CI384" s="350"/>
      <c r="CJ384" s="350"/>
      <c r="CK384" s="350"/>
      <c r="CL384" s="350"/>
      <c r="CM384" s="350"/>
      <c r="CN384" s="300"/>
      <c r="DG384" s="350"/>
      <c r="DH384" s="300"/>
      <c r="DI384" s="395" t="str">
        <f t="shared" ca="1" si="846"/>
        <v/>
      </c>
      <c r="DJ384" s="465" t="str">
        <f t="shared" ca="1" si="840"/>
        <v/>
      </c>
      <c r="DK384" s="360" t="str">
        <f t="shared" ca="1" si="841"/>
        <v/>
      </c>
      <c r="DL384" s="354" t="str">
        <f t="shared" ca="1" si="842"/>
        <v/>
      </c>
      <c r="DM384" s="354" t="str">
        <f t="shared" ca="1" si="843"/>
        <v/>
      </c>
      <c r="DN384" s="361" t="str">
        <f t="shared" ca="1" si="844"/>
        <v/>
      </c>
      <c r="DO384" s="362" t="str">
        <f t="shared" ca="1" si="845"/>
        <v/>
      </c>
      <c r="DP384" s="379" t="str">
        <f t="shared" ca="1" si="847"/>
        <v/>
      </c>
      <c r="DQ384" s="302"/>
      <c r="DR384" s="364"/>
      <c r="DS384" s="302"/>
      <c r="DU384" s="424"/>
      <c r="DV384" s="424"/>
      <c r="DW384" s="424"/>
      <c r="DX384" s="424"/>
      <c r="DY384" s="424"/>
      <c r="DZ384" s="424"/>
      <c r="EA384" s="424"/>
      <c r="EB384" s="424"/>
      <c r="EC384" s="424"/>
      <c r="ED384" s="424"/>
      <c r="EE384" s="424"/>
      <c r="EF384" s="424"/>
      <c r="EG384" s="424"/>
      <c r="EH384" s="424"/>
      <c r="EI384" s="424"/>
      <c r="EJ384" s="424"/>
      <c r="EK384" s="424"/>
      <c r="EL384" s="424"/>
      <c r="EM384" s="424"/>
      <c r="EN384" s="424"/>
      <c r="EO384" s="424"/>
      <c r="EP384" s="424"/>
      <c r="EQ384" s="424"/>
      <c r="ER384" s="424"/>
      <c r="ES384" s="424"/>
      <c r="ET384" s="424"/>
      <c r="EU384" s="424"/>
      <c r="EV384" s="424"/>
      <c r="EW384" s="424"/>
      <c r="EX384" s="424"/>
      <c r="EY384" s="424"/>
      <c r="EZ384" s="424"/>
      <c r="FA384" s="424"/>
      <c r="FB384" s="424"/>
      <c r="FC384" s="424"/>
      <c r="FD384" s="425"/>
      <c r="FE384" s="333"/>
    </row>
    <row r="385" spans="86:161" x14ac:dyDescent="0.25">
      <c r="CH385" s="350"/>
      <c r="CI385" s="350"/>
      <c r="CJ385" s="350"/>
      <c r="CK385" s="350"/>
      <c r="CL385" s="350"/>
      <c r="CM385" s="350"/>
      <c r="CN385" s="300"/>
      <c r="DG385" s="350"/>
      <c r="DH385" s="300"/>
      <c r="DI385" s="395" t="str">
        <f t="shared" ca="1" si="846"/>
        <v/>
      </c>
      <c r="DJ385" s="465" t="str">
        <f t="shared" ca="1" si="840"/>
        <v/>
      </c>
      <c r="DK385" s="360" t="str">
        <f t="shared" ca="1" si="841"/>
        <v/>
      </c>
      <c r="DL385" s="354" t="str">
        <f t="shared" ca="1" si="842"/>
        <v/>
      </c>
      <c r="DM385" s="354" t="str">
        <f t="shared" ca="1" si="843"/>
        <v/>
      </c>
      <c r="DN385" s="361" t="str">
        <f t="shared" ca="1" si="844"/>
        <v/>
      </c>
      <c r="DO385" s="362" t="str">
        <f t="shared" ca="1" si="845"/>
        <v/>
      </c>
      <c r="DP385" s="379" t="str">
        <f t="shared" ca="1" si="847"/>
        <v/>
      </c>
      <c r="DQ385" s="302"/>
      <c r="DR385" s="364"/>
      <c r="DS385" s="302"/>
      <c r="DU385" s="424"/>
      <c r="DV385" s="424"/>
      <c r="DW385" s="424"/>
      <c r="DX385" s="424"/>
      <c r="DY385" s="424"/>
      <c r="DZ385" s="424"/>
      <c r="EA385" s="424"/>
      <c r="EB385" s="424"/>
      <c r="EC385" s="424"/>
      <c r="ED385" s="424"/>
      <c r="EE385" s="424"/>
      <c r="EF385" s="424"/>
      <c r="EG385" s="424"/>
      <c r="EH385" s="424"/>
      <c r="EI385" s="424"/>
      <c r="EJ385" s="424"/>
      <c r="EK385" s="424"/>
      <c r="EL385" s="424"/>
      <c r="EM385" s="424"/>
      <c r="EN385" s="424"/>
      <c r="EO385" s="424"/>
      <c r="EP385" s="424"/>
      <c r="EQ385" s="424"/>
      <c r="ER385" s="398"/>
      <c r="ES385" s="329" t="s">
        <v>157</v>
      </c>
      <c r="ET385" s="329" t="s">
        <v>158</v>
      </c>
      <c r="EU385" s="399"/>
      <c r="EV385" s="400"/>
      <c r="EW385" s="401" t="s">
        <v>160</v>
      </c>
      <c r="EX385" s="402" t="s">
        <v>135</v>
      </c>
      <c r="EY385" s="365"/>
      <c r="EZ385" s="365"/>
      <c r="FA385" s="365"/>
      <c r="FB385" s="424"/>
      <c r="FC385" s="424"/>
      <c r="FD385" s="425"/>
      <c r="FE385" s="333"/>
    </row>
    <row r="386" spans="86:161" x14ac:dyDescent="0.25">
      <c r="CH386" s="350"/>
      <c r="CI386" s="350"/>
      <c r="CJ386" s="350"/>
      <c r="CK386" s="350"/>
      <c r="CL386" s="350"/>
      <c r="CM386" s="350"/>
      <c r="CN386" s="300"/>
      <c r="DG386" s="350"/>
      <c r="DH386" s="300"/>
      <c r="DI386" s="301"/>
      <c r="DJ386" s="458" t="s">
        <v>157</v>
      </c>
      <c r="DK386" s="458" t="s">
        <v>158</v>
      </c>
      <c r="DL386" s="459" t="s">
        <v>159</v>
      </c>
      <c r="DM386" s="459"/>
      <c r="DN386" s="460" t="s">
        <v>160</v>
      </c>
      <c r="DO386" s="459" t="s">
        <v>135</v>
      </c>
      <c r="DP386" s="302"/>
      <c r="DQ386" s="302"/>
      <c r="DR386" s="364"/>
      <c r="DS386" s="302"/>
      <c r="DU386" s="424"/>
      <c r="DV386" s="424"/>
      <c r="DW386" s="424"/>
      <c r="DX386" s="424"/>
      <c r="DY386" s="424"/>
      <c r="DZ386" s="424"/>
      <c r="EA386" s="424"/>
      <c r="EB386" s="424"/>
      <c r="EC386" s="424"/>
      <c r="ED386" s="424"/>
      <c r="EE386" s="424"/>
      <c r="EF386" s="424"/>
      <c r="EG386" s="424"/>
      <c r="EH386" s="424"/>
      <c r="EI386" s="424"/>
      <c r="EJ386" s="424"/>
      <c r="EK386" s="424"/>
      <c r="EL386" s="424"/>
      <c r="EM386" s="424"/>
      <c r="EN386" s="424"/>
      <c r="EO386" s="424"/>
      <c r="EP386" s="424"/>
      <c r="EQ386" s="424"/>
      <c r="ER386" s="404" t="str">
        <f ca="1">IF(EX343="","",VLOOKUP(EX343,yyy.av1.10,7,FALSE))</f>
        <v/>
      </c>
      <c r="ES386" s="371" t="str">
        <f ca="1">IF(OR(ER386="",EY386="",ER386=EY386),"",CONCATENATE(ER386,EY386))</f>
        <v/>
      </c>
      <c r="ET386" s="369" t="str">
        <f ca="1">IF(ES386="","",CONCATENATE(VLOOKUP(ES386,games.a,9,FALSE),VLOOKUP(ES386,games.a,12,FALSE)))</f>
        <v/>
      </c>
      <c r="EU386" s="406"/>
      <c r="EV386" s="407"/>
      <c r="EW386" s="423" t="str">
        <f ca="1">IF(ES386="","",VLOOKUP(ES386,games.a,6,FALSE))</f>
        <v/>
      </c>
      <c r="EX386" s="409" t="str">
        <f ca="1">IF(ES386="","",VLOOKUP(ES386,games.a,7,FALSE))</f>
        <v/>
      </c>
      <c r="EY386" s="410" t="str">
        <f ca="1">ER386</f>
        <v/>
      </c>
      <c r="EZ386" s="411"/>
      <c r="FA386" s="412"/>
      <c r="FB386" s="424"/>
      <c r="FC386" s="424"/>
      <c r="FD386" s="425"/>
      <c r="FE386" s="333"/>
    </row>
    <row r="387" spans="86:161" x14ac:dyDescent="0.25">
      <c r="CH387" s="350"/>
      <c r="CI387" s="350"/>
      <c r="CJ387" s="350"/>
      <c r="CK387" s="350"/>
      <c r="CL387" s="350"/>
      <c r="CM387" s="350"/>
      <c r="CN387" s="300"/>
      <c r="DG387" s="350"/>
      <c r="DH387" s="300"/>
      <c r="DI387" s="395" t="str">
        <f ca="1">DI376</f>
        <v>Vakana</v>
      </c>
      <c r="DJ387" s="465" t="str">
        <f t="shared" ref="DJ387:DJ396" ca="1" si="848">IF(OR(DI387="",DP387="",DI387=DP387,COUNTIF(games.av,DI387&amp;DP387)=0),"",CONCATENATE(DI387,DP387))</f>
        <v/>
      </c>
      <c r="DK387" s="360" t="str">
        <f t="shared" ref="DK387:DK396" ca="1" si="849">IF($DJ387="","",CONCATENATE(VLOOKUP($DJ387,games.a,9,FALSE),VLOOKUP($DJ387,games.a,12,FALSE)))</f>
        <v/>
      </c>
      <c r="DL387" s="354" t="str">
        <f t="shared" ref="DL387:DL396" ca="1" si="850">IF($DJ387="","",VLOOKUP($DJ387,games.a,10,FALSE))</f>
        <v/>
      </c>
      <c r="DM387" s="354" t="str">
        <f t="shared" ref="DM387:DM396" ca="1" si="851">IF($DJ387="","",VLOOKUP($DJ387,games.a,13,FALSE))</f>
        <v/>
      </c>
      <c r="DN387" s="361" t="str">
        <f t="shared" ref="DN387:DN396" ca="1" si="852">IF($DJ387="","",VLOOKUP($DJ387,games.a,6,FALSE))</f>
        <v/>
      </c>
      <c r="DO387" s="362" t="str">
        <f t="shared" ref="DO387:DO396" ca="1" si="853">IF($DJ387="","",VLOOKUP($DJ387,games.a,7,FALSE))</f>
        <v/>
      </c>
      <c r="DP387" s="466" t="str">
        <f ca="1">DI347</f>
        <v/>
      </c>
      <c r="DQ387" s="302"/>
      <c r="DR387" s="364"/>
      <c r="DS387" s="302"/>
      <c r="DU387" s="424"/>
      <c r="DV387" s="424"/>
      <c r="DW387" s="424"/>
      <c r="DX387" s="424"/>
      <c r="DY387" s="424"/>
      <c r="DZ387" s="424"/>
      <c r="EA387" s="424"/>
      <c r="EB387" s="424"/>
      <c r="EC387" s="424"/>
      <c r="ED387" s="424"/>
      <c r="EE387" s="424"/>
      <c r="EF387" s="424"/>
      <c r="EG387" s="424"/>
      <c r="EH387" s="424"/>
      <c r="EI387" s="424"/>
      <c r="EJ387" s="424"/>
      <c r="EK387" s="424"/>
      <c r="EL387" s="424"/>
      <c r="EM387" s="424"/>
      <c r="EN387" s="424"/>
      <c r="EO387" s="424"/>
      <c r="EP387" s="424"/>
      <c r="EQ387" s="424"/>
      <c r="ER387" s="404" t="str">
        <f ca="1">IF(EX344="","",VLOOKUP(EX344,yyy.av1.10,7,FALSE))</f>
        <v/>
      </c>
      <c r="ES387" s="371" t="str">
        <f ca="1">IF(OR(ER387="",EY387="",ER387=EY387),"",CONCATENATE(ER387,EY387))</f>
        <v/>
      </c>
      <c r="ET387" s="369" t="str">
        <f ca="1">IF(ES387="","",CONCATENATE(VLOOKUP(ES387,games.a,9,FALSE),VLOOKUP(ES387,games.a,12,FALSE)))</f>
        <v/>
      </c>
      <c r="EU387" s="413"/>
      <c r="EV387" s="414"/>
      <c r="EW387" s="423" t="str">
        <f ca="1">IF(ES387="","",VLOOKUP(ES387,games.a,6,FALSE))</f>
        <v/>
      </c>
      <c r="EX387" s="409" t="str">
        <f ca="1">IF(ES387="","",VLOOKUP(ES387,games.a,7,FALSE))</f>
        <v/>
      </c>
      <c r="EY387" s="415" t="str">
        <f ca="1">EY386</f>
        <v/>
      </c>
      <c r="EZ387" s="416"/>
      <c r="FA387" s="417"/>
      <c r="FB387" s="424"/>
      <c r="FC387" s="424"/>
      <c r="FD387" s="425"/>
      <c r="FE387" s="333"/>
    </row>
    <row r="388" spans="86:161" x14ac:dyDescent="0.25">
      <c r="CH388" s="350"/>
      <c r="CI388" s="350"/>
      <c r="CJ388" s="350"/>
      <c r="CK388" s="350"/>
      <c r="CL388" s="350"/>
      <c r="CM388" s="350"/>
      <c r="CN388" s="300"/>
      <c r="DG388" s="350"/>
      <c r="DH388" s="300"/>
      <c r="DI388" s="395" t="str">
        <f t="shared" ref="DI388:DI396" ca="1" si="854">DI377</f>
        <v>Bakafogó-Honvéd-Sashegy SE</v>
      </c>
      <c r="DJ388" s="465" t="str">
        <f t="shared" ca="1" si="848"/>
        <v/>
      </c>
      <c r="DK388" s="360" t="str">
        <f t="shared" ca="1" si="849"/>
        <v/>
      </c>
      <c r="DL388" s="354" t="str">
        <f t="shared" ca="1" si="850"/>
        <v/>
      </c>
      <c r="DM388" s="354" t="str">
        <f t="shared" ca="1" si="851"/>
        <v/>
      </c>
      <c r="DN388" s="361" t="str">
        <f t="shared" ca="1" si="852"/>
        <v/>
      </c>
      <c r="DO388" s="362" t="str">
        <f t="shared" ca="1" si="853"/>
        <v/>
      </c>
      <c r="DP388" s="379" t="str">
        <f ca="1">DP387</f>
        <v/>
      </c>
      <c r="DQ388" s="302"/>
      <c r="DR388" s="364"/>
      <c r="DS388" s="302"/>
      <c r="DU388" s="424"/>
      <c r="DV388" s="424"/>
      <c r="DW388" s="424"/>
      <c r="DX388" s="424"/>
      <c r="DY388" s="424"/>
      <c r="DZ388" s="424"/>
      <c r="EA388" s="424"/>
      <c r="EB388" s="424"/>
      <c r="EC388" s="424"/>
      <c r="ED388" s="424"/>
      <c r="EE388" s="424"/>
      <c r="EF388" s="424"/>
      <c r="EG388" s="424"/>
      <c r="EH388" s="424"/>
      <c r="EI388" s="424"/>
      <c r="EJ388" s="424"/>
      <c r="EK388" s="424"/>
      <c r="EL388" s="424"/>
      <c r="EM388" s="424"/>
      <c r="EN388" s="424"/>
      <c r="EO388" s="424"/>
      <c r="EP388" s="424"/>
      <c r="EQ388" s="424"/>
      <c r="ER388" s="398"/>
      <c r="ES388" s="329" t="s">
        <v>157</v>
      </c>
      <c r="ET388" s="329" t="s">
        <v>158</v>
      </c>
      <c r="EU388" s="399"/>
      <c r="EV388" s="400"/>
      <c r="EW388" s="401" t="s">
        <v>160</v>
      </c>
      <c r="EX388" s="402" t="s">
        <v>135</v>
      </c>
      <c r="EY388" s="398"/>
      <c r="EZ388" s="365"/>
      <c r="FA388" s="365"/>
      <c r="FB388" s="424"/>
      <c r="FC388" s="424"/>
      <c r="FD388" s="425"/>
      <c r="FE388" s="333"/>
    </row>
    <row r="389" spans="86:161" x14ac:dyDescent="0.25">
      <c r="CH389" s="350"/>
      <c r="CI389" s="350"/>
      <c r="CJ389" s="350"/>
      <c r="CK389" s="350"/>
      <c r="CL389" s="350"/>
      <c r="CM389" s="350"/>
      <c r="DG389" s="350"/>
      <c r="DH389" s="300"/>
      <c r="DI389" s="395" t="str">
        <f t="shared" ca="1" si="854"/>
        <v/>
      </c>
      <c r="DJ389" s="465" t="str">
        <f t="shared" ca="1" si="848"/>
        <v/>
      </c>
      <c r="DK389" s="360" t="str">
        <f t="shared" ca="1" si="849"/>
        <v/>
      </c>
      <c r="DL389" s="354" t="str">
        <f t="shared" ca="1" si="850"/>
        <v/>
      </c>
      <c r="DM389" s="354" t="str">
        <f t="shared" ca="1" si="851"/>
        <v/>
      </c>
      <c r="DN389" s="361" t="str">
        <f t="shared" ca="1" si="852"/>
        <v/>
      </c>
      <c r="DO389" s="362" t="str">
        <f t="shared" ca="1" si="853"/>
        <v/>
      </c>
      <c r="DP389" s="379" t="str">
        <f t="shared" ref="DP389:DP396" ca="1" si="855">DP388</f>
        <v/>
      </c>
      <c r="DQ389" s="302"/>
      <c r="DR389" s="364"/>
      <c r="DS389" s="302"/>
      <c r="DU389" s="424"/>
      <c r="DV389" s="424"/>
      <c r="DW389" s="424"/>
      <c r="DX389" s="424"/>
      <c r="DY389" s="424"/>
      <c r="DZ389" s="424"/>
      <c r="EA389" s="424"/>
      <c r="EB389" s="424"/>
      <c r="EC389" s="424"/>
      <c r="ED389" s="424"/>
      <c r="EE389" s="424"/>
      <c r="EF389" s="424"/>
      <c r="EG389" s="424"/>
      <c r="EH389" s="424"/>
      <c r="EI389" s="424"/>
      <c r="EJ389" s="424"/>
      <c r="EK389" s="424"/>
      <c r="EL389" s="424"/>
      <c r="EM389" s="424"/>
      <c r="EN389" s="424"/>
      <c r="EO389" s="424"/>
      <c r="EP389" s="424"/>
      <c r="EQ389" s="424"/>
      <c r="ER389" s="404" t="str">
        <f ca="1">ER386</f>
        <v/>
      </c>
      <c r="ES389" s="371" t="str">
        <f ca="1">IF(OR(ER389="",EY389="",ER389=EY389),"",CONCATENATE(ER389,EY389))</f>
        <v/>
      </c>
      <c r="ET389" s="369" t="str">
        <f ca="1">IF(ES389="","",CONCATENATE(VLOOKUP(ES389,games.a,9,FALSE),VLOOKUP(ES389,games.a,12,FALSE)))</f>
        <v/>
      </c>
      <c r="EU389" s="406"/>
      <c r="EV389" s="407"/>
      <c r="EW389" s="423" t="str">
        <f ca="1">IF(ES389="","",VLOOKUP(ES389,games.a,6,FALSE))</f>
        <v/>
      </c>
      <c r="EX389" s="409" t="str">
        <f ca="1">IF(ES389="","",VLOOKUP(ES389,games.a,7,FALSE))</f>
        <v/>
      </c>
      <c r="EY389" s="410" t="str">
        <f ca="1">ER387</f>
        <v/>
      </c>
      <c r="EZ389" s="411"/>
      <c r="FA389" s="412"/>
      <c r="FB389" s="424"/>
      <c r="FC389" s="424"/>
      <c r="FD389" s="425"/>
      <c r="FE389" s="333"/>
    </row>
    <row r="390" spans="86:161" x14ac:dyDescent="0.25">
      <c r="CH390" s="350"/>
      <c r="CI390" s="350"/>
      <c r="CJ390" s="350"/>
      <c r="CK390" s="350"/>
      <c r="CL390" s="350"/>
      <c r="CM390" s="350"/>
      <c r="DG390" s="350"/>
      <c r="DH390" s="300"/>
      <c r="DI390" s="395" t="str">
        <f t="shared" ca="1" si="854"/>
        <v/>
      </c>
      <c r="DJ390" s="465" t="str">
        <f t="shared" ca="1" si="848"/>
        <v/>
      </c>
      <c r="DK390" s="360" t="str">
        <f t="shared" ca="1" si="849"/>
        <v/>
      </c>
      <c r="DL390" s="354" t="str">
        <f t="shared" ca="1" si="850"/>
        <v/>
      </c>
      <c r="DM390" s="354" t="str">
        <f t="shared" ca="1" si="851"/>
        <v/>
      </c>
      <c r="DN390" s="361" t="str">
        <f t="shared" ca="1" si="852"/>
        <v/>
      </c>
      <c r="DO390" s="362" t="str">
        <f t="shared" ca="1" si="853"/>
        <v/>
      </c>
      <c r="DP390" s="379" t="str">
        <f t="shared" ca="1" si="855"/>
        <v/>
      </c>
      <c r="DQ390" s="302"/>
      <c r="DR390" s="364"/>
      <c r="DS390" s="302"/>
      <c r="DU390" s="424"/>
      <c r="DV390" s="424"/>
      <c r="DW390" s="424"/>
      <c r="DX390" s="424"/>
      <c r="DY390" s="424"/>
      <c r="DZ390" s="424"/>
      <c r="EA390" s="424"/>
      <c r="EB390" s="424"/>
      <c r="EC390" s="424"/>
      <c r="ED390" s="424"/>
      <c r="EE390" s="424"/>
      <c r="EF390" s="424"/>
      <c r="EG390" s="424"/>
      <c r="EH390" s="424"/>
      <c r="EI390" s="424"/>
      <c r="EJ390" s="424"/>
      <c r="EK390" s="424"/>
      <c r="EL390" s="424"/>
      <c r="EM390" s="424"/>
      <c r="EN390" s="424"/>
      <c r="EO390" s="424"/>
      <c r="EP390" s="424"/>
      <c r="EQ390" s="424"/>
      <c r="ER390" s="404" t="str">
        <f ca="1">ER387</f>
        <v/>
      </c>
      <c r="ES390" s="371" t="str">
        <f ca="1">IF(OR(ER390="",EY390="",ER390=EY390),"",CONCATENATE(ER390,EY390))</f>
        <v/>
      </c>
      <c r="ET390" s="369" t="str">
        <f ca="1">IF(ES390="","",CONCATENATE(VLOOKUP(ES390,games.a,9,FALSE),VLOOKUP(ES390,games.a,12,FALSE)))</f>
        <v/>
      </c>
      <c r="EU390" s="420"/>
      <c r="EV390" s="421"/>
      <c r="EW390" s="423" t="str">
        <f ca="1">IF(ES390="","",VLOOKUP(ES390,games.a,6,FALSE))</f>
        <v/>
      </c>
      <c r="EX390" s="409" t="str">
        <f ca="1">IF(ES390="","",VLOOKUP(ES390,games.a,7,FALSE))</f>
        <v/>
      </c>
      <c r="EY390" s="415" t="str">
        <f ca="1">EY389</f>
        <v/>
      </c>
      <c r="EZ390" s="416"/>
      <c r="FA390" s="417"/>
      <c r="FB390" s="424"/>
      <c r="FC390" s="424"/>
      <c r="FD390" s="425"/>
      <c r="FE390" s="333"/>
    </row>
    <row r="391" spans="86:161" x14ac:dyDescent="0.25">
      <c r="CH391" s="350"/>
      <c r="CI391" s="350"/>
      <c r="CJ391" s="350"/>
      <c r="CK391" s="350"/>
      <c r="CL391" s="350"/>
      <c r="CM391" s="350"/>
      <c r="DG391" s="350"/>
      <c r="DH391" s="300"/>
      <c r="DI391" s="395" t="str">
        <f t="shared" ca="1" si="854"/>
        <v/>
      </c>
      <c r="DJ391" s="465" t="str">
        <f t="shared" ca="1" si="848"/>
        <v/>
      </c>
      <c r="DK391" s="360" t="str">
        <f t="shared" ca="1" si="849"/>
        <v/>
      </c>
      <c r="DL391" s="354" t="str">
        <f t="shared" ca="1" si="850"/>
        <v/>
      </c>
      <c r="DM391" s="354" t="str">
        <f t="shared" ca="1" si="851"/>
        <v/>
      </c>
      <c r="DN391" s="361" t="str">
        <f t="shared" ca="1" si="852"/>
        <v/>
      </c>
      <c r="DO391" s="362" t="str">
        <f t="shared" ca="1" si="853"/>
        <v/>
      </c>
      <c r="DP391" s="379" t="str">
        <f t="shared" ca="1" si="855"/>
        <v/>
      </c>
      <c r="DQ391" s="302"/>
      <c r="DR391" s="364"/>
      <c r="DS391" s="302"/>
      <c r="DU391" s="424"/>
      <c r="DV391" s="424"/>
      <c r="DW391" s="424"/>
      <c r="DX391" s="424"/>
      <c r="DY391" s="424"/>
      <c r="DZ391" s="424"/>
      <c r="EA391" s="424"/>
      <c r="EB391" s="424"/>
      <c r="EC391" s="424"/>
      <c r="ED391" s="424"/>
      <c r="EE391" s="424"/>
      <c r="EF391" s="424"/>
      <c r="EG391" s="424"/>
      <c r="EH391" s="424"/>
      <c r="EI391" s="424"/>
      <c r="EJ391" s="424"/>
      <c r="EK391" s="424"/>
      <c r="EL391" s="424"/>
      <c r="EM391" s="424"/>
      <c r="EN391" s="424"/>
      <c r="EO391" s="424"/>
      <c r="EP391" s="424"/>
      <c r="EQ391" s="424"/>
      <c r="ER391" s="424"/>
      <c r="ES391" s="424"/>
      <c r="ET391" s="424"/>
      <c r="EU391" s="424"/>
      <c r="EV391" s="424"/>
      <c r="EW391" s="424"/>
      <c r="EX391" s="424"/>
      <c r="EY391" s="424"/>
      <c r="EZ391" s="424"/>
      <c r="FA391" s="424"/>
      <c r="FB391" s="424"/>
      <c r="FC391" s="424"/>
      <c r="FD391" s="425"/>
      <c r="FE391" s="333"/>
    </row>
    <row r="392" spans="86:161" x14ac:dyDescent="0.25">
      <c r="CH392" s="350"/>
      <c r="CI392" s="350"/>
      <c r="CJ392" s="350"/>
      <c r="CK392" s="350"/>
      <c r="CL392" s="350"/>
      <c r="CM392" s="350"/>
      <c r="DG392" s="350"/>
      <c r="DH392" s="300"/>
      <c r="DI392" s="395" t="str">
        <f t="shared" ca="1" si="854"/>
        <v/>
      </c>
      <c r="DJ392" s="465" t="str">
        <f t="shared" ca="1" si="848"/>
        <v/>
      </c>
      <c r="DK392" s="360" t="str">
        <f t="shared" ca="1" si="849"/>
        <v/>
      </c>
      <c r="DL392" s="354" t="str">
        <f t="shared" ca="1" si="850"/>
        <v/>
      </c>
      <c r="DM392" s="354" t="str">
        <f t="shared" ca="1" si="851"/>
        <v/>
      </c>
      <c r="DN392" s="361" t="str">
        <f t="shared" ca="1" si="852"/>
        <v/>
      </c>
      <c r="DO392" s="362" t="str">
        <f t="shared" ca="1" si="853"/>
        <v/>
      </c>
      <c r="DP392" s="379" t="str">
        <f t="shared" ca="1" si="855"/>
        <v/>
      </c>
      <c r="DQ392" s="302"/>
      <c r="DR392" s="364"/>
      <c r="DS392" s="302"/>
      <c r="DU392" s="424"/>
      <c r="DV392" s="424"/>
      <c r="DW392" s="424"/>
      <c r="DX392" s="424"/>
      <c r="DY392" s="424"/>
      <c r="DZ392" s="424"/>
      <c r="EA392" s="424"/>
      <c r="EB392" s="424"/>
      <c r="EC392" s="424"/>
      <c r="ED392" s="424"/>
      <c r="EE392" s="424"/>
      <c r="EF392" s="424"/>
      <c r="EG392" s="424"/>
      <c r="EH392" s="424"/>
      <c r="EI392" s="424"/>
      <c r="EJ392" s="424"/>
      <c r="EK392" s="424"/>
      <c r="EL392" s="424"/>
      <c r="EM392" s="424"/>
      <c r="EN392" s="424"/>
      <c r="EO392" s="424"/>
      <c r="EP392" s="424"/>
      <c r="EQ392" s="424"/>
      <c r="ER392" s="398"/>
      <c r="ES392" s="329" t="s">
        <v>157</v>
      </c>
      <c r="ET392" s="329" t="s">
        <v>158</v>
      </c>
      <c r="EU392" s="399"/>
      <c r="EV392" s="400"/>
      <c r="EW392" s="401" t="s">
        <v>160</v>
      </c>
      <c r="EX392" s="402" t="s">
        <v>135</v>
      </c>
      <c r="EY392" s="365"/>
      <c r="EZ392" s="365"/>
      <c r="FA392" s="365"/>
      <c r="FB392" s="424"/>
      <c r="FC392" s="424"/>
      <c r="FD392" s="425"/>
      <c r="FE392" s="333"/>
    </row>
    <row r="393" spans="86:161" x14ac:dyDescent="0.25">
      <c r="CH393" s="350"/>
      <c r="CI393" s="350"/>
      <c r="CJ393" s="350"/>
      <c r="CK393" s="350"/>
      <c r="CL393" s="350"/>
      <c r="CM393" s="350"/>
      <c r="DG393" s="350"/>
      <c r="DH393" s="300"/>
      <c r="DI393" s="395" t="str">
        <f t="shared" ca="1" si="854"/>
        <v/>
      </c>
      <c r="DJ393" s="465" t="str">
        <f t="shared" ca="1" si="848"/>
        <v/>
      </c>
      <c r="DK393" s="360" t="str">
        <f t="shared" ca="1" si="849"/>
        <v/>
      </c>
      <c r="DL393" s="354" t="str">
        <f t="shared" ca="1" si="850"/>
        <v/>
      </c>
      <c r="DM393" s="354" t="str">
        <f t="shared" ca="1" si="851"/>
        <v/>
      </c>
      <c r="DN393" s="361" t="str">
        <f t="shared" ca="1" si="852"/>
        <v/>
      </c>
      <c r="DO393" s="362" t="str">
        <f t="shared" ca="1" si="853"/>
        <v/>
      </c>
      <c r="DP393" s="379" t="str">
        <f t="shared" ca="1" si="855"/>
        <v/>
      </c>
      <c r="DQ393" s="302"/>
      <c r="DR393" s="364"/>
      <c r="DS393" s="302"/>
      <c r="DU393" s="424"/>
      <c r="DV393" s="424"/>
      <c r="DW393" s="424"/>
      <c r="DX393" s="424"/>
      <c r="DY393" s="424"/>
      <c r="DZ393" s="424"/>
      <c r="EA393" s="424"/>
      <c r="EB393" s="424"/>
      <c r="EC393" s="424"/>
      <c r="ED393" s="424"/>
      <c r="EE393" s="424"/>
      <c r="EF393" s="424"/>
      <c r="EG393" s="424"/>
      <c r="EH393" s="424"/>
      <c r="EI393" s="424"/>
      <c r="EJ393" s="424"/>
      <c r="EK393" s="424"/>
      <c r="EL393" s="424"/>
      <c r="EM393" s="424"/>
      <c r="EN393" s="424"/>
      <c r="EO393" s="424"/>
      <c r="EP393" s="424"/>
      <c r="EQ393" s="424"/>
      <c r="ER393" s="404" t="str">
        <f ca="1">IF(FA343="","",VLOOKUP(FA343,yyy.av1.10,10,FALSE))</f>
        <v/>
      </c>
      <c r="ES393" s="371" t="str">
        <f ca="1">IF(OR(ER393="",EY393="",ER393=EY393),"",CONCATENATE(ER393,EY393))</f>
        <v/>
      </c>
      <c r="ET393" s="369" t="str">
        <f ca="1">IF(ES393="","",CONCATENATE(VLOOKUP(ES393,games.a,9,FALSE),VLOOKUP(ES393,games.a,12,FALSE)))</f>
        <v/>
      </c>
      <c r="EU393" s="406"/>
      <c r="EV393" s="407"/>
      <c r="EW393" s="423" t="str">
        <f ca="1">IF(ES393="","",VLOOKUP(ES393,games.a,6,FALSE))</f>
        <v/>
      </c>
      <c r="EX393" s="409" t="str">
        <f ca="1">IF(ES393="","",VLOOKUP(ES393,games.a,7,FALSE))</f>
        <v/>
      </c>
      <c r="EY393" s="410" t="str">
        <f ca="1">ER393</f>
        <v/>
      </c>
      <c r="EZ393" s="411"/>
      <c r="FA393" s="412"/>
      <c r="FB393" s="424"/>
      <c r="FC393" s="424"/>
      <c r="FD393" s="425"/>
      <c r="FE393" s="333"/>
    </row>
    <row r="394" spans="86:161" x14ac:dyDescent="0.25">
      <c r="CH394" s="350"/>
      <c r="CI394" s="350"/>
      <c r="CJ394" s="350"/>
      <c r="CK394" s="350"/>
      <c r="CL394" s="350"/>
      <c r="CM394" s="350"/>
      <c r="DG394" s="350"/>
      <c r="DH394" s="300"/>
      <c r="DI394" s="395" t="str">
        <f t="shared" ca="1" si="854"/>
        <v/>
      </c>
      <c r="DJ394" s="465" t="str">
        <f t="shared" ca="1" si="848"/>
        <v/>
      </c>
      <c r="DK394" s="360" t="str">
        <f t="shared" ca="1" si="849"/>
        <v/>
      </c>
      <c r="DL394" s="354" t="str">
        <f t="shared" ca="1" si="850"/>
        <v/>
      </c>
      <c r="DM394" s="354" t="str">
        <f t="shared" ca="1" si="851"/>
        <v/>
      </c>
      <c r="DN394" s="361" t="str">
        <f t="shared" ca="1" si="852"/>
        <v/>
      </c>
      <c r="DO394" s="362" t="str">
        <f t="shared" ca="1" si="853"/>
        <v/>
      </c>
      <c r="DP394" s="379" t="str">
        <f t="shared" ca="1" si="855"/>
        <v/>
      </c>
      <c r="DQ394" s="302"/>
      <c r="DR394" s="364"/>
      <c r="DS394" s="302"/>
      <c r="DU394" s="424"/>
      <c r="DV394" s="424"/>
      <c r="DW394" s="424"/>
      <c r="DX394" s="424"/>
      <c r="DY394" s="424"/>
      <c r="DZ394" s="424"/>
      <c r="EA394" s="424"/>
      <c r="EB394" s="424"/>
      <c r="EC394" s="424"/>
      <c r="ED394" s="424"/>
      <c r="EE394" s="424"/>
      <c r="EF394" s="424"/>
      <c r="EG394" s="424"/>
      <c r="EH394" s="424"/>
      <c r="EI394" s="424"/>
      <c r="EJ394" s="424"/>
      <c r="EK394" s="424"/>
      <c r="EL394" s="424"/>
      <c r="EM394" s="424"/>
      <c r="EN394" s="424"/>
      <c r="EO394" s="424"/>
      <c r="EP394" s="424"/>
      <c r="EQ394" s="424"/>
      <c r="ER394" s="404" t="str">
        <f ca="1">IF(FA344="","",VLOOKUP(FA344,yyy.av1.10,10,FALSE))</f>
        <v/>
      </c>
      <c r="ES394" s="371" t="str">
        <f ca="1">IF(OR(ER394="",EY394="",ER394=EY394),"",CONCATENATE(ER394,EY394))</f>
        <v/>
      </c>
      <c r="ET394" s="369" t="str">
        <f ca="1">IF(ES394="","",CONCATENATE(VLOOKUP(ES394,games.a,9,FALSE),VLOOKUP(ES394,games.a,12,FALSE)))</f>
        <v/>
      </c>
      <c r="EU394" s="413"/>
      <c r="EV394" s="414"/>
      <c r="EW394" s="423" t="str">
        <f ca="1">IF(ES394="","",VLOOKUP(ES394,games.a,6,FALSE))</f>
        <v/>
      </c>
      <c r="EX394" s="409" t="str">
        <f ca="1">IF(ES394="","",VLOOKUP(ES394,games.a,7,FALSE))</f>
        <v/>
      </c>
      <c r="EY394" s="415" t="str">
        <f ca="1">EY393</f>
        <v/>
      </c>
      <c r="EZ394" s="416"/>
      <c r="FA394" s="417"/>
      <c r="FB394" s="424"/>
      <c r="FC394" s="424"/>
      <c r="FD394" s="425"/>
      <c r="FE394" s="333"/>
    </row>
    <row r="395" spans="86:161" x14ac:dyDescent="0.25">
      <c r="CH395" s="350"/>
      <c r="CI395" s="350"/>
      <c r="CJ395" s="350"/>
      <c r="CK395" s="350"/>
      <c r="CL395" s="350"/>
      <c r="CM395" s="350"/>
      <c r="DG395" s="350"/>
      <c r="DH395" s="300"/>
      <c r="DI395" s="395" t="str">
        <f t="shared" ca="1" si="854"/>
        <v/>
      </c>
      <c r="DJ395" s="465" t="str">
        <f t="shared" ca="1" si="848"/>
        <v/>
      </c>
      <c r="DK395" s="360" t="str">
        <f t="shared" ca="1" si="849"/>
        <v/>
      </c>
      <c r="DL395" s="354" t="str">
        <f t="shared" ca="1" si="850"/>
        <v/>
      </c>
      <c r="DM395" s="354" t="str">
        <f t="shared" ca="1" si="851"/>
        <v/>
      </c>
      <c r="DN395" s="361" t="str">
        <f t="shared" ca="1" si="852"/>
        <v/>
      </c>
      <c r="DO395" s="362" t="str">
        <f t="shared" ca="1" si="853"/>
        <v/>
      </c>
      <c r="DP395" s="379" t="str">
        <f t="shared" ca="1" si="855"/>
        <v/>
      </c>
      <c r="DQ395" s="302"/>
      <c r="DR395" s="364"/>
      <c r="DS395" s="302"/>
      <c r="DU395" s="424"/>
      <c r="DV395" s="424"/>
      <c r="DW395" s="424"/>
      <c r="DX395" s="424"/>
      <c r="DY395" s="424"/>
      <c r="DZ395" s="424"/>
      <c r="EA395" s="424"/>
      <c r="EB395" s="424"/>
      <c r="EC395" s="424"/>
      <c r="ED395" s="424"/>
      <c r="EE395" s="424"/>
      <c r="EF395" s="424"/>
      <c r="EG395" s="424"/>
      <c r="EH395" s="424"/>
      <c r="EI395" s="424"/>
      <c r="EJ395" s="424"/>
      <c r="EK395" s="424"/>
      <c r="EL395" s="424"/>
      <c r="EM395" s="424"/>
      <c r="EN395" s="424"/>
      <c r="EO395" s="424"/>
      <c r="EP395" s="424"/>
      <c r="EQ395" s="424"/>
      <c r="ER395" s="398"/>
      <c r="ES395" s="329" t="s">
        <v>157</v>
      </c>
      <c r="ET395" s="329" t="s">
        <v>158</v>
      </c>
      <c r="EU395" s="399"/>
      <c r="EV395" s="400"/>
      <c r="EW395" s="401" t="s">
        <v>160</v>
      </c>
      <c r="EX395" s="402" t="s">
        <v>135</v>
      </c>
      <c r="EY395" s="398"/>
      <c r="EZ395" s="365"/>
      <c r="FA395" s="365"/>
      <c r="FB395" s="424"/>
      <c r="FC395" s="424"/>
      <c r="FD395" s="425"/>
      <c r="FE395" s="333"/>
    </row>
    <row r="396" spans="86:161" x14ac:dyDescent="0.25">
      <c r="CH396" s="350"/>
      <c r="CI396" s="350"/>
      <c r="CJ396" s="350"/>
      <c r="CK396" s="350"/>
      <c r="CL396" s="350"/>
      <c r="CM396" s="350"/>
      <c r="DG396" s="350"/>
      <c r="DH396" s="300"/>
      <c r="DI396" s="395" t="str">
        <f t="shared" ca="1" si="854"/>
        <v/>
      </c>
      <c r="DJ396" s="465" t="str">
        <f t="shared" ca="1" si="848"/>
        <v/>
      </c>
      <c r="DK396" s="360" t="str">
        <f t="shared" ca="1" si="849"/>
        <v/>
      </c>
      <c r="DL396" s="354" t="str">
        <f t="shared" ca="1" si="850"/>
        <v/>
      </c>
      <c r="DM396" s="354" t="str">
        <f t="shared" ca="1" si="851"/>
        <v/>
      </c>
      <c r="DN396" s="361" t="str">
        <f t="shared" ca="1" si="852"/>
        <v/>
      </c>
      <c r="DO396" s="362" t="str">
        <f t="shared" ca="1" si="853"/>
        <v/>
      </c>
      <c r="DP396" s="379" t="str">
        <f t="shared" ca="1" si="855"/>
        <v/>
      </c>
      <c r="DQ396" s="302"/>
      <c r="DR396" s="364"/>
      <c r="DS396" s="302"/>
      <c r="DU396" s="424"/>
      <c r="DV396" s="424"/>
      <c r="DW396" s="424"/>
      <c r="DX396" s="424"/>
      <c r="DY396" s="424"/>
      <c r="DZ396" s="424"/>
      <c r="EA396" s="424"/>
      <c r="EB396" s="424"/>
      <c r="EC396" s="424"/>
      <c r="ED396" s="424"/>
      <c r="EE396" s="424"/>
      <c r="EF396" s="424"/>
      <c r="EG396" s="424"/>
      <c r="EH396" s="424"/>
      <c r="EI396" s="424"/>
      <c r="EJ396" s="424"/>
      <c r="EK396" s="424"/>
      <c r="EL396" s="424"/>
      <c r="EM396" s="424"/>
      <c r="EN396" s="424"/>
      <c r="EO396" s="424"/>
      <c r="EP396" s="424"/>
      <c r="EQ396" s="424"/>
      <c r="ER396" s="404" t="str">
        <f ca="1">ER393</f>
        <v/>
      </c>
      <c r="ES396" s="371" t="str">
        <f ca="1">IF(OR(ER396="",EY396="",ER396=EY396),"",CONCATENATE(ER396,EY396))</f>
        <v/>
      </c>
      <c r="ET396" s="369" t="str">
        <f ca="1">IF(ES396="","",CONCATENATE(VLOOKUP(ES396,games.a,9,FALSE),VLOOKUP(ES396,games.a,12,FALSE)))</f>
        <v/>
      </c>
      <c r="EU396" s="406"/>
      <c r="EV396" s="407"/>
      <c r="EW396" s="423" t="str">
        <f ca="1">IF(ES396="","",VLOOKUP(ES396,games.a,6,FALSE))</f>
        <v/>
      </c>
      <c r="EX396" s="409" t="str">
        <f ca="1">IF(ES396="","",VLOOKUP(ES396,games.a,7,FALSE))</f>
        <v/>
      </c>
      <c r="EY396" s="410" t="str">
        <f ca="1">ER394</f>
        <v/>
      </c>
      <c r="EZ396" s="411"/>
      <c r="FA396" s="412"/>
      <c r="FB396" s="424"/>
      <c r="FC396" s="424"/>
      <c r="FD396" s="425"/>
      <c r="FE396" s="333"/>
    </row>
    <row r="397" spans="86:161" x14ac:dyDescent="0.25">
      <c r="CH397" s="350"/>
      <c r="CI397" s="350"/>
      <c r="CJ397" s="350"/>
      <c r="CK397" s="350"/>
      <c r="CL397" s="350"/>
      <c r="CM397" s="350"/>
      <c r="DG397" s="350"/>
      <c r="DH397" s="300"/>
      <c r="DI397" s="301"/>
      <c r="DJ397" s="458" t="s">
        <v>157</v>
      </c>
      <c r="DK397" s="458" t="s">
        <v>158</v>
      </c>
      <c r="DL397" s="459" t="s">
        <v>159</v>
      </c>
      <c r="DM397" s="459"/>
      <c r="DN397" s="460" t="s">
        <v>160</v>
      </c>
      <c r="DO397" s="459" t="s">
        <v>135</v>
      </c>
      <c r="DP397" s="302"/>
      <c r="DQ397" s="302"/>
      <c r="DR397" s="364"/>
      <c r="DS397" s="302"/>
      <c r="DU397" s="424"/>
      <c r="DV397" s="424"/>
      <c r="DW397" s="424"/>
      <c r="DX397" s="424"/>
      <c r="DY397" s="424"/>
      <c r="DZ397" s="424"/>
      <c r="EA397" s="424"/>
      <c r="EB397" s="424"/>
      <c r="EC397" s="424"/>
      <c r="ED397" s="424"/>
      <c r="EE397" s="424"/>
      <c r="EF397" s="424"/>
      <c r="EG397" s="424"/>
      <c r="EH397" s="424"/>
      <c r="EI397" s="424"/>
      <c r="EJ397" s="424"/>
      <c r="EK397" s="424"/>
      <c r="EL397" s="424"/>
      <c r="EM397" s="424"/>
      <c r="EN397" s="424"/>
      <c r="EO397" s="424"/>
      <c r="EP397" s="424"/>
      <c r="EQ397" s="424"/>
      <c r="ER397" s="404" t="str">
        <f ca="1">ER394</f>
        <v/>
      </c>
      <c r="ES397" s="371" t="str">
        <f ca="1">IF(OR(ER397="",EY397="",ER397=EY397),"",CONCATENATE(ER397,EY397))</f>
        <v/>
      </c>
      <c r="ET397" s="369" t="str">
        <f ca="1">IF(ES397="","",CONCATENATE(VLOOKUP(ES397,games.a,9,FALSE),VLOOKUP(ES397,games.a,12,FALSE)))</f>
        <v/>
      </c>
      <c r="EU397" s="420"/>
      <c r="EV397" s="421"/>
      <c r="EW397" s="423" t="str">
        <f ca="1">IF(ES397="","",VLOOKUP(ES397,games.a,6,FALSE))</f>
        <v/>
      </c>
      <c r="EX397" s="409" t="str">
        <f ca="1">IF(ES397="","",VLOOKUP(ES397,games.a,7,FALSE))</f>
        <v/>
      </c>
      <c r="EY397" s="415" t="str">
        <f ca="1">EY396</f>
        <v/>
      </c>
      <c r="EZ397" s="416"/>
      <c r="FA397" s="417"/>
      <c r="FB397" s="424"/>
      <c r="FC397" s="424"/>
      <c r="FD397" s="425"/>
      <c r="FE397" s="333"/>
    </row>
    <row r="398" spans="86:161" x14ac:dyDescent="0.25">
      <c r="CH398" s="350"/>
      <c r="CI398" s="350"/>
      <c r="CJ398" s="350"/>
      <c r="CK398" s="350"/>
      <c r="CL398" s="350"/>
      <c r="CM398" s="350"/>
      <c r="DG398" s="350"/>
      <c r="DH398" s="300"/>
      <c r="DI398" s="395" t="str">
        <f ca="1">DI387</f>
        <v>Vakana</v>
      </c>
      <c r="DJ398" s="465" t="str">
        <f t="shared" ref="DJ398:DJ407" ca="1" si="856">IF(OR(DI398="",DP398="",DI398=DP398,COUNTIF(games.av,DI398&amp;DP398)=0),"",CONCATENATE(DI398,DP398))</f>
        <v/>
      </c>
      <c r="DK398" s="360" t="str">
        <f t="shared" ref="DK398:DK407" ca="1" si="857">IF($DJ398="","",CONCATENATE(VLOOKUP($DJ398,games.a,9,FALSE),VLOOKUP($DJ398,games.a,12,FALSE)))</f>
        <v/>
      </c>
      <c r="DL398" s="354" t="str">
        <f t="shared" ref="DL398:DL407" ca="1" si="858">IF($DJ398="","",VLOOKUP($DJ398,games.a,10,FALSE))</f>
        <v/>
      </c>
      <c r="DM398" s="354" t="str">
        <f t="shared" ref="DM398:DM407" ca="1" si="859">IF($DJ398="","",VLOOKUP($DJ398,games.a,13,FALSE))</f>
        <v/>
      </c>
      <c r="DN398" s="361" t="str">
        <f t="shared" ref="DN398:DN407" ca="1" si="860">IF($DJ398="","",VLOOKUP($DJ398,games.a,6,FALSE))</f>
        <v/>
      </c>
      <c r="DO398" s="362" t="str">
        <f t="shared" ref="DO398:DO407" ca="1" si="861">IF($DJ398="","",VLOOKUP($DJ398,games.a,7,FALSE))</f>
        <v/>
      </c>
      <c r="DP398" s="466" t="str">
        <f ca="1">DI348</f>
        <v/>
      </c>
      <c r="DQ398" s="302"/>
      <c r="DR398" s="364"/>
      <c r="DS398" s="302"/>
      <c r="DU398" s="424"/>
      <c r="DV398" s="424"/>
      <c r="DW398" s="424"/>
      <c r="DX398" s="424"/>
      <c r="DY398" s="424"/>
      <c r="DZ398" s="424"/>
      <c r="EA398" s="424"/>
      <c r="EB398" s="424"/>
      <c r="EC398" s="424"/>
      <c r="ED398" s="424"/>
      <c r="EE398" s="424"/>
      <c r="EF398" s="424"/>
      <c r="EG398" s="424"/>
      <c r="EH398" s="424"/>
      <c r="EI398" s="424"/>
      <c r="EJ398" s="424"/>
      <c r="EK398" s="424"/>
      <c r="EL398" s="424"/>
      <c r="EM398" s="424"/>
      <c r="EN398" s="424"/>
      <c r="EO398" s="424"/>
      <c r="EP398" s="424"/>
      <c r="EQ398" s="424"/>
      <c r="ER398" s="424"/>
      <c r="ES398" s="424"/>
      <c r="ET398" s="424"/>
      <c r="EU398" s="424"/>
      <c r="EV398" s="424"/>
      <c r="EW398" s="424"/>
      <c r="EX398" s="424"/>
      <c r="EY398" s="424"/>
      <c r="EZ398" s="424"/>
      <c r="FA398" s="424"/>
      <c r="FB398" s="424"/>
      <c r="FC398" s="424"/>
      <c r="FD398" s="425"/>
      <c r="FE398" s="333"/>
    </row>
    <row r="399" spans="86:161" x14ac:dyDescent="0.25">
      <c r="CH399" s="350"/>
      <c r="CI399" s="350"/>
      <c r="CJ399" s="350"/>
      <c r="CK399" s="350"/>
      <c r="CL399" s="350"/>
      <c r="CM399" s="350"/>
      <c r="DG399" s="350"/>
      <c r="DH399" s="300"/>
      <c r="DI399" s="395" t="str">
        <f t="shared" ref="DI399:DI407" ca="1" si="862">DI388</f>
        <v>Bakafogó-Honvéd-Sashegy SE</v>
      </c>
      <c r="DJ399" s="465" t="str">
        <f t="shared" ca="1" si="856"/>
        <v/>
      </c>
      <c r="DK399" s="360" t="str">
        <f t="shared" ca="1" si="857"/>
        <v/>
      </c>
      <c r="DL399" s="354" t="str">
        <f t="shared" ca="1" si="858"/>
        <v/>
      </c>
      <c r="DM399" s="354" t="str">
        <f t="shared" ca="1" si="859"/>
        <v/>
      </c>
      <c r="DN399" s="361" t="str">
        <f t="shared" ca="1" si="860"/>
        <v/>
      </c>
      <c r="DO399" s="362" t="str">
        <f t="shared" ca="1" si="861"/>
        <v/>
      </c>
      <c r="DP399" s="379" t="str">
        <f ca="1">DP398</f>
        <v/>
      </c>
      <c r="DQ399" s="302"/>
      <c r="DR399" s="364"/>
      <c r="DS399" s="302"/>
      <c r="DU399" s="424"/>
      <c r="DV399" s="424"/>
      <c r="DW399" s="424"/>
      <c r="DX399" s="424"/>
      <c r="DY399" s="424"/>
      <c r="DZ399" s="424"/>
      <c r="EA399" s="424"/>
      <c r="EB399" s="424"/>
      <c r="EC399" s="424"/>
      <c r="ED399" s="424"/>
      <c r="EE399" s="424"/>
      <c r="EF399" s="424"/>
      <c r="EG399" s="424"/>
      <c r="EH399" s="424"/>
      <c r="EI399" s="424"/>
      <c r="EJ399" s="424"/>
      <c r="EK399" s="424"/>
      <c r="EL399" s="424"/>
      <c r="EM399" s="424"/>
      <c r="EN399" s="424"/>
      <c r="EO399" s="424"/>
      <c r="EP399" s="424"/>
      <c r="EQ399" s="424"/>
      <c r="ER399" s="424"/>
      <c r="ES399" s="424"/>
      <c r="ET399" s="424"/>
      <c r="EU399" s="424"/>
      <c r="EV399" s="424"/>
      <c r="EW399" s="424"/>
      <c r="EX399" s="424"/>
      <c r="EY399" s="424"/>
      <c r="EZ399" s="424"/>
      <c r="FA399" s="424"/>
      <c r="FB399" s="424"/>
      <c r="FC399" s="424"/>
      <c r="FD399" s="425"/>
      <c r="FE399" s="333"/>
    </row>
    <row r="400" spans="86:161" x14ac:dyDescent="0.25">
      <c r="CH400" s="350"/>
      <c r="CI400" s="350"/>
      <c r="CJ400" s="350"/>
      <c r="CK400" s="350"/>
      <c r="CL400" s="350"/>
      <c r="CM400" s="350"/>
      <c r="DG400" s="350"/>
      <c r="DH400" s="300"/>
      <c r="DI400" s="395" t="str">
        <f t="shared" ca="1" si="862"/>
        <v/>
      </c>
      <c r="DJ400" s="465" t="str">
        <f t="shared" ca="1" si="856"/>
        <v/>
      </c>
      <c r="DK400" s="360" t="str">
        <f t="shared" ca="1" si="857"/>
        <v/>
      </c>
      <c r="DL400" s="354" t="str">
        <f t="shared" ca="1" si="858"/>
        <v/>
      </c>
      <c r="DM400" s="354" t="str">
        <f t="shared" ca="1" si="859"/>
        <v/>
      </c>
      <c r="DN400" s="361" t="str">
        <f t="shared" ca="1" si="860"/>
        <v/>
      </c>
      <c r="DO400" s="362" t="str">
        <f t="shared" ca="1" si="861"/>
        <v/>
      </c>
      <c r="DP400" s="379" t="str">
        <f t="shared" ref="DP400:DP407" ca="1" si="863">DP399</f>
        <v/>
      </c>
      <c r="DQ400" s="302"/>
      <c r="DR400" s="364"/>
      <c r="DS400" s="302"/>
      <c r="DU400" s="424"/>
      <c r="DV400" s="424"/>
      <c r="DW400" s="424"/>
      <c r="DX400" s="424"/>
      <c r="DY400" s="424"/>
      <c r="DZ400" s="424"/>
      <c r="EA400" s="424"/>
      <c r="EB400" s="424"/>
      <c r="EC400" s="424"/>
      <c r="ED400" s="424"/>
      <c r="EE400" s="424"/>
      <c r="EF400" s="424"/>
      <c r="EG400" s="424"/>
      <c r="EH400" s="424"/>
      <c r="EI400" s="424"/>
      <c r="EJ400" s="424"/>
      <c r="EK400" s="424"/>
      <c r="EL400" s="424"/>
      <c r="EM400" s="424"/>
      <c r="EN400" s="424"/>
      <c r="EO400" s="424"/>
      <c r="EP400" s="424"/>
      <c r="EQ400" s="424"/>
      <c r="ER400" s="424"/>
      <c r="ES400" s="424"/>
      <c r="ET400" s="424"/>
      <c r="EU400" s="424"/>
      <c r="EV400" s="424"/>
      <c r="EW400" s="424"/>
      <c r="EX400" s="424"/>
      <c r="EY400" s="424"/>
      <c r="EZ400" s="424"/>
      <c r="FA400" s="424"/>
      <c r="FB400" s="424"/>
      <c r="FC400" s="424"/>
      <c r="FD400" s="425"/>
      <c r="FE400" s="333"/>
    </row>
    <row r="401" spans="86:161" x14ac:dyDescent="0.25">
      <c r="CH401" s="350"/>
      <c r="CI401" s="350"/>
      <c r="CJ401" s="350"/>
      <c r="CK401" s="350"/>
      <c r="CL401" s="350"/>
      <c r="CM401" s="350"/>
      <c r="DG401" s="350"/>
      <c r="DH401" s="300"/>
      <c r="DI401" s="395" t="str">
        <f t="shared" ca="1" si="862"/>
        <v/>
      </c>
      <c r="DJ401" s="465" t="str">
        <f t="shared" ca="1" si="856"/>
        <v/>
      </c>
      <c r="DK401" s="360" t="str">
        <f t="shared" ca="1" si="857"/>
        <v/>
      </c>
      <c r="DL401" s="354" t="str">
        <f t="shared" ca="1" si="858"/>
        <v/>
      </c>
      <c r="DM401" s="354" t="str">
        <f t="shared" ca="1" si="859"/>
        <v/>
      </c>
      <c r="DN401" s="361" t="str">
        <f t="shared" ca="1" si="860"/>
        <v/>
      </c>
      <c r="DO401" s="362" t="str">
        <f t="shared" ca="1" si="861"/>
        <v/>
      </c>
      <c r="DP401" s="379" t="str">
        <f t="shared" ca="1" si="863"/>
        <v/>
      </c>
      <c r="DQ401" s="302"/>
      <c r="DR401" s="364"/>
      <c r="DS401" s="302"/>
      <c r="DU401" s="424"/>
      <c r="DV401" s="424"/>
      <c r="DW401" s="424"/>
      <c r="DX401" s="424"/>
      <c r="DY401" s="424"/>
      <c r="DZ401" s="424"/>
      <c r="EA401" s="424"/>
      <c r="EB401" s="424"/>
      <c r="EC401" s="424"/>
      <c r="ED401" s="424"/>
      <c r="EE401" s="424"/>
      <c r="EF401" s="424"/>
      <c r="EG401" s="424"/>
      <c r="EH401" s="424"/>
      <c r="EI401" s="424"/>
      <c r="EJ401" s="424"/>
      <c r="EK401" s="424"/>
      <c r="EL401" s="424"/>
      <c r="EM401" s="424"/>
      <c r="EN401" s="424"/>
      <c r="EO401" s="424"/>
      <c r="EP401" s="424"/>
      <c r="EQ401" s="424"/>
      <c r="ER401" s="424"/>
      <c r="ES401" s="424"/>
      <c r="ET401" s="424"/>
      <c r="EU401" s="424"/>
      <c r="EV401" s="424"/>
      <c r="EW401" s="424"/>
      <c r="EX401" s="424"/>
      <c r="EY401" s="424"/>
      <c r="EZ401" s="424"/>
      <c r="FA401" s="424"/>
      <c r="FB401" s="424"/>
      <c r="FC401" s="424"/>
      <c r="FD401" s="425"/>
      <c r="FE401" s="333"/>
    </row>
    <row r="402" spans="86:161" x14ac:dyDescent="0.25">
      <c r="CH402" s="350"/>
      <c r="CI402" s="350"/>
      <c r="CJ402" s="350"/>
      <c r="CK402" s="350"/>
      <c r="CL402" s="350"/>
      <c r="CM402" s="350"/>
      <c r="DG402" s="350"/>
      <c r="DH402" s="300"/>
      <c r="DI402" s="395" t="str">
        <f t="shared" ca="1" si="862"/>
        <v/>
      </c>
      <c r="DJ402" s="465" t="str">
        <f t="shared" ca="1" si="856"/>
        <v/>
      </c>
      <c r="DK402" s="360" t="str">
        <f t="shared" ca="1" si="857"/>
        <v/>
      </c>
      <c r="DL402" s="354" t="str">
        <f t="shared" ca="1" si="858"/>
        <v/>
      </c>
      <c r="DM402" s="354" t="str">
        <f t="shared" ca="1" si="859"/>
        <v/>
      </c>
      <c r="DN402" s="361" t="str">
        <f t="shared" ca="1" si="860"/>
        <v/>
      </c>
      <c r="DO402" s="362" t="str">
        <f t="shared" ca="1" si="861"/>
        <v/>
      </c>
      <c r="DP402" s="379" t="str">
        <f t="shared" ca="1" si="863"/>
        <v/>
      </c>
      <c r="DQ402" s="302"/>
      <c r="DR402" s="364"/>
      <c r="DS402" s="302"/>
      <c r="DU402" s="424"/>
      <c r="DV402" s="424"/>
      <c r="DW402" s="424"/>
      <c r="DX402" s="424"/>
      <c r="DY402" s="424"/>
      <c r="DZ402" s="424"/>
      <c r="EA402" s="424"/>
      <c r="EB402" s="424"/>
      <c r="EC402" s="424"/>
      <c r="ED402" s="424"/>
      <c r="EE402" s="424"/>
      <c r="EF402" s="424"/>
      <c r="EG402" s="424"/>
      <c r="EH402" s="424"/>
      <c r="EI402" s="424"/>
      <c r="EJ402" s="424"/>
      <c r="EK402" s="424"/>
      <c r="EL402" s="424"/>
      <c r="EM402" s="424"/>
      <c r="EN402" s="424"/>
      <c r="EO402" s="424"/>
      <c r="EP402" s="424"/>
      <c r="EQ402" s="424"/>
      <c r="ER402" s="424"/>
      <c r="ES402" s="424"/>
      <c r="ET402" s="424"/>
      <c r="EU402" s="424"/>
      <c r="EV402" s="424"/>
      <c r="EW402" s="424"/>
      <c r="EX402" s="424"/>
      <c r="EY402" s="424"/>
      <c r="EZ402" s="424"/>
      <c r="FA402" s="424"/>
      <c r="FB402" s="424"/>
      <c r="FC402" s="424"/>
      <c r="FD402" s="425"/>
      <c r="FE402" s="333"/>
    </row>
    <row r="403" spans="86:161" x14ac:dyDescent="0.25">
      <c r="CH403" s="350"/>
      <c r="CI403" s="350"/>
      <c r="CJ403" s="350"/>
      <c r="CK403" s="350"/>
      <c r="CL403" s="350"/>
      <c r="CM403" s="350"/>
      <c r="DG403" s="350"/>
      <c r="DH403" s="300"/>
      <c r="DI403" s="395" t="str">
        <f t="shared" ca="1" si="862"/>
        <v/>
      </c>
      <c r="DJ403" s="465" t="str">
        <f t="shared" ca="1" si="856"/>
        <v/>
      </c>
      <c r="DK403" s="360" t="str">
        <f t="shared" ca="1" si="857"/>
        <v/>
      </c>
      <c r="DL403" s="354" t="str">
        <f t="shared" ca="1" si="858"/>
        <v/>
      </c>
      <c r="DM403" s="354" t="str">
        <f t="shared" ca="1" si="859"/>
        <v/>
      </c>
      <c r="DN403" s="361" t="str">
        <f t="shared" ca="1" si="860"/>
        <v/>
      </c>
      <c r="DO403" s="362" t="str">
        <f t="shared" ca="1" si="861"/>
        <v/>
      </c>
      <c r="DP403" s="379" t="str">
        <f t="shared" ca="1" si="863"/>
        <v/>
      </c>
      <c r="DQ403" s="302"/>
      <c r="DR403" s="364"/>
      <c r="DS403" s="302"/>
      <c r="DU403" s="424"/>
      <c r="DV403" s="424"/>
      <c r="DW403" s="424"/>
      <c r="DX403" s="424"/>
      <c r="DY403" s="424"/>
      <c r="DZ403" s="424"/>
      <c r="EA403" s="424"/>
      <c r="EB403" s="424"/>
      <c r="EC403" s="424"/>
      <c r="ED403" s="424"/>
      <c r="EE403" s="424"/>
      <c r="EF403" s="424"/>
      <c r="EG403" s="424"/>
      <c r="EH403" s="424"/>
      <c r="EI403" s="424"/>
      <c r="EJ403" s="424"/>
      <c r="EK403" s="424"/>
      <c r="EL403" s="424"/>
      <c r="EM403" s="424"/>
      <c r="EN403" s="424"/>
      <c r="EO403" s="424"/>
      <c r="EP403" s="424"/>
      <c r="EQ403" s="424"/>
      <c r="ER403" s="424"/>
      <c r="ES403" s="424"/>
      <c r="ET403" s="424"/>
      <c r="EU403" s="424"/>
      <c r="EV403" s="424"/>
      <c r="EW403" s="424"/>
      <c r="EX403" s="424"/>
      <c r="EY403" s="424"/>
      <c r="EZ403" s="424"/>
      <c r="FA403" s="424"/>
      <c r="FB403" s="424"/>
      <c r="FC403" s="424"/>
      <c r="FD403" s="425"/>
      <c r="FE403" s="333"/>
    </row>
    <row r="404" spans="86:161" x14ac:dyDescent="0.25">
      <c r="CH404" s="350"/>
      <c r="CI404" s="350"/>
      <c r="CJ404" s="350"/>
      <c r="CK404" s="350"/>
      <c r="CL404" s="350"/>
      <c r="CM404" s="350"/>
      <c r="DG404" s="350"/>
      <c r="DH404" s="300"/>
      <c r="DI404" s="395" t="str">
        <f t="shared" ca="1" si="862"/>
        <v/>
      </c>
      <c r="DJ404" s="465" t="str">
        <f t="shared" ca="1" si="856"/>
        <v/>
      </c>
      <c r="DK404" s="360" t="str">
        <f t="shared" ca="1" si="857"/>
        <v/>
      </c>
      <c r="DL404" s="354" t="str">
        <f t="shared" ca="1" si="858"/>
        <v/>
      </c>
      <c r="DM404" s="354" t="str">
        <f t="shared" ca="1" si="859"/>
        <v/>
      </c>
      <c r="DN404" s="361" t="str">
        <f t="shared" ca="1" si="860"/>
        <v/>
      </c>
      <c r="DO404" s="362" t="str">
        <f t="shared" ca="1" si="861"/>
        <v/>
      </c>
      <c r="DP404" s="379" t="str">
        <f t="shared" ca="1" si="863"/>
        <v/>
      </c>
      <c r="DQ404" s="302"/>
      <c r="DR404" s="364"/>
      <c r="DS404" s="302"/>
      <c r="DU404" s="424"/>
      <c r="DV404" s="424"/>
      <c r="DW404" s="424"/>
      <c r="DX404" s="424"/>
      <c r="DY404" s="424"/>
      <c r="DZ404" s="424"/>
      <c r="EA404" s="424"/>
      <c r="EB404" s="424"/>
      <c r="EC404" s="424"/>
      <c r="ED404" s="424"/>
      <c r="EE404" s="424"/>
      <c r="EF404" s="424"/>
      <c r="EG404" s="424"/>
      <c r="EH404" s="424"/>
      <c r="EI404" s="424"/>
      <c r="EJ404" s="424"/>
      <c r="EK404" s="424"/>
      <c r="EL404" s="424"/>
      <c r="EM404" s="424"/>
      <c r="EN404" s="424"/>
      <c r="EO404" s="424"/>
      <c r="EP404" s="424"/>
      <c r="EQ404" s="424"/>
      <c r="ER404" s="424"/>
      <c r="ES404" s="424"/>
      <c r="ET404" s="424"/>
      <c r="EU404" s="424"/>
      <c r="EV404" s="424"/>
      <c r="EW404" s="424"/>
      <c r="EX404" s="424"/>
      <c r="EY404" s="424"/>
      <c r="EZ404" s="424"/>
      <c r="FA404" s="424"/>
      <c r="FB404" s="424"/>
      <c r="FC404" s="424"/>
      <c r="FD404" s="425"/>
      <c r="FE404" s="333"/>
    </row>
    <row r="405" spans="86:161" x14ac:dyDescent="0.25">
      <c r="CH405" s="350"/>
      <c r="CI405" s="350"/>
      <c r="CJ405" s="350"/>
      <c r="CK405" s="350"/>
      <c r="CL405" s="350"/>
      <c r="CM405" s="350"/>
      <c r="DG405" s="350"/>
      <c r="DH405" s="300"/>
      <c r="DI405" s="395" t="str">
        <f t="shared" ca="1" si="862"/>
        <v/>
      </c>
      <c r="DJ405" s="465" t="str">
        <f t="shared" ca="1" si="856"/>
        <v/>
      </c>
      <c r="DK405" s="360" t="str">
        <f t="shared" ca="1" si="857"/>
        <v/>
      </c>
      <c r="DL405" s="354" t="str">
        <f t="shared" ca="1" si="858"/>
        <v/>
      </c>
      <c r="DM405" s="354" t="str">
        <f t="shared" ca="1" si="859"/>
        <v/>
      </c>
      <c r="DN405" s="361" t="str">
        <f t="shared" ca="1" si="860"/>
        <v/>
      </c>
      <c r="DO405" s="362" t="str">
        <f t="shared" ca="1" si="861"/>
        <v/>
      </c>
      <c r="DP405" s="379" t="str">
        <f t="shared" ca="1" si="863"/>
        <v/>
      </c>
      <c r="DQ405" s="302"/>
      <c r="DR405" s="364"/>
      <c r="DS405" s="302"/>
      <c r="DU405" s="424"/>
      <c r="DV405" s="424"/>
      <c r="DW405" s="424"/>
      <c r="DX405" s="424"/>
      <c r="DY405" s="424"/>
      <c r="DZ405" s="424"/>
      <c r="EA405" s="424"/>
      <c r="EB405" s="424"/>
      <c r="EC405" s="424"/>
      <c r="ED405" s="424"/>
      <c r="EE405" s="424"/>
      <c r="EF405" s="424"/>
      <c r="EG405" s="424"/>
      <c r="EH405" s="424"/>
      <c r="EI405" s="424"/>
      <c r="EJ405" s="424"/>
      <c r="EK405" s="424"/>
      <c r="EL405" s="424"/>
      <c r="EM405" s="424"/>
      <c r="EN405" s="424"/>
      <c r="EO405" s="424"/>
      <c r="EP405" s="424"/>
      <c r="EQ405" s="424"/>
      <c r="ER405" s="424"/>
      <c r="ES405" s="424"/>
      <c r="ET405" s="424"/>
      <c r="EU405" s="424"/>
      <c r="EV405" s="424"/>
      <c r="EW405" s="424"/>
      <c r="EX405" s="424"/>
      <c r="EY405" s="424"/>
      <c r="EZ405" s="424"/>
      <c r="FA405" s="424"/>
      <c r="FB405" s="424"/>
      <c r="FC405" s="424"/>
      <c r="FD405" s="425"/>
      <c r="FE405" s="333"/>
    </row>
    <row r="406" spans="86:161" x14ac:dyDescent="0.25">
      <c r="CH406" s="350"/>
      <c r="CI406" s="350"/>
      <c r="CJ406" s="350"/>
      <c r="CK406" s="350"/>
      <c r="CL406" s="350"/>
      <c r="CM406" s="350"/>
      <c r="DG406" s="350"/>
      <c r="DH406" s="300"/>
      <c r="DI406" s="395" t="str">
        <f t="shared" ca="1" si="862"/>
        <v/>
      </c>
      <c r="DJ406" s="465" t="str">
        <f t="shared" ca="1" si="856"/>
        <v/>
      </c>
      <c r="DK406" s="360" t="str">
        <f t="shared" ca="1" si="857"/>
        <v/>
      </c>
      <c r="DL406" s="354" t="str">
        <f t="shared" ca="1" si="858"/>
        <v/>
      </c>
      <c r="DM406" s="354" t="str">
        <f t="shared" ca="1" si="859"/>
        <v/>
      </c>
      <c r="DN406" s="361" t="str">
        <f t="shared" ca="1" si="860"/>
        <v/>
      </c>
      <c r="DO406" s="362" t="str">
        <f t="shared" ca="1" si="861"/>
        <v/>
      </c>
      <c r="DP406" s="379" t="str">
        <f t="shared" ca="1" si="863"/>
        <v/>
      </c>
      <c r="DQ406" s="302"/>
      <c r="DR406" s="364"/>
      <c r="DS406" s="302"/>
      <c r="DU406" s="424"/>
      <c r="DV406" s="424"/>
      <c r="DW406" s="424"/>
      <c r="DX406" s="424"/>
      <c r="DY406" s="424"/>
      <c r="DZ406" s="424"/>
      <c r="EA406" s="424"/>
      <c r="EB406" s="424"/>
      <c r="EC406" s="424"/>
      <c r="ED406" s="424"/>
      <c r="EE406" s="424"/>
      <c r="EF406" s="424"/>
      <c r="EG406" s="424"/>
      <c r="EH406" s="424"/>
      <c r="EI406" s="424"/>
      <c r="EJ406" s="424"/>
      <c r="EK406" s="424"/>
      <c r="EL406" s="424"/>
      <c r="EM406" s="424"/>
      <c r="EN406" s="424"/>
      <c r="EO406" s="424"/>
      <c r="EP406" s="424"/>
      <c r="EQ406" s="424"/>
      <c r="ER406" s="424"/>
      <c r="ES406" s="424"/>
      <c r="ET406" s="424"/>
      <c r="EU406" s="424"/>
      <c r="EV406" s="424"/>
      <c r="EW406" s="424"/>
      <c r="EX406" s="424"/>
      <c r="EY406" s="424"/>
      <c r="EZ406" s="424"/>
      <c r="FA406" s="424"/>
      <c r="FB406" s="424"/>
      <c r="FC406" s="424"/>
      <c r="FD406" s="425"/>
      <c r="FE406" s="333"/>
    </row>
    <row r="407" spans="86:161" x14ac:dyDescent="0.25">
      <c r="CH407" s="350"/>
      <c r="CI407" s="350"/>
      <c r="CJ407" s="350"/>
      <c r="CK407" s="350"/>
      <c r="CL407" s="350"/>
      <c r="CM407" s="350"/>
      <c r="DG407" s="350"/>
      <c r="DH407" s="300"/>
      <c r="DI407" s="395" t="str">
        <f t="shared" ca="1" si="862"/>
        <v/>
      </c>
      <c r="DJ407" s="465" t="str">
        <f t="shared" ca="1" si="856"/>
        <v/>
      </c>
      <c r="DK407" s="360" t="str">
        <f t="shared" ca="1" si="857"/>
        <v/>
      </c>
      <c r="DL407" s="354" t="str">
        <f t="shared" ca="1" si="858"/>
        <v/>
      </c>
      <c r="DM407" s="354" t="str">
        <f t="shared" ca="1" si="859"/>
        <v/>
      </c>
      <c r="DN407" s="361" t="str">
        <f t="shared" ca="1" si="860"/>
        <v/>
      </c>
      <c r="DO407" s="362" t="str">
        <f t="shared" ca="1" si="861"/>
        <v/>
      </c>
      <c r="DP407" s="379" t="str">
        <f t="shared" ca="1" si="863"/>
        <v/>
      </c>
      <c r="DQ407" s="302"/>
      <c r="DR407" s="364"/>
      <c r="DS407" s="302"/>
      <c r="DU407" s="424"/>
      <c r="DV407" s="424"/>
      <c r="DW407" s="424"/>
      <c r="DX407" s="424"/>
      <c r="DY407" s="424"/>
      <c r="DZ407" s="424"/>
      <c r="EA407" s="424"/>
      <c r="EB407" s="424"/>
      <c r="EC407" s="424"/>
      <c r="ED407" s="424"/>
      <c r="EE407" s="424"/>
      <c r="EF407" s="424"/>
      <c r="EG407" s="424"/>
      <c r="EH407" s="424"/>
      <c r="EI407" s="424"/>
      <c r="EJ407" s="424"/>
      <c r="EK407" s="424"/>
      <c r="EL407" s="424"/>
      <c r="EM407" s="424"/>
      <c r="EN407" s="424"/>
      <c r="EO407" s="424"/>
      <c r="EP407" s="424"/>
      <c r="EQ407" s="424"/>
      <c r="ER407" s="424"/>
      <c r="ES407" s="424"/>
      <c r="ET407" s="424"/>
      <c r="EU407" s="424"/>
      <c r="EV407" s="424"/>
      <c r="EW407" s="424"/>
      <c r="EX407" s="424"/>
      <c r="EY407" s="424"/>
      <c r="EZ407" s="424"/>
      <c r="FA407" s="424"/>
      <c r="FB407" s="424"/>
      <c r="FC407" s="424"/>
      <c r="FD407" s="425"/>
      <c r="FE407" s="333"/>
    </row>
    <row r="408" spans="86:161" x14ac:dyDescent="0.25">
      <c r="CH408" s="350"/>
      <c r="CI408" s="350"/>
      <c r="CJ408" s="350"/>
      <c r="CK408" s="350"/>
      <c r="CL408" s="350"/>
      <c r="CM408" s="350"/>
      <c r="DG408" s="350"/>
      <c r="DH408" s="300"/>
      <c r="DI408" s="301"/>
      <c r="DJ408" s="458" t="s">
        <v>157</v>
      </c>
      <c r="DK408" s="458" t="s">
        <v>158</v>
      </c>
      <c r="DL408" s="459" t="s">
        <v>159</v>
      </c>
      <c r="DM408" s="459"/>
      <c r="DN408" s="460" t="s">
        <v>160</v>
      </c>
      <c r="DO408" s="459" t="s">
        <v>135</v>
      </c>
      <c r="DP408" s="302"/>
      <c r="DQ408" s="302"/>
      <c r="DR408" s="364"/>
      <c r="DS408" s="302"/>
      <c r="DU408" s="424"/>
      <c r="DV408" s="424"/>
      <c r="DW408" s="424"/>
      <c r="DX408" s="424"/>
      <c r="DY408" s="424"/>
      <c r="DZ408" s="424"/>
      <c r="EA408" s="424"/>
      <c r="EB408" s="424"/>
      <c r="EC408" s="424"/>
      <c r="ED408" s="424"/>
      <c r="EE408" s="424"/>
      <c r="EF408" s="424"/>
      <c r="EG408" s="424"/>
      <c r="EH408" s="424"/>
      <c r="EI408" s="424"/>
      <c r="EJ408" s="424"/>
      <c r="EK408" s="424"/>
      <c r="EL408" s="424"/>
      <c r="EM408" s="424"/>
      <c r="EN408" s="424"/>
      <c r="EO408" s="424"/>
      <c r="EP408" s="424"/>
      <c r="EQ408" s="424"/>
      <c r="ER408" s="424"/>
      <c r="ES408" s="424"/>
      <c r="ET408" s="424"/>
      <c r="EU408" s="424"/>
      <c r="EV408" s="424"/>
      <c r="EW408" s="424"/>
      <c r="EX408" s="424"/>
      <c r="EY408" s="424"/>
      <c r="EZ408" s="424"/>
      <c r="FA408" s="424"/>
      <c r="FB408" s="424"/>
      <c r="FC408" s="424"/>
      <c r="FD408" s="425"/>
      <c r="FE408" s="333"/>
    </row>
    <row r="409" spans="86:161" x14ac:dyDescent="0.25">
      <c r="CH409" s="350"/>
      <c r="CI409" s="350"/>
      <c r="CJ409" s="350"/>
      <c r="CK409" s="350"/>
      <c r="CL409" s="350"/>
      <c r="CM409" s="350"/>
      <c r="DG409" s="350"/>
      <c r="DH409" s="300"/>
      <c r="DI409" s="395" t="str">
        <f ca="1">DI398</f>
        <v>Vakana</v>
      </c>
      <c r="DJ409" s="465" t="str">
        <f t="shared" ref="DJ409:DJ418" ca="1" si="864">IF(OR(DI409="",DP409="",DI409=DP409,COUNTIF(games.av,DI409&amp;DP409)=0),"",CONCATENATE(DI409,DP409))</f>
        <v/>
      </c>
      <c r="DK409" s="360" t="str">
        <f t="shared" ref="DK409:DK418" ca="1" si="865">IF($DJ409="","",CONCATENATE(VLOOKUP($DJ409,games.a,9,FALSE),VLOOKUP($DJ409,games.a,12,FALSE)))</f>
        <v/>
      </c>
      <c r="DL409" s="354" t="str">
        <f t="shared" ref="DL409:DL418" ca="1" si="866">IF($DJ409="","",VLOOKUP($DJ409,games.a,10,FALSE))</f>
        <v/>
      </c>
      <c r="DM409" s="354" t="str">
        <f t="shared" ref="DM409:DM418" ca="1" si="867">IF($DJ409="","",VLOOKUP($DJ409,games.a,13,FALSE))</f>
        <v/>
      </c>
      <c r="DN409" s="361" t="str">
        <f t="shared" ref="DN409:DN418" ca="1" si="868">IF($DJ409="","",VLOOKUP($DJ409,games.a,6,FALSE))</f>
        <v/>
      </c>
      <c r="DO409" s="362" t="str">
        <f t="shared" ref="DO409:DO418" ca="1" si="869">IF($DJ409="","",VLOOKUP($DJ409,games.a,7,FALSE))</f>
        <v/>
      </c>
      <c r="DP409" s="466" t="str">
        <f ca="1">DI349</f>
        <v/>
      </c>
      <c r="DQ409" s="302"/>
      <c r="DR409" s="364"/>
      <c r="DS409" s="302"/>
      <c r="DU409" s="424"/>
      <c r="DV409" s="424"/>
      <c r="DW409" s="424"/>
      <c r="DX409" s="424"/>
      <c r="DY409" s="424"/>
      <c r="DZ409" s="424"/>
      <c r="EA409" s="424"/>
      <c r="EB409" s="424"/>
      <c r="EC409" s="424"/>
      <c r="ED409" s="424"/>
      <c r="EE409" s="424"/>
      <c r="EF409" s="424"/>
      <c r="EG409" s="424"/>
      <c r="EH409" s="424"/>
      <c r="EI409" s="424"/>
      <c r="EJ409" s="424"/>
      <c r="EK409" s="424"/>
      <c r="EL409" s="424"/>
      <c r="EM409" s="424"/>
      <c r="EN409" s="424"/>
      <c r="EO409" s="424"/>
      <c r="EP409" s="424"/>
      <c r="EQ409" s="424"/>
      <c r="ER409" s="424"/>
      <c r="ES409" s="424"/>
      <c r="ET409" s="424"/>
      <c r="EU409" s="424"/>
      <c r="EV409" s="424"/>
      <c r="EW409" s="424"/>
      <c r="EX409" s="424"/>
      <c r="EY409" s="424"/>
      <c r="EZ409" s="424"/>
      <c r="FA409" s="424"/>
      <c r="FB409" s="424"/>
      <c r="FC409" s="424"/>
      <c r="FD409" s="425"/>
      <c r="FE409" s="333"/>
    </row>
    <row r="410" spans="86:161" x14ac:dyDescent="0.25">
      <c r="CH410" s="350"/>
      <c r="CI410" s="350"/>
      <c r="CJ410" s="350"/>
      <c r="CK410" s="350"/>
      <c r="CL410" s="350"/>
      <c r="CM410" s="350"/>
      <c r="DG410" s="350"/>
      <c r="DH410" s="300"/>
      <c r="DI410" s="395" t="str">
        <f t="shared" ref="DI410:DI418" ca="1" si="870">DI399</f>
        <v>Bakafogó-Honvéd-Sashegy SE</v>
      </c>
      <c r="DJ410" s="465" t="str">
        <f t="shared" ca="1" si="864"/>
        <v/>
      </c>
      <c r="DK410" s="360" t="str">
        <f t="shared" ca="1" si="865"/>
        <v/>
      </c>
      <c r="DL410" s="354" t="str">
        <f t="shared" ca="1" si="866"/>
        <v/>
      </c>
      <c r="DM410" s="354" t="str">
        <f t="shared" ca="1" si="867"/>
        <v/>
      </c>
      <c r="DN410" s="361" t="str">
        <f t="shared" ca="1" si="868"/>
        <v/>
      </c>
      <c r="DO410" s="362" t="str">
        <f t="shared" ca="1" si="869"/>
        <v/>
      </c>
      <c r="DP410" s="379" t="str">
        <f ca="1">DP409</f>
        <v/>
      </c>
      <c r="DQ410" s="302"/>
      <c r="DR410" s="364"/>
      <c r="DS410" s="302"/>
      <c r="DU410" s="424"/>
      <c r="DV410" s="424"/>
      <c r="DW410" s="424"/>
      <c r="DX410" s="424"/>
      <c r="DY410" s="424"/>
      <c r="DZ410" s="424"/>
      <c r="EA410" s="424"/>
      <c r="EB410" s="424"/>
      <c r="EC410" s="424"/>
      <c r="ED410" s="424"/>
      <c r="EE410" s="424"/>
      <c r="EF410" s="424"/>
      <c r="EG410" s="424"/>
      <c r="EH410" s="424"/>
      <c r="EI410" s="424"/>
      <c r="EJ410" s="424"/>
      <c r="EK410" s="424"/>
      <c r="EL410" s="424"/>
      <c r="EM410" s="424"/>
      <c r="EN410" s="424"/>
      <c r="EO410" s="424"/>
      <c r="EP410" s="424"/>
      <c r="EQ410" s="424"/>
      <c r="ER410" s="424"/>
      <c r="ES410" s="424"/>
      <c r="ET410" s="424"/>
      <c r="EU410" s="424"/>
      <c r="EV410" s="424"/>
      <c r="EW410" s="424"/>
      <c r="EX410" s="424"/>
      <c r="EY410" s="424"/>
      <c r="EZ410" s="424"/>
      <c r="FA410" s="424"/>
      <c r="FB410" s="424"/>
      <c r="FC410" s="424"/>
      <c r="FD410" s="425"/>
      <c r="FE410" s="333"/>
    </row>
    <row r="411" spans="86:161" x14ac:dyDescent="0.25">
      <c r="CH411" s="350"/>
      <c r="CI411" s="350"/>
      <c r="CJ411" s="350"/>
      <c r="CK411" s="350"/>
      <c r="CL411" s="350"/>
      <c r="CM411" s="350"/>
      <c r="DG411" s="350"/>
      <c r="DH411" s="300"/>
      <c r="DI411" s="395" t="str">
        <f t="shared" ca="1" si="870"/>
        <v/>
      </c>
      <c r="DJ411" s="465" t="str">
        <f t="shared" ca="1" si="864"/>
        <v/>
      </c>
      <c r="DK411" s="360" t="str">
        <f t="shared" ca="1" si="865"/>
        <v/>
      </c>
      <c r="DL411" s="354" t="str">
        <f t="shared" ca="1" si="866"/>
        <v/>
      </c>
      <c r="DM411" s="354" t="str">
        <f t="shared" ca="1" si="867"/>
        <v/>
      </c>
      <c r="DN411" s="361" t="str">
        <f t="shared" ca="1" si="868"/>
        <v/>
      </c>
      <c r="DO411" s="362" t="str">
        <f t="shared" ca="1" si="869"/>
        <v/>
      </c>
      <c r="DP411" s="379" t="str">
        <f t="shared" ref="DP411:DP418" ca="1" si="871">DP410</f>
        <v/>
      </c>
      <c r="DQ411" s="302"/>
      <c r="DR411" s="364"/>
      <c r="DS411" s="302"/>
      <c r="DU411" s="424"/>
      <c r="DV411" s="424"/>
      <c r="DW411" s="424"/>
      <c r="DX411" s="424"/>
      <c r="DY411" s="424"/>
      <c r="DZ411" s="424"/>
      <c r="EA411" s="424"/>
      <c r="EB411" s="424"/>
      <c r="EC411" s="424"/>
      <c r="ED411" s="424"/>
      <c r="EE411" s="424"/>
      <c r="EF411" s="424"/>
      <c r="EG411" s="424"/>
      <c r="EH411" s="424"/>
      <c r="EI411" s="424"/>
      <c r="EJ411" s="424"/>
      <c r="EK411" s="424"/>
      <c r="EL411" s="424"/>
      <c r="EM411" s="424"/>
      <c r="EN411" s="424"/>
      <c r="EO411" s="424"/>
      <c r="EP411" s="424"/>
      <c r="EQ411" s="424"/>
      <c r="ER411" s="424"/>
      <c r="ES411" s="424"/>
      <c r="ET411" s="424"/>
      <c r="EU411" s="424"/>
      <c r="EV411" s="424"/>
      <c r="EW411" s="424"/>
      <c r="EX411" s="424"/>
      <c r="EY411" s="424"/>
      <c r="EZ411" s="424"/>
      <c r="FA411" s="424"/>
      <c r="FB411" s="424"/>
      <c r="FC411" s="424"/>
      <c r="FD411" s="425"/>
      <c r="FE411" s="333"/>
    </row>
    <row r="412" spans="86:161" x14ac:dyDescent="0.25">
      <c r="CH412" s="350"/>
      <c r="CI412" s="350"/>
      <c r="CJ412" s="350"/>
      <c r="CK412" s="350"/>
      <c r="CL412" s="350"/>
      <c r="CM412" s="350"/>
      <c r="DG412" s="350"/>
      <c r="DH412" s="300"/>
      <c r="DI412" s="395" t="str">
        <f t="shared" ca="1" si="870"/>
        <v/>
      </c>
      <c r="DJ412" s="465" t="str">
        <f t="shared" ca="1" si="864"/>
        <v/>
      </c>
      <c r="DK412" s="360" t="str">
        <f t="shared" ca="1" si="865"/>
        <v/>
      </c>
      <c r="DL412" s="354" t="str">
        <f t="shared" ca="1" si="866"/>
        <v/>
      </c>
      <c r="DM412" s="354" t="str">
        <f t="shared" ca="1" si="867"/>
        <v/>
      </c>
      <c r="DN412" s="361" t="str">
        <f t="shared" ca="1" si="868"/>
        <v/>
      </c>
      <c r="DO412" s="362" t="str">
        <f t="shared" ca="1" si="869"/>
        <v/>
      </c>
      <c r="DP412" s="379" t="str">
        <f t="shared" ca="1" si="871"/>
        <v/>
      </c>
      <c r="DQ412" s="302"/>
      <c r="DR412" s="364"/>
      <c r="DS412" s="302"/>
      <c r="DU412" s="398"/>
      <c r="DV412" s="398"/>
      <c r="DW412" s="398"/>
      <c r="DX412" s="398"/>
      <c r="DY412" s="398"/>
      <c r="DZ412" s="398"/>
      <c r="EA412" s="398"/>
      <c r="EB412" s="398"/>
      <c r="EC412" s="398"/>
      <c r="ED412" s="398"/>
      <c r="EE412" s="398"/>
      <c r="EF412" s="398"/>
      <c r="EG412" s="398"/>
      <c r="EH412" s="398"/>
      <c r="EI412" s="398"/>
      <c r="EJ412" s="398"/>
      <c r="EK412" s="398"/>
      <c r="EL412" s="398"/>
      <c r="EM412" s="398"/>
      <c r="EN412" s="398"/>
      <c r="EO412" s="398"/>
      <c r="EP412" s="398"/>
      <c r="EQ412" s="398"/>
      <c r="ER412" s="398"/>
      <c r="ES412" s="398"/>
      <c r="ET412" s="398"/>
      <c r="EU412" s="398"/>
      <c r="EV412" s="398"/>
      <c r="EW412" s="398"/>
      <c r="EX412" s="398"/>
      <c r="EY412" s="398"/>
      <c r="EZ412" s="398"/>
      <c r="FA412" s="398"/>
      <c r="FB412" s="398"/>
      <c r="FC412" s="398"/>
      <c r="FD412" s="436"/>
      <c r="FE412" s="437"/>
    </row>
    <row r="413" spans="86:161" x14ac:dyDescent="0.25">
      <c r="CH413" s="350"/>
      <c r="CI413" s="350"/>
      <c r="CJ413" s="350"/>
      <c r="CK413" s="350"/>
      <c r="CL413" s="350"/>
      <c r="CM413" s="350"/>
      <c r="DG413" s="350"/>
      <c r="DH413" s="300"/>
      <c r="DI413" s="395" t="str">
        <f t="shared" ca="1" si="870"/>
        <v/>
      </c>
      <c r="DJ413" s="465" t="str">
        <f t="shared" ca="1" si="864"/>
        <v/>
      </c>
      <c r="DK413" s="360" t="str">
        <f t="shared" ca="1" si="865"/>
        <v/>
      </c>
      <c r="DL413" s="354" t="str">
        <f t="shared" ca="1" si="866"/>
        <v/>
      </c>
      <c r="DM413" s="354" t="str">
        <f t="shared" ca="1" si="867"/>
        <v/>
      </c>
      <c r="DN413" s="361" t="str">
        <f t="shared" ca="1" si="868"/>
        <v/>
      </c>
      <c r="DO413" s="362" t="str">
        <f t="shared" ca="1" si="869"/>
        <v/>
      </c>
      <c r="DP413" s="379" t="str">
        <f t="shared" ca="1" si="871"/>
        <v/>
      </c>
      <c r="DQ413" s="302"/>
      <c r="DR413" s="364"/>
      <c r="DS413" s="302"/>
      <c r="DU413" s="398"/>
      <c r="DV413" s="398"/>
      <c r="DW413" s="398"/>
      <c r="DX413" s="398"/>
      <c r="DY413" s="398"/>
      <c r="DZ413" s="398"/>
      <c r="EA413" s="398"/>
      <c r="EB413" s="398"/>
      <c r="EC413" s="398"/>
      <c r="ED413" s="398"/>
      <c r="EE413" s="398"/>
      <c r="EF413" s="398"/>
      <c r="EG413" s="398"/>
      <c r="EH413" s="398"/>
      <c r="EI413" s="398"/>
      <c r="EJ413" s="398"/>
      <c r="EK413" s="398"/>
      <c r="EL413" s="398"/>
      <c r="EM413" s="398"/>
      <c r="EN413" s="398"/>
      <c r="EO413" s="398"/>
      <c r="EP413" s="398"/>
      <c r="EQ413" s="398"/>
      <c r="ER413" s="398"/>
      <c r="ES413" s="398"/>
      <c r="ET413" s="398"/>
      <c r="EU413" s="398"/>
      <c r="EV413" s="398"/>
      <c r="EW413" s="398"/>
      <c r="EX413" s="398"/>
      <c r="EY413" s="398"/>
      <c r="EZ413" s="398"/>
      <c r="FA413" s="398"/>
      <c r="FB413" s="398"/>
      <c r="FC413" s="398"/>
      <c r="FD413" s="436"/>
      <c r="FE413" s="437"/>
    </row>
    <row r="414" spans="86:161" x14ac:dyDescent="0.25">
      <c r="CH414" s="350"/>
      <c r="CI414" s="350"/>
      <c r="CJ414" s="350"/>
      <c r="CK414" s="350"/>
      <c r="CL414" s="350"/>
      <c r="CM414" s="350"/>
      <c r="DG414" s="350"/>
      <c r="DH414" s="300"/>
      <c r="DI414" s="395" t="str">
        <f t="shared" ca="1" si="870"/>
        <v/>
      </c>
      <c r="DJ414" s="465" t="str">
        <f t="shared" ca="1" si="864"/>
        <v/>
      </c>
      <c r="DK414" s="360" t="str">
        <f t="shared" ca="1" si="865"/>
        <v/>
      </c>
      <c r="DL414" s="354" t="str">
        <f t="shared" ca="1" si="866"/>
        <v/>
      </c>
      <c r="DM414" s="354" t="str">
        <f t="shared" ca="1" si="867"/>
        <v/>
      </c>
      <c r="DN414" s="361" t="str">
        <f t="shared" ca="1" si="868"/>
        <v/>
      </c>
      <c r="DO414" s="362" t="str">
        <f t="shared" ca="1" si="869"/>
        <v/>
      </c>
      <c r="DP414" s="379" t="str">
        <f t="shared" ca="1" si="871"/>
        <v/>
      </c>
      <c r="DQ414" s="302"/>
      <c r="DR414" s="364"/>
      <c r="DS414" s="302"/>
      <c r="DU414" s="398"/>
      <c r="DV414" s="398"/>
      <c r="DW414" s="398"/>
      <c r="DX414" s="398"/>
      <c r="DY414" s="398"/>
      <c r="DZ414" s="398"/>
      <c r="EA414" s="398"/>
      <c r="EB414" s="398"/>
      <c r="EC414" s="398"/>
      <c r="ED414" s="398"/>
      <c r="EE414" s="398"/>
      <c r="EF414" s="398"/>
      <c r="EG414" s="398"/>
      <c r="EH414" s="398"/>
      <c r="EI414" s="398"/>
      <c r="EJ414" s="398"/>
      <c r="EK414" s="398"/>
      <c r="EL414" s="398"/>
      <c r="EM414" s="398"/>
      <c r="EN414" s="398"/>
      <c r="EO414" s="398"/>
      <c r="EP414" s="398"/>
      <c r="EQ414" s="398"/>
      <c r="ER414" s="398"/>
      <c r="ES414" s="398"/>
      <c r="ET414" s="398"/>
      <c r="EU414" s="398"/>
      <c r="EV414" s="398"/>
      <c r="EW414" s="398"/>
      <c r="EX414" s="398"/>
      <c r="EY414" s="398"/>
      <c r="EZ414" s="398"/>
      <c r="FA414" s="398"/>
      <c r="FB414" s="398"/>
      <c r="FC414" s="398"/>
      <c r="FD414" s="436"/>
      <c r="FE414" s="437"/>
    </row>
    <row r="415" spans="86:161" x14ac:dyDescent="0.25">
      <c r="CH415" s="350"/>
      <c r="CI415" s="350"/>
      <c r="CJ415" s="350"/>
      <c r="CK415" s="350"/>
      <c r="CL415" s="350"/>
      <c r="CM415" s="350"/>
      <c r="DG415" s="350"/>
      <c r="DH415" s="300"/>
      <c r="DI415" s="395" t="str">
        <f t="shared" ca="1" si="870"/>
        <v/>
      </c>
      <c r="DJ415" s="465" t="str">
        <f t="shared" ca="1" si="864"/>
        <v/>
      </c>
      <c r="DK415" s="360" t="str">
        <f t="shared" ca="1" si="865"/>
        <v/>
      </c>
      <c r="DL415" s="354" t="str">
        <f t="shared" ca="1" si="866"/>
        <v/>
      </c>
      <c r="DM415" s="354" t="str">
        <f t="shared" ca="1" si="867"/>
        <v/>
      </c>
      <c r="DN415" s="361" t="str">
        <f t="shared" ca="1" si="868"/>
        <v/>
      </c>
      <c r="DO415" s="362" t="str">
        <f t="shared" ca="1" si="869"/>
        <v/>
      </c>
      <c r="DP415" s="379" t="str">
        <f t="shared" ca="1" si="871"/>
        <v/>
      </c>
      <c r="DQ415" s="302"/>
      <c r="DR415" s="364"/>
      <c r="DS415" s="302"/>
      <c r="DU415" s="398"/>
      <c r="DV415" s="398"/>
      <c r="DW415" s="398"/>
      <c r="DX415" s="398"/>
      <c r="DY415" s="398"/>
      <c r="DZ415" s="398"/>
      <c r="EA415" s="398"/>
      <c r="EB415" s="398"/>
      <c r="EC415" s="398"/>
      <c r="ED415" s="398"/>
      <c r="EE415" s="398"/>
      <c r="EF415" s="398"/>
      <c r="EG415" s="398"/>
      <c r="EH415" s="398"/>
      <c r="EI415" s="398"/>
      <c r="EJ415" s="398"/>
      <c r="EK415" s="398"/>
      <c r="EL415" s="398"/>
      <c r="EM415" s="398"/>
      <c r="EN415" s="398"/>
      <c r="EO415" s="398"/>
      <c r="EP415" s="398"/>
      <c r="EQ415" s="398"/>
      <c r="ER415" s="398"/>
      <c r="ES415" s="398"/>
      <c r="ET415" s="398"/>
      <c r="EU415" s="398"/>
      <c r="EV415" s="398"/>
      <c r="EW415" s="398"/>
      <c r="EX415" s="398"/>
      <c r="EY415" s="398"/>
      <c r="EZ415" s="398"/>
      <c r="FA415" s="398"/>
      <c r="FB415" s="398"/>
      <c r="FC415" s="398"/>
      <c r="FD415" s="436"/>
      <c r="FE415" s="437"/>
    </row>
    <row r="416" spans="86:161" x14ac:dyDescent="0.25">
      <c r="CH416" s="350"/>
      <c r="CI416" s="350"/>
      <c r="CJ416" s="350"/>
      <c r="CK416" s="350"/>
      <c r="CL416" s="350"/>
      <c r="CM416" s="350"/>
      <c r="DG416" s="350"/>
      <c r="DH416" s="300"/>
      <c r="DI416" s="395" t="str">
        <f t="shared" ca="1" si="870"/>
        <v/>
      </c>
      <c r="DJ416" s="465" t="str">
        <f t="shared" ca="1" si="864"/>
        <v/>
      </c>
      <c r="DK416" s="360" t="str">
        <f t="shared" ca="1" si="865"/>
        <v/>
      </c>
      <c r="DL416" s="354" t="str">
        <f t="shared" ca="1" si="866"/>
        <v/>
      </c>
      <c r="DM416" s="354" t="str">
        <f t="shared" ca="1" si="867"/>
        <v/>
      </c>
      <c r="DN416" s="361" t="str">
        <f t="shared" ca="1" si="868"/>
        <v/>
      </c>
      <c r="DO416" s="362" t="str">
        <f t="shared" ca="1" si="869"/>
        <v/>
      </c>
      <c r="DP416" s="379" t="str">
        <f t="shared" ca="1" si="871"/>
        <v/>
      </c>
      <c r="DQ416" s="302"/>
      <c r="DR416" s="364"/>
      <c r="DS416" s="302"/>
      <c r="DU416" s="424"/>
      <c r="DV416" s="424"/>
      <c r="DW416" s="424"/>
      <c r="DX416" s="424"/>
      <c r="DY416" s="424"/>
      <c r="DZ416" s="424"/>
      <c r="EA416" s="424"/>
      <c r="EB416" s="424"/>
      <c r="EC416" s="424"/>
      <c r="ED416" s="424"/>
      <c r="EE416" s="424"/>
      <c r="EF416" s="424"/>
      <c r="EG416" s="424"/>
      <c r="EH416" s="424"/>
      <c r="EI416" s="424"/>
      <c r="EJ416" s="424"/>
      <c r="EK416" s="424"/>
      <c r="EL416" s="424"/>
      <c r="EM416" s="424"/>
      <c r="EN416" s="424"/>
      <c r="EO416" s="424"/>
      <c r="EP416" s="424"/>
      <c r="EQ416" s="424"/>
      <c r="ER416" s="424"/>
      <c r="ES416" s="424"/>
      <c r="ET416" s="424"/>
      <c r="EU416" s="424"/>
      <c r="EV416" s="424"/>
      <c r="EW416" s="424"/>
      <c r="EX416" s="424"/>
      <c r="EY416" s="424"/>
      <c r="EZ416" s="424"/>
      <c r="FA416" s="424"/>
      <c r="FB416" s="424"/>
      <c r="FC416" s="424"/>
      <c r="FD416" s="425"/>
      <c r="FE416" s="333"/>
    </row>
    <row r="417" spans="86:161" x14ac:dyDescent="0.25">
      <c r="CH417" s="350"/>
      <c r="CI417" s="350"/>
      <c r="CJ417" s="350"/>
      <c r="CK417" s="350"/>
      <c r="CL417" s="350"/>
      <c r="CM417" s="350"/>
      <c r="DG417" s="350"/>
      <c r="DH417" s="300"/>
      <c r="DI417" s="395" t="str">
        <f t="shared" ca="1" si="870"/>
        <v/>
      </c>
      <c r="DJ417" s="465" t="str">
        <f t="shared" ca="1" si="864"/>
        <v/>
      </c>
      <c r="DK417" s="360" t="str">
        <f t="shared" ca="1" si="865"/>
        <v/>
      </c>
      <c r="DL417" s="354" t="str">
        <f t="shared" ca="1" si="866"/>
        <v/>
      </c>
      <c r="DM417" s="354" t="str">
        <f t="shared" ca="1" si="867"/>
        <v/>
      </c>
      <c r="DN417" s="361" t="str">
        <f t="shared" ca="1" si="868"/>
        <v/>
      </c>
      <c r="DO417" s="362" t="str">
        <f t="shared" ca="1" si="869"/>
        <v/>
      </c>
      <c r="DP417" s="379" t="str">
        <f t="shared" ca="1" si="871"/>
        <v/>
      </c>
      <c r="DQ417" s="302"/>
      <c r="DR417" s="364"/>
      <c r="DS417" s="302"/>
      <c r="DU417" s="424"/>
      <c r="DV417" s="424"/>
      <c r="DW417" s="424"/>
      <c r="DX417" s="424"/>
      <c r="DY417" s="424"/>
      <c r="DZ417" s="424"/>
      <c r="EA417" s="424"/>
      <c r="EB417" s="424"/>
      <c r="EC417" s="424"/>
      <c r="ED417" s="424"/>
      <c r="EE417" s="424"/>
      <c r="EF417" s="424"/>
      <c r="EG417" s="424"/>
      <c r="EH417" s="424"/>
      <c r="EI417" s="424"/>
      <c r="EJ417" s="424"/>
      <c r="EK417" s="424"/>
      <c r="EL417" s="424"/>
      <c r="EM417" s="424"/>
      <c r="EN417" s="424"/>
      <c r="EO417" s="424"/>
      <c r="EP417" s="424"/>
      <c r="EQ417" s="424"/>
      <c r="ER417" s="424"/>
      <c r="ES417" s="424"/>
      <c r="ET417" s="424"/>
      <c r="EU417" s="424"/>
      <c r="EV417" s="424"/>
      <c r="EW417" s="424"/>
      <c r="EX417" s="424"/>
      <c r="EY417" s="424"/>
      <c r="EZ417" s="424"/>
      <c r="FA417" s="424"/>
      <c r="FB417" s="424"/>
      <c r="FC417" s="424"/>
      <c r="FD417" s="425"/>
      <c r="FE417" s="333"/>
    </row>
    <row r="418" spans="86:161" x14ac:dyDescent="0.25">
      <c r="CH418" s="350"/>
      <c r="CI418" s="350"/>
      <c r="CJ418" s="350"/>
      <c r="CK418" s="350"/>
      <c r="CL418" s="350"/>
      <c r="CM418" s="350"/>
      <c r="DG418" s="350"/>
      <c r="DH418" s="300"/>
      <c r="DI418" s="395" t="str">
        <f t="shared" ca="1" si="870"/>
        <v/>
      </c>
      <c r="DJ418" s="465" t="str">
        <f t="shared" ca="1" si="864"/>
        <v/>
      </c>
      <c r="DK418" s="360" t="str">
        <f t="shared" ca="1" si="865"/>
        <v/>
      </c>
      <c r="DL418" s="354" t="str">
        <f t="shared" ca="1" si="866"/>
        <v/>
      </c>
      <c r="DM418" s="354" t="str">
        <f t="shared" ca="1" si="867"/>
        <v/>
      </c>
      <c r="DN418" s="361" t="str">
        <f t="shared" ca="1" si="868"/>
        <v/>
      </c>
      <c r="DO418" s="362" t="str">
        <f t="shared" ca="1" si="869"/>
        <v/>
      </c>
      <c r="DP418" s="379" t="str">
        <f t="shared" ca="1" si="871"/>
        <v/>
      </c>
      <c r="DQ418" s="302"/>
      <c r="DR418" s="364"/>
      <c r="DS418" s="302"/>
      <c r="DU418" s="424"/>
      <c r="DV418" s="424"/>
      <c r="DW418" s="424"/>
      <c r="DX418" s="424"/>
      <c r="DY418" s="424"/>
      <c r="DZ418" s="424"/>
      <c r="EA418" s="424"/>
      <c r="EB418" s="424"/>
      <c r="EC418" s="424"/>
      <c r="ED418" s="424"/>
      <c r="EE418" s="424"/>
      <c r="EF418" s="424"/>
      <c r="EG418" s="424"/>
      <c r="EH418" s="424"/>
      <c r="EI418" s="424"/>
      <c r="EJ418" s="424"/>
      <c r="EK418" s="424"/>
      <c r="EL418" s="424"/>
      <c r="EM418" s="424"/>
      <c r="EN418" s="424"/>
      <c r="EO418" s="424"/>
      <c r="EP418" s="424"/>
      <c r="EQ418" s="424"/>
      <c r="ER418" s="424"/>
      <c r="ES418" s="424"/>
      <c r="ET418" s="424"/>
      <c r="EU418" s="424"/>
      <c r="EV418" s="424"/>
      <c r="EW418" s="424"/>
      <c r="EX418" s="424"/>
      <c r="EY418" s="424"/>
      <c r="EZ418" s="424"/>
      <c r="FA418" s="424"/>
      <c r="FB418" s="424"/>
      <c r="FC418" s="424"/>
      <c r="FD418" s="425"/>
      <c r="FE418" s="333"/>
    </row>
    <row r="419" spans="86:161" x14ac:dyDescent="0.25">
      <c r="CH419" s="350"/>
      <c r="CI419" s="350"/>
      <c r="CJ419" s="350"/>
      <c r="CK419" s="350"/>
      <c r="CL419" s="350"/>
      <c r="CM419" s="350"/>
      <c r="DG419" s="350"/>
      <c r="DH419" s="300"/>
      <c r="DI419" s="301"/>
      <c r="DJ419" s="458" t="s">
        <v>157</v>
      </c>
      <c r="DK419" s="458" t="s">
        <v>158</v>
      </c>
      <c r="DL419" s="459" t="s">
        <v>159</v>
      </c>
      <c r="DM419" s="459"/>
      <c r="DN419" s="460" t="s">
        <v>160</v>
      </c>
      <c r="DO419" s="459" t="s">
        <v>135</v>
      </c>
      <c r="DP419" s="302"/>
      <c r="DQ419" s="302"/>
      <c r="DR419" s="364"/>
      <c r="DS419" s="302"/>
      <c r="DU419" s="424"/>
      <c r="DV419" s="424"/>
      <c r="DW419" s="424"/>
      <c r="DX419" s="424"/>
      <c r="DY419" s="424"/>
      <c r="DZ419" s="424"/>
      <c r="EA419" s="424"/>
      <c r="EB419" s="424"/>
      <c r="EC419" s="424"/>
      <c r="ED419" s="424"/>
      <c r="EE419" s="424"/>
      <c r="EF419" s="424"/>
      <c r="EG419" s="424"/>
      <c r="EH419" s="424"/>
      <c r="EI419" s="424"/>
      <c r="EJ419" s="424"/>
      <c r="EK419" s="424"/>
      <c r="EL419" s="424"/>
      <c r="EM419" s="424"/>
      <c r="EN419" s="424"/>
      <c r="EO419" s="424"/>
      <c r="EP419" s="424"/>
      <c r="EQ419" s="424"/>
      <c r="ER419" s="424"/>
      <c r="ES419" s="424"/>
      <c r="ET419" s="424"/>
      <c r="EU419" s="424"/>
      <c r="EV419" s="424"/>
      <c r="EW419" s="424"/>
      <c r="EX419" s="424"/>
      <c r="EY419" s="424"/>
      <c r="EZ419" s="424"/>
      <c r="FA419" s="424"/>
      <c r="FB419" s="424"/>
      <c r="FC419" s="424"/>
      <c r="FD419" s="425"/>
      <c r="FE419" s="333"/>
    </row>
    <row r="420" spans="86:161" x14ac:dyDescent="0.25">
      <c r="CH420" s="350"/>
      <c r="CI420" s="350"/>
      <c r="CJ420" s="350"/>
      <c r="CK420" s="350"/>
      <c r="CL420" s="350"/>
      <c r="CM420" s="350"/>
      <c r="DG420" s="350"/>
      <c r="DH420" s="300"/>
      <c r="DI420" s="395" t="str">
        <f ca="1">DI409</f>
        <v>Vakana</v>
      </c>
      <c r="DJ420" s="465" t="str">
        <f t="shared" ref="DJ420:DJ429" ca="1" si="872">IF(OR(DI420="",DP420="",DI420=DP420,COUNTIF(games.av,DI420&amp;DP420)=0),"",CONCATENATE(DI420,DP420))</f>
        <v/>
      </c>
      <c r="DK420" s="360" t="str">
        <f t="shared" ref="DK420:DK429" ca="1" si="873">IF($DJ420="","",CONCATENATE(VLOOKUP($DJ420,games.a,9,FALSE),VLOOKUP($DJ420,games.a,12,FALSE)))</f>
        <v/>
      </c>
      <c r="DL420" s="354" t="str">
        <f t="shared" ref="DL420:DL429" ca="1" si="874">IF($DJ420="","",VLOOKUP($DJ420,games.a,10,FALSE))</f>
        <v/>
      </c>
      <c r="DM420" s="354" t="str">
        <f t="shared" ref="DM420:DM429" ca="1" si="875">IF($DJ420="","",VLOOKUP($DJ420,games.a,13,FALSE))</f>
        <v/>
      </c>
      <c r="DN420" s="361" t="str">
        <f t="shared" ref="DN420:DN429" ca="1" si="876">IF($DJ420="","",VLOOKUP($DJ420,games.a,6,FALSE))</f>
        <v/>
      </c>
      <c r="DO420" s="362" t="str">
        <f t="shared" ref="DO420:DO429" ca="1" si="877">IF($DJ420="","",VLOOKUP($DJ420,games.a,7,FALSE))</f>
        <v/>
      </c>
      <c r="DP420" s="466" t="str">
        <f ca="1">DI350</f>
        <v/>
      </c>
      <c r="DQ420" s="302"/>
      <c r="DR420" s="364"/>
      <c r="DS420" s="302"/>
      <c r="DU420" s="424"/>
      <c r="DV420" s="424"/>
      <c r="DW420" s="424"/>
      <c r="DX420" s="424"/>
      <c r="DY420" s="424"/>
      <c r="DZ420" s="424"/>
      <c r="EA420" s="424"/>
      <c r="EB420" s="424"/>
      <c r="EC420" s="424"/>
      <c r="ED420" s="424"/>
      <c r="EE420" s="424"/>
      <c r="EF420" s="424"/>
      <c r="EG420" s="424"/>
      <c r="EH420" s="424"/>
      <c r="EI420" s="424"/>
      <c r="EJ420" s="424"/>
      <c r="EK420" s="424"/>
      <c r="EL420" s="424"/>
      <c r="EM420" s="424"/>
      <c r="EN420" s="424"/>
      <c r="EO420" s="424"/>
      <c r="EP420" s="424"/>
      <c r="EQ420" s="424"/>
      <c r="ER420" s="424"/>
      <c r="ES420" s="424"/>
      <c r="ET420" s="424"/>
      <c r="EU420" s="424"/>
      <c r="EV420" s="424"/>
      <c r="EW420" s="424"/>
      <c r="EX420" s="424"/>
      <c r="EY420" s="424"/>
      <c r="EZ420" s="424"/>
      <c r="FA420" s="424"/>
      <c r="FB420" s="424"/>
      <c r="FC420" s="424"/>
      <c r="FD420" s="425"/>
      <c r="FE420" s="333"/>
    </row>
    <row r="421" spans="86:161" x14ac:dyDescent="0.25">
      <c r="CH421" s="350"/>
      <c r="CI421" s="350"/>
      <c r="CJ421" s="350"/>
      <c r="CK421" s="350"/>
      <c r="CL421" s="350"/>
      <c r="CM421" s="350"/>
      <c r="DG421" s="350"/>
      <c r="DH421" s="300"/>
      <c r="DI421" s="395" t="str">
        <f t="shared" ref="DI421:DI429" ca="1" si="878">DI410</f>
        <v>Bakafogó-Honvéd-Sashegy SE</v>
      </c>
      <c r="DJ421" s="465" t="str">
        <f t="shared" ca="1" si="872"/>
        <v/>
      </c>
      <c r="DK421" s="360" t="str">
        <f t="shared" ca="1" si="873"/>
        <v/>
      </c>
      <c r="DL421" s="354" t="str">
        <f t="shared" ca="1" si="874"/>
        <v/>
      </c>
      <c r="DM421" s="354" t="str">
        <f t="shared" ca="1" si="875"/>
        <v/>
      </c>
      <c r="DN421" s="361" t="str">
        <f t="shared" ca="1" si="876"/>
        <v/>
      </c>
      <c r="DO421" s="362" t="str">
        <f t="shared" ca="1" si="877"/>
        <v/>
      </c>
      <c r="DP421" s="379" t="str">
        <f ca="1">DP420</f>
        <v/>
      </c>
      <c r="DQ421" s="302"/>
      <c r="DR421" s="364"/>
      <c r="DS421" s="302"/>
      <c r="DU421" s="424"/>
      <c r="DV421" s="424"/>
      <c r="DW421" s="424"/>
      <c r="DX421" s="424"/>
      <c r="DY421" s="424"/>
      <c r="DZ421" s="424"/>
      <c r="EA421" s="424"/>
      <c r="EB421" s="424"/>
      <c r="EC421" s="424"/>
      <c r="ED421" s="424"/>
      <c r="EE421" s="424"/>
      <c r="EF421" s="424"/>
      <c r="EG421" s="424"/>
      <c r="EH421" s="424"/>
      <c r="EI421" s="424"/>
      <c r="EJ421" s="424"/>
      <c r="EK421" s="424"/>
      <c r="EL421" s="424"/>
      <c r="EM421" s="424"/>
      <c r="EN421" s="424"/>
      <c r="EO421" s="424"/>
      <c r="EP421" s="424"/>
      <c r="EQ421" s="424"/>
      <c r="ER421" s="424"/>
      <c r="ES421" s="424"/>
      <c r="ET421" s="424"/>
      <c r="EU421" s="424"/>
      <c r="EV421" s="424"/>
      <c r="EW421" s="424"/>
      <c r="EX421" s="424"/>
      <c r="EY421" s="424"/>
      <c r="EZ421" s="424"/>
      <c r="FA421" s="424"/>
      <c r="FB421" s="424"/>
      <c r="FC421" s="424"/>
      <c r="FD421" s="425"/>
      <c r="FE421" s="333"/>
    </row>
    <row r="422" spans="86:161" x14ac:dyDescent="0.25">
      <c r="CH422" s="350"/>
      <c r="CI422" s="350"/>
      <c r="CJ422" s="350"/>
      <c r="CK422" s="350"/>
      <c r="CL422" s="350"/>
      <c r="CM422" s="350"/>
      <c r="DG422" s="350"/>
      <c r="DH422" s="300"/>
      <c r="DI422" s="395" t="str">
        <f t="shared" ca="1" si="878"/>
        <v/>
      </c>
      <c r="DJ422" s="465" t="str">
        <f t="shared" ca="1" si="872"/>
        <v/>
      </c>
      <c r="DK422" s="360" t="str">
        <f t="shared" ca="1" si="873"/>
        <v/>
      </c>
      <c r="DL422" s="354" t="str">
        <f t="shared" ca="1" si="874"/>
        <v/>
      </c>
      <c r="DM422" s="354" t="str">
        <f t="shared" ca="1" si="875"/>
        <v/>
      </c>
      <c r="DN422" s="361" t="str">
        <f t="shared" ca="1" si="876"/>
        <v/>
      </c>
      <c r="DO422" s="362" t="str">
        <f t="shared" ca="1" si="877"/>
        <v/>
      </c>
      <c r="DP422" s="379" t="str">
        <f t="shared" ref="DP422:DP429" ca="1" si="879">DP421</f>
        <v/>
      </c>
      <c r="DQ422" s="302"/>
      <c r="DR422" s="364"/>
      <c r="DS422" s="302"/>
      <c r="DU422" s="424"/>
      <c r="DV422" s="424"/>
      <c r="DW422" s="424"/>
      <c r="DX422" s="424"/>
      <c r="DY422" s="424"/>
      <c r="DZ422" s="424"/>
      <c r="EA422" s="424"/>
      <c r="EB422" s="424"/>
      <c r="EC422" s="424"/>
      <c r="ED422" s="424"/>
      <c r="EE422" s="424"/>
      <c r="EF422" s="424"/>
      <c r="EG422" s="424"/>
      <c r="EH422" s="424"/>
      <c r="EI422" s="424"/>
      <c r="EJ422" s="424"/>
      <c r="EK422" s="424"/>
      <c r="EL422" s="424"/>
      <c r="EM422" s="424"/>
      <c r="EN422" s="424"/>
      <c r="EO422" s="424"/>
      <c r="EP422" s="424"/>
      <c r="EQ422" s="424"/>
      <c r="ER422" s="424"/>
      <c r="ES422" s="424"/>
      <c r="ET422" s="424"/>
      <c r="EU422" s="424"/>
      <c r="EV422" s="424"/>
      <c r="EW422" s="424"/>
      <c r="EX422" s="424"/>
      <c r="EY422" s="424"/>
      <c r="EZ422" s="424"/>
      <c r="FA422" s="424"/>
      <c r="FB422" s="424"/>
      <c r="FC422" s="424"/>
      <c r="FD422" s="425"/>
      <c r="FE422" s="333"/>
    </row>
    <row r="423" spans="86:161" x14ac:dyDescent="0.25">
      <c r="CH423" s="350"/>
      <c r="CI423" s="350"/>
      <c r="CJ423" s="350"/>
      <c r="CK423" s="350"/>
      <c r="CL423" s="350"/>
      <c r="CM423" s="350"/>
      <c r="DG423" s="350"/>
      <c r="DH423" s="300"/>
      <c r="DI423" s="395" t="str">
        <f t="shared" ca="1" si="878"/>
        <v/>
      </c>
      <c r="DJ423" s="465" t="str">
        <f t="shared" ca="1" si="872"/>
        <v/>
      </c>
      <c r="DK423" s="360" t="str">
        <f t="shared" ca="1" si="873"/>
        <v/>
      </c>
      <c r="DL423" s="354" t="str">
        <f t="shared" ca="1" si="874"/>
        <v/>
      </c>
      <c r="DM423" s="354" t="str">
        <f t="shared" ca="1" si="875"/>
        <v/>
      </c>
      <c r="DN423" s="361" t="str">
        <f t="shared" ca="1" si="876"/>
        <v/>
      </c>
      <c r="DO423" s="362" t="str">
        <f t="shared" ca="1" si="877"/>
        <v/>
      </c>
      <c r="DP423" s="379" t="str">
        <f t="shared" ca="1" si="879"/>
        <v/>
      </c>
      <c r="DQ423" s="302"/>
      <c r="DR423" s="364"/>
      <c r="DS423" s="302"/>
      <c r="DU423" s="424"/>
      <c r="DV423" s="424"/>
      <c r="DW423" s="424"/>
      <c r="DX423" s="424"/>
      <c r="DY423" s="424"/>
      <c r="DZ423" s="424"/>
      <c r="EA423" s="424"/>
      <c r="EB423" s="424"/>
      <c r="EC423" s="424"/>
      <c r="ED423" s="424"/>
      <c r="EE423" s="424"/>
      <c r="EF423" s="424"/>
      <c r="EG423" s="424"/>
      <c r="EH423" s="424"/>
      <c r="EI423" s="424"/>
      <c r="EJ423" s="424"/>
      <c r="EK423" s="424"/>
      <c r="EL423" s="424"/>
      <c r="EM423" s="424"/>
      <c r="EN423" s="424"/>
      <c r="EO423" s="424"/>
      <c r="EP423" s="424"/>
      <c r="EQ423" s="424"/>
      <c r="ER423" s="424"/>
      <c r="ES423" s="424"/>
      <c r="ET423" s="424"/>
      <c r="EU423" s="424"/>
      <c r="EV423" s="424"/>
      <c r="EW423" s="424"/>
      <c r="EX423" s="424"/>
      <c r="EY423" s="424"/>
      <c r="EZ423" s="424"/>
      <c r="FA423" s="424"/>
      <c r="FB423" s="424"/>
      <c r="FC423" s="424"/>
      <c r="FD423" s="425"/>
      <c r="FE423" s="333"/>
    </row>
    <row r="424" spans="86:161" x14ac:dyDescent="0.25">
      <c r="CH424" s="350"/>
      <c r="CI424" s="350"/>
      <c r="CJ424" s="350"/>
      <c r="CK424" s="350"/>
      <c r="CL424" s="350"/>
      <c r="CM424" s="350"/>
      <c r="DG424" s="350"/>
      <c r="DH424" s="300"/>
      <c r="DI424" s="395" t="str">
        <f t="shared" ca="1" si="878"/>
        <v/>
      </c>
      <c r="DJ424" s="465" t="str">
        <f t="shared" ca="1" si="872"/>
        <v/>
      </c>
      <c r="DK424" s="360" t="str">
        <f t="shared" ca="1" si="873"/>
        <v/>
      </c>
      <c r="DL424" s="354" t="str">
        <f t="shared" ca="1" si="874"/>
        <v/>
      </c>
      <c r="DM424" s="354" t="str">
        <f t="shared" ca="1" si="875"/>
        <v/>
      </c>
      <c r="DN424" s="361" t="str">
        <f t="shared" ca="1" si="876"/>
        <v/>
      </c>
      <c r="DO424" s="362" t="str">
        <f t="shared" ca="1" si="877"/>
        <v/>
      </c>
      <c r="DP424" s="379" t="str">
        <f t="shared" ca="1" si="879"/>
        <v/>
      </c>
      <c r="DQ424" s="302"/>
      <c r="DR424" s="364"/>
      <c r="DS424" s="302"/>
      <c r="DU424" s="424"/>
      <c r="DV424" s="424"/>
      <c r="DW424" s="424"/>
      <c r="DX424" s="424"/>
      <c r="DY424" s="424"/>
      <c r="DZ424" s="424"/>
      <c r="EA424" s="424"/>
      <c r="EB424" s="424"/>
      <c r="EC424" s="424"/>
      <c r="ED424" s="424"/>
      <c r="EE424" s="424"/>
      <c r="EF424" s="424"/>
      <c r="EG424" s="424"/>
      <c r="EH424" s="424"/>
      <c r="EI424" s="424"/>
      <c r="EJ424" s="424"/>
      <c r="EK424" s="424"/>
      <c r="EL424" s="424"/>
      <c r="EM424" s="424"/>
      <c r="EN424" s="424"/>
      <c r="EO424" s="424"/>
      <c r="EP424" s="424"/>
      <c r="EQ424" s="424"/>
      <c r="ER424" s="424"/>
      <c r="ES424" s="424"/>
      <c r="ET424" s="424"/>
      <c r="EU424" s="424"/>
      <c r="EV424" s="424"/>
      <c r="EW424" s="424"/>
      <c r="EX424" s="424"/>
      <c r="EY424" s="424"/>
      <c r="EZ424" s="424"/>
      <c r="FA424" s="424"/>
      <c r="FB424" s="424"/>
      <c r="FC424" s="424"/>
      <c r="FD424" s="425"/>
      <c r="FE424" s="333"/>
    </row>
    <row r="425" spans="86:161" x14ac:dyDescent="0.25">
      <c r="CH425" s="350"/>
      <c r="CI425" s="350"/>
      <c r="CJ425" s="350"/>
      <c r="CK425" s="350"/>
      <c r="CL425" s="350"/>
      <c r="CM425" s="350"/>
      <c r="DG425" s="350"/>
      <c r="DH425" s="300"/>
      <c r="DI425" s="395" t="str">
        <f t="shared" ca="1" si="878"/>
        <v/>
      </c>
      <c r="DJ425" s="465" t="str">
        <f t="shared" ca="1" si="872"/>
        <v/>
      </c>
      <c r="DK425" s="360" t="str">
        <f t="shared" ca="1" si="873"/>
        <v/>
      </c>
      <c r="DL425" s="354" t="str">
        <f t="shared" ca="1" si="874"/>
        <v/>
      </c>
      <c r="DM425" s="354" t="str">
        <f t="shared" ca="1" si="875"/>
        <v/>
      </c>
      <c r="DN425" s="361" t="str">
        <f t="shared" ca="1" si="876"/>
        <v/>
      </c>
      <c r="DO425" s="362" t="str">
        <f t="shared" ca="1" si="877"/>
        <v/>
      </c>
      <c r="DP425" s="379" t="str">
        <f t="shared" ca="1" si="879"/>
        <v/>
      </c>
      <c r="DQ425" s="302"/>
      <c r="DR425" s="364"/>
      <c r="DS425" s="302"/>
      <c r="DU425" s="424"/>
      <c r="DV425" s="424"/>
      <c r="DW425" s="424"/>
      <c r="DX425" s="424"/>
      <c r="DY425" s="424"/>
      <c r="DZ425" s="424"/>
      <c r="EA425" s="424"/>
      <c r="EB425" s="424"/>
      <c r="EC425" s="424"/>
      <c r="ED425" s="424"/>
      <c r="EE425" s="424"/>
      <c r="EF425" s="424"/>
      <c r="EG425" s="424"/>
      <c r="EH425" s="424"/>
      <c r="EI425" s="424"/>
      <c r="EJ425" s="424"/>
      <c r="EK425" s="424"/>
      <c r="EL425" s="424"/>
      <c r="EM425" s="424"/>
      <c r="EN425" s="424"/>
      <c r="EO425" s="424"/>
      <c r="EP425" s="424"/>
      <c r="EQ425" s="424"/>
      <c r="ER425" s="424"/>
      <c r="ES425" s="424"/>
      <c r="ET425" s="424"/>
      <c r="EU425" s="424"/>
      <c r="EV425" s="424"/>
      <c r="EW425" s="424"/>
      <c r="EX425" s="424"/>
      <c r="EY425" s="424"/>
      <c r="EZ425" s="424"/>
      <c r="FA425" s="424"/>
      <c r="FB425" s="424"/>
      <c r="FC425" s="424"/>
      <c r="FD425" s="425"/>
      <c r="FE425" s="333"/>
    </row>
    <row r="426" spans="86:161" x14ac:dyDescent="0.25">
      <c r="CH426" s="350"/>
      <c r="CI426" s="350"/>
      <c r="CJ426" s="350"/>
      <c r="CK426" s="350"/>
      <c r="CL426" s="350"/>
      <c r="CM426" s="350"/>
      <c r="DG426" s="350"/>
      <c r="DH426" s="300"/>
      <c r="DI426" s="395" t="str">
        <f t="shared" ca="1" si="878"/>
        <v/>
      </c>
      <c r="DJ426" s="465" t="str">
        <f t="shared" ca="1" si="872"/>
        <v/>
      </c>
      <c r="DK426" s="360" t="str">
        <f t="shared" ca="1" si="873"/>
        <v/>
      </c>
      <c r="DL426" s="354" t="str">
        <f t="shared" ca="1" si="874"/>
        <v/>
      </c>
      <c r="DM426" s="354" t="str">
        <f t="shared" ca="1" si="875"/>
        <v/>
      </c>
      <c r="DN426" s="361" t="str">
        <f t="shared" ca="1" si="876"/>
        <v/>
      </c>
      <c r="DO426" s="362" t="str">
        <f t="shared" ca="1" si="877"/>
        <v/>
      </c>
      <c r="DP426" s="379" t="str">
        <f t="shared" ca="1" si="879"/>
        <v/>
      </c>
      <c r="DQ426" s="302"/>
      <c r="DR426" s="364"/>
      <c r="DS426" s="302"/>
      <c r="DU426" s="424"/>
      <c r="DV426" s="424"/>
      <c r="DW426" s="424"/>
      <c r="DX426" s="424"/>
      <c r="DY426" s="424"/>
      <c r="DZ426" s="424"/>
      <c r="EA426" s="424"/>
      <c r="EB426" s="424"/>
      <c r="EC426" s="424"/>
      <c r="ED426" s="424"/>
      <c r="EE426" s="424"/>
      <c r="EF426" s="424"/>
      <c r="EG426" s="424"/>
      <c r="EH426" s="424"/>
      <c r="EI426" s="424"/>
      <c r="EJ426" s="424"/>
      <c r="EK426" s="424"/>
      <c r="EL426" s="424"/>
      <c r="EM426" s="424"/>
      <c r="EN426" s="424"/>
      <c r="EO426" s="424"/>
      <c r="EP426" s="424"/>
      <c r="EQ426" s="424"/>
      <c r="ER426" s="424"/>
      <c r="ES426" s="424"/>
      <c r="ET426" s="424"/>
      <c r="EU426" s="424"/>
      <c r="EV426" s="424"/>
      <c r="EW426" s="424"/>
      <c r="EX426" s="424"/>
      <c r="EY426" s="424"/>
      <c r="EZ426" s="424"/>
      <c r="FA426" s="424"/>
      <c r="FB426" s="424"/>
      <c r="FC426" s="424"/>
      <c r="FD426" s="425"/>
      <c r="FE426" s="333"/>
    </row>
    <row r="427" spans="86:161" x14ac:dyDescent="0.25">
      <c r="CH427" s="350"/>
      <c r="CI427" s="350"/>
      <c r="CJ427" s="350"/>
      <c r="CK427" s="350"/>
      <c r="CL427" s="350"/>
      <c r="CM427" s="350"/>
      <c r="DG427" s="350"/>
      <c r="DH427" s="300"/>
      <c r="DI427" s="395" t="str">
        <f t="shared" ca="1" si="878"/>
        <v/>
      </c>
      <c r="DJ427" s="465" t="str">
        <f t="shared" ca="1" si="872"/>
        <v/>
      </c>
      <c r="DK427" s="360" t="str">
        <f t="shared" ca="1" si="873"/>
        <v/>
      </c>
      <c r="DL427" s="354" t="str">
        <f t="shared" ca="1" si="874"/>
        <v/>
      </c>
      <c r="DM427" s="354" t="str">
        <f t="shared" ca="1" si="875"/>
        <v/>
      </c>
      <c r="DN427" s="361" t="str">
        <f t="shared" ca="1" si="876"/>
        <v/>
      </c>
      <c r="DO427" s="362" t="str">
        <f t="shared" ca="1" si="877"/>
        <v/>
      </c>
      <c r="DP427" s="379" t="str">
        <f t="shared" ca="1" si="879"/>
        <v/>
      </c>
      <c r="DQ427" s="302"/>
      <c r="DR427" s="364"/>
      <c r="DS427" s="302"/>
      <c r="DU427" s="424"/>
      <c r="DV427" s="424"/>
      <c r="DW427" s="424"/>
      <c r="DX427" s="424"/>
      <c r="DY427" s="424"/>
      <c r="DZ427" s="424"/>
      <c r="EA427" s="424"/>
      <c r="EB427" s="424"/>
      <c r="EC427" s="424"/>
      <c r="ED427" s="424"/>
      <c r="EE427" s="424"/>
      <c r="EF427" s="424"/>
      <c r="EG427" s="424"/>
      <c r="EH427" s="424"/>
      <c r="EI427" s="424"/>
      <c r="EJ427" s="424"/>
      <c r="EK427" s="424"/>
      <c r="EL427" s="424"/>
      <c r="EM427" s="424"/>
      <c r="EN427" s="424"/>
      <c r="EO427" s="424"/>
      <c r="EP427" s="424"/>
      <c r="EQ427" s="424"/>
      <c r="ER427" s="424"/>
      <c r="ES427" s="424"/>
      <c r="ET427" s="424"/>
      <c r="EU427" s="424"/>
      <c r="EV427" s="424"/>
      <c r="EW427" s="424"/>
      <c r="EX427" s="424"/>
      <c r="EY427" s="424"/>
      <c r="EZ427" s="424"/>
      <c r="FA427" s="424"/>
      <c r="FB427" s="424"/>
      <c r="FC427" s="424"/>
      <c r="FD427" s="425"/>
      <c r="FE427" s="333"/>
    </row>
    <row r="428" spans="86:161" x14ac:dyDescent="0.25">
      <c r="CH428" s="350"/>
      <c r="CI428" s="350"/>
      <c r="CJ428" s="350"/>
      <c r="CK428" s="350"/>
      <c r="CL428" s="350"/>
      <c r="CM428" s="350"/>
      <c r="DG428" s="350"/>
      <c r="DH428" s="300"/>
      <c r="DI428" s="395" t="str">
        <f t="shared" ca="1" si="878"/>
        <v/>
      </c>
      <c r="DJ428" s="465" t="str">
        <f t="shared" ca="1" si="872"/>
        <v/>
      </c>
      <c r="DK428" s="360" t="str">
        <f t="shared" ca="1" si="873"/>
        <v/>
      </c>
      <c r="DL428" s="354" t="str">
        <f t="shared" ca="1" si="874"/>
        <v/>
      </c>
      <c r="DM428" s="354" t="str">
        <f t="shared" ca="1" si="875"/>
        <v/>
      </c>
      <c r="DN428" s="361" t="str">
        <f t="shared" ca="1" si="876"/>
        <v/>
      </c>
      <c r="DO428" s="362" t="str">
        <f t="shared" ca="1" si="877"/>
        <v/>
      </c>
      <c r="DP428" s="379" t="str">
        <f t="shared" ca="1" si="879"/>
        <v/>
      </c>
      <c r="DQ428" s="302"/>
      <c r="DR428" s="364"/>
      <c r="DS428" s="302"/>
      <c r="DU428" s="424"/>
      <c r="DV428" s="424"/>
      <c r="DW428" s="424"/>
      <c r="DX428" s="424"/>
      <c r="DY428" s="424"/>
      <c r="DZ428" s="424"/>
      <c r="EA428" s="424"/>
      <c r="EB428" s="424"/>
      <c r="EC428" s="424"/>
      <c r="ED428" s="424"/>
      <c r="EE428" s="424"/>
      <c r="EF428" s="424"/>
      <c r="EG428" s="424"/>
      <c r="EH428" s="424"/>
      <c r="EI428" s="424"/>
      <c r="EJ428" s="424"/>
      <c r="EK428" s="424"/>
      <c r="EL428" s="424"/>
      <c r="EM428" s="424"/>
      <c r="EN428" s="424"/>
      <c r="EO428" s="424"/>
      <c r="EP428" s="424"/>
      <c r="EQ428" s="424"/>
      <c r="ER428" s="424"/>
      <c r="ES428" s="424"/>
      <c r="ET428" s="424"/>
      <c r="EU428" s="424"/>
      <c r="EV428" s="424"/>
      <c r="EW428" s="424"/>
      <c r="EX428" s="424"/>
      <c r="EY428" s="424"/>
      <c r="EZ428" s="424"/>
      <c r="FA428" s="424"/>
      <c r="FB428" s="424"/>
      <c r="FC428" s="424"/>
      <c r="FD428" s="425"/>
      <c r="FE428" s="333"/>
    </row>
    <row r="429" spans="86:161" x14ac:dyDescent="0.25">
      <c r="CH429" s="350"/>
      <c r="CI429" s="350"/>
      <c r="CJ429" s="350"/>
      <c r="CK429" s="350"/>
      <c r="CL429" s="350"/>
      <c r="CM429" s="350"/>
      <c r="DG429" s="350"/>
      <c r="DH429" s="300"/>
      <c r="DI429" s="395" t="str">
        <f t="shared" ca="1" si="878"/>
        <v/>
      </c>
      <c r="DJ429" s="465" t="str">
        <f t="shared" ca="1" si="872"/>
        <v/>
      </c>
      <c r="DK429" s="360" t="str">
        <f t="shared" ca="1" si="873"/>
        <v/>
      </c>
      <c r="DL429" s="354" t="str">
        <f t="shared" ca="1" si="874"/>
        <v/>
      </c>
      <c r="DM429" s="354" t="str">
        <f t="shared" ca="1" si="875"/>
        <v/>
      </c>
      <c r="DN429" s="361" t="str">
        <f t="shared" ca="1" si="876"/>
        <v/>
      </c>
      <c r="DO429" s="362" t="str">
        <f t="shared" ca="1" si="877"/>
        <v/>
      </c>
      <c r="DP429" s="379" t="str">
        <f t="shared" ca="1" si="879"/>
        <v/>
      </c>
      <c r="DQ429" s="302"/>
      <c r="DR429" s="364"/>
      <c r="DS429" s="302"/>
      <c r="DU429" s="424"/>
      <c r="DV429" s="424"/>
      <c r="DW429" s="424"/>
      <c r="DX429" s="424"/>
      <c r="DY429" s="424"/>
      <c r="DZ429" s="424"/>
      <c r="EA429" s="424"/>
      <c r="EB429" s="424"/>
      <c r="EC429" s="424"/>
      <c r="ED429" s="424"/>
      <c r="EE429" s="424"/>
      <c r="EF429" s="424"/>
      <c r="EG429" s="424"/>
      <c r="EH429" s="424"/>
      <c r="EI429" s="424"/>
      <c r="EJ429" s="424"/>
      <c r="EK429" s="424"/>
      <c r="EL429" s="424"/>
      <c r="EM429" s="424"/>
      <c r="EN429" s="424"/>
      <c r="EO429" s="424"/>
      <c r="EP429" s="424"/>
      <c r="EQ429" s="424"/>
      <c r="ER429" s="424"/>
      <c r="ES429" s="424"/>
      <c r="ET429" s="424"/>
      <c r="EU429" s="424"/>
      <c r="EV429" s="424"/>
      <c r="EW429" s="424"/>
      <c r="EX429" s="424"/>
      <c r="EY429" s="424"/>
      <c r="EZ429" s="424"/>
      <c r="FA429" s="424"/>
      <c r="FB429" s="424"/>
      <c r="FC429" s="424"/>
      <c r="FD429" s="425"/>
      <c r="FE429" s="333"/>
    </row>
    <row r="430" spans="86:161" x14ac:dyDescent="0.25">
      <c r="CH430" s="350"/>
      <c r="CI430" s="350"/>
      <c r="CJ430" s="350"/>
      <c r="CK430" s="350"/>
      <c r="CL430" s="350"/>
      <c r="CM430" s="350"/>
      <c r="DG430" s="350"/>
      <c r="DH430" s="300"/>
      <c r="DI430" s="301"/>
      <c r="DJ430" s="458" t="s">
        <v>157</v>
      </c>
      <c r="DK430" s="458" t="s">
        <v>158</v>
      </c>
      <c r="DL430" s="459" t="s">
        <v>159</v>
      </c>
      <c r="DM430" s="459"/>
      <c r="DN430" s="460" t="s">
        <v>160</v>
      </c>
      <c r="DO430" s="459" t="s">
        <v>135</v>
      </c>
      <c r="DP430" s="302"/>
      <c r="DQ430" s="302"/>
      <c r="DR430" s="364"/>
      <c r="DS430" s="302"/>
      <c r="DU430" s="424"/>
      <c r="DV430" s="424"/>
      <c r="DW430" s="424"/>
      <c r="DX430" s="424"/>
      <c r="DY430" s="424"/>
      <c r="DZ430" s="424"/>
      <c r="EA430" s="424"/>
      <c r="EB430" s="424"/>
      <c r="EC430" s="424"/>
      <c r="ED430" s="424"/>
      <c r="EE430" s="424"/>
      <c r="EF430" s="424"/>
      <c r="EG430" s="424"/>
      <c r="EH430" s="424"/>
      <c r="EI430" s="424"/>
      <c r="EJ430" s="424"/>
      <c r="EK430" s="424"/>
      <c r="EL430" s="424"/>
      <c r="EM430" s="424"/>
      <c r="EN430" s="424"/>
      <c r="EO430" s="424"/>
      <c r="EP430" s="424"/>
      <c r="EQ430" s="424"/>
      <c r="ER430" s="424"/>
      <c r="ES430" s="424"/>
      <c r="ET430" s="424"/>
      <c r="EU430" s="424"/>
      <c r="EV430" s="424"/>
      <c r="EW430" s="424"/>
      <c r="EX430" s="424"/>
      <c r="EY430" s="424"/>
      <c r="EZ430" s="424"/>
      <c r="FA430" s="424"/>
      <c r="FB430" s="424"/>
      <c r="FC430" s="424"/>
      <c r="FD430" s="425"/>
      <c r="FE430" s="333"/>
    </row>
    <row r="431" spans="86:161" x14ac:dyDescent="0.25">
      <c r="CH431" s="350"/>
      <c r="CI431" s="350"/>
      <c r="CJ431" s="350"/>
      <c r="CK431" s="350"/>
      <c r="CL431" s="350"/>
      <c r="CM431" s="350"/>
      <c r="DG431" s="350"/>
      <c r="DH431" s="300"/>
      <c r="DI431" s="395" t="str">
        <f ca="1">DI420</f>
        <v>Vakana</v>
      </c>
      <c r="DJ431" s="465" t="str">
        <f t="shared" ref="DJ431:DJ440" ca="1" si="880">IF(OR(DI431="",DP431="",DI431=DP431,COUNTIF(games.av,DI431&amp;DP431)=0),"",CONCATENATE(DI431,DP431))</f>
        <v/>
      </c>
      <c r="DK431" s="360" t="str">
        <f t="shared" ref="DK431:DK440" ca="1" si="881">IF($DJ431="","",CONCATENATE(VLOOKUP($DJ431,games.a,9,FALSE),VLOOKUP($DJ431,games.a,12,FALSE)))</f>
        <v/>
      </c>
      <c r="DL431" s="354" t="str">
        <f t="shared" ref="DL431:DL440" ca="1" si="882">IF($DJ431="","",VLOOKUP($DJ431,games.a,10,FALSE))</f>
        <v/>
      </c>
      <c r="DM431" s="354" t="str">
        <f t="shared" ref="DM431:DM440" ca="1" si="883">IF($DJ431="","",VLOOKUP($DJ431,games.a,13,FALSE))</f>
        <v/>
      </c>
      <c r="DN431" s="361" t="str">
        <f t="shared" ref="DN431:DN440" ca="1" si="884">IF($DJ431="","",VLOOKUP($DJ431,games.a,6,FALSE))</f>
        <v/>
      </c>
      <c r="DO431" s="362" t="str">
        <f t="shared" ref="DO431:DO440" ca="1" si="885">IF($DJ431="","",VLOOKUP($DJ431,games.a,7,FALSE))</f>
        <v/>
      </c>
      <c r="DP431" s="466" t="str">
        <f ca="1">DI351</f>
        <v/>
      </c>
      <c r="DQ431" s="302"/>
      <c r="DR431" s="364"/>
      <c r="DS431" s="302"/>
      <c r="DU431" s="424"/>
      <c r="DV431" s="424"/>
      <c r="DW431" s="424"/>
      <c r="DX431" s="424"/>
      <c r="DY431" s="424"/>
      <c r="DZ431" s="424"/>
      <c r="EA431" s="424"/>
      <c r="EB431" s="424"/>
      <c r="EC431" s="424"/>
      <c r="ED431" s="424"/>
      <c r="EE431" s="424"/>
      <c r="EF431" s="424"/>
      <c r="EG431" s="424"/>
      <c r="EH431" s="424"/>
      <c r="EI431" s="424"/>
      <c r="EJ431" s="424"/>
      <c r="EK431" s="424"/>
      <c r="EL431" s="424"/>
      <c r="EM431" s="424"/>
      <c r="EN431" s="424"/>
      <c r="EO431" s="424"/>
      <c r="EP431" s="424"/>
      <c r="EQ431" s="424"/>
      <c r="ER431" s="424"/>
      <c r="ES431" s="424"/>
      <c r="ET431" s="424"/>
      <c r="EU431" s="424"/>
      <c r="EV431" s="424"/>
      <c r="EW431" s="424"/>
      <c r="EX431" s="424"/>
      <c r="EY431" s="424"/>
      <c r="EZ431" s="424"/>
      <c r="FA431" s="424"/>
      <c r="FB431" s="424"/>
      <c r="FC431" s="424"/>
      <c r="FD431" s="425"/>
      <c r="FE431" s="333"/>
    </row>
    <row r="432" spans="86:161" x14ac:dyDescent="0.25">
      <c r="CH432" s="350"/>
      <c r="CI432" s="350"/>
      <c r="CJ432" s="350"/>
      <c r="CK432" s="350"/>
      <c r="CL432" s="350"/>
      <c r="CM432" s="350"/>
      <c r="DG432" s="350"/>
      <c r="DH432" s="300"/>
      <c r="DI432" s="395" t="str">
        <f t="shared" ref="DI432:DI440" ca="1" si="886">DI421</f>
        <v>Bakafogó-Honvéd-Sashegy SE</v>
      </c>
      <c r="DJ432" s="465" t="str">
        <f t="shared" ca="1" si="880"/>
        <v/>
      </c>
      <c r="DK432" s="360" t="str">
        <f t="shared" ca="1" si="881"/>
        <v/>
      </c>
      <c r="DL432" s="354" t="str">
        <f t="shared" ca="1" si="882"/>
        <v/>
      </c>
      <c r="DM432" s="354" t="str">
        <f t="shared" ca="1" si="883"/>
        <v/>
      </c>
      <c r="DN432" s="361" t="str">
        <f t="shared" ca="1" si="884"/>
        <v/>
      </c>
      <c r="DO432" s="362" t="str">
        <f t="shared" ca="1" si="885"/>
        <v/>
      </c>
      <c r="DP432" s="379" t="str">
        <f ca="1">DP431</f>
        <v/>
      </c>
      <c r="DQ432" s="302"/>
      <c r="DR432" s="364"/>
      <c r="DS432" s="302"/>
      <c r="DU432" s="424"/>
      <c r="DV432" s="424"/>
      <c r="DW432" s="424"/>
      <c r="DX432" s="424"/>
      <c r="DY432" s="424"/>
      <c r="DZ432" s="424"/>
      <c r="EA432" s="424"/>
      <c r="EB432" s="424"/>
      <c r="EC432" s="424"/>
      <c r="ED432" s="424"/>
      <c r="EE432" s="424"/>
      <c r="EF432" s="424"/>
      <c r="EG432" s="424"/>
      <c r="EH432" s="424"/>
      <c r="EI432" s="424"/>
      <c r="EJ432" s="424"/>
      <c r="EK432" s="424"/>
      <c r="EL432" s="424"/>
      <c r="EM432" s="424"/>
      <c r="EN432" s="424"/>
      <c r="EO432" s="424"/>
      <c r="EP432" s="424"/>
      <c r="EQ432" s="424"/>
      <c r="ER432" s="424"/>
      <c r="ES432" s="424"/>
      <c r="ET432" s="424"/>
      <c r="EU432" s="424"/>
      <c r="EV432" s="424"/>
      <c r="EW432" s="424"/>
      <c r="EX432" s="424"/>
      <c r="EY432" s="424"/>
      <c r="EZ432" s="424"/>
      <c r="FA432" s="424"/>
      <c r="FB432" s="424"/>
      <c r="FC432" s="424"/>
      <c r="FD432" s="425"/>
      <c r="FE432" s="333"/>
    </row>
    <row r="433" spans="86:161" x14ac:dyDescent="0.25">
      <c r="CH433" s="350"/>
      <c r="CI433" s="350"/>
      <c r="CJ433" s="350"/>
      <c r="CK433" s="350"/>
      <c r="CL433" s="350"/>
      <c r="CM433" s="350"/>
      <c r="DG433" s="350"/>
      <c r="DH433" s="300"/>
      <c r="DI433" s="395" t="str">
        <f t="shared" ca="1" si="886"/>
        <v/>
      </c>
      <c r="DJ433" s="465" t="str">
        <f t="shared" ca="1" si="880"/>
        <v/>
      </c>
      <c r="DK433" s="360" t="str">
        <f t="shared" ca="1" si="881"/>
        <v/>
      </c>
      <c r="DL433" s="354" t="str">
        <f t="shared" ca="1" si="882"/>
        <v/>
      </c>
      <c r="DM433" s="354" t="str">
        <f t="shared" ca="1" si="883"/>
        <v/>
      </c>
      <c r="DN433" s="361" t="str">
        <f t="shared" ca="1" si="884"/>
        <v/>
      </c>
      <c r="DO433" s="362" t="str">
        <f t="shared" ca="1" si="885"/>
        <v/>
      </c>
      <c r="DP433" s="379" t="str">
        <f t="shared" ref="DP433:DP440" ca="1" si="887">DP432</f>
        <v/>
      </c>
      <c r="DQ433" s="302"/>
      <c r="DR433" s="364"/>
      <c r="DS433" s="302"/>
      <c r="DU433" s="424"/>
      <c r="DV433" s="424"/>
      <c r="DW433" s="424"/>
      <c r="DX433" s="424"/>
      <c r="DY433" s="424"/>
      <c r="DZ433" s="424"/>
      <c r="EA433" s="424"/>
      <c r="EB433" s="424"/>
      <c r="EC433" s="424"/>
      <c r="ED433" s="424"/>
      <c r="EE433" s="424"/>
      <c r="EF433" s="424"/>
      <c r="EG433" s="424"/>
      <c r="EH433" s="424"/>
      <c r="EI433" s="424"/>
      <c r="EJ433" s="424"/>
      <c r="EK433" s="424"/>
      <c r="EL433" s="424"/>
      <c r="EM433" s="424"/>
      <c r="EN433" s="424"/>
      <c r="EO433" s="424"/>
      <c r="EP433" s="424"/>
      <c r="EQ433" s="424"/>
      <c r="ER433" s="424"/>
      <c r="ES433" s="424"/>
      <c r="ET433" s="424"/>
      <c r="EU433" s="424"/>
      <c r="EV433" s="424"/>
      <c r="EW433" s="424"/>
      <c r="EX433" s="424"/>
      <c r="EY433" s="424"/>
      <c r="EZ433" s="424"/>
      <c r="FA433" s="424"/>
      <c r="FB433" s="424"/>
      <c r="FC433" s="424"/>
      <c r="FD433" s="425"/>
      <c r="FE433" s="333"/>
    </row>
    <row r="434" spans="86:161" x14ac:dyDescent="0.25">
      <c r="CH434" s="350"/>
      <c r="CI434" s="350"/>
      <c r="CJ434" s="350"/>
      <c r="CK434" s="350"/>
      <c r="CL434" s="350"/>
      <c r="CM434" s="350"/>
      <c r="DG434" s="350"/>
      <c r="DH434" s="300"/>
      <c r="DI434" s="395" t="str">
        <f t="shared" ca="1" si="886"/>
        <v/>
      </c>
      <c r="DJ434" s="465" t="str">
        <f t="shared" ca="1" si="880"/>
        <v/>
      </c>
      <c r="DK434" s="360" t="str">
        <f t="shared" ca="1" si="881"/>
        <v/>
      </c>
      <c r="DL434" s="354" t="str">
        <f t="shared" ca="1" si="882"/>
        <v/>
      </c>
      <c r="DM434" s="354" t="str">
        <f t="shared" ca="1" si="883"/>
        <v/>
      </c>
      <c r="DN434" s="361" t="str">
        <f t="shared" ca="1" si="884"/>
        <v/>
      </c>
      <c r="DO434" s="362" t="str">
        <f t="shared" ca="1" si="885"/>
        <v/>
      </c>
      <c r="DP434" s="379" t="str">
        <f t="shared" ca="1" si="887"/>
        <v/>
      </c>
      <c r="DQ434" s="302"/>
      <c r="DR434" s="364"/>
      <c r="DS434" s="302"/>
      <c r="DU434" s="424"/>
      <c r="DV434" s="424"/>
      <c r="DW434" s="424"/>
      <c r="DX434" s="424"/>
      <c r="DY434" s="424"/>
      <c r="DZ434" s="424"/>
      <c r="EA434" s="424"/>
      <c r="EB434" s="424"/>
      <c r="EC434" s="424"/>
      <c r="ED434" s="424"/>
      <c r="EE434" s="424"/>
      <c r="EF434" s="424"/>
      <c r="EG434" s="424"/>
      <c r="EH434" s="424"/>
      <c r="EI434" s="424"/>
      <c r="EJ434" s="424"/>
      <c r="EK434" s="424"/>
      <c r="EL434" s="424"/>
      <c r="EM434" s="424"/>
      <c r="EN434" s="424"/>
      <c r="EO434" s="424"/>
      <c r="EP434" s="424"/>
      <c r="EQ434" s="424"/>
      <c r="ER434" s="424"/>
      <c r="ES434" s="424"/>
      <c r="ET434" s="424"/>
      <c r="EU434" s="424"/>
      <c r="EV434" s="424"/>
      <c r="EW434" s="424"/>
      <c r="EX434" s="424"/>
      <c r="EY434" s="424"/>
      <c r="EZ434" s="424"/>
      <c r="FA434" s="424"/>
      <c r="FB434" s="424"/>
      <c r="FC434" s="424"/>
      <c r="FD434" s="425"/>
      <c r="FE434" s="333"/>
    </row>
    <row r="435" spans="86:161" x14ac:dyDescent="0.25">
      <c r="CH435" s="350"/>
      <c r="CI435" s="350"/>
      <c r="CJ435" s="350"/>
      <c r="CK435" s="350"/>
      <c r="CL435" s="350"/>
      <c r="CM435" s="350"/>
      <c r="DG435" s="350"/>
      <c r="DH435" s="300"/>
      <c r="DI435" s="395" t="str">
        <f t="shared" ca="1" si="886"/>
        <v/>
      </c>
      <c r="DJ435" s="465" t="str">
        <f t="shared" ca="1" si="880"/>
        <v/>
      </c>
      <c r="DK435" s="360" t="str">
        <f t="shared" ca="1" si="881"/>
        <v/>
      </c>
      <c r="DL435" s="354" t="str">
        <f t="shared" ca="1" si="882"/>
        <v/>
      </c>
      <c r="DM435" s="354" t="str">
        <f t="shared" ca="1" si="883"/>
        <v/>
      </c>
      <c r="DN435" s="361" t="str">
        <f t="shared" ca="1" si="884"/>
        <v/>
      </c>
      <c r="DO435" s="362" t="str">
        <f t="shared" ca="1" si="885"/>
        <v/>
      </c>
      <c r="DP435" s="379" t="str">
        <f t="shared" ca="1" si="887"/>
        <v/>
      </c>
      <c r="DQ435" s="302"/>
      <c r="DR435" s="364"/>
      <c r="DS435" s="302"/>
      <c r="DU435" s="424"/>
      <c r="DV435" s="424"/>
      <c r="DW435" s="424"/>
      <c r="DX435" s="424"/>
      <c r="DY435" s="424"/>
      <c r="DZ435" s="424"/>
      <c r="EA435" s="424"/>
      <c r="EB435" s="424"/>
      <c r="EC435" s="424"/>
      <c r="ED435" s="424"/>
      <c r="EE435" s="424"/>
      <c r="EF435" s="424"/>
      <c r="EG435" s="424"/>
      <c r="EH435" s="424"/>
      <c r="EI435" s="424"/>
      <c r="EJ435" s="424"/>
      <c r="EK435" s="424"/>
      <c r="EL435" s="424"/>
      <c r="EM435" s="424"/>
      <c r="EN435" s="424"/>
      <c r="EO435" s="424"/>
      <c r="EP435" s="424"/>
      <c r="EQ435" s="424"/>
      <c r="ER435" s="424"/>
      <c r="ES435" s="424"/>
      <c r="ET435" s="424"/>
      <c r="EU435" s="424"/>
      <c r="EV435" s="424"/>
      <c r="EW435" s="424"/>
      <c r="EX435" s="424"/>
      <c r="EY435" s="424"/>
      <c r="EZ435" s="424"/>
      <c r="FA435" s="424"/>
      <c r="FB435" s="424"/>
      <c r="FC435" s="424"/>
      <c r="FD435" s="425"/>
      <c r="FE435" s="333"/>
    </row>
    <row r="436" spans="86:161" x14ac:dyDescent="0.25">
      <c r="CH436" s="350"/>
      <c r="CI436" s="350"/>
      <c r="CJ436" s="350"/>
      <c r="CK436" s="350"/>
      <c r="CL436" s="350"/>
      <c r="CM436" s="350"/>
      <c r="DG436" s="350"/>
      <c r="DH436" s="300"/>
      <c r="DI436" s="395" t="str">
        <f t="shared" ca="1" si="886"/>
        <v/>
      </c>
      <c r="DJ436" s="465" t="str">
        <f t="shared" ca="1" si="880"/>
        <v/>
      </c>
      <c r="DK436" s="360" t="str">
        <f t="shared" ca="1" si="881"/>
        <v/>
      </c>
      <c r="DL436" s="354" t="str">
        <f t="shared" ca="1" si="882"/>
        <v/>
      </c>
      <c r="DM436" s="354" t="str">
        <f t="shared" ca="1" si="883"/>
        <v/>
      </c>
      <c r="DN436" s="361" t="str">
        <f t="shared" ca="1" si="884"/>
        <v/>
      </c>
      <c r="DO436" s="362" t="str">
        <f t="shared" ca="1" si="885"/>
        <v/>
      </c>
      <c r="DP436" s="379" t="str">
        <f t="shared" ca="1" si="887"/>
        <v/>
      </c>
      <c r="DQ436" s="302"/>
      <c r="DR436" s="364"/>
      <c r="DS436" s="302"/>
      <c r="DU436" s="424"/>
      <c r="DV436" s="424"/>
      <c r="DW436" s="424"/>
      <c r="DX436" s="424"/>
      <c r="DY436" s="424"/>
      <c r="DZ436" s="424"/>
      <c r="EA436" s="424"/>
      <c r="EB436" s="424"/>
      <c r="EC436" s="424"/>
      <c r="ED436" s="424"/>
      <c r="EE436" s="424"/>
      <c r="EF436" s="424"/>
      <c r="EG436" s="424"/>
      <c r="EH436" s="424"/>
      <c r="EI436" s="424"/>
      <c r="EJ436" s="424"/>
      <c r="EK436" s="424"/>
      <c r="EL436" s="424"/>
      <c r="EM436" s="424"/>
      <c r="EN436" s="424"/>
      <c r="EO436" s="424"/>
      <c r="EP436" s="424"/>
      <c r="EQ436" s="424"/>
      <c r="ER436" s="424"/>
      <c r="ES436" s="424"/>
      <c r="ET436" s="424"/>
      <c r="EU436" s="424"/>
      <c r="EV436" s="424"/>
      <c r="EW436" s="424"/>
      <c r="EX436" s="424"/>
      <c r="EY436" s="424"/>
      <c r="EZ436" s="424"/>
      <c r="FA436" s="424"/>
      <c r="FB436" s="424"/>
      <c r="FC436" s="424"/>
      <c r="FD436" s="425"/>
      <c r="FE436" s="333"/>
    </row>
    <row r="437" spans="86:161" x14ac:dyDescent="0.25">
      <c r="CH437" s="350"/>
      <c r="CI437" s="350"/>
      <c r="CJ437" s="350"/>
      <c r="CK437" s="350"/>
      <c r="CL437" s="350"/>
      <c r="CM437" s="350"/>
      <c r="DG437" s="350"/>
      <c r="DH437" s="300"/>
      <c r="DI437" s="395" t="str">
        <f t="shared" ca="1" si="886"/>
        <v/>
      </c>
      <c r="DJ437" s="465" t="str">
        <f t="shared" ca="1" si="880"/>
        <v/>
      </c>
      <c r="DK437" s="360" t="str">
        <f t="shared" ca="1" si="881"/>
        <v/>
      </c>
      <c r="DL437" s="354" t="str">
        <f t="shared" ca="1" si="882"/>
        <v/>
      </c>
      <c r="DM437" s="354" t="str">
        <f t="shared" ca="1" si="883"/>
        <v/>
      </c>
      <c r="DN437" s="361" t="str">
        <f t="shared" ca="1" si="884"/>
        <v/>
      </c>
      <c r="DO437" s="362" t="str">
        <f t="shared" ca="1" si="885"/>
        <v/>
      </c>
      <c r="DP437" s="379" t="str">
        <f t="shared" ca="1" si="887"/>
        <v/>
      </c>
      <c r="DQ437" s="302"/>
      <c r="DR437" s="364"/>
      <c r="DS437" s="302"/>
      <c r="DU437" s="424"/>
      <c r="DV437" s="424"/>
      <c r="DW437" s="424"/>
      <c r="DX437" s="424"/>
      <c r="DY437" s="424"/>
      <c r="DZ437" s="424"/>
      <c r="EA437" s="424"/>
      <c r="EB437" s="424"/>
      <c r="EC437" s="424"/>
      <c r="ED437" s="424"/>
      <c r="EE437" s="424"/>
      <c r="EF437" s="424"/>
      <c r="EG437" s="424"/>
      <c r="EH437" s="424"/>
      <c r="EI437" s="424"/>
      <c r="EJ437" s="424"/>
      <c r="EK437" s="424"/>
      <c r="EL437" s="424"/>
      <c r="EM437" s="424"/>
      <c r="EN437" s="424"/>
      <c r="EO437" s="424"/>
      <c r="EP437" s="424"/>
      <c r="EQ437" s="424"/>
      <c r="ER437" s="424"/>
      <c r="ES437" s="424"/>
      <c r="ET437" s="424"/>
      <c r="EU437" s="424"/>
      <c r="EV437" s="424"/>
      <c r="EW437" s="424"/>
      <c r="EX437" s="424"/>
      <c r="EY437" s="424"/>
      <c r="EZ437" s="424"/>
      <c r="FA437" s="424"/>
      <c r="FB437" s="424"/>
      <c r="FC437" s="424"/>
      <c r="FD437" s="425"/>
      <c r="FE437" s="333"/>
    </row>
    <row r="438" spans="86:161" x14ac:dyDescent="0.25">
      <c r="CH438" s="350"/>
      <c r="CI438" s="350"/>
      <c r="CJ438" s="350"/>
      <c r="CK438" s="350"/>
      <c r="CL438" s="350"/>
      <c r="CM438" s="350"/>
      <c r="DG438" s="350"/>
      <c r="DH438" s="300"/>
      <c r="DI438" s="395" t="str">
        <f t="shared" ca="1" si="886"/>
        <v/>
      </c>
      <c r="DJ438" s="465" t="str">
        <f t="shared" ca="1" si="880"/>
        <v/>
      </c>
      <c r="DK438" s="360" t="str">
        <f t="shared" ca="1" si="881"/>
        <v/>
      </c>
      <c r="DL438" s="354" t="str">
        <f t="shared" ca="1" si="882"/>
        <v/>
      </c>
      <c r="DM438" s="354" t="str">
        <f t="shared" ca="1" si="883"/>
        <v/>
      </c>
      <c r="DN438" s="361" t="str">
        <f t="shared" ca="1" si="884"/>
        <v/>
      </c>
      <c r="DO438" s="362" t="str">
        <f t="shared" ca="1" si="885"/>
        <v/>
      </c>
      <c r="DP438" s="379" t="str">
        <f t="shared" ca="1" si="887"/>
        <v/>
      </c>
      <c r="DQ438" s="302"/>
      <c r="DR438" s="364"/>
      <c r="DS438" s="302"/>
      <c r="DU438" s="424"/>
      <c r="DV438" s="424"/>
      <c r="DW438" s="424"/>
      <c r="DX438" s="424"/>
      <c r="DY438" s="424"/>
      <c r="DZ438" s="424"/>
      <c r="EA438" s="424"/>
      <c r="EB438" s="424"/>
      <c r="EC438" s="424"/>
      <c r="ED438" s="424"/>
      <c r="EE438" s="424"/>
      <c r="EF438" s="424"/>
      <c r="EG438" s="424"/>
      <c r="EH438" s="424"/>
      <c r="EI438" s="424"/>
      <c r="EJ438" s="424"/>
      <c r="EK438" s="424"/>
      <c r="EL438" s="424"/>
      <c r="EM438" s="424"/>
      <c r="EN438" s="424"/>
      <c r="EO438" s="424"/>
      <c r="EP438" s="424"/>
      <c r="EQ438" s="424"/>
      <c r="ER438" s="424"/>
      <c r="ES438" s="424"/>
      <c r="ET438" s="424"/>
      <c r="EU438" s="424"/>
      <c r="EV438" s="424"/>
      <c r="EW438" s="424"/>
      <c r="EX438" s="424"/>
      <c r="EY438" s="424"/>
      <c r="EZ438" s="424"/>
      <c r="FA438" s="424"/>
      <c r="FB438" s="424"/>
      <c r="FC438" s="424"/>
      <c r="FD438" s="425"/>
      <c r="FE438" s="333"/>
    </row>
    <row r="439" spans="86:161" x14ac:dyDescent="0.25">
      <c r="CH439" s="350"/>
      <c r="CI439" s="350"/>
      <c r="CJ439" s="350"/>
      <c r="CK439" s="350"/>
      <c r="CL439" s="350"/>
      <c r="CM439" s="350"/>
      <c r="DG439" s="350"/>
      <c r="DH439" s="300"/>
      <c r="DI439" s="395" t="str">
        <f t="shared" ca="1" si="886"/>
        <v/>
      </c>
      <c r="DJ439" s="465" t="str">
        <f t="shared" ca="1" si="880"/>
        <v/>
      </c>
      <c r="DK439" s="360" t="str">
        <f t="shared" ca="1" si="881"/>
        <v/>
      </c>
      <c r="DL439" s="354" t="str">
        <f t="shared" ca="1" si="882"/>
        <v/>
      </c>
      <c r="DM439" s="354" t="str">
        <f t="shared" ca="1" si="883"/>
        <v/>
      </c>
      <c r="DN439" s="361" t="str">
        <f t="shared" ca="1" si="884"/>
        <v/>
      </c>
      <c r="DO439" s="362" t="str">
        <f t="shared" ca="1" si="885"/>
        <v/>
      </c>
      <c r="DP439" s="379" t="str">
        <f t="shared" ca="1" si="887"/>
        <v/>
      </c>
      <c r="DQ439" s="302"/>
      <c r="DR439" s="364"/>
      <c r="DS439" s="302"/>
      <c r="DU439" s="424"/>
      <c r="DV439" s="424"/>
      <c r="DW439" s="424"/>
      <c r="DX439" s="424"/>
      <c r="DY439" s="424"/>
      <c r="DZ439" s="424"/>
      <c r="EA439" s="424"/>
      <c r="EB439" s="424"/>
      <c r="EC439" s="424"/>
      <c r="ED439" s="424"/>
      <c r="EE439" s="424"/>
      <c r="EF439" s="424"/>
      <c r="EG439" s="424"/>
      <c r="EH439" s="424"/>
      <c r="EI439" s="424"/>
      <c r="EJ439" s="424"/>
      <c r="EK439" s="424"/>
      <c r="EL439" s="424"/>
      <c r="EM439" s="424"/>
      <c r="EN439" s="424"/>
      <c r="EO439" s="424"/>
      <c r="EP439" s="424"/>
      <c r="EQ439" s="424"/>
      <c r="ER439" s="424"/>
      <c r="ES439" s="424"/>
      <c r="ET439" s="424"/>
      <c r="EU439" s="424"/>
      <c r="EV439" s="424"/>
      <c r="EW439" s="424"/>
      <c r="EX439" s="424"/>
      <c r="EY439" s="424"/>
      <c r="EZ439" s="424"/>
      <c r="FA439" s="424"/>
      <c r="FB439" s="424"/>
      <c r="FC439" s="424"/>
      <c r="FD439" s="425"/>
      <c r="FE439" s="333"/>
    </row>
    <row r="440" spans="86:161" x14ac:dyDescent="0.25">
      <c r="CH440" s="350"/>
      <c r="CI440" s="350"/>
      <c r="CJ440" s="350"/>
      <c r="CK440" s="350"/>
      <c r="CL440" s="350"/>
      <c r="CM440" s="350"/>
      <c r="DG440" s="350"/>
      <c r="DH440" s="300"/>
      <c r="DI440" s="395" t="str">
        <f t="shared" ca="1" si="886"/>
        <v/>
      </c>
      <c r="DJ440" s="465" t="str">
        <f t="shared" ca="1" si="880"/>
        <v/>
      </c>
      <c r="DK440" s="360" t="str">
        <f t="shared" ca="1" si="881"/>
        <v/>
      </c>
      <c r="DL440" s="354" t="str">
        <f t="shared" ca="1" si="882"/>
        <v/>
      </c>
      <c r="DM440" s="354" t="str">
        <f t="shared" ca="1" si="883"/>
        <v/>
      </c>
      <c r="DN440" s="361" t="str">
        <f t="shared" ca="1" si="884"/>
        <v/>
      </c>
      <c r="DO440" s="362" t="str">
        <f t="shared" ca="1" si="885"/>
        <v/>
      </c>
      <c r="DP440" s="379" t="str">
        <f t="shared" ca="1" si="887"/>
        <v/>
      </c>
      <c r="DQ440" s="302"/>
      <c r="DR440" s="364"/>
      <c r="DS440" s="302"/>
      <c r="DU440" s="424"/>
      <c r="DV440" s="424"/>
      <c r="DW440" s="424"/>
      <c r="DX440" s="424"/>
      <c r="DY440" s="424"/>
      <c r="DZ440" s="424"/>
      <c r="EA440" s="424"/>
      <c r="EB440" s="424"/>
      <c r="EC440" s="424"/>
      <c r="ED440" s="424"/>
      <c r="EE440" s="424"/>
      <c r="EF440" s="424"/>
      <c r="EG440" s="424"/>
      <c r="EH440" s="424"/>
      <c r="EI440" s="424"/>
      <c r="EJ440" s="424"/>
      <c r="EK440" s="424"/>
      <c r="EL440" s="424"/>
      <c r="EM440" s="424"/>
      <c r="EN440" s="424"/>
      <c r="EO440" s="424"/>
      <c r="EP440" s="424"/>
      <c r="EQ440" s="424"/>
      <c r="ER440" s="424"/>
      <c r="ES440" s="424"/>
      <c r="ET440" s="424"/>
      <c r="EU440" s="424"/>
      <c r="EV440" s="424"/>
      <c r="EW440" s="424"/>
      <c r="EX440" s="424"/>
      <c r="EY440" s="424"/>
      <c r="EZ440" s="424"/>
      <c r="FA440" s="424"/>
      <c r="FB440" s="424"/>
      <c r="FC440" s="424"/>
      <c r="FD440" s="425"/>
      <c r="FE440" s="333"/>
    </row>
    <row r="441" spans="86:161" x14ac:dyDescent="0.25">
      <c r="CH441" s="350"/>
      <c r="CI441" s="350"/>
      <c r="CJ441" s="350"/>
      <c r="CK441" s="350"/>
      <c r="CL441" s="350"/>
      <c r="CM441" s="350"/>
      <c r="DG441" s="350"/>
      <c r="DH441" s="300"/>
      <c r="DI441" s="301"/>
      <c r="DJ441" s="458" t="s">
        <v>157</v>
      </c>
      <c r="DK441" s="458" t="s">
        <v>158</v>
      </c>
      <c r="DL441" s="459" t="s">
        <v>159</v>
      </c>
      <c r="DM441" s="459"/>
      <c r="DN441" s="460" t="s">
        <v>160</v>
      </c>
      <c r="DO441" s="459" t="s">
        <v>135</v>
      </c>
      <c r="DP441" s="302"/>
      <c r="DQ441" s="302"/>
      <c r="DR441" s="364"/>
      <c r="DS441" s="302"/>
      <c r="DU441" s="424"/>
      <c r="DV441" s="424"/>
      <c r="DW441" s="424"/>
      <c r="DX441" s="424"/>
      <c r="DY441" s="424"/>
      <c r="DZ441" s="424"/>
      <c r="EA441" s="424"/>
      <c r="EB441" s="424"/>
      <c r="EC441" s="424"/>
      <c r="ED441" s="424"/>
      <c r="EE441" s="424"/>
      <c r="EF441" s="424"/>
      <c r="EG441" s="424"/>
      <c r="EH441" s="424"/>
      <c r="EI441" s="424"/>
      <c r="EJ441" s="424"/>
      <c r="EK441" s="424"/>
      <c r="EL441" s="424"/>
      <c r="EM441" s="424"/>
      <c r="EN441" s="424"/>
      <c r="EO441" s="424"/>
      <c r="EP441" s="424"/>
      <c r="EQ441" s="424"/>
      <c r="ER441" s="424"/>
      <c r="ES441" s="424"/>
      <c r="ET441" s="424"/>
      <c r="EU441" s="424"/>
      <c r="EV441" s="424"/>
      <c r="EW441" s="424"/>
      <c r="EX441" s="424"/>
      <c r="EY441" s="424"/>
      <c r="EZ441" s="424"/>
      <c r="FA441" s="424"/>
      <c r="FB441" s="424"/>
      <c r="FC441" s="424"/>
      <c r="FD441" s="425"/>
      <c r="FE441" s="333"/>
    </row>
    <row r="442" spans="86:161" x14ac:dyDescent="0.25">
      <c r="CH442" s="350"/>
      <c r="CI442" s="350"/>
      <c r="CJ442" s="350"/>
      <c r="CK442" s="350"/>
      <c r="CL442" s="350"/>
      <c r="CM442" s="350"/>
      <c r="DG442" s="350"/>
      <c r="DH442" s="300"/>
      <c r="DI442" s="395" t="str">
        <f ca="1">DI431</f>
        <v>Vakana</v>
      </c>
      <c r="DJ442" s="465" t="str">
        <f t="shared" ref="DJ442:DJ451" ca="1" si="888">IF(OR(DI442="",DP442="",DI442=DP442,COUNTIF(games.av,DI442&amp;DP442)=0),"",CONCATENATE(DI442,DP442))</f>
        <v/>
      </c>
      <c r="DK442" s="360" t="str">
        <f t="shared" ref="DK442:DK451" ca="1" si="889">IF($DJ442="","",CONCATENATE(VLOOKUP($DJ442,games.a,9,FALSE),VLOOKUP($DJ442,games.a,12,FALSE)))</f>
        <v/>
      </c>
      <c r="DL442" s="354" t="str">
        <f t="shared" ref="DL442:DL451" ca="1" si="890">IF($DJ442="","",VLOOKUP($DJ442,games.a,10,FALSE))</f>
        <v/>
      </c>
      <c r="DM442" s="354" t="str">
        <f t="shared" ref="DM442:DM451" ca="1" si="891">IF($DJ442="","",VLOOKUP($DJ442,games.a,13,FALSE))</f>
        <v/>
      </c>
      <c r="DN442" s="361" t="str">
        <f t="shared" ref="DN442:DN451" ca="1" si="892">IF($DJ442="","",VLOOKUP($DJ442,games.a,6,FALSE))</f>
        <v/>
      </c>
      <c r="DO442" s="362" t="str">
        <f t="shared" ref="DO442:DO451" ca="1" si="893">IF($DJ442="","",VLOOKUP($DJ442,games.a,7,FALSE))</f>
        <v/>
      </c>
      <c r="DP442" s="466" t="str">
        <f ca="1">DI352</f>
        <v/>
      </c>
      <c r="DQ442" s="302"/>
      <c r="DR442" s="364"/>
      <c r="DS442" s="302"/>
      <c r="DU442" s="424"/>
      <c r="DV442" s="424"/>
      <c r="DW442" s="424"/>
      <c r="DX442" s="424"/>
      <c r="DY442" s="424"/>
      <c r="DZ442" s="424"/>
      <c r="EA442" s="424"/>
      <c r="EB442" s="424"/>
      <c r="EC442" s="424"/>
      <c r="ED442" s="424"/>
      <c r="EE442" s="424"/>
      <c r="EF442" s="424"/>
      <c r="EG442" s="424"/>
      <c r="EH442" s="424"/>
      <c r="EI442" s="424"/>
      <c r="EJ442" s="424"/>
      <c r="EK442" s="424"/>
      <c r="EL442" s="424"/>
      <c r="EM442" s="424"/>
      <c r="EN442" s="424"/>
      <c r="EO442" s="424"/>
      <c r="EP442" s="424"/>
      <c r="EQ442" s="424"/>
      <c r="ER442" s="424"/>
      <c r="ES442" s="424"/>
      <c r="ET442" s="424"/>
      <c r="EU442" s="424"/>
      <c r="EV442" s="424"/>
      <c r="EW442" s="424"/>
      <c r="EX442" s="424"/>
      <c r="EY442" s="424"/>
      <c r="EZ442" s="424"/>
      <c r="FA442" s="424"/>
      <c r="FB442" s="424"/>
      <c r="FC442" s="424"/>
      <c r="FD442" s="425"/>
      <c r="FE442" s="333"/>
    </row>
    <row r="443" spans="86:161" x14ac:dyDescent="0.25">
      <c r="CH443" s="350"/>
      <c r="CI443" s="350"/>
      <c r="CJ443" s="350"/>
      <c r="CK443" s="350"/>
      <c r="CL443" s="350"/>
      <c r="CM443" s="350"/>
      <c r="DG443" s="350"/>
      <c r="DH443" s="300"/>
      <c r="DI443" s="395" t="str">
        <f t="shared" ref="DI443:DI451" ca="1" si="894">DI432</f>
        <v>Bakafogó-Honvéd-Sashegy SE</v>
      </c>
      <c r="DJ443" s="465" t="str">
        <f t="shared" ca="1" si="888"/>
        <v/>
      </c>
      <c r="DK443" s="360" t="str">
        <f t="shared" ca="1" si="889"/>
        <v/>
      </c>
      <c r="DL443" s="354" t="str">
        <f t="shared" ca="1" si="890"/>
        <v/>
      </c>
      <c r="DM443" s="354" t="str">
        <f t="shared" ca="1" si="891"/>
        <v/>
      </c>
      <c r="DN443" s="361" t="str">
        <f t="shared" ca="1" si="892"/>
        <v/>
      </c>
      <c r="DO443" s="362" t="str">
        <f t="shared" ca="1" si="893"/>
        <v/>
      </c>
      <c r="DP443" s="379" t="str">
        <f ca="1">DP442</f>
        <v/>
      </c>
      <c r="DQ443" s="302"/>
      <c r="DR443" s="364"/>
      <c r="DS443" s="302"/>
      <c r="DU443" s="424"/>
      <c r="DV443" s="424"/>
      <c r="DW443" s="424"/>
      <c r="DX443" s="424"/>
      <c r="DY443" s="424"/>
      <c r="DZ443" s="424"/>
      <c r="EA443" s="424"/>
      <c r="EB443" s="424"/>
      <c r="EC443" s="424"/>
      <c r="ED443" s="424"/>
      <c r="EE443" s="424"/>
      <c r="EF443" s="424"/>
      <c r="EG443" s="424"/>
      <c r="EH443" s="424"/>
      <c r="EI443" s="424"/>
      <c r="EJ443" s="424"/>
      <c r="EK443" s="424"/>
      <c r="EL443" s="424"/>
      <c r="EM443" s="424"/>
      <c r="EN443" s="424"/>
      <c r="EO443" s="424"/>
      <c r="EP443" s="424"/>
      <c r="EQ443" s="424"/>
      <c r="ER443" s="424"/>
      <c r="ES443" s="424"/>
      <c r="ET443" s="424"/>
      <c r="EU443" s="424"/>
      <c r="EV443" s="424"/>
      <c r="EW443" s="424"/>
      <c r="EX443" s="424"/>
      <c r="EY443" s="424"/>
      <c r="EZ443" s="424"/>
      <c r="FA443" s="424"/>
      <c r="FB443" s="424"/>
      <c r="FC443" s="424"/>
      <c r="FD443" s="425"/>
      <c r="FE443" s="333"/>
    </row>
    <row r="444" spans="86:161" x14ac:dyDescent="0.25">
      <c r="CH444" s="350"/>
      <c r="CI444" s="350"/>
      <c r="CJ444" s="350"/>
      <c r="CK444" s="350"/>
      <c r="CL444" s="350"/>
      <c r="CM444" s="350"/>
      <c r="DG444" s="350"/>
      <c r="DH444" s="300"/>
      <c r="DI444" s="395" t="str">
        <f t="shared" ca="1" si="894"/>
        <v/>
      </c>
      <c r="DJ444" s="465" t="str">
        <f t="shared" ca="1" si="888"/>
        <v/>
      </c>
      <c r="DK444" s="360" t="str">
        <f t="shared" ca="1" si="889"/>
        <v/>
      </c>
      <c r="DL444" s="354" t="str">
        <f t="shared" ca="1" si="890"/>
        <v/>
      </c>
      <c r="DM444" s="354" t="str">
        <f t="shared" ca="1" si="891"/>
        <v/>
      </c>
      <c r="DN444" s="361" t="str">
        <f t="shared" ca="1" si="892"/>
        <v/>
      </c>
      <c r="DO444" s="362" t="str">
        <f t="shared" ca="1" si="893"/>
        <v/>
      </c>
      <c r="DP444" s="379" t="str">
        <f t="shared" ref="DP444:DP451" ca="1" si="895">DP443</f>
        <v/>
      </c>
      <c r="DQ444" s="302"/>
      <c r="DR444" s="364"/>
      <c r="DS444" s="302"/>
      <c r="DU444" s="424"/>
      <c r="DV444" s="424"/>
      <c r="DW444" s="424"/>
      <c r="DX444" s="424"/>
      <c r="DY444" s="424"/>
      <c r="DZ444" s="424"/>
      <c r="EA444" s="424"/>
      <c r="EB444" s="424"/>
      <c r="EC444" s="424"/>
      <c r="ED444" s="424"/>
      <c r="EE444" s="424"/>
      <c r="EF444" s="424"/>
      <c r="EG444" s="424"/>
      <c r="EH444" s="424"/>
      <c r="EI444" s="424"/>
      <c r="EJ444" s="424"/>
      <c r="EK444" s="424"/>
      <c r="EL444" s="424"/>
      <c r="EM444" s="424"/>
      <c r="EN444" s="424"/>
      <c r="EO444" s="424"/>
      <c r="EP444" s="424"/>
      <c r="EQ444" s="424"/>
      <c r="ER444" s="424"/>
      <c r="ES444" s="424"/>
      <c r="ET444" s="424"/>
      <c r="EU444" s="424"/>
      <c r="EV444" s="424"/>
      <c r="EW444" s="424"/>
      <c r="EX444" s="424"/>
      <c r="EY444" s="424"/>
      <c r="EZ444" s="424"/>
      <c r="FA444" s="424"/>
      <c r="FB444" s="424"/>
      <c r="FC444" s="424"/>
      <c r="FD444" s="425"/>
      <c r="FE444" s="333"/>
    </row>
    <row r="445" spans="86:161" x14ac:dyDescent="0.25">
      <c r="CH445" s="350"/>
      <c r="CI445" s="350"/>
      <c r="CJ445" s="350"/>
      <c r="CK445" s="350"/>
      <c r="CL445" s="350"/>
      <c r="CM445" s="350"/>
      <c r="DG445" s="350"/>
      <c r="DH445" s="300"/>
      <c r="DI445" s="395" t="str">
        <f t="shared" ca="1" si="894"/>
        <v/>
      </c>
      <c r="DJ445" s="465" t="str">
        <f t="shared" ca="1" si="888"/>
        <v/>
      </c>
      <c r="DK445" s="360" t="str">
        <f t="shared" ca="1" si="889"/>
        <v/>
      </c>
      <c r="DL445" s="354" t="str">
        <f t="shared" ca="1" si="890"/>
        <v/>
      </c>
      <c r="DM445" s="354" t="str">
        <f t="shared" ca="1" si="891"/>
        <v/>
      </c>
      <c r="DN445" s="361" t="str">
        <f t="shared" ca="1" si="892"/>
        <v/>
      </c>
      <c r="DO445" s="362" t="str">
        <f t="shared" ca="1" si="893"/>
        <v/>
      </c>
      <c r="DP445" s="379" t="str">
        <f t="shared" ca="1" si="895"/>
        <v/>
      </c>
      <c r="DQ445" s="302"/>
      <c r="DR445" s="364"/>
      <c r="DS445" s="302"/>
      <c r="DU445" s="424"/>
      <c r="DV445" s="424"/>
      <c r="DW445" s="424"/>
      <c r="DX445" s="424"/>
      <c r="DY445" s="424"/>
      <c r="DZ445" s="424"/>
      <c r="EA445" s="424"/>
      <c r="EB445" s="424"/>
      <c r="EC445" s="424"/>
      <c r="ED445" s="424"/>
      <c r="EE445" s="424"/>
      <c r="EF445" s="424"/>
      <c r="EG445" s="424"/>
      <c r="EH445" s="424"/>
      <c r="EI445" s="424"/>
      <c r="EJ445" s="424"/>
      <c r="EK445" s="424"/>
      <c r="EL445" s="424"/>
      <c r="EM445" s="424"/>
      <c r="EN445" s="424"/>
      <c r="EO445" s="424"/>
      <c r="EP445" s="424"/>
      <c r="EQ445" s="424"/>
      <c r="ER445" s="424"/>
      <c r="ES445" s="424"/>
      <c r="ET445" s="424"/>
      <c r="EU445" s="424"/>
      <c r="EV445" s="424"/>
      <c r="EW445" s="424"/>
      <c r="EX445" s="424"/>
      <c r="EY445" s="424"/>
      <c r="EZ445" s="424"/>
      <c r="FA445" s="424"/>
      <c r="FB445" s="424"/>
      <c r="FC445" s="424"/>
      <c r="FD445" s="425"/>
      <c r="FE445" s="333"/>
    </row>
    <row r="446" spans="86:161" x14ac:dyDescent="0.25">
      <c r="CH446" s="350"/>
      <c r="CI446" s="350"/>
      <c r="CJ446" s="350"/>
      <c r="CK446" s="350"/>
      <c r="CL446" s="350"/>
      <c r="CM446" s="350"/>
      <c r="DG446" s="350"/>
      <c r="DH446" s="300"/>
      <c r="DI446" s="395" t="str">
        <f t="shared" ca="1" si="894"/>
        <v/>
      </c>
      <c r="DJ446" s="465" t="str">
        <f t="shared" ca="1" si="888"/>
        <v/>
      </c>
      <c r="DK446" s="360" t="str">
        <f t="shared" ca="1" si="889"/>
        <v/>
      </c>
      <c r="DL446" s="354" t="str">
        <f t="shared" ca="1" si="890"/>
        <v/>
      </c>
      <c r="DM446" s="354" t="str">
        <f t="shared" ca="1" si="891"/>
        <v/>
      </c>
      <c r="DN446" s="361" t="str">
        <f t="shared" ca="1" si="892"/>
        <v/>
      </c>
      <c r="DO446" s="362" t="str">
        <f t="shared" ca="1" si="893"/>
        <v/>
      </c>
      <c r="DP446" s="379" t="str">
        <f t="shared" ca="1" si="895"/>
        <v/>
      </c>
      <c r="DQ446" s="302"/>
      <c r="DR446" s="364"/>
      <c r="DS446" s="302"/>
      <c r="DU446" s="424"/>
      <c r="DV446" s="424"/>
      <c r="DW446" s="424"/>
      <c r="DX446" s="424"/>
      <c r="DY446" s="424"/>
      <c r="DZ446" s="424"/>
      <c r="EA446" s="424"/>
      <c r="EB446" s="424"/>
      <c r="EC446" s="424"/>
      <c r="ED446" s="424"/>
      <c r="EE446" s="424"/>
      <c r="EF446" s="424"/>
      <c r="EG446" s="424"/>
      <c r="EH446" s="424"/>
      <c r="EI446" s="424"/>
      <c r="EJ446" s="424"/>
      <c r="EK446" s="424"/>
      <c r="EL446" s="424"/>
      <c r="EM446" s="424"/>
      <c r="EN446" s="424"/>
      <c r="EO446" s="424"/>
      <c r="EP446" s="424"/>
      <c r="EQ446" s="424"/>
      <c r="ER446" s="424"/>
      <c r="ES446" s="424"/>
      <c r="ET446" s="424"/>
      <c r="EU446" s="424"/>
      <c r="EV446" s="424"/>
      <c r="EW446" s="424"/>
      <c r="EX446" s="424"/>
      <c r="EY446" s="424"/>
      <c r="EZ446" s="424"/>
      <c r="FA446" s="424"/>
      <c r="FB446" s="424"/>
      <c r="FC446" s="424"/>
      <c r="FD446" s="425"/>
      <c r="FE446" s="333"/>
    </row>
    <row r="447" spans="86:161" x14ac:dyDescent="0.25">
      <c r="CH447" s="350"/>
      <c r="CI447" s="350"/>
      <c r="CJ447" s="350"/>
      <c r="CK447" s="350"/>
      <c r="CL447" s="350"/>
      <c r="CM447" s="350"/>
      <c r="DG447" s="350"/>
      <c r="DH447" s="300"/>
      <c r="DI447" s="395" t="str">
        <f t="shared" ca="1" si="894"/>
        <v/>
      </c>
      <c r="DJ447" s="465" t="str">
        <f t="shared" ca="1" si="888"/>
        <v/>
      </c>
      <c r="DK447" s="360" t="str">
        <f t="shared" ca="1" si="889"/>
        <v/>
      </c>
      <c r="DL447" s="354" t="str">
        <f t="shared" ca="1" si="890"/>
        <v/>
      </c>
      <c r="DM447" s="354" t="str">
        <f t="shared" ca="1" si="891"/>
        <v/>
      </c>
      <c r="DN447" s="361" t="str">
        <f t="shared" ca="1" si="892"/>
        <v/>
      </c>
      <c r="DO447" s="362" t="str">
        <f t="shared" ca="1" si="893"/>
        <v/>
      </c>
      <c r="DP447" s="379" t="str">
        <f t="shared" ca="1" si="895"/>
        <v/>
      </c>
      <c r="DQ447" s="302"/>
      <c r="DR447" s="364"/>
      <c r="DS447" s="302"/>
      <c r="DU447" s="424"/>
      <c r="DV447" s="424"/>
      <c r="DW447" s="424"/>
      <c r="DX447" s="424"/>
      <c r="DY447" s="424"/>
      <c r="DZ447" s="424"/>
      <c r="EA447" s="424"/>
      <c r="EB447" s="424"/>
      <c r="EC447" s="424"/>
      <c r="ED447" s="424"/>
      <c r="EE447" s="424"/>
      <c r="EF447" s="424"/>
      <c r="EG447" s="424"/>
      <c r="EH447" s="424"/>
      <c r="EI447" s="424"/>
      <c r="EJ447" s="424"/>
      <c r="EK447" s="424"/>
      <c r="EL447" s="424"/>
      <c r="EM447" s="424"/>
      <c r="EN447" s="424"/>
      <c r="EO447" s="424"/>
      <c r="EP447" s="424"/>
      <c r="EQ447" s="424"/>
      <c r="ER447" s="424"/>
      <c r="ES447" s="424"/>
      <c r="ET447" s="424"/>
      <c r="EU447" s="424"/>
      <c r="EV447" s="424"/>
      <c r="EW447" s="424"/>
      <c r="EX447" s="424"/>
      <c r="EY447" s="424"/>
      <c r="EZ447" s="424"/>
      <c r="FA447" s="424"/>
      <c r="FB447" s="424"/>
      <c r="FC447" s="424"/>
      <c r="FD447" s="425"/>
      <c r="FE447" s="333"/>
    </row>
    <row r="448" spans="86:161" x14ac:dyDescent="0.25">
      <c r="CH448" s="350"/>
      <c r="CI448" s="350"/>
      <c r="CJ448" s="350"/>
      <c r="CK448" s="350"/>
      <c r="CL448" s="350"/>
      <c r="CM448" s="350"/>
      <c r="DG448" s="350"/>
      <c r="DH448" s="300"/>
      <c r="DI448" s="395" t="str">
        <f t="shared" ca="1" si="894"/>
        <v/>
      </c>
      <c r="DJ448" s="465" t="str">
        <f t="shared" ca="1" si="888"/>
        <v/>
      </c>
      <c r="DK448" s="360" t="str">
        <f t="shared" ca="1" si="889"/>
        <v/>
      </c>
      <c r="DL448" s="354" t="str">
        <f t="shared" ca="1" si="890"/>
        <v/>
      </c>
      <c r="DM448" s="354" t="str">
        <f t="shared" ca="1" si="891"/>
        <v/>
      </c>
      <c r="DN448" s="361" t="str">
        <f t="shared" ca="1" si="892"/>
        <v/>
      </c>
      <c r="DO448" s="362" t="str">
        <f t="shared" ca="1" si="893"/>
        <v/>
      </c>
      <c r="DP448" s="379" t="str">
        <f t="shared" ca="1" si="895"/>
        <v/>
      </c>
      <c r="DQ448" s="302"/>
      <c r="DR448" s="364"/>
      <c r="DS448" s="302"/>
      <c r="DU448" s="424"/>
      <c r="DV448" s="424"/>
      <c r="DW448" s="424"/>
      <c r="DX448" s="424"/>
      <c r="DY448" s="424"/>
      <c r="DZ448" s="424"/>
      <c r="EA448" s="424"/>
      <c r="EB448" s="424"/>
      <c r="EC448" s="424"/>
      <c r="ED448" s="424"/>
      <c r="EE448" s="424"/>
      <c r="EF448" s="424"/>
      <c r="EG448" s="424"/>
      <c r="EH448" s="424"/>
      <c r="EI448" s="424"/>
      <c r="EJ448" s="424"/>
      <c r="EK448" s="424"/>
      <c r="EL448" s="424"/>
      <c r="EM448" s="424"/>
      <c r="EN448" s="424"/>
      <c r="EO448" s="424"/>
      <c r="EP448" s="424"/>
      <c r="EQ448" s="424"/>
      <c r="ER448" s="424"/>
      <c r="ES448" s="424"/>
      <c r="ET448" s="424"/>
      <c r="EU448" s="424"/>
      <c r="EV448" s="424"/>
      <c r="EW448" s="424"/>
      <c r="EX448" s="424"/>
      <c r="EY448" s="424"/>
      <c r="EZ448" s="424"/>
      <c r="FA448" s="424"/>
      <c r="FB448" s="424"/>
      <c r="FC448" s="424"/>
      <c r="FD448" s="425"/>
      <c r="FE448" s="333"/>
    </row>
    <row r="449" spans="86:161" x14ac:dyDescent="0.25">
      <c r="CH449" s="350"/>
      <c r="CI449" s="350"/>
      <c r="CJ449" s="350"/>
      <c r="CK449" s="350"/>
      <c r="CL449" s="350"/>
      <c r="CM449" s="350"/>
      <c r="DG449" s="350"/>
      <c r="DH449" s="300"/>
      <c r="DI449" s="395" t="str">
        <f t="shared" ca="1" si="894"/>
        <v/>
      </c>
      <c r="DJ449" s="465" t="str">
        <f t="shared" ca="1" si="888"/>
        <v/>
      </c>
      <c r="DK449" s="360" t="str">
        <f t="shared" ca="1" si="889"/>
        <v/>
      </c>
      <c r="DL449" s="354" t="str">
        <f t="shared" ca="1" si="890"/>
        <v/>
      </c>
      <c r="DM449" s="354" t="str">
        <f t="shared" ca="1" si="891"/>
        <v/>
      </c>
      <c r="DN449" s="361" t="str">
        <f t="shared" ca="1" si="892"/>
        <v/>
      </c>
      <c r="DO449" s="362" t="str">
        <f t="shared" ca="1" si="893"/>
        <v/>
      </c>
      <c r="DP449" s="379" t="str">
        <f t="shared" ca="1" si="895"/>
        <v/>
      </c>
      <c r="DQ449" s="302"/>
      <c r="DR449" s="364"/>
      <c r="DS449" s="302"/>
      <c r="DU449" s="424"/>
      <c r="DV449" s="424"/>
      <c r="DW449" s="424"/>
      <c r="DX449" s="424"/>
      <c r="DY449" s="424"/>
      <c r="DZ449" s="424"/>
      <c r="EA449" s="424"/>
      <c r="EB449" s="424"/>
      <c r="EC449" s="424"/>
      <c r="ED449" s="424"/>
      <c r="EE449" s="424"/>
      <c r="EF449" s="424"/>
      <c r="EG449" s="424"/>
      <c r="EH449" s="424"/>
      <c r="EI449" s="424"/>
      <c r="EJ449" s="424"/>
      <c r="EK449" s="424"/>
      <c r="EL449" s="424"/>
      <c r="EM449" s="424"/>
      <c r="EN449" s="424"/>
      <c r="EO449" s="424"/>
      <c r="EP449" s="424"/>
      <c r="EQ449" s="424"/>
      <c r="ER449" s="424"/>
      <c r="ES449" s="424"/>
      <c r="ET449" s="424"/>
      <c r="EU449" s="424"/>
      <c r="EV449" s="424"/>
      <c r="EW449" s="424"/>
      <c r="EX449" s="424"/>
      <c r="EY449" s="424"/>
      <c r="EZ449" s="424"/>
      <c r="FA449" s="424"/>
      <c r="FB449" s="424"/>
      <c r="FC449" s="424"/>
      <c r="FD449" s="425"/>
      <c r="FE449" s="333"/>
    </row>
    <row r="450" spans="86:161" x14ac:dyDescent="0.25">
      <c r="CH450" s="350"/>
      <c r="CI450" s="350"/>
      <c r="CJ450" s="350"/>
      <c r="CK450" s="350"/>
      <c r="CL450" s="350"/>
      <c r="CM450" s="350"/>
      <c r="DG450" s="350"/>
      <c r="DH450" s="300"/>
      <c r="DI450" s="395" t="str">
        <f t="shared" ca="1" si="894"/>
        <v/>
      </c>
      <c r="DJ450" s="465" t="str">
        <f t="shared" ca="1" si="888"/>
        <v/>
      </c>
      <c r="DK450" s="360" t="str">
        <f t="shared" ca="1" si="889"/>
        <v/>
      </c>
      <c r="DL450" s="354" t="str">
        <f t="shared" ca="1" si="890"/>
        <v/>
      </c>
      <c r="DM450" s="354" t="str">
        <f t="shared" ca="1" si="891"/>
        <v/>
      </c>
      <c r="DN450" s="361" t="str">
        <f t="shared" ca="1" si="892"/>
        <v/>
      </c>
      <c r="DO450" s="362" t="str">
        <f t="shared" ca="1" si="893"/>
        <v/>
      </c>
      <c r="DP450" s="379" t="str">
        <f t="shared" ca="1" si="895"/>
        <v/>
      </c>
      <c r="DQ450" s="302"/>
      <c r="DR450" s="364"/>
      <c r="DS450" s="302"/>
      <c r="DU450" s="424"/>
      <c r="DV450" s="424"/>
      <c r="DW450" s="424"/>
      <c r="DX450" s="424"/>
      <c r="DY450" s="424"/>
      <c r="DZ450" s="424"/>
      <c r="EA450" s="424"/>
      <c r="EB450" s="424"/>
      <c r="EC450" s="424"/>
      <c r="ED450" s="424"/>
      <c r="EE450" s="424"/>
      <c r="EF450" s="424"/>
      <c r="EG450" s="424"/>
      <c r="EH450" s="424"/>
      <c r="EI450" s="424"/>
      <c r="EJ450" s="424"/>
      <c r="EK450" s="424"/>
      <c r="EL450" s="424"/>
      <c r="EM450" s="424"/>
      <c r="EN450" s="424"/>
      <c r="EO450" s="424"/>
      <c r="EP450" s="424"/>
      <c r="EQ450" s="424"/>
      <c r="ER450" s="424"/>
      <c r="ES450" s="424"/>
      <c r="ET450" s="424"/>
      <c r="EU450" s="424"/>
      <c r="EV450" s="424"/>
      <c r="EW450" s="424"/>
      <c r="EX450" s="424"/>
      <c r="EY450" s="424"/>
      <c r="EZ450" s="424"/>
      <c r="FA450" s="424"/>
      <c r="FB450" s="424"/>
      <c r="FC450" s="424"/>
      <c r="FD450" s="425"/>
      <c r="FE450" s="333"/>
    </row>
    <row r="451" spans="86:161" x14ac:dyDescent="0.25">
      <c r="CH451" s="350"/>
      <c r="CI451" s="350"/>
      <c r="CJ451" s="350"/>
      <c r="CK451" s="350"/>
      <c r="CL451" s="350"/>
      <c r="CM451" s="350"/>
      <c r="DG451" s="350"/>
      <c r="DH451" s="300"/>
      <c r="DI451" s="395" t="str">
        <f t="shared" ca="1" si="894"/>
        <v/>
      </c>
      <c r="DJ451" s="465" t="str">
        <f t="shared" ca="1" si="888"/>
        <v/>
      </c>
      <c r="DK451" s="360" t="str">
        <f t="shared" ca="1" si="889"/>
        <v/>
      </c>
      <c r="DL451" s="354" t="str">
        <f t="shared" ca="1" si="890"/>
        <v/>
      </c>
      <c r="DM451" s="354" t="str">
        <f t="shared" ca="1" si="891"/>
        <v/>
      </c>
      <c r="DN451" s="361" t="str">
        <f t="shared" ca="1" si="892"/>
        <v/>
      </c>
      <c r="DO451" s="362" t="str">
        <f t="shared" ca="1" si="893"/>
        <v/>
      </c>
      <c r="DP451" s="379" t="str">
        <f t="shared" ca="1" si="895"/>
        <v/>
      </c>
      <c r="DQ451" s="302"/>
      <c r="DR451" s="364"/>
      <c r="DS451" s="302"/>
      <c r="DU451" s="424"/>
      <c r="DV451" s="424"/>
      <c r="DW451" s="424"/>
      <c r="DX451" s="424"/>
      <c r="DY451" s="424"/>
      <c r="DZ451" s="424"/>
      <c r="EA451" s="424"/>
      <c r="EB451" s="424"/>
      <c r="EC451" s="424"/>
      <c r="ED451" s="424"/>
      <c r="EE451" s="424"/>
      <c r="EF451" s="424"/>
      <c r="EG451" s="424"/>
      <c r="EH451" s="424"/>
      <c r="EI451" s="424"/>
      <c r="EJ451" s="424"/>
      <c r="EK451" s="424"/>
      <c r="EL451" s="424"/>
      <c r="EM451" s="424"/>
      <c r="EN451" s="424"/>
      <c r="EO451" s="424"/>
      <c r="EP451" s="424"/>
      <c r="EQ451" s="424"/>
      <c r="ER451" s="424"/>
      <c r="ES451" s="424"/>
      <c r="ET451" s="424"/>
      <c r="EU451" s="424"/>
      <c r="EV451" s="424"/>
      <c r="EW451" s="424"/>
      <c r="EX451" s="424"/>
      <c r="EY451" s="424"/>
      <c r="EZ451" s="424"/>
      <c r="FA451" s="424"/>
      <c r="FB451" s="424"/>
      <c r="FC451" s="424"/>
      <c r="FD451" s="425"/>
      <c r="FE451" s="333"/>
    </row>
    <row r="452" spans="86:161" x14ac:dyDescent="0.25">
      <c r="CH452" s="350"/>
      <c r="CI452" s="350"/>
      <c r="CJ452" s="350"/>
      <c r="CK452" s="350"/>
      <c r="CL452" s="350"/>
      <c r="CM452" s="350"/>
      <c r="DG452" s="350"/>
      <c r="DH452" s="445"/>
      <c r="DI452" s="301"/>
      <c r="DJ452" s="302"/>
      <c r="DK452" s="302"/>
      <c r="DL452" s="302"/>
      <c r="DM452" s="302"/>
      <c r="DN452" s="302"/>
      <c r="DO452" s="302"/>
      <c r="DP452" s="302"/>
      <c r="DQ452" s="302"/>
      <c r="DR452" s="446" t="s">
        <v>151</v>
      </c>
      <c r="DS452" s="302"/>
      <c r="DU452" s="424"/>
      <c r="DV452" s="424"/>
      <c r="DW452" s="424"/>
      <c r="DX452" s="424"/>
      <c r="DY452" s="424"/>
      <c r="DZ452" s="424"/>
      <c r="EA452" s="424"/>
      <c r="EB452" s="424"/>
      <c r="EC452" s="424"/>
      <c r="ED452" s="424"/>
      <c r="EE452" s="424"/>
      <c r="EF452" s="424"/>
      <c r="EG452" s="424"/>
      <c r="EH452" s="424"/>
      <c r="EI452" s="424"/>
      <c r="EJ452" s="424"/>
      <c r="EK452" s="424"/>
      <c r="EL452" s="424"/>
      <c r="EM452" s="424"/>
      <c r="EN452" s="424"/>
      <c r="EO452" s="424"/>
      <c r="EP452" s="424"/>
      <c r="EQ452" s="424"/>
      <c r="ER452" s="424"/>
      <c r="ES452" s="424"/>
      <c r="ET452" s="424"/>
      <c r="EU452" s="424"/>
      <c r="EV452" s="424"/>
      <c r="EW452" s="424"/>
      <c r="EX452" s="424"/>
      <c r="EY452" s="424"/>
      <c r="EZ452" s="424"/>
      <c r="FA452" s="424"/>
      <c r="FB452" s="424"/>
      <c r="FC452" s="424"/>
      <c r="FD452" s="425"/>
      <c r="FE452" s="333"/>
    </row>
    <row r="453" spans="86:161" x14ac:dyDescent="0.25">
      <c r="CH453" s="350"/>
      <c r="CI453" s="350"/>
      <c r="CJ453" s="350"/>
      <c r="CK453" s="350"/>
      <c r="CL453" s="350"/>
      <c r="CM453" s="350"/>
      <c r="DG453" s="350"/>
      <c r="DH453" s="445"/>
      <c r="DI453" s="301"/>
      <c r="DJ453" s="302"/>
      <c r="DK453" s="302"/>
      <c r="DL453" s="302"/>
      <c r="DM453" s="302"/>
      <c r="DN453" s="302"/>
      <c r="DO453" s="302"/>
      <c r="DP453" s="447"/>
      <c r="DQ453" s="302"/>
      <c r="DR453" s="448" t="s">
        <v>215</v>
      </c>
      <c r="DS453" s="302"/>
      <c r="DU453" s="424"/>
      <c r="DV453" s="424"/>
      <c r="DW453" s="424"/>
      <c r="DX453" s="424"/>
      <c r="DY453" s="424"/>
      <c r="DZ453" s="424"/>
      <c r="EA453" s="424"/>
      <c r="EB453" s="424"/>
      <c r="EC453" s="424"/>
      <c r="ED453" s="424"/>
      <c r="EE453" s="424"/>
      <c r="EF453" s="424"/>
      <c r="EG453" s="424"/>
      <c r="EH453" s="424"/>
      <c r="EI453" s="424"/>
      <c r="EJ453" s="424"/>
      <c r="EK453" s="424"/>
      <c r="EL453" s="424"/>
      <c r="EM453" s="424"/>
      <c r="EN453" s="424"/>
      <c r="EO453" s="424"/>
      <c r="EP453" s="424"/>
      <c r="EQ453" s="424"/>
      <c r="ER453" s="424"/>
      <c r="ES453" s="424"/>
      <c r="ET453" s="424"/>
      <c r="EU453" s="424"/>
      <c r="EV453" s="424"/>
      <c r="EW453" s="424"/>
      <c r="EX453" s="424"/>
      <c r="EY453" s="424"/>
      <c r="EZ453" s="424"/>
      <c r="FA453" s="424"/>
      <c r="FB453" s="424"/>
      <c r="FC453" s="424"/>
      <c r="FD453" s="425"/>
      <c r="FE453" s="333"/>
    </row>
    <row r="454" spans="86:161" x14ac:dyDescent="0.25">
      <c r="CH454" s="350"/>
      <c r="CI454" s="350"/>
      <c r="CJ454" s="350"/>
      <c r="CK454" s="350"/>
      <c r="CL454" s="350"/>
      <c r="CM454" s="350"/>
      <c r="DG454" s="350"/>
      <c r="DH454" s="300"/>
      <c r="DI454" s="323" t="b">
        <f ca="1">OR(NOT($AJ$44),COUNTIF(DN454:DN509,"")=49-(DP454-1)*DP454,COUNTIF(DN454:DN509,"")=49-(DP454-1)*DP454/2)</f>
        <v>1</v>
      </c>
      <c r="DJ454" s="458" t="s">
        <v>157</v>
      </c>
      <c r="DK454" s="458" t="s">
        <v>158</v>
      </c>
      <c r="DL454" s="459" t="s">
        <v>159</v>
      </c>
      <c r="DM454" s="459"/>
      <c r="DN454" s="460" t="s">
        <v>160</v>
      </c>
      <c r="DO454" s="459" t="s">
        <v>135</v>
      </c>
      <c r="DP454" s="323">
        <f ca="1">COUNT(CT343:CT349)</f>
        <v>2</v>
      </c>
      <c r="DQ454" s="302"/>
      <c r="DR454" s="364"/>
      <c r="DS454" s="302"/>
      <c r="DU454" s="424"/>
      <c r="DV454" s="329" t="s">
        <v>223</v>
      </c>
      <c r="DW454" s="329" t="s">
        <v>224</v>
      </c>
      <c r="DX454" s="329" t="s">
        <v>152</v>
      </c>
      <c r="DZ454" s="329" t="s">
        <v>154</v>
      </c>
      <c r="EA454" s="329" t="s">
        <v>155</v>
      </c>
      <c r="EC454" s="329" t="s">
        <v>226</v>
      </c>
      <c r="EE454" s="329" t="s">
        <v>227</v>
      </c>
      <c r="EI454" s="329" t="s">
        <v>228</v>
      </c>
      <c r="EJ454" s="329" t="s">
        <v>156</v>
      </c>
      <c r="EK454" s="329" t="s">
        <v>208</v>
      </c>
      <c r="EM454" s="329" t="s">
        <v>212</v>
      </c>
      <c r="EN454" s="330" t="s">
        <v>227</v>
      </c>
      <c r="EO454" s="329" t="s">
        <v>225</v>
      </c>
      <c r="EP454" s="328"/>
      <c r="EQ454" s="328"/>
      <c r="ER454" s="328"/>
      <c r="ES454" s="331" t="str">
        <f ca="1">IF(ER455=0,"xxx",VLOOKUP(ER455,EM455:EP461,IF($AJ$54,2,3),FALSE))</f>
        <v>xxx</v>
      </c>
      <c r="ET454" s="328"/>
      <c r="EU454" s="328"/>
      <c r="EV454" s="331" t="str">
        <f ca="1">IF(ER456=0,"xxx",VLOOKUP(ER456,EM455:EP461,IF($AJ$54,2,3),FALSE))</f>
        <v>xxx</v>
      </c>
      <c r="EW454" s="328"/>
      <c r="EX454" s="328"/>
      <c r="EY454" s="331" t="str">
        <f ca="1">IF(ER457=0,"xxx",VLOOKUP(ER457,EM455:EP461,IF($AJ$54,2,3),FALSE))</f>
        <v>xxx</v>
      </c>
      <c r="EZ454" s="328"/>
      <c r="FA454" s="328"/>
      <c r="FB454" s="424"/>
      <c r="FC454" s="424"/>
      <c r="FD454" s="425"/>
      <c r="FE454" s="333"/>
    </row>
    <row r="455" spans="86:161" x14ac:dyDescent="0.25">
      <c r="CH455" s="350"/>
      <c r="CI455" s="350"/>
      <c r="CJ455" s="350"/>
      <c r="CK455" s="350"/>
      <c r="CL455" s="350"/>
      <c r="CM455" s="350"/>
      <c r="DG455" s="350"/>
      <c r="DH455" s="300"/>
      <c r="DI455" s="464" t="str">
        <f t="shared" ref="DI455:DI461" ca="1" si="896">IF(CT343="","",VLOOKUP(CT343,xxx.av1,7,FALSE))</f>
        <v>Hercules-Ludovika</v>
      </c>
      <c r="DJ455" s="465" t="str">
        <f t="shared" ref="DJ455:DJ461" ca="1" si="897">IF(OR(DI455="",DP455="",DI455=DP455,COUNTIF(games.av,DI455&amp;DP455)=0),"",CONCATENATE(DI455,DP455))</f>
        <v/>
      </c>
      <c r="DK455" s="360" t="str">
        <f t="shared" ref="DK455:DK461" ca="1" si="898">IF($DJ455="","",CONCATENATE(VLOOKUP($DJ455,games.a,9,FALSE),VLOOKUP($DJ455,games.a,12,FALSE)))</f>
        <v/>
      </c>
      <c r="DL455" s="354" t="str">
        <f t="shared" ref="DL455:DL461" ca="1" si="899">IF($DJ455="","",VLOOKUP($DJ455,games.a,10,FALSE))</f>
        <v/>
      </c>
      <c r="DM455" s="354" t="str">
        <f t="shared" ref="DM455:DM461" ca="1" si="900">IF($DJ455="","",VLOOKUP($DJ455,games.a,13,FALSE))</f>
        <v/>
      </c>
      <c r="DN455" s="361" t="str">
        <f t="shared" ref="DN455:DN461" ca="1" si="901">IF($DJ455="","",VLOOKUP($DJ455,games.a,6,FALSE))</f>
        <v/>
      </c>
      <c r="DO455" s="362" t="str">
        <f t="shared" ref="DO455:DO461" ca="1" si="902">IF($DJ455="","",VLOOKUP($DJ455,games.a,7,FALSE))</f>
        <v/>
      </c>
      <c r="DP455" s="466" t="str">
        <f ca="1">DI455</f>
        <v>Hercules-Ludovika</v>
      </c>
      <c r="DQ455" s="302"/>
      <c r="DR455" s="364"/>
      <c r="DS455" s="302"/>
      <c r="DU455" s="424"/>
      <c r="DV455" s="366" t="str">
        <f ca="1">IF(AND($AJ$44,DI454,DP454&lt;&gt;2),DI455,"")</f>
        <v/>
      </c>
      <c r="DW455" s="366">
        <f t="shared" ref="DW455:DW461" ca="1" si="903">IF(DV455="",-1,COUNTIF(xxgy.av,DV455))</f>
        <v>-1</v>
      </c>
      <c r="DX455" s="366">
        <f t="shared" ref="DX455:DX461" ca="1" si="904">IF($DV455="",0,COUNTIF(yygy.av,$DV455))</f>
        <v>0</v>
      </c>
      <c r="DZ455" s="366">
        <f t="shared" ref="DZ455:DZ461" ca="1" si="905">IF($DV455="",0,1)*(SUMIF(yyo.av,$DV455,yyl.av)+SUMIF(yyi.av,$DV455,yyk.av))</f>
        <v>0</v>
      </c>
      <c r="EA455" s="366">
        <f t="shared" ref="EA455:EA461" ca="1" si="906">IF($DV455="",0,1)*(SUMIF(yyo.av,$DV455,yyk.av)+SUMIF(yyi.av,$DV455,yyl.av))</f>
        <v>0</v>
      </c>
      <c r="EC455" s="366">
        <f ca="1">IF(EA455=0,0,DZ455/EA455)</f>
        <v>0</v>
      </c>
      <c r="EE455" s="366">
        <f t="shared" ref="EE455:EE461" ca="1" si="907">DW455*1000000+DX455*1000+EC455</f>
        <v>-1000000</v>
      </c>
      <c r="EI455" s="366">
        <f t="shared" ref="EI455:EI461" ca="1" si="908">IF(OR(ISERR(EE455),ISNA(EE455),DW455&lt;0),0,EE455)</f>
        <v>0</v>
      </c>
      <c r="EJ455" s="366">
        <f ca="1">IF(EI455=0,0,RANK(EI455,EI455:EI461,1))</f>
        <v>0</v>
      </c>
      <c r="EK455" s="366">
        <f t="shared" ref="EK455:EK461" ca="1" si="909">EJ455*40000*IF(COUNTIF($FC$343:$FC$366,DV455)&gt;0,0,1)</f>
        <v>0</v>
      </c>
      <c r="EM455" s="367">
        <f ca="1">IF($AJ$54,COUNTIF(EE463:EE469,EN455)*IF(EN455=0,0,1),COUNTIF(DW455:DW461,EO455)*IF(EO455&lt;0,0,1))+EP455/1000</f>
        <v>1E-3</v>
      </c>
      <c r="EN455" s="368">
        <v>0</v>
      </c>
      <c r="EO455" s="369">
        <f ca="1">LARGE(DW455:DW461,EP455)</f>
        <v>-1</v>
      </c>
      <c r="EP455" s="369">
        <v>1</v>
      </c>
      <c r="EQ455" s="365"/>
      <c r="ER455" s="370">
        <f ca="1">IF(LARGE(EM455:EM461,EP455)&lt;1,0,LARGE(EM455:EM461,EP455))</f>
        <v>0</v>
      </c>
      <c r="ES455" s="371" t="str">
        <f ca="1">IF(DW455=ES454,DV455,IF(EE463=ES454,DV463,""))</f>
        <v/>
      </c>
      <c r="ET455" s="369" t="str">
        <f t="shared" ref="ET455:ET461" ca="1" si="910">IF(ES455="","",EP455)</f>
        <v/>
      </c>
      <c r="EU455" s="372" t="str">
        <f ca="1">IF(ISERR(LARGE(ET455:ET461,EP455)),"",LARGE(ET455:ET461,EP455))</f>
        <v/>
      </c>
      <c r="EV455" s="371" t="str">
        <f ca="1">IF(DW455=EV454,DV455,IF(EE463=EV454,DV463,""))</f>
        <v/>
      </c>
      <c r="EW455" s="369" t="str">
        <f t="shared" ref="EW455:EW461" ca="1" si="911">IF(EV455="","",EP455)</f>
        <v/>
      </c>
      <c r="EX455" s="372" t="str">
        <f ca="1">IF(ISERR(LARGE(EW455:EW461,EP455)),"",LARGE(EW455:EW461,EP455))</f>
        <v/>
      </c>
      <c r="EY455" s="371" t="str">
        <f ca="1">IF(DW455=EY454,DV455,IF(EE463=EY454,DV463,""))</f>
        <v/>
      </c>
      <c r="EZ455" s="369" t="str">
        <f t="shared" ref="EZ455:EZ461" ca="1" si="912">IF(EY455="","",EP455)</f>
        <v/>
      </c>
      <c r="FA455" s="372" t="str">
        <f ca="1">IF(ISERR(LARGE(EZ455:EZ461,EP455)),"",LARGE(EZ455:EZ461,EP455))</f>
        <v/>
      </c>
      <c r="FB455" s="424"/>
      <c r="FC455" s="424"/>
      <c r="FD455" s="425"/>
      <c r="FE455" s="333"/>
    </row>
    <row r="456" spans="86:161" x14ac:dyDescent="0.25">
      <c r="CH456" s="350"/>
      <c r="CI456" s="350"/>
      <c r="CJ456" s="350"/>
      <c r="CK456" s="350"/>
      <c r="CL456" s="350"/>
      <c r="CM456" s="350"/>
      <c r="DG456" s="350"/>
      <c r="DH456" s="300"/>
      <c r="DI456" s="464" t="str">
        <f t="shared" ca="1" si="896"/>
        <v>Élelmesek</v>
      </c>
      <c r="DJ456" s="465" t="str">
        <f t="shared" ca="1" si="897"/>
        <v>ÉlelmesekHercules-Ludovika</v>
      </c>
      <c r="DK456" s="360" t="str">
        <f t="shared" ca="1" si="898"/>
        <v/>
      </c>
      <c r="DL456" s="354" t="str">
        <f t="shared" ca="1" si="899"/>
        <v>Élelmesek</v>
      </c>
      <c r="DM456" s="354" t="str">
        <f t="shared" ca="1" si="900"/>
        <v>Hercules-Ludovika</v>
      </c>
      <c r="DN456" s="361">
        <f t="shared" ca="1" si="901"/>
        <v>1</v>
      </c>
      <c r="DO456" s="362">
        <f t="shared" ca="1" si="902"/>
        <v>1</v>
      </c>
      <c r="DP456" s="379" t="str">
        <f t="shared" ref="DP456:DP461" ca="1" si="913">DP455</f>
        <v>Hercules-Ludovika</v>
      </c>
      <c r="DQ456" s="302"/>
      <c r="DR456" s="364"/>
      <c r="DS456" s="302"/>
      <c r="DU456" s="424"/>
      <c r="DV456" s="366" t="str">
        <f ca="1">IF(AND($AJ$44,DI454,DP454&lt;&gt;2),DI456,"")</f>
        <v/>
      </c>
      <c r="DW456" s="366">
        <f t="shared" ca="1" si="903"/>
        <v>-1</v>
      </c>
      <c r="DX456" s="366">
        <f t="shared" ca="1" si="904"/>
        <v>0</v>
      </c>
      <c r="DZ456" s="366">
        <f t="shared" ca="1" si="905"/>
        <v>0</v>
      </c>
      <c r="EA456" s="366">
        <f t="shared" ca="1" si="906"/>
        <v>0</v>
      </c>
      <c r="EC456" s="366">
        <f t="shared" ref="EC456:EC461" ca="1" si="914">IF(EA456=0,0,DZ456/EA456)</f>
        <v>0</v>
      </c>
      <c r="EE456" s="366">
        <f t="shared" ca="1" si="907"/>
        <v>-1000000</v>
      </c>
      <c r="EI456" s="366">
        <f t="shared" ca="1" si="908"/>
        <v>0</v>
      </c>
      <c r="EJ456" s="366">
        <f ca="1">IF(EI456=0,0,RANK(EI456,EI455:EI461,1))</f>
        <v>0</v>
      </c>
      <c r="EK456" s="366">
        <f t="shared" ca="1" si="909"/>
        <v>0</v>
      </c>
      <c r="EM456" s="367">
        <f ca="1">IF($AJ$54,COUNTIF(EE463:EE469,EN455)*IF(OR(EN456=0,EN456=EN455),0,1),COUNTIF(DW455:DW461,EO456)*IF(OR(EO456=EO455,EO456&lt;0),0,1))+EP456/1000</f>
        <v>2E-3</v>
      </c>
      <c r="EN456" s="368">
        <v>0</v>
      </c>
      <c r="EO456" s="369">
        <f ca="1">LARGE(DW455:DW461,EP456)</f>
        <v>-1</v>
      </c>
      <c r="EP456" s="369">
        <v>2</v>
      </c>
      <c r="EQ456" s="365"/>
      <c r="ER456" s="370">
        <f ca="1">IF(LARGE(EM455:EM461,EP456)&lt;1,0,LARGE(EM455:EM461,EP456))</f>
        <v>0</v>
      </c>
      <c r="ES456" s="371" t="str">
        <f ca="1">IF(DW456=ES454,DV456,IF(EE464=ES454,DV464,""))</f>
        <v/>
      </c>
      <c r="ET456" s="369" t="str">
        <f t="shared" ca="1" si="910"/>
        <v/>
      </c>
      <c r="EU456" s="372" t="str">
        <f ca="1">IF(ISERR(LARGE(ET455:ET461,EP456)),"",LARGE(ET455:ET461,EP456))</f>
        <v/>
      </c>
      <c r="EV456" s="371" t="str">
        <f ca="1">IF(DW456=EV454,DV456,IF(EE464=EV454,DV464,""))</f>
        <v/>
      </c>
      <c r="EW456" s="369" t="str">
        <f t="shared" ca="1" si="911"/>
        <v/>
      </c>
      <c r="EX456" s="388" t="str">
        <f ca="1">IF(ISERR(LARGE(EW455:EW461,EP456)),"",LARGE(EW455:EW461,EP456))</f>
        <v/>
      </c>
      <c r="EY456" s="371" t="str">
        <f ca="1">IF(DW456=EY454,DV456,IF(EE464=EY454,DV464,""))</f>
        <v/>
      </c>
      <c r="EZ456" s="369" t="str">
        <f t="shared" ca="1" si="912"/>
        <v/>
      </c>
      <c r="FA456" s="388" t="str">
        <f ca="1">IF(ISERR(LARGE(EZ455:EZ461,EP456)),"",LARGE(EZ455:EZ461,EP456))</f>
        <v/>
      </c>
      <c r="FB456" s="424"/>
      <c r="FC456" s="424"/>
      <c r="FD456" s="425"/>
      <c r="FE456" s="333"/>
    </row>
    <row r="457" spans="86:161" x14ac:dyDescent="0.25">
      <c r="CH457" s="350"/>
      <c r="CI457" s="350"/>
      <c r="CJ457" s="350"/>
      <c r="CK457" s="350"/>
      <c r="CL457" s="350"/>
      <c r="CM457" s="350"/>
      <c r="DG457" s="350"/>
      <c r="DH457" s="300"/>
      <c r="DI457" s="464" t="str">
        <f t="shared" ca="1" si="896"/>
        <v/>
      </c>
      <c r="DJ457" s="465" t="str">
        <f t="shared" ca="1" si="897"/>
        <v/>
      </c>
      <c r="DK457" s="360" t="str">
        <f t="shared" ca="1" si="898"/>
        <v/>
      </c>
      <c r="DL457" s="354" t="str">
        <f t="shared" ca="1" si="899"/>
        <v/>
      </c>
      <c r="DM457" s="354" t="str">
        <f t="shared" ca="1" si="900"/>
        <v/>
      </c>
      <c r="DN457" s="361" t="str">
        <f t="shared" ca="1" si="901"/>
        <v/>
      </c>
      <c r="DO457" s="362" t="str">
        <f t="shared" ca="1" si="902"/>
        <v/>
      </c>
      <c r="DP457" s="379" t="str">
        <f t="shared" ca="1" si="913"/>
        <v>Hercules-Ludovika</v>
      </c>
      <c r="DQ457" s="302"/>
      <c r="DR457" s="364"/>
      <c r="DS457" s="302"/>
      <c r="DU457" s="424"/>
      <c r="DV457" s="366" t="str">
        <f ca="1">IF(AND($AJ$44,DI454,DP454&lt;&gt;2),DI457,"")</f>
        <v/>
      </c>
      <c r="DW457" s="366">
        <f t="shared" ca="1" si="903"/>
        <v>-1</v>
      </c>
      <c r="DX457" s="366">
        <f t="shared" ca="1" si="904"/>
        <v>0</v>
      </c>
      <c r="DZ457" s="366">
        <f t="shared" ca="1" si="905"/>
        <v>0</v>
      </c>
      <c r="EA457" s="366">
        <f t="shared" ca="1" si="906"/>
        <v>0</v>
      </c>
      <c r="EC457" s="366">
        <f t="shared" ca="1" si="914"/>
        <v>0</v>
      </c>
      <c r="EE457" s="366">
        <f t="shared" ca="1" si="907"/>
        <v>-1000000</v>
      </c>
      <c r="EI457" s="366">
        <f t="shared" ca="1" si="908"/>
        <v>0</v>
      </c>
      <c r="EJ457" s="366">
        <f ca="1">IF(EI457=0,0,RANK(EI457,EI455:EI461,1))</f>
        <v>0</v>
      </c>
      <c r="EK457" s="366">
        <f t="shared" ca="1" si="909"/>
        <v>0</v>
      </c>
      <c r="EL457" s="365"/>
      <c r="EM457" s="367">
        <f ca="1">IF($AJ$54,COUNTIF(EE463:EE469,EN456)*IF(OR(EN457=0,EN457=EN456),0,1),COUNTIF(DW455:DW461,EO457)*IF(OR(EO457=EO456,EO457&lt;0),0,1))+EP457/1000</f>
        <v>3.0000000000000001E-3</v>
      </c>
      <c r="EN457" s="368">
        <v>0</v>
      </c>
      <c r="EO457" s="369">
        <f ca="1">LARGE(DW455:DW461,EP457)</f>
        <v>-1</v>
      </c>
      <c r="EP457" s="369">
        <v>3</v>
      </c>
      <c r="EQ457" s="365"/>
      <c r="ER457" s="370">
        <f ca="1">IF(LARGE(EM455:EM461,EP457)&lt;1,0,LARGE(EM455:EM461,EP457))</f>
        <v>0</v>
      </c>
      <c r="ES457" s="371" t="str">
        <f ca="1">IF(DW457=ES454,DV457,IF(EE465=ES454,DV465,""))</f>
        <v/>
      </c>
      <c r="ET457" s="369" t="str">
        <f t="shared" ca="1" si="910"/>
        <v/>
      </c>
      <c r="EU457" s="372" t="str">
        <f ca="1">IF(ISERR(LARGE(ET455:ET461,EP457)),"",LARGE(ET455:ET461,EP457))</f>
        <v/>
      </c>
      <c r="EV457" s="371" t="str">
        <f ca="1">IF(DW457=EV454,DV457,IF(EE465=EV454,DV465,""))</f>
        <v/>
      </c>
      <c r="EW457" s="369" t="str">
        <f t="shared" ca="1" si="911"/>
        <v/>
      </c>
      <c r="EX457" s="386"/>
      <c r="EY457" s="371" t="str">
        <f ca="1">IF(DW457=EY454,DV457,IF(EE465=EY454,DV465,""))</f>
        <v/>
      </c>
      <c r="EZ457" s="369" t="str">
        <f t="shared" ca="1" si="912"/>
        <v/>
      </c>
      <c r="FA457" s="386"/>
      <c r="FB457" s="424"/>
      <c r="FC457" s="424"/>
      <c r="FD457" s="425"/>
      <c r="FE457" s="333"/>
    </row>
    <row r="458" spans="86:161" x14ac:dyDescent="0.25">
      <c r="CH458" s="445"/>
      <c r="CI458" s="350"/>
      <c r="CJ458" s="350"/>
      <c r="CK458" s="350"/>
      <c r="CL458" s="350"/>
      <c r="CM458" s="445"/>
      <c r="DG458" s="445"/>
      <c r="DH458" s="300"/>
      <c r="DI458" s="464" t="str">
        <f t="shared" ca="1" si="896"/>
        <v/>
      </c>
      <c r="DJ458" s="465" t="str">
        <f t="shared" ca="1" si="897"/>
        <v/>
      </c>
      <c r="DK458" s="360" t="str">
        <f t="shared" ca="1" si="898"/>
        <v/>
      </c>
      <c r="DL458" s="354" t="str">
        <f t="shared" ca="1" si="899"/>
        <v/>
      </c>
      <c r="DM458" s="354" t="str">
        <f t="shared" ca="1" si="900"/>
        <v/>
      </c>
      <c r="DN458" s="361" t="str">
        <f t="shared" ca="1" si="901"/>
        <v/>
      </c>
      <c r="DO458" s="362" t="str">
        <f t="shared" ca="1" si="902"/>
        <v/>
      </c>
      <c r="DP458" s="379" t="str">
        <f t="shared" ca="1" si="913"/>
        <v>Hercules-Ludovika</v>
      </c>
      <c r="DQ458" s="302"/>
      <c r="DR458" s="364"/>
      <c r="DS458" s="302"/>
      <c r="DU458" s="424"/>
      <c r="DV458" s="366" t="str">
        <f ca="1">IF(AND($AJ$44,DI454,DP454&lt;&gt;2),DI458,"")</f>
        <v/>
      </c>
      <c r="DW458" s="366">
        <f t="shared" ca="1" si="903"/>
        <v>-1</v>
      </c>
      <c r="DX458" s="366">
        <f t="shared" ca="1" si="904"/>
        <v>0</v>
      </c>
      <c r="DZ458" s="366">
        <f t="shared" ca="1" si="905"/>
        <v>0</v>
      </c>
      <c r="EA458" s="366">
        <f t="shared" ca="1" si="906"/>
        <v>0</v>
      </c>
      <c r="EC458" s="366">
        <f t="shared" ca="1" si="914"/>
        <v>0</v>
      </c>
      <c r="EE458" s="366">
        <f t="shared" ca="1" si="907"/>
        <v>-1000000</v>
      </c>
      <c r="EI458" s="366">
        <f t="shared" ca="1" si="908"/>
        <v>0</v>
      </c>
      <c r="EJ458" s="366">
        <f ca="1">IF(EI458=0,0,RANK(EI458,EI455:EI461,1))</f>
        <v>0</v>
      </c>
      <c r="EK458" s="366">
        <f t="shared" ca="1" si="909"/>
        <v>0</v>
      </c>
      <c r="EL458" s="365"/>
      <c r="EM458" s="367">
        <f ca="1">IF($AJ$54,COUNTIF(EE463:EE469,EN457)*IF(OR(EN458=0,EN458=EN457),0,1),COUNTIF(DW455:DW461,EO458)*IF(OR(EO458=EO457,EO458&lt;0),0,1))+EP458/1000</f>
        <v>4.0000000000000001E-3</v>
      </c>
      <c r="EN458" s="368">
        <v>0</v>
      </c>
      <c r="EO458" s="369">
        <f ca="1">LARGE(DW455:DW461,EP458)</f>
        <v>-1</v>
      </c>
      <c r="EP458" s="369">
        <v>4</v>
      </c>
      <c r="EQ458" s="365"/>
      <c r="ER458" s="365"/>
      <c r="ES458" s="371" t="str">
        <f ca="1">IF(DW458=ES454,DV458,IF(EE466=ES454,DV466,""))</f>
        <v/>
      </c>
      <c r="ET458" s="369" t="str">
        <f t="shared" ca="1" si="910"/>
        <v/>
      </c>
      <c r="EU458" s="372" t="str">
        <f ca="1">IF(ISERR(LARGE(ET455:ET461,EP458)),"",LARGE(ET455:ET461,EP458))</f>
        <v/>
      </c>
      <c r="EV458" s="371" t="str">
        <f ca="1">IF(DW458=EV454,DV458,IF(EE466=EV454,DV466,""))</f>
        <v/>
      </c>
      <c r="EW458" s="369" t="str">
        <f t="shared" ca="1" si="911"/>
        <v/>
      </c>
      <c r="EX458" s="386"/>
      <c r="EY458" s="371" t="str">
        <f ca="1">IF(DW458=EY454,DV458,IF(EE466=EY454,DV466,""))</f>
        <v/>
      </c>
      <c r="EZ458" s="369" t="str">
        <f t="shared" ca="1" si="912"/>
        <v/>
      </c>
      <c r="FA458" s="386"/>
      <c r="FB458" s="424"/>
      <c r="FC458" s="424"/>
      <c r="FD458" s="425"/>
      <c r="FE458" s="333"/>
    </row>
    <row r="459" spans="86:161" x14ac:dyDescent="0.25">
      <c r="CH459" s="445"/>
      <c r="CI459" s="350"/>
      <c r="CJ459" s="350"/>
      <c r="CK459" s="350"/>
      <c r="CL459" s="350"/>
      <c r="CM459" s="445"/>
      <c r="DG459" s="445"/>
      <c r="DH459" s="300"/>
      <c r="DI459" s="464" t="str">
        <f t="shared" ca="1" si="896"/>
        <v/>
      </c>
      <c r="DJ459" s="465" t="str">
        <f t="shared" ca="1" si="897"/>
        <v/>
      </c>
      <c r="DK459" s="360" t="str">
        <f t="shared" ca="1" si="898"/>
        <v/>
      </c>
      <c r="DL459" s="354" t="str">
        <f t="shared" ca="1" si="899"/>
        <v/>
      </c>
      <c r="DM459" s="354" t="str">
        <f t="shared" ca="1" si="900"/>
        <v/>
      </c>
      <c r="DN459" s="361" t="str">
        <f t="shared" ca="1" si="901"/>
        <v/>
      </c>
      <c r="DO459" s="362" t="str">
        <f t="shared" ca="1" si="902"/>
        <v/>
      </c>
      <c r="DP459" s="379" t="str">
        <f t="shared" ca="1" si="913"/>
        <v>Hercules-Ludovika</v>
      </c>
      <c r="DQ459" s="302"/>
      <c r="DR459" s="364"/>
      <c r="DS459" s="302"/>
      <c r="DU459" s="424"/>
      <c r="DV459" s="366" t="str">
        <f ca="1">IF(AND($AJ$44,DI454,DP454&lt;&gt;2),DI459,"")</f>
        <v/>
      </c>
      <c r="DW459" s="366">
        <f t="shared" ca="1" si="903"/>
        <v>-1</v>
      </c>
      <c r="DX459" s="366">
        <f t="shared" ca="1" si="904"/>
        <v>0</v>
      </c>
      <c r="DZ459" s="366">
        <f t="shared" ca="1" si="905"/>
        <v>0</v>
      </c>
      <c r="EA459" s="366">
        <f t="shared" ca="1" si="906"/>
        <v>0</v>
      </c>
      <c r="EC459" s="366">
        <f t="shared" ca="1" si="914"/>
        <v>0</v>
      </c>
      <c r="EE459" s="366">
        <f t="shared" ca="1" si="907"/>
        <v>-1000000</v>
      </c>
      <c r="EI459" s="366">
        <f t="shared" ca="1" si="908"/>
        <v>0</v>
      </c>
      <c r="EJ459" s="366">
        <f ca="1">IF(EI459=0,0,RANK(EI459,EI455:EI461,1))</f>
        <v>0</v>
      </c>
      <c r="EK459" s="366">
        <f t="shared" ca="1" si="909"/>
        <v>0</v>
      </c>
      <c r="EL459" s="365"/>
      <c r="EM459" s="367">
        <f ca="1">IF($AJ$54,COUNTIF(EE463:EE469,EN458)*IF(OR(EN459=0,EN459=EN458),0,1),COUNTIF(DW455:DW461,EO459)*IF(OR(EO459=EO458,EO459&lt;0),0,1))+EP459/1000</f>
        <v>5.0000000000000001E-3</v>
      </c>
      <c r="EN459" s="368">
        <v>0</v>
      </c>
      <c r="EO459" s="369">
        <f ca="1">LARGE(DW455:DW461,EP459)</f>
        <v>-1</v>
      </c>
      <c r="EP459" s="369">
        <v>5</v>
      </c>
      <c r="EQ459" s="365"/>
      <c r="ER459" s="365"/>
      <c r="ES459" s="371" t="str">
        <f ca="1">IF(DW459=ES454,DV459,IF(EE467=ES454,DV467,""))</f>
        <v/>
      </c>
      <c r="ET459" s="369" t="str">
        <f t="shared" ca="1" si="910"/>
        <v/>
      </c>
      <c r="EU459" s="388" t="str">
        <f ca="1">IF(ISERR(LARGE(ET455:ET461,EP459)),"",LARGE(ET455:ET461,EP459))</f>
        <v/>
      </c>
      <c r="EV459" s="371" t="str">
        <f ca="1">IF(DW459=EV454,DV459,IF(EE467=EV454,DV467,""))</f>
        <v/>
      </c>
      <c r="EW459" s="369" t="str">
        <f t="shared" ca="1" si="911"/>
        <v/>
      </c>
      <c r="EX459" s="386"/>
      <c r="EY459" s="371" t="str">
        <f ca="1">IF(DW459=EY454,DV459,IF(EE467=EY454,DV467,""))</f>
        <v/>
      </c>
      <c r="EZ459" s="369" t="str">
        <f t="shared" ca="1" si="912"/>
        <v/>
      </c>
      <c r="FA459" s="386"/>
      <c r="FB459" s="424"/>
      <c r="FC459" s="424"/>
      <c r="FD459" s="425"/>
      <c r="FE459" s="333"/>
    </row>
    <row r="460" spans="86:161" x14ac:dyDescent="0.25">
      <c r="CH460" s="445"/>
      <c r="CI460" s="350"/>
      <c r="CJ460" s="350"/>
      <c r="CK460" s="350"/>
      <c r="CL460" s="350"/>
      <c r="CM460" s="445"/>
      <c r="DG460" s="445"/>
      <c r="DH460" s="300"/>
      <c r="DI460" s="464" t="str">
        <f t="shared" ca="1" si="896"/>
        <v/>
      </c>
      <c r="DJ460" s="465" t="str">
        <f t="shared" ca="1" si="897"/>
        <v/>
      </c>
      <c r="DK460" s="360" t="str">
        <f t="shared" ca="1" si="898"/>
        <v/>
      </c>
      <c r="DL460" s="354" t="str">
        <f t="shared" ca="1" si="899"/>
        <v/>
      </c>
      <c r="DM460" s="354" t="str">
        <f t="shared" ca="1" si="900"/>
        <v/>
      </c>
      <c r="DN460" s="361" t="str">
        <f t="shared" ca="1" si="901"/>
        <v/>
      </c>
      <c r="DO460" s="362" t="str">
        <f t="shared" ca="1" si="902"/>
        <v/>
      </c>
      <c r="DP460" s="379" t="str">
        <f t="shared" ca="1" si="913"/>
        <v>Hercules-Ludovika</v>
      </c>
      <c r="DQ460" s="302"/>
      <c r="DR460" s="364"/>
      <c r="DS460" s="302"/>
      <c r="DU460" s="424"/>
      <c r="DV460" s="366" t="str">
        <f ca="1">IF(AND($AJ$44,DI454,DP454&lt;&gt;2),DI460,"")</f>
        <v/>
      </c>
      <c r="DW460" s="366">
        <f t="shared" ca="1" si="903"/>
        <v>-1</v>
      </c>
      <c r="DX460" s="366">
        <f t="shared" ca="1" si="904"/>
        <v>0</v>
      </c>
      <c r="DZ460" s="366">
        <f t="shared" ca="1" si="905"/>
        <v>0</v>
      </c>
      <c r="EA460" s="366">
        <f t="shared" ca="1" si="906"/>
        <v>0</v>
      </c>
      <c r="EC460" s="366">
        <f t="shared" ca="1" si="914"/>
        <v>0</v>
      </c>
      <c r="EE460" s="366">
        <f t="shared" ca="1" si="907"/>
        <v>-1000000</v>
      </c>
      <c r="EI460" s="366">
        <f t="shared" ca="1" si="908"/>
        <v>0</v>
      </c>
      <c r="EJ460" s="366">
        <f ca="1">IF(EI460=0,0,RANK(EI460,EI455:EI461,1))</f>
        <v>0</v>
      </c>
      <c r="EK460" s="366">
        <f t="shared" ca="1" si="909"/>
        <v>0</v>
      </c>
      <c r="EL460" s="365"/>
      <c r="EM460" s="367">
        <f ca="1">IF($AJ$54,COUNTIF(EE463:EE469,EN459)*IF(OR(EN460=0,EN460=EN459),0,1),COUNTIF(DW455:DW461,EO460)*IF(OR(EO460=EO459,EO460&lt;0),0,1))+EP460/1000</f>
        <v>6.0000000000000001E-3</v>
      </c>
      <c r="EN460" s="368">
        <v>0</v>
      </c>
      <c r="EO460" s="369">
        <f ca="1">LARGE(DW455:DW461,EP460)</f>
        <v>-1</v>
      </c>
      <c r="EP460" s="369">
        <v>6</v>
      </c>
      <c r="EQ460" s="365"/>
      <c r="ER460" s="365"/>
      <c r="ES460" s="371" t="str">
        <f ca="1">IF(DW460=ES454,DV460,IF(EE468=ES454,DV468,""))</f>
        <v/>
      </c>
      <c r="ET460" s="369" t="str">
        <f t="shared" ca="1" si="910"/>
        <v/>
      </c>
      <c r="EU460" s="386"/>
      <c r="EV460" s="371" t="str">
        <f ca="1">IF(DW460=EV454,DV460,IF(EE468=EV454,DV468,""))</f>
        <v/>
      </c>
      <c r="EW460" s="369" t="str">
        <f t="shared" ca="1" si="911"/>
        <v/>
      </c>
      <c r="EX460" s="386"/>
      <c r="EY460" s="371" t="str">
        <f ca="1">IF(DW460=EY454,DV460,IF(EE468=EY454,DV468,""))</f>
        <v/>
      </c>
      <c r="EZ460" s="369" t="str">
        <f t="shared" ca="1" si="912"/>
        <v/>
      </c>
      <c r="FA460" s="386"/>
      <c r="FB460" s="424"/>
      <c r="FC460" s="424"/>
      <c r="FD460" s="425"/>
      <c r="FE460" s="333"/>
    </row>
    <row r="461" spans="86:161" x14ac:dyDescent="0.25">
      <c r="CH461" s="445"/>
      <c r="CI461" s="350"/>
      <c r="CJ461" s="350"/>
      <c r="CK461" s="350"/>
      <c r="CL461" s="350"/>
      <c r="CM461" s="445"/>
      <c r="DG461" s="445"/>
      <c r="DH461" s="300"/>
      <c r="DI461" s="464" t="str">
        <f t="shared" ca="1" si="896"/>
        <v/>
      </c>
      <c r="DJ461" s="465" t="str">
        <f t="shared" ca="1" si="897"/>
        <v/>
      </c>
      <c r="DK461" s="360" t="str">
        <f t="shared" ca="1" si="898"/>
        <v/>
      </c>
      <c r="DL461" s="354" t="str">
        <f t="shared" ca="1" si="899"/>
        <v/>
      </c>
      <c r="DM461" s="354" t="str">
        <f t="shared" ca="1" si="900"/>
        <v/>
      </c>
      <c r="DN461" s="361" t="str">
        <f t="shared" ca="1" si="901"/>
        <v/>
      </c>
      <c r="DO461" s="362" t="str">
        <f t="shared" ca="1" si="902"/>
        <v/>
      </c>
      <c r="DP461" s="379" t="str">
        <f t="shared" ca="1" si="913"/>
        <v>Hercules-Ludovika</v>
      </c>
      <c r="DQ461" s="302"/>
      <c r="DR461" s="364"/>
      <c r="DS461" s="302"/>
      <c r="DU461" s="424"/>
      <c r="DV461" s="366" t="str">
        <f ca="1">IF(AND($AJ$44,DI454,DP454&lt;&gt;2),DI461,"")</f>
        <v/>
      </c>
      <c r="DW461" s="366">
        <f t="shared" ca="1" si="903"/>
        <v>-1</v>
      </c>
      <c r="DX461" s="366">
        <f t="shared" ca="1" si="904"/>
        <v>0</v>
      </c>
      <c r="DZ461" s="366">
        <f t="shared" ca="1" si="905"/>
        <v>0</v>
      </c>
      <c r="EA461" s="366">
        <f t="shared" ca="1" si="906"/>
        <v>0</v>
      </c>
      <c r="EC461" s="366">
        <f t="shared" ca="1" si="914"/>
        <v>0</v>
      </c>
      <c r="EE461" s="366">
        <f t="shared" ca="1" si="907"/>
        <v>-1000000</v>
      </c>
      <c r="EI461" s="366">
        <f t="shared" ca="1" si="908"/>
        <v>0</v>
      </c>
      <c r="EJ461" s="366">
        <f ca="1">IF(EI461=0,0,RANK(EI461,EI455:EI461,1))</f>
        <v>0</v>
      </c>
      <c r="EK461" s="366">
        <f t="shared" ca="1" si="909"/>
        <v>0</v>
      </c>
      <c r="EL461" s="365"/>
      <c r="EM461" s="367">
        <f ca="1">IF($AJ$54,COUNTIF(EE463:EE469,EN460)*IF(OR(EN461=0,EN461=EN460),0,1),COUNTIF(DW455:DW461,EO461)*IF(OR(EO461=EO460,EO461&lt;0),0,1))+EP461/1000</f>
        <v>7.0000000000000001E-3</v>
      </c>
      <c r="EN461" s="368">
        <v>0</v>
      </c>
      <c r="EO461" s="369">
        <f ca="1">LARGE(DW455:DW461,EP461)</f>
        <v>-1</v>
      </c>
      <c r="EP461" s="369">
        <v>7</v>
      </c>
      <c r="EQ461" s="365"/>
      <c r="ER461" s="365"/>
      <c r="ES461" s="371" t="str">
        <f ca="1">IF(DW461=ES454,DV461,IF(EE469=ES454,DV469,""))</f>
        <v/>
      </c>
      <c r="ET461" s="369" t="str">
        <f t="shared" ca="1" si="910"/>
        <v/>
      </c>
      <c r="EU461" s="391"/>
      <c r="EV461" s="371" t="str">
        <f ca="1">IF(DW461=EV454,DV461,IF(EE469=EV454,DV469,""))</f>
        <v/>
      </c>
      <c r="EW461" s="369" t="str">
        <f t="shared" ca="1" si="911"/>
        <v/>
      </c>
      <c r="EX461" s="391"/>
      <c r="EY461" s="371" t="str">
        <f ca="1">IF(DW461=EY454,DV461,IF(EE469=EY454,DV469,""))</f>
        <v/>
      </c>
      <c r="EZ461" s="369" t="str">
        <f t="shared" ca="1" si="912"/>
        <v/>
      </c>
      <c r="FA461" s="391"/>
      <c r="FB461" s="424"/>
      <c r="FC461" s="424"/>
      <c r="FD461" s="425"/>
      <c r="FE461" s="333"/>
    </row>
    <row r="462" spans="86:161" x14ac:dyDescent="0.25">
      <c r="CH462" s="445"/>
      <c r="CI462" s="350"/>
      <c r="CJ462" s="350"/>
      <c r="CK462" s="350"/>
      <c r="CL462" s="350"/>
      <c r="CM462" s="445"/>
      <c r="DG462" s="445"/>
      <c r="DH462" s="300"/>
      <c r="DI462" s="301"/>
      <c r="DJ462" s="458" t="s">
        <v>157</v>
      </c>
      <c r="DK462" s="458" t="s">
        <v>158</v>
      </c>
      <c r="DL462" s="459" t="s">
        <v>159</v>
      </c>
      <c r="DM462" s="459"/>
      <c r="DN462" s="460" t="s">
        <v>160</v>
      </c>
      <c r="DO462" s="459" t="s">
        <v>135</v>
      </c>
      <c r="DP462" s="302"/>
      <c r="DQ462" s="302"/>
      <c r="DR462" s="364"/>
      <c r="DS462" s="302"/>
      <c r="DU462" s="424"/>
      <c r="DV462" s="329" t="s">
        <v>229</v>
      </c>
      <c r="DW462" s="365"/>
      <c r="DX462" s="329" t="s">
        <v>152</v>
      </c>
      <c r="DY462" s="329" t="s">
        <v>153</v>
      </c>
      <c r="DZ462" s="329" t="s">
        <v>154</v>
      </c>
      <c r="EA462" s="329" t="s">
        <v>155</v>
      </c>
      <c r="EB462" s="329" t="s">
        <v>125</v>
      </c>
      <c r="EC462" s="329" t="s">
        <v>226</v>
      </c>
      <c r="ED462" s="329" t="s">
        <v>126</v>
      </c>
      <c r="EE462" s="329" t="s">
        <v>227</v>
      </c>
      <c r="EF462" s="330" t="s">
        <v>154</v>
      </c>
      <c r="EG462" s="330" t="s">
        <v>155</v>
      </c>
      <c r="EH462" s="330" t="s">
        <v>125</v>
      </c>
      <c r="EI462" s="329" t="s">
        <v>228</v>
      </c>
      <c r="EJ462" s="329" t="s">
        <v>156</v>
      </c>
      <c r="EK462" s="329" t="s">
        <v>208</v>
      </c>
      <c r="EL462" s="365"/>
      <c r="EM462" s="365"/>
      <c r="EN462" s="365"/>
      <c r="EO462" s="365"/>
      <c r="EP462" s="365"/>
      <c r="EQ462" s="365"/>
      <c r="ER462" s="365"/>
      <c r="ES462" s="365"/>
      <c r="ET462" s="365"/>
      <c r="EU462" s="365"/>
      <c r="EV462" s="365"/>
      <c r="EW462" s="365"/>
      <c r="EX462" s="365"/>
      <c r="EY462" s="365"/>
      <c r="EZ462" s="365"/>
      <c r="FA462" s="365"/>
      <c r="FB462" s="424"/>
      <c r="FC462" s="424"/>
      <c r="FD462" s="425"/>
      <c r="FE462" s="333"/>
    </row>
    <row r="463" spans="86:161" x14ac:dyDescent="0.25">
      <c r="CH463" s="445"/>
      <c r="CI463" s="350"/>
      <c r="CJ463" s="350"/>
      <c r="CK463" s="350"/>
      <c r="CL463" s="350"/>
      <c r="CM463" s="445"/>
      <c r="DG463" s="445"/>
      <c r="DH463" s="300"/>
      <c r="DI463" s="395" t="str">
        <f ca="1">DI455</f>
        <v>Hercules-Ludovika</v>
      </c>
      <c r="DJ463" s="465" t="str">
        <f t="shared" ref="DJ463:DJ469" ca="1" si="915">IF(OR(DI463="",DP463="",DI463=DP463,COUNTIF(games.av,DI463&amp;DP463)=0),"",CONCATENATE(DI463,DP463))</f>
        <v>Hercules-LudovikaÉlelmesek</v>
      </c>
      <c r="DK463" s="360" t="str">
        <f t="shared" ref="DK463:DK469" ca="1" si="916">IF($DJ463="","",CONCATENATE(VLOOKUP($DJ463,games.a,9,FALSE),VLOOKUP($DJ463,games.a,12,FALSE)))</f>
        <v>Élelmesek</v>
      </c>
      <c r="DL463" s="354" t="str">
        <f t="shared" ref="DL463:DL469" ca="1" si="917">IF($DJ463="","",VLOOKUP($DJ463,games.a,10,FALSE))</f>
        <v/>
      </c>
      <c r="DM463" s="354" t="str">
        <f t="shared" ref="DM463:DM469" ca="1" si="918">IF($DJ463="","",VLOOKUP($DJ463,games.a,13,FALSE))</f>
        <v/>
      </c>
      <c r="DN463" s="361">
        <f t="shared" ref="DN463:DN469" ca="1" si="919">IF($DJ463="","",VLOOKUP($DJ463,games.a,6,FALSE))</f>
        <v>1</v>
      </c>
      <c r="DO463" s="362">
        <f t="shared" ref="DO463:DO469" ca="1" si="920">IF($DJ463="","",VLOOKUP($DJ463,games.a,7,FALSE))</f>
        <v>3</v>
      </c>
      <c r="DP463" s="466" t="str">
        <f ca="1">DI456</f>
        <v>Élelmesek</v>
      </c>
      <c r="DQ463" s="302"/>
      <c r="DR463" s="364"/>
      <c r="DS463" s="302"/>
      <c r="DU463" s="424"/>
      <c r="DV463" s="366" t="str">
        <f ca="1">IF(OR(NOT($AJ$44),AND(DI454,DV455="")),DI455,"")</f>
        <v>Hercules-Ludovika</v>
      </c>
      <c r="DW463" s="365"/>
      <c r="DX463" s="366">
        <f t="shared" ref="DX463:DX469" ca="1" si="921">IF($DV463="",0,COUNTIF(xxgy.av,$DV463))</f>
        <v>0</v>
      </c>
      <c r="DY463" s="366">
        <f t="shared" ref="DY463:DY469" ca="1" si="922">IF($DV463="",0,COUNTIF(xxd.av,$DV463))</f>
        <v>1</v>
      </c>
      <c r="DZ463" s="366">
        <f t="shared" ref="DZ463:DZ469" ca="1" si="923">IF($DV463="",0,1)*(SUMIF(xxo.av,$DV463,xxl.av)+SUMIF(xxi.av,$DV463,xxk.av))</f>
        <v>2</v>
      </c>
      <c r="EA463" s="366">
        <f t="shared" ref="EA463:EA469" ca="1" si="924">IF($DV463="",0,1)*(SUMIF(xxo.av,$DV463,xxk.av)+SUMIF(xxi.av,$DV463,xxl.av))</f>
        <v>4</v>
      </c>
      <c r="EB463" s="366">
        <f t="shared" ref="EB463:EB469" ca="1" si="925">DZ463-EA463</f>
        <v>-2</v>
      </c>
      <c r="EC463" s="366">
        <f t="shared" ref="EC463:EC469" ca="1" si="926">IF(EA463=0,0,DZ463/EA463)</f>
        <v>0.5</v>
      </c>
      <c r="ED463" s="366">
        <f t="shared" ref="ED463:ED469" ca="1" si="927">$AJ$48*DX463+IF($AJ$44,0,1)*DY463</f>
        <v>1</v>
      </c>
      <c r="EE463" s="396">
        <f ca="1">ED463*1000000+IF($AJ$44,EC463,EB463)*1000*0</f>
        <v>1000000</v>
      </c>
      <c r="EF463" s="366">
        <f t="shared" ref="EF463:EF469" ca="1" si="928">IF($DV463="",0,1)*(SUMIF(yyo.av,$DV463,yyl.av)+SUMIF(yyi.av,$DV463,yyk.av))</f>
        <v>0</v>
      </c>
      <c r="EG463" s="366">
        <f t="shared" ref="EG463:EG469" ca="1" si="929">IF($DV463="",0,1)*(SUMIF(yyo.av,$DV463,yyk.av)+SUMIF(yyi.av,$DV463,yyl.av))</f>
        <v>0</v>
      </c>
      <c r="EH463" s="366">
        <f t="shared" ref="EH463:EH469" ca="1" si="930">EF463-EG463</f>
        <v>0</v>
      </c>
      <c r="EI463" s="366">
        <f t="shared" ref="EI463:EI469" ca="1" si="931">IF(OR(ISERR(EE463),ISNA(EE463)),0,EE463)+IF($AJ$54,EH463,0)</f>
        <v>1000000</v>
      </c>
      <c r="EJ463" s="366">
        <f ca="1">IF(EI463=0,0,RANK(EI463,EI463:EI469,1))</f>
        <v>6</v>
      </c>
      <c r="EK463" s="366">
        <f t="shared" ref="EK463:EK469" ca="1" si="932">EJ463*40000*IF(COUNTIF($FC$343:$FC$366,DV463)&gt;0,0,1)</f>
        <v>240000</v>
      </c>
      <c r="EL463" s="365"/>
      <c r="EM463" s="365"/>
      <c r="EN463" s="365"/>
      <c r="EO463" s="365"/>
      <c r="EP463" s="365"/>
      <c r="EQ463" s="365"/>
      <c r="ER463" s="365"/>
      <c r="ES463" s="365"/>
      <c r="ET463" s="365"/>
      <c r="EU463" s="365"/>
      <c r="EV463" s="365"/>
      <c r="EW463" s="365"/>
      <c r="EX463" s="365"/>
      <c r="EY463" s="365"/>
      <c r="EZ463" s="365"/>
      <c r="FA463" s="365"/>
      <c r="FB463" s="424"/>
      <c r="FC463" s="424"/>
      <c r="FD463" s="425"/>
      <c r="FE463" s="333"/>
    </row>
    <row r="464" spans="86:161" x14ac:dyDescent="0.25">
      <c r="CH464" s="445"/>
      <c r="CI464" s="350"/>
      <c r="CJ464" s="350"/>
      <c r="CK464" s="350"/>
      <c r="CL464" s="350"/>
      <c r="CM464" s="445"/>
      <c r="DG464" s="445"/>
      <c r="DH464" s="300"/>
      <c r="DI464" s="395" t="str">
        <f t="shared" ref="DI464:DI469" ca="1" si="933">DI456</f>
        <v>Élelmesek</v>
      </c>
      <c r="DJ464" s="465" t="str">
        <f t="shared" ca="1" si="915"/>
        <v/>
      </c>
      <c r="DK464" s="360" t="str">
        <f t="shared" ca="1" si="916"/>
        <v/>
      </c>
      <c r="DL464" s="354" t="str">
        <f t="shared" ca="1" si="917"/>
        <v/>
      </c>
      <c r="DM464" s="354" t="str">
        <f t="shared" ca="1" si="918"/>
        <v/>
      </c>
      <c r="DN464" s="361" t="str">
        <f t="shared" ca="1" si="919"/>
        <v/>
      </c>
      <c r="DO464" s="362" t="str">
        <f t="shared" ca="1" si="920"/>
        <v/>
      </c>
      <c r="DP464" s="379" t="str">
        <f t="shared" ref="DP464:DP469" ca="1" si="934">DP463</f>
        <v>Élelmesek</v>
      </c>
      <c r="DQ464" s="302"/>
      <c r="DR464" s="364"/>
      <c r="DS464" s="302"/>
      <c r="DU464" s="424"/>
      <c r="DV464" s="366" t="str">
        <f ca="1">IF(OR(NOT($AJ$44),AND(DI342,DV456="")),DI456,"")</f>
        <v>Élelmesek</v>
      </c>
      <c r="DW464" s="365"/>
      <c r="DX464" s="366">
        <f t="shared" ca="1" si="921"/>
        <v>1</v>
      </c>
      <c r="DY464" s="366">
        <f t="shared" ca="1" si="922"/>
        <v>1</v>
      </c>
      <c r="DZ464" s="366">
        <f t="shared" ca="1" si="923"/>
        <v>4</v>
      </c>
      <c r="EA464" s="366">
        <f t="shared" ca="1" si="924"/>
        <v>2</v>
      </c>
      <c r="EB464" s="366">
        <f t="shared" ca="1" si="925"/>
        <v>2</v>
      </c>
      <c r="EC464" s="366">
        <f t="shared" ca="1" si="926"/>
        <v>2</v>
      </c>
      <c r="ED464" s="366">
        <f t="shared" ca="1" si="927"/>
        <v>4</v>
      </c>
      <c r="EE464" s="396">
        <f t="shared" ref="EE464:EE469" ca="1" si="935">ED464*1000000+IF($AJ$44,EC464,EB464)*1000*0</f>
        <v>4000000</v>
      </c>
      <c r="EF464" s="366">
        <f t="shared" ca="1" si="928"/>
        <v>0</v>
      </c>
      <c r="EG464" s="366">
        <f t="shared" ca="1" si="929"/>
        <v>0</v>
      </c>
      <c r="EH464" s="366">
        <f t="shared" ca="1" si="930"/>
        <v>0</v>
      </c>
      <c r="EI464" s="366">
        <f t="shared" ca="1" si="931"/>
        <v>4000000</v>
      </c>
      <c r="EJ464" s="366">
        <f ca="1">IF(EI464=0,0,RANK(EI464,EI463:EI469,1))</f>
        <v>7</v>
      </c>
      <c r="EK464" s="366">
        <f t="shared" ca="1" si="932"/>
        <v>280000</v>
      </c>
      <c r="EL464" s="365"/>
      <c r="EM464" s="365"/>
      <c r="EN464" s="365"/>
      <c r="EO464" s="365"/>
      <c r="EP464" s="365"/>
      <c r="EQ464" s="365"/>
      <c r="ER464" s="365"/>
      <c r="ES464" s="365"/>
      <c r="ET464" s="365"/>
      <c r="EU464" s="365"/>
      <c r="EV464" s="365"/>
      <c r="EW464" s="365"/>
      <c r="EX464" s="365"/>
      <c r="EY464" s="365"/>
      <c r="EZ464" s="365"/>
      <c r="FA464" s="365"/>
      <c r="FB464" s="424"/>
      <c r="FC464" s="424"/>
      <c r="FD464" s="425"/>
      <c r="FE464" s="333"/>
    </row>
    <row r="465" spans="86:161" x14ac:dyDescent="0.25">
      <c r="CH465" s="445"/>
      <c r="CI465" s="350"/>
      <c r="CJ465" s="350"/>
      <c r="CK465" s="350"/>
      <c r="CL465" s="350"/>
      <c r="CM465" s="445"/>
      <c r="DG465" s="445"/>
      <c r="DH465" s="300"/>
      <c r="DI465" s="395" t="str">
        <f t="shared" ca="1" si="933"/>
        <v/>
      </c>
      <c r="DJ465" s="465" t="str">
        <f t="shared" ca="1" si="915"/>
        <v/>
      </c>
      <c r="DK465" s="360" t="str">
        <f t="shared" ca="1" si="916"/>
        <v/>
      </c>
      <c r="DL465" s="354" t="str">
        <f t="shared" ca="1" si="917"/>
        <v/>
      </c>
      <c r="DM465" s="354" t="str">
        <f t="shared" ca="1" si="918"/>
        <v/>
      </c>
      <c r="DN465" s="361" t="str">
        <f t="shared" ca="1" si="919"/>
        <v/>
      </c>
      <c r="DO465" s="362" t="str">
        <f t="shared" ca="1" si="920"/>
        <v/>
      </c>
      <c r="DP465" s="379" t="str">
        <f t="shared" ca="1" si="934"/>
        <v>Élelmesek</v>
      </c>
      <c r="DQ465" s="302"/>
      <c r="DR465" s="364"/>
      <c r="DS465" s="302"/>
      <c r="DU465" s="424"/>
      <c r="DV465" s="366" t="str">
        <f ca="1">IF(OR(NOT($AJ$44),AND(DI342,DV457="")),DI457,"")</f>
        <v/>
      </c>
      <c r="DW465" s="365"/>
      <c r="DX465" s="366">
        <f t="shared" ca="1" si="921"/>
        <v>0</v>
      </c>
      <c r="DY465" s="366">
        <f t="shared" ca="1" si="922"/>
        <v>0</v>
      </c>
      <c r="DZ465" s="366">
        <f t="shared" ca="1" si="923"/>
        <v>0</v>
      </c>
      <c r="EA465" s="366">
        <f t="shared" ca="1" si="924"/>
        <v>0</v>
      </c>
      <c r="EB465" s="366">
        <f t="shared" ca="1" si="925"/>
        <v>0</v>
      </c>
      <c r="EC465" s="366">
        <f t="shared" ca="1" si="926"/>
        <v>0</v>
      </c>
      <c r="ED465" s="366">
        <f t="shared" ca="1" si="927"/>
        <v>0</v>
      </c>
      <c r="EE465" s="396">
        <f t="shared" ca="1" si="935"/>
        <v>0</v>
      </c>
      <c r="EF465" s="366">
        <f t="shared" ca="1" si="928"/>
        <v>0</v>
      </c>
      <c r="EG465" s="366">
        <f t="shared" ca="1" si="929"/>
        <v>0</v>
      </c>
      <c r="EH465" s="366">
        <f t="shared" ca="1" si="930"/>
        <v>0</v>
      </c>
      <c r="EI465" s="366">
        <f t="shared" ca="1" si="931"/>
        <v>0</v>
      </c>
      <c r="EJ465" s="366">
        <f ca="1">IF(EI465=0,0,RANK(EI465,EI463:EI469,1))</f>
        <v>0</v>
      </c>
      <c r="EK465" s="366">
        <f t="shared" ca="1" si="932"/>
        <v>0</v>
      </c>
      <c r="EL465" s="365"/>
      <c r="EM465" s="365"/>
      <c r="EN465" s="365"/>
      <c r="EO465" s="365"/>
      <c r="EP465" s="365"/>
      <c r="EQ465" s="365"/>
      <c r="ER465" s="365"/>
      <c r="ES465" s="365"/>
      <c r="ET465" s="365"/>
      <c r="EU465" s="365"/>
      <c r="EV465" s="365"/>
      <c r="EW465" s="365"/>
      <c r="EX465" s="365"/>
      <c r="EY465" s="365"/>
      <c r="EZ465" s="365"/>
      <c r="FA465" s="365"/>
      <c r="FB465" s="424"/>
      <c r="FC465" s="424"/>
      <c r="FD465" s="425"/>
      <c r="FE465" s="333"/>
    </row>
    <row r="466" spans="86:161" x14ac:dyDescent="0.25">
      <c r="CH466" s="445"/>
      <c r="CI466" s="350"/>
      <c r="CJ466" s="350"/>
      <c r="CK466" s="350"/>
      <c r="CL466" s="350"/>
      <c r="CM466" s="445"/>
      <c r="DG466" s="445"/>
      <c r="DH466" s="300"/>
      <c r="DI466" s="395" t="str">
        <f t="shared" ca="1" si="933"/>
        <v/>
      </c>
      <c r="DJ466" s="465" t="str">
        <f t="shared" ca="1" si="915"/>
        <v/>
      </c>
      <c r="DK466" s="360" t="str">
        <f t="shared" ca="1" si="916"/>
        <v/>
      </c>
      <c r="DL466" s="354" t="str">
        <f t="shared" ca="1" si="917"/>
        <v/>
      </c>
      <c r="DM466" s="354" t="str">
        <f t="shared" ca="1" si="918"/>
        <v/>
      </c>
      <c r="DN466" s="361" t="str">
        <f t="shared" ca="1" si="919"/>
        <v/>
      </c>
      <c r="DO466" s="362" t="str">
        <f t="shared" ca="1" si="920"/>
        <v/>
      </c>
      <c r="DP466" s="379" t="str">
        <f t="shared" ca="1" si="934"/>
        <v>Élelmesek</v>
      </c>
      <c r="DQ466" s="302"/>
      <c r="DR466" s="364"/>
      <c r="DS466" s="302"/>
      <c r="DU466" s="424"/>
      <c r="DV466" s="366" t="str">
        <f ca="1">IF(OR(NOT($AJ$44),AND(DI342,DV458="")),DI458,"")</f>
        <v/>
      </c>
      <c r="DW466" s="365"/>
      <c r="DX466" s="366">
        <f t="shared" ca="1" si="921"/>
        <v>0</v>
      </c>
      <c r="DY466" s="366">
        <f t="shared" ca="1" si="922"/>
        <v>0</v>
      </c>
      <c r="DZ466" s="366">
        <f t="shared" ca="1" si="923"/>
        <v>0</v>
      </c>
      <c r="EA466" s="366">
        <f t="shared" ca="1" si="924"/>
        <v>0</v>
      </c>
      <c r="EB466" s="366">
        <f t="shared" ca="1" si="925"/>
        <v>0</v>
      </c>
      <c r="EC466" s="366">
        <f t="shared" ca="1" si="926"/>
        <v>0</v>
      </c>
      <c r="ED466" s="366">
        <f t="shared" ca="1" si="927"/>
        <v>0</v>
      </c>
      <c r="EE466" s="396">
        <f t="shared" ca="1" si="935"/>
        <v>0</v>
      </c>
      <c r="EF466" s="366">
        <f t="shared" ca="1" si="928"/>
        <v>0</v>
      </c>
      <c r="EG466" s="366">
        <f t="shared" ca="1" si="929"/>
        <v>0</v>
      </c>
      <c r="EH466" s="366">
        <f t="shared" ca="1" si="930"/>
        <v>0</v>
      </c>
      <c r="EI466" s="366">
        <f t="shared" ca="1" si="931"/>
        <v>0</v>
      </c>
      <c r="EJ466" s="366">
        <f ca="1">IF(EI466=0,0,RANK(EI466,EI463:EI469,1))</f>
        <v>0</v>
      </c>
      <c r="EK466" s="366">
        <f t="shared" ca="1" si="932"/>
        <v>0</v>
      </c>
      <c r="EL466" s="365"/>
      <c r="EO466" s="365"/>
      <c r="EP466" s="365"/>
      <c r="EQ466" s="365"/>
      <c r="ER466" s="398"/>
      <c r="ES466" s="329" t="s">
        <v>157</v>
      </c>
      <c r="ET466" s="329" t="s">
        <v>158</v>
      </c>
      <c r="EU466" s="399"/>
      <c r="EV466" s="400"/>
      <c r="EW466" s="401" t="s">
        <v>160</v>
      </c>
      <c r="EX466" s="402" t="s">
        <v>135</v>
      </c>
      <c r="EY466" s="403">
        <f ca="1">COUNT(EU455:EU459)</f>
        <v>0</v>
      </c>
      <c r="EZ466" s="365"/>
      <c r="FA466" s="365"/>
      <c r="FB466" s="424"/>
      <c r="FC466" s="424"/>
      <c r="FD466" s="425"/>
      <c r="FE466" s="333"/>
    </row>
    <row r="467" spans="86:161" x14ac:dyDescent="0.25">
      <c r="CH467" s="445"/>
      <c r="CI467" s="350"/>
      <c r="CJ467" s="350"/>
      <c r="CK467" s="350"/>
      <c r="CL467" s="350"/>
      <c r="CM467" s="445"/>
      <c r="DG467" s="445"/>
      <c r="DH467" s="300"/>
      <c r="DI467" s="395" t="str">
        <f t="shared" ca="1" si="933"/>
        <v/>
      </c>
      <c r="DJ467" s="465" t="str">
        <f t="shared" ca="1" si="915"/>
        <v/>
      </c>
      <c r="DK467" s="360" t="str">
        <f t="shared" ca="1" si="916"/>
        <v/>
      </c>
      <c r="DL467" s="354" t="str">
        <f t="shared" ca="1" si="917"/>
        <v/>
      </c>
      <c r="DM467" s="354" t="str">
        <f t="shared" ca="1" si="918"/>
        <v/>
      </c>
      <c r="DN467" s="361" t="str">
        <f t="shared" ca="1" si="919"/>
        <v/>
      </c>
      <c r="DO467" s="362" t="str">
        <f t="shared" ca="1" si="920"/>
        <v/>
      </c>
      <c r="DP467" s="379" t="str">
        <f t="shared" ca="1" si="934"/>
        <v>Élelmesek</v>
      </c>
      <c r="DQ467" s="302"/>
      <c r="DR467" s="364"/>
      <c r="DS467" s="302"/>
      <c r="DU467" s="424"/>
      <c r="DV467" s="366" t="str">
        <f ca="1">IF(OR(NOT($AJ$44),AND(DI342,DV459="")),DI459,"")</f>
        <v/>
      </c>
      <c r="DW467" s="365"/>
      <c r="DX467" s="366">
        <f t="shared" ca="1" si="921"/>
        <v>0</v>
      </c>
      <c r="DY467" s="366">
        <f t="shared" ca="1" si="922"/>
        <v>0</v>
      </c>
      <c r="DZ467" s="366">
        <f t="shared" ca="1" si="923"/>
        <v>0</v>
      </c>
      <c r="EA467" s="366">
        <f t="shared" ca="1" si="924"/>
        <v>0</v>
      </c>
      <c r="EB467" s="366">
        <f t="shared" ca="1" si="925"/>
        <v>0</v>
      </c>
      <c r="EC467" s="366">
        <f t="shared" ca="1" si="926"/>
        <v>0</v>
      </c>
      <c r="ED467" s="366">
        <f t="shared" ca="1" si="927"/>
        <v>0</v>
      </c>
      <c r="EE467" s="396">
        <f t="shared" ca="1" si="935"/>
        <v>0</v>
      </c>
      <c r="EF467" s="366">
        <f t="shared" ca="1" si="928"/>
        <v>0</v>
      </c>
      <c r="EG467" s="366">
        <f t="shared" ca="1" si="929"/>
        <v>0</v>
      </c>
      <c r="EH467" s="366">
        <f t="shared" ca="1" si="930"/>
        <v>0</v>
      </c>
      <c r="EI467" s="366">
        <f t="shared" ca="1" si="931"/>
        <v>0</v>
      </c>
      <c r="EJ467" s="366">
        <f ca="1">IF(EI467=0,0,RANK(EI467,EI463:EI469,1))</f>
        <v>0</v>
      </c>
      <c r="EK467" s="366">
        <f t="shared" ca="1" si="932"/>
        <v>0</v>
      </c>
      <c r="EL467" s="365"/>
      <c r="EO467" s="365"/>
      <c r="EP467" s="365"/>
      <c r="EQ467" s="365"/>
      <c r="ER467" s="404" t="str">
        <f ca="1">IF(EU455="","",VLOOKUP(EU455,yyy.av1.7,4,FALSE))</f>
        <v/>
      </c>
      <c r="ES467" s="371" t="str">
        <f ca="1">IF(OR(ER467="",EY467="",ER467=EY467),"",CONCATENATE(ER467,EY467))</f>
        <v/>
      </c>
      <c r="ET467" s="422" t="str">
        <f ca="1">IF(OR(ES467="",EY466&gt;2),"",CONCATENATE(VLOOKUP(ES467,games.a,9,FALSE),VLOOKUP(ES467,games.a,12,FALSE)))</f>
        <v/>
      </c>
      <c r="EU467" s="406"/>
      <c r="EV467" s="407"/>
      <c r="EW467" s="423" t="str">
        <f ca="1">IF(ES467="","",VLOOKUP(ES467,games.a,6,FALSE))</f>
        <v/>
      </c>
      <c r="EX467" s="409" t="str">
        <f ca="1">IF(ES467="","",VLOOKUP(ES467,games.a,7,FALSE))</f>
        <v/>
      </c>
      <c r="EY467" s="410" t="str">
        <f ca="1">ER467</f>
        <v/>
      </c>
      <c r="EZ467" s="411"/>
      <c r="FA467" s="412"/>
      <c r="FB467" s="424"/>
      <c r="FC467" s="424"/>
      <c r="FD467" s="425"/>
      <c r="FE467" s="333"/>
    </row>
    <row r="468" spans="86:161" x14ac:dyDescent="0.25">
      <c r="CH468" s="445"/>
      <c r="CI468" s="350"/>
      <c r="CJ468" s="350"/>
      <c r="CK468" s="350"/>
      <c r="CL468" s="350"/>
      <c r="CM468" s="445"/>
      <c r="DG468" s="445"/>
      <c r="DH468" s="300"/>
      <c r="DI468" s="395" t="str">
        <f t="shared" ca="1" si="933"/>
        <v/>
      </c>
      <c r="DJ468" s="465" t="str">
        <f t="shared" ca="1" si="915"/>
        <v/>
      </c>
      <c r="DK468" s="360" t="str">
        <f t="shared" ca="1" si="916"/>
        <v/>
      </c>
      <c r="DL468" s="354" t="str">
        <f t="shared" ca="1" si="917"/>
        <v/>
      </c>
      <c r="DM468" s="354" t="str">
        <f t="shared" ca="1" si="918"/>
        <v/>
      </c>
      <c r="DN468" s="361" t="str">
        <f t="shared" ca="1" si="919"/>
        <v/>
      </c>
      <c r="DO468" s="362" t="str">
        <f t="shared" ca="1" si="920"/>
        <v/>
      </c>
      <c r="DP468" s="379" t="str">
        <f t="shared" ca="1" si="934"/>
        <v>Élelmesek</v>
      </c>
      <c r="DQ468" s="302"/>
      <c r="DR468" s="364"/>
      <c r="DS468" s="302"/>
      <c r="DU468" s="424"/>
      <c r="DV468" s="366" t="str">
        <f ca="1">IF(OR(NOT($AJ$44),AND(DI342,DV460="")),DI460,"")</f>
        <v/>
      </c>
      <c r="DW468" s="365"/>
      <c r="DX468" s="366">
        <f t="shared" ca="1" si="921"/>
        <v>0</v>
      </c>
      <c r="DY468" s="366">
        <f t="shared" ca="1" si="922"/>
        <v>0</v>
      </c>
      <c r="DZ468" s="366">
        <f t="shared" ca="1" si="923"/>
        <v>0</v>
      </c>
      <c r="EA468" s="366">
        <f t="shared" ca="1" si="924"/>
        <v>0</v>
      </c>
      <c r="EB468" s="366">
        <f t="shared" ca="1" si="925"/>
        <v>0</v>
      </c>
      <c r="EC468" s="366">
        <f t="shared" ca="1" si="926"/>
        <v>0</v>
      </c>
      <c r="ED468" s="366">
        <f t="shared" ca="1" si="927"/>
        <v>0</v>
      </c>
      <c r="EE468" s="396">
        <f t="shared" ca="1" si="935"/>
        <v>0</v>
      </c>
      <c r="EF468" s="366">
        <f t="shared" ca="1" si="928"/>
        <v>0</v>
      </c>
      <c r="EG468" s="366">
        <f t="shared" ca="1" si="929"/>
        <v>0</v>
      </c>
      <c r="EH468" s="366">
        <f t="shared" ca="1" si="930"/>
        <v>0</v>
      </c>
      <c r="EI468" s="366">
        <f t="shared" ca="1" si="931"/>
        <v>0</v>
      </c>
      <c r="EJ468" s="366">
        <f ca="1">IF(EI468=0,0,RANK(EI468,EI463:EI469,1))</f>
        <v>0</v>
      </c>
      <c r="EK468" s="366">
        <f t="shared" ca="1" si="932"/>
        <v>0</v>
      </c>
      <c r="EL468" s="365"/>
      <c r="EO468" s="365"/>
      <c r="EP468" s="365"/>
      <c r="EQ468" s="365"/>
      <c r="ER468" s="404" t="str">
        <f ca="1">IF(EU456="","",VLOOKUP(EU456,yyy.av1.7,4,FALSE))</f>
        <v/>
      </c>
      <c r="ES468" s="371" t="str">
        <f ca="1">IF(OR(ER468="",EY468="",ER468=EY468),"",CONCATENATE(ER468,EY468))</f>
        <v/>
      </c>
      <c r="ET468" s="422" t="str">
        <f ca="1">IF(OR(ES468="",EY466&gt;2),"",CONCATENATE(VLOOKUP(ES468,games.a,9,FALSE),VLOOKUP(ES468,games.a,12,FALSE)))</f>
        <v/>
      </c>
      <c r="EU468" s="413"/>
      <c r="EV468" s="414"/>
      <c r="EW468" s="423" t="str">
        <f ca="1">IF(ES468="","",VLOOKUP(ES468,games.a,6,FALSE))</f>
        <v/>
      </c>
      <c r="EX468" s="409" t="str">
        <f ca="1">IF(ES468="","",VLOOKUP(ES468,games.a,7,FALSE))</f>
        <v/>
      </c>
      <c r="EY468" s="415" t="str">
        <f ca="1">EY467</f>
        <v/>
      </c>
      <c r="EZ468" s="416"/>
      <c r="FA468" s="417"/>
      <c r="FB468" s="424"/>
      <c r="FC468" s="424"/>
      <c r="FD468" s="425"/>
      <c r="FE468" s="333"/>
    </row>
    <row r="469" spans="86:161" x14ac:dyDescent="0.25">
      <c r="CH469" s="445"/>
      <c r="CI469" s="350"/>
      <c r="CJ469" s="350"/>
      <c r="CK469" s="350"/>
      <c r="CL469" s="350"/>
      <c r="CM469" s="445"/>
      <c r="DG469" s="445"/>
      <c r="DH469" s="300"/>
      <c r="DI469" s="395" t="str">
        <f t="shared" ca="1" si="933"/>
        <v/>
      </c>
      <c r="DJ469" s="465" t="str">
        <f t="shared" ca="1" si="915"/>
        <v/>
      </c>
      <c r="DK469" s="360" t="str">
        <f t="shared" ca="1" si="916"/>
        <v/>
      </c>
      <c r="DL469" s="354" t="str">
        <f t="shared" ca="1" si="917"/>
        <v/>
      </c>
      <c r="DM469" s="354" t="str">
        <f t="shared" ca="1" si="918"/>
        <v/>
      </c>
      <c r="DN469" s="361" t="str">
        <f t="shared" ca="1" si="919"/>
        <v/>
      </c>
      <c r="DO469" s="362" t="str">
        <f t="shared" ca="1" si="920"/>
        <v/>
      </c>
      <c r="DP469" s="379" t="str">
        <f t="shared" ca="1" si="934"/>
        <v>Élelmesek</v>
      </c>
      <c r="DQ469" s="302"/>
      <c r="DR469" s="364"/>
      <c r="DS469" s="302"/>
      <c r="DU469" s="424"/>
      <c r="DV469" s="366" t="str">
        <f ca="1">IF(OR(NOT($AJ$44),AND(DI342,DV461="")),DI461,"")</f>
        <v/>
      </c>
      <c r="DW469" s="365"/>
      <c r="DX469" s="366">
        <f t="shared" ca="1" si="921"/>
        <v>0</v>
      </c>
      <c r="DY469" s="366">
        <f t="shared" ca="1" si="922"/>
        <v>0</v>
      </c>
      <c r="DZ469" s="366">
        <f t="shared" ca="1" si="923"/>
        <v>0</v>
      </c>
      <c r="EA469" s="366">
        <f t="shared" ca="1" si="924"/>
        <v>0</v>
      </c>
      <c r="EB469" s="366">
        <f t="shared" ca="1" si="925"/>
        <v>0</v>
      </c>
      <c r="EC469" s="366">
        <f t="shared" ca="1" si="926"/>
        <v>0</v>
      </c>
      <c r="ED469" s="366">
        <f t="shared" ca="1" si="927"/>
        <v>0</v>
      </c>
      <c r="EE469" s="396">
        <f t="shared" ca="1" si="935"/>
        <v>0</v>
      </c>
      <c r="EF469" s="366">
        <f t="shared" ca="1" si="928"/>
        <v>0</v>
      </c>
      <c r="EG469" s="366">
        <f t="shared" ca="1" si="929"/>
        <v>0</v>
      </c>
      <c r="EH469" s="366">
        <f t="shared" ca="1" si="930"/>
        <v>0</v>
      </c>
      <c r="EI469" s="366">
        <f t="shared" ca="1" si="931"/>
        <v>0</v>
      </c>
      <c r="EJ469" s="366">
        <f ca="1">IF(EI469=0,0,RANK(EI469,EI463:EI469,1))</f>
        <v>0</v>
      </c>
      <c r="EK469" s="366">
        <f t="shared" ca="1" si="932"/>
        <v>0</v>
      </c>
      <c r="EL469" s="365"/>
      <c r="EO469" s="365"/>
      <c r="EP469" s="365"/>
      <c r="EQ469" s="365"/>
      <c r="ER469" s="404" t="str">
        <f ca="1">IF(EU457="","",VLOOKUP(EU457,yyy.av1.7,4,FALSE))</f>
        <v/>
      </c>
      <c r="ES469" s="371" t="str">
        <f ca="1">IF(OR(ER469="",EY469="",ER469=EY469),"",CONCATENATE(ER469,EY469))</f>
        <v/>
      </c>
      <c r="ET469" s="422" t="str">
        <f ca="1">IF(OR(ES469="",EY466&gt;2),"",CONCATENATE(VLOOKUP(ES469,games.a,9,FALSE),VLOOKUP(ES469,games.a,12,FALSE)))</f>
        <v/>
      </c>
      <c r="EU469" s="413"/>
      <c r="EV469" s="414"/>
      <c r="EW469" s="423" t="str">
        <f ca="1">IF(ES469="","",VLOOKUP(ES469,games.a,6,FALSE))</f>
        <v/>
      </c>
      <c r="EX469" s="409" t="str">
        <f ca="1">IF(ES469="","",VLOOKUP(ES469,games.a,7,FALSE))</f>
        <v/>
      </c>
      <c r="EY469" s="415" t="str">
        <f ca="1">EY468</f>
        <v/>
      </c>
      <c r="EZ469" s="416"/>
      <c r="FA469" s="417"/>
      <c r="FB469" s="424"/>
      <c r="FC469" s="424"/>
      <c r="FD469" s="425"/>
      <c r="FE469" s="333"/>
    </row>
    <row r="470" spans="86:161" x14ac:dyDescent="0.25">
      <c r="CH470" s="445"/>
      <c r="CI470" s="350"/>
      <c r="CJ470" s="350"/>
      <c r="CK470" s="350"/>
      <c r="CL470" s="350"/>
      <c r="CM470" s="445"/>
      <c r="DG470" s="445"/>
      <c r="DH470" s="300"/>
      <c r="DI470" s="301"/>
      <c r="DJ470" s="458" t="s">
        <v>157</v>
      </c>
      <c r="DK470" s="458" t="s">
        <v>158</v>
      </c>
      <c r="DL470" s="459" t="s">
        <v>159</v>
      </c>
      <c r="DM470" s="459"/>
      <c r="DN470" s="460" t="s">
        <v>160</v>
      </c>
      <c r="DO470" s="459" t="s">
        <v>135</v>
      </c>
      <c r="DP470" s="302"/>
      <c r="DQ470" s="302"/>
      <c r="DR470" s="364"/>
      <c r="DS470" s="302"/>
      <c r="DU470" s="424"/>
      <c r="EL470" s="365"/>
      <c r="EO470" s="365"/>
      <c r="EP470" s="365"/>
      <c r="EQ470" s="365"/>
      <c r="ER470" s="404" t="str">
        <f ca="1">IF(EU458="","",VLOOKUP(EU458,yyy.av1.7,4,FALSE))</f>
        <v/>
      </c>
      <c r="ES470" s="371" t="str">
        <f ca="1">IF(OR(ER470="",EY470="",ER470=EY470),"",CONCATENATE(ER470,EY470))</f>
        <v/>
      </c>
      <c r="ET470" s="422" t="str">
        <f ca="1">IF(OR(ES470="",EY466&gt;2),"",CONCATENATE(VLOOKUP(ES470,games.a,9,FALSE),VLOOKUP(ES470,games.a,12,FALSE)))</f>
        <v/>
      </c>
      <c r="EU470" s="413"/>
      <c r="EV470" s="414"/>
      <c r="EW470" s="423" t="str">
        <f ca="1">IF(ES470="","",VLOOKUP(ES470,games.a,6,FALSE))</f>
        <v/>
      </c>
      <c r="EX470" s="409" t="str">
        <f ca="1">IF(ES470="","",VLOOKUP(ES470,games.a,7,FALSE))</f>
        <v/>
      </c>
      <c r="EY470" s="415" t="str">
        <f ca="1">EY469</f>
        <v/>
      </c>
      <c r="EZ470" s="416"/>
      <c r="FA470" s="417"/>
      <c r="FB470" s="424"/>
      <c r="FC470" s="424"/>
      <c r="FD470" s="425"/>
      <c r="FE470" s="333"/>
    </row>
    <row r="471" spans="86:161" x14ac:dyDescent="0.25">
      <c r="CH471" s="445"/>
      <c r="CI471" s="350"/>
      <c r="CJ471" s="350"/>
      <c r="CK471" s="350"/>
      <c r="CL471" s="350"/>
      <c r="CM471" s="445"/>
      <c r="DG471" s="445"/>
      <c r="DH471" s="300"/>
      <c r="DI471" s="395" t="str">
        <f ca="1">DI463</f>
        <v>Hercules-Ludovika</v>
      </c>
      <c r="DJ471" s="465" t="str">
        <f t="shared" ref="DJ471:DJ477" ca="1" si="936">IF(OR(DI471="",DP471="",DI471=DP471,COUNTIF(games.av,DI471&amp;DP471)=0),"",CONCATENATE(DI471,DP471))</f>
        <v/>
      </c>
      <c r="DK471" s="360" t="str">
        <f t="shared" ref="DK471:DK477" ca="1" si="937">IF($DJ471="","",CONCATENATE(VLOOKUP($DJ471,games.a,9,FALSE),VLOOKUP($DJ471,games.a,12,FALSE)))</f>
        <v/>
      </c>
      <c r="DL471" s="354" t="str">
        <f t="shared" ref="DL471:DL477" ca="1" si="938">IF($DJ471="","",VLOOKUP($DJ471,games.a,10,FALSE))</f>
        <v/>
      </c>
      <c r="DM471" s="354" t="str">
        <f t="shared" ref="DM471:DM477" ca="1" si="939">IF($DJ471="","",VLOOKUP($DJ471,games.a,13,FALSE))</f>
        <v/>
      </c>
      <c r="DN471" s="361" t="str">
        <f t="shared" ref="DN471:DN477" ca="1" si="940">IF($DJ471="","",VLOOKUP($DJ471,games.a,6,FALSE))</f>
        <v/>
      </c>
      <c r="DO471" s="362" t="str">
        <f t="shared" ref="DO471:DO477" ca="1" si="941">IF($DJ471="","",VLOOKUP($DJ471,games.a,7,FALSE))</f>
        <v/>
      </c>
      <c r="DP471" s="466" t="str">
        <f ca="1">DI457</f>
        <v/>
      </c>
      <c r="DQ471" s="302"/>
      <c r="DR471" s="364"/>
      <c r="DS471" s="302"/>
      <c r="DU471" s="424"/>
      <c r="EL471" s="365"/>
      <c r="EO471" s="365"/>
      <c r="EP471" s="365"/>
      <c r="EQ471" s="365"/>
      <c r="ER471" s="404" t="str">
        <f ca="1">IF(EU459="","",VLOOKUP(EU459,yyy.av1.7,4,FALSE))</f>
        <v/>
      </c>
      <c r="ES471" s="371" t="str">
        <f ca="1">IF(OR(ER471="",EY471="",ER471=EY471),"",CONCATENATE(ER471,EY471))</f>
        <v/>
      </c>
      <c r="ET471" s="422" t="str">
        <f ca="1">IF(OR(ES471="",EY466&gt;2),"",CONCATENATE(VLOOKUP(ES471,games.a,9,FALSE),VLOOKUP(ES471,games.a,12,FALSE)))</f>
        <v/>
      </c>
      <c r="EU471" s="420"/>
      <c r="EV471" s="421"/>
      <c r="EW471" s="423" t="str">
        <f ca="1">IF(ES471="","",VLOOKUP(ES471,games.a,6,FALSE))</f>
        <v/>
      </c>
      <c r="EX471" s="409" t="str">
        <f ca="1">IF(ES471="","",VLOOKUP(ES471,games.a,7,FALSE))</f>
        <v/>
      </c>
      <c r="EY471" s="415" t="str">
        <f ca="1">EY470</f>
        <v/>
      </c>
      <c r="EZ471" s="416"/>
      <c r="FA471" s="417"/>
      <c r="FB471" s="424"/>
      <c r="FC471" s="424"/>
      <c r="FD471" s="425"/>
      <c r="FE471" s="333"/>
    </row>
    <row r="472" spans="86:161" x14ac:dyDescent="0.25">
      <c r="CH472" s="445"/>
      <c r="CI472" s="350"/>
      <c r="CJ472" s="350"/>
      <c r="CK472" s="350"/>
      <c r="CL472" s="350"/>
      <c r="CM472" s="445"/>
      <c r="DG472" s="445"/>
      <c r="DH472" s="300"/>
      <c r="DI472" s="395" t="str">
        <f t="shared" ref="DI472:DI477" ca="1" si="942">DI464</f>
        <v>Élelmesek</v>
      </c>
      <c r="DJ472" s="465" t="str">
        <f t="shared" ca="1" si="936"/>
        <v/>
      </c>
      <c r="DK472" s="360" t="str">
        <f t="shared" ca="1" si="937"/>
        <v/>
      </c>
      <c r="DL472" s="354" t="str">
        <f t="shared" ca="1" si="938"/>
        <v/>
      </c>
      <c r="DM472" s="354" t="str">
        <f t="shared" ca="1" si="939"/>
        <v/>
      </c>
      <c r="DN472" s="361" t="str">
        <f t="shared" ca="1" si="940"/>
        <v/>
      </c>
      <c r="DO472" s="362" t="str">
        <f t="shared" ca="1" si="941"/>
        <v/>
      </c>
      <c r="DP472" s="379" t="str">
        <f t="shared" ref="DP472:DP477" ca="1" si="943">DP471</f>
        <v/>
      </c>
      <c r="DQ472" s="302"/>
      <c r="DR472" s="364"/>
      <c r="DS472" s="302"/>
      <c r="DU472" s="424"/>
      <c r="EL472" s="365"/>
      <c r="EO472" s="365"/>
      <c r="EP472" s="365"/>
      <c r="EQ472" s="365"/>
      <c r="ER472" s="398"/>
      <c r="ES472" s="329" t="s">
        <v>157</v>
      </c>
      <c r="ET472" s="329" t="s">
        <v>158</v>
      </c>
      <c r="EU472" s="399"/>
      <c r="EV472" s="400"/>
      <c r="EW472" s="401" t="s">
        <v>160</v>
      </c>
      <c r="EX472" s="402" t="s">
        <v>135</v>
      </c>
      <c r="EY472" s="398"/>
      <c r="EZ472" s="365"/>
      <c r="FA472" s="365"/>
      <c r="FB472" s="424"/>
      <c r="FC472" s="424"/>
      <c r="FD472" s="425"/>
      <c r="FE472" s="333"/>
    </row>
    <row r="473" spans="86:161" x14ac:dyDescent="0.25">
      <c r="CH473" s="445"/>
      <c r="CI473" s="350"/>
      <c r="CJ473" s="350"/>
      <c r="CK473" s="350"/>
      <c r="CL473" s="350"/>
      <c r="CM473" s="445"/>
      <c r="DG473" s="445"/>
      <c r="DH473" s="300"/>
      <c r="DI473" s="395" t="str">
        <f t="shared" ca="1" si="942"/>
        <v/>
      </c>
      <c r="DJ473" s="465" t="str">
        <f t="shared" ca="1" si="936"/>
        <v/>
      </c>
      <c r="DK473" s="360" t="str">
        <f t="shared" ca="1" si="937"/>
        <v/>
      </c>
      <c r="DL473" s="354" t="str">
        <f t="shared" ca="1" si="938"/>
        <v/>
      </c>
      <c r="DM473" s="354" t="str">
        <f t="shared" ca="1" si="939"/>
        <v/>
      </c>
      <c r="DN473" s="361" t="str">
        <f t="shared" ca="1" si="940"/>
        <v/>
      </c>
      <c r="DO473" s="362" t="str">
        <f t="shared" ca="1" si="941"/>
        <v/>
      </c>
      <c r="DP473" s="379" t="str">
        <f t="shared" ca="1" si="943"/>
        <v/>
      </c>
      <c r="DQ473" s="302"/>
      <c r="DR473" s="364"/>
      <c r="DS473" s="302"/>
      <c r="DU473" s="424"/>
      <c r="EL473" s="365"/>
      <c r="EO473" s="365"/>
      <c r="EP473" s="365"/>
      <c r="EQ473" s="365"/>
      <c r="ER473" s="404" t="str">
        <f ca="1">ER467</f>
        <v/>
      </c>
      <c r="ES473" s="371" t="str">
        <f ca="1">IF(OR(ER473="",EY473="",ER473=EY473),"",CONCATENATE(ER473,EY473))</f>
        <v/>
      </c>
      <c r="ET473" s="422" t="str">
        <f ca="1">IF(OR(ES473="",EY466&gt;2),"",CONCATENATE(VLOOKUP(ES473,games.a,9,FALSE),VLOOKUP(ES473,games.a,12,FALSE)))</f>
        <v/>
      </c>
      <c r="EU473" s="406"/>
      <c r="EV473" s="407"/>
      <c r="EW473" s="423" t="str">
        <f ca="1">IF(ES473="","",VLOOKUP(ES473,games.a,6,FALSE))</f>
        <v/>
      </c>
      <c r="EX473" s="409" t="str">
        <f ca="1">IF(ES473="","",VLOOKUP(ES473,games.a,7,FALSE))</f>
        <v/>
      </c>
      <c r="EY473" s="410" t="str">
        <f ca="1">ER468</f>
        <v/>
      </c>
      <c r="EZ473" s="411"/>
      <c r="FA473" s="412"/>
      <c r="FB473" s="424"/>
      <c r="FC473" s="424"/>
      <c r="FD473" s="425"/>
      <c r="FE473" s="333"/>
    </row>
    <row r="474" spans="86:161" x14ac:dyDescent="0.25">
      <c r="CH474" s="445"/>
      <c r="CI474" s="350"/>
      <c r="CJ474" s="350"/>
      <c r="CK474" s="350"/>
      <c r="CL474" s="350"/>
      <c r="CM474" s="445"/>
      <c r="DG474" s="445"/>
      <c r="DH474" s="300"/>
      <c r="DI474" s="395" t="str">
        <f t="shared" ca="1" si="942"/>
        <v/>
      </c>
      <c r="DJ474" s="465" t="str">
        <f t="shared" ca="1" si="936"/>
        <v/>
      </c>
      <c r="DK474" s="360" t="str">
        <f t="shared" ca="1" si="937"/>
        <v/>
      </c>
      <c r="DL474" s="354" t="str">
        <f t="shared" ca="1" si="938"/>
        <v/>
      </c>
      <c r="DM474" s="354" t="str">
        <f t="shared" ca="1" si="939"/>
        <v/>
      </c>
      <c r="DN474" s="361" t="str">
        <f t="shared" ca="1" si="940"/>
        <v/>
      </c>
      <c r="DO474" s="362" t="str">
        <f t="shared" ca="1" si="941"/>
        <v/>
      </c>
      <c r="DP474" s="379" t="str">
        <f t="shared" ca="1" si="943"/>
        <v/>
      </c>
      <c r="DQ474" s="302"/>
      <c r="DR474" s="364"/>
      <c r="DS474" s="302"/>
      <c r="DU474" s="424"/>
      <c r="EL474" s="365"/>
      <c r="EO474" s="365"/>
      <c r="EP474" s="365"/>
      <c r="EQ474" s="365"/>
      <c r="ER474" s="404" t="str">
        <f ca="1">ER468</f>
        <v/>
      </c>
      <c r="ES474" s="371" t="str">
        <f ca="1">IF(OR(ER474="",EY474="",ER474=EY474),"",CONCATENATE(ER474,EY474))</f>
        <v/>
      </c>
      <c r="ET474" s="422" t="str">
        <f ca="1">IF(OR(ES474="",EY466&gt;2),"",CONCATENATE(VLOOKUP(ES474,games.a,9,FALSE),VLOOKUP(ES474,games.a,12,FALSE)))</f>
        <v/>
      </c>
      <c r="EU474" s="413"/>
      <c r="EV474" s="414"/>
      <c r="EW474" s="423" t="str">
        <f ca="1">IF(ES474="","",VLOOKUP(ES474,games.a,6,FALSE))</f>
        <v/>
      </c>
      <c r="EX474" s="409" t="str">
        <f ca="1">IF(ES474="","",VLOOKUP(ES474,games.a,7,FALSE))</f>
        <v/>
      </c>
      <c r="EY474" s="415" t="str">
        <f ca="1">EY473</f>
        <v/>
      </c>
      <c r="EZ474" s="416"/>
      <c r="FA474" s="417"/>
      <c r="FB474" s="424"/>
      <c r="FC474" s="424"/>
      <c r="FD474" s="425"/>
      <c r="FE474" s="333"/>
    </row>
    <row r="475" spans="86:161" x14ac:dyDescent="0.25">
      <c r="CH475" s="445"/>
      <c r="CI475" s="350"/>
      <c r="CJ475" s="350"/>
      <c r="CK475" s="350"/>
      <c r="CL475" s="350"/>
      <c r="CM475" s="445"/>
      <c r="DG475" s="445"/>
      <c r="DH475" s="300"/>
      <c r="DI475" s="395" t="str">
        <f t="shared" ca="1" si="942"/>
        <v/>
      </c>
      <c r="DJ475" s="465" t="str">
        <f t="shared" ca="1" si="936"/>
        <v/>
      </c>
      <c r="DK475" s="360" t="str">
        <f t="shared" ca="1" si="937"/>
        <v/>
      </c>
      <c r="DL475" s="354" t="str">
        <f t="shared" ca="1" si="938"/>
        <v/>
      </c>
      <c r="DM475" s="354" t="str">
        <f t="shared" ca="1" si="939"/>
        <v/>
      </c>
      <c r="DN475" s="361" t="str">
        <f t="shared" ca="1" si="940"/>
        <v/>
      </c>
      <c r="DO475" s="362" t="str">
        <f t="shared" ca="1" si="941"/>
        <v/>
      </c>
      <c r="DP475" s="379" t="str">
        <f t="shared" ca="1" si="943"/>
        <v/>
      </c>
      <c r="DQ475" s="302"/>
      <c r="DR475" s="364"/>
      <c r="DS475" s="302"/>
      <c r="DU475" s="424"/>
      <c r="EL475" s="365"/>
      <c r="EO475" s="424"/>
      <c r="EP475" s="424"/>
      <c r="EQ475" s="424"/>
      <c r="ER475" s="404" t="str">
        <f ca="1">ER469</f>
        <v/>
      </c>
      <c r="ES475" s="371" t="str">
        <f ca="1">IF(OR(ER475="",EY475="",ER475=EY475),"",CONCATENATE(ER475,EY475))</f>
        <v/>
      </c>
      <c r="ET475" s="422" t="str">
        <f ca="1">IF(OR(ES475="",EY466&gt;2),"",CONCATENATE(VLOOKUP(ES475,games.a,9,FALSE),VLOOKUP(ES475,games.a,12,FALSE)))</f>
        <v/>
      </c>
      <c r="EU475" s="413"/>
      <c r="EV475" s="414"/>
      <c r="EW475" s="423" t="str">
        <f ca="1">IF(ES475="","",VLOOKUP(ES475,games.a,6,FALSE))</f>
        <v/>
      </c>
      <c r="EX475" s="409" t="str">
        <f ca="1">IF(ES475="","",VLOOKUP(ES475,games.a,7,FALSE))</f>
        <v/>
      </c>
      <c r="EY475" s="415" t="str">
        <f ca="1">EY474</f>
        <v/>
      </c>
      <c r="EZ475" s="416"/>
      <c r="FA475" s="417"/>
      <c r="FB475" s="424"/>
      <c r="FC475" s="424"/>
      <c r="FD475" s="425"/>
      <c r="FE475" s="333"/>
    </row>
    <row r="476" spans="86:161" x14ac:dyDescent="0.25">
      <c r="CH476" s="445"/>
      <c r="CI476" s="350"/>
      <c r="CJ476" s="350"/>
      <c r="CK476" s="350"/>
      <c r="CL476" s="350"/>
      <c r="CM476" s="445"/>
      <c r="DG476" s="445"/>
      <c r="DH476" s="300"/>
      <c r="DI476" s="395" t="str">
        <f t="shared" ca="1" si="942"/>
        <v/>
      </c>
      <c r="DJ476" s="465" t="str">
        <f t="shared" ca="1" si="936"/>
        <v/>
      </c>
      <c r="DK476" s="360" t="str">
        <f t="shared" ca="1" si="937"/>
        <v/>
      </c>
      <c r="DL476" s="354" t="str">
        <f t="shared" ca="1" si="938"/>
        <v/>
      </c>
      <c r="DM476" s="354" t="str">
        <f t="shared" ca="1" si="939"/>
        <v/>
      </c>
      <c r="DN476" s="361" t="str">
        <f t="shared" ca="1" si="940"/>
        <v/>
      </c>
      <c r="DO476" s="362" t="str">
        <f t="shared" ca="1" si="941"/>
        <v/>
      </c>
      <c r="DP476" s="379" t="str">
        <f t="shared" ca="1" si="943"/>
        <v/>
      </c>
      <c r="DQ476" s="302"/>
      <c r="DR476" s="364"/>
      <c r="DS476" s="302"/>
      <c r="DU476" s="424"/>
      <c r="EL476" s="365"/>
      <c r="EO476" s="424"/>
      <c r="EP476" s="424"/>
      <c r="EQ476" s="424"/>
      <c r="ER476" s="404" t="str">
        <f ca="1">ER470</f>
        <v/>
      </c>
      <c r="ES476" s="371" t="str">
        <f ca="1">IF(OR(ER476="",EY476="",ER476=EY476),"",CONCATENATE(ER476,EY476))</f>
        <v/>
      </c>
      <c r="ET476" s="422" t="str">
        <f ca="1">IF(OR(ES476="",EY466&gt;2),"",CONCATENATE(VLOOKUP(ES476,games.a,9,FALSE),VLOOKUP(ES476,games.a,12,FALSE)))</f>
        <v/>
      </c>
      <c r="EU476" s="413"/>
      <c r="EV476" s="414"/>
      <c r="EW476" s="423" t="str">
        <f ca="1">IF(ES476="","",VLOOKUP(ES476,games.a,6,FALSE))</f>
        <v/>
      </c>
      <c r="EX476" s="409" t="str">
        <f ca="1">IF(ES476="","",VLOOKUP(ES476,games.a,7,FALSE))</f>
        <v/>
      </c>
      <c r="EY476" s="415" t="str">
        <f ca="1">EY475</f>
        <v/>
      </c>
      <c r="EZ476" s="416"/>
      <c r="FA476" s="417"/>
      <c r="FB476" s="424"/>
      <c r="FC476" s="424"/>
      <c r="FD476" s="425"/>
      <c r="FE476" s="333"/>
    </row>
    <row r="477" spans="86:161" x14ac:dyDescent="0.25">
      <c r="CH477" s="445"/>
      <c r="CI477" s="350"/>
      <c r="CJ477" s="350"/>
      <c r="CK477" s="350"/>
      <c r="CL477" s="350"/>
      <c r="CM477" s="445"/>
      <c r="DG477" s="445"/>
      <c r="DH477" s="300"/>
      <c r="DI477" s="395" t="str">
        <f t="shared" ca="1" si="942"/>
        <v/>
      </c>
      <c r="DJ477" s="465" t="str">
        <f t="shared" ca="1" si="936"/>
        <v/>
      </c>
      <c r="DK477" s="360" t="str">
        <f t="shared" ca="1" si="937"/>
        <v/>
      </c>
      <c r="DL477" s="354" t="str">
        <f t="shared" ca="1" si="938"/>
        <v/>
      </c>
      <c r="DM477" s="354" t="str">
        <f t="shared" ca="1" si="939"/>
        <v/>
      </c>
      <c r="DN477" s="361" t="str">
        <f t="shared" ca="1" si="940"/>
        <v/>
      </c>
      <c r="DO477" s="362" t="str">
        <f t="shared" ca="1" si="941"/>
        <v/>
      </c>
      <c r="DP477" s="379" t="str">
        <f t="shared" ca="1" si="943"/>
        <v/>
      </c>
      <c r="DQ477" s="302"/>
      <c r="DR477" s="364"/>
      <c r="DS477" s="302"/>
      <c r="DU477" s="424"/>
      <c r="EL477" s="365"/>
      <c r="EM477" s="424"/>
      <c r="EN477" s="424"/>
      <c r="EO477" s="424"/>
      <c r="EP477" s="424"/>
      <c r="EQ477" s="424"/>
      <c r="ER477" s="404" t="str">
        <f ca="1">ER471</f>
        <v/>
      </c>
      <c r="ES477" s="371" t="str">
        <f ca="1">IF(OR(ER477="",EY477="",ER477=EY477),"",CONCATENATE(ER477,EY477))</f>
        <v/>
      </c>
      <c r="ET477" s="422" t="str">
        <f ca="1">IF(OR(ES477="",EY466&gt;2),"",CONCATENATE(VLOOKUP(ES477,games.a,9,FALSE),VLOOKUP(ES477,games.a,12,FALSE)))</f>
        <v/>
      </c>
      <c r="EU477" s="420"/>
      <c r="EV477" s="421"/>
      <c r="EW477" s="423" t="str">
        <f ca="1">IF(ES477="","",VLOOKUP(ES477,games.a,6,FALSE))</f>
        <v/>
      </c>
      <c r="EX477" s="409" t="str">
        <f ca="1">IF(ES477="","",VLOOKUP(ES477,games.a,7,FALSE))</f>
        <v/>
      </c>
      <c r="EY477" s="415" t="str">
        <f ca="1">EY476</f>
        <v/>
      </c>
      <c r="EZ477" s="416"/>
      <c r="FA477" s="417"/>
      <c r="FB477" s="424"/>
      <c r="FC477" s="424"/>
      <c r="FD477" s="425"/>
      <c r="FE477" s="333"/>
    </row>
    <row r="478" spans="86:161" x14ac:dyDescent="0.25">
      <c r="CH478" s="445"/>
      <c r="CI478" s="350"/>
      <c r="CJ478" s="350"/>
      <c r="CK478" s="350"/>
      <c r="CL478" s="350"/>
      <c r="CM478" s="445"/>
      <c r="DG478" s="445"/>
      <c r="DH478" s="300"/>
      <c r="DI478" s="301"/>
      <c r="DJ478" s="458" t="s">
        <v>157</v>
      </c>
      <c r="DK478" s="458" t="s">
        <v>158</v>
      </c>
      <c r="DL478" s="459" t="s">
        <v>159</v>
      </c>
      <c r="DM478" s="459"/>
      <c r="DN478" s="460" t="s">
        <v>160</v>
      </c>
      <c r="DO478" s="459" t="s">
        <v>135</v>
      </c>
      <c r="DP478" s="302"/>
      <c r="DQ478" s="302"/>
      <c r="DR478" s="364"/>
      <c r="DS478" s="302"/>
      <c r="DU478" s="424"/>
      <c r="EL478" s="365"/>
      <c r="EM478" s="424"/>
      <c r="EN478" s="424"/>
      <c r="EO478" s="424"/>
      <c r="EP478" s="424"/>
      <c r="EQ478" s="424"/>
      <c r="ER478" s="398"/>
      <c r="ES478" s="329" t="s">
        <v>157</v>
      </c>
      <c r="ET478" s="329" t="s">
        <v>158</v>
      </c>
      <c r="EU478" s="399"/>
      <c r="EV478" s="400"/>
      <c r="EW478" s="401" t="s">
        <v>160</v>
      </c>
      <c r="EX478" s="402" t="s">
        <v>135</v>
      </c>
      <c r="EY478" s="398"/>
      <c r="EZ478" s="365"/>
      <c r="FA478" s="365"/>
      <c r="FB478" s="424"/>
      <c r="FC478" s="424"/>
      <c r="FD478" s="425"/>
      <c r="FE478" s="333"/>
    </row>
    <row r="479" spans="86:161" x14ac:dyDescent="0.25">
      <c r="CH479" s="445"/>
      <c r="CI479" s="350"/>
      <c r="CJ479" s="350"/>
      <c r="CK479" s="350"/>
      <c r="CL479" s="350"/>
      <c r="CM479" s="445"/>
      <c r="DG479" s="445"/>
      <c r="DH479" s="300"/>
      <c r="DI479" s="395" t="str">
        <f ca="1">DI471</f>
        <v>Hercules-Ludovika</v>
      </c>
      <c r="DJ479" s="465" t="str">
        <f t="shared" ref="DJ479:DJ485" ca="1" si="944">IF(OR(DI479="",DP479="",DI479=DP479,COUNTIF(games.av,DI479&amp;DP479)=0),"",CONCATENATE(DI479,DP479))</f>
        <v/>
      </c>
      <c r="DK479" s="360" t="str">
        <f t="shared" ref="DK479:DK485" ca="1" si="945">IF($DJ479="","",CONCATENATE(VLOOKUP($DJ479,games.a,9,FALSE),VLOOKUP($DJ479,games.a,12,FALSE)))</f>
        <v/>
      </c>
      <c r="DL479" s="354" t="str">
        <f t="shared" ref="DL479:DL485" ca="1" si="946">IF($DJ479="","",VLOOKUP($DJ479,games.a,10,FALSE))</f>
        <v/>
      </c>
      <c r="DM479" s="354" t="str">
        <f t="shared" ref="DM479:DM485" ca="1" si="947">IF($DJ479="","",VLOOKUP($DJ479,games.a,13,FALSE))</f>
        <v/>
      </c>
      <c r="DN479" s="361" t="str">
        <f t="shared" ref="DN479:DN485" ca="1" si="948">IF($DJ479="","",VLOOKUP($DJ479,games.a,6,FALSE))</f>
        <v/>
      </c>
      <c r="DO479" s="362" t="str">
        <f t="shared" ref="DO479:DO485" ca="1" si="949">IF($DJ479="","",VLOOKUP($DJ479,games.a,7,FALSE))</f>
        <v/>
      </c>
      <c r="DP479" s="466" t="str">
        <f ca="1">DI458</f>
        <v/>
      </c>
      <c r="DQ479" s="302"/>
      <c r="DR479" s="364"/>
      <c r="DS479" s="302"/>
      <c r="DU479" s="424"/>
      <c r="EL479" s="365"/>
      <c r="EM479" s="424"/>
      <c r="EN479" s="424"/>
      <c r="EO479" s="424"/>
      <c r="EP479" s="424"/>
      <c r="EQ479" s="424"/>
      <c r="ER479" s="404" t="str">
        <f ca="1">ER473</f>
        <v/>
      </c>
      <c r="ES479" s="371" t="str">
        <f ca="1">IF(OR(ER479="",EY479="",ER479=EY479),"",CONCATENATE(ER479,EY479))</f>
        <v/>
      </c>
      <c r="ET479" s="422" t="str">
        <f ca="1">IF(OR(ES479="",EY466&gt;2),"",CONCATENATE(VLOOKUP(ES479,games.a,9,FALSE),VLOOKUP(ES479,games.a,12,FALSE)))</f>
        <v/>
      </c>
      <c r="EU479" s="406"/>
      <c r="EV479" s="407"/>
      <c r="EW479" s="423" t="str">
        <f ca="1">IF(ES479="","",VLOOKUP(ES479,games.a,6,FALSE))</f>
        <v/>
      </c>
      <c r="EX479" s="409" t="str">
        <f ca="1">IF(ES479="","",VLOOKUP(ES479,games.a,7,FALSE))</f>
        <v/>
      </c>
      <c r="EY479" s="410" t="str">
        <f ca="1">ER469</f>
        <v/>
      </c>
      <c r="EZ479" s="411"/>
      <c r="FA479" s="412"/>
      <c r="FB479" s="424"/>
      <c r="FC479" s="424"/>
      <c r="FD479" s="425"/>
      <c r="FE479" s="333"/>
    </row>
    <row r="480" spans="86:161" x14ac:dyDescent="0.25">
      <c r="CH480" s="445"/>
      <c r="CI480" s="350"/>
      <c r="CJ480" s="350"/>
      <c r="CK480" s="350"/>
      <c r="CL480" s="350"/>
      <c r="CM480" s="445"/>
      <c r="DG480" s="445"/>
      <c r="DH480" s="300"/>
      <c r="DI480" s="395" t="str">
        <f t="shared" ref="DI480:DI485" ca="1" si="950">DI472</f>
        <v>Élelmesek</v>
      </c>
      <c r="DJ480" s="465" t="str">
        <f t="shared" ca="1" si="944"/>
        <v/>
      </c>
      <c r="DK480" s="360" t="str">
        <f t="shared" ca="1" si="945"/>
        <v/>
      </c>
      <c r="DL480" s="354" t="str">
        <f t="shared" ca="1" si="946"/>
        <v/>
      </c>
      <c r="DM480" s="354" t="str">
        <f t="shared" ca="1" si="947"/>
        <v/>
      </c>
      <c r="DN480" s="361" t="str">
        <f t="shared" ca="1" si="948"/>
        <v/>
      </c>
      <c r="DO480" s="362" t="str">
        <f t="shared" ca="1" si="949"/>
        <v/>
      </c>
      <c r="DP480" s="379" t="str">
        <f t="shared" ref="DP480:DP485" ca="1" si="951">DP479</f>
        <v/>
      </c>
      <c r="DQ480" s="302"/>
      <c r="DR480" s="364"/>
      <c r="DS480" s="302"/>
      <c r="DU480" s="424"/>
      <c r="EL480" s="424"/>
      <c r="EM480" s="424"/>
      <c r="EN480" s="424"/>
      <c r="EO480" s="424"/>
      <c r="EP480" s="424"/>
      <c r="EQ480" s="424"/>
      <c r="ER480" s="404" t="str">
        <f ca="1">ER474</f>
        <v/>
      </c>
      <c r="ES480" s="371" t="str">
        <f ca="1">IF(OR(ER480="",EY480="",ER480=EY480),"",CONCATENATE(ER480,EY480))</f>
        <v/>
      </c>
      <c r="ET480" s="422" t="str">
        <f ca="1">IF(OR(ES480="",EY466&gt;2),"",CONCATENATE(VLOOKUP(ES480,games.a,9,FALSE),VLOOKUP(ES480,games.a,12,FALSE)))</f>
        <v/>
      </c>
      <c r="EU480" s="413"/>
      <c r="EV480" s="414"/>
      <c r="EW480" s="423" t="str">
        <f ca="1">IF(ES480="","",VLOOKUP(ES480,games.a,6,FALSE))</f>
        <v/>
      </c>
      <c r="EX480" s="409" t="str">
        <f ca="1">IF(ES480="","",VLOOKUP(ES480,games.a,7,FALSE))</f>
        <v/>
      </c>
      <c r="EY480" s="415" t="str">
        <f ca="1">EY479</f>
        <v/>
      </c>
      <c r="EZ480" s="416"/>
      <c r="FA480" s="417"/>
      <c r="FB480" s="424"/>
      <c r="FC480" s="424"/>
      <c r="FD480" s="425"/>
      <c r="FE480" s="333"/>
    </row>
    <row r="481" spans="86:161" x14ac:dyDescent="0.25">
      <c r="CH481" s="445"/>
      <c r="CI481" s="350"/>
      <c r="CJ481" s="350"/>
      <c r="CK481" s="350"/>
      <c r="CL481" s="350"/>
      <c r="CM481" s="445"/>
      <c r="DG481" s="445"/>
      <c r="DH481" s="300"/>
      <c r="DI481" s="395" t="str">
        <f t="shared" ca="1" si="950"/>
        <v/>
      </c>
      <c r="DJ481" s="465" t="str">
        <f t="shared" ca="1" si="944"/>
        <v/>
      </c>
      <c r="DK481" s="360" t="str">
        <f t="shared" ca="1" si="945"/>
        <v/>
      </c>
      <c r="DL481" s="354" t="str">
        <f t="shared" ca="1" si="946"/>
        <v/>
      </c>
      <c r="DM481" s="354" t="str">
        <f t="shared" ca="1" si="947"/>
        <v/>
      </c>
      <c r="DN481" s="361" t="str">
        <f t="shared" ca="1" si="948"/>
        <v/>
      </c>
      <c r="DO481" s="362" t="str">
        <f t="shared" ca="1" si="949"/>
        <v/>
      </c>
      <c r="DP481" s="379" t="str">
        <f t="shared" ca="1" si="951"/>
        <v/>
      </c>
      <c r="DQ481" s="302"/>
      <c r="DR481" s="364"/>
      <c r="DS481" s="302"/>
      <c r="DU481" s="424"/>
      <c r="EL481" s="424"/>
      <c r="EM481" s="424"/>
      <c r="EN481" s="424"/>
      <c r="EO481" s="424"/>
      <c r="EP481" s="424"/>
      <c r="EQ481" s="424"/>
      <c r="ER481" s="404" t="str">
        <f ca="1">ER475</f>
        <v/>
      </c>
      <c r="ES481" s="371" t="str">
        <f ca="1">IF(OR(ER481="",EY481="",ER481=EY481),"",CONCATENATE(ER481,EY481))</f>
        <v/>
      </c>
      <c r="ET481" s="422" t="str">
        <f ca="1">IF(OR(ES481="",EY466&gt;2),"",CONCATENATE(VLOOKUP(ES481,games.a,9,FALSE),VLOOKUP(ES481,games.a,12,FALSE)))</f>
        <v/>
      </c>
      <c r="EU481" s="413"/>
      <c r="EV481" s="414"/>
      <c r="EW481" s="423" t="str">
        <f ca="1">IF(ES481="","",VLOOKUP(ES481,games.a,6,FALSE))</f>
        <v/>
      </c>
      <c r="EX481" s="409" t="str">
        <f ca="1">IF(ES481="","",VLOOKUP(ES481,games.a,7,FALSE))</f>
        <v/>
      </c>
      <c r="EY481" s="415" t="str">
        <f ca="1">EY480</f>
        <v/>
      </c>
      <c r="EZ481" s="416"/>
      <c r="FA481" s="417"/>
      <c r="FB481" s="424"/>
      <c r="FC481" s="424"/>
      <c r="FD481" s="425"/>
      <c r="FE481" s="333"/>
    </row>
    <row r="482" spans="86:161" x14ac:dyDescent="0.25">
      <c r="CH482" s="445"/>
      <c r="CI482" s="350"/>
      <c r="CJ482" s="350"/>
      <c r="CK482" s="350"/>
      <c r="CL482" s="350"/>
      <c r="CM482" s="445"/>
      <c r="DG482" s="445"/>
      <c r="DH482" s="300"/>
      <c r="DI482" s="395" t="str">
        <f t="shared" ca="1" si="950"/>
        <v/>
      </c>
      <c r="DJ482" s="465" t="str">
        <f t="shared" ca="1" si="944"/>
        <v/>
      </c>
      <c r="DK482" s="360" t="str">
        <f t="shared" ca="1" si="945"/>
        <v/>
      </c>
      <c r="DL482" s="354" t="str">
        <f t="shared" ca="1" si="946"/>
        <v/>
      </c>
      <c r="DM482" s="354" t="str">
        <f t="shared" ca="1" si="947"/>
        <v/>
      </c>
      <c r="DN482" s="361" t="str">
        <f t="shared" ca="1" si="948"/>
        <v/>
      </c>
      <c r="DO482" s="362" t="str">
        <f t="shared" ca="1" si="949"/>
        <v/>
      </c>
      <c r="DP482" s="379" t="str">
        <f t="shared" ca="1" si="951"/>
        <v/>
      </c>
      <c r="DQ482" s="302"/>
      <c r="DR482" s="364"/>
      <c r="DS482" s="302"/>
      <c r="DU482" s="424"/>
      <c r="EL482" s="424"/>
      <c r="EM482" s="424"/>
      <c r="EN482" s="424"/>
      <c r="EO482" s="424"/>
      <c r="EP482" s="424"/>
      <c r="EQ482" s="424"/>
      <c r="ER482" s="404" t="str">
        <f ca="1">ER476</f>
        <v/>
      </c>
      <c r="ES482" s="371" t="str">
        <f ca="1">IF(OR(ER482="",EY482="",ER482=EY482),"",CONCATENATE(ER482,EY482))</f>
        <v/>
      </c>
      <c r="ET482" s="422" t="str">
        <f ca="1">IF(OR(ES482="",EY466&gt;2),"",CONCATENATE(VLOOKUP(ES482,games.a,9,FALSE),VLOOKUP(ES482,games.a,12,FALSE)))</f>
        <v/>
      </c>
      <c r="EU482" s="413"/>
      <c r="EV482" s="414"/>
      <c r="EW482" s="423" t="str">
        <f ca="1">IF(ES482="","",VLOOKUP(ES482,games.a,6,FALSE))</f>
        <v/>
      </c>
      <c r="EX482" s="409" t="str">
        <f ca="1">IF(ES482="","",VLOOKUP(ES482,games.a,7,FALSE))</f>
        <v/>
      </c>
      <c r="EY482" s="415" t="str">
        <f ca="1">EY481</f>
        <v/>
      </c>
      <c r="EZ482" s="416"/>
      <c r="FA482" s="417"/>
      <c r="FB482" s="424"/>
      <c r="FC482" s="424"/>
      <c r="FD482" s="425"/>
      <c r="FE482" s="333"/>
    </row>
    <row r="483" spans="86:161" x14ac:dyDescent="0.25">
      <c r="CH483" s="445"/>
      <c r="CI483" s="350"/>
      <c r="CJ483" s="350"/>
      <c r="CK483" s="350"/>
      <c r="CL483" s="350"/>
      <c r="CM483" s="445"/>
      <c r="DG483" s="445"/>
      <c r="DH483" s="300"/>
      <c r="DI483" s="395" t="str">
        <f t="shared" ca="1" si="950"/>
        <v/>
      </c>
      <c r="DJ483" s="465" t="str">
        <f t="shared" ca="1" si="944"/>
        <v/>
      </c>
      <c r="DK483" s="360" t="str">
        <f t="shared" ca="1" si="945"/>
        <v/>
      </c>
      <c r="DL483" s="354" t="str">
        <f t="shared" ca="1" si="946"/>
        <v/>
      </c>
      <c r="DM483" s="354" t="str">
        <f t="shared" ca="1" si="947"/>
        <v/>
      </c>
      <c r="DN483" s="361" t="str">
        <f t="shared" ca="1" si="948"/>
        <v/>
      </c>
      <c r="DO483" s="362" t="str">
        <f t="shared" ca="1" si="949"/>
        <v/>
      </c>
      <c r="DP483" s="379" t="str">
        <f t="shared" ca="1" si="951"/>
        <v/>
      </c>
      <c r="DQ483" s="302"/>
      <c r="DR483" s="364"/>
      <c r="DS483" s="302"/>
      <c r="DU483" s="424"/>
      <c r="EL483" s="424"/>
      <c r="EM483" s="424"/>
      <c r="EN483" s="424"/>
      <c r="EO483" s="424"/>
      <c r="EP483" s="424"/>
      <c r="EQ483" s="424"/>
      <c r="ER483" s="404" t="str">
        <f ca="1">ER477</f>
        <v/>
      </c>
      <c r="ES483" s="371" t="str">
        <f ca="1">IF(OR(ER483="",EY483="",ER483=EY483),"",CONCATENATE(ER483,EY483))</f>
        <v/>
      </c>
      <c r="ET483" s="422" t="str">
        <f ca="1">IF(OR(ES483="",EY466&gt;2),"",CONCATENATE(VLOOKUP(ES483,games.a,9,FALSE),VLOOKUP(ES483,games.a,12,FALSE)))</f>
        <v/>
      </c>
      <c r="EU483" s="420"/>
      <c r="EV483" s="421"/>
      <c r="EW483" s="423" t="str">
        <f ca="1">IF(ES483="","",VLOOKUP(ES483,games.a,6,FALSE))</f>
        <v/>
      </c>
      <c r="EX483" s="409" t="str">
        <f ca="1">IF(ES483="","",VLOOKUP(ES483,games.a,7,FALSE))</f>
        <v/>
      </c>
      <c r="EY483" s="415" t="str">
        <f ca="1">EY482</f>
        <v/>
      </c>
      <c r="EZ483" s="416"/>
      <c r="FA483" s="417"/>
      <c r="FB483" s="424"/>
      <c r="FC483" s="424"/>
      <c r="FD483" s="425"/>
      <c r="FE483" s="333"/>
    </row>
    <row r="484" spans="86:161" x14ac:dyDescent="0.25">
      <c r="CH484" s="445"/>
      <c r="CI484" s="350"/>
      <c r="CJ484" s="350"/>
      <c r="CK484" s="350"/>
      <c r="CL484" s="350"/>
      <c r="CM484" s="445"/>
      <c r="DG484" s="445"/>
      <c r="DH484" s="300"/>
      <c r="DI484" s="395" t="str">
        <f t="shared" ca="1" si="950"/>
        <v/>
      </c>
      <c r="DJ484" s="465" t="str">
        <f t="shared" ca="1" si="944"/>
        <v/>
      </c>
      <c r="DK484" s="360" t="str">
        <f t="shared" ca="1" si="945"/>
        <v/>
      </c>
      <c r="DL484" s="354" t="str">
        <f t="shared" ca="1" si="946"/>
        <v/>
      </c>
      <c r="DM484" s="354" t="str">
        <f t="shared" ca="1" si="947"/>
        <v/>
      </c>
      <c r="DN484" s="361" t="str">
        <f t="shared" ca="1" si="948"/>
        <v/>
      </c>
      <c r="DO484" s="362" t="str">
        <f t="shared" ca="1" si="949"/>
        <v/>
      </c>
      <c r="DP484" s="379" t="str">
        <f t="shared" ca="1" si="951"/>
        <v/>
      </c>
      <c r="DQ484" s="302"/>
      <c r="DR484" s="364"/>
      <c r="DS484" s="302"/>
      <c r="DU484" s="424"/>
      <c r="EL484" s="424"/>
      <c r="EM484" s="424"/>
      <c r="EN484" s="424"/>
      <c r="EO484" s="424"/>
      <c r="EP484" s="424"/>
      <c r="EQ484" s="424"/>
      <c r="ER484" s="398"/>
      <c r="ES484" s="329" t="s">
        <v>157</v>
      </c>
      <c r="ET484" s="329" t="s">
        <v>158</v>
      </c>
      <c r="EU484" s="399"/>
      <c r="EV484" s="400"/>
      <c r="EW484" s="401" t="s">
        <v>160</v>
      </c>
      <c r="EX484" s="402" t="s">
        <v>135</v>
      </c>
      <c r="EY484" s="398"/>
      <c r="EZ484" s="365"/>
      <c r="FA484" s="365"/>
      <c r="FB484" s="424"/>
      <c r="FC484" s="424"/>
      <c r="FD484" s="425"/>
      <c r="FE484" s="333"/>
    </row>
    <row r="485" spans="86:161" x14ac:dyDescent="0.25">
      <c r="CH485" s="445"/>
      <c r="CI485" s="350"/>
      <c r="CJ485" s="350"/>
      <c r="CK485" s="350"/>
      <c r="CL485" s="350"/>
      <c r="CM485" s="445"/>
      <c r="DG485" s="445"/>
      <c r="DH485" s="300"/>
      <c r="DI485" s="395" t="str">
        <f t="shared" ca="1" si="950"/>
        <v/>
      </c>
      <c r="DJ485" s="465" t="str">
        <f t="shared" ca="1" si="944"/>
        <v/>
      </c>
      <c r="DK485" s="360" t="str">
        <f t="shared" ca="1" si="945"/>
        <v/>
      </c>
      <c r="DL485" s="354" t="str">
        <f t="shared" ca="1" si="946"/>
        <v/>
      </c>
      <c r="DM485" s="354" t="str">
        <f t="shared" ca="1" si="947"/>
        <v/>
      </c>
      <c r="DN485" s="361" t="str">
        <f t="shared" ca="1" si="948"/>
        <v/>
      </c>
      <c r="DO485" s="362" t="str">
        <f t="shared" ca="1" si="949"/>
        <v/>
      </c>
      <c r="DP485" s="379" t="str">
        <f t="shared" ca="1" si="951"/>
        <v/>
      </c>
      <c r="DQ485" s="302"/>
      <c r="DR485" s="364"/>
      <c r="DS485" s="302"/>
      <c r="DU485" s="424"/>
      <c r="EL485" s="424"/>
      <c r="EM485" s="424"/>
      <c r="EN485" s="424"/>
      <c r="EO485" s="424"/>
      <c r="EP485" s="424"/>
      <c r="EQ485" s="424"/>
      <c r="ER485" s="404" t="str">
        <f ca="1">ER479</f>
        <v/>
      </c>
      <c r="ES485" s="371" t="str">
        <f ca="1">IF(OR(ER485="",EY485="",ER485=EY485),"",CONCATENATE(ER485,EY485))</f>
        <v/>
      </c>
      <c r="ET485" s="422" t="str">
        <f ca="1">IF(OR(ES485="",EY466&gt;2),"",CONCATENATE(VLOOKUP(ES485,games.a,9,FALSE),VLOOKUP(ES485,games.a,12,FALSE)))</f>
        <v/>
      </c>
      <c r="EU485" s="406"/>
      <c r="EV485" s="407"/>
      <c r="EW485" s="423" t="str">
        <f ca="1">IF(ES485="","",VLOOKUP(ES485,games.a,6,FALSE))</f>
        <v/>
      </c>
      <c r="EX485" s="409" t="str">
        <f ca="1">IF(ES485="","",VLOOKUP(ES485,games.a,7,FALSE))</f>
        <v/>
      </c>
      <c r="EY485" s="410" t="str">
        <f ca="1">ER470</f>
        <v/>
      </c>
      <c r="EZ485" s="411"/>
      <c r="FA485" s="412"/>
      <c r="FB485" s="424"/>
      <c r="FC485" s="424"/>
      <c r="FD485" s="425"/>
      <c r="FE485" s="333"/>
    </row>
    <row r="486" spans="86:161" x14ac:dyDescent="0.25">
      <c r="CH486" s="445"/>
      <c r="CI486" s="350"/>
      <c r="CJ486" s="350"/>
      <c r="CK486" s="350"/>
      <c r="CL486" s="350"/>
      <c r="CM486" s="445"/>
      <c r="DG486" s="445"/>
      <c r="DH486" s="300"/>
      <c r="DI486" s="301"/>
      <c r="DJ486" s="458" t="s">
        <v>157</v>
      </c>
      <c r="DK486" s="458" t="s">
        <v>158</v>
      </c>
      <c r="DL486" s="459" t="s">
        <v>159</v>
      </c>
      <c r="DM486" s="459"/>
      <c r="DN486" s="460" t="s">
        <v>160</v>
      </c>
      <c r="DO486" s="459" t="s">
        <v>135</v>
      </c>
      <c r="DP486" s="302"/>
      <c r="DQ486" s="302"/>
      <c r="DR486" s="364"/>
      <c r="DS486" s="302"/>
      <c r="DU486" s="424"/>
      <c r="EL486" s="424"/>
      <c r="EM486" s="424"/>
      <c r="EN486" s="424"/>
      <c r="EO486" s="424"/>
      <c r="EP486" s="424"/>
      <c r="EQ486" s="424"/>
      <c r="ER486" s="404" t="str">
        <f ca="1">ER480</f>
        <v/>
      </c>
      <c r="ES486" s="371" t="str">
        <f ca="1">IF(OR(ER486="",EY486="",ER486=EY486),"",CONCATENATE(ER486,EY486))</f>
        <v/>
      </c>
      <c r="ET486" s="422" t="str">
        <f ca="1">IF(OR(ES486="",EY466&gt;2),"",CONCATENATE(VLOOKUP(ES486,games.a,9,FALSE),VLOOKUP(ES486,games.a,12,FALSE)))</f>
        <v/>
      </c>
      <c r="EU486" s="413"/>
      <c r="EV486" s="414"/>
      <c r="EW486" s="423" t="str">
        <f ca="1">IF(ES486="","",VLOOKUP(ES486,games.a,6,FALSE))</f>
        <v/>
      </c>
      <c r="EX486" s="409" t="str">
        <f ca="1">IF(ES486="","",VLOOKUP(ES486,games.a,7,FALSE))</f>
        <v/>
      </c>
      <c r="EY486" s="415" t="str">
        <f ca="1">EY485</f>
        <v/>
      </c>
      <c r="EZ486" s="416"/>
      <c r="FA486" s="417"/>
      <c r="FB486" s="424"/>
      <c r="FC486" s="424"/>
      <c r="FD486" s="425"/>
      <c r="FE486" s="333"/>
    </row>
    <row r="487" spans="86:161" x14ac:dyDescent="0.25">
      <c r="CH487" s="445"/>
      <c r="CI487" s="350"/>
      <c r="CJ487" s="350"/>
      <c r="CK487" s="350"/>
      <c r="CL487" s="350"/>
      <c r="CM487" s="445"/>
      <c r="DG487" s="445"/>
      <c r="DH487" s="300"/>
      <c r="DI487" s="395" t="str">
        <f ca="1">DI479</f>
        <v>Hercules-Ludovika</v>
      </c>
      <c r="DJ487" s="465" t="str">
        <f t="shared" ref="DJ487:DJ493" ca="1" si="952">IF(OR(DI487="",DP487="",DI487=DP487,COUNTIF(games.av,DI487&amp;DP487)=0),"",CONCATENATE(DI487,DP487))</f>
        <v/>
      </c>
      <c r="DK487" s="360" t="str">
        <f t="shared" ref="DK487:DK493" ca="1" si="953">IF($DJ487="","",CONCATENATE(VLOOKUP($DJ487,games.a,9,FALSE),VLOOKUP($DJ487,games.a,12,FALSE)))</f>
        <v/>
      </c>
      <c r="DL487" s="354" t="str">
        <f t="shared" ref="DL487:DL493" ca="1" si="954">IF($DJ487="","",VLOOKUP($DJ487,games.a,10,FALSE))</f>
        <v/>
      </c>
      <c r="DM487" s="354" t="str">
        <f t="shared" ref="DM487:DM493" ca="1" si="955">IF($DJ487="","",VLOOKUP($DJ487,games.a,13,FALSE))</f>
        <v/>
      </c>
      <c r="DN487" s="361" t="str">
        <f t="shared" ref="DN487:DN493" ca="1" si="956">IF($DJ487="","",VLOOKUP($DJ487,games.a,6,FALSE))</f>
        <v/>
      </c>
      <c r="DO487" s="362" t="str">
        <f t="shared" ref="DO487:DO493" ca="1" si="957">IF($DJ487="","",VLOOKUP($DJ487,games.a,7,FALSE))</f>
        <v/>
      </c>
      <c r="DP487" s="466" t="str">
        <f ca="1">DI459</f>
        <v/>
      </c>
      <c r="DQ487" s="302"/>
      <c r="DR487" s="364"/>
      <c r="DS487" s="302"/>
      <c r="DU487" s="424"/>
      <c r="EL487" s="424"/>
      <c r="EM487" s="424"/>
      <c r="EN487" s="424"/>
      <c r="EO487" s="424"/>
      <c r="EP487" s="424"/>
      <c r="EQ487" s="424"/>
      <c r="ER487" s="404" t="str">
        <f ca="1">ER481</f>
        <v/>
      </c>
      <c r="ES487" s="371" t="str">
        <f ca="1">IF(OR(ER487="",EY487="",ER487=EY487),"",CONCATENATE(ER487,EY487))</f>
        <v/>
      </c>
      <c r="ET487" s="422" t="str">
        <f ca="1">IF(OR(ES487="",EY466&gt;2),"",CONCATENATE(VLOOKUP(ES487,games.a,9,FALSE),VLOOKUP(ES487,games.a,12,FALSE)))</f>
        <v/>
      </c>
      <c r="EU487" s="413"/>
      <c r="EV487" s="414"/>
      <c r="EW487" s="423" t="str">
        <f ca="1">IF(ES487="","",VLOOKUP(ES487,games.a,6,FALSE))</f>
        <v/>
      </c>
      <c r="EX487" s="409" t="str">
        <f ca="1">IF(ES487="","",VLOOKUP(ES487,games.a,7,FALSE))</f>
        <v/>
      </c>
      <c r="EY487" s="415" t="str">
        <f ca="1">EY486</f>
        <v/>
      </c>
      <c r="EZ487" s="416"/>
      <c r="FA487" s="417"/>
      <c r="FB487" s="424"/>
      <c r="FC487" s="424"/>
      <c r="FD487" s="425"/>
      <c r="FE487" s="333"/>
    </row>
    <row r="488" spans="86:161" x14ac:dyDescent="0.25">
      <c r="CH488" s="445"/>
      <c r="CI488" s="350"/>
      <c r="CJ488" s="350"/>
      <c r="CK488" s="350"/>
      <c r="CL488" s="350"/>
      <c r="CM488" s="445"/>
      <c r="DG488" s="445"/>
      <c r="DH488" s="300"/>
      <c r="DI488" s="395" t="str">
        <f t="shared" ref="DI488:DI493" ca="1" si="958">DI480</f>
        <v>Élelmesek</v>
      </c>
      <c r="DJ488" s="465" t="str">
        <f t="shared" ca="1" si="952"/>
        <v/>
      </c>
      <c r="DK488" s="360" t="str">
        <f t="shared" ca="1" si="953"/>
        <v/>
      </c>
      <c r="DL488" s="354" t="str">
        <f t="shared" ca="1" si="954"/>
        <v/>
      </c>
      <c r="DM488" s="354" t="str">
        <f t="shared" ca="1" si="955"/>
        <v/>
      </c>
      <c r="DN488" s="361" t="str">
        <f t="shared" ca="1" si="956"/>
        <v/>
      </c>
      <c r="DO488" s="362" t="str">
        <f t="shared" ca="1" si="957"/>
        <v/>
      </c>
      <c r="DP488" s="379" t="str">
        <f t="shared" ref="DP488:DP493" ca="1" si="959">DP487</f>
        <v/>
      </c>
      <c r="DQ488" s="302"/>
      <c r="DR488" s="364"/>
      <c r="DS488" s="302"/>
      <c r="DU488" s="424"/>
      <c r="DV488" s="424"/>
      <c r="DW488" s="424"/>
      <c r="DX488" s="424"/>
      <c r="DY488" s="424"/>
      <c r="DZ488" s="424"/>
      <c r="EA488" s="424"/>
      <c r="EB488" s="424"/>
      <c r="EC488" s="424"/>
      <c r="ED488" s="424"/>
      <c r="EE488" s="424"/>
      <c r="EF488" s="424"/>
      <c r="EG488" s="424"/>
      <c r="EH488" s="424"/>
      <c r="EI488" s="424"/>
      <c r="EJ488" s="424"/>
      <c r="EK488" s="424"/>
      <c r="EL488" s="424"/>
      <c r="EM488" s="424"/>
      <c r="EN488" s="424"/>
      <c r="EO488" s="424"/>
      <c r="EP488" s="424"/>
      <c r="EQ488" s="424"/>
      <c r="ER488" s="404" t="str">
        <f ca="1">ER482</f>
        <v/>
      </c>
      <c r="ES488" s="371" t="str">
        <f ca="1">IF(OR(ER488="",EY488="",ER488=EY488),"",CONCATENATE(ER488,EY488))</f>
        <v/>
      </c>
      <c r="ET488" s="422" t="str">
        <f ca="1">IF(OR(ES488="",EY466&gt;2),"",CONCATENATE(VLOOKUP(ES488,games.a,9,FALSE),VLOOKUP(ES488,games.a,12,FALSE)))</f>
        <v/>
      </c>
      <c r="EU488" s="413"/>
      <c r="EV488" s="414"/>
      <c r="EW488" s="423" t="str">
        <f ca="1">IF(ES488="","",VLOOKUP(ES488,games.a,6,FALSE))</f>
        <v/>
      </c>
      <c r="EX488" s="409" t="str">
        <f ca="1">IF(ES488="","",VLOOKUP(ES488,games.a,7,FALSE))</f>
        <v/>
      </c>
      <c r="EY488" s="415" t="str">
        <f ca="1">EY487</f>
        <v/>
      </c>
      <c r="EZ488" s="416"/>
      <c r="FA488" s="417"/>
      <c r="FB488" s="424"/>
      <c r="FC488" s="424"/>
      <c r="FD488" s="425"/>
      <c r="FE488" s="333"/>
    </row>
    <row r="489" spans="86:161" x14ac:dyDescent="0.25">
      <c r="CH489" s="445"/>
      <c r="CI489" s="300"/>
      <c r="CJ489" s="300"/>
      <c r="CK489" s="300"/>
      <c r="CL489" s="449"/>
      <c r="CM489" s="445"/>
      <c r="DG489" s="445"/>
      <c r="DH489" s="300"/>
      <c r="DI489" s="395" t="str">
        <f t="shared" ca="1" si="958"/>
        <v/>
      </c>
      <c r="DJ489" s="465" t="str">
        <f t="shared" ca="1" si="952"/>
        <v/>
      </c>
      <c r="DK489" s="360" t="str">
        <f t="shared" ca="1" si="953"/>
        <v/>
      </c>
      <c r="DL489" s="354" t="str">
        <f t="shared" ca="1" si="954"/>
        <v/>
      </c>
      <c r="DM489" s="354" t="str">
        <f t="shared" ca="1" si="955"/>
        <v/>
      </c>
      <c r="DN489" s="361" t="str">
        <f t="shared" ca="1" si="956"/>
        <v/>
      </c>
      <c r="DO489" s="362" t="str">
        <f t="shared" ca="1" si="957"/>
        <v/>
      </c>
      <c r="DP489" s="379" t="str">
        <f t="shared" ca="1" si="959"/>
        <v/>
      </c>
      <c r="DQ489" s="302"/>
      <c r="DR489" s="364"/>
      <c r="DS489" s="302"/>
      <c r="DU489" s="424"/>
      <c r="DV489" s="424"/>
      <c r="DW489" s="424"/>
      <c r="DX489" s="424"/>
      <c r="DY489" s="424"/>
      <c r="DZ489" s="424"/>
      <c r="EA489" s="424"/>
      <c r="EB489" s="424"/>
      <c r="EC489" s="424"/>
      <c r="ED489" s="424"/>
      <c r="EE489" s="424"/>
      <c r="EF489" s="424"/>
      <c r="EG489" s="424"/>
      <c r="EH489" s="424"/>
      <c r="EI489" s="424"/>
      <c r="EJ489" s="424"/>
      <c r="EK489" s="424"/>
      <c r="EL489" s="424"/>
      <c r="EM489" s="424"/>
      <c r="EN489" s="424"/>
      <c r="EO489" s="424"/>
      <c r="EP489" s="424"/>
      <c r="EQ489" s="424"/>
      <c r="ER489" s="404" t="str">
        <f ca="1">ER483</f>
        <v/>
      </c>
      <c r="ES489" s="371" t="str">
        <f ca="1">IF(OR(ER489="",EY489="",ER489=EY489),"",CONCATENATE(ER489,EY489))</f>
        <v/>
      </c>
      <c r="ET489" s="422" t="str">
        <f ca="1">IF(OR(ES489="",EY466&gt;2),"",CONCATENATE(VLOOKUP(ES489,games.a,9,FALSE),VLOOKUP(ES489,games.a,12,FALSE)))</f>
        <v/>
      </c>
      <c r="EU489" s="420"/>
      <c r="EV489" s="421"/>
      <c r="EW489" s="423" t="str">
        <f ca="1">IF(ES489="","",VLOOKUP(ES489,games.a,6,FALSE))</f>
        <v/>
      </c>
      <c r="EX489" s="409" t="str">
        <f ca="1">IF(ES489="","",VLOOKUP(ES489,games.a,7,FALSE))</f>
        <v/>
      </c>
      <c r="EY489" s="415" t="str">
        <f ca="1">EY488</f>
        <v/>
      </c>
      <c r="EZ489" s="416"/>
      <c r="FA489" s="417"/>
      <c r="FB489" s="424"/>
      <c r="FC489" s="424"/>
      <c r="FD489" s="425"/>
      <c r="FE489" s="333"/>
    </row>
    <row r="490" spans="86:161" x14ac:dyDescent="0.25">
      <c r="CH490" s="445"/>
      <c r="CI490" s="300"/>
      <c r="CJ490" s="300"/>
      <c r="CK490" s="300"/>
      <c r="CL490" s="449"/>
      <c r="CM490" s="445"/>
      <c r="DG490" s="445"/>
      <c r="DH490" s="300"/>
      <c r="DI490" s="395" t="str">
        <f t="shared" ca="1" si="958"/>
        <v/>
      </c>
      <c r="DJ490" s="465" t="str">
        <f t="shared" ca="1" si="952"/>
        <v/>
      </c>
      <c r="DK490" s="360" t="str">
        <f t="shared" ca="1" si="953"/>
        <v/>
      </c>
      <c r="DL490" s="354" t="str">
        <f t="shared" ca="1" si="954"/>
        <v/>
      </c>
      <c r="DM490" s="354" t="str">
        <f t="shared" ca="1" si="955"/>
        <v/>
      </c>
      <c r="DN490" s="361" t="str">
        <f t="shared" ca="1" si="956"/>
        <v/>
      </c>
      <c r="DO490" s="362" t="str">
        <f t="shared" ca="1" si="957"/>
        <v/>
      </c>
      <c r="DP490" s="379" t="str">
        <f t="shared" ca="1" si="959"/>
        <v/>
      </c>
      <c r="DQ490" s="302"/>
      <c r="DR490" s="364"/>
      <c r="DS490" s="302"/>
      <c r="DU490" s="424"/>
      <c r="DV490" s="424"/>
      <c r="DW490" s="424"/>
      <c r="DX490" s="424"/>
      <c r="DY490" s="424"/>
      <c r="DZ490" s="424"/>
      <c r="EA490" s="424"/>
      <c r="EB490" s="424"/>
      <c r="EC490" s="424"/>
      <c r="ED490" s="424"/>
      <c r="EE490" s="424"/>
      <c r="EF490" s="424"/>
      <c r="EG490" s="424"/>
      <c r="EH490" s="424"/>
      <c r="EI490" s="424"/>
      <c r="EJ490" s="424"/>
      <c r="EK490" s="424"/>
      <c r="EL490" s="424"/>
      <c r="EM490" s="424"/>
      <c r="EN490" s="424"/>
      <c r="EO490" s="424"/>
      <c r="EP490" s="424"/>
      <c r="EQ490" s="424"/>
      <c r="ER490" s="398"/>
      <c r="ES490" s="329" t="s">
        <v>157</v>
      </c>
      <c r="ET490" s="329" t="s">
        <v>158</v>
      </c>
      <c r="EU490" s="399"/>
      <c r="EV490" s="400"/>
      <c r="EW490" s="401" t="s">
        <v>160</v>
      </c>
      <c r="EX490" s="402" t="s">
        <v>135</v>
      </c>
      <c r="EY490" s="398"/>
      <c r="EZ490" s="365"/>
      <c r="FA490" s="365"/>
      <c r="FB490" s="424"/>
      <c r="FC490" s="424"/>
      <c r="FD490" s="425"/>
      <c r="FE490" s="333"/>
    </row>
    <row r="491" spans="86:161" x14ac:dyDescent="0.25">
      <c r="CH491" s="445"/>
      <c r="CI491" s="300"/>
      <c r="CJ491" s="300"/>
      <c r="CK491" s="300"/>
      <c r="CL491" s="449"/>
      <c r="CM491" s="445"/>
      <c r="DG491" s="445"/>
      <c r="DH491" s="300"/>
      <c r="DI491" s="395" t="str">
        <f t="shared" ca="1" si="958"/>
        <v/>
      </c>
      <c r="DJ491" s="465" t="str">
        <f t="shared" ca="1" si="952"/>
        <v/>
      </c>
      <c r="DK491" s="360" t="str">
        <f t="shared" ca="1" si="953"/>
        <v/>
      </c>
      <c r="DL491" s="354" t="str">
        <f t="shared" ca="1" si="954"/>
        <v/>
      </c>
      <c r="DM491" s="354" t="str">
        <f t="shared" ca="1" si="955"/>
        <v/>
      </c>
      <c r="DN491" s="361" t="str">
        <f t="shared" ca="1" si="956"/>
        <v/>
      </c>
      <c r="DO491" s="362" t="str">
        <f t="shared" ca="1" si="957"/>
        <v/>
      </c>
      <c r="DP491" s="379" t="str">
        <f t="shared" ca="1" si="959"/>
        <v/>
      </c>
      <c r="DQ491" s="302"/>
      <c r="DR491" s="364"/>
      <c r="DS491" s="302"/>
      <c r="DU491" s="424"/>
      <c r="DV491" s="424"/>
      <c r="DW491" s="424"/>
      <c r="DX491" s="424"/>
      <c r="DY491" s="424"/>
      <c r="DZ491" s="424"/>
      <c r="EA491" s="424"/>
      <c r="EB491" s="424"/>
      <c r="EC491" s="424"/>
      <c r="ED491" s="424"/>
      <c r="EE491" s="424"/>
      <c r="EF491" s="424"/>
      <c r="EG491" s="424"/>
      <c r="EH491" s="424"/>
      <c r="EI491" s="424"/>
      <c r="EJ491" s="424"/>
      <c r="EK491" s="424"/>
      <c r="EL491" s="424"/>
      <c r="EM491" s="424"/>
      <c r="EN491" s="424"/>
      <c r="EO491" s="424"/>
      <c r="EP491" s="424"/>
      <c r="EQ491" s="424"/>
      <c r="ER491" s="404" t="str">
        <f ca="1">ER485</f>
        <v/>
      </c>
      <c r="ES491" s="371" t="str">
        <f ca="1">IF(OR(ER491="",EY491="",ER491=EY491),"",CONCATENATE(ER491,EY491))</f>
        <v/>
      </c>
      <c r="ET491" s="422" t="str">
        <f ca="1">IF(OR(ES491="",EY466&gt;2),"",CONCATENATE(VLOOKUP(ES491,games.a,9,FALSE),VLOOKUP(ES491,games.a,12,FALSE)))</f>
        <v/>
      </c>
      <c r="EU491" s="406"/>
      <c r="EV491" s="407"/>
      <c r="EW491" s="423" t="str">
        <f ca="1">IF(ES491="","",VLOOKUP(ES491,games.a,6,FALSE))</f>
        <v/>
      </c>
      <c r="EX491" s="409" t="str">
        <f ca="1">IF(ES491="","",VLOOKUP(ES491,games.a,7,FALSE))</f>
        <v/>
      </c>
      <c r="EY491" s="410" t="str">
        <f ca="1">ER471</f>
        <v/>
      </c>
      <c r="EZ491" s="411"/>
      <c r="FA491" s="412"/>
      <c r="FB491" s="424"/>
      <c r="FC491" s="424"/>
      <c r="FD491" s="425"/>
      <c r="FE491" s="333"/>
    </row>
    <row r="492" spans="86:161" x14ac:dyDescent="0.25">
      <c r="CH492" s="445"/>
      <c r="CI492" s="300"/>
      <c r="CJ492" s="300"/>
      <c r="CK492" s="300"/>
      <c r="CL492" s="449"/>
      <c r="CM492" s="445"/>
      <c r="DG492" s="445"/>
      <c r="DH492" s="300"/>
      <c r="DI492" s="395" t="str">
        <f t="shared" ca="1" si="958"/>
        <v/>
      </c>
      <c r="DJ492" s="465" t="str">
        <f t="shared" ca="1" si="952"/>
        <v/>
      </c>
      <c r="DK492" s="360" t="str">
        <f t="shared" ca="1" si="953"/>
        <v/>
      </c>
      <c r="DL492" s="354" t="str">
        <f t="shared" ca="1" si="954"/>
        <v/>
      </c>
      <c r="DM492" s="354" t="str">
        <f t="shared" ca="1" si="955"/>
        <v/>
      </c>
      <c r="DN492" s="361" t="str">
        <f t="shared" ca="1" si="956"/>
        <v/>
      </c>
      <c r="DO492" s="362" t="str">
        <f t="shared" ca="1" si="957"/>
        <v/>
      </c>
      <c r="DP492" s="379" t="str">
        <f t="shared" ca="1" si="959"/>
        <v/>
      </c>
      <c r="DQ492" s="302"/>
      <c r="DR492" s="364"/>
      <c r="DS492" s="302"/>
      <c r="DU492" s="424"/>
      <c r="DV492" s="424"/>
      <c r="DW492" s="424"/>
      <c r="DX492" s="424"/>
      <c r="DY492" s="424"/>
      <c r="DZ492" s="424"/>
      <c r="EA492" s="424"/>
      <c r="EB492" s="424"/>
      <c r="EC492" s="424"/>
      <c r="ED492" s="424"/>
      <c r="EE492" s="424"/>
      <c r="EF492" s="424"/>
      <c r="EG492" s="424"/>
      <c r="EH492" s="424"/>
      <c r="EI492" s="424"/>
      <c r="EJ492" s="424"/>
      <c r="EK492" s="424"/>
      <c r="EL492" s="424"/>
      <c r="EM492" s="424"/>
      <c r="EN492" s="424"/>
      <c r="EO492" s="424"/>
      <c r="EP492" s="424"/>
      <c r="EQ492" s="424"/>
      <c r="ER492" s="404" t="str">
        <f ca="1">ER486</f>
        <v/>
      </c>
      <c r="ES492" s="371" t="str">
        <f ca="1">IF(OR(ER492="",EY492="",ER492=EY492),"",CONCATENATE(ER492,EY492))</f>
        <v/>
      </c>
      <c r="ET492" s="422" t="str">
        <f ca="1">IF(OR(ES492="",EY466&gt;2),"",CONCATENATE(VLOOKUP(ES492,games.a,9,FALSE),VLOOKUP(ES492,games.a,12,FALSE)))</f>
        <v/>
      </c>
      <c r="EU492" s="413"/>
      <c r="EV492" s="414"/>
      <c r="EW492" s="423" t="str">
        <f ca="1">IF(ES492="","",VLOOKUP(ES492,games.a,6,FALSE))</f>
        <v/>
      </c>
      <c r="EX492" s="409" t="str">
        <f ca="1">IF(ES492="","",VLOOKUP(ES492,games.a,7,FALSE))</f>
        <v/>
      </c>
      <c r="EY492" s="415" t="str">
        <f ca="1">EY491</f>
        <v/>
      </c>
      <c r="EZ492" s="416"/>
      <c r="FA492" s="417"/>
      <c r="FB492" s="424"/>
      <c r="FC492" s="424"/>
      <c r="FD492" s="425"/>
      <c r="FE492" s="333"/>
    </row>
    <row r="493" spans="86:161" x14ac:dyDescent="0.25">
      <c r="CH493" s="445"/>
      <c r="CI493" s="300"/>
      <c r="CJ493" s="300"/>
      <c r="CK493" s="300"/>
      <c r="CL493" s="449"/>
      <c r="CM493" s="445"/>
      <c r="DG493" s="445"/>
      <c r="DH493" s="300"/>
      <c r="DI493" s="395" t="str">
        <f t="shared" ca="1" si="958"/>
        <v/>
      </c>
      <c r="DJ493" s="465" t="str">
        <f t="shared" ca="1" si="952"/>
        <v/>
      </c>
      <c r="DK493" s="360" t="str">
        <f t="shared" ca="1" si="953"/>
        <v/>
      </c>
      <c r="DL493" s="354" t="str">
        <f t="shared" ca="1" si="954"/>
        <v/>
      </c>
      <c r="DM493" s="354" t="str">
        <f t="shared" ca="1" si="955"/>
        <v/>
      </c>
      <c r="DN493" s="361" t="str">
        <f t="shared" ca="1" si="956"/>
        <v/>
      </c>
      <c r="DO493" s="362" t="str">
        <f t="shared" ca="1" si="957"/>
        <v/>
      </c>
      <c r="DP493" s="379" t="str">
        <f t="shared" ca="1" si="959"/>
        <v/>
      </c>
      <c r="DQ493" s="302"/>
      <c r="DR493" s="364"/>
      <c r="DS493" s="302"/>
      <c r="DU493" s="424"/>
      <c r="DV493" s="424"/>
      <c r="DW493" s="424"/>
      <c r="DX493" s="424"/>
      <c r="DY493" s="424"/>
      <c r="DZ493" s="424"/>
      <c r="EA493" s="424"/>
      <c r="EB493" s="424"/>
      <c r="EC493" s="424"/>
      <c r="ED493" s="424"/>
      <c r="EE493" s="424"/>
      <c r="EF493" s="424"/>
      <c r="EG493" s="424"/>
      <c r="EH493" s="424"/>
      <c r="EI493" s="424"/>
      <c r="EJ493" s="424"/>
      <c r="EK493" s="424"/>
      <c r="EL493" s="424"/>
      <c r="EM493" s="424"/>
      <c r="EN493" s="424"/>
      <c r="EO493" s="424"/>
      <c r="EP493" s="424"/>
      <c r="EQ493" s="424"/>
      <c r="ER493" s="404" t="str">
        <f ca="1">ER487</f>
        <v/>
      </c>
      <c r="ES493" s="371" t="str">
        <f ca="1">IF(OR(ER493="",EY493="",ER493=EY493),"",CONCATENATE(ER493,EY493))</f>
        <v/>
      </c>
      <c r="ET493" s="422" t="str">
        <f ca="1">IF(OR(ES493="",EY466&gt;2),"",CONCATENATE(VLOOKUP(ES493,games.a,9,FALSE),VLOOKUP(ES493,games.a,12,FALSE)))</f>
        <v/>
      </c>
      <c r="EU493" s="413"/>
      <c r="EV493" s="414"/>
      <c r="EW493" s="423" t="str">
        <f ca="1">IF(ES493="","",VLOOKUP(ES493,games.a,6,FALSE))</f>
        <v/>
      </c>
      <c r="EX493" s="409" t="str">
        <f ca="1">IF(ES493="","",VLOOKUP(ES493,games.a,7,FALSE))</f>
        <v/>
      </c>
      <c r="EY493" s="415" t="str">
        <f ca="1">EY492</f>
        <v/>
      </c>
      <c r="EZ493" s="416"/>
      <c r="FA493" s="417"/>
      <c r="FB493" s="424"/>
      <c r="FC493" s="424"/>
      <c r="FD493" s="425"/>
      <c r="FE493" s="333"/>
    </row>
    <row r="494" spans="86:161" x14ac:dyDescent="0.25">
      <c r="CH494" s="445"/>
      <c r="CI494" s="300"/>
      <c r="CJ494" s="300"/>
      <c r="CK494" s="300"/>
      <c r="CL494" s="449"/>
      <c r="CM494" s="445"/>
      <c r="DG494" s="445"/>
      <c r="DH494" s="300"/>
      <c r="DI494" s="301"/>
      <c r="DJ494" s="458" t="s">
        <v>157</v>
      </c>
      <c r="DK494" s="458" t="s">
        <v>158</v>
      </c>
      <c r="DL494" s="459" t="s">
        <v>159</v>
      </c>
      <c r="DM494" s="459"/>
      <c r="DN494" s="460" t="s">
        <v>160</v>
      </c>
      <c r="DO494" s="459" t="s">
        <v>135</v>
      </c>
      <c r="DP494" s="302"/>
      <c r="DQ494" s="302"/>
      <c r="DR494" s="364"/>
      <c r="DS494" s="302"/>
      <c r="DU494" s="424"/>
      <c r="DV494" s="424"/>
      <c r="DW494" s="424"/>
      <c r="DX494" s="424"/>
      <c r="DY494" s="424"/>
      <c r="DZ494" s="424"/>
      <c r="EA494" s="424"/>
      <c r="EB494" s="424"/>
      <c r="EC494" s="424"/>
      <c r="ED494" s="424"/>
      <c r="EE494" s="424"/>
      <c r="EF494" s="424"/>
      <c r="EG494" s="424"/>
      <c r="EH494" s="424"/>
      <c r="EI494" s="424"/>
      <c r="EJ494" s="424"/>
      <c r="EK494" s="424"/>
      <c r="EL494" s="424"/>
      <c r="EM494" s="424"/>
      <c r="EN494" s="424"/>
      <c r="EO494" s="424"/>
      <c r="EP494" s="424"/>
      <c r="EQ494" s="424"/>
      <c r="ER494" s="404" t="str">
        <f ca="1">ER488</f>
        <v/>
      </c>
      <c r="ES494" s="371" t="str">
        <f ca="1">IF(OR(ER494="",EY494="",ER494=EY494),"",CONCATENATE(ER494,EY494))</f>
        <v/>
      </c>
      <c r="ET494" s="422" t="str">
        <f ca="1">IF(OR(ES494="",EY466&gt;2),"",CONCATENATE(VLOOKUP(ES494,games.a,9,FALSE),VLOOKUP(ES494,games.a,12,FALSE)))</f>
        <v/>
      </c>
      <c r="EU494" s="413"/>
      <c r="EV494" s="414"/>
      <c r="EW494" s="423" t="str">
        <f ca="1">IF(ES494="","",VLOOKUP(ES494,games.a,6,FALSE))</f>
        <v/>
      </c>
      <c r="EX494" s="409" t="str">
        <f ca="1">IF(ES494="","",VLOOKUP(ES494,games.a,7,FALSE))</f>
        <v/>
      </c>
      <c r="EY494" s="415" t="str">
        <f ca="1">EY493</f>
        <v/>
      </c>
      <c r="EZ494" s="416"/>
      <c r="FA494" s="417"/>
      <c r="FB494" s="424"/>
      <c r="FC494" s="424"/>
      <c r="FD494" s="425"/>
      <c r="FE494" s="333"/>
    </row>
    <row r="495" spans="86:161" x14ac:dyDescent="0.25">
      <c r="CH495" s="445"/>
      <c r="CI495" s="300"/>
      <c r="CJ495" s="300"/>
      <c r="CK495" s="300"/>
      <c r="CL495" s="449"/>
      <c r="CM495" s="445"/>
      <c r="DG495" s="445"/>
      <c r="DH495" s="300"/>
      <c r="DI495" s="395" t="str">
        <f ca="1">DI487</f>
        <v>Hercules-Ludovika</v>
      </c>
      <c r="DJ495" s="465" t="str">
        <f t="shared" ref="DJ495:DJ501" ca="1" si="960">IF(OR(DI495="",DP495="",DI495=DP495,COUNTIF(games.av,DI495&amp;DP495)=0),"",CONCATENATE(DI495,DP495))</f>
        <v/>
      </c>
      <c r="DK495" s="360" t="str">
        <f t="shared" ref="DK495:DK501" ca="1" si="961">IF($DJ495="","",CONCATENATE(VLOOKUP($DJ495,games.a,9,FALSE),VLOOKUP($DJ495,games.a,12,FALSE)))</f>
        <v/>
      </c>
      <c r="DL495" s="354" t="str">
        <f t="shared" ref="DL495:DL501" ca="1" si="962">IF($DJ495="","",VLOOKUP($DJ495,games.a,10,FALSE))</f>
        <v/>
      </c>
      <c r="DM495" s="354" t="str">
        <f t="shared" ref="DM495:DM501" ca="1" si="963">IF($DJ495="","",VLOOKUP($DJ495,games.a,13,FALSE))</f>
        <v/>
      </c>
      <c r="DN495" s="361" t="str">
        <f t="shared" ref="DN495:DN501" ca="1" si="964">IF($DJ495="","",VLOOKUP($DJ495,games.a,6,FALSE))</f>
        <v/>
      </c>
      <c r="DO495" s="362" t="str">
        <f t="shared" ref="DO495:DO501" ca="1" si="965">IF($DJ495="","",VLOOKUP($DJ495,games.a,7,FALSE))</f>
        <v/>
      </c>
      <c r="DP495" s="466" t="str">
        <f ca="1">DI460</f>
        <v/>
      </c>
      <c r="DQ495" s="302"/>
      <c r="DR495" s="364"/>
      <c r="DS495" s="302"/>
      <c r="DU495" s="424"/>
      <c r="DV495" s="424"/>
      <c r="DW495" s="424"/>
      <c r="DX495" s="424"/>
      <c r="DY495" s="424"/>
      <c r="DZ495" s="424"/>
      <c r="EA495" s="424"/>
      <c r="EB495" s="424"/>
      <c r="EC495" s="424"/>
      <c r="ED495" s="424"/>
      <c r="EE495" s="424"/>
      <c r="EF495" s="424"/>
      <c r="EG495" s="424"/>
      <c r="EH495" s="424"/>
      <c r="EI495" s="424"/>
      <c r="EJ495" s="424"/>
      <c r="EK495" s="424"/>
      <c r="EL495" s="424"/>
      <c r="EM495" s="424"/>
      <c r="EN495" s="424"/>
      <c r="EO495" s="424"/>
      <c r="EP495" s="424"/>
      <c r="EQ495" s="424"/>
      <c r="ER495" s="404" t="str">
        <f ca="1">ER489</f>
        <v/>
      </c>
      <c r="ES495" s="371" t="str">
        <f ca="1">IF(OR(ER495="",EY495="",ER495=EY495),"",CONCATENATE(ER495,EY495))</f>
        <v/>
      </c>
      <c r="ET495" s="422" t="str">
        <f ca="1">IF(OR(ES495="",EY466&gt;2),"",CONCATENATE(VLOOKUP(ES495,games.a,9,FALSE),VLOOKUP(ES495,games.a,12,FALSE)))</f>
        <v/>
      </c>
      <c r="EU495" s="420"/>
      <c r="EV495" s="421"/>
      <c r="EW495" s="423" t="str">
        <f ca="1">IF(ES495="","",VLOOKUP(ES495,games.a,6,FALSE))</f>
        <v/>
      </c>
      <c r="EX495" s="409" t="str">
        <f ca="1">IF(ES495="","",VLOOKUP(ES495,games.a,7,FALSE))</f>
        <v/>
      </c>
      <c r="EY495" s="415" t="str">
        <f ca="1">EY494</f>
        <v/>
      </c>
      <c r="EZ495" s="416"/>
      <c r="FA495" s="417"/>
      <c r="FB495" s="424"/>
      <c r="FC495" s="424"/>
      <c r="FD495" s="425"/>
      <c r="FE495" s="333"/>
    </row>
    <row r="496" spans="86:161" x14ac:dyDescent="0.25">
      <c r="CH496" s="445"/>
      <c r="CI496" s="300"/>
      <c r="CJ496" s="300"/>
      <c r="CK496" s="300"/>
      <c r="CL496" s="449"/>
      <c r="CM496" s="445"/>
      <c r="DG496" s="445"/>
      <c r="DH496" s="300"/>
      <c r="DI496" s="395" t="str">
        <f t="shared" ref="DI496:DI501" ca="1" si="966">DI488</f>
        <v>Élelmesek</v>
      </c>
      <c r="DJ496" s="465" t="str">
        <f t="shared" ca="1" si="960"/>
        <v/>
      </c>
      <c r="DK496" s="360" t="str">
        <f t="shared" ca="1" si="961"/>
        <v/>
      </c>
      <c r="DL496" s="354" t="str">
        <f t="shared" ca="1" si="962"/>
        <v/>
      </c>
      <c r="DM496" s="354" t="str">
        <f t="shared" ca="1" si="963"/>
        <v/>
      </c>
      <c r="DN496" s="361" t="str">
        <f t="shared" ca="1" si="964"/>
        <v/>
      </c>
      <c r="DO496" s="362" t="str">
        <f t="shared" ca="1" si="965"/>
        <v/>
      </c>
      <c r="DP496" s="379" t="str">
        <f t="shared" ref="DP496:DP501" ca="1" si="967">DP495</f>
        <v/>
      </c>
      <c r="DQ496" s="302"/>
      <c r="DR496" s="364"/>
      <c r="DS496" s="302"/>
      <c r="DU496" s="424"/>
      <c r="DV496" s="424"/>
      <c r="DW496" s="424"/>
      <c r="DX496" s="424"/>
      <c r="DY496" s="424"/>
      <c r="DZ496" s="424"/>
      <c r="EA496" s="424"/>
      <c r="EB496" s="424"/>
      <c r="EC496" s="424"/>
      <c r="ED496" s="424"/>
      <c r="EE496" s="424"/>
      <c r="EF496" s="424"/>
      <c r="EG496" s="424"/>
      <c r="EH496" s="424"/>
      <c r="EI496" s="424"/>
      <c r="EJ496" s="424"/>
      <c r="EK496" s="424"/>
      <c r="EL496" s="424"/>
      <c r="EM496" s="424"/>
      <c r="EN496" s="424"/>
      <c r="EO496" s="424"/>
      <c r="EP496" s="424"/>
      <c r="EQ496" s="424"/>
      <c r="ER496" s="424"/>
      <c r="ES496" s="424"/>
      <c r="ET496" s="424"/>
      <c r="EU496" s="424"/>
      <c r="EV496" s="424"/>
      <c r="EW496" s="424"/>
      <c r="EX496" s="424"/>
      <c r="EY496" s="424"/>
      <c r="EZ496" s="424"/>
      <c r="FA496" s="424"/>
      <c r="FB496" s="424"/>
      <c r="FC496" s="424"/>
      <c r="FD496" s="425"/>
      <c r="FE496" s="333"/>
    </row>
    <row r="497" spans="86:161" x14ac:dyDescent="0.25">
      <c r="CH497" s="445"/>
      <c r="CI497" s="300"/>
      <c r="CJ497" s="300"/>
      <c r="CK497" s="300"/>
      <c r="CL497" s="449"/>
      <c r="CM497" s="445"/>
      <c r="DG497" s="445"/>
      <c r="DH497" s="300"/>
      <c r="DI497" s="395" t="str">
        <f t="shared" ca="1" si="966"/>
        <v/>
      </c>
      <c r="DJ497" s="465" t="str">
        <f t="shared" ca="1" si="960"/>
        <v/>
      </c>
      <c r="DK497" s="360" t="str">
        <f t="shared" ca="1" si="961"/>
        <v/>
      </c>
      <c r="DL497" s="354" t="str">
        <f t="shared" ca="1" si="962"/>
        <v/>
      </c>
      <c r="DM497" s="354" t="str">
        <f t="shared" ca="1" si="963"/>
        <v/>
      </c>
      <c r="DN497" s="361" t="str">
        <f t="shared" ca="1" si="964"/>
        <v/>
      </c>
      <c r="DO497" s="362" t="str">
        <f t="shared" ca="1" si="965"/>
        <v/>
      </c>
      <c r="DP497" s="379" t="str">
        <f t="shared" ca="1" si="967"/>
        <v/>
      </c>
      <c r="DQ497" s="302"/>
      <c r="DR497" s="364"/>
      <c r="DS497" s="302"/>
      <c r="DU497" s="424"/>
      <c r="DV497" s="424"/>
      <c r="DW497" s="424"/>
      <c r="DX497" s="424"/>
      <c r="DY497" s="424"/>
      <c r="DZ497" s="424"/>
      <c r="EA497" s="424"/>
      <c r="EB497" s="424"/>
      <c r="EC497" s="424"/>
      <c r="ED497" s="424"/>
      <c r="EE497" s="424"/>
      <c r="EF497" s="424"/>
      <c r="EG497" s="424"/>
      <c r="EH497" s="424"/>
      <c r="EI497" s="424"/>
      <c r="EJ497" s="424"/>
      <c r="EK497" s="424"/>
      <c r="EL497" s="424"/>
      <c r="EM497" s="424"/>
      <c r="EN497" s="424"/>
      <c r="EO497" s="424"/>
      <c r="EP497" s="424"/>
      <c r="EQ497" s="424"/>
      <c r="ER497" s="398"/>
      <c r="ES497" s="329" t="s">
        <v>157</v>
      </c>
      <c r="ET497" s="329" t="s">
        <v>158</v>
      </c>
      <c r="EU497" s="399"/>
      <c r="EV497" s="400"/>
      <c r="EW497" s="401" t="s">
        <v>160</v>
      </c>
      <c r="EX497" s="402" t="s">
        <v>135</v>
      </c>
      <c r="EY497" s="365"/>
      <c r="EZ497" s="365"/>
      <c r="FA497" s="365"/>
      <c r="FB497" s="424"/>
      <c r="FC497" s="424"/>
      <c r="FD497" s="425"/>
      <c r="FE497" s="333"/>
    </row>
    <row r="498" spans="86:161" x14ac:dyDescent="0.25">
      <c r="CH498" s="445"/>
      <c r="CI498" s="300"/>
      <c r="CJ498" s="300"/>
      <c r="CK498" s="300"/>
      <c r="CL498" s="449"/>
      <c r="CM498" s="445"/>
      <c r="DG498" s="445"/>
      <c r="DH498" s="300"/>
      <c r="DI498" s="395" t="str">
        <f t="shared" ca="1" si="966"/>
        <v/>
      </c>
      <c r="DJ498" s="465" t="str">
        <f t="shared" ca="1" si="960"/>
        <v/>
      </c>
      <c r="DK498" s="360" t="str">
        <f t="shared" ca="1" si="961"/>
        <v/>
      </c>
      <c r="DL498" s="354" t="str">
        <f t="shared" ca="1" si="962"/>
        <v/>
      </c>
      <c r="DM498" s="354" t="str">
        <f t="shared" ca="1" si="963"/>
        <v/>
      </c>
      <c r="DN498" s="361" t="str">
        <f t="shared" ca="1" si="964"/>
        <v/>
      </c>
      <c r="DO498" s="362" t="str">
        <f t="shared" ca="1" si="965"/>
        <v/>
      </c>
      <c r="DP498" s="379" t="str">
        <f t="shared" ca="1" si="967"/>
        <v/>
      </c>
      <c r="DQ498" s="302"/>
      <c r="DR498" s="364"/>
      <c r="DS498" s="302"/>
      <c r="DU498" s="424"/>
      <c r="DV498" s="424"/>
      <c r="DW498" s="424"/>
      <c r="DX498" s="424"/>
      <c r="DY498" s="424"/>
      <c r="DZ498" s="424"/>
      <c r="EA498" s="424"/>
      <c r="EB498" s="424"/>
      <c r="EC498" s="424"/>
      <c r="ED498" s="424"/>
      <c r="EE498" s="424"/>
      <c r="EF498" s="424"/>
      <c r="EG498" s="424"/>
      <c r="EH498" s="424"/>
      <c r="EI498" s="424"/>
      <c r="EJ498" s="424"/>
      <c r="EK498" s="424"/>
      <c r="EL498" s="424"/>
      <c r="EM498" s="424"/>
      <c r="EN498" s="424"/>
      <c r="EO498" s="424"/>
      <c r="EP498" s="424"/>
      <c r="EQ498" s="424"/>
      <c r="ER498" s="404" t="str">
        <f ca="1">IF(EX455="","",VLOOKUP(EX455,yyy.av1.7,7,FALSE))</f>
        <v/>
      </c>
      <c r="ES498" s="371" t="str">
        <f ca="1">IF(OR(ER498="",EY498="",ER498=EY498),"",CONCATENATE(ER498,EY498))</f>
        <v/>
      </c>
      <c r="ET498" s="369" t="str">
        <f ca="1">IF(ES498="","",CONCATENATE(VLOOKUP(ES498,games.a,9,FALSE),VLOOKUP(ES498,games.a,12,FALSE)))</f>
        <v/>
      </c>
      <c r="EU498" s="406"/>
      <c r="EV498" s="407"/>
      <c r="EW498" s="423" t="str">
        <f ca="1">IF(ES498="","",VLOOKUP(ES498,games.a,6,FALSE))</f>
        <v/>
      </c>
      <c r="EX498" s="409" t="str">
        <f ca="1">IF(ES498="","",VLOOKUP(ES498,games.a,7,FALSE))</f>
        <v/>
      </c>
      <c r="EY498" s="410" t="str">
        <f ca="1">ER498</f>
        <v/>
      </c>
      <c r="EZ498" s="411"/>
      <c r="FA498" s="412"/>
      <c r="FB498" s="424"/>
      <c r="FC498" s="424"/>
      <c r="FD498" s="425"/>
      <c r="FE498" s="333"/>
    </row>
    <row r="499" spans="86:161" x14ac:dyDescent="0.25">
      <c r="CH499" s="445"/>
      <c r="CI499" s="300"/>
      <c r="CJ499" s="300"/>
      <c r="CK499" s="300"/>
      <c r="CL499" s="449"/>
      <c r="CM499" s="445"/>
      <c r="DG499" s="445"/>
      <c r="DH499" s="300"/>
      <c r="DI499" s="395" t="str">
        <f t="shared" ca="1" si="966"/>
        <v/>
      </c>
      <c r="DJ499" s="465" t="str">
        <f t="shared" ca="1" si="960"/>
        <v/>
      </c>
      <c r="DK499" s="360" t="str">
        <f t="shared" ca="1" si="961"/>
        <v/>
      </c>
      <c r="DL499" s="354" t="str">
        <f t="shared" ca="1" si="962"/>
        <v/>
      </c>
      <c r="DM499" s="354" t="str">
        <f t="shared" ca="1" si="963"/>
        <v/>
      </c>
      <c r="DN499" s="361" t="str">
        <f t="shared" ca="1" si="964"/>
        <v/>
      </c>
      <c r="DO499" s="362" t="str">
        <f t="shared" ca="1" si="965"/>
        <v/>
      </c>
      <c r="DP499" s="379" t="str">
        <f t="shared" ca="1" si="967"/>
        <v/>
      </c>
      <c r="DQ499" s="302"/>
      <c r="DR499" s="364"/>
      <c r="DS499" s="302"/>
      <c r="DU499" s="424"/>
      <c r="DV499" s="424"/>
      <c r="DW499" s="424"/>
      <c r="DX499" s="424"/>
      <c r="DY499" s="424"/>
      <c r="DZ499" s="424"/>
      <c r="EA499" s="424"/>
      <c r="EB499" s="424"/>
      <c r="EC499" s="424"/>
      <c r="ED499" s="424"/>
      <c r="EE499" s="424"/>
      <c r="EF499" s="424"/>
      <c r="EG499" s="424"/>
      <c r="EH499" s="424"/>
      <c r="EI499" s="424"/>
      <c r="EJ499" s="424"/>
      <c r="EK499" s="424"/>
      <c r="EL499" s="424"/>
      <c r="EM499" s="424"/>
      <c r="EN499" s="424"/>
      <c r="EO499" s="424"/>
      <c r="EP499" s="424"/>
      <c r="EQ499" s="424"/>
      <c r="ER499" s="404" t="str">
        <f ca="1">IF(EX456="","",VLOOKUP(EX456,yyy.av1.7,7,FALSE))</f>
        <v/>
      </c>
      <c r="ES499" s="371" t="str">
        <f ca="1">IF(OR(ER499="",EY499="",ER499=EY499),"",CONCATENATE(ER499,EY499))</f>
        <v/>
      </c>
      <c r="ET499" s="369" t="str">
        <f ca="1">IF(ES499="","",CONCATENATE(VLOOKUP(ES499,games.a,9,FALSE),VLOOKUP(ES499,games.a,12,FALSE)))</f>
        <v/>
      </c>
      <c r="EU499" s="413"/>
      <c r="EV499" s="414"/>
      <c r="EW499" s="423" t="str">
        <f ca="1">IF(ES499="","",VLOOKUP(ES499,games.a,6,FALSE))</f>
        <v/>
      </c>
      <c r="EX499" s="409" t="str">
        <f ca="1">IF(ES499="","",VLOOKUP(ES499,games.a,7,FALSE))</f>
        <v/>
      </c>
      <c r="EY499" s="415" t="str">
        <f ca="1">EY498</f>
        <v/>
      </c>
      <c r="EZ499" s="416"/>
      <c r="FA499" s="417"/>
      <c r="FB499" s="424"/>
      <c r="FC499" s="424"/>
      <c r="FD499" s="425"/>
      <c r="FE499" s="333"/>
    </row>
    <row r="500" spans="86:161" x14ac:dyDescent="0.25">
      <c r="CH500" s="445"/>
      <c r="CI500" s="300"/>
      <c r="CJ500" s="300"/>
      <c r="CK500" s="300"/>
      <c r="CL500" s="449"/>
      <c r="CM500" s="445"/>
      <c r="DG500" s="445"/>
      <c r="DH500" s="300"/>
      <c r="DI500" s="395" t="str">
        <f t="shared" ca="1" si="966"/>
        <v/>
      </c>
      <c r="DJ500" s="465" t="str">
        <f t="shared" ca="1" si="960"/>
        <v/>
      </c>
      <c r="DK500" s="360" t="str">
        <f t="shared" ca="1" si="961"/>
        <v/>
      </c>
      <c r="DL500" s="354" t="str">
        <f t="shared" ca="1" si="962"/>
        <v/>
      </c>
      <c r="DM500" s="354" t="str">
        <f t="shared" ca="1" si="963"/>
        <v/>
      </c>
      <c r="DN500" s="361" t="str">
        <f t="shared" ca="1" si="964"/>
        <v/>
      </c>
      <c r="DO500" s="362" t="str">
        <f t="shared" ca="1" si="965"/>
        <v/>
      </c>
      <c r="DP500" s="379" t="str">
        <f t="shared" ca="1" si="967"/>
        <v/>
      </c>
      <c r="DQ500" s="302"/>
      <c r="DR500" s="364"/>
      <c r="DS500" s="302"/>
      <c r="DU500" s="424"/>
      <c r="DV500" s="424"/>
      <c r="DW500" s="424"/>
      <c r="DX500" s="424"/>
      <c r="DY500" s="424"/>
      <c r="DZ500" s="424"/>
      <c r="EA500" s="424"/>
      <c r="EB500" s="424"/>
      <c r="EC500" s="424"/>
      <c r="ED500" s="424"/>
      <c r="EE500" s="424"/>
      <c r="EF500" s="424"/>
      <c r="EG500" s="424"/>
      <c r="EH500" s="424"/>
      <c r="EI500" s="424"/>
      <c r="EJ500" s="424"/>
      <c r="EK500" s="424"/>
      <c r="EL500" s="424"/>
      <c r="EM500" s="424"/>
      <c r="EN500" s="424"/>
      <c r="EO500" s="424"/>
      <c r="EP500" s="424"/>
      <c r="EQ500" s="424"/>
      <c r="ER500" s="398"/>
      <c r="ES500" s="329" t="s">
        <v>157</v>
      </c>
      <c r="ET500" s="329" t="s">
        <v>158</v>
      </c>
      <c r="EU500" s="399"/>
      <c r="EV500" s="400"/>
      <c r="EW500" s="401" t="s">
        <v>160</v>
      </c>
      <c r="EX500" s="402" t="s">
        <v>135</v>
      </c>
      <c r="EY500" s="398"/>
      <c r="EZ500" s="365"/>
      <c r="FA500" s="365"/>
      <c r="FB500" s="424"/>
      <c r="FC500" s="424"/>
      <c r="FD500" s="425"/>
      <c r="FE500" s="333"/>
    </row>
    <row r="501" spans="86:161" x14ac:dyDescent="0.25">
      <c r="CH501" s="445"/>
      <c r="CI501" s="300"/>
      <c r="CJ501" s="300"/>
      <c r="CK501" s="300"/>
      <c r="CL501" s="449"/>
      <c r="CM501" s="445"/>
      <c r="DG501" s="445"/>
      <c r="DH501" s="300"/>
      <c r="DI501" s="395" t="str">
        <f t="shared" ca="1" si="966"/>
        <v/>
      </c>
      <c r="DJ501" s="465" t="str">
        <f t="shared" ca="1" si="960"/>
        <v/>
      </c>
      <c r="DK501" s="360" t="str">
        <f t="shared" ca="1" si="961"/>
        <v/>
      </c>
      <c r="DL501" s="354" t="str">
        <f t="shared" ca="1" si="962"/>
        <v/>
      </c>
      <c r="DM501" s="354" t="str">
        <f t="shared" ca="1" si="963"/>
        <v/>
      </c>
      <c r="DN501" s="361" t="str">
        <f t="shared" ca="1" si="964"/>
        <v/>
      </c>
      <c r="DO501" s="362" t="str">
        <f t="shared" ca="1" si="965"/>
        <v/>
      </c>
      <c r="DP501" s="379" t="str">
        <f t="shared" ca="1" si="967"/>
        <v/>
      </c>
      <c r="DQ501" s="302"/>
      <c r="DR501" s="364"/>
      <c r="DS501" s="302"/>
      <c r="DU501" s="424"/>
      <c r="DV501" s="424"/>
      <c r="DW501" s="424"/>
      <c r="DX501" s="424"/>
      <c r="DY501" s="424"/>
      <c r="DZ501" s="424"/>
      <c r="EA501" s="424"/>
      <c r="EB501" s="424"/>
      <c r="EC501" s="424"/>
      <c r="ED501" s="424"/>
      <c r="EE501" s="424"/>
      <c r="EF501" s="424"/>
      <c r="EG501" s="424"/>
      <c r="EH501" s="424"/>
      <c r="EI501" s="424"/>
      <c r="EJ501" s="424"/>
      <c r="EK501" s="424"/>
      <c r="EL501" s="424"/>
      <c r="EM501" s="424"/>
      <c r="EN501" s="424"/>
      <c r="EO501" s="424"/>
      <c r="EP501" s="424"/>
      <c r="EQ501" s="424"/>
      <c r="ER501" s="404" t="str">
        <f ca="1">ER498</f>
        <v/>
      </c>
      <c r="ES501" s="371" t="str">
        <f ca="1">IF(OR(ER501="",EY501="",ER501=EY501),"",CONCATENATE(ER501,EY501))</f>
        <v/>
      </c>
      <c r="ET501" s="369" t="str">
        <f ca="1">IF(ES501="","",CONCATENATE(VLOOKUP(ES501,games.a,9,FALSE),VLOOKUP(ES501,games.a,12,FALSE)))</f>
        <v/>
      </c>
      <c r="EU501" s="406"/>
      <c r="EV501" s="407"/>
      <c r="EW501" s="423" t="str">
        <f ca="1">IF(ES501="","",VLOOKUP(ES501,games.a,6,FALSE))</f>
        <v/>
      </c>
      <c r="EX501" s="409" t="str">
        <f ca="1">IF(ES501="","",VLOOKUP(ES501,games.a,7,FALSE))</f>
        <v/>
      </c>
      <c r="EY501" s="410" t="str">
        <f ca="1">ER499</f>
        <v/>
      </c>
      <c r="EZ501" s="411"/>
      <c r="FA501" s="412"/>
      <c r="FB501" s="424"/>
      <c r="FC501" s="424"/>
      <c r="FD501" s="425"/>
      <c r="FE501" s="333"/>
    </row>
    <row r="502" spans="86:161" x14ac:dyDescent="0.25">
      <c r="CH502" s="445"/>
      <c r="CI502" s="300"/>
      <c r="CJ502" s="300"/>
      <c r="CK502" s="300"/>
      <c r="CL502" s="449"/>
      <c r="CM502" s="445"/>
      <c r="DG502" s="445"/>
      <c r="DH502" s="300"/>
      <c r="DI502" s="301"/>
      <c r="DJ502" s="458" t="s">
        <v>157</v>
      </c>
      <c r="DK502" s="458" t="s">
        <v>158</v>
      </c>
      <c r="DL502" s="459" t="s">
        <v>159</v>
      </c>
      <c r="DM502" s="459"/>
      <c r="DN502" s="460" t="s">
        <v>160</v>
      </c>
      <c r="DO502" s="459" t="s">
        <v>135</v>
      </c>
      <c r="DP502" s="302"/>
      <c r="DQ502" s="302"/>
      <c r="DR502" s="364"/>
      <c r="DS502" s="302"/>
      <c r="DU502" s="424"/>
      <c r="DV502" s="424"/>
      <c r="DW502" s="424"/>
      <c r="DX502" s="424"/>
      <c r="DY502" s="424"/>
      <c r="DZ502" s="424"/>
      <c r="EA502" s="424"/>
      <c r="EB502" s="424"/>
      <c r="EC502" s="424"/>
      <c r="ED502" s="424"/>
      <c r="EE502" s="424"/>
      <c r="EF502" s="424"/>
      <c r="EG502" s="424"/>
      <c r="EH502" s="424"/>
      <c r="EI502" s="424"/>
      <c r="EJ502" s="424"/>
      <c r="EK502" s="424"/>
      <c r="EL502" s="424"/>
      <c r="EM502" s="424"/>
      <c r="EN502" s="424"/>
      <c r="EO502" s="424"/>
      <c r="EP502" s="424"/>
      <c r="EQ502" s="424"/>
      <c r="ER502" s="404" t="str">
        <f ca="1">ER499</f>
        <v/>
      </c>
      <c r="ES502" s="371" t="str">
        <f ca="1">IF(OR(ER502="",EY502="",ER502=EY502),"",CONCATENATE(ER502,EY502))</f>
        <v/>
      </c>
      <c r="ET502" s="369" t="str">
        <f ca="1">IF(ES502="","",CONCATENATE(VLOOKUP(ES502,games.a,9,FALSE),VLOOKUP(ES502,games.a,12,FALSE)))</f>
        <v/>
      </c>
      <c r="EU502" s="420"/>
      <c r="EV502" s="421"/>
      <c r="EW502" s="423" t="str">
        <f ca="1">IF(ES502="","",VLOOKUP(ES502,games.a,6,FALSE))</f>
        <v/>
      </c>
      <c r="EX502" s="409" t="str">
        <f ca="1">IF(ES502="","",VLOOKUP(ES502,games.a,7,FALSE))</f>
        <v/>
      </c>
      <c r="EY502" s="415" t="str">
        <f ca="1">EY501</f>
        <v/>
      </c>
      <c r="EZ502" s="416"/>
      <c r="FA502" s="417"/>
      <c r="FB502" s="424"/>
      <c r="FC502" s="424"/>
      <c r="FD502" s="425"/>
      <c r="FE502" s="333"/>
    </row>
    <row r="503" spans="86:161" x14ac:dyDescent="0.25">
      <c r="CH503" s="445"/>
      <c r="CI503" s="300"/>
      <c r="CJ503" s="300"/>
      <c r="CK503" s="300"/>
      <c r="CL503" s="449"/>
      <c r="CM503" s="445"/>
      <c r="DG503" s="445"/>
      <c r="DH503" s="300"/>
      <c r="DI503" s="395" t="str">
        <f ca="1">DI495</f>
        <v>Hercules-Ludovika</v>
      </c>
      <c r="DJ503" s="465" t="str">
        <f t="shared" ref="DJ503:DJ509" ca="1" si="968">IF(OR(DI503="",DP503="",DI503=DP503,COUNTIF(games.av,DI503&amp;DP503)=0),"",CONCATENATE(DI503,DP503))</f>
        <v/>
      </c>
      <c r="DK503" s="360" t="str">
        <f t="shared" ref="DK503:DK509" ca="1" si="969">IF($DJ503="","",CONCATENATE(VLOOKUP($DJ503,games.a,9,FALSE),VLOOKUP($DJ503,games.a,12,FALSE)))</f>
        <v/>
      </c>
      <c r="DL503" s="354" t="str">
        <f t="shared" ref="DL503:DL509" ca="1" si="970">IF($DJ503="","",VLOOKUP($DJ503,games.a,10,FALSE))</f>
        <v/>
      </c>
      <c r="DM503" s="354" t="str">
        <f t="shared" ref="DM503:DM509" ca="1" si="971">IF($DJ503="","",VLOOKUP($DJ503,games.a,13,FALSE))</f>
        <v/>
      </c>
      <c r="DN503" s="361" t="str">
        <f t="shared" ref="DN503:DN509" ca="1" si="972">IF($DJ503="","",VLOOKUP($DJ503,games.a,6,FALSE))</f>
        <v/>
      </c>
      <c r="DO503" s="362" t="str">
        <f t="shared" ref="DO503:DO509" ca="1" si="973">IF($DJ503="","",VLOOKUP($DJ503,games.a,7,FALSE))</f>
        <v/>
      </c>
      <c r="DP503" s="466" t="str">
        <f ca="1">DI461</f>
        <v/>
      </c>
      <c r="DQ503" s="302"/>
      <c r="DR503" s="364"/>
      <c r="DS503" s="302"/>
      <c r="DU503" s="424"/>
      <c r="DV503" s="424"/>
      <c r="DW503" s="424"/>
      <c r="DX503" s="424"/>
      <c r="DY503" s="424"/>
      <c r="DZ503" s="424"/>
      <c r="EA503" s="424"/>
      <c r="EB503" s="424"/>
      <c r="EC503" s="424"/>
      <c r="ED503" s="424"/>
      <c r="EE503" s="424"/>
      <c r="EF503" s="424"/>
      <c r="EG503" s="424"/>
      <c r="EH503" s="424"/>
      <c r="EI503" s="424"/>
      <c r="EJ503" s="424"/>
      <c r="EK503" s="424"/>
      <c r="EL503" s="424"/>
      <c r="EM503" s="424"/>
      <c r="EN503" s="424"/>
      <c r="EO503" s="424"/>
      <c r="EP503" s="424"/>
      <c r="EQ503" s="424"/>
      <c r="ER503" s="424"/>
      <c r="ES503" s="424"/>
      <c r="ET503" s="424"/>
      <c r="EU503" s="424"/>
      <c r="EV503" s="424"/>
      <c r="EW503" s="424"/>
      <c r="EX503" s="424"/>
      <c r="EY503" s="424"/>
      <c r="EZ503" s="424"/>
      <c r="FA503" s="424"/>
      <c r="FB503" s="424"/>
      <c r="FC503" s="424"/>
      <c r="FD503" s="425"/>
      <c r="FE503" s="333"/>
    </row>
    <row r="504" spans="86:161" x14ac:dyDescent="0.25">
      <c r="CH504" s="445"/>
      <c r="CI504" s="300"/>
      <c r="CJ504" s="300"/>
      <c r="CK504" s="300"/>
      <c r="CL504" s="449"/>
      <c r="CM504" s="445"/>
      <c r="DG504" s="445"/>
      <c r="DH504" s="300"/>
      <c r="DI504" s="395" t="str">
        <f t="shared" ref="DI504:DI509" ca="1" si="974">DI496</f>
        <v>Élelmesek</v>
      </c>
      <c r="DJ504" s="465" t="str">
        <f t="shared" ca="1" si="968"/>
        <v/>
      </c>
      <c r="DK504" s="360" t="str">
        <f t="shared" ca="1" si="969"/>
        <v/>
      </c>
      <c r="DL504" s="354" t="str">
        <f t="shared" ca="1" si="970"/>
        <v/>
      </c>
      <c r="DM504" s="354" t="str">
        <f t="shared" ca="1" si="971"/>
        <v/>
      </c>
      <c r="DN504" s="361" t="str">
        <f t="shared" ca="1" si="972"/>
        <v/>
      </c>
      <c r="DO504" s="362" t="str">
        <f t="shared" ca="1" si="973"/>
        <v/>
      </c>
      <c r="DP504" s="379" t="str">
        <f t="shared" ref="DP504:DP509" ca="1" si="975">DP503</f>
        <v/>
      </c>
      <c r="DQ504" s="302"/>
      <c r="DR504" s="364"/>
      <c r="DS504" s="302"/>
      <c r="DU504" s="424"/>
      <c r="DV504" s="424"/>
      <c r="DW504" s="424"/>
      <c r="DX504" s="424"/>
      <c r="DY504" s="424"/>
      <c r="DZ504" s="424"/>
      <c r="EA504" s="424"/>
      <c r="EB504" s="424"/>
      <c r="EC504" s="424"/>
      <c r="ED504" s="424"/>
      <c r="EE504" s="424"/>
      <c r="EF504" s="424"/>
      <c r="EG504" s="424"/>
      <c r="EH504" s="424"/>
      <c r="EI504" s="424"/>
      <c r="EJ504" s="424"/>
      <c r="EK504" s="424"/>
      <c r="EL504" s="424"/>
      <c r="EM504" s="424"/>
      <c r="EN504" s="424"/>
      <c r="EO504" s="424"/>
      <c r="EP504" s="424"/>
      <c r="EQ504" s="424"/>
      <c r="ER504" s="398"/>
      <c r="ES504" s="329" t="s">
        <v>157</v>
      </c>
      <c r="ET504" s="329" t="s">
        <v>158</v>
      </c>
      <c r="EU504" s="399"/>
      <c r="EV504" s="400"/>
      <c r="EW504" s="401" t="s">
        <v>160</v>
      </c>
      <c r="EX504" s="402" t="s">
        <v>135</v>
      </c>
      <c r="EY504" s="365"/>
      <c r="EZ504" s="365"/>
      <c r="FA504" s="365"/>
      <c r="FB504" s="424"/>
      <c r="FC504" s="424"/>
      <c r="FD504" s="425"/>
      <c r="FE504" s="333"/>
    </row>
    <row r="505" spans="86:161" x14ac:dyDescent="0.25">
      <c r="CH505" s="445"/>
      <c r="CI505" s="300"/>
      <c r="CJ505" s="300"/>
      <c r="CK505" s="300"/>
      <c r="CL505" s="449"/>
      <c r="CM505" s="445"/>
      <c r="DG505" s="445"/>
      <c r="DH505" s="300"/>
      <c r="DI505" s="395" t="str">
        <f t="shared" ca="1" si="974"/>
        <v/>
      </c>
      <c r="DJ505" s="465" t="str">
        <f t="shared" ca="1" si="968"/>
        <v/>
      </c>
      <c r="DK505" s="360" t="str">
        <f t="shared" ca="1" si="969"/>
        <v/>
      </c>
      <c r="DL505" s="354" t="str">
        <f t="shared" ca="1" si="970"/>
        <v/>
      </c>
      <c r="DM505" s="354" t="str">
        <f t="shared" ca="1" si="971"/>
        <v/>
      </c>
      <c r="DN505" s="361" t="str">
        <f t="shared" ca="1" si="972"/>
        <v/>
      </c>
      <c r="DO505" s="362" t="str">
        <f t="shared" ca="1" si="973"/>
        <v/>
      </c>
      <c r="DP505" s="379" t="str">
        <f t="shared" ca="1" si="975"/>
        <v/>
      </c>
      <c r="DQ505" s="302"/>
      <c r="DR505" s="364"/>
      <c r="DS505" s="302"/>
      <c r="DU505" s="424"/>
      <c r="DV505" s="424"/>
      <c r="DW505" s="424"/>
      <c r="DX505" s="424"/>
      <c r="DY505" s="424"/>
      <c r="DZ505" s="424"/>
      <c r="EA505" s="424"/>
      <c r="EB505" s="424"/>
      <c r="EC505" s="424"/>
      <c r="ED505" s="424"/>
      <c r="EE505" s="424"/>
      <c r="EF505" s="424"/>
      <c r="EG505" s="424"/>
      <c r="EH505" s="424"/>
      <c r="EI505" s="424"/>
      <c r="EJ505" s="424"/>
      <c r="EK505" s="424"/>
      <c r="EL505" s="424"/>
      <c r="EM505" s="424"/>
      <c r="EN505" s="424"/>
      <c r="EO505" s="424"/>
      <c r="EP505" s="424"/>
      <c r="EQ505" s="424"/>
      <c r="ER505" s="404" t="str">
        <f ca="1">IF(FA455="","",VLOOKUP(FA455,yyy.av1.7,10,FALSE))</f>
        <v/>
      </c>
      <c r="ES505" s="371" t="str">
        <f ca="1">IF(OR(ER505="",EY505="",ER505=EY505),"",CONCATENATE(ER505,EY505))</f>
        <v/>
      </c>
      <c r="ET505" s="369" t="str">
        <f ca="1">IF(ES505="","",CONCATENATE(VLOOKUP(ES505,games.a,9,FALSE),VLOOKUP(ES505,games.a,12,FALSE)))</f>
        <v/>
      </c>
      <c r="EU505" s="406"/>
      <c r="EV505" s="407"/>
      <c r="EW505" s="423" t="str">
        <f ca="1">IF(ES505="","",VLOOKUP(ES505,games.a,6,FALSE))</f>
        <v/>
      </c>
      <c r="EX505" s="409" t="str">
        <f ca="1">IF(ES505="","",VLOOKUP(ES505,games.a,7,FALSE))</f>
        <v/>
      </c>
      <c r="EY505" s="410" t="str">
        <f ca="1">ER505</f>
        <v/>
      </c>
      <c r="EZ505" s="411"/>
      <c r="FA505" s="412"/>
      <c r="FB505" s="424"/>
      <c r="FC505" s="424"/>
      <c r="FD505" s="425"/>
      <c r="FE505" s="333"/>
    </row>
    <row r="506" spans="86:161" x14ac:dyDescent="0.25">
      <c r="CH506" s="445"/>
      <c r="CI506" s="300"/>
      <c r="CJ506" s="300"/>
      <c r="CK506" s="300"/>
      <c r="CL506" s="449"/>
      <c r="CM506" s="445"/>
      <c r="DG506" s="445"/>
      <c r="DH506" s="300"/>
      <c r="DI506" s="395" t="str">
        <f t="shared" ca="1" si="974"/>
        <v/>
      </c>
      <c r="DJ506" s="465" t="str">
        <f t="shared" ca="1" si="968"/>
        <v/>
      </c>
      <c r="DK506" s="360" t="str">
        <f t="shared" ca="1" si="969"/>
        <v/>
      </c>
      <c r="DL506" s="354" t="str">
        <f t="shared" ca="1" si="970"/>
        <v/>
      </c>
      <c r="DM506" s="354" t="str">
        <f t="shared" ca="1" si="971"/>
        <v/>
      </c>
      <c r="DN506" s="361" t="str">
        <f t="shared" ca="1" si="972"/>
        <v/>
      </c>
      <c r="DO506" s="362" t="str">
        <f t="shared" ca="1" si="973"/>
        <v/>
      </c>
      <c r="DP506" s="379" t="str">
        <f t="shared" ca="1" si="975"/>
        <v/>
      </c>
      <c r="DQ506" s="302"/>
      <c r="DR506" s="364"/>
      <c r="DS506" s="302"/>
      <c r="DU506" s="424"/>
      <c r="DV506" s="424"/>
      <c r="DW506" s="424"/>
      <c r="DX506" s="424"/>
      <c r="DY506" s="424"/>
      <c r="DZ506" s="424"/>
      <c r="EA506" s="424"/>
      <c r="EB506" s="424"/>
      <c r="EC506" s="424"/>
      <c r="ED506" s="424"/>
      <c r="EE506" s="424"/>
      <c r="EF506" s="424"/>
      <c r="EG506" s="424"/>
      <c r="EH506" s="424"/>
      <c r="EI506" s="424"/>
      <c r="EJ506" s="424"/>
      <c r="EK506" s="424"/>
      <c r="EL506" s="424"/>
      <c r="EM506" s="424"/>
      <c r="EN506" s="424"/>
      <c r="EO506" s="424"/>
      <c r="EP506" s="424"/>
      <c r="EQ506" s="424"/>
      <c r="ER506" s="404" t="str">
        <f ca="1">IF(FA456="","",VLOOKUP(FA456,yyy.av1.7,10,FALSE))</f>
        <v/>
      </c>
      <c r="ES506" s="371" t="str">
        <f ca="1">IF(OR(ER506="",EY506="",ER506=EY506),"",CONCATENATE(ER506,EY506))</f>
        <v/>
      </c>
      <c r="ET506" s="369" t="str">
        <f ca="1">IF(ES506="","",CONCATENATE(VLOOKUP(ES506,games.a,9,FALSE),VLOOKUP(ES506,games.a,12,FALSE)))</f>
        <v/>
      </c>
      <c r="EU506" s="413"/>
      <c r="EV506" s="414"/>
      <c r="EW506" s="423" t="str">
        <f ca="1">IF(ES506="","",VLOOKUP(ES506,games.a,6,FALSE))</f>
        <v/>
      </c>
      <c r="EX506" s="409" t="str">
        <f ca="1">IF(ES506="","",VLOOKUP(ES506,games.a,7,FALSE))</f>
        <v/>
      </c>
      <c r="EY506" s="415" t="str">
        <f ca="1">EY505</f>
        <v/>
      </c>
      <c r="EZ506" s="416"/>
      <c r="FA506" s="417"/>
      <c r="FB506" s="424"/>
      <c r="FC506" s="424"/>
      <c r="FD506" s="425"/>
      <c r="FE506" s="333"/>
    </row>
    <row r="507" spans="86:161" x14ac:dyDescent="0.25">
      <c r="CH507" s="445"/>
      <c r="CI507" s="300"/>
      <c r="CJ507" s="300"/>
      <c r="CK507" s="300"/>
      <c r="CL507" s="449"/>
      <c r="CM507" s="445"/>
      <c r="DG507" s="445"/>
      <c r="DH507" s="300"/>
      <c r="DI507" s="395" t="str">
        <f t="shared" ca="1" si="974"/>
        <v/>
      </c>
      <c r="DJ507" s="465" t="str">
        <f t="shared" ca="1" si="968"/>
        <v/>
      </c>
      <c r="DK507" s="360" t="str">
        <f t="shared" ca="1" si="969"/>
        <v/>
      </c>
      <c r="DL507" s="354" t="str">
        <f t="shared" ca="1" si="970"/>
        <v/>
      </c>
      <c r="DM507" s="354" t="str">
        <f t="shared" ca="1" si="971"/>
        <v/>
      </c>
      <c r="DN507" s="361" t="str">
        <f t="shared" ca="1" si="972"/>
        <v/>
      </c>
      <c r="DO507" s="362" t="str">
        <f t="shared" ca="1" si="973"/>
        <v/>
      </c>
      <c r="DP507" s="379" t="str">
        <f t="shared" ca="1" si="975"/>
        <v/>
      </c>
      <c r="DQ507" s="302"/>
      <c r="DR507" s="364"/>
      <c r="DS507" s="302"/>
      <c r="DU507" s="424"/>
      <c r="DV507" s="424"/>
      <c r="DW507" s="424"/>
      <c r="DX507" s="424"/>
      <c r="DY507" s="424"/>
      <c r="DZ507" s="424"/>
      <c r="EA507" s="424"/>
      <c r="EB507" s="424"/>
      <c r="EC507" s="424"/>
      <c r="ED507" s="424"/>
      <c r="EE507" s="424"/>
      <c r="EF507" s="424"/>
      <c r="EG507" s="424"/>
      <c r="EH507" s="424"/>
      <c r="EI507" s="424"/>
      <c r="EJ507" s="424"/>
      <c r="EK507" s="424"/>
      <c r="EL507" s="424"/>
      <c r="EM507" s="424"/>
      <c r="EN507" s="424"/>
      <c r="EO507" s="424"/>
      <c r="EP507" s="424"/>
      <c r="EQ507" s="424"/>
      <c r="ER507" s="398"/>
      <c r="ES507" s="329" t="s">
        <v>157</v>
      </c>
      <c r="ET507" s="329" t="s">
        <v>158</v>
      </c>
      <c r="EU507" s="399"/>
      <c r="EV507" s="400"/>
      <c r="EW507" s="401" t="s">
        <v>160</v>
      </c>
      <c r="EX507" s="402" t="s">
        <v>135</v>
      </c>
      <c r="EY507" s="398"/>
      <c r="EZ507" s="365"/>
      <c r="FA507" s="365"/>
      <c r="FB507" s="424"/>
      <c r="FC507" s="424"/>
      <c r="FD507" s="425"/>
      <c r="FE507" s="333"/>
    </row>
    <row r="508" spans="86:161" x14ac:dyDescent="0.25">
      <c r="CH508" s="445"/>
      <c r="CI508" s="300"/>
      <c r="CJ508" s="300"/>
      <c r="CK508" s="300"/>
      <c r="CL508" s="449"/>
      <c r="CM508" s="445"/>
      <c r="DG508" s="445"/>
      <c r="DH508" s="300"/>
      <c r="DI508" s="395" t="str">
        <f t="shared" ca="1" si="974"/>
        <v/>
      </c>
      <c r="DJ508" s="465" t="str">
        <f t="shared" ca="1" si="968"/>
        <v/>
      </c>
      <c r="DK508" s="360" t="str">
        <f t="shared" ca="1" si="969"/>
        <v/>
      </c>
      <c r="DL508" s="354" t="str">
        <f t="shared" ca="1" si="970"/>
        <v/>
      </c>
      <c r="DM508" s="354" t="str">
        <f t="shared" ca="1" si="971"/>
        <v/>
      </c>
      <c r="DN508" s="361" t="str">
        <f t="shared" ca="1" si="972"/>
        <v/>
      </c>
      <c r="DO508" s="362" t="str">
        <f t="shared" ca="1" si="973"/>
        <v/>
      </c>
      <c r="DP508" s="379" t="str">
        <f t="shared" ca="1" si="975"/>
        <v/>
      </c>
      <c r="DQ508" s="302"/>
      <c r="DR508" s="364"/>
      <c r="DS508" s="302"/>
      <c r="DU508" s="424"/>
      <c r="DV508" s="424"/>
      <c r="DW508" s="424"/>
      <c r="DX508" s="424"/>
      <c r="DY508" s="424"/>
      <c r="DZ508" s="424"/>
      <c r="EA508" s="424"/>
      <c r="EB508" s="424"/>
      <c r="EC508" s="424"/>
      <c r="ED508" s="424"/>
      <c r="EE508" s="424"/>
      <c r="EF508" s="424"/>
      <c r="EG508" s="424"/>
      <c r="EH508" s="424"/>
      <c r="EI508" s="424"/>
      <c r="EJ508" s="424"/>
      <c r="EK508" s="424"/>
      <c r="EL508" s="424"/>
      <c r="EM508" s="424"/>
      <c r="EN508" s="424"/>
      <c r="EO508" s="424"/>
      <c r="EP508" s="424"/>
      <c r="EQ508" s="424"/>
      <c r="ER508" s="404" t="str">
        <f ca="1">ER505</f>
        <v/>
      </c>
      <c r="ES508" s="371" t="str">
        <f ca="1">IF(OR(ER508="",EY508="",ER508=EY508),"",CONCATENATE(ER508,EY508))</f>
        <v/>
      </c>
      <c r="ET508" s="369" t="str">
        <f ca="1">IF(ES508="","",CONCATENATE(VLOOKUP(ES508,games.a,9,FALSE),VLOOKUP(ES508,games.a,12,FALSE)))</f>
        <v/>
      </c>
      <c r="EU508" s="406"/>
      <c r="EV508" s="407"/>
      <c r="EW508" s="423" t="str">
        <f ca="1">IF(ES508="","",VLOOKUP(ES508,games.a,6,FALSE))</f>
        <v/>
      </c>
      <c r="EX508" s="409" t="str">
        <f ca="1">IF(ES508="","",VLOOKUP(ES508,games.a,7,FALSE))</f>
        <v/>
      </c>
      <c r="EY508" s="410" t="str">
        <f ca="1">ER506</f>
        <v/>
      </c>
      <c r="EZ508" s="411"/>
      <c r="FA508" s="412"/>
      <c r="FB508" s="424"/>
      <c r="FC508" s="424"/>
      <c r="FD508" s="425"/>
      <c r="FE508" s="333"/>
    </row>
    <row r="509" spans="86:161" x14ac:dyDescent="0.25">
      <c r="CH509" s="445"/>
      <c r="CI509" s="300"/>
      <c r="CJ509" s="300"/>
      <c r="CK509" s="300"/>
      <c r="CL509" s="449"/>
      <c r="CM509" s="445"/>
      <c r="DG509" s="445"/>
      <c r="DH509" s="300"/>
      <c r="DI509" s="395" t="str">
        <f t="shared" ca="1" si="974"/>
        <v/>
      </c>
      <c r="DJ509" s="465" t="str">
        <f t="shared" ca="1" si="968"/>
        <v/>
      </c>
      <c r="DK509" s="360" t="str">
        <f t="shared" ca="1" si="969"/>
        <v/>
      </c>
      <c r="DL509" s="354" t="str">
        <f t="shared" ca="1" si="970"/>
        <v/>
      </c>
      <c r="DM509" s="354" t="str">
        <f t="shared" ca="1" si="971"/>
        <v/>
      </c>
      <c r="DN509" s="361" t="str">
        <f t="shared" ca="1" si="972"/>
        <v/>
      </c>
      <c r="DO509" s="362" t="str">
        <f t="shared" ca="1" si="973"/>
        <v/>
      </c>
      <c r="DP509" s="379" t="str">
        <f t="shared" ca="1" si="975"/>
        <v/>
      </c>
      <c r="DQ509" s="302"/>
      <c r="DR509" s="364"/>
      <c r="DS509" s="302"/>
      <c r="DU509" s="424"/>
      <c r="DV509" s="424"/>
      <c r="DW509" s="424"/>
      <c r="DX509" s="424"/>
      <c r="DY509" s="424"/>
      <c r="DZ509" s="424"/>
      <c r="EA509" s="424"/>
      <c r="EB509" s="424"/>
      <c r="EC509" s="424"/>
      <c r="ED509" s="424"/>
      <c r="EE509" s="424"/>
      <c r="EF509" s="424"/>
      <c r="EG509" s="424"/>
      <c r="EH509" s="424"/>
      <c r="EI509" s="424"/>
      <c r="EJ509" s="424"/>
      <c r="EK509" s="424"/>
      <c r="EL509" s="424"/>
      <c r="EM509" s="424"/>
      <c r="EN509" s="424"/>
      <c r="EO509" s="424"/>
      <c r="EP509" s="424"/>
      <c r="EQ509" s="424"/>
      <c r="ER509" s="404" t="str">
        <f ca="1">ER506</f>
        <v/>
      </c>
      <c r="ES509" s="371" t="str">
        <f ca="1">IF(OR(ER509="",EY509="",ER509=EY509),"",CONCATENATE(ER509,EY509))</f>
        <v/>
      </c>
      <c r="ET509" s="369" t="str">
        <f ca="1">IF(ES509="","",CONCATENATE(VLOOKUP(ES509,games.a,9,FALSE),VLOOKUP(ES509,games.a,12,FALSE)))</f>
        <v/>
      </c>
      <c r="EU509" s="420"/>
      <c r="EV509" s="421"/>
      <c r="EW509" s="423" t="str">
        <f ca="1">IF(ES509="","",VLOOKUP(ES509,games.a,6,FALSE))</f>
        <v/>
      </c>
      <c r="EX509" s="409" t="str">
        <f ca="1">IF(ES509="","",VLOOKUP(ES509,games.a,7,FALSE))</f>
        <v/>
      </c>
      <c r="EY509" s="415" t="str">
        <f ca="1">EY508</f>
        <v/>
      </c>
      <c r="EZ509" s="416"/>
      <c r="FA509" s="417"/>
      <c r="FB509" s="424"/>
      <c r="FC509" s="424"/>
      <c r="FD509" s="425"/>
      <c r="FE509" s="333"/>
    </row>
    <row r="510" spans="86:161" x14ac:dyDescent="0.25">
      <c r="CH510" s="445"/>
      <c r="CI510" s="300"/>
      <c r="CJ510" s="300"/>
      <c r="CK510" s="300"/>
      <c r="CL510" s="449"/>
      <c r="CM510" s="445"/>
      <c r="DG510" s="445"/>
      <c r="DH510" s="445"/>
      <c r="DI510" s="301"/>
      <c r="DJ510" s="302"/>
      <c r="DK510" s="302"/>
      <c r="DL510" s="302"/>
      <c r="DM510" s="302"/>
      <c r="DN510" s="302"/>
      <c r="DO510" s="302"/>
      <c r="DP510" s="447"/>
      <c r="DQ510" s="302"/>
      <c r="DR510" s="446" t="s">
        <v>215</v>
      </c>
      <c r="DS510" s="302"/>
      <c r="DU510" s="424"/>
      <c r="DV510" s="424"/>
      <c r="DW510" s="424"/>
      <c r="DX510" s="424"/>
      <c r="DY510" s="424"/>
      <c r="DZ510" s="424"/>
      <c r="EA510" s="424"/>
      <c r="EB510" s="424"/>
      <c r="EC510" s="424"/>
      <c r="ED510" s="424"/>
      <c r="EE510" s="424"/>
      <c r="EF510" s="424"/>
      <c r="EG510" s="424"/>
      <c r="EH510" s="424"/>
      <c r="EI510" s="424"/>
      <c r="EJ510" s="424"/>
      <c r="EK510" s="424"/>
      <c r="EL510" s="424"/>
      <c r="EM510" s="424"/>
      <c r="EN510" s="424"/>
      <c r="EO510" s="424"/>
      <c r="EP510" s="424"/>
      <c r="EQ510" s="424"/>
      <c r="ER510" s="424"/>
      <c r="ES510" s="424"/>
      <c r="ET510" s="424"/>
      <c r="EU510" s="424"/>
      <c r="EV510" s="424"/>
      <c r="EW510" s="424"/>
      <c r="EX510" s="424"/>
      <c r="EY510" s="424"/>
      <c r="EZ510" s="424"/>
      <c r="FA510" s="424"/>
      <c r="FB510" s="424"/>
      <c r="FC510" s="424"/>
      <c r="FD510" s="425"/>
      <c r="FE510" s="333"/>
    </row>
    <row r="511" spans="86:161" x14ac:dyDescent="0.25">
      <c r="CH511" s="445"/>
      <c r="CI511" s="300"/>
      <c r="CJ511" s="300"/>
      <c r="CK511" s="300"/>
      <c r="CL511" s="449"/>
      <c r="CM511" s="445"/>
      <c r="DG511" s="445"/>
      <c r="DH511" s="445"/>
      <c r="DI511" s="301"/>
      <c r="DJ511" s="302"/>
      <c r="DK511" s="302"/>
      <c r="DL511" s="302"/>
      <c r="DM511" s="302"/>
      <c r="DN511" s="302"/>
      <c r="DO511" s="302"/>
      <c r="DP511" s="447"/>
      <c r="DQ511" s="302"/>
      <c r="DR511" s="450" t="s">
        <v>216</v>
      </c>
      <c r="DS511" s="302"/>
      <c r="DU511" s="424"/>
      <c r="DV511" s="424"/>
      <c r="DW511" s="424"/>
      <c r="DX511" s="424"/>
      <c r="DY511" s="424"/>
      <c r="DZ511" s="424"/>
      <c r="EA511" s="424"/>
      <c r="EB511" s="424"/>
      <c r="EC511" s="424"/>
      <c r="ED511" s="424"/>
      <c r="EE511" s="424"/>
      <c r="EF511" s="424"/>
      <c r="EG511" s="424"/>
      <c r="EH511" s="424"/>
      <c r="EI511" s="424"/>
      <c r="EJ511" s="424"/>
      <c r="EK511" s="424"/>
      <c r="EL511" s="424"/>
      <c r="EM511" s="424"/>
      <c r="EN511" s="424"/>
      <c r="EO511" s="424"/>
      <c r="EP511" s="424"/>
      <c r="EQ511" s="424"/>
      <c r="ER511" s="424"/>
      <c r="ES511" s="424"/>
      <c r="ET511" s="424"/>
      <c r="EU511" s="424"/>
      <c r="EV511" s="424"/>
      <c r="EW511" s="424"/>
      <c r="EX511" s="424"/>
      <c r="EY511" s="424"/>
      <c r="EZ511" s="424"/>
      <c r="FA511" s="424"/>
      <c r="FB511" s="424"/>
      <c r="FC511" s="424"/>
      <c r="FD511" s="425"/>
      <c r="FE511" s="333"/>
    </row>
    <row r="512" spans="86:161" x14ac:dyDescent="0.25">
      <c r="CH512" s="445"/>
      <c r="CI512" s="300"/>
      <c r="CJ512" s="300"/>
      <c r="CK512" s="300"/>
      <c r="CL512" s="449"/>
      <c r="CM512" s="445"/>
      <c r="DG512" s="445"/>
      <c r="DH512" s="300"/>
      <c r="DI512" s="323" t="b">
        <f ca="1">OR(NOT($AJ$44),COUNTIF(DN512:DN541,"")=25-(DP512-1)*DP512,COUNTIF(DN512:DN541,"")=25-(DP512-1)*DP512/2)</f>
        <v>1</v>
      </c>
      <c r="DJ512" s="458" t="s">
        <v>157</v>
      </c>
      <c r="DK512" s="458" t="s">
        <v>158</v>
      </c>
      <c r="DL512" s="459" t="s">
        <v>159</v>
      </c>
      <c r="DM512" s="459"/>
      <c r="DN512" s="460" t="s">
        <v>160</v>
      </c>
      <c r="DO512" s="459" t="s">
        <v>135</v>
      </c>
      <c r="DP512" s="323">
        <f ca="1">COUNT(CW343:CW347)</f>
        <v>2</v>
      </c>
      <c r="DQ512" s="302"/>
      <c r="DR512" s="364"/>
      <c r="DS512" s="302"/>
      <c r="DU512" s="424"/>
      <c r="DV512" s="329" t="s">
        <v>229</v>
      </c>
      <c r="DW512" s="365"/>
      <c r="DX512" s="329" t="s">
        <v>152</v>
      </c>
      <c r="DY512" s="329" t="s">
        <v>153</v>
      </c>
      <c r="DZ512" s="329" t="s">
        <v>154</v>
      </c>
      <c r="EA512" s="329" t="s">
        <v>155</v>
      </c>
      <c r="EB512" s="329" t="s">
        <v>125</v>
      </c>
      <c r="EC512" s="329" t="s">
        <v>226</v>
      </c>
      <c r="ED512" s="329" t="s">
        <v>126</v>
      </c>
      <c r="EE512" s="329" t="s">
        <v>227</v>
      </c>
      <c r="EF512" s="424"/>
      <c r="EG512" s="424"/>
      <c r="EH512" s="424"/>
      <c r="EI512" s="329" t="s">
        <v>228</v>
      </c>
      <c r="EJ512" s="329" t="s">
        <v>156</v>
      </c>
      <c r="EK512" s="329" t="s">
        <v>208</v>
      </c>
      <c r="EL512" s="424"/>
      <c r="EM512" s="424"/>
      <c r="EN512" s="424"/>
      <c r="EO512" s="424"/>
      <c r="EP512" s="424"/>
      <c r="EQ512" s="424"/>
      <c r="ER512" s="424"/>
      <c r="ES512" s="424"/>
      <c r="ET512" s="424"/>
      <c r="EU512" s="424"/>
      <c r="EV512" s="424"/>
      <c r="EW512" s="424"/>
      <c r="EX512" s="424"/>
      <c r="EY512" s="424"/>
      <c r="EZ512" s="424"/>
      <c r="FA512" s="424"/>
      <c r="FB512" s="424"/>
      <c r="FC512" s="424"/>
      <c r="FD512" s="425"/>
      <c r="FE512" s="333"/>
    </row>
    <row r="513" spans="86:161" x14ac:dyDescent="0.25">
      <c r="CH513" s="445"/>
      <c r="CI513" s="300"/>
      <c r="CJ513" s="300"/>
      <c r="CK513" s="300"/>
      <c r="CL513" s="449"/>
      <c r="CM513" s="445"/>
      <c r="DG513" s="445"/>
      <c r="DH513" s="300"/>
      <c r="DI513" s="464" t="str">
        <f ca="1">IF(CW343="","",VLOOKUP(CW343,xxx.av1,10,FALSE))</f>
        <v>K&amp;H</v>
      </c>
      <c r="DJ513" s="465" t="str">
        <f ca="1">IF(OR(DI513="",DP513="",DI513=DP513,COUNTIF(games.av,DI513&amp;DP513)=0),"",CONCATENATE(DI513,DP513))</f>
        <v/>
      </c>
      <c r="DK513" s="360" t="str">
        <f ca="1">IF($DJ513="","",CONCATENATE(VLOOKUP($DJ513,games.a,9,FALSE),VLOOKUP($DJ513,games.a,12,FALSE)))</f>
        <v/>
      </c>
      <c r="DL513" s="354" t="str">
        <f ca="1">IF($DJ513="","",VLOOKUP($DJ513,games.a,10,FALSE))</f>
        <v/>
      </c>
      <c r="DM513" s="354" t="str">
        <f ca="1">IF($DJ513="","",VLOOKUP($DJ513,games.a,13,FALSE))</f>
        <v/>
      </c>
      <c r="DN513" s="361" t="str">
        <f ca="1">IF($DJ513="","",VLOOKUP($DJ513,games.a,6,FALSE))</f>
        <v/>
      </c>
      <c r="DO513" s="362" t="str">
        <f ca="1">IF($DJ513="","",VLOOKUP($DJ513,games.a,7,FALSE))</f>
        <v/>
      </c>
      <c r="DP513" s="466" t="str">
        <f ca="1">DI513</f>
        <v>K&amp;H</v>
      </c>
      <c r="DQ513" s="302"/>
      <c r="DR513" s="364"/>
      <c r="DS513" s="302"/>
      <c r="DU513" s="424"/>
      <c r="DV513" s="366" t="str">
        <f ca="1">IF(OR(NOT($AJ$44),DI512),DI513,"")</f>
        <v>K&amp;H</v>
      </c>
      <c r="DW513" s="365"/>
      <c r="DX513" s="366">
        <f ca="1">IF($DV513="",0,COUNTIF(xxgy.av,$DV513))</f>
        <v>0</v>
      </c>
      <c r="DY513" s="366">
        <f ca="1">IF($DV513="",0,COUNTIF(xxd.av,$DV513))</f>
        <v>0</v>
      </c>
      <c r="DZ513" s="366">
        <f ca="1">IF($DV513="",0,1)*(SUMIF(xxo.av,$DV513,xxl.av)+SUMIF(xxi.av,$DV513,xxk.av))</f>
        <v>4</v>
      </c>
      <c r="EA513" s="366">
        <f ca="1">IF($DV513="",0,1)*(SUMIF(xxo.av,$DV513,xxk.av)+SUMIF(xxi.av,$DV513,xxl.av))</f>
        <v>7</v>
      </c>
      <c r="EB513" s="366">
        <f ca="1">DZ513-EA513</f>
        <v>-3</v>
      </c>
      <c r="EC513" s="366">
        <f ca="1">IF(EA513=0,0,DZ513/EA513)</f>
        <v>0.5714285714285714</v>
      </c>
      <c r="ED513" s="366">
        <f ca="1">$AJ$48*DX513+IF($AJ$44,0,1)*DY513</f>
        <v>0</v>
      </c>
      <c r="EE513" s="396">
        <f ca="1">ED513*1000000+IF($AJ$44,EC513,EB513)*1000*0</f>
        <v>0</v>
      </c>
      <c r="EF513" s="424"/>
      <c r="EG513" s="424"/>
      <c r="EH513" s="424"/>
      <c r="EI513" s="366">
        <f ca="1">IF(OR(ISERR(EE513),ISNA(EE513)),0,EE513)</f>
        <v>0</v>
      </c>
      <c r="EJ513" s="366">
        <f ca="1">IF(EI513=0,0,RANK(EI513,EI513:EI517,1))</f>
        <v>0</v>
      </c>
      <c r="EK513" s="366">
        <f ca="1">EJ513*40000*IF(COUNTIF($FC$343:$FC$366,DV513)&gt;0,0,1)</f>
        <v>0</v>
      </c>
      <c r="EL513" s="424"/>
      <c r="EM513" s="424"/>
      <c r="EN513" s="424"/>
      <c r="EO513" s="424"/>
      <c r="EP513" s="424"/>
      <c r="EQ513" s="424"/>
      <c r="ER513" s="424"/>
      <c r="ES513" s="424"/>
      <c r="ET513" s="424"/>
      <c r="EU513" s="424"/>
      <c r="EV513" s="424"/>
      <c r="EW513" s="424"/>
      <c r="EX513" s="424"/>
      <c r="EY513" s="424"/>
      <c r="EZ513" s="424"/>
      <c r="FA513" s="424"/>
      <c r="FB513" s="424"/>
      <c r="FC513" s="424"/>
      <c r="FD513" s="425"/>
      <c r="FE513" s="333"/>
    </row>
    <row r="514" spans="86:161" x14ac:dyDescent="0.25">
      <c r="CH514" s="445"/>
      <c r="CI514" s="300"/>
      <c r="CJ514" s="300"/>
      <c r="CK514" s="300"/>
      <c r="CL514" s="449"/>
      <c r="CM514" s="445"/>
      <c r="DG514" s="445"/>
      <c r="DH514" s="300"/>
      <c r="DI514" s="464" t="str">
        <f ca="1">IF(CW344="","",VLOOKUP(CW344,xxx.av1,10,FALSE))</f>
        <v>BBK</v>
      </c>
      <c r="DJ514" s="465" t="str">
        <f ca="1">IF(OR(DI514="",DP514="",DI514=DP514,COUNTIF(games.av,DI514&amp;DP514)=0),"",CONCATENATE(DI514,DP514))</f>
        <v>BBKK&amp;H</v>
      </c>
      <c r="DK514" s="360" t="str">
        <f ca="1">IF($DJ514="","",CONCATENATE(VLOOKUP($DJ514,games.a,9,FALSE),VLOOKUP($DJ514,games.a,12,FALSE)))</f>
        <v>BBK</v>
      </c>
      <c r="DL514" s="354" t="str">
        <f ca="1">IF($DJ514="","",VLOOKUP($DJ514,games.a,10,FALSE))</f>
        <v/>
      </c>
      <c r="DM514" s="354" t="str">
        <f ca="1">IF($DJ514="","",VLOOKUP($DJ514,games.a,13,FALSE))</f>
        <v/>
      </c>
      <c r="DN514" s="361">
        <f ca="1">IF($DJ514="","",VLOOKUP($DJ514,games.a,6,FALSE))</f>
        <v>3</v>
      </c>
      <c r="DO514" s="362">
        <f ca="1">IF($DJ514="","",VLOOKUP($DJ514,games.a,7,FALSE))</f>
        <v>2</v>
      </c>
      <c r="DP514" s="379" t="str">
        <f ca="1">DP513</f>
        <v>K&amp;H</v>
      </c>
      <c r="DQ514" s="302"/>
      <c r="DR514" s="364"/>
      <c r="DS514" s="302"/>
      <c r="DU514" s="424"/>
      <c r="DV514" s="366" t="str">
        <f ca="1">IF(OR(NOT($AJ$44),DI512),DI514,"")</f>
        <v>BBK</v>
      </c>
      <c r="DW514" s="365"/>
      <c r="DX514" s="366">
        <f ca="1">IF($DV514="",0,COUNTIF(xxgy.av,$DV514))</f>
        <v>2</v>
      </c>
      <c r="DY514" s="366">
        <f ca="1">IF($DV514="",0,COUNTIF(xxd.av,$DV514))</f>
        <v>0</v>
      </c>
      <c r="DZ514" s="366">
        <f ca="1">IF($DV514="",0,1)*(SUMIF(xxo.av,$DV514,xxl.av)+SUMIF(xxi.av,$DV514,xxk.av))</f>
        <v>7</v>
      </c>
      <c r="EA514" s="366">
        <f ca="1">IF($DV514="",0,1)*(SUMIF(xxo.av,$DV514,xxk.av)+SUMIF(xxi.av,$DV514,xxl.av))</f>
        <v>4</v>
      </c>
      <c r="EB514" s="366">
        <f ca="1">DZ514-EA514</f>
        <v>3</v>
      </c>
      <c r="EC514" s="366">
        <f ca="1">IF(EA514=0,0,DZ514/EA514)</f>
        <v>1.75</v>
      </c>
      <c r="ED514" s="366">
        <f ca="1">$AJ$48*DX514+IF($AJ$44,0,1)*DY514</f>
        <v>6</v>
      </c>
      <c r="EE514" s="396">
        <f ca="1">ED514*1000000+IF($AJ$44,EC514,EB514)*1000*0</f>
        <v>6000000</v>
      </c>
      <c r="EF514" s="424"/>
      <c r="EG514" s="424"/>
      <c r="EH514" s="424"/>
      <c r="EI514" s="366">
        <f ca="1">IF(OR(ISERR(EE514),ISNA(EE514)),0,EE514)</f>
        <v>6000000</v>
      </c>
      <c r="EJ514" s="366">
        <f ca="1">IF(EI514=0,0,RANK(EI514,EI513:EI517,1))</f>
        <v>5</v>
      </c>
      <c r="EK514" s="366">
        <f ca="1">EJ514*40000*IF(COUNTIF($FC$343:$FC$366,DV514)&gt;0,0,1)</f>
        <v>200000</v>
      </c>
      <c r="EL514" s="424"/>
      <c r="EM514" s="424"/>
      <c r="EN514" s="424"/>
      <c r="EO514" s="424"/>
      <c r="EP514" s="424"/>
      <c r="EQ514" s="424"/>
      <c r="ER514" s="424"/>
      <c r="ES514" s="424"/>
      <c r="ET514" s="424"/>
      <c r="EU514" s="424"/>
      <c r="EV514" s="424"/>
      <c r="EW514" s="424"/>
      <c r="EX514" s="424"/>
      <c r="EY514" s="424"/>
      <c r="EZ514" s="424"/>
      <c r="FA514" s="424"/>
      <c r="FB514" s="424"/>
      <c r="FC514" s="424"/>
      <c r="FD514" s="425"/>
      <c r="FE514" s="333"/>
    </row>
    <row r="515" spans="86:161" x14ac:dyDescent="0.25">
      <c r="CH515" s="445"/>
      <c r="CI515" s="300"/>
      <c r="CJ515" s="300"/>
      <c r="CK515" s="300"/>
      <c r="CL515" s="449"/>
      <c r="CM515" s="445"/>
      <c r="DG515" s="445"/>
      <c r="DH515" s="300"/>
      <c r="DI515" s="464" t="str">
        <f ca="1">IF(CW345="","",VLOOKUP(CW345,xxx.av1,10,FALSE))</f>
        <v/>
      </c>
      <c r="DJ515" s="465" t="str">
        <f ca="1">IF(OR(DI515="",DP515="",DI515=DP515,COUNTIF(games.av,DI515&amp;DP515)=0),"",CONCATENATE(DI515,DP515))</f>
        <v/>
      </c>
      <c r="DK515" s="360" t="str">
        <f ca="1">IF($DJ515="","",CONCATENATE(VLOOKUP($DJ515,games.a,9,FALSE),VLOOKUP($DJ515,games.a,12,FALSE)))</f>
        <v/>
      </c>
      <c r="DL515" s="354" t="str">
        <f ca="1">IF($DJ515="","",VLOOKUP($DJ515,games.a,10,FALSE))</f>
        <v/>
      </c>
      <c r="DM515" s="354" t="str">
        <f ca="1">IF($DJ515="","",VLOOKUP($DJ515,games.a,13,FALSE))</f>
        <v/>
      </c>
      <c r="DN515" s="361" t="str">
        <f ca="1">IF($DJ515="","",VLOOKUP($DJ515,games.a,6,FALSE))</f>
        <v/>
      </c>
      <c r="DO515" s="362" t="str">
        <f ca="1">IF($DJ515="","",VLOOKUP($DJ515,games.a,7,FALSE))</f>
        <v/>
      </c>
      <c r="DP515" s="379" t="str">
        <f ca="1">DP514</f>
        <v>K&amp;H</v>
      </c>
      <c r="DQ515" s="302"/>
      <c r="DR515" s="364"/>
      <c r="DS515" s="302"/>
      <c r="DU515" s="424"/>
      <c r="DV515" s="366" t="str">
        <f ca="1">IF(OR(NOT($AJ$44),DI512),DI515,"")</f>
        <v/>
      </c>
      <c r="DW515" s="365"/>
      <c r="DX515" s="366">
        <f ca="1">IF($DV515="",0,COUNTIF(xxgy.av,$DV515))</f>
        <v>0</v>
      </c>
      <c r="DY515" s="366">
        <f ca="1">IF($DV515="",0,COUNTIF(xxd.av,$DV515))</f>
        <v>0</v>
      </c>
      <c r="DZ515" s="366">
        <f ca="1">IF($DV515="",0,1)*(SUMIF(xxo.av,$DV515,xxl.av)+SUMIF(xxi.av,$DV515,xxk.av))</f>
        <v>0</v>
      </c>
      <c r="EA515" s="366">
        <f ca="1">IF($DV515="",0,1)*(SUMIF(xxo.av,$DV515,xxk.av)+SUMIF(xxi.av,$DV515,xxl.av))</f>
        <v>0</v>
      </c>
      <c r="EB515" s="366">
        <f ca="1">DZ515-EA515</f>
        <v>0</v>
      </c>
      <c r="EC515" s="366">
        <f ca="1">IF(EA515=0,0,DZ515/EA515)</f>
        <v>0</v>
      </c>
      <c r="ED515" s="366">
        <f ca="1">$AJ$48*DX515+IF($AJ$44,0,1)*DY515</f>
        <v>0</v>
      </c>
      <c r="EE515" s="396">
        <f ca="1">ED515*1000000+IF($AJ$44,EC515,EB515)*1000*0</f>
        <v>0</v>
      </c>
      <c r="EF515" s="424"/>
      <c r="EG515" s="424"/>
      <c r="EH515" s="424"/>
      <c r="EI515" s="366">
        <f ca="1">IF(OR(ISERR(EE515),ISNA(EE515)),0,EE515)</f>
        <v>0</v>
      </c>
      <c r="EJ515" s="366">
        <f ca="1">IF(EI515=0,0,RANK(EI515,EI513:EI517,1))</f>
        <v>0</v>
      </c>
      <c r="EK515" s="366">
        <f ca="1">EJ515*40000*IF(COUNTIF($FC$343:$FC$366,DV515)&gt;0,0,1)</f>
        <v>0</v>
      </c>
      <c r="EL515" s="424"/>
      <c r="EM515" s="424"/>
      <c r="EN515" s="424"/>
      <c r="EO515" s="424"/>
      <c r="EP515" s="424"/>
      <c r="EQ515" s="424"/>
      <c r="ER515" s="424"/>
      <c r="ES515" s="424"/>
      <c r="ET515" s="424"/>
      <c r="EU515" s="424"/>
      <c r="EV515" s="424"/>
      <c r="EW515" s="424"/>
      <c r="EX515" s="424"/>
      <c r="EY515" s="424"/>
      <c r="EZ515" s="424"/>
      <c r="FA515" s="424"/>
      <c r="FB515" s="424"/>
      <c r="FC515" s="424"/>
      <c r="FD515" s="425"/>
      <c r="FE515" s="333"/>
    </row>
    <row r="516" spans="86:161" x14ac:dyDescent="0.25">
      <c r="CH516" s="445"/>
      <c r="CI516" s="300"/>
      <c r="CJ516" s="300"/>
      <c r="CK516" s="300"/>
      <c r="CL516" s="449"/>
      <c r="CM516" s="445"/>
      <c r="DG516" s="445"/>
      <c r="DH516" s="300"/>
      <c r="DI516" s="464" t="str">
        <f ca="1">IF(CW346="","",VLOOKUP(CW346,xxx.av1,10,FALSE))</f>
        <v/>
      </c>
      <c r="DJ516" s="465" t="str">
        <f ca="1">IF(OR(DI516="",DP516="",DI516=DP516,COUNTIF(games.av,DI516&amp;DP516)=0),"",CONCATENATE(DI516,DP516))</f>
        <v/>
      </c>
      <c r="DK516" s="360" t="str">
        <f ca="1">IF($DJ516="","",CONCATENATE(VLOOKUP($DJ516,games.a,9,FALSE),VLOOKUP($DJ516,games.a,12,FALSE)))</f>
        <v/>
      </c>
      <c r="DL516" s="354" t="str">
        <f ca="1">IF($DJ516="","",VLOOKUP($DJ516,games.a,10,FALSE))</f>
        <v/>
      </c>
      <c r="DM516" s="354" t="str">
        <f ca="1">IF($DJ516="","",VLOOKUP($DJ516,games.a,13,FALSE))</f>
        <v/>
      </c>
      <c r="DN516" s="361" t="str">
        <f ca="1">IF($DJ516="","",VLOOKUP($DJ516,games.a,6,FALSE))</f>
        <v/>
      </c>
      <c r="DO516" s="362" t="str">
        <f ca="1">IF($DJ516="","",VLOOKUP($DJ516,games.a,7,FALSE))</f>
        <v/>
      </c>
      <c r="DP516" s="379" t="str">
        <f ca="1">DP515</f>
        <v>K&amp;H</v>
      </c>
      <c r="DQ516" s="302"/>
      <c r="DR516" s="364"/>
      <c r="DS516" s="302"/>
      <c r="DU516" s="424"/>
      <c r="DV516" s="366" t="str">
        <f ca="1">IF(OR(NOT($AJ$44),DI512),DI516,"")</f>
        <v/>
      </c>
      <c r="DW516" s="365"/>
      <c r="DX516" s="366">
        <f ca="1">IF($DV516="",0,COUNTIF(xxgy.av,$DV516))</f>
        <v>0</v>
      </c>
      <c r="DY516" s="366">
        <f ca="1">IF($DV516="",0,COUNTIF(xxd.av,$DV516))</f>
        <v>0</v>
      </c>
      <c r="DZ516" s="366">
        <f ca="1">IF($DV516="",0,1)*(SUMIF(xxo.av,$DV516,xxl.av)+SUMIF(xxi.av,$DV516,xxk.av))</f>
        <v>0</v>
      </c>
      <c r="EA516" s="366">
        <f ca="1">IF($DV516="",0,1)*(SUMIF(xxo.av,$DV516,xxk.av)+SUMIF(xxi.av,$DV516,xxl.av))</f>
        <v>0</v>
      </c>
      <c r="EB516" s="366">
        <f ca="1">DZ516-EA516</f>
        <v>0</v>
      </c>
      <c r="EC516" s="366">
        <f ca="1">IF(EA516=0,0,DZ516/EA516)</f>
        <v>0</v>
      </c>
      <c r="ED516" s="366">
        <f ca="1">$AJ$48*DX516+IF($AJ$44,0,1)*DY516</f>
        <v>0</v>
      </c>
      <c r="EE516" s="396">
        <f ca="1">ED516*1000000+IF($AJ$44,EC516,EB516)*1000*0</f>
        <v>0</v>
      </c>
      <c r="EF516" s="424"/>
      <c r="EG516" s="424"/>
      <c r="EH516" s="424"/>
      <c r="EI516" s="366">
        <f ca="1">IF(OR(ISERR(EE516),ISNA(EE516)),0,EE516)</f>
        <v>0</v>
      </c>
      <c r="EJ516" s="366">
        <f ca="1">IF(EI516=0,0,RANK(EI516,EI513:EI517,1))</f>
        <v>0</v>
      </c>
      <c r="EK516" s="366">
        <f ca="1">EJ516*40000*IF(COUNTIF($FC$343:$FC$366,DV516)&gt;0,0,1)</f>
        <v>0</v>
      </c>
      <c r="EL516" s="424"/>
      <c r="EM516" s="424"/>
      <c r="EN516" s="424"/>
      <c r="EO516" s="424"/>
      <c r="EP516" s="424"/>
      <c r="EQ516" s="424"/>
      <c r="ER516" s="424"/>
      <c r="ES516" s="424"/>
      <c r="ET516" s="424"/>
      <c r="EU516" s="424"/>
      <c r="EV516" s="424"/>
      <c r="EW516" s="424"/>
      <c r="EX516" s="424"/>
      <c r="EY516" s="424"/>
      <c r="EZ516" s="424"/>
      <c r="FA516" s="424"/>
      <c r="FB516" s="424"/>
      <c r="FC516" s="424"/>
      <c r="FD516" s="425"/>
      <c r="FE516" s="333"/>
    </row>
    <row r="517" spans="86:161" x14ac:dyDescent="0.25">
      <c r="CH517" s="445"/>
      <c r="CI517" s="300"/>
      <c r="CJ517" s="300"/>
      <c r="CK517" s="300"/>
      <c r="CL517" s="449"/>
      <c r="CM517" s="445"/>
      <c r="DG517" s="445"/>
      <c r="DH517" s="300"/>
      <c r="DI517" s="464" t="str">
        <f ca="1">IF(CW347="","",VLOOKUP(CW347,xxx.av1,10,FALSE))</f>
        <v/>
      </c>
      <c r="DJ517" s="465" t="str">
        <f ca="1">IF(OR(DI517="",DP517="",DI517=DP517,COUNTIF(games.av,DI517&amp;DP517)=0),"",CONCATENATE(DI517,DP517))</f>
        <v/>
      </c>
      <c r="DK517" s="360" t="str">
        <f ca="1">IF($DJ517="","",CONCATENATE(VLOOKUP($DJ517,games.a,9,FALSE),VLOOKUP($DJ517,games.a,12,FALSE)))</f>
        <v/>
      </c>
      <c r="DL517" s="354" t="str">
        <f ca="1">IF($DJ517="","",VLOOKUP($DJ517,games.a,10,FALSE))</f>
        <v/>
      </c>
      <c r="DM517" s="354" t="str">
        <f ca="1">IF($DJ517="","",VLOOKUP($DJ517,games.a,13,FALSE))</f>
        <v/>
      </c>
      <c r="DN517" s="361" t="str">
        <f ca="1">IF($DJ517="","",VLOOKUP($DJ517,games.a,6,FALSE))</f>
        <v/>
      </c>
      <c r="DO517" s="362" t="str">
        <f ca="1">IF($DJ517="","",VLOOKUP($DJ517,games.a,7,FALSE))</f>
        <v/>
      </c>
      <c r="DP517" s="379" t="str">
        <f ca="1">DP516</f>
        <v>K&amp;H</v>
      </c>
      <c r="DQ517" s="302"/>
      <c r="DR517" s="364"/>
      <c r="DS517" s="302"/>
      <c r="DU517" s="424"/>
      <c r="DV517" s="366" t="str">
        <f ca="1">IF(OR(NOT($AJ$44),DI512),DI517,"")</f>
        <v/>
      </c>
      <c r="DW517" s="365"/>
      <c r="DX517" s="366">
        <f ca="1">IF($DV517="",0,COUNTIF(xxgy.av,$DV517))</f>
        <v>0</v>
      </c>
      <c r="DY517" s="366">
        <f ca="1">IF($DV517="",0,COUNTIF(xxd.av,$DV517))</f>
        <v>0</v>
      </c>
      <c r="DZ517" s="366">
        <f ca="1">IF($DV517="",0,1)*(SUMIF(xxo.av,$DV517,xxl.av)+SUMIF(xxi.av,$DV517,xxk.av))</f>
        <v>0</v>
      </c>
      <c r="EA517" s="366">
        <f ca="1">IF($DV517="",0,1)*(SUMIF(xxo.av,$DV517,xxk.av)+SUMIF(xxi.av,$DV517,xxl.av))</f>
        <v>0</v>
      </c>
      <c r="EB517" s="366">
        <f ca="1">DZ517-EA517</f>
        <v>0</v>
      </c>
      <c r="EC517" s="366">
        <f ca="1">IF(EA517=0,0,DZ517/EA517)</f>
        <v>0</v>
      </c>
      <c r="ED517" s="366">
        <f ca="1">$AJ$48*DX517+IF($AJ$44,0,1)*DY517</f>
        <v>0</v>
      </c>
      <c r="EE517" s="396">
        <f ca="1">ED517*1000000+IF($AJ$44,EC517,EB517)*1000*0</f>
        <v>0</v>
      </c>
      <c r="EF517" s="424"/>
      <c r="EG517" s="424"/>
      <c r="EH517" s="424"/>
      <c r="EI517" s="366">
        <f ca="1">IF(OR(ISERR(EE517),ISNA(EE517)),0,EE517)</f>
        <v>0</v>
      </c>
      <c r="EJ517" s="366">
        <f ca="1">IF(EI517=0,0,RANK(EI517,EI513:EI517,1))</f>
        <v>0</v>
      </c>
      <c r="EK517" s="366">
        <f ca="1">EJ517*40000*IF(COUNTIF($FC$343:$FC$366,DV517)&gt;0,0,1)</f>
        <v>0</v>
      </c>
      <c r="EL517" s="424"/>
      <c r="EM517" s="424"/>
      <c r="EN517" s="424"/>
      <c r="EO517" s="424"/>
      <c r="EP517" s="424"/>
      <c r="EQ517" s="424"/>
      <c r="ER517" s="424"/>
      <c r="ES517" s="424"/>
      <c r="ET517" s="424"/>
      <c r="EU517" s="424"/>
      <c r="EV517" s="424"/>
      <c r="EW517" s="424"/>
      <c r="EX517" s="424"/>
      <c r="EY517" s="424"/>
      <c r="EZ517" s="424"/>
      <c r="FA517" s="424"/>
      <c r="FB517" s="424"/>
      <c r="FC517" s="424"/>
      <c r="FD517" s="425"/>
      <c r="FE517" s="333"/>
    </row>
    <row r="518" spans="86:161" x14ac:dyDescent="0.25">
      <c r="CH518" s="445"/>
      <c r="CI518" s="300"/>
      <c r="CJ518" s="300"/>
      <c r="CK518" s="300"/>
      <c r="CL518" s="449"/>
      <c r="CM518" s="445"/>
      <c r="DG518" s="445"/>
      <c r="DH518" s="300"/>
      <c r="DI518" s="301"/>
      <c r="DJ518" s="458" t="s">
        <v>157</v>
      </c>
      <c r="DK518" s="458" t="s">
        <v>158</v>
      </c>
      <c r="DL518" s="459" t="s">
        <v>159</v>
      </c>
      <c r="DM518" s="459"/>
      <c r="DN518" s="460" t="s">
        <v>160</v>
      </c>
      <c r="DO518" s="459" t="s">
        <v>135</v>
      </c>
      <c r="DP518" s="302"/>
      <c r="DQ518" s="302"/>
      <c r="DR518" s="364"/>
      <c r="DS518" s="302"/>
      <c r="DU518" s="424"/>
      <c r="DV518" s="424"/>
      <c r="DW518" s="424"/>
      <c r="DX518" s="424"/>
      <c r="DY518" s="424"/>
      <c r="DZ518" s="424"/>
      <c r="EA518" s="424"/>
      <c r="EB518" s="424"/>
      <c r="EC518" s="424"/>
      <c r="ED518" s="424"/>
      <c r="EE518" s="424"/>
      <c r="EF518" s="424"/>
      <c r="EG518" s="424"/>
      <c r="EH518" s="424"/>
      <c r="EI518" s="424"/>
      <c r="EJ518" s="424"/>
      <c r="EK518" s="424"/>
      <c r="EL518" s="424"/>
      <c r="EM518" s="424"/>
      <c r="EN518" s="424"/>
      <c r="EO518" s="424"/>
      <c r="EP518" s="424"/>
      <c r="EQ518" s="424"/>
      <c r="ER518" s="424"/>
      <c r="ES518" s="424"/>
      <c r="ET518" s="424"/>
      <c r="EU518" s="424"/>
      <c r="EV518" s="424"/>
      <c r="EW518" s="424"/>
      <c r="EX518" s="424"/>
      <c r="EY518" s="424"/>
      <c r="EZ518" s="424"/>
      <c r="FA518" s="424"/>
      <c r="FB518" s="424"/>
      <c r="FC518" s="424"/>
      <c r="FD518" s="425"/>
      <c r="FE518" s="333"/>
    </row>
    <row r="519" spans="86:161" x14ac:dyDescent="0.25">
      <c r="CH519" s="445"/>
      <c r="CI519" s="300"/>
      <c r="CJ519" s="300"/>
      <c r="CK519" s="300"/>
      <c r="CL519" s="449"/>
      <c r="CM519" s="445"/>
      <c r="DG519" s="445"/>
      <c r="DH519" s="300"/>
      <c r="DI519" s="395" t="str">
        <f ca="1">DI513</f>
        <v>K&amp;H</v>
      </c>
      <c r="DJ519" s="465" t="str">
        <f ca="1">IF(OR(DI519="",DP519="",DI519=DP519,COUNTIF(games.av,DI519&amp;DP519)=0),"",CONCATENATE(DI519,DP519))</f>
        <v>K&amp;HBBK</v>
      </c>
      <c r="DK519" s="360" t="str">
        <f ca="1">IF($DJ519="","",CONCATENATE(VLOOKUP($DJ519,games.a,9,FALSE),VLOOKUP($DJ519,games.a,12,FALSE)))</f>
        <v>BBK</v>
      </c>
      <c r="DL519" s="354" t="str">
        <f ca="1">IF($DJ519="","",VLOOKUP($DJ519,games.a,10,FALSE))</f>
        <v/>
      </c>
      <c r="DM519" s="354" t="str">
        <f ca="1">IF($DJ519="","",VLOOKUP($DJ519,games.a,13,FALSE))</f>
        <v/>
      </c>
      <c r="DN519" s="361">
        <f ca="1">IF($DJ519="","",VLOOKUP($DJ519,games.a,6,FALSE))</f>
        <v>2</v>
      </c>
      <c r="DO519" s="362">
        <f ca="1">IF($DJ519="","",VLOOKUP($DJ519,games.a,7,FALSE))</f>
        <v>4</v>
      </c>
      <c r="DP519" s="466" t="str">
        <f ca="1">DI514</f>
        <v>BBK</v>
      </c>
      <c r="DQ519" s="302"/>
      <c r="DR519" s="364"/>
      <c r="DS519" s="302"/>
      <c r="DU519" s="424"/>
      <c r="DV519" s="424"/>
      <c r="DW519" s="424"/>
      <c r="DX519" s="424"/>
      <c r="DY519" s="424"/>
      <c r="DZ519" s="424"/>
      <c r="EA519" s="424"/>
      <c r="EB519" s="424"/>
      <c r="EC519" s="424"/>
      <c r="ED519" s="424"/>
      <c r="EE519" s="424"/>
      <c r="EF519" s="424"/>
      <c r="EG519" s="424"/>
      <c r="EH519" s="424"/>
      <c r="EI519" s="424"/>
      <c r="EJ519" s="424"/>
      <c r="EK519" s="424"/>
      <c r="EL519" s="424"/>
      <c r="EM519" s="424"/>
      <c r="EN519" s="424"/>
      <c r="EO519" s="424"/>
      <c r="EP519" s="424"/>
      <c r="EQ519" s="424"/>
      <c r="ER519" s="424"/>
      <c r="ES519" s="424"/>
      <c r="ET519" s="424"/>
      <c r="EU519" s="424"/>
      <c r="EV519" s="424"/>
      <c r="EW519" s="424"/>
      <c r="EX519" s="424"/>
      <c r="EY519" s="424"/>
      <c r="EZ519" s="424"/>
      <c r="FA519" s="424"/>
      <c r="FB519" s="424"/>
      <c r="FC519" s="424"/>
      <c r="FD519" s="425"/>
      <c r="FE519" s="333"/>
    </row>
    <row r="520" spans="86:161" x14ac:dyDescent="0.25">
      <c r="CH520" s="445"/>
      <c r="CI520" s="300"/>
      <c r="CJ520" s="300"/>
      <c r="CK520" s="300"/>
      <c r="CL520" s="449"/>
      <c r="CM520" s="445"/>
      <c r="DG520" s="445"/>
      <c r="DH520" s="300"/>
      <c r="DI520" s="395" t="str">
        <f ca="1">DI514</f>
        <v>BBK</v>
      </c>
      <c r="DJ520" s="465" t="str">
        <f ca="1">IF(OR(DI520="",DP520="",DI520=DP520,COUNTIF(games.av,DI520&amp;DP520)=0),"",CONCATENATE(DI520,DP520))</f>
        <v/>
      </c>
      <c r="DK520" s="360" t="str">
        <f ca="1">IF($DJ520="","",CONCATENATE(VLOOKUP($DJ520,games.a,9,FALSE),VLOOKUP($DJ520,games.a,12,FALSE)))</f>
        <v/>
      </c>
      <c r="DL520" s="354" t="str">
        <f ca="1">IF($DJ520="","",VLOOKUP($DJ520,games.a,10,FALSE))</f>
        <v/>
      </c>
      <c r="DM520" s="354" t="str">
        <f ca="1">IF($DJ520="","",VLOOKUP($DJ520,games.a,13,FALSE))</f>
        <v/>
      </c>
      <c r="DN520" s="361" t="str">
        <f ca="1">IF($DJ520="","",VLOOKUP($DJ520,games.a,6,FALSE))</f>
        <v/>
      </c>
      <c r="DO520" s="362" t="str">
        <f ca="1">IF($DJ520="","",VLOOKUP($DJ520,games.a,7,FALSE))</f>
        <v/>
      </c>
      <c r="DP520" s="379" t="str">
        <f ca="1">DP519</f>
        <v>BBK</v>
      </c>
      <c r="DQ520" s="302"/>
      <c r="DR520" s="364"/>
      <c r="DS520" s="302"/>
      <c r="DU520" s="424"/>
      <c r="DV520" s="424"/>
      <c r="DW520" s="424"/>
      <c r="DX520" s="424"/>
      <c r="DY520" s="424"/>
      <c r="DZ520" s="424"/>
      <c r="EA520" s="424"/>
      <c r="EB520" s="424"/>
      <c r="EC520" s="424"/>
      <c r="ED520" s="424"/>
      <c r="EE520" s="424"/>
      <c r="EF520" s="424"/>
      <c r="EG520" s="424"/>
      <c r="EH520" s="424"/>
      <c r="EI520" s="424"/>
      <c r="EJ520" s="424"/>
      <c r="EK520" s="424"/>
      <c r="EL520" s="424"/>
      <c r="EM520" s="424"/>
      <c r="EN520" s="424"/>
      <c r="EO520" s="424"/>
      <c r="EP520" s="424"/>
      <c r="EQ520" s="424"/>
      <c r="ER520" s="424"/>
      <c r="ES520" s="424"/>
      <c r="ET520" s="424"/>
      <c r="EU520" s="424"/>
      <c r="EV520" s="424"/>
      <c r="EW520" s="424"/>
      <c r="EX520" s="424"/>
      <c r="EY520" s="424"/>
      <c r="EZ520" s="424"/>
      <c r="FA520" s="424"/>
      <c r="FB520" s="424"/>
      <c r="FC520" s="424"/>
      <c r="FD520" s="425"/>
      <c r="FE520" s="333"/>
    </row>
    <row r="521" spans="86:161" x14ac:dyDescent="0.25">
      <c r="CH521" s="445"/>
      <c r="CI521" s="300"/>
      <c r="CJ521" s="300"/>
      <c r="CK521" s="300"/>
      <c r="CL521" s="449"/>
      <c r="CM521" s="445"/>
      <c r="DG521" s="445"/>
      <c r="DH521" s="300"/>
      <c r="DI521" s="395" t="str">
        <f ca="1">DI515</f>
        <v/>
      </c>
      <c r="DJ521" s="465" t="str">
        <f ca="1">IF(OR(DI521="",DP521="",DI521=DP521,COUNTIF(games.av,DI521&amp;DP521)=0),"",CONCATENATE(DI521,DP521))</f>
        <v/>
      </c>
      <c r="DK521" s="360" t="str">
        <f ca="1">IF($DJ521="","",CONCATENATE(VLOOKUP($DJ521,games.a,9,FALSE),VLOOKUP($DJ521,games.a,12,FALSE)))</f>
        <v/>
      </c>
      <c r="DL521" s="354" t="str">
        <f ca="1">IF($DJ521="","",VLOOKUP($DJ521,games.a,10,FALSE))</f>
        <v/>
      </c>
      <c r="DM521" s="354" t="str">
        <f ca="1">IF($DJ521="","",VLOOKUP($DJ521,games.a,13,FALSE))</f>
        <v/>
      </c>
      <c r="DN521" s="361" t="str">
        <f ca="1">IF($DJ521="","",VLOOKUP($DJ521,games.a,6,FALSE))</f>
        <v/>
      </c>
      <c r="DO521" s="362" t="str">
        <f ca="1">IF($DJ521="","",VLOOKUP($DJ521,games.a,7,FALSE))</f>
        <v/>
      </c>
      <c r="DP521" s="379" t="str">
        <f ca="1">DP520</f>
        <v>BBK</v>
      </c>
      <c r="DQ521" s="302"/>
      <c r="DR521" s="364"/>
      <c r="DS521" s="302"/>
      <c r="DU521" s="424"/>
      <c r="DV521" s="424"/>
      <c r="DW521" s="424"/>
      <c r="DX521" s="424"/>
      <c r="DY521" s="424"/>
      <c r="DZ521" s="424"/>
      <c r="EA521" s="424"/>
      <c r="EB521" s="424"/>
      <c r="EC521" s="424"/>
      <c r="ED521" s="424"/>
      <c r="EE521" s="424"/>
      <c r="EF521" s="424"/>
      <c r="EG521" s="424"/>
      <c r="EH521" s="424"/>
      <c r="EI521" s="424"/>
      <c r="EJ521" s="424"/>
      <c r="EK521" s="424"/>
      <c r="EL521" s="424"/>
      <c r="EM521" s="424"/>
      <c r="EN521" s="424"/>
      <c r="EO521" s="424"/>
      <c r="EP521" s="424"/>
      <c r="EQ521" s="424"/>
      <c r="ER521" s="424"/>
      <c r="ES521" s="424"/>
      <c r="ET521" s="424"/>
      <c r="EU521" s="424"/>
      <c r="EV521" s="424"/>
      <c r="EW521" s="424"/>
      <c r="EX521" s="424"/>
      <c r="EY521" s="424"/>
      <c r="EZ521" s="424"/>
      <c r="FA521" s="424"/>
      <c r="FB521" s="424"/>
      <c r="FC521" s="424"/>
      <c r="FD521" s="425"/>
      <c r="FE521" s="333"/>
    </row>
    <row r="522" spans="86:161" x14ac:dyDescent="0.25">
      <c r="CH522" s="445"/>
      <c r="CI522" s="300"/>
      <c r="CJ522" s="300"/>
      <c r="CK522" s="300"/>
      <c r="CL522" s="449"/>
      <c r="CM522" s="445"/>
      <c r="DG522" s="445"/>
      <c r="DH522" s="300"/>
      <c r="DI522" s="395" t="str">
        <f ca="1">DI516</f>
        <v/>
      </c>
      <c r="DJ522" s="465" t="str">
        <f ca="1">IF(OR(DI522="",DP522="",DI522=DP522,COUNTIF(games.av,DI522&amp;DP522)=0),"",CONCATENATE(DI522,DP522))</f>
        <v/>
      </c>
      <c r="DK522" s="360" t="str">
        <f ca="1">IF($DJ522="","",CONCATENATE(VLOOKUP($DJ522,games.a,9,FALSE),VLOOKUP($DJ522,games.a,12,FALSE)))</f>
        <v/>
      </c>
      <c r="DL522" s="354" t="str">
        <f ca="1">IF($DJ522="","",VLOOKUP($DJ522,games.a,10,FALSE))</f>
        <v/>
      </c>
      <c r="DM522" s="354" t="str">
        <f ca="1">IF($DJ522="","",VLOOKUP($DJ522,games.a,13,FALSE))</f>
        <v/>
      </c>
      <c r="DN522" s="361" t="str">
        <f ca="1">IF($DJ522="","",VLOOKUP($DJ522,games.a,6,FALSE))</f>
        <v/>
      </c>
      <c r="DO522" s="362" t="str">
        <f ca="1">IF($DJ522="","",VLOOKUP($DJ522,games.a,7,FALSE))</f>
        <v/>
      </c>
      <c r="DP522" s="379" t="str">
        <f ca="1">DP521</f>
        <v>BBK</v>
      </c>
      <c r="DQ522" s="302"/>
      <c r="DR522" s="364"/>
      <c r="DS522" s="302"/>
      <c r="DU522" s="424"/>
      <c r="DV522" s="424"/>
      <c r="DW522" s="424"/>
      <c r="DX522" s="424"/>
      <c r="DY522" s="424"/>
      <c r="DZ522" s="424"/>
      <c r="EA522" s="424"/>
      <c r="EB522" s="424"/>
      <c r="EC522" s="424"/>
      <c r="ED522" s="424"/>
      <c r="EE522" s="424"/>
      <c r="EF522" s="424"/>
      <c r="EG522" s="424"/>
      <c r="EH522" s="424"/>
      <c r="EI522" s="424"/>
      <c r="EJ522" s="424"/>
      <c r="EK522" s="424"/>
      <c r="EL522" s="424"/>
      <c r="EM522" s="424"/>
      <c r="EN522" s="424"/>
      <c r="EO522" s="424"/>
      <c r="EP522" s="424"/>
      <c r="EQ522" s="424"/>
      <c r="ER522" s="424"/>
      <c r="ES522" s="424"/>
      <c r="ET522" s="424"/>
      <c r="EU522" s="424"/>
      <c r="EV522" s="424"/>
      <c r="EW522" s="424"/>
      <c r="EX522" s="424"/>
      <c r="EY522" s="424"/>
      <c r="EZ522" s="424"/>
      <c r="FA522" s="424"/>
      <c r="FB522" s="424"/>
      <c r="FC522" s="424"/>
      <c r="FD522" s="425"/>
      <c r="FE522" s="333"/>
    </row>
    <row r="523" spans="86:161" x14ac:dyDescent="0.25">
      <c r="CH523" s="445"/>
      <c r="CI523" s="300"/>
      <c r="CJ523" s="300"/>
      <c r="CK523" s="300"/>
      <c r="CL523" s="449"/>
      <c r="CM523" s="445"/>
      <c r="DG523" s="445"/>
      <c r="DH523" s="300"/>
      <c r="DI523" s="395" t="str">
        <f ca="1">DI517</f>
        <v/>
      </c>
      <c r="DJ523" s="465" t="str">
        <f ca="1">IF(OR(DI523="",DP523="",DI523=DP523,COUNTIF(games.av,DI523&amp;DP523)=0),"",CONCATENATE(DI523,DP523))</f>
        <v/>
      </c>
      <c r="DK523" s="360" t="str">
        <f ca="1">IF($DJ523="","",CONCATENATE(VLOOKUP($DJ523,games.a,9,FALSE),VLOOKUP($DJ523,games.a,12,FALSE)))</f>
        <v/>
      </c>
      <c r="DL523" s="354" t="str">
        <f ca="1">IF($DJ523="","",VLOOKUP($DJ523,games.a,10,FALSE))</f>
        <v/>
      </c>
      <c r="DM523" s="354" t="str">
        <f ca="1">IF($DJ523="","",VLOOKUP($DJ523,games.a,13,FALSE))</f>
        <v/>
      </c>
      <c r="DN523" s="361" t="str">
        <f ca="1">IF($DJ523="","",VLOOKUP($DJ523,games.a,6,FALSE))</f>
        <v/>
      </c>
      <c r="DO523" s="362" t="str">
        <f ca="1">IF($DJ523="","",VLOOKUP($DJ523,games.a,7,FALSE))</f>
        <v/>
      </c>
      <c r="DP523" s="379" t="str">
        <f ca="1">DP522</f>
        <v>BBK</v>
      </c>
      <c r="DQ523" s="302"/>
      <c r="DR523" s="364"/>
      <c r="DS523" s="302"/>
      <c r="DU523" s="424"/>
      <c r="DV523" s="424"/>
      <c r="DW523" s="424"/>
      <c r="DX523" s="424"/>
      <c r="DY523" s="424"/>
      <c r="DZ523" s="424"/>
      <c r="EA523" s="424"/>
      <c r="EB523" s="424"/>
      <c r="EC523" s="424"/>
      <c r="ED523" s="424"/>
      <c r="EE523" s="424"/>
      <c r="EF523" s="424"/>
      <c r="EG523" s="424"/>
      <c r="EH523" s="424"/>
      <c r="EI523" s="424"/>
      <c r="EJ523" s="424"/>
      <c r="EK523" s="424"/>
      <c r="EL523" s="424"/>
      <c r="EM523" s="424"/>
      <c r="EN523" s="424"/>
      <c r="EO523" s="424"/>
      <c r="EP523" s="424"/>
      <c r="EQ523" s="424"/>
      <c r="ER523" s="424"/>
      <c r="ES523" s="424"/>
      <c r="ET523" s="424"/>
      <c r="EU523" s="424"/>
      <c r="EV523" s="424"/>
      <c r="EW523" s="424"/>
      <c r="EX523" s="424"/>
      <c r="EY523" s="424"/>
      <c r="EZ523" s="424"/>
      <c r="FA523" s="424"/>
      <c r="FB523" s="424"/>
      <c r="FC523" s="424"/>
      <c r="FD523" s="425"/>
      <c r="FE523" s="333"/>
    </row>
    <row r="524" spans="86:161" x14ac:dyDescent="0.25">
      <c r="CH524" s="445"/>
      <c r="CI524" s="300"/>
      <c r="CJ524" s="300"/>
      <c r="CK524" s="300"/>
      <c r="CL524" s="449"/>
      <c r="CM524" s="445"/>
      <c r="DG524" s="445"/>
      <c r="DH524" s="300"/>
      <c r="DI524" s="301"/>
      <c r="DJ524" s="458" t="s">
        <v>157</v>
      </c>
      <c r="DK524" s="458" t="s">
        <v>158</v>
      </c>
      <c r="DL524" s="459" t="s">
        <v>159</v>
      </c>
      <c r="DM524" s="459"/>
      <c r="DN524" s="460" t="s">
        <v>160</v>
      </c>
      <c r="DO524" s="459" t="s">
        <v>135</v>
      </c>
      <c r="DP524" s="302"/>
      <c r="DQ524" s="302"/>
      <c r="DR524" s="364"/>
      <c r="DS524" s="302"/>
      <c r="DU524" s="424"/>
      <c r="DV524" s="424"/>
      <c r="DW524" s="424"/>
      <c r="DX524" s="424"/>
      <c r="DY524" s="424"/>
      <c r="DZ524" s="424"/>
      <c r="EA524" s="424"/>
      <c r="EB524" s="424"/>
      <c r="EC524" s="424"/>
      <c r="ED524" s="424"/>
      <c r="EE524" s="424"/>
      <c r="EF524" s="424"/>
      <c r="EG524" s="424"/>
      <c r="EH524" s="424"/>
      <c r="EI524" s="424"/>
      <c r="EJ524" s="424"/>
      <c r="EK524" s="424"/>
      <c r="EL524" s="424"/>
      <c r="EM524" s="424"/>
      <c r="EN524" s="424"/>
      <c r="EO524" s="424"/>
      <c r="EP524" s="424"/>
      <c r="EQ524" s="424"/>
      <c r="ER524" s="424"/>
      <c r="ES524" s="424"/>
      <c r="ET524" s="424"/>
      <c r="EU524" s="424"/>
      <c r="EV524" s="424"/>
      <c r="EW524" s="424"/>
      <c r="EX524" s="424"/>
      <c r="EY524" s="424"/>
      <c r="EZ524" s="424"/>
      <c r="FA524" s="424"/>
      <c r="FB524" s="424"/>
      <c r="FC524" s="424"/>
      <c r="FD524" s="425"/>
      <c r="FE524" s="333"/>
    </row>
    <row r="525" spans="86:161" x14ac:dyDescent="0.25">
      <c r="CH525" s="445"/>
      <c r="CI525" s="300"/>
      <c r="CJ525" s="300"/>
      <c r="CK525" s="300"/>
      <c r="CL525" s="449"/>
      <c r="CM525" s="445"/>
      <c r="DG525" s="445"/>
      <c r="DH525" s="300"/>
      <c r="DI525" s="395" t="str">
        <f ca="1">DI519</f>
        <v>K&amp;H</v>
      </c>
      <c r="DJ525" s="465" t="str">
        <f ca="1">IF(OR(DI525="",DP525="",DI525=DP525,COUNTIF(games.av,DI525&amp;DP525)=0),"",CONCATENATE(DI525,DP525))</f>
        <v/>
      </c>
      <c r="DK525" s="360" t="str">
        <f ca="1">IF($DJ525="","",CONCATENATE(VLOOKUP($DJ525,games.a,9,FALSE),VLOOKUP($DJ525,games.a,12,FALSE)))</f>
        <v/>
      </c>
      <c r="DL525" s="354" t="str">
        <f ca="1">IF($DJ525="","",VLOOKUP($DJ525,games.a,10,FALSE))</f>
        <v/>
      </c>
      <c r="DM525" s="354" t="str">
        <f ca="1">IF($DJ525="","",VLOOKUP($DJ525,games.a,13,FALSE))</f>
        <v/>
      </c>
      <c r="DN525" s="361" t="str">
        <f ca="1">IF($DJ525="","",VLOOKUP($DJ525,games.a,6,FALSE))</f>
        <v/>
      </c>
      <c r="DO525" s="362" t="str">
        <f ca="1">IF($DJ525="","",VLOOKUP($DJ525,games.a,7,FALSE))</f>
        <v/>
      </c>
      <c r="DP525" s="466" t="str">
        <f ca="1">DI515</f>
        <v/>
      </c>
      <c r="DQ525" s="302"/>
      <c r="DR525" s="364"/>
      <c r="DS525" s="302"/>
      <c r="DU525" s="424"/>
      <c r="DV525" s="424"/>
      <c r="DW525" s="424"/>
      <c r="DX525" s="424"/>
      <c r="DY525" s="424"/>
      <c r="DZ525" s="424"/>
      <c r="EA525" s="424"/>
      <c r="EB525" s="424"/>
      <c r="EC525" s="424"/>
      <c r="ED525" s="424"/>
      <c r="EE525" s="424"/>
      <c r="EF525" s="424"/>
      <c r="EG525" s="424"/>
      <c r="EH525" s="424"/>
      <c r="EI525" s="424"/>
      <c r="EJ525" s="424"/>
      <c r="EK525" s="424"/>
      <c r="EL525" s="424"/>
      <c r="EM525" s="424"/>
      <c r="EN525" s="424"/>
      <c r="EO525" s="424"/>
      <c r="EP525" s="424"/>
      <c r="EQ525" s="424"/>
      <c r="ER525" s="424"/>
      <c r="ES525" s="424"/>
      <c r="ET525" s="424"/>
      <c r="EU525" s="424"/>
      <c r="EV525" s="424"/>
      <c r="EW525" s="424"/>
      <c r="EX525" s="424"/>
      <c r="EY525" s="424"/>
      <c r="EZ525" s="424"/>
      <c r="FA525" s="424"/>
      <c r="FB525" s="424"/>
      <c r="FC525" s="424"/>
      <c r="FD525" s="425"/>
      <c r="FE525" s="333"/>
    </row>
    <row r="526" spans="86:161" x14ac:dyDescent="0.25">
      <c r="CH526" s="445"/>
      <c r="CI526" s="300"/>
      <c r="CJ526" s="300"/>
      <c r="CK526" s="300"/>
      <c r="CL526" s="449"/>
      <c r="CM526" s="445"/>
      <c r="DG526" s="445"/>
      <c r="DH526" s="300"/>
      <c r="DI526" s="395" t="str">
        <f ca="1">DI520</f>
        <v>BBK</v>
      </c>
      <c r="DJ526" s="465" t="str">
        <f ca="1">IF(OR(DI526="",DP526="",DI526=DP526,COUNTIF(games.av,DI526&amp;DP526)=0),"",CONCATENATE(DI526,DP526))</f>
        <v/>
      </c>
      <c r="DK526" s="360" t="str">
        <f ca="1">IF($DJ526="","",CONCATENATE(VLOOKUP($DJ526,games.a,9,FALSE),VLOOKUP($DJ526,games.a,12,FALSE)))</f>
        <v/>
      </c>
      <c r="DL526" s="354" t="str">
        <f ca="1">IF($DJ526="","",VLOOKUP($DJ526,games.a,10,FALSE))</f>
        <v/>
      </c>
      <c r="DM526" s="354" t="str">
        <f ca="1">IF($DJ526="","",VLOOKUP($DJ526,games.a,13,FALSE))</f>
        <v/>
      </c>
      <c r="DN526" s="361" t="str">
        <f ca="1">IF($DJ526="","",VLOOKUP($DJ526,games.a,6,FALSE))</f>
        <v/>
      </c>
      <c r="DO526" s="362" t="str">
        <f ca="1">IF($DJ526="","",VLOOKUP($DJ526,games.a,7,FALSE))</f>
        <v/>
      </c>
      <c r="DP526" s="379" t="str">
        <f ca="1">DP525</f>
        <v/>
      </c>
      <c r="DQ526" s="302"/>
      <c r="DR526" s="364"/>
      <c r="DS526" s="302"/>
      <c r="DU526" s="424"/>
      <c r="DV526" s="424"/>
      <c r="DW526" s="424"/>
      <c r="DX526" s="424"/>
      <c r="DY526" s="424"/>
      <c r="DZ526" s="424"/>
      <c r="EA526" s="424"/>
      <c r="EB526" s="424"/>
      <c r="EC526" s="424"/>
      <c r="ED526" s="424"/>
      <c r="EE526" s="424"/>
      <c r="EF526" s="424"/>
      <c r="EG526" s="424"/>
      <c r="EH526" s="424"/>
      <c r="EI526" s="424"/>
      <c r="EJ526" s="424"/>
      <c r="EK526" s="424"/>
      <c r="EL526" s="424"/>
      <c r="EM526" s="424"/>
      <c r="EN526" s="424"/>
      <c r="EO526" s="424"/>
      <c r="EP526" s="424"/>
      <c r="EQ526" s="424"/>
      <c r="ER526" s="424"/>
      <c r="ES526" s="424"/>
      <c r="ET526" s="424"/>
      <c r="EU526" s="424"/>
      <c r="EV526" s="424"/>
      <c r="EW526" s="424"/>
      <c r="EX526" s="424"/>
      <c r="EY526" s="424"/>
      <c r="EZ526" s="424"/>
      <c r="FA526" s="424"/>
      <c r="FB526" s="424"/>
      <c r="FC526" s="424"/>
      <c r="FD526" s="425"/>
      <c r="FE526" s="333"/>
    </row>
    <row r="527" spans="86:161" x14ac:dyDescent="0.25">
      <c r="CH527" s="445"/>
      <c r="CI527" s="300"/>
      <c r="CJ527" s="300"/>
      <c r="CK527" s="300"/>
      <c r="CL527" s="449"/>
      <c r="CM527" s="445"/>
      <c r="DG527" s="445"/>
      <c r="DH527" s="300"/>
      <c r="DI527" s="395" t="str">
        <f ca="1">DI521</f>
        <v/>
      </c>
      <c r="DJ527" s="465" t="str">
        <f ca="1">IF(OR(DI527="",DP527="",DI527=DP527,COUNTIF(games.av,DI527&amp;DP527)=0),"",CONCATENATE(DI527,DP527))</f>
        <v/>
      </c>
      <c r="DK527" s="360" t="str">
        <f ca="1">IF($DJ527="","",CONCATENATE(VLOOKUP($DJ527,games.a,9,FALSE),VLOOKUP($DJ527,games.a,12,FALSE)))</f>
        <v/>
      </c>
      <c r="DL527" s="354" t="str">
        <f ca="1">IF($DJ527="","",VLOOKUP($DJ527,games.a,10,FALSE))</f>
        <v/>
      </c>
      <c r="DM527" s="354" t="str">
        <f ca="1">IF($DJ527="","",VLOOKUP($DJ527,games.a,13,FALSE))</f>
        <v/>
      </c>
      <c r="DN527" s="361" t="str">
        <f ca="1">IF($DJ527="","",VLOOKUP($DJ527,games.a,6,FALSE))</f>
        <v/>
      </c>
      <c r="DO527" s="362" t="str">
        <f ca="1">IF($DJ527="","",VLOOKUP($DJ527,games.a,7,FALSE))</f>
        <v/>
      </c>
      <c r="DP527" s="379" t="str">
        <f ca="1">DP526</f>
        <v/>
      </c>
      <c r="DQ527" s="302"/>
      <c r="DR527" s="364"/>
      <c r="DS527" s="302"/>
      <c r="DU527" s="424"/>
      <c r="DV527" s="424"/>
      <c r="DW527" s="424"/>
      <c r="DX527" s="424"/>
      <c r="DY527" s="424"/>
      <c r="DZ527" s="424"/>
      <c r="EA527" s="424"/>
      <c r="EB527" s="424"/>
      <c r="EC527" s="424"/>
      <c r="ED527" s="424"/>
      <c r="EE527" s="424"/>
      <c r="EF527" s="424"/>
      <c r="EG527" s="424"/>
      <c r="EH527" s="424"/>
      <c r="EI527" s="424"/>
      <c r="EJ527" s="424"/>
      <c r="EK527" s="424"/>
      <c r="EL527" s="424"/>
      <c r="EM527" s="424"/>
      <c r="EN527" s="424"/>
      <c r="EO527" s="424"/>
      <c r="EP527" s="424"/>
      <c r="EQ527" s="424"/>
      <c r="ER527" s="424"/>
      <c r="ES527" s="424"/>
      <c r="ET527" s="424"/>
      <c r="EU527" s="424"/>
      <c r="EV527" s="424"/>
      <c r="EW527" s="424"/>
      <c r="EX527" s="424"/>
      <c r="EY527" s="424"/>
      <c r="EZ527" s="424"/>
      <c r="FA527" s="424"/>
      <c r="FB527" s="424"/>
      <c r="FC527" s="424"/>
      <c r="FD527" s="425"/>
      <c r="FE527" s="333"/>
    </row>
    <row r="528" spans="86:161" x14ac:dyDescent="0.25">
      <c r="CH528" s="445"/>
      <c r="CI528" s="300"/>
      <c r="CJ528" s="300"/>
      <c r="CK528" s="300"/>
      <c r="CL528" s="449"/>
      <c r="CM528" s="445"/>
      <c r="DG528" s="445"/>
      <c r="DH528" s="300"/>
      <c r="DI528" s="395" t="str">
        <f ca="1">DI522</f>
        <v/>
      </c>
      <c r="DJ528" s="465" t="str">
        <f ca="1">IF(OR(DI528="",DP528="",DI528=DP528,COUNTIF(games.av,DI528&amp;DP528)=0),"",CONCATENATE(DI528,DP528))</f>
        <v/>
      </c>
      <c r="DK528" s="360" t="str">
        <f ca="1">IF($DJ528="","",CONCATENATE(VLOOKUP($DJ528,games.a,9,FALSE),VLOOKUP($DJ528,games.a,12,FALSE)))</f>
        <v/>
      </c>
      <c r="DL528" s="354" t="str">
        <f ca="1">IF($DJ528="","",VLOOKUP($DJ528,games.a,10,FALSE))</f>
        <v/>
      </c>
      <c r="DM528" s="354" t="str">
        <f ca="1">IF($DJ528="","",VLOOKUP($DJ528,games.a,13,FALSE))</f>
        <v/>
      </c>
      <c r="DN528" s="361" t="str">
        <f ca="1">IF($DJ528="","",VLOOKUP($DJ528,games.a,6,FALSE))</f>
        <v/>
      </c>
      <c r="DO528" s="362" t="str">
        <f ca="1">IF($DJ528="","",VLOOKUP($DJ528,games.a,7,FALSE))</f>
        <v/>
      </c>
      <c r="DP528" s="379" t="str">
        <f ca="1">DP527</f>
        <v/>
      </c>
      <c r="DQ528" s="302"/>
      <c r="DR528" s="364"/>
      <c r="DS528" s="302"/>
      <c r="DU528" s="424"/>
      <c r="DV528" s="424"/>
      <c r="DW528" s="424"/>
      <c r="DX528" s="424"/>
      <c r="DY528" s="424"/>
      <c r="DZ528" s="424"/>
      <c r="EA528" s="424"/>
      <c r="EB528" s="424"/>
      <c r="EC528" s="424"/>
      <c r="ED528" s="424"/>
      <c r="EE528" s="424"/>
      <c r="EF528" s="424"/>
      <c r="EG528" s="424"/>
      <c r="EH528" s="424"/>
      <c r="EI528" s="424"/>
      <c r="EJ528" s="424"/>
      <c r="EK528" s="424"/>
      <c r="EL528" s="424"/>
      <c r="EM528" s="424"/>
      <c r="EN528" s="424"/>
      <c r="EO528" s="424"/>
      <c r="EP528" s="424"/>
      <c r="EQ528" s="424"/>
      <c r="ER528" s="424"/>
      <c r="ES528" s="424"/>
      <c r="ET528" s="424"/>
      <c r="EU528" s="424"/>
      <c r="EV528" s="424"/>
      <c r="EW528" s="424"/>
      <c r="EX528" s="424"/>
      <c r="EY528" s="424"/>
      <c r="EZ528" s="424"/>
      <c r="FA528" s="424"/>
      <c r="FB528" s="424"/>
      <c r="FC528" s="424"/>
      <c r="FD528" s="425"/>
      <c r="FE528" s="333"/>
    </row>
    <row r="529" spans="86:161" x14ac:dyDescent="0.25">
      <c r="CH529" s="445"/>
      <c r="CI529" s="300"/>
      <c r="CJ529" s="300"/>
      <c r="CK529" s="300"/>
      <c r="CL529" s="449"/>
      <c r="CM529" s="445"/>
      <c r="DG529" s="445"/>
      <c r="DH529" s="300"/>
      <c r="DI529" s="395" t="str">
        <f ca="1">DI523</f>
        <v/>
      </c>
      <c r="DJ529" s="465" t="str">
        <f ca="1">IF(OR(DI529="",DP529="",DI529=DP529,COUNTIF(games.av,DI529&amp;DP529)=0),"",CONCATENATE(DI529,DP529))</f>
        <v/>
      </c>
      <c r="DK529" s="360" t="str">
        <f ca="1">IF($DJ529="","",CONCATENATE(VLOOKUP($DJ529,games.a,9,FALSE),VLOOKUP($DJ529,games.a,12,FALSE)))</f>
        <v/>
      </c>
      <c r="DL529" s="354" t="str">
        <f ca="1">IF($DJ529="","",VLOOKUP($DJ529,games.a,10,FALSE))</f>
        <v/>
      </c>
      <c r="DM529" s="354" t="str">
        <f ca="1">IF($DJ529="","",VLOOKUP($DJ529,games.a,13,FALSE))</f>
        <v/>
      </c>
      <c r="DN529" s="361" t="str">
        <f ca="1">IF($DJ529="","",VLOOKUP($DJ529,games.a,6,FALSE))</f>
        <v/>
      </c>
      <c r="DO529" s="362" t="str">
        <f ca="1">IF($DJ529="","",VLOOKUP($DJ529,games.a,7,FALSE))</f>
        <v/>
      </c>
      <c r="DP529" s="379" t="str">
        <f ca="1">DP528</f>
        <v/>
      </c>
      <c r="DQ529" s="302"/>
      <c r="DR529" s="364"/>
      <c r="DS529" s="302"/>
      <c r="DU529" s="424"/>
      <c r="DV529" s="424"/>
      <c r="DW529" s="424"/>
      <c r="DX529" s="424"/>
      <c r="DY529" s="424"/>
      <c r="DZ529" s="424"/>
      <c r="EA529" s="424"/>
      <c r="EB529" s="424"/>
      <c r="EC529" s="424"/>
      <c r="ED529" s="424"/>
      <c r="EE529" s="424"/>
      <c r="EF529" s="424"/>
      <c r="EG529" s="424"/>
      <c r="EH529" s="424"/>
      <c r="EI529" s="424"/>
      <c r="EJ529" s="424"/>
      <c r="EK529" s="424"/>
      <c r="EL529" s="424"/>
      <c r="EM529" s="424"/>
      <c r="EN529" s="424"/>
      <c r="EO529" s="424"/>
      <c r="EP529" s="424"/>
      <c r="EQ529" s="424"/>
      <c r="ER529" s="424"/>
      <c r="ES529" s="424"/>
      <c r="ET529" s="424"/>
      <c r="EU529" s="424"/>
      <c r="EV529" s="424"/>
      <c r="EW529" s="424"/>
      <c r="EX529" s="424"/>
      <c r="EY529" s="424"/>
      <c r="EZ529" s="424"/>
      <c r="FA529" s="424"/>
      <c r="FB529" s="424"/>
      <c r="FC529" s="424"/>
      <c r="FD529" s="425"/>
      <c r="FE529" s="333"/>
    </row>
    <row r="530" spans="86:161" x14ac:dyDescent="0.25">
      <c r="CH530" s="445"/>
      <c r="CI530" s="300"/>
      <c r="CJ530" s="300"/>
      <c r="CK530" s="300"/>
      <c r="CL530" s="449"/>
      <c r="CM530" s="445"/>
      <c r="DG530" s="445"/>
      <c r="DH530" s="300"/>
      <c r="DI530" s="301"/>
      <c r="DJ530" s="458" t="s">
        <v>157</v>
      </c>
      <c r="DK530" s="458" t="s">
        <v>158</v>
      </c>
      <c r="DL530" s="459" t="s">
        <v>159</v>
      </c>
      <c r="DM530" s="459"/>
      <c r="DN530" s="460" t="s">
        <v>160</v>
      </c>
      <c r="DO530" s="459" t="s">
        <v>135</v>
      </c>
      <c r="DP530" s="302"/>
      <c r="DQ530" s="302"/>
      <c r="DR530" s="364"/>
      <c r="DS530" s="302"/>
      <c r="DU530" s="424"/>
      <c r="DV530" s="424"/>
      <c r="DW530" s="424"/>
      <c r="DX530" s="424"/>
      <c r="DY530" s="424"/>
      <c r="DZ530" s="424"/>
      <c r="EA530" s="424"/>
      <c r="EB530" s="424"/>
      <c r="EC530" s="424"/>
      <c r="ED530" s="424"/>
      <c r="EE530" s="424"/>
      <c r="EF530" s="424"/>
      <c r="EG530" s="424"/>
      <c r="EH530" s="424"/>
      <c r="EI530" s="424"/>
      <c r="EJ530" s="424"/>
      <c r="EK530" s="424"/>
      <c r="EL530" s="424"/>
      <c r="EM530" s="424"/>
      <c r="EN530" s="424"/>
      <c r="EO530" s="424"/>
      <c r="EP530" s="424"/>
      <c r="EQ530" s="424"/>
      <c r="ER530" s="424"/>
      <c r="ES530" s="424"/>
      <c r="ET530" s="424"/>
      <c r="EU530" s="424"/>
      <c r="EV530" s="424"/>
      <c r="EW530" s="424"/>
      <c r="EX530" s="424"/>
      <c r="EY530" s="424"/>
      <c r="EZ530" s="424"/>
      <c r="FA530" s="424"/>
      <c r="FB530" s="424"/>
      <c r="FC530" s="424"/>
      <c r="FD530" s="425"/>
      <c r="FE530" s="333"/>
    </row>
    <row r="531" spans="86:161" x14ac:dyDescent="0.25">
      <c r="CH531" s="445"/>
      <c r="CI531" s="300"/>
      <c r="CJ531" s="300"/>
      <c r="CK531" s="300"/>
      <c r="CL531" s="447"/>
      <c r="CM531" s="445"/>
      <c r="DG531" s="445"/>
      <c r="DH531" s="300"/>
      <c r="DI531" s="395" t="str">
        <f ca="1">DI525</f>
        <v>K&amp;H</v>
      </c>
      <c r="DJ531" s="465" t="str">
        <f ca="1">IF(OR(DI531="",DP531="",DI531=DP531,COUNTIF(games.av,DI531&amp;DP531)=0),"",CONCATENATE(DI531,DP531))</f>
        <v/>
      </c>
      <c r="DK531" s="360" t="str">
        <f ca="1">IF($DJ531="","",CONCATENATE(VLOOKUP($DJ531,games.a,9,FALSE),VLOOKUP($DJ531,games.a,12,FALSE)))</f>
        <v/>
      </c>
      <c r="DL531" s="354" t="str">
        <f ca="1">IF($DJ531="","",VLOOKUP($DJ531,games.a,10,FALSE))</f>
        <v/>
      </c>
      <c r="DM531" s="354" t="str">
        <f ca="1">IF($DJ531="","",VLOOKUP($DJ531,games.a,13,FALSE))</f>
        <v/>
      </c>
      <c r="DN531" s="361" t="str">
        <f ca="1">IF($DJ531="","",VLOOKUP($DJ531,games.a,6,FALSE))</f>
        <v/>
      </c>
      <c r="DO531" s="362" t="str">
        <f ca="1">IF($DJ531="","",VLOOKUP($DJ531,games.a,7,FALSE))</f>
        <v/>
      </c>
      <c r="DP531" s="466" t="str">
        <f ca="1">DI516</f>
        <v/>
      </c>
      <c r="DQ531" s="302"/>
      <c r="DR531" s="364"/>
      <c r="DS531" s="302"/>
      <c r="DU531" s="424"/>
      <c r="DV531" s="424"/>
      <c r="DW531" s="424"/>
      <c r="DX531" s="424"/>
      <c r="DY531" s="424"/>
      <c r="DZ531" s="424"/>
      <c r="EA531" s="424"/>
      <c r="EB531" s="424"/>
      <c r="EC531" s="424"/>
      <c r="ED531" s="424"/>
      <c r="EE531" s="424"/>
      <c r="EF531" s="424"/>
      <c r="EG531" s="424"/>
      <c r="EH531" s="424"/>
      <c r="EI531" s="424"/>
      <c r="EJ531" s="424"/>
      <c r="EK531" s="424"/>
      <c r="EL531" s="424"/>
      <c r="EM531" s="424"/>
      <c r="EN531" s="424"/>
      <c r="EO531" s="424"/>
      <c r="EP531" s="424"/>
      <c r="EQ531" s="424"/>
      <c r="ER531" s="424"/>
      <c r="ES531" s="424"/>
      <c r="ET531" s="424"/>
      <c r="EU531" s="424"/>
      <c r="EV531" s="424"/>
      <c r="EW531" s="424"/>
      <c r="EX531" s="424"/>
      <c r="EY531" s="424"/>
      <c r="EZ531" s="424"/>
      <c r="FA531" s="424"/>
      <c r="FB531" s="424"/>
      <c r="FC531" s="424"/>
      <c r="FD531" s="425"/>
      <c r="FE531" s="333"/>
    </row>
    <row r="532" spans="86:161" x14ac:dyDescent="0.25">
      <c r="CH532" s="445"/>
      <c r="CI532" s="300"/>
      <c r="CJ532" s="300"/>
      <c r="CK532" s="300"/>
      <c r="CL532" s="447"/>
      <c r="CM532" s="445"/>
      <c r="DG532" s="445"/>
      <c r="DH532" s="300"/>
      <c r="DI532" s="395" t="str">
        <f ca="1">DI526</f>
        <v>BBK</v>
      </c>
      <c r="DJ532" s="465" t="str">
        <f ca="1">IF(OR(DI532="",DP532="",DI532=DP532,COUNTIF(games.av,DI532&amp;DP532)=0),"",CONCATENATE(DI532,DP532))</f>
        <v/>
      </c>
      <c r="DK532" s="360" t="str">
        <f ca="1">IF($DJ532="","",CONCATENATE(VLOOKUP($DJ532,games.a,9,FALSE),VLOOKUP($DJ532,games.a,12,FALSE)))</f>
        <v/>
      </c>
      <c r="DL532" s="354" t="str">
        <f ca="1">IF($DJ532="","",VLOOKUP($DJ532,games.a,10,FALSE))</f>
        <v/>
      </c>
      <c r="DM532" s="354" t="str">
        <f ca="1">IF($DJ532="","",VLOOKUP($DJ532,games.a,13,FALSE))</f>
        <v/>
      </c>
      <c r="DN532" s="361" t="str">
        <f ca="1">IF($DJ532="","",VLOOKUP($DJ532,games.a,6,FALSE))</f>
        <v/>
      </c>
      <c r="DO532" s="362" t="str">
        <f ca="1">IF($DJ532="","",VLOOKUP($DJ532,games.a,7,FALSE))</f>
        <v/>
      </c>
      <c r="DP532" s="379" t="str">
        <f ca="1">DP531</f>
        <v/>
      </c>
      <c r="DQ532" s="302"/>
      <c r="DR532" s="364"/>
      <c r="DS532" s="302"/>
      <c r="DU532" s="424"/>
      <c r="DV532" s="424"/>
      <c r="DW532" s="424"/>
      <c r="DX532" s="424"/>
      <c r="DY532" s="424"/>
      <c r="DZ532" s="424"/>
      <c r="EA532" s="424"/>
      <c r="EB532" s="424"/>
      <c r="EC532" s="424"/>
      <c r="ED532" s="424"/>
      <c r="EE532" s="424"/>
      <c r="EF532" s="424"/>
      <c r="EG532" s="424"/>
      <c r="EH532" s="424"/>
      <c r="EI532" s="424"/>
      <c r="EJ532" s="424"/>
      <c r="EK532" s="424"/>
      <c r="EL532" s="424"/>
      <c r="EM532" s="424"/>
      <c r="EN532" s="424"/>
      <c r="EO532" s="424"/>
      <c r="EP532" s="424"/>
      <c r="EQ532" s="424"/>
      <c r="ER532" s="424"/>
      <c r="ES532" s="424"/>
      <c r="ET532" s="424"/>
      <c r="EU532" s="424"/>
      <c r="EV532" s="424"/>
      <c r="EW532" s="424"/>
      <c r="EX532" s="424"/>
      <c r="EY532" s="424"/>
      <c r="EZ532" s="424"/>
      <c r="FA532" s="424"/>
      <c r="FB532" s="424"/>
      <c r="FC532" s="424"/>
      <c r="FD532" s="425"/>
      <c r="FE532" s="333"/>
    </row>
    <row r="533" spans="86:161" x14ac:dyDescent="0.25">
      <c r="CH533" s="445"/>
      <c r="CI533" s="300"/>
      <c r="CJ533" s="300"/>
      <c r="CK533" s="300"/>
      <c r="CL533" s="449"/>
      <c r="CM533" s="445"/>
      <c r="DG533" s="445"/>
      <c r="DH533" s="300"/>
      <c r="DI533" s="395" t="str">
        <f ca="1">DI527</f>
        <v/>
      </c>
      <c r="DJ533" s="465" t="str">
        <f ca="1">IF(OR(DI533="",DP533="",DI533=DP533,COUNTIF(games.av,DI533&amp;DP533)=0),"",CONCATENATE(DI533,DP533))</f>
        <v/>
      </c>
      <c r="DK533" s="360" t="str">
        <f ca="1">IF($DJ533="","",CONCATENATE(VLOOKUP($DJ533,games.a,9,FALSE),VLOOKUP($DJ533,games.a,12,FALSE)))</f>
        <v/>
      </c>
      <c r="DL533" s="354" t="str">
        <f ca="1">IF($DJ533="","",VLOOKUP($DJ533,games.a,10,FALSE))</f>
        <v/>
      </c>
      <c r="DM533" s="354" t="str">
        <f ca="1">IF($DJ533="","",VLOOKUP($DJ533,games.a,13,FALSE))</f>
        <v/>
      </c>
      <c r="DN533" s="361" t="str">
        <f ca="1">IF($DJ533="","",VLOOKUP($DJ533,games.a,6,FALSE))</f>
        <v/>
      </c>
      <c r="DO533" s="362" t="str">
        <f ca="1">IF($DJ533="","",VLOOKUP($DJ533,games.a,7,FALSE))</f>
        <v/>
      </c>
      <c r="DP533" s="379" t="str">
        <f ca="1">DP532</f>
        <v/>
      </c>
      <c r="DQ533" s="302"/>
      <c r="DR533" s="364"/>
      <c r="DS533" s="302"/>
      <c r="DU533" s="424"/>
      <c r="DV533" s="424"/>
      <c r="DW533" s="424"/>
      <c r="DX533" s="424"/>
      <c r="DY533" s="424"/>
      <c r="DZ533" s="424"/>
      <c r="EA533" s="424"/>
      <c r="EB533" s="424"/>
      <c r="EC533" s="424"/>
      <c r="ED533" s="424"/>
      <c r="EE533" s="424"/>
      <c r="EF533" s="424"/>
      <c r="EG533" s="424"/>
      <c r="EH533" s="424"/>
      <c r="EI533" s="424"/>
      <c r="EJ533" s="424"/>
      <c r="EK533" s="424"/>
      <c r="EL533" s="424"/>
      <c r="EM533" s="424"/>
      <c r="EN533" s="424"/>
      <c r="EO533" s="424"/>
      <c r="EP533" s="424"/>
      <c r="EQ533" s="424"/>
      <c r="ER533" s="424"/>
      <c r="ES533" s="424"/>
      <c r="ET533" s="424"/>
      <c r="EU533" s="424"/>
      <c r="EV533" s="424"/>
      <c r="EW533" s="424"/>
      <c r="EX533" s="424"/>
      <c r="EY533" s="424"/>
      <c r="EZ533" s="424"/>
      <c r="FA533" s="424"/>
      <c r="FB533" s="424"/>
      <c r="FC533" s="424"/>
      <c r="FD533" s="425"/>
      <c r="FE533" s="333"/>
    </row>
    <row r="534" spans="86:161" x14ac:dyDescent="0.25">
      <c r="CH534" s="445"/>
      <c r="CI534" s="300"/>
      <c r="CJ534" s="300"/>
      <c r="CK534" s="300"/>
      <c r="CL534" s="449"/>
      <c r="CM534" s="445"/>
      <c r="DG534" s="445"/>
      <c r="DH534" s="300"/>
      <c r="DI534" s="395" t="str">
        <f ca="1">DI528</f>
        <v/>
      </c>
      <c r="DJ534" s="465" t="str">
        <f ca="1">IF(OR(DI534="",DP534="",DI534=DP534,COUNTIF(games.av,DI534&amp;DP534)=0),"",CONCATENATE(DI534,DP534))</f>
        <v/>
      </c>
      <c r="DK534" s="360" t="str">
        <f ca="1">IF($DJ534="","",CONCATENATE(VLOOKUP($DJ534,games.a,9,FALSE),VLOOKUP($DJ534,games.a,12,FALSE)))</f>
        <v/>
      </c>
      <c r="DL534" s="354" t="str">
        <f ca="1">IF($DJ534="","",VLOOKUP($DJ534,games.a,10,FALSE))</f>
        <v/>
      </c>
      <c r="DM534" s="354" t="str">
        <f ca="1">IF($DJ534="","",VLOOKUP($DJ534,games.a,13,FALSE))</f>
        <v/>
      </c>
      <c r="DN534" s="361" t="str">
        <f ca="1">IF($DJ534="","",VLOOKUP($DJ534,games.a,6,FALSE))</f>
        <v/>
      </c>
      <c r="DO534" s="362" t="str">
        <f ca="1">IF($DJ534="","",VLOOKUP($DJ534,games.a,7,FALSE))</f>
        <v/>
      </c>
      <c r="DP534" s="379" t="str">
        <f ca="1">DP533</f>
        <v/>
      </c>
      <c r="DQ534" s="302"/>
      <c r="DR534" s="364"/>
      <c r="DS534" s="302"/>
      <c r="DU534" s="424"/>
      <c r="DV534" s="424"/>
      <c r="DW534" s="424"/>
      <c r="DX534" s="424"/>
      <c r="DY534" s="424"/>
      <c r="DZ534" s="424"/>
      <c r="EA534" s="424"/>
      <c r="EB534" s="424"/>
      <c r="EC534" s="424"/>
      <c r="ED534" s="424"/>
      <c r="EE534" s="424"/>
      <c r="EF534" s="424"/>
      <c r="EG534" s="424"/>
      <c r="EH534" s="424"/>
      <c r="EI534" s="424"/>
      <c r="EJ534" s="424"/>
      <c r="EK534" s="424"/>
      <c r="EL534" s="424"/>
      <c r="EM534" s="424"/>
      <c r="EN534" s="424"/>
      <c r="EO534" s="424"/>
      <c r="EP534" s="424"/>
      <c r="EQ534" s="424"/>
      <c r="ER534" s="424"/>
      <c r="ES534" s="424"/>
      <c r="ET534" s="424"/>
      <c r="EU534" s="424"/>
      <c r="EV534" s="424"/>
      <c r="EW534" s="424"/>
      <c r="EX534" s="424"/>
      <c r="EY534" s="424"/>
      <c r="EZ534" s="424"/>
      <c r="FA534" s="424"/>
      <c r="FB534" s="424"/>
      <c r="FC534" s="424"/>
      <c r="FD534" s="425"/>
      <c r="FE534" s="333"/>
    </row>
    <row r="535" spans="86:161" x14ac:dyDescent="0.25">
      <c r="CH535" s="445"/>
      <c r="CI535" s="300"/>
      <c r="CJ535" s="300"/>
      <c r="CK535" s="300"/>
      <c r="CL535" s="449"/>
      <c r="CM535" s="445"/>
      <c r="DG535" s="445"/>
      <c r="DH535" s="300"/>
      <c r="DI535" s="395" t="str">
        <f ca="1">DI529</f>
        <v/>
      </c>
      <c r="DJ535" s="465" t="str">
        <f ca="1">IF(OR(DI535="",DP535="",DI535=DP535,COUNTIF(games.av,DI535&amp;DP535)=0),"",CONCATENATE(DI535,DP535))</f>
        <v/>
      </c>
      <c r="DK535" s="360" t="str">
        <f ca="1">IF($DJ535="","",CONCATENATE(VLOOKUP($DJ535,games.a,9,FALSE),VLOOKUP($DJ535,games.a,12,FALSE)))</f>
        <v/>
      </c>
      <c r="DL535" s="354" t="str">
        <f ca="1">IF($DJ535="","",VLOOKUP($DJ535,games.a,10,FALSE))</f>
        <v/>
      </c>
      <c r="DM535" s="354" t="str">
        <f ca="1">IF($DJ535="","",VLOOKUP($DJ535,games.a,13,FALSE))</f>
        <v/>
      </c>
      <c r="DN535" s="361" t="str">
        <f ca="1">IF($DJ535="","",VLOOKUP($DJ535,games.a,6,FALSE))</f>
        <v/>
      </c>
      <c r="DO535" s="362" t="str">
        <f ca="1">IF($DJ535="","",VLOOKUP($DJ535,games.a,7,FALSE))</f>
        <v/>
      </c>
      <c r="DP535" s="379" t="str">
        <f ca="1">DP534</f>
        <v/>
      </c>
      <c r="DQ535" s="302"/>
      <c r="DR535" s="364"/>
      <c r="DS535" s="302"/>
      <c r="DU535" s="424"/>
      <c r="DV535" s="424"/>
      <c r="DW535" s="424"/>
      <c r="DX535" s="424"/>
      <c r="DY535" s="424"/>
      <c r="DZ535" s="424"/>
      <c r="EA535" s="424"/>
      <c r="EB535" s="424"/>
      <c r="EC535" s="424"/>
      <c r="ED535" s="424"/>
      <c r="EE535" s="424"/>
      <c r="EF535" s="424"/>
      <c r="EG535" s="424"/>
      <c r="EH535" s="424"/>
      <c r="EI535" s="424"/>
      <c r="EJ535" s="424"/>
      <c r="EK535" s="424"/>
      <c r="EL535" s="424"/>
      <c r="EM535" s="424"/>
      <c r="EN535" s="424"/>
      <c r="EO535" s="424"/>
      <c r="EP535" s="424"/>
      <c r="EQ535" s="424"/>
      <c r="ER535" s="424"/>
      <c r="ES535" s="424"/>
      <c r="ET535" s="424"/>
      <c r="EU535" s="424"/>
      <c r="EV535" s="424"/>
      <c r="EW535" s="424"/>
      <c r="EX535" s="424"/>
      <c r="EY535" s="424"/>
      <c r="EZ535" s="424"/>
      <c r="FA535" s="424"/>
      <c r="FB535" s="424"/>
      <c r="FC535" s="424"/>
      <c r="FD535" s="425"/>
      <c r="FE535" s="333"/>
    </row>
    <row r="536" spans="86:161" x14ac:dyDescent="0.25">
      <c r="CH536" s="445"/>
      <c r="CI536" s="300"/>
      <c r="CJ536" s="300"/>
      <c r="CK536" s="300"/>
      <c r="CL536" s="449"/>
      <c r="CM536" s="445"/>
      <c r="DG536" s="445"/>
      <c r="DH536" s="300"/>
      <c r="DI536" s="301"/>
      <c r="DJ536" s="458" t="s">
        <v>157</v>
      </c>
      <c r="DK536" s="458" t="s">
        <v>158</v>
      </c>
      <c r="DL536" s="459" t="s">
        <v>159</v>
      </c>
      <c r="DM536" s="459"/>
      <c r="DN536" s="460" t="s">
        <v>160</v>
      </c>
      <c r="DO536" s="459" t="s">
        <v>135</v>
      </c>
      <c r="DP536" s="302"/>
      <c r="DQ536" s="302"/>
      <c r="DR536" s="364"/>
      <c r="DS536" s="302"/>
      <c r="DU536" s="424"/>
      <c r="DV536" s="424"/>
      <c r="DW536" s="424"/>
      <c r="DX536" s="424"/>
      <c r="DY536" s="424"/>
      <c r="DZ536" s="424"/>
      <c r="EA536" s="424"/>
      <c r="EB536" s="424"/>
      <c r="EC536" s="424"/>
      <c r="ED536" s="424"/>
      <c r="EE536" s="424"/>
      <c r="EF536" s="424"/>
      <c r="EG536" s="424"/>
      <c r="EH536" s="424"/>
      <c r="EI536" s="424"/>
      <c r="EJ536" s="424"/>
      <c r="EK536" s="424"/>
      <c r="EL536" s="424"/>
      <c r="EM536" s="424"/>
      <c r="EN536" s="424"/>
      <c r="EO536" s="424"/>
      <c r="EP536" s="424"/>
      <c r="EQ536" s="424"/>
      <c r="ER536" s="424"/>
      <c r="ES536" s="424"/>
      <c r="ET536" s="424"/>
      <c r="EU536" s="424"/>
      <c r="EV536" s="424"/>
      <c r="EW536" s="424"/>
      <c r="EX536" s="424"/>
      <c r="EY536" s="424"/>
      <c r="EZ536" s="424"/>
      <c r="FA536" s="424"/>
      <c r="FB536" s="424"/>
      <c r="FC536" s="424"/>
      <c r="FD536" s="425"/>
      <c r="FE536" s="333"/>
    </row>
    <row r="537" spans="86:161" x14ac:dyDescent="0.25">
      <c r="CH537" s="445"/>
      <c r="CI537" s="300"/>
      <c r="CJ537" s="300"/>
      <c r="CK537" s="300"/>
      <c r="CL537" s="449"/>
      <c r="CM537" s="445"/>
      <c r="DG537" s="445"/>
      <c r="DH537" s="300"/>
      <c r="DI537" s="395" t="str">
        <f ca="1">DI531</f>
        <v>K&amp;H</v>
      </c>
      <c r="DJ537" s="465" t="str">
        <f ca="1">IF(OR(DI537="",DP537="",DI537=DP537,COUNTIF(games.av,DI537&amp;DP537)=0),"",CONCATENATE(DI537,DP537))</f>
        <v/>
      </c>
      <c r="DK537" s="360" t="str">
        <f ca="1">IF($DJ537="","",CONCATENATE(VLOOKUP($DJ537,games.a,9,FALSE),VLOOKUP($DJ537,games.a,12,FALSE)))</f>
        <v/>
      </c>
      <c r="DL537" s="354" t="str">
        <f ca="1">IF($DJ537="","",VLOOKUP($DJ537,games.a,10,FALSE))</f>
        <v/>
      </c>
      <c r="DM537" s="354" t="str">
        <f ca="1">IF($DJ537="","",VLOOKUP($DJ537,games.a,13,FALSE))</f>
        <v/>
      </c>
      <c r="DN537" s="361" t="str">
        <f ca="1">IF($DJ537="","",VLOOKUP($DJ537,games.a,6,FALSE))</f>
        <v/>
      </c>
      <c r="DO537" s="362" t="str">
        <f ca="1">IF($DJ537="","",VLOOKUP($DJ537,games.a,7,FALSE))</f>
        <v/>
      </c>
      <c r="DP537" s="466" t="str">
        <f ca="1">DI517</f>
        <v/>
      </c>
      <c r="DQ537" s="302"/>
      <c r="DR537" s="364"/>
      <c r="DS537" s="302"/>
      <c r="DU537" s="424"/>
      <c r="DV537" s="424"/>
      <c r="DW537" s="424"/>
      <c r="DX537" s="424"/>
      <c r="DY537" s="424"/>
      <c r="DZ537" s="424"/>
      <c r="EA537" s="424"/>
      <c r="EB537" s="424"/>
      <c r="EC537" s="424"/>
      <c r="ED537" s="424"/>
      <c r="EE537" s="424"/>
      <c r="EF537" s="424"/>
      <c r="EG537" s="424"/>
      <c r="EH537" s="424"/>
      <c r="EI537" s="424"/>
      <c r="EJ537" s="424"/>
      <c r="EK537" s="424"/>
      <c r="EL537" s="424"/>
      <c r="EM537" s="424"/>
      <c r="EN537" s="424"/>
      <c r="EO537" s="424"/>
      <c r="EP537" s="424"/>
      <c r="EQ537" s="424"/>
      <c r="ER537" s="424"/>
      <c r="ES537" s="424"/>
      <c r="ET537" s="424"/>
      <c r="EU537" s="424"/>
      <c r="EV537" s="424"/>
      <c r="EW537" s="424"/>
      <c r="EX537" s="424"/>
      <c r="EY537" s="424"/>
      <c r="EZ537" s="424"/>
      <c r="FA537" s="424"/>
      <c r="FB537" s="424"/>
      <c r="FC537" s="424"/>
      <c r="FD537" s="425"/>
      <c r="FE537" s="333"/>
    </row>
    <row r="538" spans="86:161" x14ac:dyDescent="0.25">
      <c r="CH538" s="445"/>
      <c r="CI538" s="300"/>
      <c r="CJ538" s="300"/>
      <c r="CK538" s="300"/>
      <c r="CL538" s="449"/>
      <c r="CM538" s="445"/>
      <c r="DG538" s="445"/>
      <c r="DH538" s="300"/>
      <c r="DI538" s="395" t="str">
        <f ca="1">DI532</f>
        <v>BBK</v>
      </c>
      <c r="DJ538" s="465" t="str">
        <f ca="1">IF(OR(DI538="",DP538="",DI538=DP538,COUNTIF(games.av,DI538&amp;DP538)=0),"",CONCATENATE(DI538,DP538))</f>
        <v/>
      </c>
      <c r="DK538" s="360" t="str">
        <f ca="1">IF($DJ538="","",CONCATENATE(VLOOKUP($DJ538,games.a,9,FALSE),VLOOKUP($DJ538,games.a,12,FALSE)))</f>
        <v/>
      </c>
      <c r="DL538" s="354" t="str">
        <f ca="1">IF($DJ538="","",VLOOKUP($DJ538,games.a,10,FALSE))</f>
        <v/>
      </c>
      <c r="DM538" s="354" t="str">
        <f ca="1">IF($DJ538="","",VLOOKUP($DJ538,games.a,13,FALSE))</f>
        <v/>
      </c>
      <c r="DN538" s="361" t="str">
        <f ca="1">IF($DJ538="","",VLOOKUP($DJ538,games.a,6,FALSE))</f>
        <v/>
      </c>
      <c r="DO538" s="362" t="str">
        <f ca="1">IF($DJ538="","",VLOOKUP($DJ538,games.a,7,FALSE))</f>
        <v/>
      </c>
      <c r="DP538" s="379" t="str">
        <f ca="1">DP537</f>
        <v/>
      </c>
      <c r="DQ538" s="302"/>
      <c r="DR538" s="364"/>
      <c r="DS538" s="302"/>
      <c r="DU538" s="424"/>
      <c r="DV538" s="424"/>
      <c r="DW538" s="424"/>
      <c r="DX538" s="424"/>
      <c r="DY538" s="424"/>
      <c r="DZ538" s="424"/>
      <c r="EA538" s="424"/>
      <c r="EB538" s="424"/>
      <c r="EC538" s="424"/>
      <c r="ED538" s="424"/>
      <c r="EE538" s="424"/>
      <c r="EF538" s="424"/>
      <c r="EG538" s="424"/>
      <c r="EH538" s="424"/>
      <c r="EI538" s="424"/>
      <c r="EJ538" s="424"/>
      <c r="EK538" s="424"/>
      <c r="EL538" s="424"/>
      <c r="EM538" s="424"/>
      <c r="EN538" s="424"/>
      <c r="EO538" s="424"/>
      <c r="EP538" s="424"/>
      <c r="EQ538" s="424"/>
      <c r="ER538" s="424"/>
      <c r="ES538" s="424"/>
      <c r="ET538" s="424"/>
      <c r="EU538" s="424"/>
      <c r="EV538" s="424"/>
      <c r="EW538" s="424"/>
      <c r="EX538" s="424"/>
      <c r="EY538" s="424"/>
      <c r="EZ538" s="424"/>
      <c r="FA538" s="424"/>
      <c r="FB538" s="424"/>
      <c r="FC538" s="424"/>
      <c r="FD538" s="425"/>
      <c r="FE538" s="333"/>
    </row>
    <row r="539" spans="86:161" x14ac:dyDescent="0.25">
      <c r="CH539" s="445"/>
      <c r="CI539" s="300"/>
      <c r="CJ539" s="300"/>
      <c r="CK539" s="300"/>
      <c r="CL539" s="449"/>
      <c r="CM539" s="445"/>
      <c r="DG539" s="445"/>
      <c r="DH539" s="300"/>
      <c r="DI539" s="395" t="str">
        <f ca="1">DI533</f>
        <v/>
      </c>
      <c r="DJ539" s="465" t="str">
        <f ca="1">IF(OR(DI539="",DP539="",DI539=DP539,COUNTIF(games.av,DI539&amp;DP539)=0),"",CONCATENATE(DI539,DP539))</f>
        <v/>
      </c>
      <c r="DK539" s="360" t="str">
        <f ca="1">IF($DJ539="","",CONCATENATE(VLOOKUP($DJ539,games.a,9,FALSE),VLOOKUP($DJ539,games.a,12,FALSE)))</f>
        <v/>
      </c>
      <c r="DL539" s="354" t="str">
        <f ca="1">IF($DJ539="","",VLOOKUP($DJ539,games.a,10,FALSE))</f>
        <v/>
      </c>
      <c r="DM539" s="354" t="str">
        <f ca="1">IF($DJ539="","",VLOOKUP($DJ539,games.a,13,FALSE))</f>
        <v/>
      </c>
      <c r="DN539" s="361" t="str">
        <f ca="1">IF($DJ539="","",VLOOKUP($DJ539,games.a,6,FALSE))</f>
        <v/>
      </c>
      <c r="DO539" s="362" t="str">
        <f ca="1">IF($DJ539="","",VLOOKUP($DJ539,games.a,7,FALSE))</f>
        <v/>
      </c>
      <c r="DP539" s="379" t="str">
        <f ca="1">DP538</f>
        <v/>
      </c>
      <c r="DQ539" s="302"/>
      <c r="DR539" s="364"/>
      <c r="DS539" s="302"/>
      <c r="DU539" s="424"/>
      <c r="DV539" s="424"/>
      <c r="DW539" s="424"/>
      <c r="DX539" s="424"/>
      <c r="DY539" s="424"/>
      <c r="DZ539" s="424"/>
      <c r="EA539" s="424"/>
      <c r="EB539" s="424"/>
      <c r="EC539" s="424"/>
      <c r="ED539" s="424"/>
      <c r="EE539" s="424"/>
      <c r="EF539" s="424"/>
      <c r="EG539" s="424"/>
      <c r="EH539" s="424"/>
      <c r="EI539" s="424"/>
      <c r="EJ539" s="424"/>
      <c r="EK539" s="424"/>
      <c r="EL539" s="424"/>
      <c r="EM539" s="424"/>
      <c r="EN539" s="424"/>
      <c r="EO539" s="424"/>
      <c r="EP539" s="424"/>
      <c r="EQ539" s="424"/>
      <c r="ER539" s="424"/>
      <c r="ES539" s="424"/>
      <c r="ET539" s="424"/>
      <c r="EU539" s="424"/>
      <c r="EV539" s="424"/>
      <c r="EW539" s="424"/>
      <c r="EX539" s="424"/>
      <c r="EY539" s="424"/>
      <c r="EZ539" s="424"/>
      <c r="FA539" s="424"/>
      <c r="FB539" s="424"/>
      <c r="FC539" s="424"/>
      <c r="FD539" s="425"/>
      <c r="FE539" s="333"/>
    </row>
    <row r="540" spans="86:161" x14ac:dyDescent="0.25">
      <c r="CH540" s="445"/>
      <c r="CI540" s="300"/>
      <c r="CJ540" s="300"/>
      <c r="CK540" s="300"/>
      <c r="CL540" s="449"/>
      <c r="CM540" s="445"/>
      <c r="DG540" s="445"/>
      <c r="DH540" s="300"/>
      <c r="DI540" s="395" t="str">
        <f ca="1">DI534</f>
        <v/>
      </c>
      <c r="DJ540" s="465" t="str">
        <f ca="1">IF(OR(DI540="",DP540="",DI540=DP540,COUNTIF(games.av,DI540&amp;DP540)=0),"",CONCATENATE(DI540,DP540))</f>
        <v/>
      </c>
      <c r="DK540" s="360" t="str">
        <f ca="1">IF($DJ540="","",CONCATENATE(VLOOKUP($DJ540,games.a,9,FALSE),VLOOKUP($DJ540,games.a,12,FALSE)))</f>
        <v/>
      </c>
      <c r="DL540" s="354" t="str">
        <f ca="1">IF($DJ540="","",VLOOKUP($DJ540,games.a,10,FALSE))</f>
        <v/>
      </c>
      <c r="DM540" s="354" t="str">
        <f ca="1">IF($DJ540="","",VLOOKUP($DJ540,games.a,13,FALSE))</f>
        <v/>
      </c>
      <c r="DN540" s="361" t="str">
        <f ca="1">IF($DJ540="","",VLOOKUP($DJ540,games.a,6,FALSE))</f>
        <v/>
      </c>
      <c r="DO540" s="362" t="str">
        <f ca="1">IF($DJ540="","",VLOOKUP($DJ540,games.a,7,FALSE))</f>
        <v/>
      </c>
      <c r="DP540" s="379" t="str">
        <f ca="1">DP539</f>
        <v/>
      </c>
      <c r="DQ540" s="302"/>
      <c r="DR540" s="364"/>
      <c r="DS540" s="302"/>
      <c r="DU540" s="424"/>
      <c r="DV540" s="424"/>
      <c r="DW540" s="424"/>
      <c r="DX540" s="424"/>
      <c r="DY540" s="424"/>
      <c r="DZ540" s="424"/>
      <c r="EA540" s="424"/>
      <c r="EB540" s="424"/>
      <c r="EC540" s="424"/>
      <c r="ED540" s="424"/>
      <c r="EE540" s="424"/>
      <c r="EF540" s="424"/>
      <c r="EG540" s="424"/>
      <c r="EH540" s="424"/>
      <c r="EI540" s="424"/>
      <c r="EJ540" s="424"/>
      <c r="EK540" s="424"/>
      <c r="EL540" s="424"/>
      <c r="EM540" s="424"/>
      <c r="EN540" s="424"/>
      <c r="EO540" s="424"/>
      <c r="EP540" s="424"/>
      <c r="EQ540" s="424"/>
      <c r="ER540" s="424"/>
      <c r="ES540" s="424"/>
      <c r="ET540" s="424"/>
      <c r="EU540" s="424"/>
      <c r="EV540" s="424"/>
      <c r="EW540" s="424"/>
      <c r="EX540" s="424"/>
      <c r="EY540" s="424"/>
      <c r="EZ540" s="424"/>
      <c r="FA540" s="424"/>
      <c r="FB540" s="424"/>
      <c r="FC540" s="424"/>
      <c r="FD540" s="425"/>
      <c r="FE540" s="333"/>
    </row>
    <row r="541" spans="86:161" x14ac:dyDescent="0.25">
      <c r="CH541" s="445"/>
      <c r="CI541" s="300"/>
      <c r="CJ541" s="300"/>
      <c r="CK541" s="300"/>
      <c r="CL541" s="449"/>
      <c r="CM541" s="445"/>
      <c r="DG541" s="445"/>
      <c r="DH541" s="300"/>
      <c r="DI541" s="395" t="str">
        <f ca="1">DI535</f>
        <v/>
      </c>
      <c r="DJ541" s="465" t="str">
        <f ca="1">IF(OR(DI541="",DP541="",DI541=DP541,COUNTIF(games.av,DI541&amp;DP541)=0),"",CONCATENATE(DI541,DP541))</f>
        <v/>
      </c>
      <c r="DK541" s="360" t="str">
        <f ca="1">IF($DJ541="","",CONCATENATE(VLOOKUP($DJ541,games.a,9,FALSE),VLOOKUP($DJ541,games.a,12,FALSE)))</f>
        <v/>
      </c>
      <c r="DL541" s="354" t="str">
        <f ca="1">IF($DJ541="","",VLOOKUP($DJ541,games.a,10,FALSE))</f>
        <v/>
      </c>
      <c r="DM541" s="354" t="str">
        <f ca="1">IF($DJ541="","",VLOOKUP($DJ541,games.a,13,FALSE))</f>
        <v/>
      </c>
      <c r="DN541" s="361" t="str">
        <f ca="1">IF($DJ541="","",VLOOKUP($DJ541,games.a,6,FALSE))</f>
        <v/>
      </c>
      <c r="DO541" s="362" t="str">
        <f ca="1">IF($DJ541="","",VLOOKUP($DJ541,games.a,7,FALSE))</f>
        <v/>
      </c>
      <c r="DP541" s="379" t="str">
        <f ca="1">DP540</f>
        <v/>
      </c>
      <c r="DQ541" s="302"/>
      <c r="DR541" s="364"/>
      <c r="DS541" s="302"/>
      <c r="DU541" s="424"/>
      <c r="DV541" s="424"/>
      <c r="DW541" s="424"/>
      <c r="DX541" s="424"/>
      <c r="DY541" s="424"/>
      <c r="DZ541" s="424"/>
      <c r="EA541" s="424"/>
      <c r="EB541" s="424"/>
      <c r="EC541" s="424"/>
      <c r="ED541" s="424"/>
      <c r="EE541" s="424"/>
      <c r="EF541" s="424"/>
      <c r="EG541" s="424"/>
      <c r="EH541" s="424"/>
      <c r="EI541" s="424"/>
      <c r="EJ541" s="424"/>
      <c r="EK541" s="424"/>
      <c r="EL541" s="424"/>
      <c r="EM541" s="424"/>
      <c r="EN541" s="424"/>
      <c r="EO541" s="424"/>
      <c r="EP541" s="424"/>
      <c r="EQ541" s="424"/>
      <c r="ER541" s="424"/>
      <c r="ES541" s="424"/>
      <c r="ET541" s="424"/>
      <c r="EU541" s="424"/>
      <c r="EV541" s="424"/>
      <c r="EW541" s="424"/>
      <c r="EX541" s="424"/>
      <c r="EY541" s="424"/>
      <c r="EZ541" s="424"/>
      <c r="FA541" s="424"/>
      <c r="FB541" s="424"/>
      <c r="FC541" s="424"/>
      <c r="FD541" s="425"/>
      <c r="FE541" s="333"/>
    </row>
    <row r="542" spans="86:161" x14ac:dyDescent="0.25">
      <c r="CH542" s="445"/>
      <c r="CI542" s="300"/>
      <c r="CJ542" s="300"/>
      <c r="CK542" s="300"/>
      <c r="CL542" s="449"/>
      <c r="CM542" s="445"/>
      <c r="DG542" s="445"/>
      <c r="DH542" s="445"/>
      <c r="DI542" s="301"/>
      <c r="DJ542" s="302"/>
      <c r="DK542" s="302"/>
      <c r="DL542" s="302"/>
      <c r="DM542" s="302"/>
      <c r="DN542" s="302"/>
      <c r="DO542" s="302"/>
      <c r="DP542" s="447"/>
      <c r="DQ542" s="302"/>
      <c r="DR542" s="446" t="s">
        <v>216</v>
      </c>
      <c r="DS542" s="302"/>
      <c r="DU542" s="424"/>
      <c r="DV542" s="424"/>
      <c r="DW542" s="424"/>
      <c r="DX542" s="424"/>
      <c r="DY542" s="424"/>
      <c r="DZ542" s="424"/>
      <c r="EA542" s="424"/>
      <c r="EB542" s="424"/>
      <c r="EC542" s="424"/>
      <c r="ED542" s="424"/>
      <c r="EE542" s="424"/>
      <c r="EF542" s="424"/>
      <c r="EG542" s="424"/>
      <c r="EH542" s="424"/>
      <c r="EI542" s="424"/>
      <c r="EJ542" s="424"/>
      <c r="EK542" s="424"/>
      <c r="EL542" s="424"/>
      <c r="EM542" s="424"/>
      <c r="EN542" s="424"/>
      <c r="EO542" s="424"/>
      <c r="EP542" s="424"/>
      <c r="EQ542" s="424"/>
      <c r="ER542" s="424"/>
      <c r="ES542" s="424"/>
      <c r="ET542" s="424"/>
      <c r="EU542" s="424"/>
      <c r="EV542" s="424"/>
      <c r="EW542" s="424"/>
      <c r="EX542" s="424"/>
      <c r="EY542" s="424"/>
      <c r="EZ542" s="424"/>
      <c r="FA542" s="424"/>
      <c r="FB542" s="424"/>
      <c r="FC542" s="424"/>
      <c r="FD542" s="425"/>
      <c r="FE542" s="333"/>
    </row>
    <row r="543" spans="86:161" x14ac:dyDescent="0.25">
      <c r="CH543" s="445"/>
      <c r="CI543" s="300"/>
      <c r="CJ543" s="300"/>
      <c r="CK543" s="300"/>
      <c r="CL543" s="449"/>
      <c r="CM543" s="445"/>
      <c r="DG543" s="445"/>
      <c r="DH543" s="445"/>
      <c r="DI543" s="301"/>
      <c r="DJ543" s="302"/>
      <c r="DK543" s="302"/>
      <c r="DL543" s="302"/>
      <c r="DM543" s="302"/>
      <c r="DN543" s="302"/>
      <c r="DO543" s="302"/>
      <c r="DP543" s="447"/>
      <c r="DQ543" s="302"/>
      <c r="DR543" s="450" t="s">
        <v>217</v>
      </c>
      <c r="DS543" s="302"/>
      <c r="DU543" s="424"/>
      <c r="DV543" s="424"/>
      <c r="DW543" s="424"/>
      <c r="DX543" s="424"/>
      <c r="DY543" s="424"/>
      <c r="DZ543" s="424"/>
      <c r="EA543" s="424"/>
      <c r="EB543" s="424"/>
      <c r="EC543" s="424"/>
      <c r="ED543" s="424"/>
      <c r="EE543" s="424"/>
      <c r="EF543" s="424"/>
      <c r="EG543" s="424"/>
      <c r="EH543" s="424"/>
      <c r="EI543" s="424"/>
      <c r="EJ543" s="424"/>
      <c r="EK543" s="424"/>
      <c r="EL543" s="424"/>
      <c r="EM543" s="424"/>
      <c r="EN543" s="424"/>
      <c r="EO543" s="424"/>
      <c r="EP543" s="424"/>
      <c r="EQ543" s="424"/>
      <c r="ER543" s="424"/>
      <c r="ES543" s="424"/>
      <c r="ET543" s="424"/>
      <c r="EU543" s="424"/>
      <c r="EV543" s="424"/>
      <c r="EW543" s="424"/>
      <c r="EX543" s="424"/>
      <c r="EY543" s="424"/>
      <c r="EZ543" s="424"/>
      <c r="FA543" s="424"/>
      <c r="FB543" s="424"/>
      <c r="FC543" s="424"/>
      <c r="FD543" s="425"/>
      <c r="FE543" s="333"/>
    </row>
    <row r="544" spans="86:161" x14ac:dyDescent="0.25">
      <c r="CH544" s="445"/>
      <c r="CI544" s="300"/>
      <c r="CJ544" s="300"/>
      <c r="CK544" s="300"/>
      <c r="CL544" s="449"/>
      <c r="CM544" s="445"/>
      <c r="DG544" s="445"/>
      <c r="DH544" s="300"/>
      <c r="DI544" s="323" t="b">
        <f ca="1">OR(NOT($AJ$44),COUNTIF(DN544:DN563,"")=16-(DP544-1)*DP544,COUNTIF(DN544:DN563,"")=16-(DP544-1)*DP544/2)</f>
        <v>1</v>
      </c>
      <c r="DJ544" s="458" t="s">
        <v>157</v>
      </c>
      <c r="DK544" s="458" t="s">
        <v>158</v>
      </c>
      <c r="DL544" s="459" t="s">
        <v>159</v>
      </c>
      <c r="DM544" s="459"/>
      <c r="DN544" s="460" t="s">
        <v>160</v>
      </c>
      <c r="DO544" s="459" t="s">
        <v>135</v>
      </c>
      <c r="DP544" s="323">
        <f ca="1">COUNT(CZ343:CZ346)</f>
        <v>0</v>
      </c>
      <c r="DQ544" s="302"/>
      <c r="DR544" s="364"/>
      <c r="DS544" s="302"/>
      <c r="DU544" s="424"/>
      <c r="DV544" s="329" t="s">
        <v>229</v>
      </c>
      <c r="DW544" s="365"/>
      <c r="DX544" s="329" t="s">
        <v>152</v>
      </c>
      <c r="DY544" s="329" t="s">
        <v>153</v>
      </c>
      <c r="DZ544" s="329" t="s">
        <v>154</v>
      </c>
      <c r="EA544" s="329" t="s">
        <v>155</v>
      </c>
      <c r="EB544" s="329" t="s">
        <v>125</v>
      </c>
      <c r="EC544" s="329" t="s">
        <v>226</v>
      </c>
      <c r="ED544" s="329" t="s">
        <v>126</v>
      </c>
      <c r="EE544" s="329" t="s">
        <v>227</v>
      </c>
      <c r="EF544" s="424"/>
      <c r="EG544" s="424"/>
      <c r="EH544" s="424"/>
      <c r="EI544" s="329" t="s">
        <v>228</v>
      </c>
      <c r="EJ544" s="329" t="s">
        <v>156</v>
      </c>
      <c r="EK544" s="329" t="s">
        <v>208</v>
      </c>
      <c r="EL544" s="424"/>
      <c r="EM544" s="424"/>
      <c r="EN544" s="424"/>
      <c r="EO544" s="424"/>
      <c r="EP544" s="424"/>
      <c r="EQ544" s="424"/>
      <c r="ER544" s="424"/>
      <c r="ES544" s="424"/>
      <c r="ET544" s="424"/>
      <c r="EU544" s="424"/>
      <c r="EV544" s="424"/>
      <c r="EW544" s="424"/>
      <c r="EX544" s="424"/>
      <c r="EY544" s="424"/>
      <c r="EZ544" s="424"/>
      <c r="FA544" s="424"/>
      <c r="FB544" s="424"/>
      <c r="FC544" s="424"/>
      <c r="FD544" s="425"/>
      <c r="FE544" s="333"/>
    </row>
    <row r="545" spans="86:161" x14ac:dyDescent="0.25">
      <c r="CH545" s="445"/>
      <c r="CI545" s="300"/>
      <c r="CJ545" s="300"/>
      <c r="CK545" s="300"/>
      <c r="CL545" s="449"/>
      <c r="CM545" s="445"/>
      <c r="DG545" s="445"/>
      <c r="DH545" s="300"/>
      <c r="DI545" s="464" t="str">
        <f ca="1">IF(CZ343="","",VLOOKUP(CZ343,xxx.av1,13,FALSE))</f>
        <v/>
      </c>
      <c r="DJ545" s="465" t="str">
        <f ca="1">IF(OR(DI545="",DP545="",DI545=DP545,COUNTIF(games.av,DI545&amp;DP545)=0),"",CONCATENATE(DI545,DP545))</f>
        <v/>
      </c>
      <c r="DK545" s="360" t="str">
        <f ca="1">IF($DJ545="","",CONCATENATE(VLOOKUP($DJ545,games.a,9,FALSE),VLOOKUP($DJ545,games.a,12,FALSE)))</f>
        <v/>
      </c>
      <c r="DL545" s="354" t="str">
        <f ca="1">IF($DJ545="","",VLOOKUP($DJ545,games.a,10,FALSE))</f>
        <v/>
      </c>
      <c r="DM545" s="354" t="str">
        <f ca="1">IF($DJ545="","",VLOOKUP($DJ545,games.a,13,FALSE))</f>
        <v/>
      </c>
      <c r="DN545" s="361" t="str">
        <f ca="1">IF($DJ545="","",VLOOKUP($DJ545,games.a,6,FALSE))</f>
        <v/>
      </c>
      <c r="DO545" s="362" t="str">
        <f ca="1">IF($DJ545="","",VLOOKUP($DJ545,games.a,7,FALSE))</f>
        <v/>
      </c>
      <c r="DP545" s="466" t="str">
        <f ca="1">DI545</f>
        <v/>
      </c>
      <c r="DQ545" s="302"/>
      <c r="DR545" s="364"/>
      <c r="DS545" s="302"/>
      <c r="DU545" s="424"/>
      <c r="DV545" s="366" t="str">
        <f ca="1">IF(OR(NOT($AJ$44),DI544),DI545,"")</f>
        <v/>
      </c>
      <c r="DW545" s="365"/>
      <c r="DX545" s="366">
        <f ca="1">IF($DV545="",0,COUNTIF(xxgy.av,$DV545))</f>
        <v>0</v>
      </c>
      <c r="DY545" s="366">
        <f ca="1">IF($DV545="",0,COUNTIF(xxd.av,$DV545))</f>
        <v>0</v>
      </c>
      <c r="DZ545" s="366">
        <f ca="1">IF($DV545="",0,1)*(SUMIF(xxo.av,$DV545,xxl.av)+SUMIF(xxi.av,$DV545,xxk.av))</f>
        <v>0</v>
      </c>
      <c r="EA545" s="366">
        <f ca="1">IF($DV545="",0,1)*(SUMIF(xxo.av,$DV545,xxk.av)+SUMIF(xxi.av,$DV545,xxl.av))</f>
        <v>0</v>
      </c>
      <c r="EB545" s="366">
        <f ca="1">DZ545-EA545</f>
        <v>0</v>
      </c>
      <c r="EC545" s="366">
        <f ca="1">IF(EA545=0,0,DZ545/EA545)</f>
        <v>0</v>
      </c>
      <c r="ED545" s="366">
        <f ca="1">$AJ$48*DX545+IF($AJ$44,0,1)*DY545</f>
        <v>0</v>
      </c>
      <c r="EE545" s="396">
        <f ca="1">ED545*1000000+IF($AJ$44,EC545,EB545)*1000*0</f>
        <v>0</v>
      </c>
      <c r="EF545" s="424"/>
      <c r="EG545" s="424"/>
      <c r="EH545" s="424"/>
      <c r="EI545" s="366">
        <f ca="1">IF(OR(ISERR(EE545),ISNA(EE545)),0,EE545)</f>
        <v>0</v>
      </c>
      <c r="EJ545" s="366">
        <f ca="1">IF(EI545=0,0,RANK(EI545,EI545:EI548,1))</f>
        <v>0</v>
      </c>
      <c r="EK545" s="366">
        <f ca="1">EJ545*40000*IF(COUNTIF($FC$343:$FC$366,DV545)&gt;0,0,1)</f>
        <v>0</v>
      </c>
      <c r="EL545" s="424"/>
      <c r="EM545" s="424"/>
      <c r="EN545" s="424"/>
      <c r="EO545" s="424"/>
      <c r="EP545" s="424"/>
      <c r="EQ545" s="424"/>
      <c r="ER545" s="424"/>
      <c r="ES545" s="424"/>
      <c r="ET545" s="424"/>
      <c r="EU545" s="424"/>
      <c r="EV545" s="424"/>
      <c r="EW545" s="424"/>
      <c r="EX545" s="424"/>
      <c r="EY545" s="424"/>
      <c r="EZ545" s="424"/>
      <c r="FA545" s="424"/>
      <c r="FB545" s="424"/>
      <c r="FC545" s="424"/>
      <c r="FD545" s="425"/>
      <c r="FE545" s="333"/>
    </row>
    <row r="546" spans="86:161" x14ac:dyDescent="0.25">
      <c r="CH546" s="445"/>
      <c r="CI546" s="300"/>
      <c r="CJ546" s="300"/>
      <c r="CK546" s="300"/>
      <c r="CL546" s="449"/>
      <c r="CM546" s="445"/>
      <c r="DG546" s="445"/>
      <c r="DH546" s="300"/>
      <c r="DI546" s="464" t="str">
        <f ca="1">IF(CZ344="","",VLOOKUP(CZ344,xxx.av1,13,FALSE))</f>
        <v/>
      </c>
      <c r="DJ546" s="465" t="str">
        <f ca="1">IF(OR(DI546="",DP546="",DI546=DP546,COUNTIF(games.av,DI546&amp;DP546)=0),"",CONCATENATE(DI546,DP546))</f>
        <v/>
      </c>
      <c r="DK546" s="360" t="str">
        <f ca="1">IF($DJ546="","",CONCATENATE(VLOOKUP($DJ546,games.a,9,FALSE),VLOOKUP($DJ546,games.a,12,FALSE)))</f>
        <v/>
      </c>
      <c r="DL546" s="354" t="str">
        <f ca="1">IF($DJ546="","",VLOOKUP($DJ546,games.a,10,FALSE))</f>
        <v/>
      </c>
      <c r="DM546" s="354" t="str">
        <f ca="1">IF($DJ546="","",VLOOKUP($DJ546,games.a,13,FALSE))</f>
        <v/>
      </c>
      <c r="DN546" s="361" t="str">
        <f ca="1">IF($DJ546="","",VLOOKUP($DJ546,games.a,6,FALSE))</f>
        <v/>
      </c>
      <c r="DO546" s="362" t="str">
        <f ca="1">IF($DJ546="","",VLOOKUP($DJ546,games.a,7,FALSE))</f>
        <v/>
      </c>
      <c r="DP546" s="379" t="str">
        <f ca="1">DP545</f>
        <v/>
      </c>
      <c r="DQ546" s="302"/>
      <c r="DR546" s="364"/>
      <c r="DS546" s="302"/>
      <c r="DU546" s="424"/>
      <c r="DV546" s="366" t="str">
        <f ca="1">IF(OR(NOT($AJ$44),DI544),DI546,"")</f>
        <v/>
      </c>
      <c r="DW546" s="365"/>
      <c r="DX546" s="366">
        <f ca="1">IF($DV546="",0,COUNTIF(xxgy.av,$DV546))</f>
        <v>0</v>
      </c>
      <c r="DY546" s="366">
        <f ca="1">IF($DV546="",0,COUNTIF(xxd.av,$DV546))</f>
        <v>0</v>
      </c>
      <c r="DZ546" s="366">
        <f ca="1">IF($DV546="",0,1)*(SUMIF(xxo.av,$DV546,xxl.av)+SUMIF(xxi.av,$DV546,xxk.av))</f>
        <v>0</v>
      </c>
      <c r="EA546" s="366">
        <f ca="1">IF($DV546="",0,1)*(SUMIF(xxo.av,$DV546,xxk.av)+SUMIF(xxi.av,$DV546,xxl.av))</f>
        <v>0</v>
      </c>
      <c r="EB546" s="366">
        <f ca="1">DZ546-EA546</f>
        <v>0</v>
      </c>
      <c r="EC546" s="366">
        <f ca="1">IF(EA546=0,0,DZ546/EA546)</f>
        <v>0</v>
      </c>
      <c r="ED546" s="366">
        <f ca="1">$AJ$48*DX546+IF($AJ$44,0,1)*DY546</f>
        <v>0</v>
      </c>
      <c r="EE546" s="396">
        <f ca="1">ED546*1000000+IF($AJ$44,EC546,EB546)*1000*0</f>
        <v>0</v>
      </c>
      <c r="EF546" s="424"/>
      <c r="EG546" s="424"/>
      <c r="EH546" s="424"/>
      <c r="EI546" s="366">
        <f ca="1">IF(OR(ISERR(EE546),ISNA(EE546)),0,EE546)</f>
        <v>0</v>
      </c>
      <c r="EJ546" s="366">
        <f ca="1">IF(EI546=0,0,RANK(EI546,EI545:EI548,1))</f>
        <v>0</v>
      </c>
      <c r="EK546" s="366">
        <f ca="1">EJ546*40000*IF(COUNTIF($FC$343:$FC$366,DV546)&gt;0,0,1)</f>
        <v>0</v>
      </c>
      <c r="EL546" s="424"/>
      <c r="EM546" s="424"/>
      <c r="EN546" s="424"/>
      <c r="EO546" s="424"/>
      <c r="EP546" s="424"/>
      <c r="EQ546" s="424"/>
      <c r="ER546" s="424"/>
      <c r="ES546" s="424"/>
      <c r="ET546" s="424"/>
      <c r="EU546" s="424"/>
      <c r="EV546" s="424"/>
      <c r="EW546" s="424"/>
      <c r="EX546" s="424"/>
      <c r="EY546" s="424"/>
      <c r="EZ546" s="424"/>
      <c r="FA546" s="424"/>
      <c r="FB546" s="424"/>
      <c r="FC546" s="424"/>
      <c r="FD546" s="425"/>
      <c r="FE546" s="333"/>
    </row>
    <row r="547" spans="86:161" x14ac:dyDescent="0.25">
      <c r="CH547" s="445"/>
      <c r="CI547" s="300"/>
      <c r="CJ547" s="300"/>
      <c r="CK547" s="300"/>
      <c r="CL547" s="449"/>
      <c r="CM547" s="445"/>
      <c r="DG547" s="445"/>
      <c r="DH547" s="300"/>
      <c r="DI547" s="464" t="str">
        <f ca="1">IF(CZ345="","",VLOOKUP(CZ345,xxx.av1,13,FALSE))</f>
        <v/>
      </c>
      <c r="DJ547" s="465" t="str">
        <f ca="1">IF(OR(DI547="",DP547="",DI547=DP547,COUNTIF(games.av,DI547&amp;DP547)=0),"",CONCATENATE(DI547,DP547))</f>
        <v/>
      </c>
      <c r="DK547" s="360" t="str">
        <f ca="1">IF($DJ547="","",CONCATENATE(VLOOKUP($DJ547,games.a,9,FALSE),VLOOKUP($DJ547,games.a,12,FALSE)))</f>
        <v/>
      </c>
      <c r="DL547" s="354" t="str">
        <f ca="1">IF($DJ547="","",VLOOKUP($DJ547,games.a,10,FALSE))</f>
        <v/>
      </c>
      <c r="DM547" s="354" t="str">
        <f ca="1">IF($DJ547="","",VLOOKUP($DJ547,games.a,13,FALSE))</f>
        <v/>
      </c>
      <c r="DN547" s="361" t="str">
        <f ca="1">IF($DJ547="","",VLOOKUP($DJ547,games.a,6,FALSE))</f>
        <v/>
      </c>
      <c r="DO547" s="362" t="str">
        <f ca="1">IF($DJ547="","",VLOOKUP($DJ547,games.a,7,FALSE))</f>
        <v/>
      </c>
      <c r="DP547" s="379" t="str">
        <f ca="1">DP546</f>
        <v/>
      </c>
      <c r="DQ547" s="302"/>
      <c r="DR547" s="364"/>
      <c r="DS547" s="302"/>
      <c r="DU547" s="424"/>
      <c r="DV547" s="366" t="str">
        <f ca="1">IF(OR(NOT($AJ$44),DI544),DI547,"")</f>
        <v/>
      </c>
      <c r="DW547" s="365"/>
      <c r="DX547" s="366">
        <f ca="1">IF($DV547="",0,COUNTIF(xxgy.av,$DV547))</f>
        <v>0</v>
      </c>
      <c r="DY547" s="366">
        <f ca="1">IF($DV547="",0,COUNTIF(xxd.av,$DV547))</f>
        <v>0</v>
      </c>
      <c r="DZ547" s="366">
        <f ca="1">IF($DV547="",0,1)*(SUMIF(xxo.av,$DV547,xxl.av)+SUMIF(xxi.av,$DV547,xxk.av))</f>
        <v>0</v>
      </c>
      <c r="EA547" s="366">
        <f ca="1">IF($DV547="",0,1)*(SUMIF(xxo.av,$DV547,xxk.av)+SUMIF(xxi.av,$DV547,xxl.av))</f>
        <v>0</v>
      </c>
      <c r="EB547" s="366">
        <f ca="1">DZ547-EA547</f>
        <v>0</v>
      </c>
      <c r="EC547" s="366">
        <f ca="1">IF(EA547=0,0,DZ547/EA547)</f>
        <v>0</v>
      </c>
      <c r="ED547" s="366">
        <f ca="1">$AJ$48*DX547+IF($AJ$44,0,1)*DY547</f>
        <v>0</v>
      </c>
      <c r="EE547" s="396">
        <f ca="1">ED547*1000000+IF($AJ$44,EC547,EB547)*1000*0</f>
        <v>0</v>
      </c>
      <c r="EF547" s="424"/>
      <c r="EG547" s="424"/>
      <c r="EH547" s="424"/>
      <c r="EI547" s="366">
        <f ca="1">IF(OR(ISERR(EE547),ISNA(EE547)),0,EE547)</f>
        <v>0</v>
      </c>
      <c r="EJ547" s="366">
        <f ca="1">IF(EI547=0,0,RANK(EI547,EI545:EI548,1))</f>
        <v>0</v>
      </c>
      <c r="EK547" s="366">
        <f ca="1">EJ547*40000*IF(COUNTIF($FC$343:$FC$366,DV547)&gt;0,0,1)</f>
        <v>0</v>
      </c>
      <c r="EL547" s="424"/>
      <c r="EM547" s="424"/>
      <c r="EN547" s="424"/>
      <c r="EO547" s="424"/>
      <c r="EP547" s="424"/>
      <c r="EQ547" s="424"/>
      <c r="ER547" s="424"/>
      <c r="ES547" s="424"/>
      <c r="ET547" s="424"/>
      <c r="EU547" s="424"/>
      <c r="EV547" s="424"/>
      <c r="EW547" s="424"/>
      <c r="EX547" s="424"/>
      <c r="EY547" s="424"/>
      <c r="EZ547" s="424"/>
      <c r="FA547" s="424"/>
      <c r="FB547" s="424"/>
      <c r="FC547" s="424"/>
      <c r="FD547" s="425"/>
      <c r="FE547" s="333"/>
    </row>
    <row r="548" spans="86:161" x14ac:dyDescent="0.25">
      <c r="CH548" s="445"/>
      <c r="CI548" s="300"/>
      <c r="CJ548" s="300"/>
      <c r="CK548" s="300"/>
      <c r="CL548" s="449"/>
      <c r="CM548" s="445"/>
      <c r="DG548" s="445"/>
      <c r="DH548" s="300"/>
      <c r="DI548" s="464" t="str">
        <f ca="1">IF(CZ346="","",VLOOKUP(CZ346,xxx.av1,13,FALSE))</f>
        <v/>
      </c>
      <c r="DJ548" s="465" t="str">
        <f ca="1">IF(OR(DI548="",DP548="",DI548=DP548,COUNTIF(games.av,DI548&amp;DP548)=0),"",CONCATENATE(DI548,DP548))</f>
        <v/>
      </c>
      <c r="DK548" s="360" t="str">
        <f ca="1">IF($DJ548="","",CONCATENATE(VLOOKUP($DJ548,games.a,9,FALSE),VLOOKUP($DJ548,games.a,12,FALSE)))</f>
        <v/>
      </c>
      <c r="DL548" s="354" t="str">
        <f ca="1">IF($DJ548="","",VLOOKUP($DJ548,games.a,10,FALSE))</f>
        <v/>
      </c>
      <c r="DM548" s="354" t="str">
        <f ca="1">IF($DJ548="","",VLOOKUP($DJ548,games.a,13,FALSE))</f>
        <v/>
      </c>
      <c r="DN548" s="361" t="str">
        <f ca="1">IF($DJ548="","",VLOOKUP($DJ548,games.a,6,FALSE))</f>
        <v/>
      </c>
      <c r="DO548" s="362" t="str">
        <f ca="1">IF($DJ548="","",VLOOKUP($DJ548,games.a,7,FALSE))</f>
        <v/>
      </c>
      <c r="DP548" s="379" t="str">
        <f ca="1">DP547</f>
        <v/>
      </c>
      <c r="DQ548" s="302"/>
      <c r="DR548" s="364"/>
      <c r="DS548" s="302"/>
      <c r="DU548" s="424"/>
      <c r="DV548" s="366" t="str">
        <f ca="1">IF(OR(NOT($AJ$44),DI544),DI548,"")</f>
        <v/>
      </c>
      <c r="DW548" s="365"/>
      <c r="DX548" s="366">
        <f ca="1">IF($DV548="",0,COUNTIF(xxgy.av,$DV548))</f>
        <v>0</v>
      </c>
      <c r="DY548" s="366">
        <f ca="1">IF($DV548="",0,COUNTIF(xxd.av,$DV548))</f>
        <v>0</v>
      </c>
      <c r="DZ548" s="366">
        <f ca="1">IF($DV548="",0,1)*(SUMIF(xxo.av,$DV548,xxl.av)+SUMIF(xxi.av,$DV548,xxk.av))</f>
        <v>0</v>
      </c>
      <c r="EA548" s="366">
        <f ca="1">IF($DV548="",0,1)*(SUMIF(xxo.av,$DV548,xxk.av)+SUMIF(xxi.av,$DV548,xxl.av))</f>
        <v>0</v>
      </c>
      <c r="EB548" s="366">
        <f ca="1">DZ548-EA548</f>
        <v>0</v>
      </c>
      <c r="EC548" s="366">
        <f ca="1">IF(EA548=0,0,DZ548/EA548)</f>
        <v>0</v>
      </c>
      <c r="ED548" s="366">
        <f ca="1">$AJ$48*DX548+IF($AJ$44,0,1)*DY548</f>
        <v>0</v>
      </c>
      <c r="EE548" s="396">
        <f ca="1">ED548*1000000+IF($AJ$44,EC548,EB548)*1000*0</f>
        <v>0</v>
      </c>
      <c r="EF548" s="424"/>
      <c r="EG548" s="424"/>
      <c r="EH548" s="424"/>
      <c r="EI548" s="366">
        <f ca="1">IF(OR(ISERR(EE548),ISNA(EE548)),0,EE548)</f>
        <v>0</v>
      </c>
      <c r="EJ548" s="366">
        <f ca="1">IF(EI548=0,0,RANK(EI548,EI545:EI548,1))</f>
        <v>0</v>
      </c>
      <c r="EK548" s="366">
        <f ca="1">EJ548*40000*IF(COUNTIF($FC$343:$FC$366,DV548)&gt;0,0,1)</f>
        <v>0</v>
      </c>
      <c r="EL548" s="424"/>
      <c r="EM548" s="424"/>
      <c r="EN548" s="424"/>
      <c r="EO548" s="424"/>
      <c r="EP548" s="424"/>
      <c r="EQ548" s="424"/>
      <c r="ER548" s="424"/>
      <c r="ES548" s="424"/>
      <c r="ET548" s="424"/>
      <c r="EU548" s="424"/>
      <c r="EV548" s="424"/>
      <c r="EW548" s="424"/>
      <c r="EX548" s="424"/>
      <c r="EY548" s="424"/>
      <c r="EZ548" s="424"/>
      <c r="FA548" s="424"/>
      <c r="FB548" s="424"/>
      <c r="FC548" s="424"/>
      <c r="FD548" s="425"/>
      <c r="FE548" s="333"/>
    </row>
    <row r="549" spans="86:161" x14ac:dyDescent="0.25">
      <c r="CH549" s="445"/>
      <c r="CI549" s="300"/>
      <c r="CJ549" s="300"/>
      <c r="CK549" s="300"/>
      <c r="CL549" s="449"/>
      <c r="CM549" s="445"/>
      <c r="DG549" s="445"/>
      <c r="DH549" s="300"/>
      <c r="DI549" s="301"/>
      <c r="DJ549" s="458" t="s">
        <v>157</v>
      </c>
      <c r="DK549" s="458" t="s">
        <v>158</v>
      </c>
      <c r="DL549" s="459" t="s">
        <v>159</v>
      </c>
      <c r="DM549" s="459"/>
      <c r="DN549" s="460" t="s">
        <v>160</v>
      </c>
      <c r="DO549" s="459" t="s">
        <v>135</v>
      </c>
      <c r="DP549" s="302"/>
      <c r="DQ549" s="302"/>
      <c r="DR549" s="364"/>
      <c r="DS549" s="302"/>
      <c r="DU549" s="424"/>
      <c r="DV549" s="424"/>
      <c r="DW549" s="424"/>
      <c r="DX549" s="424"/>
      <c r="DY549" s="424"/>
      <c r="DZ549" s="424"/>
      <c r="EA549" s="424"/>
      <c r="EB549" s="424"/>
      <c r="EC549" s="424"/>
      <c r="ED549" s="424"/>
      <c r="EE549" s="424"/>
      <c r="EF549" s="424"/>
      <c r="EG549" s="424"/>
      <c r="EH549" s="424"/>
      <c r="EI549" s="424"/>
      <c r="EJ549" s="424"/>
      <c r="EK549" s="424"/>
      <c r="EL549" s="424"/>
      <c r="EM549" s="424"/>
      <c r="EN549" s="424"/>
      <c r="EO549" s="424"/>
      <c r="EP549" s="424"/>
      <c r="EQ549" s="424"/>
      <c r="ER549" s="424"/>
      <c r="ES549" s="424"/>
      <c r="ET549" s="424"/>
      <c r="EU549" s="424"/>
      <c r="EV549" s="424"/>
      <c r="EW549" s="424"/>
      <c r="EX549" s="424"/>
      <c r="EY549" s="424"/>
      <c r="EZ549" s="424"/>
      <c r="FA549" s="424"/>
      <c r="FB549" s="424"/>
      <c r="FC549" s="424"/>
      <c r="FD549" s="425"/>
      <c r="FE549" s="333"/>
    </row>
    <row r="550" spans="86:161" x14ac:dyDescent="0.25">
      <c r="CH550" s="445"/>
      <c r="CI550" s="300"/>
      <c r="CJ550" s="300"/>
      <c r="CK550" s="300"/>
      <c r="CL550" s="449"/>
      <c r="CM550" s="445"/>
      <c r="DG550" s="445"/>
      <c r="DH550" s="300"/>
      <c r="DI550" s="395" t="str">
        <f ca="1">DI545</f>
        <v/>
      </c>
      <c r="DJ550" s="465" t="str">
        <f ca="1">IF(OR(DI550="",DP550="",DI550=DP550,COUNTIF(games.av,DI550&amp;DP550)=0),"",CONCATENATE(DI550,DP550))</f>
        <v/>
      </c>
      <c r="DK550" s="360" t="str">
        <f ca="1">IF($DJ550="","",CONCATENATE(VLOOKUP($DJ550,games.a,9,FALSE),VLOOKUP($DJ550,games.a,12,FALSE)))</f>
        <v/>
      </c>
      <c r="DL550" s="354" t="str">
        <f ca="1">IF($DJ550="","",VLOOKUP($DJ550,games.a,10,FALSE))</f>
        <v/>
      </c>
      <c r="DM550" s="354" t="str">
        <f ca="1">IF($DJ550="","",VLOOKUP($DJ550,games.a,13,FALSE))</f>
        <v/>
      </c>
      <c r="DN550" s="361" t="str">
        <f ca="1">IF($DJ550="","",VLOOKUP($DJ550,games.a,6,FALSE))</f>
        <v/>
      </c>
      <c r="DO550" s="362" t="str">
        <f ca="1">IF($DJ550="","",VLOOKUP($DJ550,games.a,7,FALSE))</f>
        <v/>
      </c>
      <c r="DP550" s="466" t="str">
        <f ca="1">DI546</f>
        <v/>
      </c>
      <c r="DQ550" s="302"/>
      <c r="DR550" s="364"/>
      <c r="DS550" s="302"/>
      <c r="DU550" s="424"/>
      <c r="DV550" s="424"/>
      <c r="DW550" s="424"/>
      <c r="DX550" s="424"/>
      <c r="DY550" s="424"/>
      <c r="DZ550" s="424"/>
      <c r="EA550" s="424"/>
      <c r="EB550" s="424"/>
      <c r="EC550" s="424"/>
      <c r="ED550" s="424"/>
      <c r="EE550" s="424"/>
      <c r="EF550" s="424"/>
      <c r="EG550" s="424"/>
      <c r="EH550" s="424"/>
      <c r="EI550" s="424"/>
      <c r="EJ550" s="424"/>
      <c r="EK550" s="424"/>
      <c r="EL550" s="424"/>
      <c r="EM550" s="424"/>
      <c r="EN550" s="424"/>
      <c r="EO550" s="424"/>
      <c r="EP550" s="424"/>
      <c r="EQ550" s="424"/>
      <c r="ER550" s="424"/>
      <c r="ES550" s="424"/>
      <c r="ET550" s="424"/>
      <c r="EU550" s="424"/>
      <c r="EV550" s="424"/>
      <c r="EW550" s="424"/>
      <c r="EX550" s="424"/>
      <c r="EY550" s="424"/>
      <c r="EZ550" s="424"/>
      <c r="FA550" s="424"/>
      <c r="FB550" s="424"/>
      <c r="FC550" s="424"/>
      <c r="FD550" s="425"/>
      <c r="FE550" s="333"/>
    </row>
    <row r="551" spans="86:161" x14ac:dyDescent="0.25">
      <c r="CH551" s="445"/>
      <c r="CI551" s="300"/>
      <c r="CJ551" s="300"/>
      <c r="CK551" s="300"/>
      <c r="CL551" s="449"/>
      <c r="CM551" s="445"/>
      <c r="DG551" s="445"/>
      <c r="DH551" s="300"/>
      <c r="DI551" s="395" t="str">
        <f ca="1">DI546</f>
        <v/>
      </c>
      <c r="DJ551" s="465" t="str">
        <f ca="1">IF(OR(DI551="",DP551="",DI551=DP551,COUNTIF(games.av,DI551&amp;DP551)=0),"",CONCATENATE(DI551,DP551))</f>
        <v/>
      </c>
      <c r="DK551" s="360" t="str">
        <f ca="1">IF($DJ551="","",CONCATENATE(VLOOKUP($DJ551,games.a,9,FALSE),VLOOKUP($DJ551,games.a,12,FALSE)))</f>
        <v/>
      </c>
      <c r="DL551" s="354" t="str">
        <f ca="1">IF($DJ551="","",VLOOKUP($DJ551,games.a,10,FALSE))</f>
        <v/>
      </c>
      <c r="DM551" s="354" t="str">
        <f ca="1">IF($DJ551="","",VLOOKUP($DJ551,games.a,13,FALSE))</f>
        <v/>
      </c>
      <c r="DN551" s="361" t="str">
        <f ca="1">IF($DJ551="","",VLOOKUP($DJ551,games.a,6,FALSE))</f>
        <v/>
      </c>
      <c r="DO551" s="362" t="str">
        <f ca="1">IF($DJ551="","",VLOOKUP($DJ551,games.a,7,FALSE))</f>
        <v/>
      </c>
      <c r="DP551" s="379" t="str">
        <f ca="1">DP550</f>
        <v/>
      </c>
      <c r="DQ551" s="302"/>
      <c r="DR551" s="364"/>
      <c r="DS551" s="302"/>
      <c r="DU551" s="424"/>
      <c r="DV551" s="424"/>
      <c r="DW551" s="424"/>
      <c r="DX551" s="424"/>
      <c r="DY551" s="424"/>
      <c r="DZ551" s="424"/>
      <c r="EA551" s="424"/>
      <c r="EB551" s="424"/>
      <c r="EC551" s="424"/>
      <c r="ED551" s="424"/>
      <c r="EE551" s="424"/>
      <c r="EF551" s="424"/>
      <c r="EG551" s="424"/>
      <c r="EH551" s="424"/>
      <c r="EI551" s="424"/>
      <c r="EJ551" s="424"/>
      <c r="EK551" s="424"/>
      <c r="EL551" s="424"/>
      <c r="EM551" s="424"/>
      <c r="EN551" s="424"/>
      <c r="EO551" s="424"/>
      <c r="EP551" s="424"/>
      <c r="EQ551" s="424"/>
      <c r="ER551" s="424"/>
      <c r="ES551" s="424"/>
      <c r="ET551" s="424"/>
      <c r="EU551" s="424"/>
      <c r="EV551" s="424"/>
      <c r="EW551" s="424"/>
      <c r="EX551" s="424"/>
      <c r="EY551" s="424"/>
      <c r="EZ551" s="424"/>
      <c r="FA551" s="424"/>
      <c r="FB551" s="424"/>
      <c r="FC551" s="424"/>
      <c r="FD551" s="425"/>
      <c r="FE551" s="333"/>
    </row>
    <row r="552" spans="86:161" x14ac:dyDescent="0.25">
      <c r="CH552" s="445"/>
      <c r="CI552" s="300"/>
      <c r="CJ552" s="300"/>
      <c r="CK552" s="300"/>
      <c r="CL552" s="449"/>
      <c r="CM552" s="445"/>
      <c r="DG552" s="445"/>
      <c r="DH552" s="300"/>
      <c r="DI552" s="395" t="str">
        <f ca="1">DI547</f>
        <v/>
      </c>
      <c r="DJ552" s="465" t="str">
        <f ca="1">IF(OR(DI552="",DP552="",DI552=DP552,COUNTIF(games.av,DI552&amp;DP552)=0),"",CONCATENATE(DI552,DP552))</f>
        <v/>
      </c>
      <c r="DK552" s="360" t="str">
        <f ca="1">IF($DJ552="","",CONCATENATE(VLOOKUP($DJ552,games.a,9,FALSE),VLOOKUP($DJ552,games.a,12,FALSE)))</f>
        <v/>
      </c>
      <c r="DL552" s="354" t="str">
        <f ca="1">IF($DJ552="","",VLOOKUP($DJ552,games.a,10,FALSE))</f>
        <v/>
      </c>
      <c r="DM552" s="354" t="str">
        <f ca="1">IF($DJ552="","",VLOOKUP($DJ552,games.a,13,FALSE))</f>
        <v/>
      </c>
      <c r="DN552" s="361" t="str">
        <f ca="1">IF($DJ552="","",VLOOKUP($DJ552,games.a,6,FALSE))</f>
        <v/>
      </c>
      <c r="DO552" s="362" t="str">
        <f ca="1">IF($DJ552="","",VLOOKUP($DJ552,games.a,7,FALSE))</f>
        <v/>
      </c>
      <c r="DP552" s="379" t="str">
        <f ca="1">DP551</f>
        <v/>
      </c>
      <c r="DQ552" s="302"/>
      <c r="DR552" s="364"/>
      <c r="DS552" s="302"/>
      <c r="DU552" s="424"/>
      <c r="DV552" s="424"/>
      <c r="DW552" s="424"/>
      <c r="DX552" s="424"/>
      <c r="DY552" s="424"/>
      <c r="DZ552" s="424"/>
      <c r="EA552" s="424"/>
      <c r="EB552" s="424"/>
      <c r="EC552" s="424"/>
      <c r="ED552" s="424"/>
      <c r="EE552" s="424"/>
      <c r="EF552" s="424"/>
      <c r="EG552" s="424"/>
      <c r="EH552" s="424"/>
      <c r="EI552" s="424"/>
      <c r="EJ552" s="424"/>
      <c r="EK552" s="424"/>
      <c r="EL552" s="424"/>
      <c r="EM552" s="424"/>
      <c r="EN552" s="424"/>
      <c r="EO552" s="424"/>
      <c r="EP552" s="424"/>
      <c r="EQ552" s="424"/>
      <c r="ER552" s="424"/>
      <c r="ES552" s="424"/>
      <c r="ET552" s="424"/>
      <c r="EU552" s="424"/>
      <c r="EV552" s="424"/>
      <c r="EW552" s="424"/>
      <c r="EX552" s="424"/>
      <c r="EY552" s="424"/>
      <c r="EZ552" s="424"/>
      <c r="FA552" s="424"/>
      <c r="FB552" s="424"/>
      <c r="FC552" s="424"/>
      <c r="FD552" s="425"/>
      <c r="FE552" s="333"/>
    </row>
    <row r="553" spans="86:161" x14ac:dyDescent="0.25">
      <c r="CH553" s="445"/>
      <c r="CI553" s="300"/>
      <c r="CJ553" s="300"/>
      <c r="CK553" s="300"/>
      <c r="CL553" s="449"/>
      <c r="CM553" s="445"/>
      <c r="DG553" s="445"/>
      <c r="DH553" s="300"/>
      <c r="DI553" s="395" t="str">
        <f ca="1">DI548</f>
        <v/>
      </c>
      <c r="DJ553" s="465" t="str">
        <f ca="1">IF(OR(DI553="",DP553="",DI553=DP553,COUNTIF(games.av,DI553&amp;DP553)=0),"",CONCATENATE(DI553,DP553))</f>
        <v/>
      </c>
      <c r="DK553" s="360" t="str">
        <f ca="1">IF($DJ553="","",CONCATENATE(VLOOKUP($DJ553,games.a,9,FALSE),VLOOKUP($DJ553,games.a,12,FALSE)))</f>
        <v/>
      </c>
      <c r="DL553" s="354" t="str">
        <f ca="1">IF($DJ553="","",VLOOKUP($DJ553,games.a,10,FALSE))</f>
        <v/>
      </c>
      <c r="DM553" s="354" t="str">
        <f ca="1">IF($DJ553="","",VLOOKUP($DJ553,games.a,13,FALSE))</f>
        <v/>
      </c>
      <c r="DN553" s="361" t="str">
        <f ca="1">IF($DJ553="","",VLOOKUP($DJ553,games.a,6,FALSE))</f>
        <v/>
      </c>
      <c r="DO553" s="362" t="str">
        <f ca="1">IF($DJ553="","",VLOOKUP($DJ553,games.a,7,FALSE))</f>
        <v/>
      </c>
      <c r="DP553" s="379" t="str">
        <f ca="1">DP552</f>
        <v/>
      </c>
      <c r="DQ553" s="302"/>
      <c r="DR553" s="364"/>
      <c r="DS553" s="302"/>
      <c r="DU553" s="424"/>
      <c r="DV553" s="424"/>
      <c r="DW553" s="424"/>
      <c r="DX553" s="424"/>
      <c r="DY553" s="424"/>
      <c r="DZ553" s="424"/>
      <c r="EA553" s="424"/>
      <c r="EB553" s="424"/>
      <c r="EC553" s="424"/>
      <c r="ED553" s="424"/>
      <c r="EE553" s="424"/>
      <c r="EF553" s="424"/>
      <c r="EG553" s="424"/>
      <c r="EH553" s="424"/>
      <c r="EI553" s="424"/>
      <c r="EJ553" s="424"/>
      <c r="EK553" s="424"/>
      <c r="EL553" s="424"/>
      <c r="EM553" s="424"/>
      <c r="EN553" s="424"/>
      <c r="EO553" s="424"/>
      <c r="EP553" s="424"/>
      <c r="EQ553" s="424"/>
      <c r="ER553" s="424"/>
      <c r="ES553" s="424"/>
      <c r="ET553" s="424"/>
      <c r="EU553" s="424"/>
      <c r="EV553" s="424"/>
      <c r="EW553" s="424"/>
      <c r="EX553" s="424"/>
      <c r="EY553" s="424"/>
      <c r="EZ553" s="424"/>
      <c r="FA553" s="424"/>
      <c r="FB553" s="424"/>
      <c r="FC553" s="424"/>
      <c r="FD553" s="425"/>
      <c r="FE553" s="333"/>
    </row>
    <row r="554" spans="86:161" x14ac:dyDescent="0.25">
      <c r="CH554" s="445"/>
      <c r="CI554" s="300"/>
      <c r="CJ554" s="300"/>
      <c r="CK554" s="300"/>
      <c r="CL554" s="449"/>
      <c r="CM554" s="445"/>
      <c r="DG554" s="445"/>
      <c r="DH554" s="300"/>
      <c r="DI554" s="301"/>
      <c r="DJ554" s="458" t="s">
        <v>157</v>
      </c>
      <c r="DK554" s="458" t="s">
        <v>158</v>
      </c>
      <c r="DL554" s="459" t="s">
        <v>159</v>
      </c>
      <c r="DM554" s="459"/>
      <c r="DN554" s="460" t="s">
        <v>160</v>
      </c>
      <c r="DO554" s="459" t="s">
        <v>135</v>
      </c>
      <c r="DP554" s="302"/>
      <c r="DQ554" s="302"/>
      <c r="DR554" s="364"/>
      <c r="DS554" s="302"/>
      <c r="DU554" s="424"/>
      <c r="DV554" s="424"/>
      <c r="DW554" s="424"/>
      <c r="DX554" s="424"/>
      <c r="DY554" s="424"/>
      <c r="DZ554" s="424"/>
      <c r="EA554" s="424"/>
      <c r="EB554" s="424"/>
      <c r="EC554" s="424"/>
      <c r="ED554" s="424"/>
      <c r="EE554" s="424"/>
      <c r="EF554" s="424"/>
      <c r="EG554" s="424"/>
      <c r="EH554" s="424"/>
      <c r="EI554" s="424"/>
      <c r="EJ554" s="424"/>
      <c r="EK554" s="424"/>
      <c r="EL554" s="424"/>
      <c r="EM554" s="424"/>
      <c r="EN554" s="424"/>
      <c r="EO554" s="424"/>
      <c r="EP554" s="424"/>
      <c r="EQ554" s="424"/>
      <c r="ER554" s="424"/>
      <c r="ES554" s="424"/>
      <c r="ET554" s="424"/>
      <c r="EU554" s="424"/>
      <c r="EV554" s="424"/>
      <c r="EW554" s="424"/>
      <c r="EX554" s="424"/>
      <c r="EY554" s="424"/>
      <c r="EZ554" s="424"/>
      <c r="FA554" s="424"/>
      <c r="FB554" s="424"/>
      <c r="FC554" s="424"/>
      <c r="FD554" s="425"/>
      <c r="FE554" s="333"/>
    </row>
    <row r="555" spans="86:161" x14ac:dyDescent="0.25">
      <c r="CH555" s="445"/>
      <c r="CI555" s="300"/>
      <c r="CJ555" s="300"/>
      <c r="CK555" s="300"/>
      <c r="CL555" s="449"/>
      <c r="CM555" s="445"/>
      <c r="DG555" s="445"/>
      <c r="DH555" s="300"/>
      <c r="DI555" s="395" t="str">
        <f ca="1">DI550</f>
        <v/>
      </c>
      <c r="DJ555" s="465" t="str">
        <f ca="1">IF(OR(DI555="",DP555="",DI555=DP555,COUNTIF(games.av,DI555&amp;DP555)=0),"",CONCATENATE(DI555,DP555))</f>
        <v/>
      </c>
      <c r="DK555" s="360" t="str">
        <f ca="1">IF($DJ555="","",CONCATENATE(VLOOKUP($DJ555,games.a,9,FALSE),VLOOKUP($DJ555,games.a,12,FALSE)))</f>
        <v/>
      </c>
      <c r="DL555" s="354" t="str">
        <f ca="1">IF($DJ555="","",VLOOKUP($DJ555,games.a,10,FALSE))</f>
        <v/>
      </c>
      <c r="DM555" s="354" t="str">
        <f ca="1">IF($DJ555="","",VLOOKUP($DJ555,games.a,13,FALSE))</f>
        <v/>
      </c>
      <c r="DN555" s="361" t="str">
        <f ca="1">IF($DJ555="","",VLOOKUP($DJ555,games.a,6,FALSE))</f>
        <v/>
      </c>
      <c r="DO555" s="362" t="str">
        <f ca="1">IF($DJ555="","",VLOOKUP($DJ555,games.a,7,FALSE))</f>
        <v/>
      </c>
      <c r="DP555" s="466" t="str">
        <f ca="1">DI547</f>
        <v/>
      </c>
      <c r="DQ555" s="302"/>
      <c r="DR555" s="364"/>
      <c r="DS555" s="302"/>
      <c r="DU555" s="424"/>
      <c r="DV555" s="424"/>
      <c r="DW555" s="424"/>
      <c r="DX555" s="424"/>
      <c r="DY555" s="424"/>
      <c r="DZ555" s="424"/>
      <c r="EA555" s="424"/>
      <c r="EB555" s="424"/>
      <c r="EC555" s="424"/>
      <c r="ED555" s="424"/>
      <c r="EE555" s="424"/>
      <c r="EF555" s="424"/>
      <c r="EG555" s="424"/>
      <c r="EH555" s="424"/>
      <c r="EI555" s="424"/>
      <c r="EJ555" s="424"/>
      <c r="EK555" s="424"/>
      <c r="EL555" s="424"/>
      <c r="EM555" s="424"/>
      <c r="EN555" s="424"/>
      <c r="EO555" s="424"/>
      <c r="EP555" s="424"/>
      <c r="EQ555" s="424"/>
      <c r="ER555" s="424"/>
      <c r="ES555" s="424"/>
      <c r="ET555" s="424"/>
      <c r="EU555" s="424"/>
      <c r="EV555" s="424"/>
      <c r="EW555" s="424"/>
      <c r="EX555" s="424"/>
      <c r="EY555" s="424"/>
      <c r="EZ555" s="424"/>
      <c r="FA555" s="424"/>
      <c r="FB555" s="424"/>
      <c r="FC555" s="424"/>
      <c r="FD555" s="425"/>
      <c r="FE555" s="333"/>
    </row>
    <row r="556" spans="86:161" x14ac:dyDescent="0.25">
      <c r="CH556" s="445"/>
      <c r="CI556" s="300"/>
      <c r="CJ556" s="300"/>
      <c r="CK556" s="300"/>
      <c r="CL556" s="449"/>
      <c r="CM556" s="445"/>
      <c r="DG556" s="445"/>
      <c r="DH556" s="300"/>
      <c r="DI556" s="395" t="str">
        <f ca="1">DI551</f>
        <v/>
      </c>
      <c r="DJ556" s="465" t="str">
        <f ca="1">IF(OR(DI556="",DP556="",DI556=DP556,COUNTIF(games.av,DI556&amp;DP556)=0),"",CONCATENATE(DI556,DP556))</f>
        <v/>
      </c>
      <c r="DK556" s="360" t="str">
        <f ca="1">IF($DJ556="","",CONCATENATE(VLOOKUP($DJ556,games.a,9,FALSE),VLOOKUP($DJ556,games.a,12,FALSE)))</f>
        <v/>
      </c>
      <c r="DL556" s="354" t="str">
        <f ca="1">IF($DJ556="","",VLOOKUP($DJ556,games.a,10,FALSE))</f>
        <v/>
      </c>
      <c r="DM556" s="354" t="str">
        <f ca="1">IF($DJ556="","",VLOOKUP($DJ556,games.a,13,FALSE))</f>
        <v/>
      </c>
      <c r="DN556" s="361" t="str">
        <f ca="1">IF($DJ556="","",VLOOKUP($DJ556,games.a,6,FALSE))</f>
        <v/>
      </c>
      <c r="DO556" s="362" t="str">
        <f ca="1">IF($DJ556="","",VLOOKUP($DJ556,games.a,7,FALSE))</f>
        <v/>
      </c>
      <c r="DP556" s="379" t="str">
        <f ca="1">DP555</f>
        <v/>
      </c>
      <c r="DQ556" s="302"/>
      <c r="DR556" s="364"/>
      <c r="DS556" s="302"/>
      <c r="DU556" s="424"/>
      <c r="DV556" s="424"/>
      <c r="DW556" s="424"/>
      <c r="DX556" s="424"/>
      <c r="DY556" s="424"/>
      <c r="DZ556" s="424"/>
      <c r="EA556" s="424"/>
      <c r="EB556" s="424"/>
      <c r="EC556" s="424"/>
      <c r="ED556" s="424"/>
      <c r="EE556" s="424"/>
      <c r="EF556" s="424"/>
      <c r="EG556" s="424"/>
      <c r="EH556" s="424"/>
      <c r="EI556" s="424"/>
      <c r="EJ556" s="424"/>
      <c r="EK556" s="424"/>
      <c r="EL556" s="424"/>
      <c r="EM556" s="424"/>
      <c r="EN556" s="424"/>
      <c r="EO556" s="424"/>
      <c r="EP556" s="424"/>
      <c r="EQ556" s="424"/>
      <c r="ER556" s="424"/>
      <c r="ES556" s="424"/>
      <c r="ET556" s="424"/>
      <c r="EU556" s="424"/>
      <c r="EV556" s="424"/>
      <c r="EW556" s="424"/>
      <c r="EX556" s="424"/>
      <c r="EY556" s="424"/>
      <c r="EZ556" s="424"/>
      <c r="FA556" s="424"/>
      <c r="FB556" s="424"/>
      <c r="FC556" s="424"/>
      <c r="FD556" s="425"/>
      <c r="FE556" s="333"/>
    </row>
    <row r="557" spans="86:161" x14ac:dyDescent="0.25">
      <c r="CH557" s="445"/>
      <c r="CI557" s="300"/>
      <c r="CJ557" s="300"/>
      <c r="CK557" s="300"/>
      <c r="CL557" s="449"/>
      <c r="CM557" s="445"/>
      <c r="DG557" s="445"/>
      <c r="DH557" s="300"/>
      <c r="DI557" s="395" t="str">
        <f ca="1">DI552</f>
        <v/>
      </c>
      <c r="DJ557" s="465" t="str">
        <f ca="1">IF(OR(DI557="",DP557="",DI557=DP557,COUNTIF(games.av,DI557&amp;DP557)=0),"",CONCATENATE(DI557,DP557))</f>
        <v/>
      </c>
      <c r="DK557" s="360" t="str">
        <f ca="1">IF($DJ557="","",CONCATENATE(VLOOKUP($DJ557,games.a,9,FALSE),VLOOKUP($DJ557,games.a,12,FALSE)))</f>
        <v/>
      </c>
      <c r="DL557" s="354" t="str">
        <f ca="1">IF($DJ557="","",VLOOKUP($DJ557,games.a,10,FALSE))</f>
        <v/>
      </c>
      <c r="DM557" s="354" t="str">
        <f ca="1">IF($DJ557="","",VLOOKUP($DJ557,games.a,13,FALSE))</f>
        <v/>
      </c>
      <c r="DN557" s="361" t="str">
        <f ca="1">IF($DJ557="","",VLOOKUP($DJ557,games.a,6,FALSE))</f>
        <v/>
      </c>
      <c r="DO557" s="362" t="str">
        <f ca="1">IF($DJ557="","",VLOOKUP($DJ557,games.a,7,FALSE))</f>
        <v/>
      </c>
      <c r="DP557" s="379" t="str">
        <f ca="1">DP556</f>
        <v/>
      </c>
      <c r="DQ557" s="302"/>
      <c r="DR557" s="364"/>
      <c r="DS557" s="302"/>
      <c r="DU557" s="424"/>
      <c r="DV557" s="424"/>
      <c r="DW557" s="424"/>
      <c r="DX557" s="424"/>
      <c r="DY557" s="424"/>
      <c r="DZ557" s="424"/>
      <c r="EA557" s="424"/>
      <c r="EB557" s="424"/>
      <c r="EC557" s="424"/>
      <c r="ED557" s="424"/>
      <c r="EE557" s="424"/>
      <c r="EF557" s="424"/>
      <c r="EG557" s="424"/>
      <c r="EH557" s="424"/>
      <c r="EI557" s="424"/>
      <c r="EJ557" s="424"/>
      <c r="EK557" s="424"/>
      <c r="EL557" s="424"/>
      <c r="EM557" s="424"/>
      <c r="EN557" s="424"/>
      <c r="EO557" s="424"/>
      <c r="EP557" s="424"/>
      <c r="EQ557" s="424"/>
      <c r="ER557" s="424"/>
      <c r="ES557" s="424"/>
      <c r="ET557" s="424"/>
      <c r="EU557" s="424"/>
      <c r="EV557" s="424"/>
      <c r="EW557" s="424"/>
      <c r="EX557" s="424"/>
      <c r="EY557" s="424"/>
      <c r="EZ557" s="424"/>
      <c r="FA557" s="424"/>
      <c r="FB557" s="424"/>
      <c r="FC557" s="424"/>
      <c r="FD557" s="425"/>
      <c r="FE557" s="333"/>
    </row>
    <row r="558" spans="86:161" x14ac:dyDescent="0.25">
      <c r="CH558" s="445"/>
      <c r="CI558" s="300"/>
      <c r="CJ558" s="300"/>
      <c r="CK558" s="300"/>
      <c r="CL558" s="449"/>
      <c r="CM558" s="445"/>
      <c r="DG558" s="445"/>
      <c r="DH558" s="300"/>
      <c r="DI558" s="395" t="str">
        <f ca="1">DI553</f>
        <v/>
      </c>
      <c r="DJ558" s="465" t="str">
        <f ca="1">IF(OR(DI558="",DP558="",DI558=DP558,COUNTIF(games.av,DI558&amp;DP558)=0),"",CONCATENATE(DI558,DP558))</f>
        <v/>
      </c>
      <c r="DK558" s="360" t="str">
        <f ca="1">IF($DJ558="","",CONCATENATE(VLOOKUP($DJ558,games.a,9,FALSE),VLOOKUP($DJ558,games.a,12,FALSE)))</f>
        <v/>
      </c>
      <c r="DL558" s="354" t="str">
        <f ca="1">IF($DJ558="","",VLOOKUP($DJ558,games.a,10,FALSE))</f>
        <v/>
      </c>
      <c r="DM558" s="354" t="str">
        <f ca="1">IF($DJ558="","",VLOOKUP($DJ558,games.a,13,FALSE))</f>
        <v/>
      </c>
      <c r="DN558" s="361" t="str">
        <f ca="1">IF($DJ558="","",VLOOKUP($DJ558,games.a,6,FALSE))</f>
        <v/>
      </c>
      <c r="DO558" s="362" t="str">
        <f ca="1">IF($DJ558="","",VLOOKUP($DJ558,games.a,7,FALSE))</f>
        <v/>
      </c>
      <c r="DP558" s="379" t="str">
        <f ca="1">DP557</f>
        <v/>
      </c>
      <c r="DQ558" s="302"/>
      <c r="DR558" s="364"/>
      <c r="DS558" s="302"/>
      <c r="DU558" s="424"/>
      <c r="DV558" s="424"/>
      <c r="DW558" s="424"/>
      <c r="DX558" s="424"/>
      <c r="DY558" s="424"/>
      <c r="DZ558" s="424"/>
      <c r="EA558" s="424"/>
      <c r="EB558" s="424"/>
      <c r="EC558" s="424"/>
      <c r="ED558" s="424"/>
      <c r="EE558" s="424"/>
      <c r="EF558" s="424"/>
      <c r="EG558" s="424"/>
      <c r="EH558" s="424"/>
      <c r="EI558" s="424"/>
      <c r="EJ558" s="424"/>
      <c r="EK558" s="424"/>
      <c r="EL558" s="424"/>
      <c r="EM558" s="424"/>
      <c r="EN558" s="424"/>
      <c r="EO558" s="424"/>
      <c r="EP558" s="424"/>
      <c r="EQ558" s="424"/>
      <c r="ER558" s="424"/>
      <c r="ES558" s="424"/>
      <c r="ET558" s="424"/>
      <c r="EU558" s="424"/>
      <c r="EV558" s="424"/>
      <c r="EW558" s="424"/>
      <c r="EX558" s="424"/>
      <c r="EY558" s="424"/>
      <c r="EZ558" s="424"/>
      <c r="FA558" s="424"/>
      <c r="FB558" s="424"/>
      <c r="FC558" s="424"/>
      <c r="FD558" s="425"/>
      <c r="FE558" s="333"/>
    </row>
    <row r="559" spans="86:161" x14ac:dyDescent="0.25">
      <c r="CH559" s="445"/>
      <c r="CI559" s="300"/>
      <c r="CJ559" s="300"/>
      <c r="CK559" s="300"/>
      <c r="CL559" s="449"/>
      <c r="CM559" s="445"/>
      <c r="DG559" s="445"/>
      <c r="DH559" s="300"/>
      <c r="DI559" s="301"/>
      <c r="DJ559" s="458" t="s">
        <v>157</v>
      </c>
      <c r="DK559" s="458" t="s">
        <v>158</v>
      </c>
      <c r="DL559" s="459" t="s">
        <v>159</v>
      </c>
      <c r="DM559" s="459"/>
      <c r="DN559" s="460" t="s">
        <v>160</v>
      </c>
      <c r="DO559" s="459" t="s">
        <v>135</v>
      </c>
      <c r="DP559" s="302"/>
      <c r="DQ559" s="302"/>
      <c r="DR559" s="364"/>
      <c r="DS559" s="302"/>
      <c r="DU559" s="424"/>
      <c r="DV559" s="424"/>
      <c r="DW559" s="424"/>
      <c r="DX559" s="424"/>
      <c r="DY559" s="424"/>
      <c r="DZ559" s="424"/>
      <c r="EA559" s="424"/>
      <c r="EB559" s="424"/>
      <c r="EC559" s="424"/>
      <c r="ED559" s="424"/>
      <c r="EE559" s="424"/>
      <c r="EF559" s="424"/>
      <c r="EG559" s="424"/>
      <c r="EH559" s="424"/>
      <c r="EI559" s="424"/>
      <c r="EJ559" s="424"/>
      <c r="EK559" s="424"/>
      <c r="EL559" s="424"/>
      <c r="EM559" s="424"/>
      <c r="EN559" s="424"/>
      <c r="EO559" s="424"/>
      <c r="EP559" s="424"/>
      <c r="EQ559" s="424"/>
      <c r="ER559" s="424"/>
      <c r="ES559" s="424"/>
      <c r="ET559" s="424"/>
      <c r="EU559" s="424"/>
      <c r="EV559" s="424"/>
      <c r="EW559" s="424"/>
      <c r="EX559" s="424"/>
      <c r="EY559" s="424"/>
      <c r="EZ559" s="424"/>
      <c r="FA559" s="424"/>
      <c r="FB559" s="424"/>
      <c r="FC559" s="424"/>
      <c r="FD559" s="425"/>
      <c r="FE559" s="333"/>
    </row>
    <row r="560" spans="86:161" x14ac:dyDescent="0.25">
      <c r="CH560" s="445"/>
      <c r="CI560" s="300"/>
      <c r="CJ560" s="300"/>
      <c r="CK560" s="300"/>
      <c r="CL560" s="449"/>
      <c r="CM560" s="445"/>
      <c r="DG560" s="445"/>
      <c r="DH560" s="300"/>
      <c r="DI560" s="395" t="str">
        <f ca="1">DI555</f>
        <v/>
      </c>
      <c r="DJ560" s="465" t="str">
        <f ca="1">IF(OR(DI560="",DP560="",DI560=DP560,COUNTIF(games.av,DI560&amp;DP560)=0),"",CONCATENATE(DI560,DP560))</f>
        <v/>
      </c>
      <c r="DK560" s="360" t="str">
        <f ca="1">IF($DJ560="","",CONCATENATE(VLOOKUP($DJ560,games.a,9,FALSE),VLOOKUP($DJ560,games.a,12,FALSE)))</f>
        <v/>
      </c>
      <c r="DL560" s="354" t="str">
        <f ca="1">IF($DJ560="","",VLOOKUP($DJ560,games.a,10,FALSE))</f>
        <v/>
      </c>
      <c r="DM560" s="354" t="str">
        <f ca="1">IF($DJ560="","",VLOOKUP($DJ560,games.a,13,FALSE))</f>
        <v/>
      </c>
      <c r="DN560" s="361" t="str">
        <f ca="1">IF($DJ560="","",VLOOKUP($DJ560,games.a,6,FALSE))</f>
        <v/>
      </c>
      <c r="DO560" s="362" t="str">
        <f ca="1">IF($DJ560="","",VLOOKUP($DJ560,games.a,7,FALSE))</f>
        <v/>
      </c>
      <c r="DP560" s="466" t="str">
        <f ca="1">DI548</f>
        <v/>
      </c>
      <c r="DQ560" s="302"/>
      <c r="DR560" s="364"/>
      <c r="DS560" s="302"/>
      <c r="DU560" s="424"/>
      <c r="DV560" s="424"/>
      <c r="DW560" s="424"/>
      <c r="DX560" s="424"/>
      <c r="DY560" s="424"/>
      <c r="DZ560" s="424"/>
      <c r="EA560" s="424"/>
      <c r="EB560" s="424"/>
      <c r="EC560" s="424"/>
      <c r="ED560" s="424"/>
      <c r="EE560" s="424"/>
      <c r="EF560" s="424"/>
      <c r="EG560" s="424"/>
      <c r="EH560" s="424"/>
      <c r="EI560" s="424"/>
      <c r="EJ560" s="424"/>
      <c r="EK560" s="424"/>
      <c r="EL560" s="424"/>
      <c r="EM560" s="424"/>
      <c r="EN560" s="424"/>
      <c r="EO560" s="424"/>
      <c r="EP560" s="424"/>
      <c r="EQ560" s="424"/>
      <c r="ER560" s="424"/>
      <c r="ES560" s="424"/>
      <c r="ET560" s="424"/>
      <c r="EU560" s="424"/>
      <c r="EV560" s="424"/>
      <c r="EW560" s="424"/>
      <c r="EX560" s="424"/>
      <c r="EY560" s="424"/>
      <c r="EZ560" s="424"/>
      <c r="FA560" s="424"/>
      <c r="FB560" s="424"/>
      <c r="FC560" s="424"/>
      <c r="FD560" s="425"/>
      <c r="FE560" s="333"/>
    </row>
    <row r="561" spans="86:161" x14ac:dyDescent="0.25">
      <c r="CH561" s="445"/>
      <c r="CI561" s="300"/>
      <c r="CJ561" s="300"/>
      <c r="CK561" s="300"/>
      <c r="CL561" s="449"/>
      <c r="CM561" s="445"/>
      <c r="DG561" s="445"/>
      <c r="DH561" s="300"/>
      <c r="DI561" s="395" t="str">
        <f ca="1">DI556</f>
        <v/>
      </c>
      <c r="DJ561" s="465" t="str">
        <f ca="1">IF(OR(DI561="",DP561="",DI561=DP561,COUNTIF(games.av,DI561&amp;DP561)=0),"",CONCATENATE(DI561,DP561))</f>
        <v/>
      </c>
      <c r="DK561" s="360" t="str">
        <f ca="1">IF($DJ561="","",CONCATENATE(VLOOKUP($DJ561,games.a,9,FALSE),VLOOKUP($DJ561,games.a,12,FALSE)))</f>
        <v/>
      </c>
      <c r="DL561" s="354" t="str">
        <f ca="1">IF($DJ561="","",VLOOKUP($DJ561,games.a,10,FALSE))</f>
        <v/>
      </c>
      <c r="DM561" s="354" t="str">
        <f ca="1">IF($DJ561="","",VLOOKUP($DJ561,games.a,13,FALSE))</f>
        <v/>
      </c>
      <c r="DN561" s="361" t="str">
        <f ca="1">IF($DJ561="","",VLOOKUP($DJ561,games.a,6,FALSE))</f>
        <v/>
      </c>
      <c r="DO561" s="362" t="str">
        <f ca="1">IF($DJ561="","",VLOOKUP($DJ561,games.a,7,FALSE))</f>
        <v/>
      </c>
      <c r="DP561" s="379" t="str">
        <f ca="1">DP560</f>
        <v/>
      </c>
      <c r="DQ561" s="302"/>
      <c r="DR561" s="364"/>
      <c r="DS561" s="302"/>
      <c r="DU561" s="424"/>
      <c r="DV561" s="424"/>
      <c r="DW561" s="424"/>
      <c r="DX561" s="424"/>
      <c r="DY561" s="424"/>
      <c r="DZ561" s="424"/>
      <c r="EA561" s="424"/>
      <c r="EB561" s="424"/>
      <c r="EC561" s="424"/>
      <c r="ED561" s="424"/>
      <c r="EE561" s="424"/>
      <c r="EF561" s="424"/>
      <c r="EG561" s="424"/>
      <c r="EH561" s="424"/>
      <c r="EI561" s="424"/>
      <c r="EJ561" s="424"/>
      <c r="EK561" s="424"/>
      <c r="EL561" s="424"/>
      <c r="EM561" s="424"/>
      <c r="EN561" s="424"/>
      <c r="EO561" s="424"/>
      <c r="EP561" s="424"/>
      <c r="EQ561" s="424"/>
      <c r="ER561" s="424"/>
      <c r="ES561" s="424"/>
      <c r="ET561" s="424"/>
      <c r="EU561" s="424"/>
      <c r="EV561" s="424"/>
      <c r="EW561" s="424"/>
      <c r="EX561" s="424"/>
      <c r="EY561" s="424"/>
      <c r="EZ561" s="424"/>
      <c r="FA561" s="424"/>
      <c r="FB561" s="424"/>
      <c r="FC561" s="424"/>
      <c r="FD561" s="425"/>
      <c r="FE561" s="333"/>
    </row>
    <row r="562" spans="86:161" x14ac:dyDescent="0.25">
      <c r="CH562" s="445"/>
      <c r="CI562" s="300"/>
      <c r="CJ562" s="300"/>
      <c r="CK562" s="300"/>
      <c r="CL562" s="449"/>
      <c r="CM562" s="445"/>
      <c r="DG562" s="445"/>
      <c r="DH562" s="300"/>
      <c r="DI562" s="395" t="str">
        <f ca="1">DI557</f>
        <v/>
      </c>
      <c r="DJ562" s="465" t="str">
        <f ca="1">IF(OR(DI562="",DP562="",DI562=DP562,COUNTIF(games.av,DI562&amp;DP562)=0),"",CONCATENATE(DI562,DP562))</f>
        <v/>
      </c>
      <c r="DK562" s="360" t="str">
        <f ca="1">IF($DJ562="","",CONCATENATE(VLOOKUP($DJ562,games.a,9,FALSE),VLOOKUP($DJ562,games.a,12,FALSE)))</f>
        <v/>
      </c>
      <c r="DL562" s="354" t="str">
        <f ca="1">IF($DJ562="","",VLOOKUP($DJ562,games.a,10,FALSE))</f>
        <v/>
      </c>
      <c r="DM562" s="354" t="str">
        <f ca="1">IF($DJ562="","",VLOOKUP($DJ562,games.a,13,FALSE))</f>
        <v/>
      </c>
      <c r="DN562" s="361" t="str">
        <f ca="1">IF($DJ562="","",VLOOKUP($DJ562,games.a,6,FALSE))</f>
        <v/>
      </c>
      <c r="DO562" s="362" t="str">
        <f ca="1">IF($DJ562="","",VLOOKUP($DJ562,games.a,7,FALSE))</f>
        <v/>
      </c>
      <c r="DP562" s="379" t="str">
        <f ca="1">DP561</f>
        <v/>
      </c>
      <c r="DQ562" s="302"/>
      <c r="DR562" s="364"/>
      <c r="DS562" s="302"/>
      <c r="DU562" s="424"/>
      <c r="DV562" s="424"/>
      <c r="DW562" s="424"/>
      <c r="DX562" s="424"/>
      <c r="DY562" s="424"/>
      <c r="DZ562" s="424"/>
      <c r="EA562" s="424"/>
      <c r="EB562" s="424"/>
      <c r="EC562" s="424"/>
      <c r="ED562" s="424"/>
      <c r="EE562" s="424"/>
      <c r="EF562" s="424"/>
      <c r="EG562" s="424"/>
      <c r="EH562" s="424"/>
      <c r="EI562" s="424"/>
      <c r="EJ562" s="424"/>
      <c r="EK562" s="424"/>
      <c r="EL562" s="424"/>
      <c r="EM562" s="424"/>
      <c r="EN562" s="424"/>
      <c r="EO562" s="424"/>
      <c r="EP562" s="424"/>
      <c r="EQ562" s="424"/>
      <c r="ER562" s="424"/>
      <c r="ES562" s="424"/>
      <c r="ET562" s="424"/>
      <c r="EU562" s="424"/>
      <c r="EV562" s="424"/>
      <c r="EW562" s="424"/>
      <c r="EX562" s="424"/>
      <c r="EY562" s="424"/>
      <c r="EZ562" s="424"/>
      <c r="FA562" s="424"/>
      <c r="FB562" s="424"/>
      <c r="FC562" s="424"/>
      <c r="FD562" s="425"/>
      <c r="FE562" s="333"/>
    </row>
    <row r="563" spans="86:161" x14ac:dyDescent="0.25">
      <c r="CH563" s="445"/>
      <c r="CI563" s="300"/>
      <c r="CJ563" s="300"/>
      <c r="CK563" s="300"/>
      <c r="CL563" s="447"/>
      <c r="CM563" s="445"/>
      <c r="DG563" s="445"/>
      <c r="DH563" s="300"/>
      <c r="DI563" s="395" t="str">
        <f ca="1">DI558</f>
        <v/>
      </c>
      <c r="DJ563" s="465" t="str">
        <f ca="1">IF(OR(DI563="",DP563="",DI563=DP563,COUNTIF(games.av,DI563&amp;DP563)=0),"",CONCATENATE(DI563,DP563))</f>
        <v/>
      </c>
      <c r="DK563" s="360" t="str">
        <f ca="1">IF($DJ563="","",CONCATENATE(VLOOKUP($DJ563,games.a,9,FALSE),VLOOKUP($DJ563,games.a,12,FALSE)))</f>
        <v/>
      </c>
      <c r="DL563" s="354" t="str">
        <f ca="1">IF($DJ563="","",VLOOKUP($DJ563,games.a,10,FALSE))</f>
        <v/>
      </c>
      <c r="DM563" s="354" t="str">
        <f ca="1">IF($DJ563="","",VLOOKUP($DJ563,games.a,13,FALSE))</f>
        <v/>
      </c>
      <c r="DN563" s="361" t="str">
        <f ca="1">IF($DJ563="","",VLOOKUP($DJ563,games.a,6,FALSE))</f>
        <v/>
      </c>
      <c r="DO563" s="362" t="str">
        <f ca="1">IF($DJ563="","",VLOOKUP($DJ563,games.a,7,FALSE))</f>
        <v/>
      </c>
      <c r="DP563" s="379" t="str">
        <f ca="1">DP562</f>
        <v/>
      </c>
      <c r="DQ563" s="302"/>
      <c r="DR563" s="364"/>
      <c r="DS563" s="302"/>
      <c r="DU563" s="424"/>
      <c r="DV563" s="424"/>
      <c r="DW563" s="424"/>
      <c r="DX563" s="424"/>
      <c r="DY563" s="424"/>
      <c r="DZ563" s="424"/>
      <c r="EA563" s="424"/>
      <c r="EB563" s="424"/>
      <c r="EC563" s="424"/>
      <c r="ED563" s="424"/>
      <c r="EE563" s="424"/>
      <c r="EF563" s="424"/>
      <c r="EG563" s="424"/>
      <c r="EH563" s="424"/>
      <c r="EI563" s="424"/>
      <c r="EJ563" s="424"/>
      <c r="EK563" s="424"/>
      <c r="EL563" s="424"/>
      <c r="EM563" s="424"/>
      <c r="EN563" s="424"/>
      <c r="EO563" s="424"/>
      <c r="EP563" s="424"/>
      <c r="EQ563" s="424"/>
      <c r="ER563" s="424"/>
      <c r="ES563" s="424"/>
      <c r="ET563" s="424"/>
      <c r="EU563" s="424"/>
      <c r="EV563" s="424"/>
      <c r="EW563" s="424"/>
      <c r="EX563" s="424"/>
      <c r="EY563" s="424"/>
      <c r="EZ563" s="424"/>
      <c r="FA563" s="424"/>
      <c r="FB563" s="424"/>
      <c r="FC563" s="424"/>
      <c r="FD563" s="425"/>
      <c r="FE563" s="333"/>
    </row>
    <row r="564" spans="86:161" x14ac:dyDescent="0.25">
      <c r="CH564" s="445"/>
      <c r="CI564" s="300"/>
      <c r="CJ564" s="300"/>
      <c r="CK564" s="300"/>
      <c r="CL564" s="447"/>
      <c r="CM564" s="445"/>
      <c r="DG564" s="445"/>
      <c r="DH564" s="445"/>
      <c r="DI564" s="301"/>
      <c r="DJ564" s="302"/>
      <c r="DK564" s="302"/>
      <c r="DL564" s="302"/>
      <c r="DM564" s="302"/>
      <c r="DN564" s="302"/>
      <c r="DO564" s="302"/>
      <c r="DP564" s="447"/>
      <c r="DQ564" s="302"/>
      <c r="DR564" s="446" t="s">
        <v>217</v>
      </c>
      <c r="DS564" s="302"/>
      <c r="DU564" s="424"/>
      <c r="DV564" s="424"/>
      <c r="DW564" s="424"/>
      <c r="DX564" s="424"/>
      <c r="DY564" s="424"/>
      <c r="DZ564" s="424"/>
      <c r="EA564" s="424"/>
      <c r="EB564" s="424"/>
      <c r="EC564" s="424"/>
      <c r="ED564" s="424"/>
      <c r="EE564" s="424"/>
      <c r="EF564" s="424"/>
      <c r="EG564" s="424"/>
      <c r="EH564" s="424"/>
      <c r="EI564" s="424"/>
      <c r="EJ564" s="424"/>
      <c r="EK564" s="424"/>
      <c r="EL564" s="424"/>
      <c r="EM564" s="424"/>
      <c r="EN564" s="424"/>
      <c r="EO564" s="424"/>
      <c r="EP564" s="424"/>
      <c r="EQ564" s="424"/>
      <c r="ER564" s="424"/>
      <c r="ES564" s="424"/>
      <c r="ET564" s="424"/>
      <c r="EU564" s="424"/>
      <c r="EV564" s="424"/>
      <c r="EW564" s="424"/>
      <c r="EX564" s="424"/>
      <c r="EY564" s="424"/>
      <c r="EZ564" s="424"/>
      <c r="FA564" s="424"/>
      <c r="FB564" s="424"/>
      <c r="FC564" s="424"/>
      <c r="FD564" s="425"/>
      <c r="FE564" s="333"/>
    </row>
    <row r="565" spans="86:161" x14ac:dyDescent="0.25">
      <c r="CH565" s="445"/>
      <c r="CI565" s="300"/>
      <c r="CJ565" s="300"/>
      <c r="CK565" s="300"/>
      <c r="CL565" s="449"/>
      <c r="CM565" s="445"/>
      <c r="DG565" s="445"/>
      <c r="DH565" s="445"/>
      <c r="DI565" s="301"/>
      <c r="DJ565" s="302"/>
      <c r="DK565" s="302"/>
      <c r="DL565" s="302"/>
      <c r="DM565" s="302"/>
      <c r="DN565" s="302"/>
      <c r="DO565" s="302"/>
      <c r="DP565" s="447"/>
      <c r="DQ565" s="302"/>
      <c r="DR565" s="448" t="s">
        <v>218</v>
      </c>
      <c r="DS565" s="302"/>
      <c r="DU565" s="424"/>
      <c r="DV565" s="424"/>
      <c r="DW565" s="424"/>
      <c r="DX565" s="424"/>
      <c r="DY565" s="424"/>
      <c r="DZ565" s="424"/>
      <c r="EA565" s="424"/>
      <c r="EB565" s="424"/>
      <c r="EC565" s="424"/>
      <c r="ED565" s="424"/>
      <c r="EE565" s="424"/>
      <c r="EF565" s="424"/>
      <c r="EG565" s="424"/>
      <c r="EH565" s="424"/>
      <c r="EI565" s="424"/>
      <c r="EJ565" s="424"/>
      <c r="EK565" s="424"/>
      <c r="EL565" s="424"/>
      <c r="EM565" s="424"/>
      <c r="EN565" s="424"/>
      <c r="EO565" s="424"/>
      <c r="EP565" s="424"/>
      <c r="EQ565" s="424"/>
      <c r="ER565" s="424"/>
      <c r="ES565" s="424"/>
      <c r="ET565" s="424"/>
      <c r="EU565" s="424"/>
      <c r="EV565" s="424"/>
      <c r="EW565" s="424"/>
      <c r="EX565" s="424"/>
      <c r="EY565" s="424"/>
      <c r="EZ565" s="424"/>
      <c r="FA565" s="424"/>
      <c r="FB565" s="424"/>
      <c r="FC565" s="424"/>
      <c r="FD565" s="425"/>
      <c r="FE565" s="333"/>
    </row>
    <row r="566" spans="86:161" x14ac:dyDescent="0.25">
      <c r="CH566" s="445"/>
      <c r="CI566" s="300"/>
      <c r="CJ566" s="300"/>
      <c r="CK566" s="300"/>
      <c r="CL566" s="449"/>
      <c r="CM566" s="445"/>
      <c r="DG566" s="445"/>
      <c r="DH566" s="300"/>
      <c r="DI566" s="323" t="b">
        <f ca="1">OR(NOT($AJ$44),COUNTIF(DN566:DN577,"")=9-(DP566-1)*DP566,COUNTIF(DN566:DN577,"")=9-(DP566-1)*DP566/2)</f>
        <v>1</v>
      </c>
      <c r="DJ566" s="458" t="s">
        <v>157</v>
      </c>
      <c r="DK566" s="458" t="s">
        <v>158</v>
      </c>
      <c r="DL566" s="459" t="s">
        <v>159</v>
      </c>
      <c r="DM566" s="459"/>
      <c r="DN566" s="460" t="s">
        <v>160</v>
      </c>
      <c r="DO566" s="459" t="s">
        <v>135</v>
      </c>
      <c r="DP566" s="323">
        <f ca="1">COUNT(DC343:DC345)</f>
        <v>0</v>
      </c>
      <c r="DQ566" s="302"/>
      <c r="DR566" s="364"/>
      <c r="DS566" s="302"/>
      <c r="DU566" s="424"/>
      <c r="DV566" s="329" t="s">
        <v>229</v>
      </c>
      <c r="DW566" s="365"/>
      <c r="DX566" s="329" t="s">
        <v>152</v>
      </c>
      <c r="DY566" s="329" t="s">
        <v>153</v>
      </c>
      <c r="DZ566" s="329" t="s">
        <v>154</v>
      </c>
      <c r="EA566" s="329" t="s">
        <v>155</v>
      </c>
      <c r="EB566" s="329" t="s">
        <v>125</v>
      </c>
      <c r="EC566" s="329" t="s">
        <v>226</v>
      </c>
      <c r="ED566" s="329" t="s">
        <v>126</v>
      </c>
      <c r="EE566" s="329" t="s">
        <v>227</v>
      </c>
      <c r="EF566" s="424"/>
      <c r="EG566" s="424"/>
      <c r="EH566" s="424"/>
      <c r="EI566" s="329" t="s">
        <v>228</v>
      </c>
      <c r="EJ566" s="329" t="s">
        <v>156</v>
      </c>
      <c r="EK566" s="329" t="s">
        <v>208</v>
      </c>
      <c r="EL566" s="424"/>
      <c r="EM566" s="424"/>
      <c r="EN566" s="424"/>
      <c r="EO566" s="424"/>
      <c r="EP566" s="424"/>
      <c r="EQ566" s="424"/>
      <c r="ER566" s="424"/>
      <c r="ES566" s="424"/>
      <c r="ET566" s="424"/>
      <c r="EU566" s="424"/>
      <c r="EV566" s="424"/>
      <c r="EW566" s="424"/>
      <c r="EX566" s="424"/>
      <c r="EY566" s="424"/>
      <c r="EZ566" s="424"/>
      <c r="FA566" s="424"/>
      <c r="FB566" s="424"/>
      <c r="FC566" s="424"/>
      <c r="FD566" s="425"/>
      <c r="FE566" s="333"/>
    </row>
    <row r="567" spans="86:161" x14ac:dyDescent="0.25">
      <c r="CH567" s="445"/>
      <c r="CI567" s="300"/>
      <c r="CJ567" s="300"/>
      <c r="CK567" s="300"/>
      <c r="CL567" s="449"/>
      <c r="CM567" s="445"/>
      <c r="DG567" s="445"/>
      <c r="DH567" s="300"/>
      <c r="DI567" s="464" t="str">
        <f ca="1">IF(DC343="","",VLOOKUP(DC343,xxx.av1,16,FALSE))</f>
        <v/>
      </c>
      <c r="DJ567" s="465" t="str">
        <f ca="1">IF(OR(DI567="",DP567="",DI567=DP567,COUNTIF(games.av,DI567&amp;DP567)=0),"",CONCATENATE(DI567,DP567))</f>
        <v/>
      </c>
      <c r="DK567" s="360" t="str">
        <f ca="1">IF($DJ567="","",CONCATENATE(VLOOKUP($DJ567,games.a,9,FALSE),VLOOKUP($DJ567,games.a,12,FALSE)))</f>
        <v/>
      </c>
      <c r="DL567" s="354" t="str">
        <f ca="1">IF($DJ567="","",VLOOKUP($DJ567,games.a,10,FALSE))</f>
        <v/>
      </c>
      <c r="DM567" s="354" t="str">
        <f ca="1">IF($DJ567="","",VLOOKUP($DJ567,games.a,13,FALSE))</f>
        <v/>
      </c>
      <c r="DN567" s="361" t="str">
        <f ca="1">IF($DJ567="","",VLOOKUP($DJ567,games.a,6,FALSE))</f>
        <v/>
      </c>
      <c r="DO567" s="362" t="str">
        <f ca="1">IF($DJ567="","",VLOOKUP($DJ567,games.a,7,FALSE))</f>
        <v/>
      </c>
      <c r="DP567" s="466" t="str">
        <f ca="1">DI567</f>
        <v/>
      </c>
      <c r="DQ567" s="302"/>
      <c r="DR567" s="364"/>
      <c r="DS567" s="302"/>
      <c r="DU567" s="424"/>
      <c r="DV567" s="366" t="str">
        <f ca="1">IF(OR(NOT($AJ$44),DI566),DI567,"")</f>
        <v/>
      </c>
      <c r="DW567" s="365"/>
      <c r="DX567" s="366">
        <f ca="1">IF($DV567="",0,COUNTIF(xxgy.av,$DV567))</f>
        <v>0</v>
      </c>
      <c r="DY567" s="366">
        <f ca="1">IF($DV567="",0,COUNTIF(xxd.av,$DV567))</f>
        <v>0</v>
      </c>
      <c r="DZ567" s="366">
        <f ca="1">IF($DV567="",0,1)*(SUMIF(xxo.av,$DV567,xxl.av)+SUMIF(xxi.av,$DV567,xxk.av))</f>
        <v>0</v>
      </c>
      <c r="EA567" s="366">
        <f ca="1">IF($DV567="",0,1)*(SUMIF(xxo.av,$DV567,xxk.av)+SUMIF(xxi.av,$DV567,xxl.av))</f>
        <v>0</v>
      </c>
      <c r="EB567" s="366">
        <f ca="1">DZ567-EA567</f>
        <v>0</v>
      </c>
      <c r="EC567" s="366">
        <f ca="1">IF(EA567=0,0,DZ567/EA567)</f>
        <v>0</v>
      </c>
      <c r="ED567" s="366">
        <f ca="1">$AJ$48*DX567+IF($AJ$44,0,1)*DY567</f>
        <v>0</v>
      </c>
      <c r="EE567" s="396">
        <f ca="1">ED567*1000000+IF($AJ$44,EC567,EB567)*1000*0</f>
        <v>0</v>
      </c>
      <c r="EF567" s="424"/>
      <c r="EG567" s="424"/>
      <c r="EH567" s="424"/>
      <c r="EI567" s="366">
        <f ca="1">IF(OR(ISERR(EE567),ISNA(EE567)),0,EE567)</f>
        <v>0</v>
      </c>
      <c r="EJ567" s="366">
        <f ca="1">IF(EI567=0,0,RANK(EI567,EI567:EI569,1))</f>
        <v>0</v>
      </c>
      <c r="EK567" s="366">
        <f ca="1">EJ567*40000*IF(COUNTIF($FC$343:$FC$366,DV567)&gt;0,0,1)</f>
        <v>0</v>
      </c>
      <c r="EL567" s="424"/>
      <c r="EM567" s="424"/>
      <c r="EN567" s="424"/>
      <c r="EO567" s="424"/>
      <c r="EP567" s="424"/>
      <c r="EQ567" s="424"/>
      <c r="ER567" s="424"/>
      <c r="ES567" s="424"/>
      <c r="ET567" s="424"/>
      <c r="EU567" s="424"/>
      <c r="EV567" s="424"/>
      <c r="EW567" s="424"/>
      <c r="EX567" s="424"/>
      <c r="EY567" s="424"/>
      <c r="EZ567" s="424"/>
      <c r="FA567" s="424"/>
      <c r="FB567" s="424"/>
      <c r="FC567" s="424"/>
      <c r="FD567" s="425"/>
      <c r="FE567" s="333"/>
    </row>
    <row r="568" spans="86:161" x14ac:dyDescent="0.25">
      <c r="CH568" s="445"/>
      <c r="CI568" s="300"/>
      <c r="CJ568" s="300"/>
      <c r="CK568" s="300"/>
      <c r="CL568" s="449"/>
      <c r="CM568" s="445"/>
      <c r="DG568" s="445"/>
      <c r="DH568" s="300"/>
      <c r="DI568" s="464" t="str">
        <f ca="1">IF(DC344="","",VLOOKUP(DC344,xxx.av1,16,FALSE))</f>
        <v/>
      </c>
      <c r="DJ568" s="465" t="str">
        <f ca="1">IF(OR(DI568="",DP568="",DI568=DP568,COUNTIF(games.av,DI568&amp;DP568)=0),"",CONCATENATE(DI568,DP568))</f>
        <v/>
      </c>
      <c r="DK568" s="360" t="str">
        <f ca="1">IF($DJ568="","",CONCATENATE(VLOOKUP($DJ568,games.a,9,FALSE),VLOOKUP($DJ568,games.a,12,FALSE)))</f>
        <v/>
      </c>
      <c r="DL568" s="354" t="str">
        <f ca="1">IF($DJ568="","",VLOOKUP($DJ568,games.a,10,FALSE))</f>
        <v/>
      </c>
      <c r="DM568" s="354" t="str">
        <f ca="1">IF($DJ568="","",VLOOKUP($DJ568,games.a,13,FALSE))</f>
        <v/>
      </c>
      <c r="DN568" s="361" t="str">
        <f ca="1">IF($DJ568="","",VLOOKUP($DJ568,games.a,6,FALSE))</f>
        <v/>
      </c>
      <c r="DO568" s="362" t="str">
        <f ca="1">IF($DJ568="","",VLOOKUP($DJ568,games.a,7,FALSE))</f>
        <v/>
      </c>
      <c r="DP568" s="379" t="str">
        <f ca="1">DP567</f>
        <v/>
      </c>
      <c r="DQ568" s="302"/>
      <c r="DR568" s="364"/>
      <c r="DS568" s="302"/>
      <c r="DU568" s="424"/>
      <c r="DV568" s="366" t="str">
        <f ca="1">IF(OR(NOT($AJ$44),DI566),DI568,"")</f>
        <v/>
      </c>
      <c r="DW568" s="365"/>
      <c r="DX568" s="366">
        <f ca="1">IF($DV568="",0,COUNTIF(xxgy.av,$DV568))</f>
        <v>0</v>
      </c>
      <c r="DY568" s="366">
        <f ca="1">IF($DV568="",0,COUNTIF(xxd.av,$DV568))</f>
        <v>0</v>
      </c>
      <c r="DZ568" s="366">
        <f ca="1">IF($DV568="",0,1)*(SUMIF(xxo.av,$DV568,xxl.av)+SUMIF(xxi.av,$DV568,xxk.av))</f>
        <v>0</v>
      </c>
      <c r="EA568" s="366">
        <f ca="1">IF($DV568="",0,1)*(SUMIF(xxo.av,$DV568,xxk.av)+SUMIF(xxi.av,$DV568,xxl.av))</f>
        <v>0</v>
      </c>
      <c r="EB568" s="366">
        <f ca="1">DZ568-EA568</f>
        <v>0</v>
      </c>
      <c r="EC568" s="366">
        <f ca="1">IF(EA568=0,0,DZ568/EA568)</f>
        <v>0</v>
      </c>
      <c r="ED568" s="366">
        <f ca="1">$AJ$48*DX568+IF($AJ$44,0,1)*DY568</f>
        <v>0</v>
      </c>
      <c r="EE568" s="396">
        <f ca="1">ED568*1000000+IF($AJ$44,EC568,EB568)*1000*0</f>
        <v>0</v>
      </c>
      <c r="EF568" s="424"/>
      <c r="EG568" s="424"/>
      <c r="EH568" s="424"/>
      <c r="EI568" s="366">
        <f ca="1">IF(OR(ISERR(EE568),ISNA(EE568)),0,EE568)</f>
        <v>0</v>
      </c>
      <c r="EJ568" s="366">
        <f ca="1">IF(EI568=0,0,RANK(EI568,EI567:EI569,1))</f>
        <v>0</v>
      </c>
      <c r="EK568" s="366">
        <f ca="1">EJ568*40000*IF(COUNTIF($FC$343:$FC$366,DV568)&gt;0,0,1)</f>
        <v>0</v>
      </c>
      <c r="EL568" s="424"/>
      <c r="EM568" s="424"/>
      <c r="EN568" s="424"/>
      <c r="EO568" s="424"/>
      <c r="EP568" s="424"/>
      <c r="EQ568" s="424"/>
      <c r="ER568" s="424"/>
      <c r="ES568" s="424"/>
      <c r="ET568" s="424"/>
      <c r="EU568" s="424"/>
      <c r="EV568" s="424"/>
      <c r="EW568" s="424"/>
      <c r="EX568" s="424"/>
      <c r="EY568" s="424"/>
      <c r="EZ568" s="424"/>
      <c r="FA568" s="424"/>
      <c r="FB568" s="424"/>
      <c r="FC568" s="424"/>
      <c r="FD568" s="425"/>
      <c r="FE568" s="333"/>
    </row>
    <row r="569" spans="86:161" x14ac:dyDescent="0.25">
      <c r="CH569" s="445"/>
      <c r="CI569" s="300"/>
      <c r="CJ569" s="300"/>
      <c r="CK569" s="300"/>
      <c r="CL569" s="449"/>
      <c r="CM569" s="445"/>
      <c r="DG569" s="445"/>
      <c r="DH569" s="300"/>
      <c r="DI569" s="464" t="str">
        <f ca="1">IF(DC345="","",VLOOKUP(DC345,xxx.av1,16,FALSE))</f>
        <v/>
      </c>
      <c r="DJ569" s="465" t="str">
        <f ca="1">IF(OR(DI569="",DP569="",DI569=DP569,COUNTIF(games.av,DI569&amp;DP569)=0),"",CONCATENATE(DI569,DP569))</f>
        <v/>
      </c>
      <c r="DK569" s="360" t="str">
        <f ca="1">IF($DJ569="","",CONCATENATE(VLOOKUP($DJ569,games.a,9,FALSE),VLOOKUP($DJ569,games.a,12,FALSE)))</f>
        <v/>
      </c>
      <c r="DL569" s="354" t="str">
        <f ca="1">IF($DJ569="","",VLOOKUP($DJ569,games.a,10,FALSE))</f>
        <v/>
      </c>
      <c r="DM569" s="354" t="str">
        <f ca="1">IF($DJ569="","",VLOOKUP($DJ569,games.a,13,FALSE))</f>
        <v/>
      </c>
      <c r="DN569" s="361" t="str">
        <f ca="1">IF($DJ569="","",VLOOKUP($DJ569,games.a,6,FALSE))</f>
        <v/>
      </c>
      <c r="DO569" s="362" t="str">
        <f ca="1">IF($DJ569="","",VLOOKUP($DJ569,games.a,7,FALSE))</f>
        <v/>
      </c>
      <c r="DP569" s="379" t="str">
        <f ca="1">DP568</f>
        <v/>
      </c>
      <c r="DQ569" s="302"/>
      <c r="DR569" s="364"/>
      <c r="DS569" s="302"/>
      <c r="DU569" s="424"/>
      <c r="DV569" s="366" t="str">
        <f ca="1">IF(OR(NOT($AJ$44),DI566),DI569,"")</f>
        <v/>
      </c>
      <c r="DW569" s="365"/>
      <c r="DX569" s="366">
        <f ca="1">IF($DV569="",0,COUNTIF(xxgy.av,$DV569))</f>
        <v>0</v>
      </c>
      <c r="DY569" s="366">
        <f ca="1">IF($DV569="",0,COUNTIF(xxd.av,$DV569))</f>
        <v>0</v>
      </c>
      <c r="DZ569" s="366">
        <f ca="1">IF($DV569="",0,1)*(SUMIF(xxo.av,$DV569,xxl.av)+SUMIF(xxi.av,$DV569,xxk.av))</f>
        <v>0</v>
      </c>
      <c r="EA569" s="366">
        <f ca="1">IF($DV569="",0,1)*(SUMIF(xxo.av,$DV569,xxk.av)+SUMIF(xxi.av,$DV569,xxl.av))</f>
        <v>0</v>
      </c>
      <c r="EB569" s="366">
        <f ca="1">DZ569-EA569</f>
        <v>0</v>
      </c>
      <c r="EC569" s="366">
        <f ca="1">IF(EA569=0,0,DZ569/EA569)</f>
        <v>0</v>
      </c>
      <c r="ED569" s="366">
        <f ca="1">$AJ$48*DX569+IF($AJ$44,0,1)*DY569</f>
        <v>0</v>
      </c>
      <c r="EE569" s="396">
        <f ca="1">ED569*1000000+IF($AJ$44,EC569,EB569)*1000*0</f>
        <v>0</v>
      </c>
      <c r="EF569" s="424"/>
      <c r="EG569" s="424"/>
      <c r="EH569" s="424"/>
      <c r="EI569" s="366">
        <f ca="1">IF(OR(ISERR(EE569),ISNA(EE569)),0,EE569)</f>
        <v>0</v>
      </c>
      <c r="EJ569" s="366">
        <f ca="1">IF(EI569=0,0,RANK(EI569,EI567:EI569,1))</f>
        <v>0</v>
      </c>
      <c r="EK569" s="366">
        <f ca="1">EJ569*40000*IF(COUNTIF($FC$343:$FC$366,DV569)&gt;0,0,1)</f>
        <v>0</v>
      </c>
      <c r="EL569" s="424"/>
      <c r="EM569" s="424"/>
      <c r="EN569" s="424"/>
      <c r="EO569" s="424"/>
      <c r="EP569" s="424"/>
      <c r="EQ569" s="424"/>
      <c r="ER569" s="424"/>
      <c r="ES569" s="424"/>
      <c r="ET569" s="424"/>
      <c r="EU569" s="424"/>
      <c r="EV569" s="424"/>
      <c r="EW569" s="424"/>
      <c r="EX569" s="424"/>
      <c r="EY569" s="424"/>
      <c r="EZ569" s="424"/>
      <c r="FA569" s="424"/>
      <c r="FB569" s="424"/>
      <c r="FC569" s="424"/>
      <c r="FD569" s="425"/>
      <c r="FE569" s="333"/>
    </row>
    <row r="570" spans="86:161" x14ac:dyDescent="0.25">
      <c r="CH570" s="445"/>
      <c r="CI570" s="300"/>
      <c r="CJ570" s="300"/>
      <c r="CK570" s="300"/>
      <c r="CL570" s="449"/>
      <c r="CM570" s="445"/>
      <c r="DG570" s="445"/>
      <c r="DH570" s="300"/>
      <c r="DI570" s="301"/>
      <c r="DJ570" s="458" t="s">
        <v>157</v>
      </c>
      <c r="DK570" s="458" t="s">
        <v>158</v>
      </c>
      <c r="DL570" s="459" t="s">
        <v>159</v>
      </c>
      <c r="DM570" s="459"/>
      <c r="DN570" s="460" t="s">
        <v>160</v>
      </c>
      <c r="DO570" s="459" t="s">
        <v>135</v>
      </c>
      <c r="DP570" s="302"/>
      <c r="DQ570" s="302"/>
      <c r="DR570" s="364"/>
      <c r="DS570" s="302"/>
      <c r="DU570" s="424"/>
      <c r="DV570" s="424"/>
      <c r="DW570" s="424"/>
      <c r="DX570" s="424"/>
      <c r="DY570" s="424"/>
      <c r="DZ570" s="424"/>
      <c r="EA570" s="424"/>
      <c r="EB570" s="424"/>
      <c r="EC570" s="424"/>
      <c r="ED570" s="424"/>
      <c r="EE570" s="424"/>
      <c r="EF570" s="424"/>
      <c r="EG570" s="424"/>
      <c r="EH570" s="424"/>
      <c r="EI570" s="424"/>
      <c r="EJ570" s="424"/>
      <c r="EK570" s="424"/>
      <c r="EL570" s="424"/>
      <c r="EM570" s="424"/>
      <c r="EN570" s="424"/>
      <c r="EO570" s="424"/>
      <c r="EP570" s="424"/>
      <c r="EQ570" s="424"/>
      <c r="ER570" s="424"/>
      <c r="ES570" s="424"/>
      <c r="ET570" s="424"/>
      <c r="EU570" s="424"/>
      <c r="EV570" s="424"/>
      <c r="EW570" s="424"/>
      <c r="EX570" s="424"/>
      <c r="EY570" s="424"/>
      <c r="EZ570" s="424"/>
      <c r="FA570" s="424"/>
      <c r="FB570" s="424"/>
      <c r="FC570" s="424"/>
      <c r="FD570" s="425"/>
      <c r="FE570" s="333"/>
    </row>
    <row r="571" spans="86:161" x14ac:dyDescent="0.25">
      <c r="CH571" s="445"/>
      <c r="CI571" s="300"/>
      <c r="CJ571" s="300"/>
      <c r="CK571" s="300"/>
      <c r="CL571" s="449"/>
      <c r="CM571" s="445"/>
      <c r="DG571" s="445"/>
      <c r="DH571" s="300"/>
      <c r="DI571" s="395" t="str">
        <f ca="1">DI567</f>
        <v/>
      </c>
      <c r="DJ571" s="465" t="str">
        <f ca="1">IF(OR(DI571="",DP571="",DI571=DP571,COUNTIF(games.av,DI571&amp;DP571)=0),"",CONCATENATE(DI571,DP571))</f>
        <v/>
      </c>
      <c r="DK571" s="360" t="str">
        <f ca="1">IF($DJ571="","",CONCATENATE(VLOOKUP($DJ571,games.a,9,FALSE),VLOOKUP($DJ571,games.a,12,FALSE)))</f>
        <v/>
      </c>
      <c r="DL571" s="354" t="str">
        <f ca="1">IF($DJ571="","",VLOOKUP($DJ571,games.a,10,FALSE))</f>
        <v/>
      </c>
      <c r="DM571" s="354" t="str">
        <f ca="1">IF($DJ571="","",VLOOKUP($DJ571,games.a,13,FALSE))</f>
        <v/>
      </c>
      <c r="DN571" s="361" t="str">
        <f ca="1">IF($DJ571="","",VLOOKUP($DJ571,games.a,6,FALSE))</f>
        <v/>
      </c>
      <c r="DO571" s="362" t="str">
        <f ca="1">IF($DJ571="","",VLOOKUP($DJ571,games.a,7,FALSE))</f>
        <v/>
      </c>
      <c r="DP571" s="466" t="str">
        <f ca="1">DI568</f>
        <v/>
      </c>
      <c r="DQ571" s="302"/>
      <c r="DR571" s="364"/>
      <c r="DS571" s="302"/>
      <c r="DU571" s="424"/>
      <c r="DV571" s="424"/>
      <c r="DW571" s="424"/>
      <c r="DX571" s="424"/>
      <c r="DY571" s="424"/>
      <c r="DZ571" s="424"/>
      <c r="EA571" s="424"/>
      <c r="EB571" s="424"/>
      <c r="EC571" s="424"/>
      <c r="ED571" s="424"/>
      <c r="EE571" s="424"/>
      <c r="EF571" s="424"/>
      <c r="EG571" s="424"/>
      <c r="EH571" s="424"/>
      <c r="EI571" s="424"/>
      <c r="EJ571" s="424"/>
      <c r="EK571" s="424"/>
      <c r="EL571" s="424"/>
      <c r="EM571" s="424"/>
      <c r="EN571" s="424"/>
      <c r="EO571" s="424"/>
      <c r="EP571" s="424"/>
      <c r="EQ571" s="424"/>
      <c r="ER571" s="424"/>
      <c r="ES571" s="424"/>
      <c r="ET571" s="424"/>
      <c r="EU571" s="424"/>
      <c r="EV571" s="424"/>
      <c r="EW571" s="424"/>
      <c r="EX571" s="424"/>
      <c r="EY571" s="424"/>
      <c r="EZ571" s="424"/>
      <c r="FA571" s="424"/>
      <c r="FB571" s="424"/>
      <c r="FC571" s="424"/>
      <c r="FD571" s="425"/>
      <c r="FE571" s="333"/>
    </row>
    <row r="572" spans="86:161" x14ac:dyDescent="0.25">
      <c r="CH572" s="445"/>
      <c r="CI572" s="300"/>
      <c r="CJ572" s="300"/>
      <c r="CK572" s="300"/>
      <c r="CL572" s="449"/>
      <c r="CM572" s="445"/>
      <c r="DG572" s="445"/>
      <c r="DH572" s="300"/>
      <c r="DI572" s="395" t="str">
        <f ca="1">DI568</f>
        <v/>
      </c>
      <c r="DJ572" s="465" t="str">
        <f ca="1">IF(OR(DI572="",DP572="",DI572=DP572,COUNTIF(games.av,DI572&amp;DP572)=0),"",CONCATENATE(DI572,DP572))</f>
        <v/>
      </c>
      <c r="DK572" s="360" t="str">
        <f ca="1">IF($DJ572="","",CONCATENATE(VLOOKUP($DJ572,games.a,9,FALSE),VLOOKUP($DJ572,games.a,12,FALSE)))</f>
        <v/>
      </c>
      <c r="DL572" s="354" t="str">
        <f ca="1">IF($DJ572="","",VLOOKUP($DJ572,games.a,10,FALSE))</f>
        <v/>
      </c>
      <c r="DM572" s="354" t="str">
        <f ca="1">IF($DJ572="","",VLOOKUP($DJ572,games.a,13,FALSE))</f>
        <v/>
      </c>
      <c r="DN572" s="361" t="str">
        <f ca="1">IF($DJ572="","",VLOOKUP($DJ572,games.a,6,FALSE))</f>
        <v/>
      </c>
      <c r="DO572" s="362" t="str">
        <f ca="1">IF($DJ572="","",VLOOKUP($DJ572,games.a,7,FALSE))</f>
        <v/>
      </c>
      <c r="DP572" s="379" t="str">
        <f ca="1">DP571</f>
        <v/>
      </c>
      <c r="DQ572" s="302"/>
      <c r="DR572" s="364"/>
      <c r="DS572" s="302"/>
      <c r="DU572" s="424"/>
      <c r="DV572" s="424"/>
      <c r="DW572" s="424"/>
      <c r="DX572" s="424"/>
      <c r="DY572" s="424"/>
      <c r="DZ572" s="424"/>
      <c r="EA572" s="424"/>
      <c r="EB572" s="424"/>
      <c r="EC572" s="424"/>
      <c r="ED572" s="424"/>
      <c r="EE572" s="424"/>
      <c r="EF572" s="424"/>
      <c r="EG572" s="424"/>
      <c r="EH572" s="424"/>
      <c r="EI572" s="424"/>
      <c r="EJ572" s="424"/>
      <c r="EK572" s="424"/>
      <c r="EL572" s="424"/>
      <c r="EM572" s="424"/>
      <c r="EN572" s="424"/>
      <c r="EO572" s="424"/>
      <c r="EP572" s="424"/>
      <c r="EQ572" s="424"/>
      <c r="ER572" s="424"/>
      <c r="ES572" s="424"/>
      <c r="ET572" s="424"/>
      <c r="EU572" s="424"/>
      <c r="EV572" s="424"/>
      <c r="EW572" s="424"/>
      <c r="EX572" s="424"/>
      <c r="EY572" s="424"/>
      <c r="EZ572" s="424"/>
      <c r="FA572" s="424"/>
      <c r="FB572" s="424"/>
      <c r="FC572" s="424"/>
      <c r="FD572" s="425"/>
      <c r="FE572" s="333"/>
    </row>
    <row r="573" spans="86:161" x14ac:dyDescent="0.25">
      <c r="CH573" s="445"/>
      <c r="CI573" s="300"/>
      <c r="CJ573" s="300"/>
      <c r="CK573" s="300"/>
      <c r="CL573" s="449"/>
      <c r="CM573" s="445"/>
      <c r="DG573" s="445"/>
      <c r="DH573" s="300"/>
      <c r="DI573" s="395" t="str">
        <f ca="1">DI569</f>
        <v/>
      </c>
      <c r="DJ573" s="465" t="str">
        <f ca="1">IF(OR(DI573="",DP573="",DI573=DP573,COUNTIF(games.av,DI573&amp;DP573)=0),"",CONCATENATE(DI573,DP573))</f>
        <v/>
      </c>
      <c r="DK573" s="360" t="str">
        <f ca="1">IF($DJ573="","",CONCATENATE(VLOOKUP($DJ573,games.a,9,FALSE),VLOOKUP($DJ573,games.a,12,FALSE)))</f>
        <v/>
      </c>
      <c r="DL573" s="354" t="str">
        <f ca="1">IF($DJ573="","",VLOOKUP($DJ573,games.a,10,FALSE))</f>
        <v/>
      </c>
      <c r="DM573" s="354" t="str">
        <f ca="1">IF($DJ573="","",VLOOKUP($DJ573,games.a,13,FALSE))</f>
        <v/>
      </c>
      <c r="DN573" s="361" t="str">
        <f ca="1">IF($DJ573="","",VLOOKUP($DJ573,games.a,6,FALSE))</f>
        <v/>
      </c>
      <c r="DO573" s="362" t="str">
        <f ca="1">IF($DJ573="","",VLOOKUP($DJ573,games.a,7,FALSE))</f>
        <v/>
      </c>
      <c r="DP573" s="379" t="str">
        <f ca="1">DP572</f>
        <v/>
      </c>
      <c r="DQ573" s="302"/>
      <c r="DR573" s="364"/>
      <c r="DS573" s="302"/>
      <c r="DU573" s="424"/>
      <c r="DV573" s="424"/>
      <c r="DW573" s="424"/>
      <c r="DX573" s="424"/>
      <c r="DY573" s="424"/>
      <c r="DZ573" s="424"/>
      <c r="EA573" s="424"/>
      <c r="EB573" s="424"/>
      <c r="EC573" s="424"/>
      <c r="ED573" s="424"/>
      <c r="EE573" s="424"/>
      <c r="EF573" s="424"/>
      <c r="EG573" s="424"/>
      <c r="EH573" s="424"/>
      <c r="EI573" s="424"/>
      <c r="EJ573" s="424"/>
      <c r="EK573" s="424"/>
      <c r="EL573" s="424"/>
      <c r="EM573" s="424"/>
      <c r="EN573" s="424"/>
      <c r="EO573" s="424"/>
      <c r="EP573" s="424"/>
      <c r="EQ573" s="424"/>
      <c r="ER573" s="424"/>
      <c r="ES573" s="424"/>
      <c r="ET573" s="424"/>
      <c r="EU573" s="424"/>
      <c r="EV573" s="424"/>
      <c r="EW573" s="424"/>
      <c r="EX573" s="424"/>
      <c r="EY573" s="424"/>
      <c r="EZ573" s="424"/>
      <c r="FA573" s="424"/>
      <c r="FB573" s="424"/>
      <c r="FC573" s="424"/>
      <c r="FD573" s="425"/>
      <c r="FE573" s="333"/>
    </row>
    <row r="574" spans="86:161" x14ac:dyDescent="0.25">
      <c r="CH574" s="445"/>
      <c r="CI574" s="300"/>
      <c r="CJ574" s="300"/>
      <c r="CK574" s="300"/>
      <c r="CL574" s="449"/>
      <c r="CM574" s="445"/>
      <c r="DG574" s="445"/>
      <c r="DH574" s="300"/>
      <c r="DI574" s="301"/>
      <c r="DJ574" s="458" t="s">
        <v>157</v>
      </c>
      <c r="DK574" s="458" t="s">
        <v>158</v>
      </c>
      <c r="DL574" s="459" t="s">
        <v>159</v>
      </c>
      <c r="DM574" s="459"/>
      <c r="DN574" s="460" t="s">
        <v>160</v>
      </c>
      <c r="DO574" s="459" t="s">
        <v>135</v>
      </c>
      <c r="DP574" s="302"/>
      <c r="DQ574" s="302"/>
      <c r="DR574" s="364"/>
      <c r="DS574" s="302"/>
      <c r="DU574" s="424"/>
      <c r="DV574" s="424"/>
      <c r="DW574" s="424"/>
      <c r="DX574" s="424"/>
      <c r="DY574" s="424"/>
      <c r="DZ574" s="424"/>
      <c r="EA574" s="424"/>
      <c r="EB574" s="424"/>
      <c r="EC574" s="424"/>
      <c r="ED574" s="424"/>
      <c r="EE574" s="424"/>
      <c r="EF574" s="424"/>
      <c r="EG574" s="424"/>
      <c r="EH574" s="424"/>
      <c r="EI574" s="424"/>
      <c r="EJ574" s="424"/>
      <c r="EK574" s="424"/>
      <c r="EL574" s="424"/>
      <c r="EM574" s="424"/>
      <c r="EN574" s="424"/>
      <c r="EO574" s="424"/>
      <c r="EP574" s="424"/>
      <c r="EQ574" s="424"/>
      <c r="ER574" s="424"/>
      <c r="ES574" s="424"/>
      <c r="ET574" s="424"/>
      <c r="EU574" s="424"/>
      <c r="EV574" s="424"/>
      <c r="EW574" s="424"/>
      <c r="EX574" s="424"/>
      <c r="EY574" s="424"/>
      <c r="EZ574" s="424"/>
      <c r="FA574" s="424"/>
      <c r="FB574" s="424"/>
      <c r="FC574" s="424"/>
      <c r="FD574" s="425"/>
      <c r="FE574" s="333"/>
    </row>
    <row r="575" spans="86:161" x14ac:dyDescent="0.25">
      <c r="CH575" s="445"/>
      <c r="CI575" s="300"/>
      <c r="CJ575" s="300"/>
      <c r="CK575" s="300"/>
      <c r="CL575" s="449"/>
      <c r="CM575" s="445"/>
      <c r="DG575" s="445"/>
      <c r="DH575" s="300"/>
      <c r="DI575" s="395" t="str">
        <f ca="1">DI571</f>
        <v/>
      </c>
      <c r="DJ575" s="465" t="str">
        <f ca="1">IF(OR(DI575="",DP575="",DI575=DP575,COUNTIF(games.av,DI575&amp;DP575)=0),"",CONCATENATE(DI575,DP575))</f>
        <v/>
      </c>
      <c r="DK575" s="360" t="str">
        <f ca="1">IF($DJ575="","",CONCATENATE(VLOOKUP($DJ575,games.a,9,FALSE),VLOOKUP($DJ575,games.a,12,FALSE)))</f>
        <v/>
      </c>
      <c r="DL575" s="354" t="str">
        <f ca="1">IF($DJ575="","",VLOOKUP($DJ575,games.a,10,FALSE))</f>
        <v/>
      </c>
      <c r="DM575" s="354" t="str">
        <f ca="1">IF($DJ575="","",VLOOKUP($DJ575,games.a,13,FALSE))</f>
        <v/>
      </c>
      <c r="DN575" s="361" t="str">
        <f ca="1">IF($DJ575="","",VLOOKUP($DJ575,games.a,6,FALSE))</f>
        <v/>
      </c>
      <c r="DO575" s="362" t="str">
        <f ca="1">IF($DJ575="","",VLOOKUP($DJ575,games.a,7,FALSE))</f>
        <v/>
      </c>
      <c r="DP575" s="466" t="str">
        <f ca="1">DI569</f>
        <v/>
      </c>
      <c r="DQ575" s="302"/>
      <c r="DR575" s="364"/>
      <c r="DS575" s="302"/>
      <c r="DU575" s="424"/>
      <c r="DV575" s="424"/>
      <c r="DW575" s="424"/>
      <c r="DX575" s="424"/>
      <c r="DY575" s="424"/>
      <c r="DZ575" s="424"/>
      <c r="EA575" s="424"/>
      <c r="EB575" s="424"/>
      <c r="EC575" s="424"/>
      <c r="ED575" s="424"/>
      <c r="EE575" s="424"/>
      <c r="EF575" s="424"/>
      <c r="EG575" s="424"/>
      <c r="EH575" s="424"/>
      <c r="EI575" s="424"/>
      <c r="EJ575" s="424"/>
      <c r="EK575" s="424"/>
      <c r="EL575" s="424"/>
      <c r="EM575" s="424"/>
      <c r="EN575" s="424"/>
      <c r="EO575" s="424"/>
      <c r="EP575" s="424"/>
      <c r="EQ575" s="424"/>
      <c r="ER575" s="424"/>
      <c r="ES575" s="424"/>
      <c r="ET575" s="424"/>
      <c r="EU575" s="424"/>
      <c r="EV575" s="424"/>
      <c r="EW575" s="424"/>
      <c r="EX575" s="424"/>
      <c r="EY575" s="424"/>
      <c r="EZ575" s="424"/>
      <c r="FA575" s="424"/>
      <c r="FB575" s="424"/>
      <c r="FC575" s="424"/>
      <c r="FD575" s="425"/>
      <c r="FE575" s="333"/>
    </row>
    <row r="576" spans="86:161" x14ac:dyDescent="0.25">
      <c r="CH576" s="445"/>
      <c r="CI576" s="300"/>
      <c r="CJ576" s="300"/>
      <c r="CK576" s="300"/>
      <c r="CL576" s="449"/>
      <c r="CM576" s="445"/>
      <c r="DG576" s="445"/>
      <c r="DH576" s="300"/>
      <c r="DI576" s="395" t="str">
        <f ca="1">DI572</f>
        <v/>
      </c>
      <c r="DJ576" s="465" t="str">
        <f ca="1">IF(OR(DI576="",DP576="",DI576=DP576,COUNTIF(games.av,DI576&amp;DP576)=0),"",CONCATENATE(DI576,DP576))</f>
        <v/>
      </c>
      <c r="DK576" s="360" t="str">
        <f ca="1">IF($DJ576="","",CONCATENATE(VLOOKUP($DJ576,games.a,9,FALSE),VLOOKUP($DJ576,games.a,12,FALSE)))</f>
        <v/>
      </c>
      <c r="DL576" s="354" t="str">
        <f ca="1">IF($DJ576="","",VLOOKUP($DJ576,games.a,10,FALSE))</f>
        <v/>
      </c>
      <c r="DM576" s="354" t="str">
        <f ca="1">IF($DJ576="","",VLOOKUP($DJ576,games.a,13,FALSE))</f>
        <v/>
      </c>
      <c r="DN576" s="361" t="str">
        <f ca="1">IF($DJ576="","",VLOOKUP($DJ576,games.a,6,FALSE))</f>
        <v/>
      </c>
      <c r="DO576" s="362" t="str">
        <f ca="1">IF($DJ576="","",VLOOKUP($DJ576,games.a,7,FALSE))</f>
        <v/>
      </c>
      <c r="DP576" s="379" t="str">
        <f ca="1">DP575</f>
        <v/>
      </c>
      <c r="DQ576" s="302"/>
      <c r="DR576" s="364"/>
      <c r="DS576" s="302"/>
      <c r="DU576" s="424"/>
      <c r="DV576" s="424"/>
      <c r="DW576" s="424"/>
      <c r="DX576" s="424"/>
      <c r="DY576" s="424"/>
      <c r="DZ576" s="424"/>
      <c r="EA576" s="424"/>
      <c r="EB576" s="424"/>
      <c r="EC576" s="424"/>
      <c r="ED576" s="424"/>
      <c r="EE576" s="424"/>
      <c r="EF576" s="424"/>
      <c r="EG576" s="424"/>
      <c r="EH576" s="424"/>
      <c r="EI576" s="424"/>
      <c r="EJ576" s="424"/>
      <c r="EK576" s="424"/>
      <c r="EL576" s="424"/>
      <c r="EM576" s="424"/>
      <c r="EN576" s="424"/>
      <c r="EO576" s="424"/>
      <c r="EP576" s="424"/>
      <c r="EQ576" s="424"/>
      <c r="ER576" s="424"/>
      <c r="ES576" s="424"/>
      <c r="ET576" s="424"/>
      <c r="EU576" s="424"/>
      <c r="EV576" s="424"/>
      <c r="EW576" s="424"/>
      <c r="EX576" s="424"/>
      <c r="EY576" s="424"/>
      <c r="EZ576" s="424"/>
      <c r="FA576" s="424"/>
      <c r="FB576" s="424"/>
      <c r="FC576" s="424"/>
      <c r="FD576" s="425"/>
      <c r="FE576" s="333"/>
    </row>
    <row r="577" spans="86:161" x14ac:dyDescent="0.25">
      <c r="CH577" s="445"/>
      <c r="CI577" s="300"/>
      <c r="CJ577" s="300"/>
      <c r="CK577" s="300"/>
      <c r="CL577" s="449"/>
      <c r="CM577" s="445"/>
      <c r="DG577" s="445"/>
      <c r="DH577" s="300"/>
      <c r="DI577" s="395" t="str">
        <f ca="1">DI573</f>
        <v/>
      </c>
      <c r="DJ577" s="465" t="str">
        <f ca="1">IF(OR(DI577="",DP577="",DI577=DP577,COUNTIF(games.av,DI577&amp;DP577)=0),"",CONCATENATE(DI577,DP577))</f>
        <v/>
      </c>
      <c r="DK577" s="360" t="str">
        <f ca="1">IF($DJ577="","",CONCATENATE(VLOOKUP($DJ577,games.a,9,FALSE),VLOOKUP($DJ577,games.a,12,FALSE)))</f>
        <v/>
      </c>
      <c r="DL577" s="354" t="str">
        <f ca="1">IF($DJ577="","",VLOOKUP($DJ577,games.a,10,FALSE))</f>
        <v/>
      </c>
      <c r="DM577" s="354" t="str">
        <f ca="1">IF($DJ577="","",VLOOKUP($DJ577,games.a,13,FALSE))</f>
        <v/>
      </c>
      <c r="DN577" s="361" t="str">
        <f ca="1">IF($DJ577="","",VLOOKUP($DJ577,games.a,6,FALSE))</f>
        <v/>
      </c>
      <c r="DO577" s="362" t="str">
        <f ca="1">IF($DJ577="","",VLOOKUP($DJ577,games.a,7,FALSE))</f>
        <v/>
      </c>
      <c r="DP577" s="379" t="str">
        <f ca="1">DP576</f>
        <v/>
      </c>
      <c r="DQ577" s="302"/>
      <c r="DR577" s="364"/>
      <c r="DS577" s="302"/>
      <c r="DU577" s="424"/>
      <c r="DV577" s="424"/>
      <c r="DW577" s="424"/>
      <c r="DX577" s="424"/>
      <c r="DY577" s="424"/>
      <c r="DZ577" s="424"/>
      <c r="EA577" s="424"/>
      <c r="EB577" s="424"/>
      <c r="EC577" s="424"/>
      <c r="ED577" s="424"/>
      <c r="EE577" s="424"/>
      <c r="EF577" s="424"/>
      <c r="EG577" s="424"/>
      <c r="EH577" s="424"/>
      <c r="EI577" s="424"/>
      <c r="EJ577" s="424"/>
      <c r="EK577" s="424"/>
      <c r="EL577" s="424"/>
      <c r="EM577" s="424"/>
      <c r="EN577" s="424"/>
      <c r="EO577" s="424"/>
      <c r="EP577" s="424"/>
      <c r="EQ577" s="424"/>
      <c r="ER577" s="424"/>
      <c r="ES577" s="424"/>
      <c r="ET577" s="424"/>
      <c r="EU577" s="424"/>
      <c r="EV577" s="424"/>
      <c r="EW577" s="424"/>
      <c r="EX577" s="424"/>
      <c r="EY577" s="424"/>
      <c r="EZ577" s="424"/>
      <c r="FA577" s="424"/>
      <c r="FB577" s="424"/>
      <c r="FC577" s="424"/>
      <c r="FD577" s="425"/>
      <c r="FE577" s="333"/>
    </row>
    <row r="578" spans="86:161" x14ac:dyDescent="0.25">
      <c r="CH578" s="445"/>
      <c r="CI578" s="300"/>
      <c r="CJ578" s="300"/>
      <c r="CK578" s="300"/>
      <c r="CL578" s="449"/>
      <c r="CM578" s="445"/>
      <c r="DG578" s="445"/>
      <c r="DH578" s="445"/>
      <c r="DI578" s="301"/>
      <c r="DJ578" s="445"/>
      <c r="DK578" s="302"/>
      <c r="DL578" s="302"/>
      <c r="DM578" s="302"/>
      <c r="DN578" s="302"/>
      <c r="DO578" s="302"/>
      <c r="DP578" s="447"/>
      <c r="DQ578" s="302"/>
      <c r="DR578" s="446" t="s">
        <v>218</v>
      </c>
      <c r="DS578" s="302"/>
      <c r="DU578" s="424"/>
      <c r="DV578" s="424"/>
      <c r="DW578" s="424"/>
      <c r="DX578" s="424"/>
      <c r="DY578" s="424"/>
      <c r="DZ578" s="424"/>
      <c r="EA578" s="424"/>
      <c r="EB578" s="424"/>
      <c r="EC578" s="424"/>
      <c r="ED578" s="424"/>
      <c r="EE578" s="424"/>
      <c r="EF578" s="424"/>
      <c r="EG578" s="424"/>
      <c r="EH578" s="424"/>
      <c r="EI578" s="424"/>
      <c r="EJ578" s="424"/>
      <c r="EK578" s="424"/>
      <c r="EL578" s="424"/>
      <c r="EM578" s="424"/>
      <c r="EN578" s="424"/>
      <c r="EO578" s="424"/>
      <c r="EP578" s="424"/>
      <c r="EQ578" s="424"/>
      <c r="ER578" s="424"/>
      <c r="ES578" s="424"/>
      <c r="ET578" s="424"/>
      <c r="EU578" s="424"/>
      <c r="EV578" s="424"/>
      <c r="EW578" s="424"/>
      <c r="EX578" s="424"/>
      <c r="EY578" s="424"/>
      <c r="EZ578" s="424"/>
      <c r="FA578" s="424"/>
      <c r="FB578" s="424"/>
      <c r="FC578" s="424"/>
      <c r="FD578" s="425"/>
      <c r="FE578" s="333"/>
    </row>
    <row r="579" spans="86:161" x14ac:dyDescent="0.25">
      <c r="CH579" s="445"/>
      <c r="CI579" s="300"/>
      <c r="CJ579" s="300"/>
      <c r="CK579" s="300"/>
      <c r="CL579" s="449"/>
      <c r="CM579" s="445"/>
      <c r="DG579" s="445"/>
      <c r="DH579" s="445"/>
      <c r="DI579" s="301"/>
      <c r="DJ579" s="445"/>
      <c r="DK579" s="302"/>
      <c r="DL579" s="302"/>
      <c r="DM579" s="302"/>
      <c r="DN579" s="302"/>
      <c r="DO579" s="302"/>
      <c r="DP579" s="447"/>
      <c r="DQ579" s="302"/>
      <c r="DR579" s="448" t="s">
        <v>219</v>
      </c>
      <c r="DS579" s="302"/>
      <c r="DU579" s="424"/>
      <c r="DV579" s="424"/>
      <c r="DW579" s="424"/>
      <c r="DX579" s="424"/>
      <c r="DY579" s="424"/>
      <c r="DZ579" s="424"/>
      <c r="EA579" s="424"/>
      <c r="EB579" s="424"/>
      <c r="EC579" s="424"/>
      <c r="ED579" s="424"/>
      <c r="EE579" s="424"/>
      <c r="EF579" s="424"/>
      <c r="EG579" s="424"/>
      <c r="EH579" s="424"/>
      <c r="EI579" s="424"/>
      <c r="EJ579" s="424"/>
      <c r="EK579" s="424"/>
      <c r="EL579" s="424"/>
      <c r="EM579" s="424"/>
      <c r="EN579" s="424"/>
      <c r="EO579" s="424"/>
      <c r="EP579" s="424"/>
      <c r="EQ579" s="424"/>
      <c r="ER579" s="424"/>
      <c r="ES579" s="424"/>
      <c r="ET579" s="424"/>
      <c r="EU579" s="424"/>
      <c r="EV579" s="424"/>
      <c r="EW579" s="424"/>
      <c r="EX579" s="424"/>
      <c r="EY579" s="424"/>
      <c r="EZ579" s="424"/>
      <c r="FA579" s="424"/>
      <c r="FB579" s="424"/>
      <c r="FC579" s="424"/>
      <c r="FD579" s="425"/>
      <c r="FE579" s="333"/>
    </row>
    <row r="580" spans="86:161" x14ac:dyDescent="0.25">
      <c r="CH580" s="445"/>
      <c r="CI580" s="300"/>
      <c r="CJ580" s="300"/>
      <c r="CK580" s="300"/>
      <c r="CL580" s="449"/>
      <c r="CM580" s="445"/>
      <c r="DG580" s="445"/>
      <c r="DH580" s="300"/>
      <c r="DI580" s="323" t="b">
        <f ca="1">OR(NOT($AJ$44),COUNTIF(DN580:DN585,"")=4-(DP580-1)*DP580,COUNTIF(DN580:DN585,"")=4-(DP580-1)*DP580/2)</f>
        <v>1</v>
      </c>
      <c r="DJ580" s="458" t="s">
        <v>157</v>
      </c>
      <c r="DK580" s="458" t="s">
        <v>158</v>
      </c>
      <c r="DL580" s="459" t="s">
        <v>159</v>
      </c>
      <c r="DM580" s="459"/>
      <c r="DN580" s="460" t="s">
        <v>160</v>
      </c>
      <c r="DO580" s="459" t="s">
        <v>135</v>
      </c>
      <c r="DP580" s="323">
        <f ca="1">COUNT(DF343:DF344)</f>
        <v>0</v>
      </c>
      <c r="DQ580" s="302"/>
      <c r="DR580" s="364"/>
      <c r="DS580" s="302"/>
      <c r="DU580" s="424"/>
      <c r="DV580" s="329" t="s">
        <v>229</v>
      </c>
      <c r="DW580" s="365"/>
      <c r="DX580" s="329" t="s">
        <v>152</v>
      </c>
      <c r="DY580" s="329" t="s">
        <v>153</v>
      </c>
      <c r="DZ580" s="329" t="s">
        <v>154</v>
      </c>
      <c r="EA580" s="329" t="s">
        <v>155</v>
      </c>
      <c r="EB580" s="329" t="s">
        <v>125</v>
      </c>
      <c r="EC580" s="329" t="s">
        <v>226</v>
      </c>
      <c r="ED580" s="329" t="s">
        <v>126</v>
      </c>
      <c r="EE580" s="329" t="s">
        <v>227</v>
      </c>
      <c r="EF580" s="424"/>
      <c r="EG580" s="424"/>
      <c r="EH580" s="424"/>
      <c r="EI580" s="329" t="s">
        <v>228</v>
      </c>
      <c r="EJ580" s="329" t="s">
        <v>156</v>
      </c>
      <c r="EK580" s="329" t="s">
        <v>208</v>
      </c>
      <c r="EL580" s="424"/>
      <c r="EM580" s="424"/>
      <c r="EN580" s="424"/>
      <c r="EO580" s="424"/>
      <c r="EP580" s="424"/>
      <c r="EQ580" s="424"/>
      <c r="ER580" s="424"/>
      <c r="ES580" s="424"/>
      <c r="ET580" s="424"/>
      <c r="EU580" s="424"/>
      <c r="EV580" s="424"/>
      <c r="EW580" s="424"/>
      <c r="EX580" s="424"/>
      <c r="EY580" s="424"/>
      <c r="EZ580" s="424"/>
      <c r="FA580" s="424"/>
      <c r="FB580" s="424"/>
      <c r="FC580" s="424"/>
      <c r="FD580" s="425"/>
      <c r="FE580" s="333"/>
    </row>
    <row r="581" spans="86:161" x14ac:dyDescent="0.25">
      <c r="CH581" s="445"/>
      <c r="CI581" s="300"/>
      <c r="CJ581" s="300"/>
      <c r="CK581" s="300"/>
      <c r="CL581" s="449"/>
      <c r="CM581" s="445"/>
      <c r="DG581" s="445"/>
      <c r="DH581" s="300"/>
      <c r="DI581" s="464" t="str">
        <f ca="1">IF(DF343="","",VLOOKUP(DF343,xxx.av1,19,FALSE))</f>
        <v/>
      </c>
      <c r="DJ581" s="465" t="str">
        <f ca="1">IF(OR(DI581="",DP581="",DI581=DP581,COUNTIF(games.av,DI581&amp;DP581)=0),"",CONCATENATE(DI581,DP581))</f>
        <v/>
      </c>
      <c r="DK581" s="360" t="str">
        <f ca="1">IF($DJ581="","",CONCATENATE(VLOOKUP($DJ581,games.a,9,FALSE),VLOOKUP($DJ581,games.a,12,FALSE)))</f>
        <v/>
      </c>
      <c r="DL581" s="354" t="str">
        <f ca="1">IF($DJ581="","",VLOOKUP($DJ581,games.a,10,FALSE))</f>
        <v/>
      </c>
      <c r="DM581" s="354" t="str">
        <f ca="1">IF($DJ581="","",VLOOKUP($DJ581,games.a,13,FALSE))</f>
        <v/>
      </c>
      <c r="DN581" s="361" t="str">
        <f ca="1">IF($DJ581="","",VLOOKUP($DJ581,games.a,6,FALSE))</f>
        <v/>
      </c>
      <c r="DO581" s="362" t="str">
        <f ca="1">IF($DJ581="","",VLOOKUP($DJ581,games.a,7,FALSE))</f>
        <v/>
      </c>
      <c r="DP581" s="466" t="str">
        <f ca="1">DI581</f>
        <v/>
      </c>
      <c r="DQ581" s="302"/>
      <c r="DR581" s="364"/>
      <c r="DS581" s="302"/>
      <c r="DU581" s="424"/>
      <c r="DV581" s="366" t="str">
        <f ca="1">IF(OR(NOT($AJ$44),DI580),DI581,"")</f>
        <v/>
      </c>
      <c r="DW581" s="365"/>
      <c r="DX581" s="366">
        <f ca="1">IF($DV581="",0,COUNTIF(xxgy.av,$DV581))</f>
        <v>0</v>
      </c>
      <c r="DY581" s="366">
        <f ca="1">IF($DV581="",0,COUNTIF(xxd.av,$DV581))</f>
        <v>0</v>
      </c>
      <c r="DZ581" s="366">
        <f ca="1">IF($DV581="",0,1)*(SUMIF(xxo.av,$DV581,xxl.av)+SUMIF(xxi.av,$DV581,xxk.av))</f>
        <v>0</v>
      </c>
      <c r="EA581" s="366">
        <f ca="1">IF($DV581="",0,1)*(SUMIF(xxo.av,$DV581,xxk.av)+SUMIF(xxi.av,$DV581,xxl.av))</f>
        <v>0</v>
      </c>
      <c r="EB581" s="366">
        <f ca="1">DZ581-EA581</f>
        <v>0</v>
      </c>
      <c r="EC581" s="366">
        <f ca="1">IF(EA581=0,0,DZ581/EA581)</f>
        <v>0</v>
      </c>
      <c r="ED581" s="366">
        <f ca="1">$AJ$48*DX581+IF($AJ$44,0,1)*DY581</f>
        <v>0</v>
      </c>
      <c r="EE581" s="396">
        <f ca="1">ED581*1000000+IF($AJ$44,EC581,EB581)*1000*0</f>
        <v>0</v>
      </c>
      <c r="EF581" s="424"/>
      <c r="EG581" s="424"/>
      <c r="EH581" s="424"/>
      <c r="EI581" s="366">
        <f ca="1">IF(OR(ISERR(EE581),ISNA(EE581)),0,EE581)</f>
        <v>0</v>
      </c>
      <c r="EJ581" s="366">
        <f ca="1">IF(EI581=0,0,RANK(EI581,EI581:EI582,1))</f>
        <v>0</v>
      </c>
      <c r="EK581" s="366">
        <f ca="1">EJ581*40000*IF(COUNTIF($FC$343:$FC$366,DV581)&gt;0,0,1)</f>
        <v>0</v>
      </c>
      <c r="EL581" s="424"/>
      <c r="EM581" s="424"/>
      <c r="EN581" s="424"/>
      <c r="EO581" s="424"/>
      <c r="EP581" s="424"/>
      <c r="EQ581" s="424"/>
      <c r="ER581" s="424"/>
      <c r="ES581" s="424"/>
      <c r="ET581" s="424"/>
      <c r="EU581" s="424"/>
      <c r="EV581" s="424"/>
      <c r="EW581" s="424"/>
      <c r="EX581" s="424"/>
      <c r="EY581" s="424"/>
      <c r="EZ581" s="424"/>
      <c r="FA581" s="424"/>
      <c r="FB581" s="424"/>
      <c r="FC581" s="424"/>
      <c r="FD581" s="425"/>
      <c r="FE581" s="333"/>
    </row>
    <row r="582" spans="86:161" x14ac:dyDescent="0.25">
      <c r="CH582" s="445"/>
      <c r="CI582" s="300"/>
      <c r="CJ582" s="300"/>
      <c r="CK582" s="300"/>
      <c r="CL582" s="449"/>
      <c r="CM582" s="445"/>
      <c r="DG582" s="445"/>
      <c r="DH582" s="300"/>
      <c r="DI582" s="464" t="str">
        <f ca="1">IF(DF344="","",VLOOKUP(DF344,xxx.av1,19,FALSE))</f>
        <v/>
      </c>
      <c r="DJ582" s="465" t="str">
        <f ca="1">IF(OR(DI582="",DP582="",DI582=DP582,COUNTIF(games.av,DI582&amp;DP582)=0),"",CONCATENATE(DI582,DP582))</f>
        <v/>
      </c>
      <c r="DK582" s="360" t="str">
        <f ca="1">IF($DJ582="","",CONCATENATE(VLOOKUP($DJ582,games.a,9,FALSE),VLOOKUP($DJ582,games.a,12,FALSE)))</f>
        <v/>
      </c>
      <c r="DL582" s="354" t="str">
        <f ca="1">IF($DJ582="","",VLOOKUP($DJ582,games.a,10,FALSE))</f>
        <v/>
      </c>
      <c r="DM582" s="354" t="str">
        <f ca="1">IF($DJ582="","",VLOOKUP($DJ582,games.a,13,FALSE))</f>
        <v/>
      </c>
      <c r="DN582" s="361" t="str">
        <f ca="1">IF($DJ582="","",VLOOKUP($DJ582,games.a,6,FALSE))</f>
        <v/>
      </c>
      <c r="DO582" s="362" t="str">
        <f ca="1">IF($DJ582="","",VLOOKUP($DJ582,games.a,7,FALSE))</f>
        <v/>
      </c>
      <c r="DP582" s="379" t="str">
        <f ca="1">DP581</f>
        <v/>
      </c>
      <c r="DQ582" s="302"/>
      <c r="DR582" s="364"/>
      <c r="DS582" s="302"/>
      <c r="DU582" s="424"/>
      <c r="DV582" s="366" t="str">
        <f ca="1">IF(OR(NOT($AJ$44),DI580),DI582,"")</f>
        <v/>
      </c>
      <c r="DW582" s="365"/>
      <c r="DX582" s="366">
        <f ca="1">IF($DV582="",0,COUNTIF(xxgy.av,$DV582))</f>
        <v>0</v>
      </c>
      <c r="DY582" s="366">
        <f ca="1">IF($DV582="",0,COUNTIF(xxd.av,$DV582))</f>
        <v>0</v>
      </c>
      <c r="DZ582" s="366">
        <f ca="1">IF($DV582="",0,1)*(SUMIF(xxo.av,$DV582,xxl.av)+SUMIF(xxi.av,$DV582,xxk.av))</f>
        <v>0</v>
      </c>
      <c r="EA582" s="366">
        <f ca="1">IF($DV582="",0,1)*(SUMIF(xxo.av,$DV582,xxk.av)+SUMIF(xxi.av,$DV582,xxl.av))</f>
        <v>0</v>
      </c>
      <c r="EB582" s="366">
        <f ca="1">DZ582-EA582</f>
        <v>0</v>
      </c>
      <c r="EC582" s="366">
        <f ca="1">IF(EA582=0,0,DZ582/EA582)</f>
        <v>0</v>
      </c>
      <c r="ED582" s="366">
        <f ca="1">$AJ$48*DX582+IF($AJ$44,0,1)*DY582</f>
        <v>0</v>
      </c>
      <c r="EE582" s="396">
        <f ca="1">ED582*1000000+IF($AJ$44,EC582,EB582)*1000*0</f>
        <v>0</v>
      </c>
      <c r="EF582" s="424"/>
      <c r="EG582" s="424"/>
      <c r="EH582" s="424"/>
      <c r="EI582" s="366">
        <f ca="1">IF(OR(ISERR(EE582),ISNA(EE582)),0,EE582)</f>
        <v>0</v>
      </c>
      <c r="EJ582" s="366">
        <f ca="1">IF(EI582=0,0,RANK(EI582,EI581:EI582,1))</f>
        <v>0</v>
      </c>
      <c r="EK582" s="366">
        <f ca="1">EJ582*40000*IF(COUNTIF($FC$343:$FC$366,DV582)&gt;0,0,1)</f>
        <v>0</v>
      </c>
      <c r="EL582" s="424"/>
      <c r="EM582" s="424"/>
      <c r="EN582" s="424"/>
      <c r="EO582" s="424"/>
      <c r="EP582" s="424"/>
      <c r="EQ582" s="424"/>
      <c r="ER582" s="424"/>
      <c r="ES582" s="424"/>
      <c r="ET582" s="424"/>
      <c r="EU582" s="424"/>
      <c r="EV582" s="424"/>
      <c r="EW582" s="424"/>
      <c r="EX582" s="424"/>
      <c r="EY582" s="424"/>
      <c r="EZ582" s="424"/>
      <c r="FA582" s="424"/>
      <c r="FB582" s="424"/>
      <c r="FC582" s="424"/>
      <c r="FD582" s="425"/>
      <c r="FE582" s="333"/>
    </row>
    <row r="583" spans="86:161" x14ac:dyDescent="0.25">
      <c r="CH583" s="445"/>
      <c r="CI583" s="300"/>
      <c r="CJ583" s="300"/>
      <c r="CK583" s="300"/>
      <c r="CL583" s="449"/>
      <c r="CM583" s="445"/>
      <c r="DG583" s="445"/>
      <c r="DH583" s="300"/>
      <c r="DI583" s="301"/>
      <c r="DJ583" s="458" t="s">
        <v>157</v>
      </c>
      <c r="DK583" s="458" t="s">
        <v>158</v>
      </c>
      <c r="DL583" s="459" t="s">
        <v>159</v>
      </c>
      <c r="DM583" s="459"/>
      <c r="DN583" s="460" t="s">
        <v>160</v>
      </c>
      <c r="DO583" s="459" t="s">
        <v>135</v>
      </c>
      <c r="DP583" s="302"/>
      <c r="DQ583" s="302"/>
      <c r="DR583" s="364"/>
      <c r="DS583" s="302"/>
      <c r="DU583" s="424"/>
      <c r="DV583" s="424"/>
      <c r="DW583" s="424"/>
      <c r="DX583" s="424"/>
      <c r="DY583" s="424"/>
      <c r="DZ583" s="424"/>
      <c r="EA583" s="424"/>
      <c r="EB583" s="424"/>
      <c r="EC583" s="424"/>
      <c r="ED583" s="424"/>
      <c r="EE583" s="424"/>
      <c r="EF583" s="424"/>
      <c r="EG583" s="424"/>
      <c r="EH583" s="424"/>
      <c r="EI583" s="424"/>
      <c r="EJ583" s="424"/>
      <c r="EK583" s="424"/>
      <c r="EL583" s="424"/>
      <c r="EM583" s="424"/>
      <c r="EN583" s="424"/>
      <c r="EO583" s="424"/>
      <c r="EP583" s="424"/>
      <c r="EQ583" s="424"/>
      <c r="ER583" s="424"/>
      <c r="ES583" s="424"/>
      <c r="ET583" s="424"/>
      <c r="EU583" s="424"/>
      <c r="EV583" s="424"/>
      <c r="EW583" s="424"/>
      <c r="EX583" s="424"/>
      <c r="EY583" s="424"/>
      <c r="EZ583" s="424"/>
      <c r="FA583" s="424"/>
      <c r="FB583" s="424"/>
      <c r="FC583" s="424"/>
      <c r="FD583" s="425"/>
      <c r="FE583" s="333"/>
    </row>
    <row r="584" spans="86:161" x14ac:dyDescent="0.25">
      <c r="CH584" s="445"/>
      <c r="CI584" s="300"/>
      <c r="CJ584" s="300"/>
      <c r="CK584" s="300"/>
      <c r="CL584" s="449"/>
      <c r="CM584" s="445"/>
      <c r="DG584" s="445"/>
      <c r="DH584" s="300"/>
      <c r="DI584" s="395" t="str">
        <f ca="1">DI581</f>
        <v/>
      </c>
      <c r="DJ584" s="465" t="str">
        <f ca="1">IF(OR(DI584="",DP584="",DI584=DP584,COUNTIF(games.av,DI584&amp;DP584)=0),"",CONCATENATE(DI584,DP584))</f>
        <v/>
      </c>
      <c r="DK584" s="360" t="str">
        <f ca="1">IF($DJ584="","",CONCATENATE(VLOOKUP($DJ584,games.a,9,FALSE),VLOOKUP($DJ584,games.a,12,FALSE)))</f>
        <v/>
      </c>
      <c r="DL584" s="354" t="str">
        <f ca="1">IF($DJ584="","",VLOOKUP($DJ584,games.a,10,FALSE))</f>
        <v/>
      </c>
      <c r="DM584" s="354" t="str">
        <f ca="1">IF($DJ584="","",VLOOKUP($DJ584,games.a,13,FALSE))</f>
        <v/>
      </c>
      <c r="DN584" s="361" t="str">
        <f ca="1">IF($DJ584="","",VLOOKUP($DJ584,games.a,6,FALSE))</f>
        <v/>
      </c>
      <c r="DO584" s="362" t="str">
        <f ca="1">IF($DJ584="","",VLOOKUP($DJ584,games.a,7,FALSE))</f>
        <v/>
      </c>
      <c r="DP584" s="466" t="str">
        <f ca="1">DI582</f>
        <v/>
      </c>
      <c r="DQ584" s="302"/>
      <c r="DR584" s="364"/>
      <c r="DS584" s="302"/>
      <c r="DU584" s="424"/>
      <c r="DV584" s="424"/>
      <c r="DW584" s="424"/>
      <c r="DX584" s="424"/>
      <c r="DY584" s="424"/>
      <c r="DZ584" s="424"/>
      <c r="EA584" s="424"/>
      <c r="EB584" s="424"/>
      <c r="EC584" s="424"/>
      <c r="ED584" s="424"/>
      <c r="EE584" s="424"/>
      <c r="EF584" s="424"/>
      <c r="EG584" s="424"/>
      <c r="EH584" s="424"/>
      <c r="EI584" s="424"/>
      <c r="EJ584" s="424"/>
      <c r="EK584" s="424"/>
      <c r="EL584" s="424"/>
      <c r="EM584" s="424"/>
      <c r="EN584" s="424"/>
      <c r="EO584" s="424"/>
      <c r="EP584" s="424"/>
      <c r="EQ584" s="424"/>
      <c r="ER584" s="424"/>
      <c r="ES584" s="424"/>
      <c r="ET584" s="424"/>
      <c r="EU584" s="424"/>
      <c r="EV584" s="424"/>
      <c r="EW584" s="424"/>
      <c r="EX584" s="424"/>
      <c r="EY584" s="424"/>
      <c r="EZ584" s="424"/>
      <c r="FA584" s="424"/>
      <c r="FB584" s="424"/>
      <c r="FC584" s="424"/>
      <c r="FD584" s="425"/>
      <c r="FE584" s="333"/>
    </row>
    <row r="585" spans="86:161" x14ac:dyDescent="0.25">
      <c r="CH585" s="445"/>
      <c r="CI585" s="300"/>
      <c r="CJ585" s="300"/>
      <c r="CK585" s="300"/>
      <c r="CL585" s="447"/>
      <c r="CM585" s="445"/>
      <c r="DG585" s="445"/>
      <c r="DH585" s="300"/>
      <c r="DI585" s="395" t="str">
        <f ca="1">DI582</f>
        <v/>
      </c>
      <c r="DJ585" s="465" t="str">
        <f ca="1">IF(OR(DI585="",DP585="",DI585=DP585,COUNTIF(games.av,DI585&amp;DP585)=0),"",CONCATENATE(DI585,DP585))</f>
        <v/>
      </c>
      <c r="DK585" s="360" t="str">
        <f ca="1">IF($DJ585="","",CONCATENATE(VLOOKUP($DJ585,games.a,9,FALSE),VLOOKUP($DJ585,games.a,12,FALSE)))</f>
        <v/>
      </c>
      <c r="DL585" s="354" t="str">
        <f ca="1">IF($DJ585="","",VLOOKUP($DJ585,games.a,10,FALSE))</f>
        <v/>
      </c>
      <c r="DM585" s="354" t="str">
        <f ca="1">IF($DJ585="","",VLOOKUP($DJ585,games.a,13,FALSE))</f>
        <v/>
      </c>
      <c r="DN585" s="361" t="str">
        <f ca="1">IF($DJ585="","",VLOOKUP($DJ585,games.a,6,FALSE))</f>
        <v/>
      </c>
      <c r="DO585" s="362" t="str">
        <f ca="1">IF($DJ585="","",VLOOKUP($DJ585,games.a,7,FALSE))</f>
        <v/>
      </c>
      <c r="DP585" s="379" t="str">
        <f ca="1">DP584</f>
        <v/>
      </c>
      <c r="DQ585" s="302"/>
      <c r="DR585" s="364"/>
      <c r="DS585" s="302"/>
      <c r="DU585" s="424"/>
      <c r="DV585" s="424"/>
      <c r="DW585" s="424"/>
      <c r="DX585" s="424"/>
      <c r="DY585" s="424"/>
      <c r="DZ585" s="424"/>
      <c r="EA585" s="424"/>
      <c r="EB585" s="424"/>
      <c r="EC585" s="424"/>
      <c r="ED585" s="424"/>
      <c r="EE585" s="424"/>
      <c r="EF585" s="424"/>
      <c r="EG585" s="424"/>
      <c r="EH585" s="424"/>
      <c r="EI585" s="424"/>
      <c r="EJ585" s="424"/>
      <c r="EK585" s="424"/>
      <c r="EL585" s="424"/>
      <c r="EM585" s="424"/>
      <c r="EN585" s="424"/>
      <c r="EO585" s="424"/>
      <c r="EP585" s="424"/>
      <c r="EQ585" s="424"/>
      <c r="ER585" s="424"/>
      <c r="ES585" s="424"/>
      <c r="ET585" s="424"/>
      <c r="EU585" s="424"/>
      <c r="EV585" s="424"/>
      <c r="EW585" s="424"/>
      <c r="EX585" s="424"/>
      <c r="EY585" s="424"/>
      <c r="EZ585" s="424"/>
      <c r="FA585" s="424"/>
      <c r="FB585" s="424"/>
      <c r="FC585" s="424"/>
      <c r="FD585" s="425"/>
      <c r="FE585" s="333"/>
    </row>
    <row r="586" spans="86:161" x14ac:dyDescent="0.25">
      <c r="CH586" s="445"/>
      <c r="CI586" s="300"/>
      <c r="CJ586" s="300"/>
      <c r="CK586" s="300"/>
      <c r="CL586" s="447"/>
      <c r="CM586" s="445"/>
      <c r="DG586" s="445"/>
      <c r="DH586" s="300"/>
      <c r="DI586" s="301"/>
      <c r="DJ586" s="302"/>
      <c r="DK586" s="302"/>
      <c r="DL586" s="302"/>
      <c r="DM586" s="302"/>
      <c r="DN586" s="302"/>
      <c r="DO586" s="302"/>
      <c r="DP586" s="302"/>
      <c r="DQ586" s="302"/>
      <c r="DR586" s="446" t="s">
        <v>219</v>
      </c>
      <c r="DS586" s="302"/>
      <c r="DU586" s="424"/>
      <c r="DV586" s="424"/>
      <c r="DW586" s="424"/>
      <c r="DX586" s="424"/>
      <c r="DY586" s="424"/>
      <c r="DZ586" s="424"/>
      <c r="EA586" s="424"/>
      <c r="EB586" s="424"/>
      <c r="EC586" s="424"/>
      <c r="ED586" s="424"/>
      <c r="EE586" s="424"/>
      <c r="EF586" s="424"/>
      <c r="EG586" s="424"/>
      <c r="EH586" s="424"/>
      <c r="EI586" s="424"/>
      <c r="EJ586" s="424"/>
      <c r="EK586" s="424"/>
      <c r="EL586" s="424"/>
      <c r="EM586" s="424"/>
      <c r="EN586" s="424"/>
      <c r="EO586" s="424"/>
      <c r="EP586" s="424"/>
      <c r="EQ586" s="424"/>
      <c r="ER586" s="424"/>
      <c r="ES586" s="424"/>
      <c r="ET586" s="424"/>
      <c r="EU586" s="424"/>
      <c r="EV586" s="424"/>
      <c r="EW586" s="424"/>
      <c r="EX586" s="424"/>
      <c r="EY586" s="424"/>
      <c r="EZ586" s="424"/>
      <c r="FA586" s="424"/>
      <c r="FB586" s="424"/>
      <c r="FC586" s="424"/>
      <c r="FD586" s="425"/>
      <c r="FE586" s="333"/>
    </row>
    <row r="587" spans="86:161" x14ac:dyDescent="0.25">
      <c r="CH587" s="445"/>
      <c r="CI587" s="300"/>
      <c r="CJ587" s="300"/>
      <c r="CK587" s="300"/>
      <c r="CL587" s="449"/>
      <c r="CM587" s="445"/>
      <c r="DG587" s="445"/>
      <c r="DH587" s="300"/>
      <c r="DI587" s="301"/>
      <c r="DJ587" s="302"/>
      <c r="DK587" s="302"/>
      <c r="DL587" s="302"/>
      <c r="DM587" s="302"/>
      <c r="DN587" s="302"/>
      <c r="DO587" s="302"/>
      <c r="DP587" s="447"/>
      <c r="DQ587" s="302"/>
      <c r="DR587" s="450" t="s">
        <v>220</v>
      </c>
      <c r="DS587" s="302"/>
      <c r="DU587" s="424"/>
      <c r="DV587" s="424"/>
      <c r="DW587" s="424"/>
      <c r="DX587" s="424"/>
      <c r="DY587" s="424"/>
      <c r="DZ587" s="424"/>
      <c r="EA587" s="424"/>
      <c r="EB587" s="424"/>
      <c r="EC587" s="424"/>
      <c r="ED587" s="424"/>
      <c r="EE587" s="424"/>
      <c r="EF587" s="424"/>
      <c r="EG587" s="424"/>
      <c r="EH587" s="424"/>
      <c r="EI587" s="424"/>
      <c r="EJ587" s="424"/>
      <c r="EK587" s="424"/>
      <c r="EL587" s="424"/>
      <c r="EM587" s="424"/>
      <c r="EN587" s="424"/>
      <c r="EO587" s="424"/>
      <c r="EP587" s="424"/>
      <c r="EQ587" s="424"/>
      <c r="ER587" s="424"/>
      <c r="ES587" s="424"/>
      <c r="ET587" s="424"/>
      <c r="EU587" s="424"/>
      <c r="EV587" s="424"/>
      <c r="EW587" s="424"/>
      <c r="EX587" s="424"/>
      <c r="EY587" s="424"/>
      <c r="EZ587" s="424"/>
      <c r="FA587" s="424"/>
      <c r="FB587" s="424"/>
      <c r="FC587" s="424"/>
      <c r="FD587" s="425"/>
      <c r="FE587" s="333"/>
    </row>
    <row r="588" spans="86:161" x14ac:dyDescent="0.25">
      <c r="CH588" s="445"/>
      <c r="CI588" s="300"/>
      <c r="CJ588" s="300"/>
      <c r="CK588" s="300"/>
      <c r="CL588" s="449"/>
      <c r="CM588" s="445"/>
      <c r="DG588" s="445"/>
      <c r="DH588" s="300"/>
      <c r="DI588" s="323" t="b">
        <f ca="1">OR(NOT($AJ$44),COUNTIF(DN588:DN617,"")=25-(DP588-1)*DP588,COUNTIF(DN588:DN617,"")=25-(DP588-1)*DP588/2)</f>
        <v>1</v>
      </c>
      <c r="DJ588" s="458" t="s">
        <v>157</v>
      </c>
      <c r="DK588" s="458" t="s">
        <v>158</v>
      </c>
      <c r="DL588" s="459" t="s">
        <v>159</v>
      </c>
      <c r="DM588" s="459"/>
      <c r="DN588" s="460" t="s">
        <v>160</v>
      </c>
      <c r="DO588" s="459" t="s">
        <v>135</v>
      </c>
      <c r="DP588" s="323">
        <f>COUNT(CQ369:CQ373)</f>
        <v>0</v>
      </c>
      <c r="DQ588" s="302"/>
      <c r="DR588" s="364"/>
      <c r="DS588" s="302"/>
      <c r="DU588" s="424"/>
      <c r="DV588" s="329" t="s">
        <v>223</v>
      </c>
      <c r="DW588" s="329" t="s">
        <v>224</v>
      </c>
      <c r="DX588" s="329" t="s">
        <v>152</v>
      </c>
      <c r="DZ588" s="329" t="s">
        <v>154</v>
      </c>
      <c r="EA588" s="329" t="s">
        <v>155</v>
      </c>
      <c r="EC588" s="329" t="s">
        <v>226</v>
      </c>
      <c r="EE588" s="329" t="s">
        <v>227</v>
      </c>
      <c r="EI588" s="329" t="s">
        <v>228</v>
      </c>
      <c r="EJ588" s="329" t="s">
        <v>156</v>
      </c>
      <c r="EK588" s="329" t="s">
        <v>208</v>
      </c>
      <c r="EM588" s="329" t="s">
        <v>212</v>
      </c>
      <c r="EN588" s="330" t="s">
        <v>227</v>
      </c>
      <c r="EO588" s="329" t="s">
        <v>225</v>
      </c>
      <c r="EP588" s="328"/>
      <c r="EQ588" s="328"/>
      <c r="ER588" s="328"/>
      <c r="ES588" s="331" t="str">
        <f ca="1">IF(ER589=0,"xxx",VLOOKUP(ER589,EM589:EP593,IF($AJ$54,2,3),FALSE))</f>
        <v>xxx</v>
      </c>
      <c r="ET588" s="328"/>
      <c r="EU588" s="328"/>
      <c r="EV588" s="331" t="str">
        <f ca="1">IF(ER590=0,"xxx",VLOOKUP(ER590,EM589:EP593,IF($AJ$54,2,3),FALSE))</f>
        <v>xxx</v>
      </c>
      <c r="EW588" s="328"/>
      <c r="EX588" s="328"/>
      <c r="EY588" s="424"/>
      <c r="EZ588" s="424"/>
      <c r="FA588" s="424"/>
      <c r="FB588" s="424"/>
      <c r="FC588" s="458"/>
      <c r="FD588" s="425"/>
      <c r="FE588" s="333"/>
    </row>
    <row r="589" spans="86:161" x14ac:dyDescent="0.25">
      <c r="CH589" s="445"/>
      <c r="CI589" s="300"/>
      <c r="CJ589" s="300"/>
      <c r="CK589" s="300"/>
      <c r="CL589" s="449"/>
      <c r="CM589" s="445"/>
      <c r="DG589" s="445"/>
      <c r="DI589" s="464" t="str">
        <f>IF(CQ369="","",VLOOKUP(CQ369,xxx.av2,4,FALSE))</f>
        <v/>
      </c>
      <c r="DJ589" s="465" t="str">
        <f ca="1">IF(OR(DI589="",DP589="",DI589=DP589,COUNTIF(games.av,DI589&amp;DP589)=0),"",CONCATENATE(DI589,DP589))</f>
        <v/>
      </c>
      <c r="DK589" s="360" t="str">
        <f ca="1">IF($DJ589="","",CONCATENATE(VLOOKUP($DJ589,games.a,9,FALSE),VLOOKUP($DJ589,games.a,12,FALSE)))</f>
        <v/>
      </c>
      <c r="DL589" s="354" t="str">
        <f ca="1">IF($DJ589="","",VLOOKUP($DJ589,games.a,10,FALSE))</f>
        <v/>
      </c>
      <c r="DM589" s="354" t="str">
        <f ca="1">IF($DJ589="","",VLOOKUP($DJ589,games.a,13,FALSE))</f>
        <v/>
      </c>
      <c r="DN589" s="361" t="str">
        <f ca="1">IF($DJ589="","",VLOOKUP($DJ589,games.a,6,FALSE))</f>
        <v/>
      </c>
      <c r="DO589" s="362" t="str">
        <f ca="1">IF($DJ589="","",VLOOKUP($DJ589,games.a,7,FALSE))</f>
        <v/>
      </c>
      <c r="DP589" s="466" t="str">
        <f>DI589</f>
        <v/>
      </c>
      <c r="DQ589" s="302"/>
      <c r="DR589" s="364"/>
      <c r="DU589" s="424"/>
      <c r="DV589" s="366" t="str">
        <f ca="1">IF(AND($AJ$44,DI588,DP588&lt;&gt;2),DI589,"")</f>
        <v/>
      </c>
      <c r="DW589" s="366">
        <f ca="1">IF(DV589="",-1,COUNTIF(xxgy.av,DV589))</f>
        <v>-1</v>
      </c>
      <c r="DX589" s="366">
        <f ca="1">IF($DV589="",0,COUNTIF(yygy.av,$DV589))</f>
        <v>0</v>
      </c>
      <c r="DZ589" s="366">
        <f ca="1">IF($DV589="",0,1)*(SUMIF(yyo.av,$DV589,yyl.av)+SUMIF(yyi.av,$DV589,yyk.av))</f>
        <v>0</v>
      </c>
      <c r="EA589" s="366">
        <f ca="1">IF($DV589="",0,1)*(SUMIF(yyo.av,$DV589,yyk.av)+SUMIF(yyi.av,$DV589,yyl.av))</f>
        <v>0</v>
      </c>
      <c r="EC589" s="366">
        <f ca="1">IF(EA589=0,0,DZ589/EA589)</f>
        <v>0</v>
      </c>
      <c r="EE589" s="366">
        <f ca="1">DW589*1000000+DX589*1000+EC589</f>
        <v>-1000000</v>
      </c>
      <c r="EI589" s="366">
        <f ca="1">IF(OR(ISERR(EE589),ISNA(EE589),DW589&lt;0),0,EE589)</f>
        <v>0</v>
      </c>
      <c r="EJ589" s="366">
        <f ca="1">IF(EI589=0,0,RANK(EI589,EI589:EI593,1))</f>
        <v>0</v>
      </c>
      <c r="EK589" s="366">
        <f ca="1">EJ589*40000*IF(COUNTIF($FC$589:$FC$598,DV589)&gt;0,0,1)</f>
        <v>0</v>
      </c>
      <c r="EM589" s="367">
        <f ca="1">IF($AJ$54,COUNTIF(EE595:EE599,EN589)*IF(EN589=0,0,1),COUNTIF(DW589:DW593,EO589)*IF(EO589&lt;0,0,1))+EP589/1000</f>
        <v>1E-3</v>
      </c>
      <c r="EN589" s="368">
        <v>0</v>
      </c>
      <c r="EO589" s="369">
        <f ca="1">LARGE(DW589:DW593,EP589)</f>
        <v>-1</v>
      </c>
      <c r="EP589" s="369">
        <v>1</v>
      </c>
      <c r="EQ589" s="365"/>
      <c r="ER589" s="370">
        <f ca="1">IF(LARGE(EM589:EM593,EP589)&lt;1,0,LARGE(EM589:EM593,EP589))</f>
        <v>0</v>
      </c>
      <c r="ES589" s="371" t="str">
        <f ca="1">IF(DW589=ES588,DV589,IF(EE595=ES588,DV595,""))</f>
        <v/>
      </c>
      <c r="ET589" s="369" t="str">
        <f ca="1">IF(ES589="","",EP589)</f>
        <v/>
      </c>
      <c r="EU589" s="372" t="str">
        <f ca="1">IF(ISERR(LARGE(ET589:ET593,EP589)),"",LARGE(ET589:ET593,EP589))</f>
        <v/>
      </c>
      <c r="EV589" s="371" t="str">
        <f ca="1">IF(DW589=EV588,DV589,IF(EE595=EV588,DV595,""))</f>
        <v/>
      </c>
      <c r="EW589" s="369" t="str">
        <f ca="1">IF(EV589="","",EP589)</f>
        <v/>
      </c>
      <c r="EX589" s="372" t="str">
        <f ca="1">IF(ISERR(LARGE(EW589:EW593,EP589)),"",LARGE(EW589:EW593,EP589))</f>
        <v/>
      </c>
      <c r="EY589" s="424"/>
      <c r="EZ589" s="424"/>
      <c r="FA589" s="424"/>
      <c r="FB589" s="424"/>
      <c r="FC589" s="366"/>
      <c r="FD589" s="425"/>
      <c r="FE589" s="333"/>
    </row>
    <row r="590" spans="86:161" x14ac:dyDescent="0.25">
      <c r="CH590" s="445"/>
      <c r="CI590" s="300"/>
      <c r="CJ590" s="300"/>
      <c r="CK590" s="300"/>
      <c r="CL590" s="449"/>
      <c r="CM590" s="445"/>
      <c r="DG590" s="445"/>
      <c r="DH590" s="445"/>
      <c r="DI590" s="464" t="str">
        <f>IF(CQ370="","",VLOOKUP(CQ370,xxx.av2,4,FALSE))</f>
        <v/>
      </c>
      <c r="DJ590" s="465" t="str">
        <f ca="1">IF(OR(DI590="",DP590="",DI590=DP590,COUNTIF(games.av,DI590&amp;DP590)=0),"",CONCATENATE(DI590,DP590))</f>
        <v/>
      </c>
      <c r="DK590" s="360" t="str">
        <f ca="1">IF($DJ590="","",CONCATENATE(VLOOKUP($DJ590,games.a,9,FALSE),VLOOKUP($DJ590,games.a,12,FALSE)))</f>
        <v/>
      </c>
      <c r="DL590" s="354" t="str">
        <f ca="1">IF($DJ590="","",VLOOKUP($DJ590,games.a,10,FALSE))</f>
        <v/>
      </c>
      <c r="DM590" s="354" t="str">
        <f ca="1">IF($DJ590="","",VLOOKUP($DJ590,games.a,13,FALSE))</f>
        <v/>
      </c>
      <c r="DN590" s="361" t="str">
        <f ca="1">IF($DJ590="","",VLOOKUP($DJ590,games.a,6,FALSE))</f>
        <v/>
      </c>
      <c r="DO590" s="362" t="str">
        <f ca="1">IF($DJ590="","",VLOOKUP($DJ590,games.a,7,FALSE))</f>
        <v/>
      </c>
      <c r="DP590" s="379" t="str">
        <f>DP589</f>
        <v/>
      </c>
      <c r="DQ590" s="302"/>
      <c r="DR590" s="364"/>
      <c r="DS590" s="445"/>
      <c r="DU590" s="424"/>
      <c r="DV590" s="366" t="str">
        <f ca="1">IF(AND($AJ$44,DI588,DP588&lt;&gt;2),DI590,"")</f>
        <v/>
      </c>
      <c r="DW590" s="366">
        <f ca="1">IF(DV590="",-1,COUNTIF(xxgy.av,DV590))</f>
        <v>-1</v>
      </c>
      <c r="DX590" s="366">
        <f ca="1">IF($DV590="",0,COUNTIF(yygy.av,$DV590))</f>
        <v>0</v>
      </c>
      <c r="DZ590" s="366">
        <f ca="1">IF($DV590="",0,1)*(SUMIF(yyo.av,$DV590,yyl.av)+SUMIF(yyi.av,$DV590,yyk.av))</f>
        <v>0</v>
      </c>
      <c r="EA590" s="366">
        <f ca="1">IF($DV590="",0,1)*(SUMIF(yyo.av,$DV590,yyk.av)+SUMIF(yyi.av,$DV590,yyl.av))</f>
        <v>0</v>
      </c>
      <c r="EC590" s="366">
        <f ca="1">IF(EA590=0,0,DZ590/EA590)</f>
        <v>0</v>
      </c>
      <c r="EE590" s="366">
        <f ca="1">DW590*1000000+DX590*1000+EC590</f>
        <v>-1000000</v>
      </c>
      <c r="EI590" s="366">
        <f ca="1">IF(OR(ISERR(EE590),ISNA(EE590),DW590&lt;0),0,EE590)</f>
        <v>0</v>
      </c>
      <c r="EJ590" s="366">
        <f ca="1">IF(EI590=0,0,RANK(EI590,EI589:EI593,1))</f>
        <v>0</v>
      </c>
      <c r="EK590" s="366">
        <f ca="1">EJ590*40000*IF(COUNTIF($FC$589:$FC$598,DV590)&gt;0,0,1)</f>
        <v>0</v>
      </c>
      <c r="EM590" s="367">
        <f ca="1">IF($AJ$54,COUNTIF(EE595:EE599,EN589)*IF(OR(EN590=0,EN590=EN589),0,1),COUNTIF(DW589:DW593,EO590)*IF(OR(EO590=EO589,EO590&lt;0),0,1))+EP590/1000</f>
        <v>2E-3</v>
      </c>
      <c r="EN590" s="368">
        <v>0</v>
      </c>
      <c r="EO590" s="369">
        <f ca="1">LARGE(DW589:DW593,EP590)</f>
        <v>-1</v>
      </c>
      <c r="EP590" s="369">
        <v>2</v>
      </c>
      <c r="EQ590" s="365"/>
      <c r="ER590" s="370">
        <f ca="1">IF(LARGE(EM589:EM593,EP590)&lt;1,0,LARGE(EM589:EM593,EP590))</f>
        <v>0</v>
      </c>
      <c r="ES590" s="371" t="str">
        <f ca="1">IF(DW590=ES588,DV590,IF(EE596=ES588,DV596,""))</f>
        <v/>
      </c>
      <c r="ET590" s="369" t="str">
        <f ca="1">IF(ES590="","",EP590)</f>
        <v/>
      </c>
      <c r="EU590" s="372" t="str">
        <f ca="1">IF(ISERR(LARGE(ET589:ET593,EP590)),"",LARGE(ET589:ET593,EP590))</f>
        <v/>
      </c>
      <c r="EV590" s="371" t="str">
        <f ca="1">IF(DW590=EV588,DV590,IF(EE596=EV588,DV596,""))</f>
        <v/>
      </c>
      <c r="EW590" s="369" t="str">
        <f ca="1">IF(EV590="","",EP590)</f>
        <v/>
      </c>
      <c r="EX590" s="388" t="str">
        <f ca="1">IF(ISERR(LARGE(EW455:EW461,EP590)),"",LARGE(EW455:EW461,EP590))</f>
        <v/>
      </c>
      <c r="EY590" s="424"/>
      <c r="EZ590" s="424"/>
      <c r="FA590" s="424"/>
      <c r="FB590" s="424"/>
      <c r="FC590" s="366"/>
      <c r="FD590" s="425"/>
      <c r="FE590" s="333"/>
    </row>
    <row r="591" spans="86:161" x14ac:dyDescent="0.25">
      <c r="CH591" s="445"/>
      <c r="CI591" s="300"/>
      <c r="CJ591" s="300"/>
      <c r="CK591" s="300"/>
      <c r="CL591" s="449"/>
      <c r="CM591" s="445"/>
      <c r="DG591" s="445"/>
      <c r="DH591" s="445"/>
      <c r="DI591" s="464" t="str">
        <f>IF(CQ371="","",VLOOKUP(CQ371,xxx.av2,4,FALSE))</f>
        <v/>
      </c>
      <c r="DJ591" s="465" t="str">
        <f ca="1">IF(OR(DI591="",DP591="",DI591=DP591,COUNTIF(games.av,DI591&amp;DP591)=0),"",CONCATENATE(DI591,DP591))</f>
        <v/>
      </c>
      <c r="DK591" s="360" t="str">
        <f ca="1">IF($DJ591="","",CONCATENATE(VLOOKUP($DJ591,games.a,9,FALSE),VLOOKUP($DJ591,games.a,12,FALSE)))</f>
        <v/>
      </c>
      <c r="DL591" s="354" t="str">
        <f ca="1">IF($DJ591="","",VLOOKUP($DJ591,games.a,10,FALSE))</f>
        <v/>
      </c>
      <c r="DM591" s="354" t="str">
        <f ca="1">IF($DJ591="","",VLOOKUP($DJ591,games.a,13,FALSE))</f>
        <v/>
      </c>
      <c r="DN591" s="361" t="str">
        <f ca="1">IF($DJ591="","",VLOOKUP($DJ591,games.a,6,FALSE))</f>
        <v/>
      </c>
      <c r="DO591" s="362" t="str">
        <f ca="1">IF($DJ591="","",VLOOKUP($DJ591,games.a,7,FALSE))</f>
        <v/>
      </c>
      <c r="DP591" s="379" t="str">
        <f>DP590</f>
        <v/>
      </c>
      <c r="DQ591" s="302"/>
      <c r="DR591" s="364"/>
      <c r="DS591" s="445"/>
      <c r="DU591" s="424"/>
      <c r="DV591" s="366" t="str">
        <f ca="1">IF(AND($AJ$44,DI588,DP588&lt;&gt;2),DI591,"")</f>
        <v/>
      </c>
      <c r="DW591" s="366">
        <f ca="1">IF(DV591="",-1,COUNTIF(xxgy.av,DV591))</f>
        <v>-1</v>
      </c>
      <c r="DX591" s="366">
        <f ca="1">IF($DV591="",0,COUNTIF(yygy.av,$DV591))</f>
        <v>0</v>
      </c>
      <c r="DZ591" s="366">
        <f ca="1">IF($DV591="",0,1)*(SUMIF(yyo.av,$DV591,yyl.av)+SUMIF(yyi.av,$DV591,yyk.av))</f>
        <v>0</v>
      </c>
      <c r="EA591" s="366">
        <f ca="1">IF($DV591="",0,1)*(SUMIF(yyo.av,$DV591,yyk.av)+SUMIF(yyi.av,$DV591,yyl.av))</f>
        <v>0</v>
      </c>
      <c r="EC591" s="366">
        <f ca="1">IF(EA591=0,0,DZ591/EA591)</f>
        <v>0</v>
      </c>
      <c r="EE591" s="366">
        <f ca="1">DW591*1000000+DX591*1000+EC591</f>
        <v>-1000000</v>
      </c>
      <c r="EI591" s="366">
        <f ca="1">IF(OR(ISERR(EE591),ISNA(EE591),DW591&lt;0),0,EE591)</f>
        <v>0</v>
      </c>
      <c r="EJ591" s="366">
        <f ca="1">IF(EI591=0,0,RANK(EI591,EI589:EI593,1))</f>
        <v>0</v>
      </c>
      <c r="EK591" s="366">
        <f ca="1">EJ591*40000*IF(COUNTIF($FC$589:$FC$598,DV591)&gt;0,0,1)</f>
        <v>0</v>
      </c>
      <c r="EL591" s="365"/>
      <c r="EM591" s="367">
        <f ca="1">IF($AJ$54,COUNTIF(EE595:EE599,EN590)*IF(OR(EN591=0,EN591=EN590),0,1),COUNTIF(DW589:DW593,EO591)*IF(OR(EO591=EO590,EO591&lt;0),0,1))+EP591/1000</f>
        <v>3.0000000000000001E-3</v>
      </c>
      <c r="EN591" s="368">
        <v>0</v>
      </c>
      <c r="EO591" s="369">
        <f ca="1">LARGE(DW589:DW593,EP591)</f>
        <v>-1</v>
      </c>
      <c r="EP591" s="369">
        <v>3</v>
      </c>
      <c r="EQ591" s="365"/>
      <c r="ER591" s="365"/>
      <c r="ES591" s="371" t="str">
        <f ca="1">IF(DW591=ES588,DV591,IF(EE597=ES588,DV597,""))</f>
        <v/>
      </c>
      <c r="ET591" s="369" t="str">
        <f ca="1">IF(ES591="","",EP591)</f>
        <v/>
      </c>
      <c r="EU591" s="388" t="str">
        <f ca="1">IF(ISERR(LARGE(ET589:ET593,EP591)),"",LARGE(ET589:ET593,EP591))</f>
        <v/>
      </c>
      <c r="EV591" s="371" t="str">
        <f ca="1">IF(DW591=EV588,DV591,IF(EE597=EV588,DV597,""))</f>
        <v/>
      </c>
      <c r="EW591" s="369" t="str">
        <f ca="1">IF(EV591="","",EP591)</f>
        <v/>
      </c>
      <c r="EX591" s="386"/>
      <c r="EY591" s="424"/>
      <c r="EZ591" s="424"/>
      <c r="FA591" s="424"/>
      <c r="FB591" s="424"/>
      <c r="FC591" s="366"/>
      <c r="FD591" s="425"/>
      <c r="FE591" s="333"/>
    </row>
    <row r="592" spans="86:161" x14ac:dyDescent="0.25">
      <c r="CH592" s="445"/>
      <c r="CI592" s="300"/>
      <c r="CJ592" s="300"/>
      <c r="CK592" s="300"/>
      <c r="CL592" s="449"/>
      <c r="CM592" s="445"/>
      <c r="DG592" s="445"/>
      <c r="DH592" s="445"/>
      <c r="DI592" s="464" t="str">
        <f>IF(CQ372="","",VLOOKUP(CQ372,xxx.av2,4,FALSE))</f>
        <v/>
      </c>
      <c r="DJ592" s="465" t="str">
        <f ca="1">IF(OR(DI592="",DP592="",DI592=DP592,COUNTIF(games.av,DI592&amp;DP592)=0),"",CONCATENATE(DI592,DP592))</f>
        <v/>
      </c>
      <c r="DK592" s="360" t="str">
        <f ca="1">IF($DJ592="","",CONCATENATE(VLOOKUP($DJ592,games.a,9,FALSE),VLOOKUP($DJ592,games.a,12,FALSE)))</f>
        <v/>
      </c>
      <c r="DL592" s="354" t="str">
        <f ca="1">IF($DJ592="","",VLOOKUP($DJ592,games.a,10,FALSE))</f>
        <v/>
      </c>
      <c r="DM592" s="354" t="str">
        <f ca="1">IF($DJ592="","",VLOOKUP($DJ592,games.a,13,FALSE))</f>
        <v/>
      </c>
      <c r="DN592" s="361" t="str">
        <f ca="1">IF($DJ592="","",VLOOKUP($DJ592,games.a,6,FALSE))</f>
        <v/>
      </c>
      <c r="DO592" s="362" t="str">
        <f ca="1">IF($DJ592="","",VLOOKUP($DJ592,games.a,7,FALSE))</f>
        <v/>
      </c>
      <c r="DP592" s="379" t="str">
        <f>DP591</f>
        <v/>
      </c>
      <c r="DQ592" s="302"/>
      <c r="DR592" s="364"/>
      <c r="DS592" s="445"/>
      <c r="DU592" s="424"/>
      <c r="DV592" s="366" t="str">
        <f ca="1">IF(AND($AJ$44,DI588,DP588&lt;&gt;2),DI592,"")</f>
        <v/>
      </c>
      <c r="DW592" s="366">
        <f ca="1">IF(DV592="",-1,COUNTIF(xxgy.av,DV592))</f>
        <v>-1</v>
      </c>
      <c r="DX592" s="366">
        <f ca="1">IF($DV592="",0,COUNTIF(yygy.av,$DV592))</f>
        <v>0</v>
      </c>
      <c r="DZ592" s="366">
        <f ca="1">IF($DV592="",0,1)*(SUMIF(yyo.av,$DV592,yyl.av)+SUMIF(yyi.av,$DV592,yyk.av))</f>
        <v>0</v>
      </c>
      <c r="EA592" s="366">
        <f ca="1">IF($DV592="",0,1)*(SUMIF(yyo.av,$DV592,yyk.av)+SUMIF(yyi.av,$DV592,yyl.av))</f>
        <v>0</v>
      </c>
      <c r="EC592" s="366">
        <f ca="1">IF(EA592=0,0,DZ592/EA592)</f>
        <v>0</v>
      </c>
      <c r="EE592" s="366">
        <f ca="1">DW592*1000000+DX592*1000+EC592</f>
        <v>-1000000</v>
      </c>
      <c r="EI592" s="366">
        <f ca="1">IF(OR(ISERR(EE592),ISNA(EE592),DW592&lt;0),0,EE592)</f>
        <v>0</v>
      </c>
      <c r="EJ592" s="366">
        <f ca="1">IF(EI592=0,0,RANK(EI592,EI589:EI593,1))</f>
        <v>0</v>
      </c>
      <c r="EK592" s="366">
        <f ca="1">EJ592*40000*IF(COUNTIF($FC$589:$FC$598,DV592)&gt;0,0,1)</f>
        <v>0</v>
      </c>
      <c r="EL592" s="365"/>
      <c r="EM592" s="367">
        <f ca="1">IF($AJ$54,COUNTIF(EE595:EE599,EN591)*IF(OR(EN592=0,EN592=EN591),0,1),COUNTIF(DW589:DW593,EO592)*IF(OR(EO592=EO591,EO592&lt;0),0,1))+EP592/1000</f>
        <v>4.0000000000000001E-3</v>
      </c>
      <c r="EN592" s="368">
        <v>0</v>
      </c>
      <c r="EO592" s="369">
        <f ca="1">LARGE(DW589:DW593,EP592)</f>
        <v>-1</v>
      </c>
      <c r="EP592" s="369">
        <v>4</v>
      </c>
      <c r="EQ592" s="365"/>
      <c r="ER592" s="365"/>
      <c r="ES592" s="371" t="str">
        <f ca="1">IF(DW592=ES588,DV592,IF(EE598=ES588,DV598,""))</f>
        <v/>
      </c>
      <c r="ET592" s="369" t="str">
        <f ca="1">IF(ES592="","",EP592)</f>
        <v/>
      </c>
      <c r="EU592" s="365"/>
      <c r="EV592" s="371" t="str">
        <f ca="1">IF(DW592=EV588,DV592,IF(EE598=EV588,DV598,""))</f>
        <v/>
      </c>
      <c r="EW592" s="369" t="str">
        <f ca="1">IF(EV592="","",EP592)</f>
        <v/>
      </c>
      <c r="EX592" s="386"/>
      <c r="EY592" s="424"/>
      <c r="EZ592" s="424"/>
      <c r="FA592" s="424"/>
      <c r="FB592" s="424"/>
      <c r="FC592" s="366"/>
      <c r="FD592" s="425"/>
      <c r="FE592" s="333"/>
    </row>
    <row r="593" spans="86:161" x14ac:dyDescent="0.25">
      <c r="CH593" s="445"/>
      <c r="CI593" s="300"/>
      <c r="CJ593" s="300"/>
      <c r="CK593" s="300"/>
      <c r="CL593" s="449"/>
      <c r="CM593" s="445"/>
      <c r="DG593" s="445"/>
      <c r="DH593" s="445"/>
      <c r="DI593" s="464" t="str">
        <f>IF(CQ373="","",VLOOKUP(CQ373,xxx.av2,4,FALSE))</f>
        <v/>
      </c>
      <c r="DJ593" s="465" t="str">
        <f ca="1">IF(OR(DI593="",DP593="",DI593=DP593,COUNTIF(games.av,DI593&amp;DP593)=0),"",CONCATENATE(DI593,DP593))</f>
        <v/>
      </c>
      <c r="DK593" s="360" t="str">
        <f ca="1">IF($DJ593="","",CONCATENATE(VLOOKUP($DJ593,games.a,9,FALSE),VLOOKUP($DJ593,games.a,12,FALSE)))</f>
        <v/>
      </c>
      <c r="DL593" s="354" t="str">
        <f ca="1">IF($DJ593="","",VLOOKUP($DJ593,games.a,10,FALSE))</f>
        <v/>
      </c>
      <c r="DM593" s="354" t="str">
        <f ca="1">IF($DJ593="","",VLOOKUP($DJ593,games.a,13,FALSE))</f>
        <v/>
      </c>
      <c r="DN593" s="361" t="str">
        <f ca="1">IF($DJ593="","",VLOOKUP($DJ593,games.a,6,FALSE))</f>
        <v/>
      </c>
      <c r="DO593" s="362" t="str">
        <f ca="1">IF($DJ593="","",VLOOKUP($DJ593,games.a,7,FALSE))</f>
        <v/>
      </c>
      <c r="DP593" s="379" t="str">
        <f>DP592</f>
        <v/>
      </c>
      <c r="DQ593" s="302"/>
      <c r="DR593" s="364"/>
      <c r="DS593" s="445"/>
      <c r="DU593" s="424"/>
      <c r="DV593" s="366" t="str">
        <f ca="1">IF(AND($AJ$44,DI588,DP588&lt;&gt;2),DI593,"")</f>
        <v/>
      </c>
      <c r="DW593" s="366">
        <f ca="1">IF(DV593="",-1,COUNTIF(xxgy.av,DV593))</f>
        <v>-1</v>
      </c>
      <c r="DX593" s="366">
        <f ca="1">IF($DV593="",0,COUNTIF(yygy.av,$DV593))</f>
        <v>0</v>
      </c>
      <c r="DZ593" s="366">
        <f ca="1">IF($DV593="",0,1)*(SUMIF(yyo.av,$DV593,yyl.av)+SUMIF(yyi.av,$DV593,yyk.av))</f>
        <v>0</v>
      </c>
      <c r="EA593" s="366">
        <f ca="1">IF($DV593="",0,1)*(SUMIF(yyo.av,$DV593,yyk.av)+SUMIF(yyi.av,$DV593,yyl.av))</f>
        <v>0</v>
      </c>
      <c r="EC593" s="366">
        <f ca="1">IF(EA593=0,0,DZ593/EA593)</f>
        <v>0</v>
      </c>
      <c r="EE593" s="366">
        <f ca="1">DW593*1000000+DX593*1000+EC593</f>
        <v>-1000000</v>
      </c>
      <c r="EI593" s="366">
        <f ca="1">IF(OR(ISERR(EE593),ISNA(EE593),DW593&lt;0),0,EE593)</f>
        <v>0</v>
      </c>
      <c r="EJ593" s="366">
        <f ca="1">IF(EI593=0,0,RANK(EI593,EI589:EI593,1))</f>
        <v>0</v>
      </c>
      <c r="EK593" s="366">
        <f ca="1">EJ593*40000*IF(COUNTIF($FC$589:$FC$598,DV593)&gt;0,0,1)</f>
        <v>0</v>
      </c>
      <c r="EL593" s="365"/>
      <c r="EM593" s="367">
        <f ca="1">IF($AJ$54,COUNTIF(EE595:EE599,EN592)*IF(OR(EN593=0,EN593=EN592),0,1),COUNTIF(DW589:DW593,EO593)*IF(OR(EO593=EO592,EO593&lt;0),0,1))+EP593/1000</f>
        <v>5.0000000000000001E-3</v>
      </c>
      <c r="EN593" s="368">
        <v>0</v>
      </c>
      <c r="EO593" s="369">
        <f ca="1">LARGE(DW589:DW593,EP593)</f>
        <v>-1</v>
      </c>
      <c r="EP593" s="369">
        <v>5</v>
      </c>
      <c r="EQ593" s="365"/>
      <c r="ER593" s="365"/>
      <c r="ES593" s="371" t="str">
        <f ca="1">IF(DW593=ES588,DV593,IF(EE599=ES588,DV599,""))</f>
        <v/>
      </c>
      <c r="ET593" s="369" t="str">
        <f ca="1">IF(ES593="","",EP593)</f>
        <v/>
      </c>
      <c r="EU593" s="451"/>
      <c r="EV593" s="371" t="str">
        <f ca="1">IF(DW593=EV588,DV593,IF(EE599=EV588,DV599,""))</f>
        <v/>
      </c>
      <c r="EW593" s="369" t="str">
        <f ca="1">IF(EV593="","",EP593)</f>
        <v/>
      </c>
      <c r="EX593" s="391"/>
      <c r="EY593" s="424"/>
      <c r="EZ593" s="424"/>
      <c r="FA593" s="424"/>
      <c r="FB593" s="424"/>
      <c r="FC593" s="366"/>
      <c r="FD593" s="425"/>
      <c r="FE593" s="333"/>
    </row>
    <row r="594" spans="86:161" x14ac:dyDescent="0.25">
      <c r="CH594" s="445"/>
      <c r="CI594" s="300"/>
      <c r="CJ594" s="300"/>
      <c r="CK594" s="300"/>
      <c r="CL594" s="449"/>
      <c r="CM594" s="445"/>
      <c r="DG594" s="445"/>
      <c r="DH594" s="445"/>
      <c r="DI594" s="301"/>
      <c r="DJ594" s="458" t="s">
        <v>157</v>
      </c>
      <c r="DK594" s="458" t="s">
        <v>158</v>
      </c>
      <c r="DL594" s="459" t="s">
        <v>159</v>
      </c>
      <c r="DM594" s="459"/>
      <c r="DN594" s="460" t="s">
        <v>160</v>
      </c>
      <c r="DO594" s="459" t="s">
        <v>135</v>
      </c>
      <c r="DP594" s="302"/>
      <c r="DQ594" s="302"/>
      <c r="DR594" s="364"/>
      <c r="DS594" s="445"/>
      <c r="DU594" s="424"/>
      <c r="DV594" s="329" t="s">
        <v>229</v>
      </c>
      <c r="DW594" s="365"/>
      <c r="DX594" s="329" t="s">
        <v>152</v>
      </c>
      <c r="DY594" s="329" t="s">
        <v>153</v>
      </c>
      <c r="DZ594" s="329" t="s">
        <v>154</v>
      </c>
      <c r="EA594" s="329" t="s">
        <v>155</v>
      </c>
      <c r="EB594" s="329" t="s">
        <v>125</v>
      </c>
      <c r="EC594" s="329" t="s">
        <v>226</v>
      </c>
      <c r="ED594" s="329" t="s">
        <v>126</v>
      </c>
      <c r="EE594" s="329" t="s">
        <v>227</v>
      </c>
      <c r="EF594" s="330" t="s">
        <v>154</v>
      </c>
      <c r="EG594" s="330" t="s">
        <v>155</v>
      </c>
      <c r="EH594" s="330" t="s">
        <v>125</v>
      </c>
      <c r="EI594" s="329" t="s">
        <v>228</v>
      </c>
      <c r="EJ594" s="329" t="s">
        <v>156</v>
      </c>
      <c r="EK594" s="329" t="s">
        <v>208</v>
      </c>
      <c r="EL594" s="365"/>
      <c r="EM594" s="365"/>
      <c r="EN594" s="365"/>
      <c r="EO594" s="365"/>
      <c r="EP594" s="365"/>
      <c r="EQ594" s="365"/>
      <c r="ER594" s="365"/>
      <c r="ES594" s="365"/>
      <c r="ET594" s="365"/>
      <c r="EU594" s="365"/>
      <c r="EV594" s="365"/>
      <c r="EW594" s="365"/>
      <c r="EX594" s="365"/>
      <c r="EY594" s="424"/>
      <c r="EZ594" s="424"/>
      <c r="FA594" s="424"/>
      <c r="FB594" s="424"/>
      <c r="FC594" s="366"/>
      <c r="FD594" s="425"/>
      <c r="FE594" s="333"/>
    </row>
    <row r="595" spans="86:161" x14ac:dyDescent="0.25">
      <c r="CH595" s="445"/>
      <c r="CI595" s="300"/>
      <c r="CJ595" s="300"/>
      <c r="CK595" s="300"/>
      <c r="CL595" s="449"/>
      <c r="CM595" s="445"/>
      <c r="DG595" s="445"/>
      <c r="DH595" s="445"/>
      <c r="DI595" s="395" t="str">
        <f>DI589</f>
        <v/>
      </c>
      <c r="DJ595" s="465" t="str">
        <f ca="1">IF(OR(DI595="",DP595="",DI595=DP595,COUNTIF(games.av,DI595&amp;DP595)=0),"",CONCATENATE(DI595,DP595))</f>
        <v/>
      </c>
      <c r="DK595" s="360" t="str">
        <f ca="1">IF($DJ595="","",CONCATENATE(VLOOKUP($DJ595,games.a,9,FALSE),VLOOKUP($DJ595,games.a,12,FALSE)))</f>
        <v/>
      </c>
      <c r="DL595" s="354" t="str">
        <f ca="1">IF($DJ595="","",VLOOKUP($DJ595,games.a,10,FALSE))</f>
        <v/>
      </c>
      <c r="DM595" s="354" t="str">
        <f ca="1">IF($DJ595="","",VLOOKUP($DJ595,games.a,13,FALSE))</f>
        <v/>
      </c>
      <c r="DN595" s="361" t="str">
        <f ca="1">IF($DJ595="","",VLOOKUP($DJ595,games.a,6,FALSE))</f>
        <v/>
      </c>
      <c r="DO595" s="362" t="str">
        <f ca="1">IF($DJ595="","",VLOOKUP($DJ595,games.a,7,FALSE))</f>
        <v/>
      </c>
      <c r="DP595" s="466" t="str">
        <f>DI590</f>
        <v/>
      </c>
      <c r="DQ595" s="302"/>
      <c r="DR595" s="364"/>
      <c r="DS595" s="445"/>
      <c r="DU595" s="424"/>
      <c r="DV595" s="366" t="str">
        <f ca="1">IF(OR(NOT($AJ$44),AND(DI588,DV589="")),DI589,"")</f>
        <v/>
      </c>
      <c r="DW595" s="365"/>
      <c r="DX595" s="366">
        <f ca="1">IF($DV595="",0,COUNTIF(xxgy.av,$DV595))</f>
        <v>0</v>
      </c>
      <c r="DY595" s="366">
        <f ca="1">IF($DV595="",0,COUNTIF(xxd.av,$DV595))</f>
        <v>0</v>
      </c>
      <c r="DZ595" s="366">
        <f ca="1">IF($DV595="",0,1)*(SUMIF(xxo.av,$DV595,xxl.av)+SUMIF(xxi.av,$DV595,xxk.av))</f>
        <v>0</v>
      </c>
      <c r="EA595" s="366">
        <f ca="1">IF($DV595="",0,1)*(SUMIF(xxo.av,$DV595,xxk.av)+SUMIF(xxi.av,$DV595,xxl.av))</f>
        <v>0</v>
      </c>
      <c r="EB595" s="366">
        <f ca="1">DZ595-EA595</f>
        <v>0</v>
      </c>
      <c r="EC595" s="366">
        <f ca="1">IF(EA595=0,0,DZ595/EA595)</f>
        <v>0</v>
      </c>
      <c r="ED595" s="366">
        <f ca="1">$AJ$48*DX595+IF($AJ$44,0,1)*DY595</f>
        <v>0</v>
      </c>
      <c r="EE595" s="396">
        <f ca="1">ED595*1000000+IF($AJ$44,EC595,EB595)*1000*0</f>
        <v>0</v>
      </c>
      <c r="EF595" s="366">
        <f ca="1">IF($DV595="",0,1)*(SUMIF(yyo.av,$DV595,yyl.av)+SUMIF(yyi.av,$DV595,yyk.av))</f>
        <v>0</v>
      </c>
      <c r="EG595" s="366">
        <f ca="1">IF($DV595="",0,1)*(SUMIF(yyo.av,$DV595,yyk.av)+SUMIF(yyi.av,$DV595,yyl.av))</f>
        <v>0</v>
      </c>
      <c r="EH595" s="366">
        <f ca="1">EF595-EG595</f>
        <v>0</v>
      </c>
      <c r="EI595" s="366">
        <f ca="1">IF(OR(ISERR(EE595),ISNA(EE595)),0,EE595)+IF($AJ$54,EH595,0)</f>
        <v>0</v>
      </c>
      <c r="EJ595" s="366">
        <f ca="1">IF(EI595=0,0,RANK(EI595,EI595:EI599,1))</f>
        <v>0</v>
      </c>
      <c r="EK595" s="366">
        <f ca="1">EJ595*40000*IF(COUNTIF($FC$589:$FC$598,DV595)&gt;0,0,1)</f>
        <v>0</v>
      </c>
      <c r="EL595" s="365"/>
      <c r="EM595" s="365"/>
      <c r="EN595" s="365"/>
      <c r="EO595" s="365"/>
      <c r="EP595" s="365"/>
      <c r="EQ595" s="365"/>
      <c r="ER595" s="365"/>
      <c r="ES595" s="365"/>
      <c r="ET595" s="365"/>
      <c r="EU595" s="365"/>
      <c r="EV595" s="365"/>
      <c r="EW595" s="365"/>
      <c r="EX595" s="365"/>
      <c r="EY595" s="365"/>
      <c r="EZ595" s="365"/>
      <c r="FA595" s="365"/>
      <c r="FB595" s="424"/>
      <c r="FC595" s="366"/>
      <c r="FD595" s="425"/>
      <c r="FE595" s="333"/>
    </row>
    <row r="596" spans="86:161" x14ac:dyDescent="0.25">
      <c r="CH596" s="445"/>
      <c r="CI596" s="300"/>
      <c r="CJ596" s="300"/>
      <c r="CK596" s="300"/>
      <c r="CL596" s="449"/>
      <c r="CM596" s="445"/>
      <c r="DG596" s="445"/>
      <c r="DH596" s="445"/>
      <c r="DI596" s="395" t="str">
        <f>DI590</f>
        <v/>
      </c>
      <c r="DJ596" s="465" t="str">
        <f ca="1">IF(OR(DI596="",DP596="",DI596=DP596,COUNTIF(games.av,DI596&amp;DP596)=0),"",CONCATENATE(DI596,DP596))</f>
        <v/>
      </c>
      <c r="DK596" s="360" t="str">
        <f ca="1">IF($DJ596="","",CONCATENATE(VLOOKUP($DJ596,games.a,9,FALSE),VLOOKUP($DJ596,games.a,12,FALSE)))</f>
        <v/>
      </c>
      <c r="DL596" s="354" t="str">
        <f ca="1">IF($DJ596="","",VLOOKUP($DJ596,games.a,10,FALSE))</f>
        <v/>
      </c>
      <c r="DM596" s="354" t="str">
        <f ca="1">IF($DJ596="","",VLOOKUP($DJ596,games.a,13,FALSE))</f>
        <v/>
      </c>
      <c r="DN596" s="361" t="str">
        <f ca="1">IF($DJ596="","",VLOOKUP($DJ596,games.a,6,FALSE))</f>
        <v/>
      </c>
      <c r="DO596" s="362" t="str">
        <f ca="1">IF($DJ596="","",VLOOKUP($DJ596,games.a,7,FALSE))</f>
        <v/>
      </c>
      <c r="DP596" s="379" t="str">
        <f>DP595</f>
        <v/>
      </c>
      <c r="DQ596" s="302"/>
      <c r="DR596" s="364"/>
      <c r="DS596" s="445"/>
      <c r="DU596" s="424"/>
      <c r="DV596" s="366" t="str">
        <f ca="1">IF(OR(NOT($AJ$44),AND(DI588,DV590="")),DI590,"")</f>
        <v/>
      </c>
      <c r="DW596" s="365"/>
      <c r="DX596" s="366">
        <f ca="1">IF($DV596="",0,COUNTIF(xxgy.av,$DV596))</f>
        <v>0</v>
      </c>
      <c r="DY596" s="366">
        <f ca="1">IF($DV596="",0,COUNTIF(xxd.av,$DV596))</f>
        <v>0</v>
      </c>
      <c r="DZ596" s="366">
        <f ca="1">IF($DV596="",0,1)*(SUMIF(xxo.av,$DV596,xxl.av)+SUMIF(xxi.av,$DV596,xxk.av))</f>
        <v>0</v>
      </c>
      <c r="EA596" s="366">
        <f ca="1">IF($DV596="",0,1)*(SUMIF(xxo.av,$DV596,xxk.av)+SUMIF(xxi.av,$DV596,xxl.av))</f>
        <v>0</v>
      </c>
      <c r="EB596" s="366">
        <f ca="1">DZ596-EA596</f>
        <v>0</v>
      </c>
      <c r="EC596" s="366">
        <f ca="1">IF(EA596=0,0,DZ596/EA596)</f>
        <v>0</v>
      </c>
      <c r="ED596" s="366">
        <f ca="1">$AJ$48*DX596+IF($AJ$44,0,1)*DY596</f>
        <v>0</v>
      </c>
      <c r="EE596" s="396">
        <f ca="1">ED596*1000000+IF($AJ$44,EC596,EB596)*1000*0</f>
        <v>0</v>
      </c>
      <c r="EF596" s="366">
        <f ca="1">IF($DV596="",0,1)*(SUMIF(yyo.av,$DV596,yyl.av)+SUMIF(yyi.av,$DV596,yyk.av))</f>
        <v>0</v>
      </c>
      <c r="EG596" s="366">
        <f ca="1">IF($DV596="",0,1)*(SUMIF(yyo.av,$DV596,yyk.av)+SUMIF(yyi.av,$DV596,yyl.av))</f>
        <v>0</v>
      </c>
      <c r="EH596" s="366">
        <f ca="1">EF596-EG596</f>
        <v>0</v>
      </c>
      <c r="EI596" s="366">
        <f ca="1">IF(OR(ISERR(EE596),ISNA(EE596)),0,EE596)+IF($AJ$54,EH596,0)</f>
        <v>0</v>
      </c>
      <c r="EJ596" s="366">
        <f ca="1">IF(EI596=0,0,RANK(EI596,EI595:EI599,1))</f>
        <v>0</v>
      </c>
      <c r="EK596" s="366">
        <f ca="1">EJ596*40000*IF(COUNTIF($FC$589:$FC$598,DV596)&gt;0,0,1)</f>
        <v>0</v>
      </c>
      <c r="EL596" s="365"/>
      <c r="EM596" s="365"/>
      <c r="EN596" s="365"/>
      <c r="EO596" s="365"/>
      <c r="EP596" s="365"/>
      <c r="EQ596" s="365"/>
      <c r="ER596" s="398"/>
      <c r="ES596" s="329" t="s">
        <v>157</v>
      </c>
      <c r="ET596" s="329" t="s">
        <v>158</v>
      </c>
      <c r="EU596" s="399"/>
      <c r="EV596" s="400"/>
      <c r="EW596" s="401" t="s">
        <v>160</v>
      </c>
      <c r="EX596" s="402" t="s">
        <v>135</v>
      </c>
      <c r="EY596" s="403">
        <f ca="1">COUNT(EU589:EU591)</f>
        <v>0</v>
      </c>
      <c r="EZ596" s="365"/>
      <c r="FA596" s="365"/>
      <c r="FB596" s="424"/>
      <c r="FC596" s="366"/>
      <c r="FD596" s="425"/>
      <c r="FE596" s="333"/>
    </row>
    <row r="597" spans="86:161" x14ac:dyDescent="0.25">
      <c r="CH597" s="445"/>
      <c r="CI597" s="300"/>
      <c r="CJ597" s="300"/>
      <c r="CK597" s="300"/>
      <c r="CL597" s="449"/>
      <c r="CM597" s="445"/>
      <c r="DG597" s="445"/>
      <c r="DH597" s="445"/>
      <c r="DI597" s="395" t="str">
        <f>DI591</f>
        <v/>
      </c>
      <c r="DJ597" s="465" t="str">
        <f ca="1">IF(OR(DI597="",DP597="",DI597=DP597,COUNTIF(games.av,DI597&amp;DP597)=0),"",CONCATENATE(DI597,DP597))</f>
        <v/>
      </c>
      <c r="DK597" s="360" t="str">
        <f ca="1">IF($DJ597="","",CONCATENATE(VLOOKUP($DJ597,games.a,9,FALSE),VLOOKUP($DJ597,games.a,12,FALSE)))</f>
        <v/>
      </c>
      <c r="DL597" s="354" t="str">
        <f ca="1">IF($DJ597="","",VLOOKUP($DJ597,games.a,10,FALSE))</f>
        <v/>
      </c>
      <c r="DM597" s="354" t="str">
        <f ca="1">IF($DJ597="","",VLOOKUP($DJ597,games.a,13,FALSE))</f>
        <v/>
      </c>
      <c r="DN597" s="361" t="str">
        <f ca="1">IF($DJ597="","",VLOOKUP($DJ597,games.a,6,FALSE))</f>
        <v/>
      </c>
      <c r="DO597" s="362" t="str">
        <f ca="1">IF($DJ597="","",VLOOKUP($DJ597,games.a,7,FALSE))</f>
        <v/>
      </c>
      <c r="DP597" s="379" t="str">
        <f>DP596</f>
        <v/>
      </c>
      <c r="DQ597" s="302"/>
      <c r="DR597" s="364"/>
      <c r="DS597" s="445"/>
      <c r="DU597" s="424"/>
      <c r="DV597" s="366" t="str">
        <f ca="1">IF(OR(NOT($AJ$44),AND(DI588,DV591="")),DI591,"")</f>
        <v/>
      </c>
      <c r="DW597" s="365"/>
      <c r="DX597" s="366">
        <f ca="1">IF($DV597="",0,COUNTIF(xxgy.av,$DV597))</f>
        <v>0</v>
      </c>
      <c r="DY597" s="366">
        <f ca="1">IF($DV597="",0,COUNTIF(xxd.av,$DV597))</f>
        <v>0</v>
      </c>
      <c r="DZ597" s="366">
        <f ca="1">IF($DV597="",0,1)*(SUMIF(xxo.av,$DV597,xxl.av)+SUMIF(xxi.av,$DV597,xxk.av))</f>
        <v>0</v>
      </c>
      <c r="EA597" s="366">
        <f ca="1">IF($DV597="",0,1)*(SUMIF(xxo.av,$DV597,xxk.av)+SUMIF(xxi.av,$DV597,xxl.av))</f>
        <v>0</v>
      </c>
      <c r="EB597" s="366">
        <f ca="1">DZ597-EA597</f>
        <v>0</v>
      </c>
      <c r="EC597" s="366">
        <f ca="1">IF(EA597=0,0,DZ597/EA597)</f>
        <v>0</v>
      </c>
      <c r="ED597" s="366">
        <f ca="1">$AJ$48*DX597+IF($AJ$44,0,1)*DY597</f>
        <v>0</v>
      </c>
      <c r="EE597" s="396">
        <f ca="1">ED597*1000000+IF($AJ$44,EC597,EB597)*1000*0</f>
        <v>0</v>
      </c>
      <c r="EF597" s="366">
        <f ca="1">IF($DV597="",0,1)*(SUMIF(yyo.av,$DV597,yyl.av)+SUMIF(yyi.av,$DV597,yyk.av))</f>
        <v>0</v>
      </c>
      <c r="EG597" s="366">
        <f ca="1">IF($DV597="",0,1)*(SUMIF(yyo.av,$DV597,yyk.av)+SUMIF(yyi.av,$DV597,yyl.av))</f>
        <v>0</v>
      </c>
      <c r="EH597" s="366">
        <f ca="1">EF597-EG597</f>
        <v>0</v>
      </c>
      <c r="EI597" s="366">
        <f ca="1">IF(OR(ISERR(EE597),ISNA(EE597)),0,EE597)+IF($AJ$54,EH597,0)</f>
        <v>0</v>
      </c>
      <c r="EJ597" s="366">
        <f ca="1">IF(EI597=0,0,RANK(EI597,EI595:EI599,1))</f>
        <v>0</v>
      </c>
      <c r="EK597" s="366">
        <f ca="1">EJ597*40000*IF(COUNTIF($FC$589:$FC$598,DV597)&gt;0,0,1)</f>
        <v>0</v>
      </c>
      <c r="EL597" s="365"/>
      <c r="EM597" s="365"/>
      <c r="EN597" s="365"/>
      <c r="EO597" s="365"/>
      <c r="EP597" s="365"/>
      <c r="EQ597" s="365"/>
      <c r="ER597" s="404" t="str">
        <f ca="1">IF(EU589="","",VLOOKUP(EU589,yyy.av2,4,FALSE))</f>
        <v/>
      </c>
      <c r="ES597" s="371" t="str">
        <f ca="1">IF(OR(ER597="",EY597="",ER597=EY597),"",CONCATENATE(ER597,EY597))</f>
        <v/>
      </c>
      <c r="ET597" s="422" t="str">
        <f ca="1">IF(OR(ES597="",EY596&gt;2),"",CONCATENATE(VLOOKUP(ES597,games.a,9,FALSE),VLOOKUP(ES597,games.a,12,FALSE)))</f>
        <v/>
      </c>
      <c r="EU597" s="406"/>
      <c r="EV597" s="407"/>
      <c r="EW597" s="423" t="str">
        <f ca="1">IF(ES597="","",VLOOKUP(ES597,games.a,6,FALSE))</f>
        <v/>
      </c>
      <c r="EX597" s="409" t="str">
        <f ca="1">IF(ES597="","",VLOOKUP(ES597,games.a,7,FALSE))</f>
        <v/>
      </c>
      <c r="EY597" s="410" t="str">
        <f ca="1">ER597</f>
        <v/>
      </c>
      <c r="EZ597" s="411"/>
      <c r="FA597" s="412"/>
      <c r="FB597" s="424"/>
      <c r="FC597" s="366"/>
      <c r="FD597" s="425"/>
      <c r="FE597" s="333"/>
    </row>
    <row r="598" spans="86:161" x14ac:dyDescent="0.25">
      <c r="CH598" s="445"/>
      <c r="CI598" s="300"/>
      <c r="CJ598" s="300"/>
      <c r="CK598" s="300"/>
      <c r="CL598" s="449"/>
      <c r="CM598" s="445"/>
      <c r="DG598" s="445"/>
      <c r="DH598" s="445"/>
      <c r="DI598" s="395" t="str">
        <f>DI592</f>
        <v/>
      </c>
      <c r="DJ598" s="465" t="str">
        <f ca="1">IF(OR(DI598="",DP598="",DI598=DP598,COUNTIF(games.av,DI598&amp;DP598)=0),"",CONCATENATE(DI598,DP598))</f>
        <v/>
      </c>
      <c r="DK598" s="360" t="str">
        <f ca="1">IF($DJ598="","",CONCATENATE(VLOOKUP($DJ598,games.a,9,FALSE),VLOOKUP($DJ598,games.a,12,FALSE)))</f>
        <v/>
      </c>
      <c r="DL598" s="354" t="str">
        <f ca="1">IF($DJ598="","",VLOOKUP($DJ598,games.a,10,FALSE))</f>
        <v/>
      </c>
      <c r="DM598" s="354" t="str">
        <f ca="1">IF($DJ598="","",VLOOKUP($DJ598,games.a,13,FALSE))</f>
        <v/>
      </c>
      <c r="DN598" s="361" t="str">
        <f ca="1">IF($DJ598="","",VLOOKUP($DJ598,games.a,6,FALSE))</f>
        <v/>
      </c>
      <c r="DO598" s="362" t="str">
        <f ca="1">IF($DJ598="","",VLOOKUP($DJ598,games.a,7,FALSE))</f>
        <v/>
      </c>
      <c r="DP598" s="379" t="str">
        <f>DP597</f>
        <v/>
      </c>
      <c r="DQ598" s="302"/>
      <c r="DR598" s="364"/>
      <c r="DS598" s="445"/>
      <c r="DU598" s="424"/>
      <c r="DV598" s="366" t="str">
        <f ca="1">IF(OR(NOT($AJ$44),AND(DI588,DV592="")),DI592,"")</f>
        <v/>
      </c>
      <c r="DW598" s="365"/>
      <c r="DX598" s="366">
        <f ca="1">IF($DV598="",0,COUNTIF(xxgy.av,$DV598))</f>
        <v>0</v>
      </c>
      <c r="DY598" s="366">
        <f ca="1">IF($DV598="",0,COUNTIF(xxd.av,$DV598))</f>
        <v>0</v>
      </c>
      <c r="DZ598" s="366">
        <f ca="1">IF($DV598="",0,1)*(SUMIF(xxo.av,$DV598,xxl.av)+SUMIF(xxi.av,$DV598,xxk.av))</f>
        <v>0</v>
      </c>
      <c r="EA598" s="366">
        <f ca="1">IF($DV598="",0,1)*(SUMIF(xxo.av,$DV598,xxk.av)+SUMIF(xxi.av,$DV598,xxl.av))</f>
        <v>0</v>
      </c>
      <c r="EB598" s="366">
        <f ca="1">DZ598-EA598</f>
        <v>0</v>
      </c>
      <c r="EC598" s="366">
        <f ca="1">IF(EA598=0,0,DZ598/EA598)</f>
        <v>0</v>
      </c>
      <c r="ED598" s="366">
        <f ca="1">$AJ$48*DX598+IF($AJ$44,0,1)*DY598</f>
        <v>0</v>
      </c>
      <c r="EE598" s="396">
        <f ca="1">ED598*1000000+IF($AJ$44,EC598,EB598)*1000*0</f>
        <v>0</v>
      </c>
      <c r="EF598" s="366">
        <f ca="1">IF($DV598="",0,1)*(SUMIF(yyo.av,$DV598,yyl.av)+SUMIF(yyi.av,$DV598,yyk.av))</f>
        <v>0</v>
      </c>
      <c r="EG598" s="366">
        <f ca="1">IF($DV598="",0,1)*(SUMIF(yyo.av,$DV598,yyk.av)+SUMIF(yyi.av,$DV598,yyl.av))</f>
        <v>0</v>
      </c>
      <c r="EH598" s="366">
        <f ca="1">EF598-EG598</f>
        <v>0</v>
      </c>
      <c r="EI598" s="366">
        <f ca="1">IF(OR(ISERR(EE598),ISNA(EE598)),0,EE598)+IF($AJ$54,EH598,0)</f>
        <v>0</v>
      </c>
      <c r="EJ598" s="366">
        <f ca="1">IF(EI598=0,0,RANK(EI598,EI595:EI599,1))</f>
        <v>0</v>
      </c>
      <c r="EK598" s="366">
        <f ca="1">EJ598*40000*IF(COUNTIF($FC$589:$FC$598,DV598)&gt;0,0,1)</f>
        <v>0</v>
      </c>
      <c r="EL598" s="365"/>
      <c r="EM598" s="365"/>
      <c r="EN598" s="365"/>
      <c r="EO598" s="365"/>
      <c r="EP598" s="365"/>
      <c r="EQ598" s="365"/>
      <c r="ER598" s="404" t="str">
        <f ca="1">IF(EU590="","",VLOOKUP(EU590,yyy.av2,4,FALSE))</f>
        <v/>
      </c>
      <c r="ES598" s="371" t="str">
        <f ca="1">IF(OR(ER598="",EY598="",ER598=EY598),"",CONCATENATE(ER598,EY598))</f>
        <v/>
      </c>
      <c r="ET598" s="422" t="str">
        <f ca="1">IF(OR(ES598="",EY596&gt;2),"",CONCATENATE(VLOOKUP(ES598,games.a,9,FALSE),VLOOKUP(ES598,games.a,12,FALSE)))</f>
        <v/>
      </c>
      <c r="EU598" s="413"/>
      <c r="EV598" s="414"/>
      <c r="EW598" s="423" t="str">
        <f ca="1">IF(ES598="","",VLOOKUP(ES598,games.a,6,FALSE))</f>
        <v/>
      </c>
      <c r="EX598" s="409" t="str">
        <f ca="1">IF(ES598="","",VLOOKUP(ES598,games.a,7,FALSE))</f>
        <v/>
      </c>
      <c r="EY598" s="415" t="str">
        <f ca="1">EY597</f>
        <v/>
      </c>
      <c r="EZ598" s="416"/>
      <c r="FA598" s="417"/>
      <c r="FB598" s="424"/>
      <c r="FC598" s="366"/>
      <c r="FD598" s="425"/>
      <c r="FE598" s="333"/>
    </row>
    <row r="599" spans="86:161" x14ac:dyDescent="0.25">
      <c r="CH599" s="445"/>
      <c r="CI599" s="300"/>
      <c r="CJ599" s="300"/>
      <c r="CK599" s="300"/>
      <c r="CL599" s="449"/>
      <c r="CM599" s="445"/>
      <c r="DG599" s="445"/>
      <c r="DH599" s="445"/>
      <c r="DI599" s="395" t="str">
        <f>DI593</f>
        <v/>
      </c>
      <c r="DJ599" s="465" t="str">
        <f ca="1">IF(OR(DI599="",DP599="",DI599=DP599,COUNTIF(games.av,DI599&amp;DP599)=0),"",CONCATENATE(DI599,DP599))</f>
        <v/>
      </c>
      <c r="DK599" s="360" t="str">
        <f ca="1">IF($DJ599="","",CONCATENATE(VLOOKUP($DJ599,games.a,9,FALSE),VLOOKUP($DJ599,games.a,12,FALSE)))</f>
        <v/>
      </c>
      <c r="DL599" s="354" t="str">
        <f ca="1">IF($DJ599="","",VLOOKUP($DJ599,games.a,10,FALSE))</f>
        <v/>
      </c>
      <c r="DM599" s="354" t="str">
        <f ca="1">IF($DJ599="","",VLOOKUP($DJ599,games.a,13,FALSE))</f>
        <v/>
      </c>
      <c r="DN599" s="361" t="str">
        <f ca="1">IF($DJ599="","",VLOOKUP($DJ599,games.a,6,FALSE))</f>
        <v/>
      </c>
      <c r="DO599" s="362" t="str">
        <f ca="1">IF($DJ599="","",VLOOKUP($DJ599,games.a,7,FALSE))</f>
        <v/>
      </c>
      <c r="DP599" s="379" t="str">
        <f>DP598</f>
        <v/>
      </c>
      <c r="DQ599" s="302"/>
      <c r="DR599" s="364"/>
      <c r="DS599" s="445"/>
      <c r="DU599" s="424"/>
      <c r="DV599" s="366" t="str">
        <f ca="1">IF(OR(NOT($AJ$44),AND(DI588,DV593="")),DI593,"")</f>
        <v/>
      </c>
      <c r="DW599" s="365"/>
      <c r="DX599" s="366">
        <f ca="1">IF($DV599="",0,COUNTIF(xxgy.av,$DV599))</f>
        <v>0</v>
      </c>
      <c r="DY599" s="366">
        <f ca="1">IF($DV599="",0,COUNTIF(xxd.av,$DV599))</f>
        <v>0</v>
      </c>
      <c r="DZ599" s="366">
        <f ca="1">IF($DV599="",0,1)*(SUMIF(xxo.av,$DV599,xxl.av)+SUMIF(xxi.av,$DV599,xxk.av))</f>
        <v>0</v>
      </c>
      <c r="EA599" s="366">
        <f ca="1">IF($DV599="",0,1)*(SUMIF(xxo.av,$DV599,xxk.av)+SUMIF(xxi.av,$DV599,xxl.av))</f>
        <v>0</v>
      </c>
      <c r="EB599" s="366">
        <f ca="1">DZ599-EA599</f>
        <v>0</v>
      </c>
      <c r="EC599" s="366">
        <f ca="1">IF(EA599=0,0,DZ599/EA599)</f>
        <v>0</v>
      </c>
      <c r="ED599" s="366">
        <f ca="1">$AJ$48*DX599+IF($AJ$44,0,1)*DY599</f>
        <v>0</v>
      </c>
      <c r="EE599" s="396">
        <f ca="1">ED599*1000000+IF($AJ$44,EC599,EB599)*1000*0</f>
        <v>0</v>
      </c>
      <c r="EF599" s="366">
        <f ca="1">IF($DV599="",0,1)*(SUMIF(yyo.av,$DV599,yyl.av)+SUMIF(yyi.av,$DV599,yyk.av))</f>
        <v>0</v>
      </c>
      <c r="EG599" s="366">
        <f ca="1">IF($DV599="",0,1)*(SUMIF(yyo.av,$DV599,yyk.av)+SUMIF(yyi.av,$DV599,yyl.av))</f>
        <v>0</v>
      </c>
      <c r="EH599" s="366">
        <f ca="1">EF599-EG599</f>
        <v>0</v>
      </c>
      <c r="EI599" s="366">
        <f ca="1">IF(OR(ISERR(EE599),ISNA(EE599)),0,EE599)+IF($AJ$54,EH599,0)</f>
        <v>0</v>
      </c>
      <c r="EJ599" s="366">
        <f ca="1">IF(EI599=0,0,RANK(EI599,EI595:EI599,1))</f>
        <v>0</v>
      </c>
      <c r="EK599" s="366">
        <f ca="1">EJ599*40000*IF(COUNTIF($FC$589:$FC$598,DV599)&gt;0,0,1)</f>
        <v>0</v>
      </c>
      <c r="EL599" s="365"/>
      <c r="EM599" s="365"/>
      <c r="EN599" s="365"/>
      <c r="EO599" s="365"/>
      <c r="EP599" s="365"/>
      <c r="EQ599" s="365"/>
      <c r="ER599" s="404" t="str">
        <f ca="1">IF(EU591="","",VLOOKUP(EU591,yyy.av2,4,FALSE))</f>
        <v/>
      </c>
      <c r="ES599" s="371" t="str">
        <f ca="1">IF(OR(ER599="",EY599="",ER599=EY599),"",CONCATENATE(ER599,EY599))</f>
        <v/>
      </c>
      <c r="ET599" s="422" t="str">
        <f ca="1">IF(OR(ES599="",EY596&gt;2),"",CONCATENATE(VLOOKUP(ES599,games.a,9,FALSE),VLOOKUP(ES599,games.a,12,FALSE)))</f>
        <v/>
      </c>
      <c r="EU599" s="413"/>
      <c r="EV599" s="414"/>
      <c r="EW599" s="423" t="str">
        <f ca="1">IF(ES599="","",VLOOKUP(ES599,games.a,6,FALSE))</f>
        <v/>
      </c>
      <c r="EX599" s="409" t="str">
        <f ca="1">IF(ES599="","",VLOOKUP(ES599,games.a,7,FALSE))</f>
        <v/>
      </c>
      <c r="EY599" s="415" t="str">
        <f ca="1">EY598</f>
        <v/>
      </c>
      <c r="EZ599" s="416"/>
      <c r="FA599" s="417"/>
      <c r="FB599" s="424"/>
      <c r="FC599" s="424"/>
      <c r="FD599" s="425"/>
      <c r="FE599" s="333"/>
    </row>
    <row r="600" spans="86:161" x14ac:dyDescent="0.25">
      <c r="CH600" s="445"/>
      <c r="CI600" s="300"/>
      <c r="CJ600" s="300"/>
      <c r="CK600" s="300"/>
      <c r="CL600" s="449"/>
      <c r="CM600" s="445"/>
      <c r="DG600" s="445"/>
      <c r="DH600" s="445"/>
      <c r="DI600" s="301"/>
      <c r="DJ600" s="458" t="s">
        <v>157</v>
      </c>
      <c r="DK600" s="458" t="s">
        <v>158</v>
      </c>
      <c r="DL600" s="459" t="s">
        <v>159</v>
      </c>
      <c r="DM600" s="459"/>
      <c r="DN600" s="460" t="s">
        <v>160</v>
      </c>
      <c r="DO600" s="459" t="s">
        <v>135</v>
      </c>
      <c r="DP600" s="302"/>
      <c r="DQ600" s="302"/>
      <c r="DR600" s="364"/>
      <c r="DS600" s="445"/>
      <c r="DU600" s="424"/>
      <c r="EL600" s="365"/>
      <c r="EO600" s="365"/>
      <c r="EP600" s="365"/>
      <c r="EQ600" s="365"/>
      <c r="ER600" s="398"/>
      <c r="ES600" s="329" t="s">
        <v>157</v>
      </c>
      <c r="ET600" s="329" t="s">
        <v>158</v>
      </c>
      <c r="EU600" s="399"/>
      <c r="EV600" s="400"/>
      <c r="EW600" s="401" t="s">
        <v>160</v>
      </c>
      <c r="EX600" s="402" t="s">
        <v>135</v>
      </c>
      <c r="EY600" s="398"/>
      <c r="EZ600" s="365"/>
      <c r="FA600" s="365"/>
      <c r="FB600" s="424"/>
      <c r="FC600" s="424"/>
      <c r="FD600" s="425"/>
      <c r="FE600" s="333"/>
    </row>
    <row r="601" spans="86:161" x14ac:dyDescent="0.25">
      <c r="CH601" s="445"/>
      <c r="CI601" s="300"/>
      <c r="CJ601" s="300"/>
      <c r="CK601" s="300"/>
      <c r="CL601" s="449"/>
      <c r="CM601" s="445"/>
      <c r="DG601" s="445"/>
      <c r="DH601" s="445"/>
      <c r="DI601" s="395" t="str">
        <f>DI595</f>
        <v/>
      </c>
      <c r="DJ601" s="465" t="str">
        <f ca="1">IF(OR(DI601="",DP601="",DI601=DP601,COUNTIF(games.av,DI601&amp;DP601)=0),"",CONCATENATE(DI601,DP601))</f>
        <v/>
      </c>
      <c r="DK601" s="360" t="str">
        <f ca="1">IF($DJ601="","",CONCATENATE(VLOOKUP($DJ601,games.a,9,FALSE),VLOOKUP($DJ601,games.a,12,FALSE)))</f>
        <v/>
      </c>
      <c r="DL601" s="354" t="str">
        <f ca="1">IF($DJ601="","",VLOOKUP($DJ601,games.a,10,FALSE))</f>
        <v/>
      </c>
      <c r="DM601" s="354" t="str">
        <f ca="1">IF($DJ601="","",VLOOKUP($DJ601,games.a,13,FALSE))</f>
        <v/>
      </c>
      <c r="DN601" s="361" t="str">
        <f ca="1">IF($DJ601="","",VLOOKUP($DJ601,games.a,6,FALSE))</f>
        <v/>
      </c>
      <c r="DO601" s="362" t="str">
        <f ca="1">IF($DJ601="","",VLOOKUP($DJ601,games.a,7,FALSE))</f>
        <v/>
      </c>
      <c r="DP601" s="466" t="str">
        <f>DI591</f>
        <v/>
      </c>
      <c r="DQ601" s="302"/>
      <c r="DR601" s="364"/>
      <c r="DS601" s="445"/>
      <c r="DU601" s="424"/>
      <c r="EL601" s="365"/>
      <c r="EO601" s="365"/>
      <c r="EP601" s="365"/>
      <c r="EQ601" s="365"/>
      <c r="ER601" s="404" t="str">
        <f ca="1">ER597</f>
        <v/>
      </c>
      <c r="ES601" s="371" t="str">
        <f ca="1">IF(OR(ER601="",EY601="",ER601=EY601),"",CONCATENATE(ER601,EY601))</f>
        <v/>
      </c>
      <c r="ET601" s="422" t="str">
        <f ca="1">IF(OR(ES601="",EY596&gt;2),"",CONCATENATE(VLOOKUP(ES601,games.a,9,FALSE),VLOOKUP(ES601,games.a,12,FALSE)))</f>
        <v/>
      </c>
      <c r="EU601" s="406"/>
      <c r="EV601" s="407"/>
      <c r="EW601" s="423" t="str">
        <f ca="1">IF(ES601="","",VLOOKUP(ES601,games.a,6,FALSE))</f>
        <v/>
      </c>
      <c r="EX601" s="409" t="str">
        <f ca="1">IF(ES601="","",VLOOKUP(ES601,games.a,7,FALSE))</f>
        <v/>
      </c>
      <c r="EY601" s="410" t="str">
        <f ca="1">ER598</f>
        <v/>
      </c>
      <c r="EZ601" s="411"/>
      <c r="FA601" s="412"/>
      <c r="FB601" s="424"/>
      <c r="FC601" s="424"/>
      <c r="FD601" s="425"/>
      <c r="FE601" s="333"/>
    </row>
    <row r="602" spans="86:161" x14ac:dyDescent="0.25">
      <c r="CH602" s="445"/>
      <c r="CI602" s="300"/>
      <c r="CJ602" s="300"/>
      <c r="CK602" s="300"/>
      <c r="CL602" s="449"/>
      <c r="CM602" s="445"/>
      <c r="DG602" s="445"/>
      <c r="DH602" s="445"/>
      <c r="DI602" s="395" t="str">
        <f>DI596</f>
        <v/>
      </c>
      <c r="DJ602" s="465" t="str">
        <f ca="1">IF(OR(DI602="",DP602="",DI602=DP602,COUNTIF(games.av,DI602&amp;DP602)=0),"",CONCATENATE(DI602,DP602))</f>
        <v/>
      </c>
      <c r="DK602" s="360" t="str">
        <f ca="1">IF($DJ602="","",CONCATENATE(VLOOKUP($DJ602,games.a,9,FALSE),VLOOKUP($DJ602,games.a,12,FALSE)))</f>
        <v/>
      </c>
      <c r="DL602" s="354" t="str">
        <f ca="1">IF($DJ602="","",VLOOKUP($DJ602,games.a,10,FALSE))</f>
        <v/>
      </c>
      <c r="DM602" s="354" t="str">
        <f ca="1">IF($DJ602="","",VLOOKUP($DJ602,games.a,13,FALSE))</f>
        <v/>
      </c>
      <c r="DN602" s="361" t="str">
        <f ca="1">IF($DJ602="","",VLOOKUP($DJ602,games.a,6,FALSE))</f>
        <v/>
      </c>
      <c r="DO602" s="362" t="str">
        <f ca="1">IF($DJ602="","",VLOOKUP($DJ602,games.a,7,FALSE))</f>
        <v/>
      </c>
      <c r="DP602" s="379" t="str">
        <f>DP601</f>
        <v/>
      </c>
      <c r="DQ602" s="302"/>
      <c r="DR602" s="364"/>
      <c r="DS602" s="445"/>
      <c r="DU602" s="424"/>
      <c r="EL602" s="365"/>
      <c r="EO602" s="365"/>
      <c r="EP602" s="365"/>
      <c r="EQ602" s="365"/>
      <c r="ER602" s="404" t="str">
        <f ca="1">ER598</f>
        <v/>
      </c>
      <c r="ES602" s="371" t="str">
        <f ca="1">IF(OR(ER602="",EY602="",ER602=EY602),"",CONCATENATE(ER602,EY602))</f>
        <v/>
      </c>
      <c r="ET602" s="422" t="str">
        <f ca="1">IF(OR(ES602="",EY596&gt;2),"",CONCATENATE(VLOOKUP(ES602,games.a,9,FALSE),VLOOKUP(ES602,games.a,12,FALSE)))</f>
        <v/>
      </c>
      <c r="EU602" s="413"/>
      <c r="EV602" s="414"/>
      <c r="EW602" s="423" t="str">
        <f ca="1">IF(ES602="","",VLOOKUP(ES602,games.a,6,FALSE))</f>
        <v/>
      </c>
      <c r="EX602" s="409" t="str">
        <f ca="1">IF(ES602="","",VLOOKUP(ES602,games.a,7,FALSE))</f>
        <v/>
      </c>
      <c r="EY602" s="415" t="str">
        <f ca="1">EY601</f>
        <v/>
      </c>
      <c r="EZ602" s="416"/>
      <c r="FA602" s="417"/>
      <c r="FB602" s="424"/>
      <c r="FC602" s="424"/>
      <c r="FD602" s="425"/>
      <c r="FE602" s="333"/>
    </row>
    <row r="603" spans="86:161" x14ac:dyDescent="0.25">
      <c r="CH603" s="445"/>
      <c r="CI603" s="300"/>
      <c r="CJ603" s="300"/>
      <c r="CK603" s="300"/>
      <c r="CL603" s="449"/>
      <c r="CM603" s="445"/>
      <c r="DG603" s="445"/>
      <c r="DH603" s="445"/>
      <c r="DI603" s="395" t="str">
        <f>DI597</f>
        <v/>
      </c>
      <c r="DJ603" s="465" t="str">
        <f ca="1">IF(OR(DI603="",DP603="",DI603=DP603,COUNTIF(games.av,DI603&amp;DP603)=0),"",CONCATENATE(DI603,DP603))</f>
        <v/>
      </c>
      <c r="DK603" s="360" t="str">
        <f ca="1">IF($DJ603="","",CONCATENATE(VLOOKUP($DJ603,games.a,9,FALSE),VLOOKUP($DJ603,games.a,12,FALSE)))</f>
        <v/>
      </c>
      <c r="DL603" s="354" t="str">
        <f ca="1">IF($DJ603="","",VLOOKUP($DJ603,games.a,10,FALSE))</f>
        <v/>
      </c>
      <c r="DM603" s="354" t="str">
        <f ca="1">IF($DJ603="","",VLOOKUP($DJ603,games.a,13,FALSE))</f>
        <v/>
      </c>
      <c r="DN603" s="361" t="str">
        <f ca="1">IF($DJ603="","",VLOOKUP($DJ603,games.a,6,FALSE))</f>
        <v/>
      </c>
      <c r="DO603" s="362" t="str">
        <f ca="1">IF($DJ603="","",VLOOKUP($DJ603,games.a,7,FALSE))</f>
        <v/>
      </c>
      <c r="DP603" s="379" t="str">
        <f>DP602</f>
        <v/>
      </c>
      <c r="DQ603" s="302"/>
      <c r="DR603" s="364"/>
      <c r="DS603" s="445"/>
      <c r="DU603" s="424"/>
      <c r="EL603" s="365"/>
      <c r="EO603" s="365"/>
      <c r="EP603" s="365"/>
      <c r="EQ603" s="365"/>
      <c r="ER603" s="404" t="str">
        <f ca="1">ER599</f>
        <v/>
      </c>
      <c r="ES603" s="371" t="str">
        <f ca="1">IF(OR(ER603="",EY603="",ER603=EY603),"",CONCATENATE(ER603,EY603))</f>
        <v/>
      </c>
      <c r="ET603" s="422" t="str">
        <f ca="1">IF(OR(ES603="",EY596&gt;2),"",CONCATENATE(VLOOKUP(ES603,games.a,9,FALSE),VLOOKUP(ES603,games.a,12,FALSE)))</f>
        <v/>
      </c>
      <c r="EU603" s="413"/>
      <c r="EV603" s="414"/>
      <c r="EW603" s="423" t="str">
        <f ca="1">IF(ES603="","",VLOOKUP(ES603,games.a,6,FALSE))</f>
        <v/>
      </c>
      <c r="EX603" s="409" t="str">
        <f ca="1">IF(ES603="","",VLOOKUP(ES603,games.a,7,FALSE))</f>
        <v/>
      </c>
      <c r="EY603" s="415" t="str">
        <f ca="1">EY602</f>
        <v/>
      </c>
      <c r="EZ603" s="416"/>
      <c r="FA603" s="417"/>
      <c r="FB603" s="424"/>
      <c r="FC603" s="424"/>
      <c r="FD603" s="425"/>
      <c r="FE603" s="333"/>
    </row>
    <row r="604" spans="86:161" x14ac:dyDescent="0.25">
      <c r="CH604" s="445"/>
      <c r="CI604" s="300"/>
      <c r="CJ604" s="300"/>
      <c r="CK604" s="300"/>
      <c r="CL604" s="449"/>
      <c r="CM604" s="445"/>
      <c r="DG604" s="445"/>
      <c r="DH604" s="445"/>
      <c r="DI604" s="395" t="str">
        <f>DI598</f>
        <v/>
      </c>
      <c r="DJ604" s="465" t="str">
        <f ca="1">IF(OR(DI604="",DP604="",DI604=DP604,COUNTIF(games.av,DI604&amp;DP604)=0),"",CONCATENATE(DI604,DP604))</f>
        <v/>
      </c>
      <c r="DK604" s="360" t="str">
        <f ca="1">IF($DJ604="","",CONCATENATE(VLOOKUP($DJ604,games.a,9,FALSE),VLOOKUP($DJ604,games.a,12,FALSE)))</f>
        <v/>
      </c>
      <c r="DL604" s="354" t="str">
        <f ca="1">IF($DJ604="","",VLOOKUP($DJ604,games.a,10,FALSE))</f>
        <v/>
      </c>
      <c r="DM604" s="354" t="str">
        <f ca="1">IF($DJ604="","",VLOOKUP($DJ604,games.a,13,FALSE))</f>
        <v/>
      </c>
      <c r="DN604" s="361" t="str">
        <f ca="1">IF($DJ604="","",VLOOKUP($DJ604,games.a,6,FALSE))</f>
        <v/>
      </c>
      <c r="DO604" s="362" t="str">
        <f ca="1">IF($DJ604="","",VLOOKUP($DJ604,games.a,7,FALSE))</f>
        <v/>
      </c>
      <c r="DP604" s="379" t="str">
        <f>DP603</f>
        <v/>
      </c>
      <c r="DQ604" s="302"/>
      <c r="DR604" s="364"/>
      <c r="DS604" s="445"/>
      <c r="DU604" s="424"/>
      <c r="EL604" s="365"/>
      <c r="EO604" s="365"/>
      <c r="EP604" s="365"/>
      <c r="EQ604" s="365"/>
      <c r="ER604" s="398"/>
      <c r="ES604" s="329" t="s">
        <v>157</v>
      </c>
      <c r="ET604" s="329" t="s">
        <v>158</v>
      </c>
      <c r="EU604" s="399"/>
      <c r="EV604" s="400"/>
      <c r="EW604" s="401" t="s">
        <v>160</v>
      </c>
      <c r="EX604" s="402" t="s">
        <v>135</v>
      </c>
      <c r="EY604" s="398"/>
      <c r="EZ604" s="365"/>
      <c r="FA604" s="365"/>
      <c r="FB604" s="424"/>
      <c r="FC604" s="424"/>
      <c r="FD604" s="425"/>
      <c r="FE604" s="333"/>
    </row>
    <row r="605" spans="86:161" x14ac:dyDescent="0.25">
      <c r="CH605" s="445"/>
      <c r="CI605" s="300"/>
      <c r="CJ605" s="300"/>
      <c r="CK605" s="300"/>
      <c r="CL605" s="449"/>
      <c r="CM605" s="445"/>
      <c r="DG605" s="445"/>
      <c r="DH605" s="445"/>
      <c r="DI605" s="395" t="str">
        <f>DI599</f>
        <v/>
      </c>
      <c r="DJ605" s="465" t="str">
        <f ca="1">IF(OR(DI605="",DP605="",DI605=DP605,COUNTIF(games.av,DI605&amp;DP605)=0),"",CONCATENATE(DI605,DP605))</f>
        <v/>
      </c>
      <c r="DK605" s="360" t="str">
        <f ca="1">IF($DJ605="","",CONCATENATE(VLOOKUP($DJ605,games.a,9,FALSE),VLOOKUP($DJ605,games.a,12,FALSE)))</f>
        <v/>
      </c>
      <c r="DL605" s="354" t="str">
        <f ca="1">IF($DJ605="","",VLOOKUP($DJ605,games.a,10,FALSE))</f>
        <v/>
      </c>
      <c r="DM605" s="354" t="str">
        <f ca="1">IF($DJ605="","",VLOOKUP($DJ605,games.a,13,FALSE))</f>
        <v/>
      </c>
      <c r="DN605" s="361" t="str">
        <f ca="1">IF($DJ605="","",VLOOKUP($DJ605,games.a,6,FALSE))</f>
        <v/>
      </c>
      <c r="DO605" s="362" t="str">
        <f ca="1">IF($DJ605="","",VLOOKUP($DJ605,games.a,7,FALSE))</f>
        <v/>
      </c>
      <c r="DP605" s="379" t="str">
        <f>DP604</f>
        <v/>
      </c>
      <c r="DQ605" s="302"/>
      <c r="DR605" s="364"/>
      <c r="DS605" s="445"/>
      <c r="DU605" s="424"/>
      <c r="EL605" s="365"/>
      <c r="EO605" s="365"/>
      <c r="EP605" s="365"/>
      <c r="EQ605" s="424"/>
      <c r="ER605" s="404" t="str">
        <f ca="1">ER601</f>
        <v/>
      </c>
      <c r="ES605" s="371" t="str">
        <f ca="1">IF(OR(ER605="",EY605="",ER605=EY605),"",CONCATENATE(ER605,EY605))</f>
        <v/>
      </c>
      <c r="ET605" s="422" t="str">
        <f ca="1">IF(OR(ES605="",EY596&gt;2),"",CONCATENATE(VLOOKUP(ES605,games.a,9,FALSE),VLOOKUP(ES605,games.a,12,FALSE)))</f>
        <v/>
      </c>
      <c r="EU605" s="406"/>
      <c r="EV605" s="407"/>
      <c r="EW605" s="423" t="str">
        <f ca="1">IF(ES605="","",VLOOKUP(ES605,games.a,6,FALSE))</f>
        <v/>
      </c>
      <c r="EX605" s="409" t="str">
        <f ca="1">IF(ES605="","",VLOOKUP(ES605,games.a,7,FALSE))</f>
        <v/>
      </c>
      <c r="EY605" s="410" t="str">
        <f ca="1">ER599</f>
        <v/>
      </c>
      <c r="EZ605" s="411"/>
      <c r="FA605" s="412"/>
      <c r="FB605" s="424"/>
      <c r="FC605" s="424"/>
      <c r="FD605" s="425"/>
      <c r="FE605" s="333"/>
    </row>
    <row r="606" spans="86:161" x14ac:dyDescent="0.25">
      <c r="CH606" s="445"/>
      <c r="CI606" s="300"/>
      <c r="CJ606" s="300"/>
      <c r="CK606" s="300"/>
      <c r="CL606" s="449"/>
      <c r="CM606" s="445"/>
      <c r="DG606" s="445"/>
      <c r="DH606" s="445"/>
      <c r="DI606" s="301"/>
      <c r="DJ606" s="458" t="s">
        <v>157</v>
      </c>
      <c r="DK606" s="458" t="s">
        <v>158</v>
      </c>
      <c r="DL606" s="459" t="s">
        <v>159</v>
      </c>
      <c r="DM606" s="459"/>
      <c r="DN606" s="460" t="s">
        <v>160</v>
      </c>
      <c r="DO606" s="459" t="s">
        <v>135</v>
      </c>
      <c r="DP606" s="302"/>
      <c r="DQ606" s="302"/>
      <c r="DR606" s="364"/>
      <c r="DS606" s="445"/>
      <c r="DU606" s="424"/>
      <c r="EL606" s="365"/>
      <c r="EO606" s="365"/>
      <c r="EP606" s="365"/>
      <c r="EQ606" s="424"/>
      <c r="ER606" s="404" t="str">
        <f ca="1">ER602</f>
        <v/>
      </c>
      <c r="ES606" s="371" t="str">
        <f ca="1">IF(OR(ER606="",EY606="",ER606=EY606),"",CONCATENATE(ER606,EY606))</f>
        <v/>
      </c>
      <c r="ET606" s="422" t="str">
        <f ca="1">IF(OR(ES606="",EY596&gt;2),"",CONCATENATE(VLOOKUP(ES606,games.a,9,FALSE),VLOOKUP(ES606,games.a,12,FALSE)))</f>
        <v/>
      </c>
      <c r="EU606" s="413"/>
      <c r="EV606" s="414"/>
      <c r="EW606" s="423" t="str">
        <f ca="1">IF(ES606="","",VLOOKUP(ES606,games.a,6,FALSE))</f>
        <v/>
      </c>
      <c r="EX606" s="409" t="str">
        <f ca="1">IF(ES606="","",VLOOKUP(ES606,games.a,7,FALSE))</f>
        <v/>
      </c>
      <c r="EY606" s="415" t="str">
        <f ca="1">EY605</f>
        <v/>
      </c>
      <c r="EZ606" s="416"/>
      <c r="FA606" s="417"/>
      <c r="FB606" s="424"/>
      <c r="FC606" s="424"/>
      <c r="FD606" s="425"/>
      <c r="FE606" s="333"/>
    </row>
    <row r="607" spans="86:161" x14ac:dyDescent="0.25">
      <c r="CH607" s="445"/>
      <c r="CI607" s="300"/>
      <c r="CJ607" s="300"/>
      <c r="CK607" s="300"/>
      <c r="CL607" s="449"/>
      <c r="CM607" s="445"/>
      <c r="DG607" s="445"/>
      <c r="DH607" s="445"/>
      <c r="DI607" s="395" t="str">
        <f>DI601</f>
        <v/>
      </c>
      <c r="DJ607" s="465" t="str">
        <f ca="1">IF(OR(DI607="",DP607="",DI607=DP607,COUNTIF(games.av,DI607&amp;DP607)=0),"",CONCATENATE(DI607,DP607))</f>
        <v/>
      </c>
      <c r="DK607" s="360" t="str">
        <f ca="1">IF($DJ607="","",CONCATENATE(VLOOKUP($DJ607,games.a,9,FALSE),VLOOKUP($DJ607,games.a,12,FALSE)))</f>
        <v/>
      </c>
      <c r="DL607" s="354" t="str">
        <f ca="1">IF($DJ607="","",VLOOKUP($DJ607,games.a,10,FALSE))</f>
        <v/>
      </c>
      <c r="DM607" s="354" t="str">
        <f ca="1">IF($DJ607="","",VLOOKUP($DJ607,games.a,13,FALSE))</f>
        <v/>
      </c>
      <c r="DN607" s="361" t="str">
        <f ca="1">IF($DJ607="","",VLOOKUP($DJ607,games.a,6,FALSE))</f>
        <v/>
      </c>
      <c r="DO607" s="362" t="str">
        <f ca="1">IF($DJ607="","",VLOOKUP($DJ607,games.a,7,FALSE))</f>
        <v/>
      </c>
      <c r="DP607" s="466" t="str">
        <f>DI592</f>
        <v/>
      </c>
      <c r="DQ607" s="302"/>
      <c r="DR607" s="364"/>
      <c r="DS607" s="445"/>
      <c r="DU607" s="424"/>
      <c r="EL607" s="365"/>
      <c r="EO607" s="365"/>
      <c r="EP607" s="365"/>
      <c r="EQ607" s="424"/>
      <c r="ER607" s="404" t="str">
        <f ca="1">ER603</f>
        <v/>
      </c>
      <c r="ES607" s="371" t="str">
        <f ca="1">IF(OR(ER607="",EY607="",ER607=EY607),"",CONCATENATE(ER607,EY607))</f>
        <v/>
      </c>
      <c r="ET607" s="422" t="str">
        <f ca="1">IF(OR(ES607="",EY596&gt;2),"",CONCATENATE(VLOOKUP(ES607,games.a,9,FALSE),VLOOKUP(ES607,games.a,12,FALSE)))</f>
        <v/>
      </c>
      <c r="EU607" s="413"/>
      <c r="EV607" s="414"/>
      <c r="EW607" s="423" t="str">
        <f ca="1">IF(ES607="","",VLOOKUP(ES607,games.a,6,FALSE))</f>
        <v/>
      </c>
      <c r="EX607" s="409" t="str">
        <f ca="1">IF(ES607="","",VLOOKUP(ES607,games.a,7,FALSE))</f>
        <v/>
      </c>
      <c r="EY607" s="415" t="str">
        <f ca="1">EY606</f>
        <v/>
      </c>
      <c r="EZ607" s="416"/>
      <c r="FA607" s="417"/>
      <c r="FB607" s="424"/>
      <c r="FC607" s="424"/>
      <c r="FD607" s="425"/>
      <c r="FE607" s="333"/>
    </row>
    <row r="608" spans="86:161" x14ac:dyDescent="0.25">
      <c r="CH608" s="445"/>
      <c r="CI608" s="300"/>
      <c r="CJ608" s="300"/>
      <c r="CK608" s="300"/>
      <c r="CL608" s="449"/>
      <c r="CM608" s="445"/>
      <c r="DG608" s="445"/>
      <c r="DH608" s="445"/>
      <c r="DI608" s="395" t="str">
        <f>DI602</f>
        <v/>
      </c>
      <c r="DJ608" s="465" t="str">
        <f ca="1">IF(OR(DI608="",DP608="",DI608=DP608,COUNTIF(games.av,DI608&amp;DP608)=0),"",CONCATENATE(DI608,DP608))</f>
        <v/>
      </c>
      <c r="DK608" s="360" t="str">
        <f ca="1">IF($DJ608="","",CONCATENATE(VLOOKUP($DJ608,games.a,9,FALSE),VLOOKUP($DJ608,games.a,12,FALSE)))</f>
        <v/>
      </c>
      <c r="DL608" s="354" t="str">
        <f ca="1">IF($DJ608="","",VLOOKUP($DJ608,games.a,10,FALSE))</f>
        <v/>
      </c>
      <c r="DM608" s="354" t="str">
        <f ca="1">IF($DJ608="","",VLOOKUP($DJ608,games.a,13,FALSE))</f>
        <v/>
      </c>
      <c r="DN608" s="361" t="str">
        <f ca="1">IF($DJ608="","",VLOOKUP($DJ608,games.a,6,FALSE))</f>
        <v/>
      </c>
      <c r="DO608" s="362" t="str">
        <f ca="1">IF($DJ608="","",VLOOKUP($DJ608,games.a,7,FALSE))</f>
        <v/>
      </c>
      <c r="DP608" s="379" t="str">
        <f>DP607</f>
        <v/>
      </c>
      <c r="DQ608" s="302"/>
      <c r="DR608" s="364"/>
      <c r="DS608" s="445"/>
      <c r="DU608" s="424"/>
      <c r="EL608" s="365"/>
      <c r="EO608" s="365"/>
      <c r="EP608" s="365"/>
      <c r="EQ608" s="424"/>
      <c r="ER608" s="424"/>
      <c r="ES608" s="424"/>
      <c r="ET608" s="424"/>
      <c r="EU608" s="424"/>
      <c r="EV608" s="424"/>
      <c r="EW608" s="424"/>
      <c r="EX608" s="424"/>
      <c r="EY608" s="424"/>
      <c r="EZ608" s="424"/>
      <c r="FA608" s="424"/>
      <c r="FD608" s="425"/>
      <c r="FE608" s="333"/>
    </row>
    <row r="609" spans="86:161" x14ac:dyDescent="0.25">
      <c r="CH609" s="445"/>
      <c r="CI609" s="300"/>
      <c r="CJ609" s="300"/>
      <c r="CK609" s="300"/>
      <c r="CL609" s="449"/>
      <c r="CM609" s="445"/>
      <c r="DG609" s="445"/>
      <c r="DH609" s="445"/>
      <c r="DI609" s="395" t="str">
        <f>DI603</f>
        <v/>
      </c>
      <c r="DJ609" s="465" t="str">
        <f ca="1">IF(OR(DI609="",DP609="",DI609=DP609,COUNTIF(games.av,DI609&amp;DP609)=0),"",CONCATENATE(DI609,DP609))</f>
        <v/>
      </c>
      <c r="DK609" s="360" t="str">
        <f ca="1">IF($DJ609="","",CONCATENATE(VLOOKUP($DJ609,games.a,9,FALSE),VLOOKUP($DJ609,games.a,12,FALSE)))</f>
        <v/>
      </c>
      <c r="DL609" s="354" t="str">
        <f ca="1">IF($DJ609="","",VLOOKUP($DJ609,games.a,10,FALSE))</f>
        <v/>
      </c>
      <c r="DM609" s="354" t="str">
        <f ca="1">IF($DJ609="","",VLOOKUP($DJ609,games.a,13,FALSE))</f>
        <v/>
      </c>
      <c r="DN609" s="361" t="str">
        <f ca="1">IF($DJ609="","",VLOOKUP($DJ609,games.a,6,FALSE))</f>
        <v/>
      </c>
      <c r="DO609" s="362" t="str">
        <f ca="1">IF($DJ609="","",VLOOKUP($DJ609,games.a,7,FALSE))</f>
        <v/>
      </c>
      <c r="DP609" s="379" t="str">
        <f>DP608</f>
        <v/>
      </c>
      <c r="DQ609" s="302"/>
      <c r="DR609" s="364"/>
      <c r="DS609" s="445"/>
      <c r="DU609" s="424"/>
      <c r="EL609" s="365"/>
      <c r="EO609" s="424"/>
      <c r="EP609" s="424"/>
      <c r="EQ609" s="424"/>
      <c r="ER609" s="398"/>
      <c r="ES609" s="329" t="s">
        <v>157</v>
      </c>
      <c r="ET609" s="329" t="s">
        <v>158</v>
      </c>
      <c r="EU609" s="399"/>
      <c r="EV609" s="400"/>
      <c r="EW609" s="401" t="s">
        <v>160</v>
      </c>
      <c r="EX609" s="402" t="s">
        <v>135</v>
      </c>
      <c r="EY609" s="365"/>
      <c r="EZ609" s="365"/>
      <c r="FA609" s="365"/>
      <c r="FD609" s="425"/>
      <c r="FE609" s="333"/>
    </row>
    <row r="610" spans="86:161" x14ac:dyDescent="0.25">
      <c r="CH610" s="445"/>
      <c r="CI610" s="300"/>
      <c r="CJ610" s="300"/>
      <c r="CK610" s="300"/>
      <c r="CL610" s="449"/>
      <c r="CM610" s="445"/>
      <c r="DG610" s="445"/>
      <c r="DH610" s="445"/>
      <c r="DI610" s="395" t="str">
        <f>DI604</f>
        <v/>
      </c>
      <c r="DJ610" s="465" t="str">
        <f ca="1">IF(OR(DI610="",DP610="",DI610=DP610,COUNTIF(games.av,DI610&amp;DP610)=0),"",CONCATENATE(DI610,DP610))</f>
        <v/>
      </c>
      <c r="DK610" s="360" t="str">
        <f ca="1">IF($DJ610="","",CONCATENATE(VLOOKUP($DJ610,games.a,9,FALSE),VLOOKUP($DJ610,games.a,12,FALSE)))</f>
        <v/>
      </c>
      <c r="DL610" s="354" t="str">
        <f ca="1">IF($DJ610="","",VLOOKUP($DJ610,games.a,10,FALSE))</f>
        <v/>
      </c>
      <c r="DM610" s="354" t="str">
        <f ca="1">IF($DJ610="","",VLOOKUP($DJ610,games.a,13,FALSE))</f>
        <v/>
      </c>
      <c r="DN610" s="361" t="str">
        <f ca="1">IF($DJ610="","",VLOOKUP($DJ610,games.a,6,FALSE))</f>
        <v/>
      </c>
      <c r="DO610" s="362" t="str">
        <f ca="1">IF($DJ610="","",VLOOKUP($DJ610,games.a,7,FALSE))</f>
        <v/>
      </c>
      <c r="DP610" s="379" t="str">
        <f>DP609</f>
        <v/>
      </c>
      <c r="DQ610" s="302"/>
      <c r="DR610" s="364"/>
      <c r="DS610" s="445"/>
      <c r="DU610" s="424"/>
      <c r="EL610" s="365"/>
      <c r="EO610" s="424"/>
      <c r="EP610" s="424"/>
      <c r="EQ610" s="424"/>
      <c r="ER610" s="404" t="str">
        <f ca="1">IF(EX589="","",VLOOKUP(EX589,yyy.av2,7,FALSE))</f>
        <v/>
      </c>
      <c r="ES610" s="371" t="str">
        <f ca="1">IF(OR(ER610="",EY610="",ER610=EY610),"",CONCATENATE(ER610,EY610))</f>
        <v/>
      </c>
      <c r="ET610" s="369" t="str">
        <f ca="1">IF(ES610="","",CONCATENATE(VLOOKUP(ES610,games.a,9,FALSE),VLOOKUP(ES610,games.a,12,FALSE)))</f>
        <v/>
      </c>
      <c r="EU610" s="406"/>
      <c r="EV610" s="407"/>
      <c r="EW610" s="423" t="str">
        <f ca="1">IF(ES610="","",VLOOKUP(ES610,games.a,6,FALSE))</f>
        <v/>
      </c>
      <c r="EX610" s="409" t="str">
        <f ca="1">IF(ES610="","",VLOOKUP(ES610,games.a,7,FALSE))</f>
        <v/>
      </c>
      <c r="EY610" s="410" t="str">
        <f ca="1">ER610</f>
        <v/>
      </c>
      <c r="EZ610" s="411"/>
      <c r="FA610" s="412"/>
      <c r="FD610" s="425"/>
      <c r="FE610" s="333"/>
    </row>
    <row r="611" spans="86:161" x14ac:dyDescent="0.25">
      <c r="CH611" s="445"/>
      <c r="CI611" s="300"/>
      <c r="CJ611" s="300"/>
      <c r="CK611" s="300"/>
      <c r="CL611" s="449"/>
      <c r="CM611" s="445"/>
      <c r="CN611" s="300"/>
      <c r="CO611" s="302"/>
      <c r="CP611" s="302"/>
      <c r="CQ611" s="302"/>
      <c r="CR611" s="302"/>
      <c r="CS611" s="302"/>
      <c r="CT611" s="302"/>
      <c r="CU611" s="302"/>
      <c r="CV611" s="302"/>
      <c r="CW611" s="302"/>
      <c r="CX611" s="302"/>
      <c r="CY611" s="302"/>
      <c r="CZ611" s="302"/>
      <c r="DA611" s="302"/>
      <c r="DB611" s="302"/>
      <c r="DC611" s="302"/>
      <c r="DD611" s="302"/>
      <c r="DE611" s="302"/>
      <c r="DF611" s="302"/>
      <c r="DG611" s="445"/>
      <c r="DH611" s="445"/>
      <c r="DI611" s="395" t="str">
        <f>DI605</f>
        <v/>
      </c>
      <c r="DJ611" s="465" t="str">
        <f ca="1">IF(OR(DI611="",DP611="",DI611=DP611,COUNTIF(games.av,DI611&amp;DP611)=0),"",CONCATENATE(DI611,DP611))</f>
        <v/>
      </c>
      <c r="DK611" s="360" t="str">
        <f ca="1">IF($DJ611="","",CONCATENATE(VLOOKUP($DJ611,games.a,9,FALSE),VLOOKUP($DJ611,games.a,12,FALSE)))</f>
        <v/>
      </c>
      <c r="DL611" s="354" t="str">
        <f ca="1">IF($DJ611="","",VLOOKUP($DJ611,games.a,10,FALSE))</f>
        <v/>
      </c>
      <c r="DM611" s="354" t="str">
        <f ca="1">IF($DJ611="","",VLOOKUP($DJ611,games.a,13,FALSE))</f>
        <v/>
      </c>
      <c r="DN611" s="361" t="str">
        <f ca="1">IF($DJ611="","",VLOOKUP($DJ611,games.a,6,FALSE))</f>
        <v/>
      </c>
      <c r="DO611" s="362" t="str">
        <f ca="1">IF($DJ611="","",VLOOKUP($DJ611,games.a,7,FALSE))</f>
        <v/>
      </c>
      <c r="DP611" s="379" t="str">
        <f>DP610</f>
        <v/>
      </c>
      <c r="DQ611" s="302"/>
      <c r="DR611" s="364"/>
      <c r="DS611" s="445"/>
      <c r="DU611" s="424"/>
      <c r="EL611" s="365"/>
      <c r="EM611" s="424"/>
      <c r="EN611" s="424"/>
      <c r="EO611" s="424"/>
      <c r="EP611" s="424"/>
      <c r="EQ611" s="424"/>
      <c r="ER611" s="404" t="str">
        <f ca="1">IF(EX590="","",VLOOKUP(EX590,yyy.av2,7,FALSE))</f>
        <v/>
      </c>
      <c r="ES611" s="371" t="str">
        <f ca="1">IF(OR(ER611="",EY611="",ER611=EY611),"",CONCATENATE(ER611,EY611))</f>
        <v/>
      </c>
      <c r="ET611" s="369" t="str">
        <f ca="1">IF(ES611="","",CONCATENATE(VLOOKUP(ES611,games.a,9,FALSE),VLOOKUP(ES611,games.a,12,FALSE)))</f>
        <v/>
      </c>
      <c r="EU611" s="413"/>
      <c r="EV611" s="414"/>
      <c r="EW611" s="423" t="str">
        <f ca="1">IF(ES611="","",VLOOKUP(ES611,games.a,6,FALSE))</f>
        <v/>
      </c>
      <c r="EX611" s="409" t="str">
        <f ca="1">IF(ES611="","",VLOOKUP(ES611,games.a,7,FALSE))</f>
        <v/>
      </c>
      <c r="EY611" s="415" t="str">
        <f ca="1">EY610</f>
        <v/>
      </c>
      <c r="EZ611" s="416"/>
      <c r="FA611" s="417"/>
      <c r="FD611" s="425"/>
      <c r="FE611" s="333"/>
    </row>
    <row r="612" spans="86:161" x14ac:dyDescent="0.25">
      <c r="CH612" s="445"/>
      <c r="CI612" s="300"/>
      <c r="CJ612" s="300"/>
      <c r="CK612" s="300"/>
      <c r="CL612" s="449"/>
      <c r="CM612" s="445"/>
      <c r="CN612" s="300"/>
      <c r="CO612" s="302"/>
      <c r="CP612" s="302"/>
      <c r="CQ612" s="302"/>
      <c r="CR612" s="302"/>
      <c r="CS612" s="302"/>
      <c r="CT612" s="302"/>
      <c r="CU612" s="302"/>
      <c r="CV612" s="302"/>
      <c r="CW612" s="302"/>
      <c r="CX612" s="302"/>
      <c r="CY612" s="302"/>
      <c r="CZ612" s="302"/>
      <c r="DA612" s="302"/>
      <c r="DB612" s="302"/>
      <c r="DC612" s="302"/>
      <c r="DD612" s="302"/>
      <c r="DE612" s="302"/>
      <c r="DF612" s="302"/>
      <c r="DG612" s="445"/>
      <c r="DH612" s="445"/>
      <c r="DI612" s="301"/>
      <c r="DJ612" s="458" t="s">
        <v>157</v>
      </c>
      <c r="DK612" s="458" t="s">
        <v>158</v>
      </c>
      <c r="DL612" s="459" t="s">
        <v>159</v>
      </c>
      <c r="DM612" s="459"/>
      <c r="DN612" s="460" t="s">
        <v>160</v>
      </c>
      <c r="DO612" s="459" t="s">
        <v>135</v>
      </c>
      <c r="DP612" s="302"/>
      <c r="DQ612" s="302"/>
      <c r="DR612" s="364"/>
      <c r="DS612" s="445"/>
      <c r="DU612" s="424"/>
      <c r="EL612" s="365"/>
      <c r="EM612" s="424"/>
      <c r="EN612" s="424"/>
      <c r="EO612" s="424"/>
      <c r="EP612" s="424"/>
      <c r="EQ612" s="424"/>
      <c r="ER612" s="398"/>
      <c r="ES612" s="329" t="s">
        <v>157</v>
      </c>
      <c r="ET612" s="329" t="s">
        <v>158</v>
      </c>
      <c r="EU612" s="399"/>
      <c r="EV612" s="400"/>
      <c r="EW612" s="401" t="s">
        <v>160</v>
      </c>
      <c r="EX612" s="402" t="s">
        <v>135</v>
      </c>
      <c r="EY612" s="398"/>
      <c r="EZ612" s="365"/>
      <c r="FA612" s="365"/>
      <c r="FD612" s="425"/>
      <c r="FE612" s="333"/>
    </row>
    <row r="613" spans="86:161" x14ac:dyDescent="0.25">
      <c r="CH613" s="445"/>
      <c r="CI613" s="300"/>
      <c r="CJ613" s="300"/>
      <c r="CK613" s="300"/>
      <c r="CL613" s="449"/>
      <c r="CM613" s="445"/>
      <c r="CN613" s="300"/>
      <c r="CO613" s="302"/>
      <c r="CP613" s="302"/>
      <c r="CQ613" s="302"/>
      <c r="CR613" s="302"/>
      <c r="CS613" s="302"/>
      <c r="CT613" s="302"/>
      <c r="CU613" s="302"/>
      <c r="CV613" s="302"/>
      <c r="CW613" s="302"/>
      <c r="CX613" s="302"/>
      <c r="CY613" s="302"/>
      <c r="CZ613" s="302"/>
      <c r="DA613" s="302"/>
      <c r="DB613" s="302"/>
      <c r="DC613" s="302"/>
      <c r="DD613" s="302"/>
      <c r="DE613" s="302"/>
      <c r="DF613" s="302"/>
      <c r="DG613" s="445"/>
      <c r="DH613" s="445"/>
      <c r="DI613" s="395" t="str">
        <f>DI607</f>
        <v/>
      </c>
      <c r="DJ613" s="465" t="str">
        <f ca="1">IF(OR(DI613="",DP613="",DI613=DP613,COUNTIF(games.av,DI613&amp;DP613)=0),"",CONCATENATE(DI613,DP613))</f>
        <v/>
      </c>
      <c r="DK613" s="360" t="str">
        <f ca="1">IF($DJ613="","",CONCATENATE(VLOOKUP($DJ613,games.a,9,FALSE),VLOOKUP($DJ613,games.a,12,FALSE)))</f>
        <v/>
      </c>
      <c r="DL613" s="354" t="str">
        <f ca="1">IF($DJ613="","",VLOOKUP($DJ613,games.a,10,FALSE))</f>
        <v/>
      </c>
      <c r="DM613" s="354" t="str">
        <f ca="1">IF($DJ613="","",VLOOKUP($DJ613,games.a,13,FALSE))</f>
        <v/>
      </c>
      <c r="DN613" s="361" t="str">
        <f ca="1">IF($DJ613="","",VLOOKUP($DJ613,games.a,6,FALSE))</f>
        <v/>
      </c>
      <c r="DO613" s="362" t="str">
        <f ca="1">IF($DJ613="","",VLOOKUP($DJ613,games.a,7,FALSE))</f>
        <v/>
      </c>
      <c r="DP613" s="466" t="str">
        <f>DI593</f>
        <v/>
      </c>
      <c r="DQ613" s="302"/>
      <c r="DR613" s="364"/>
      <c r="DS613" s="445"/>
      <c r="DU613" s="424"/>
      <c r="EL613" s="365"/>
      <c r="EM613" s="424"/>
      <c r="EN613" s="424"/>
      <c r="EO613" s="424"/>
      <c r="EP613" s="424"/>
      <c r="EQ613" s="424"/>
      <c r="ER613" s="404" t="str">
        <f ca="1">ER610</f>
        <v/>
      </c>
      <c r="ES613" s="371" t="str">
        <f ca="1">IF(OR(ER613="",EY613="",ER613=EY613),"",CONCATENATE(ER613,EY613))</f>
        <v/>
      </c>
      <c r="ET613" s="369" t="str">
        <f ca="1">IF(ES613="","",CONCATENATE(VLOOKUP(ES613,games.a,9,FALSE),VLOOKUP(ES613,games.a,12,FALSE)))</f>
        <v/>
      </c>
      <c r="EU613" s="406"/>
      <c r="EV613" s="407"/>
      <c r="EW613" s="423" t="str">
        <f ca="1">IF(ES613="","",VLOOKUP(ES613,games.a,6,FALSE))</f>
        <v/>
      </c>
      <c r="EX613" s="409" t="str">
        <f ca="1">IF(ES613="","",VLOOKUP(ES613,games.a,7,FALSE))</f>
        <v/>
      </c>
      <c r="EY613" s="410" t="str">
        <f ca="1">ER611</f>
        <v/>
      </c>
      <c r="EZ613" s="411"/>
      <c r="FA613" s="412"/>
      <c r="FD613" s="425"/>
      <c r="FE613" s="333"/>
    </row>
    <row r="614" spans="86:161" x14ac:dyDescent="0.25">
      <c r="CH614" s="445"/>
      <c r="CI614" s="300"/>
      <c r="CJ614" s="300"/>
      <c r="CK614" s="300"/>
      <c r="CL614" s="449"/>
      <c r="CM614" s="445"/>
      <c r="CN614" s="300"/>
      <c r="CO614" s="302"/>
      <c r="CP614" s="302"/>
      <c r="CQ614" s="302"/>
      <c r="CR614" s="302"/>
      <c r="CS614" s="302"/>
      <c r="CT614" s="302"/>
      <c r="CU614" s="302"/>
      <c r="CV614" s="302"/>
      <c r="CW614" s="302"/>
      <c r="CX614" s="302"/>
      <c r="CY614" s="302"/>
      <c r="CZ614" s="302"/>
      <c r="DA614" s="302"/>
      <c r="DB614" s="302"/>
      <c r="DC614" s="302"/>
      <c r="DD614" s="302"/>
      <c r="DE614" s="302"/>
      <c r="DF614" s="302"/>
      <c r="DG614" s="445"/>
      <c r="DH614" s="445"/>
      <c r="DI614" s="395" t="str">
        <f>DI608</f>
        <v/>
      </c>
      <c r="DJ614" s="465" t="str">
        <f ca="1">IF(OR(DI614="",DP614="",DI614=DP614,COUNTIF(games.av,DI614&amp;DP614)=0),"",CONCATENATE(DI614,DP614))</f>
        <v/>
      </c>
      <c r="DK614" s="360" t="str">
        <f ca="1">IF($DJ614="","",CONCATENATE(VLOOKUP($DJ614,games.a,9,FALSE),VLOOKUP($DJ614,games.a,12,FALSE)))</f>
        <v/>
      </c>
      <c r="DL614" s="354" t="str">
        <f ca="1">IF($DJ614="","",VLOOKUP($DJ614,games.a,10,FALSE))</f>
        <v/>
      </c>
      <c r="DM614" s="354" t="str">
        <f ca="1">IF($DJ614="","",VLOOKUP($DJ614,games.a,13,FALSE))</f>
        <v/>
      </c>
      <c r="DN614" s="361" t="str">
        <f ca="1">IF($DJ614="","",VLOOKUP($DJ614,games.a,6,FALSE))</f>
        <v/>
      </c>
      <c r="DO614" s="362" t="str">
        <f ca="1">IF($DJ614="","",VLOOKUP($DJ614,games.a,7,FALSE))</f>
        <v/>
      </c>
      <c r="DP614" s="379" t="str">
        <f>DP613</f>
        <v/>
      </c>
      <c r="DQ614" s="302"/>
      <c r="DR614" s="364"/>
      <c r="DS614" s="445"/>
      <c r="DU614" s="424"/>
      <c r="EL614" s="424"/>
      <c r="EM614" s="424"/>
      <c r="EN614" s="424"/>
      <c r="EO614" s="424"/>
      <c r="EP614" s="424"/>
      <c r="EQ614" s="424"/>
      <c r="ER614" s="404" t="str">
        <f ca="1">ER611</f>
        <v/>
      </c>
      <c r="ES614" s="371" t="str">
        <f ca="1">IF(OR(ER614="",EY614="",ER614=EY614),"",CONCATENATE(ER614,EY614))</f>
        <v/>
      </c>
      <c r="ET614" s="369" t="str">
        <f ca="1">IF(ES614="","",CONCATENATE(VLOOKUP(ES614,games.a,9,FALSE),VLOOKUP(ES614,games.a,12,FALSE)))</f>
        <v/>
      </c>
      <c r="EU614" s="420"/>
      <c r="EV614" s="421"/>
      <c r="EW614" s="423" t="str">
        <f ca="1">IF(ES614="","",VLOOKUP(ES614,games.a,6,FALSE))</f>
        <v/>
      </c>
      <c r="EX614" s="409" t="str">
        <f ca="1">IF(ES614="","",VLOOKUP(ES614,games.a,7,FALSE))</f>
        <v/>
      </c>
      <c r="EY614" s="415" t="str">
        <f ca="1">EY613</f>
        <v/>
      </c>
      <c r="EZ614" s="416"/>
      <c r="FA614" s="417"/>
      <c r="FD614" s="425"/>
      <c r="FE614" s="333"/>
    </row>
    <row r="615" spans="86:161" x14ac:dyDescent="0.25">
      <c r="CH615" s="445"/>
      <c r="CI615" s="300"/>
      <c r="CJ615" s="300"/>
      <c r="CK615" s="300"/>
      <c r="CL615" s="449"/>
      <c r="CM615" s="445"/>
      <c r="CN615" s="300"/>
      <c r="CO615" s="302"/>
      <c r="CP615" s="302"/>
      <c r="CQ615" s="302"/>
      <c r="CR615" s="302"/>
      <c r="CS615" s="302"/>
      <c r="CT615" s="302"/>
      <c r="CU615" s="302"/>
      <c r="CV615" s="302"/>
      <c r="CW615" s="302"/>
      <c r="CX615" s="302"/>
      <c r="CY615" s="302"/>
      <c r="CZ615" s="302"/>
      <c r="DA615" s="302"/>
      <c r="DB615" s="302"/>
      <c r="DC615" s="302"/>
      <c r="DD615" s="302"/>
      <c r="DE615" s="302"/>
      <c r="DF615" s="302"/>
      <c r="DG615" s="445"/>
      <c r="DH615" s="445"/>
      <c r="DI615" s="395" t="str">
        <f>DI609</f>
        <v/>
      </c>
      <c r="DJ615" s="465" t="str">
        <f ca="1">IF(OR(DI615="",DP615="",DI615=DP615,COUNTIF(games.av,DI615&amp;DP615)=0),"",CONCATENATE(DI615,DP615))</f>
        <v/>
      </c>
      <c r="DK615" s="360" t="str">
        <f ca="1">IF($DJ615="","",CONCATENATE(VLOOKUP($DJ615,games.a,9,FALSE),VLOOKUP($DJ615,games.a,12,FALSE)))</f>
        <v/>
      </c>
      <c r="DL615" s="354" t="str">
        <f ca="1">IF($DJ615="","",VLOOKUP($DJ615,games.a,10,FALSE))</f>
        <v/>
      </c>
      <c r="DM615" s="354" t="str">
        <f ca="1">IF($DJ615="","",VLOOKUP($DJ615,games.a,13,FALSE))</f>
        <v/>
      </c>
      <c r="DN615" s="361" t="str">
        <f ca="1">IF($DJ615="","",VLOOKUP($DJ615,games.a,6,FALSE))</f>
        <v/>
      </c>
      <c r="DO615" s="362" t="str">
        <f ca="1">IF($DJ615="","",VLOOKUP($DJ615,games.a,7,FALSE))</f>
        <v/>
      </c>
      <c r="DP615" s="379" t="str">
        <f>DP614</f>
        <v/>
      </c>
      <c r="DQ615" s="302"/>
      <c r="DR615" s="364"/>
      <c r="DS615" s="445"/>
      <c r="DU615" s="424"/>
      <c r="EL615" s="424"/>
      <c r="EM615" s="424"/>
      <c r="EN615" s="424"/>
      <c r="EO615" s="424"/>
      <c r="EP615" s="424"/>
      <c r="EQ615" s="424"/>
      <c r="ER615" s="424"/>
      <c r="ES615" s="424"/>
      <c r="ET615" s="424"/>
      <c r="EU615" s="424"/>
      <c r="EV615" s="424"/>
      <c r="EW615" s="424"/>
      <c r="EX615" s="424"/>
      <c r="EY615" s="424"/>
      <c r="EZ615" s="424"/>
      <c r="FA615" s="424"/>
      <c r="FE615" s="333"/>
    </row>
    <row r="616" spans="86:161" x14ac:dyDescent="0.25">
      <c r="CH616" s="445"/>
      <c r="CI616" s="300"/>
      <c r="CJ616" s="300"/>
      <c r="CK616" s="300"/>
      <c r="CL616" s="449"/>
      <c r="CM616" s="445"/>
      <c r="CN616" s="300"/>
      <c r="CO616" s="302"/>
      <c r="CP616" s="302"/>
      <c r="CQ616" s="302"/>
      <c r="CR616" s="302"/>
      <c r="CS616" s="302"/>
      <c r="CT616" s="302"/>
      <c r="CU616" s="302"/>
      <c r="CV616" s="302"/>
      <c r="CW616" s="302"/>
      <c r="CX616" s="302"/>
      <c r="CY616" s="302"/>
      <c r="CZ616" s="302"/>
      <c r="DA616" s="302"/>
      <c r="DB616" s="302"/>
      <c r="DC616" s="302"/>
      <c r="DD616" s="302"/>
      <c r="DE616" s="302"/>
      <c r="DF616" s="302"/>
      <c r="DG616" s="445"/>
      <c r="DH616" s="445"/>
      <c r="DI616" s="395" t="str">
        <f>DI610</f>
        <v/>
      </c>
      <c r="DJ616" s="465" t="str">
        <f ca="1">IF(OR(DI616="",DP616="",DI616=DP616,COUNTIF(games.av,DI616&amp;DP616)=0),"",CONCATENATE(DI616,DP616))</f>
        <v/>
      </c>
      <c r="DK616" s="360" t="str">
        <f ca="1">IF($DJ616="","",CONCATENATE(VLOOKUP($DJ616,games.a,9,FALSE),VLOOKUP($DJ616,games.a,12,FALSE)))</f>
        <v/>
      </c>
      <c r="DL616" s="354" t="str">
        <f ca="1">IF($DJ616="","",VLOOKUP($DJ616,games.a,10,FALSE))</f>
        <v/>
      </c>
      <c r="DM616" s="354" t="str">
        <f ca="1">IF($DJ616="","",VLOOKUP($DJ616,games.a,13,FALSE))</f>
        <v/>
      </c>
      <c r="DN616" s="361" t="str">
        <f ca="1">IF($DJ616="","",VLOOKUP($DJ616,games.a,6,FALSE))</f>
        <v/>
      </c>
      <c r="DO616" s="362" t="str">
        <f ca="1">IF($DJ616="","",VLOOKUP($DJ616,games.a,7,FALSE))</f>
        <v/>
      </c>
      <c r="DP616" s="379" t="str">
        <f>DP615</f>
        <v/>
      </c>
      <c r="DQ616" s="302"/>
      <c r="DR616" s="364"/>
      <c r="DS616" s="445"/>
      <c r="DU616" s="424"/>
      <c r="EL616" s="424"/>
      <c r="EM616" s="424"/>
      <c r="EN616" s="424"/>
      <c r="EO616" s="424"/>
      <c r="EP616" s="424"/>
      <c r="EQ616" s="424"/>
      <c r="ER616" s="424"/>
      <c r="ES616" s="424"/>
      <c r="ET616" s="424"/>
      <c r="EU616" s="424"/>
      <c r="EV616" s="424"/>
      <c r="EW616" s="424"/>
      <c r="EX616" s="424"/>
      <c r="EY616" s="424"/>
      <c r="EZ616" s="424"/>
      <c r="FA616" s="424"/>
      <c r="FE616" s="333"/>
    </row>
    <row r="617" spans="86:161" x14ac:dyDescent="0.25">
      <c r="CH617" s="445"/>
      <c r="CI617" s="300"/>
      <c r="CJ617" s="300"/>
      <c r="CK617" s="300"/>
      <c r="CL617" s="449"/>
      <c r="CM617" s="445"/>
      <c r="CN617" s="300"/>
      <c r="CO617" s="302"/>
      <c r="CP617" s="302"/>
      <c r="CQ617" s="302"/>
      <c r="CR617" s="302"/>
      <c r="CS617" s="302"/>
      <c r="CT617" s="302"/>
      <c r="CU617" s="302"/>
      <c r="CV617" s="302"/>
      <c r="CW617" s="302"/>
      <c r="CX617" s="302"/>
      <c r="CY617" s="302"/>
      <c r="CZ617" s="302"/>
      <c r="DA617" s="302"/>
      <c r="DB617" s="302"/>
      <c r="DC617" s="302"/>
      <c r="DD617" s="302"/>
      <c r="DE617" s="302"/>
      <c r="DF617" s="302"/>
      <c r="DG617" s="445"/>
      <c r="DH617" s="445"/>
      <c r="DI617" s="395" t="str">
        <f>DI611</f>
        <v/>
      </c>
      <c r="DJ617" s="465" t="str">
        <f ca="1">IF(OR(DI617="",DP617="",DI617=DP617,COUNTIF(games.av,DI617&amp;DP617)=0),"",CONCATENATE(DI617,DP617))</f>
        <v/>
      </c>
      <c r="DK617" s="360" t="str">
        <f ca="1">IF($DJ617="","",CONCATENATE(VLOOKUP($DJ617,games.a,9,FALSE),VLOOKUP($DJ617,games.a,12,FALSE)))</f>
        <v/>
      </c>
      <c r="DL617" s="354" t="str">
        <f ca="1">IF($DJ617="","",VLOOKUP($DJ617,games.a,10,FALSE))</f>
        <v/>
      </c>
      <c r="DM617" s="354" t="str">
        <f ca="1">IF($DJ617="","",VLOOKUP($DJ617,games.a,13,FALSE))</f>
        <v/>
      </c>
      <c r="DN617" s="361" t="str">
        <f ca="1">IF($DJ617="","",VLOOKUP($DJ617,games.a,6,FALSE))</f>
        <v/>
      </c>
      <c r="DO617" s="362" t="str">
        <f ca="1">IF($DJ617="","",VLOOKUP($DJ617,games.a,7,FALSE))</f>
        <v/>
      </c>
      <c r="DP617" s="379" t="str">
        <f>DP616</f>
        <v/>
      </c>
      <c r="DQ617" s="302"/>
      <c r="DR617" s="364"/>
      <c r="DS617" s="445"/>
      <c r="DU617" s="424"/>
      <c r="EL617" s="424"/>
      <c r="EM617" s="424"/>
      <c r="EN617" s="424"/>
      <c r="EO617" s="424"/>
      <c r="EP617" s="424"/>
      <c r="EQ617" s="424"/>
      <c r="FE617" s="333"/>
    </row>
    <row r="618" spans="86:161" x14ac:dyDescent="0.25">
      <c r="CH618" s="445"/>
      <c r="CI618" s="300"/>
      <c r="CJ618" s="300"/>
      <c r="CK618" s="300"/>
      <c r="CL618" s="449"/>
      <c r="CM618" s="445"/>
      <c r="CN618" s="300"/>
      <c r="CO618" s="302"/>
      <c r="CP618" s="302"/>
      <c r="CQ618" s="302"/>
      <c r="CR618" s="302"/>
      <c r="CS618" s="302"/>
      <c r="CT618" s="302"/>
      <c r="CU618" s="302"/>
      <c r="CV618" s="302"/>
      <c r="CW618" s="302"/>
      <c r="CX618" s="302"/>
      <c r="CY618" s="302"/>
      <c r="CZ618" s="302"/>
      <c r="DA618" s="302"/>
      <c r="DB618" s="302"/>
      <c r="DC618" s="302"/>
      <c r="DD618" s="302"/>
      <c r="DE618" s="302"/>
      <c r="DF618" s="302"/>
      <c r="DG618" s="445"/>
      <c r="DH618" s="445"/>
      <c r="DI618" s="301"/>
      <c r="DJ618" s="302"/>
      <c r="DK618" s="302"/>
      <c r="DL618" s="302"/>
      <c r="DM618" s="302"/>
      <c r="DN618" s="302"/>
      <c r="DO618" s="302"/>
      <c r="DP618" s="447"/>
      <c r="DQ618" s="302"/>
      <c r="DR618" s="446" t="s">
        <v>220</v>
      </c>
      <c r="DS618" s="445"/>
      <c r="DU618" s="424"/>
      <c r="EL618" s="424"/>
      <c r="EM618" s="424"/>
      <c r="EN618" s="424"/>
      <c r="EO618" s="424"/>
      <c r="EP618" s="424"/>
      <c r="EQ618" s="424"/>
      <c r="FE618" s="333"/>
    </row>
    <row r="619" spans="86:161" x14ac:dyDescent="0.25">
      <c r="DI619" s="301"/>
      <c r="DJ619" s="302"/>
      <c r="DK619" s="302"/>
      <c r="DL619" s="302"/>
      <c r="DM619" s="302"/>
      <c r="DN619" s="302"/>
      <c r="DO619" s="302"/>
      <c r="DP619" s="447"/>
      <c r="DQ619" s="302"/>
      <c r="DR619" s="448" t="s">
        <v>221</v>
      </c>
      <c r="EL619" s="424"/>
      <c r="EM619" s="424"/>
      <c r="EN619" s="424"/>
      <c r="EO619" s="424"/>
      <c r="EP619" s="424"/>
      <c r="EQ619" s="424"/>
    </row>
    <row r="620" spans="86:161" x14ac:dyDescent="0.25">
      <c r="DI620" s="323" t="b">
        <f ca="1">OR(NOT($AJ$44),COUNTIF(DN620:DN631,"")=9-(DP620-1)*DP620,COUNTIF(DN620:DN631,"")=9-(DP620-1)*DP620/2)</f>
        <v>1</v>
      </c>
      <c r="DJ620" s="458" t="s">
        <v>157</v>
      </c>
      <c r="DK620" s="458" t="s">
        <v>158</v>
      </c>
      <c r="DL620" s="459" t="s">
        <v>159</v>
      </c>
      <c r="DM620" s="459"/>
      <c r="DN620" s="460" t="s">
        <v>160</v>
      </c>
      <c r="DO620" s="459" t="s">
        <v>135</v>
      </c>
      <c r="DP620" s="323">
        <f>COUNT(CT369:CT371)</f>
        <v>0</v>
      </c>
      <c r="DQ620" s="302"/>
      <c r="DR620" s="364"/>
      <c r="DV620" s="329" t="s">
        <v>229</v>
      </c>
      <c r="DW620" s="365"/>
      <c r="DX620" s="329" t="s">
        <v>152</v>
      </c>
      <c r="DY620" s="329" t="s">
        <v>153</v>
      </c>
      <c r="DZ620" s="329" t="s">
        <v>154</v>
      </c>
      <c r="EA620" s="329" t="s">
        <v>155</v>
      </c>
      <c r="EB620" s="329" t="s">
        <v>125</v>
      </c>
      <c r="EC620" s="329" t="s">
        <v>226</v>
      </c>
      <c r="ED620" s="329" t="s">
        <v>126</v>
      </c>
      <c r="EE620" s="329" t="s">
        <v>227</v>
      </c>
      <c r="EF620" s="424"/>
      <c r="EG620" s="424"/>
      <c r="EH620" s="424"/>
      <c r="EI620" s="329" t="s">
        <v>228</v>
      </c>
      <c r="EJ620" s="329" t="s">
        <v>156</v>
      </c>
      <c r="EK620" s="329" t="s">
        <v>208</v>
      </c>
      <c r="EL620" s="424"/>
      <c r="EM620" s="424"/>
      <c r="EN620" s="424"/>
      <c r="EO620" s="424"/>
      <c r="EP620" s="424"/>
      <c r="EQ620" s="424"/>
    </row>
    <row r="621" spans="86:161" x14ac:dyDescent="0.25">
      <c r="DI621" s="464" t="str">
        <f>IF(CT369="","",VLOOKUP(CT369,xxx.av2,7,FALSE))</f>
        <v/>
      </c>
      <c r="DJ621" s="465" t="str">
        <f ca="1">IF(OR(DI621="",DP621="",DI621=DP621,COUNTIF(games.av,DI621&amp;DP621)=0),"",CONCATENATE(DI621,DP621))</f>
        <v/>
      </c>
      <c r="DK621" s="360" t="str">
        <f ca="1">IF($DJ621="","",CONCATENATE(VLOOKUP($DJ621,games.a,9,FALSE),VLOOKUP($DJ621,games.a,12,FALSE)))</f>
        <v/>
      </c>
      <c r="DL621" s="354" t="str">
        <f ca="1">IF($DJ621="","",VLOOKUP($DJ621,games.a,10,FALSE))</f>
        <v/>
      </c>
      <c r="DM621" s="354" t="str">
        <f ca="1">IF($DJ621="","",VLOOKUP($DJ621,games.a,13,FALSE))</f>
        <v/>
      </c>
      <c r="DN621" s="361" t="str">
        <f ca="1">IF($DJ621="","",VLOOKUP($DJ621,games.a,6,FALSE))</f>
        <v/>
      </c>
      <c r="DO621" s="362" t="str">
        <f ca="1">IF($DJ621="","",VLOOKUP($DJ621,games.a,7,FALSE))</f>
        <v/>
      </c>
      <c r="DP621" s="466" t="str">
        <f>DI621</f>
        <v/>
      </c>
      <c r="DQ621" s="302"/>
      <c r="DR621" s="364"/>
      <c r="DV621" s="366" t="str">
        <f ca="1">IF(OR(NOT($AJ$44),DI620),DI621,"")</f>
        <v/>
      </c>
      <c r="DW621" s="365"/>
      <c r="DX621" s="366">
        <f ca="1">IF($DV621="",0,COUNTIF(xxgy.av,$DV621))</f>
        <v>0</v>
      </c>
      <c r="DY621" s="366">
        <f ca="1">IF($DV621="",0,COUNTIF(xxd.av,$DV621))</f>
        <v>0</v>
      </c>
      <c r="DZ621" s="366">
        <f ca="1">IF($DV621="",0,1)*(SUMIF(xxo.av,$DV621,xxl.av)+SUMIF(xxi.av,$DV621,xxk.av))</f>
        <v>0</v>
      </c>
      <c r="EA621" s="366">
        <f ca="1">IF($DV621="",0,1)*(SUMIF(xxo.av,$DV621,xxk.av)+SUMIF(xxi.av,$DV621,xxl.av))</f>
        <v>0</v>
      </c>
      <c r="EB621" s="366">
        <f ca="1">DZ621-EA621</f>
        <v>0</v>
      </c>
      <c r="EC621" s="366">
        <f ca="1">IF(EA621=0,0,DZ621/EA621)</f>
        <v>0</v>
      </c>
      <c r="ED621" s="366">
        <f ca="1">$AJ$48*DX621+IF($AJ$44,0,1)*DY621</f>
        <v>0</v>
      </c>
      <c r="EE621" s="396">
        <f ca="1">ED621*1000000+IF($AJ$44,EC621,EB621)*1000*0</f>
        <v>0</v>
      </c>
      <c r="EF621" s="424"/>
      <c r="EG621" s="424"/>
      <c r="EH621" s="424"/>
      <c r="EI621" s="366">
        <f ca="1">IF(OR(ISERR(EE621),ISNA(EE621)),0,EE621)</f>
        <v>0</v>
      </c>
      <c r="EJ621" s="366">
        <f ca="1">IF(EI621=0,0,RANK(EI621,EI621:EI623,1))</f>
        <v>0</v>
      </c>
      <c r="EK621" s="366">
        <f ca="1">EJ621*40000*IF(COUNTIF($FC$589:$FC$598,DV621)&gt;0,0,1)</f>
        <v>0</v>
      </c>
      <c r="EL621" s="424"/>
      <c r="EM621" s="424"/>
      <c r="EN621" s="424"/>
      <c r="EO621" s="424"/>
      <c r="EP621" s="424"/>
      <c r="EQ621" s="424"/>
    </row>
    <row r="622" spans="86:161" x14ac:dyDescent="0.25">
      <c r="DI622" s="464" t="str">
        <f>IF(CT370="","",VLOOKUP(CT370,xxx.av2,7,FALSE))</f>
        <v/>
      </c>
      <c r="DJ622" s="465" t="str">
        <f ca="1">IF(OR(DI622="",DP622="",DI622=DP622,COUNTIF(games.av,DI622&amp;DP622)=0),"",CONCATENATE(DI622,DP622))</f>
        <v/>
      </c>
      <c r="DK622" s="360" t="str">
        <f ca="1">IF($DJ622="","",CONCATENATE(VLOOKUP($DJ622,games.a,9,FALSE),VLOOKUP($DJ622,games.a,12,FALSE)))</f>
        <v/>
      </c>
      <c r="DL622" s="354" t="str">
        <f ca="1">IF($DJ622="","",VLOOKUP($DJ622,games.a,10,FALSE))</f>
        <v/>
      </c>
      <c r="DM622" s="354" t="str">
        <f ca="1">IF($DJ622="","",VLOOKUP($DJ622,games.a,13,FALSE))</f>
        <v/>
      </c>
      <c r="DN622" s="361" t="str">
        <f ca="1">IF($DJ622="","",VLOOKUP($DJ622,games.a,6,FALSE))</f>
        <v/>
      </c>
      <c r="DO622" s="362" t="str">
        <f ca="1">IF($DJ622="","",VLOOKUP($DJ622,games.a,7,FALSE))</f>
        <v/>
      </c>
      <c r="DP622" s="379" t="str">
        <f>DP621</f>
        <v/>
      </c>
      <c r="DQ622" s="302"/>
      <c r="DR622" s="364"/>
      <c r="DV622" s="366" t="str">
        <f ca="1">IF(OR(NOT($AJ$44),DI620),DI622,"")</f>
        <v/>
      </c>
      <c r="DW622" s="365"/>
      <c r="DX622" s="366">
        <f ca="1">IF($DV622="",0,COUNTIF(xxgy.av,$DV622))</f>
        <v>0</v>
      </c>
      <c r="DY622" s="366">
        <f ca="1">IF($DV622="",0,COUNTIF(xxd.av,$DV622))</f>
        <v>0</v>
      </c>
      <c r="DZ622" s="366">
        <f ca="1">IF($DV622="",0,1)*(SUMIF(xxo.av,$DV622,xxl.av)+SUMIF(xxi.av,$DV622,xxk.av))</f>
        <v>0</v>
      </c>
      <c r="EA622" s="366">
        <f ca="1">IF($DV622="",0,1)*(SUMIF(xxo.av,$DV622,xxk.av)+SUMIF(xxi.av,$DV622,xxl.av))</f>
        <v>0</v>
      </c>
      <c r="EB622" s="366">
        <f ca="1">DZ622-EA622</f>
        <v>0</v>
      </c>
      <c r="EC622" s="366">
        <f ca="1">IF(EA622=0,0,DZ622/EA622)</f>
        <v>0</v>
      </c>
      <c r="ED622" s="366">
        <f ca="1">$AJ$48*DX622+IF($AJ$44,0,1)*DY622</f>
        <v>0</v>
      </c>
      <c r="EE622" s="396">
        <f ca="1">ED622*1000000+IF($AJ$44,EC622,EB622)*1000*0</f>
        <v>0</v>
      </c>
      <c r="EF622" s="424"/>
      <c r="EG622" s="424"/>
      <c r="EH622" s="424"/>
      <c r="EI622" s="366">
        <f ca="1">IF(OR(ISERR(EE622),ISNA(EE622)),0,EE622)</f>
        <v>0</v>
      </c>
      <c r="EJ622" s="366">
        <f ca="1">IF(EI622=0,0,RANK(EI622,EI621:EI623,1))</f>
        <v>0</v>
      </c>
      <c r="EK622" s="366">
        <f ca="1">EJ622*40000*IF(COUNTIF($FC$589:$FC$598,DV622)&gt;0,0,1)</f>
        <v>0</v>
      </c>
      <c r="EL622" s="424"/>
      <c r="EM622" s="424"/>
      <c r="EN622" s="424"/>
      <c r="EO622" s="424"/>
      <c r="EP622" s="424"/>
      <c r="EQ622" s="424"/>
    </row>
    <row r="623" spans="86:161" x14ac:dyDescent="0.25">
      <c r="DI623" s="464" t="str">
        <f>IF(CT371="","",VLOOKUP(CT371,xxx.av2,7,FALSE))</f>
        <v/>
      </c>
      <c r="DJ623" s="465" t="str">
        <f ca="1">IF(OR(DI623="",DP623="",DI623=DP623,COUNTIF(games.av,DI623&amp;DP623)=0),"",CONCATENATE(DI623,DP623))</f>
        <v/>
      </c>
      <c r="DK623" s="360" t="str">
        <f ca="1">IF($DJ623="","",CONCATENATE(VLOOKUP($DJ623,games.a,9,FALSE),VLOOKUP($DJ623,games.a,12,FALSE)))</f>
        <v/>
      </c>
      <c r="DL623" s="354" t="str">
        <f ca="1">IF($DJ623="","",VLOOKUP($DJ623,games.a,10,FALSE))</f>
        <v/>
      </c>
      <c r="DM623" s="354" t="str">
        <f ca="1">IF($DJ623="","",VLOOKUP($DJ623,games.a,13,FALSE))</f>
        <v/>
      </c>
      <c r="DN623" s="361" t="str">
        <f ca="1">IF($DJ623="","",VLOOKUP($DJ623,games.a,6,FALSE))</f>
        <v/>
      </c>
      <c r="DO623" s="362" t="str">
        <f ca="1">IF($DJ623="","",VLOOKUP($DJ623,games.a,7,FALSE))</f>
        <v/>
      </c>
      <c r="DP623" s="379" t="str">
        <f>DP622</f>
        <v/>
      </c>
      <c r="DQ623" s="302"/>
      <c r="DR623" s="364"/>
      <c r="DV623" s="366" t="str">
        <f ca="1">IF(OR(NOT($AJ$44),DI620),DI623,"")</f>
        <v/>
      </c>
      <c r="DW623" s="365"/>
      <c r="DX623" s="366">
        <f ca="1">IF($DV623="",0,COUNTIF(xxgy.av,$DV623))</f>
        <v>0</v>
      </c>
      <c r="DY623" s="366">
        <f ca="1">IF($DV623="",0,COUNTIF(xxd.av,$DV623))</f>
        <v>0</v>
      </c>
      <c r="DZ623" s="366">
        <f ca="1">IF($DV623="",0,1)*(SUMIF(xxo.av,$DV623,xxl.av)+SUMIF(xxi.av,$DV623,xxk.av))</f>
        <v>0</v>
      </c>
      <c r="EA623" s="366">
        <f ca="1">IF($DV623="",0,1)*(SUMIF(xxo.av,$DV623,xxk.av)+SUMIF(xxi.av,$DV623,xxl.av))</f>
        <v>0</v>
      </c>
      <c r="EB623" s="366">
        <f ca="1">DZ623-EA623</f>
        <v>0</v>
      </c>
      <c r="EC623" s="366">
        <f ca="1">IF(EA623=0,0,DZ623/EA623)</f>
        <v>0</v>
      </c>
      <c r="ED623" s="366">
        <f ca="1">$AJ$48*DX623+IF($AJ$44,0,1)*DY623</f>
        <v>0</v>
      </c>
      <c r="EE623" s="396">
        <f ca="1">ED623*1000000+IF($AJ$44,EC623,EB623)*1000*0</f>
        <v>0</v>
      </c>
      <c r="EF623" s="424"/>
      <c r="EG623" s="424"/>
      <c r="EH623" s="424"/>
      <c r="EI623" s="366">
        <f ca="1">IF(OR(ISERR(EE623),ISNA(EE623)),0,EE623)</f>
        <v>0</v>
      </c>
      <c r="EJ623" s="366">
        <f ca="1">IF(EI623=0,0,RANK(EI623,EI621:EI623,1))</f>
        <v>0</v>
      </c>
      <c r="EK623" s="366">
        <f ca="1">EJ623*40000*IF(COUNTIF($FC$589:$FC$598,DV623)&gt;0,0,1)</f>
        <v>0</v>
      </c>
      <c r="EL623" s="424"/>
      <c r="EM623" s="424"/>
      <c r="EN623" s="424"/>
      <c r="EO623" s="424"/>
      <c r="EP623" s="424"/>
      <c r="EQ623" s="424"/>
    </row>
    <row r="624" spans="86:161" x14ac:dyDescent="0.25">
      <c r="DI624" s="301"/>
      <c r="DJ624" s="458" t="s">
        <v>157</v>
      </c>
      <c r="DK624" s="458" t="s">
        <v>158</v>
      </c>
      <c r="DL624" s="459" t="s">
        <v>159</v>
      </c>
      <c r="DM624" s="459"/>
      <c r="DN624" s="460" t="s">
        <v>160</v>
      </c>
      <c r="DO624" s="459" t="s">
        <v>135</v>
      </c>
      <c r="DP624" s="302"/>
      <c r="DQ624" s="302"/>
      <c r="DR624" s="364"/>
      <c r="DV624" s="424"/>
      <c r="DW624" s="424"/>
      <c r="DX624" s="424"/>
      <c r="DY624" s="424"/>
      <c r="DZ624" s="424"/>
      <c r="EA624" s="424"/>
      <c r="EB624" s="424"/>
      <c r="EC624" s="424"/>
      <c r="ED624" s="424"/>
      <c r="EE624" s="424"/>
      <c r="EF624" s="424"/>
      <c r="EG624" s="424"/>
      <c r="EH624" s="424"/>
      <c r="EI624" s="424"/>
      <c r="EJ624" s="424"/>
      <c r="EK624" s="424"/>
      <c r="EL624" s="424"/>
      <c r="EM624" s="424"/>
      <c r="EN624" s="424"/>
      <c r="EO624" s="424"/>
      <c r="EP624" s="424"/>
      <c r="EQ624" s="424"/>
    </row>
    <row r="625" spans="113:147" x14ac:dyDescent="0.25">
      <c r="DI625" s="395" t="str">
        <f>DI621</f>
        <v/>
      </c>
      <c r="DJ625" s="465" t="str">
        <f ca="1">IF(OR(DI625="",DP625="",DI625=DP625,COUNTIF(games.av,DI625&amp;DP625)=0),"",CONCATENATE(DI625,DP625))</f>
        <v/>
      </c>
      <c r="DK625" s="360" t="str">
        <f ca="1">IF($DJ625="","",CONCATENATE(VLOOKUP($DJ625,games.a,9,FALSE),VLOOKUP($DJ625,games.a,12,FALSE)))</f>
        <v/>
      </c>
      <c r="DL625" s="354" t="str">
        <f ca="1">IF($DJ625="","",VLOOKUP($DJ625,games.a,10,FALSE))</f>
        <v/>
      </c>
      <c r="DM625" s="354" t="str">
        <f ca="1">IF($DJ625="","",VLOOKUP($DJ625,games.a,13,FALSE))</f>
        <v/>
      </c>
      <c r="DN625" s="361" t="str">
        <f ca="1">IF($DJ625="","",VLOOKUP($DJ625,games.a,6,FALSE))</f>
        <v/>
      </c>
      <c r="DO625" s="362" t="str">
        <f ca="1">IF($DJ625="","",VLOOKUP($DJ625,games.a,7,FALSE))</f>
        <v/>
      </c>
      <c r="DP625" s="466" t="str">
        <f>DI622</f>
        <v/>
      </c>
      <c r="DQ625" s="302"/>
      <c r="DR625" s="364"/>
      <c r="DV625" s="424"/>
      <c r="DW625" s="424"/>
      <c r="DX625" s="424"/>
      <c r="DY625" s="424"/>
      <c r="DZ625" s="424"/>
      <c r="EA625" s="424"/>
      <c r="EB625" s="424"/>
      <c r="EC625" s="424"/>
      <c r="ED625" s="424"/>
      <c r="EE625" s="424"/>
      <c r="EF625" s="424"/>
      <c r="EG625" s="424"/>
      <c r="EH625" s="424"/>
      <c r="EI625" s="424"/>
      <c r="EJ625" s="424"/>
      <c r="EK625" s="424"/>
      <c r="EL625" s="424"/>
      <c r="EM625" s="424"/>
      <c r="EN625" s="424"/>
      <c r="EO625" s="424"/>
      <c r="EP625" s="424"/>
      <c r="EQ625" s="424"/>
    </row>
    <row r="626" spans="113:147" x14ac:dyDescent="0.25">
      <c r="DI626" s="395" t="str">
        <f>DI622</f>
        <v/>
      </c>
      <c r="DJ626" s="465" t="str">
        <f ca="1">IF(OR(DI626="",DP626="",DI626=DP626,COUNTIF(games.av,DI626&amp;DP626)=0),"",CONCATENATE(DI626,DP626))</f>
        <v/>
      </c>
      <c r="DK626" s="360" t="str">
        <f ca="1">IF($DJ626="","",CONCATENATE(VLOOKUP($DJ626,games.a,9,FALSE),VLOOKUP($DJ626,games.a,12,FALSE)))</f>
        <v/>
      </c>
      <c r="DL626" s="354" t="str">
        <f ca="1">IF($DJ626="","",VLOOKUP($DJ626,games.a,10,FALSE))</f>
        <v/>
      </c>
      <c r="DM626" s="354" t="str">
        <f ca="1">IF($DJ626="","",VLOOKUP($DJ626,games.a,13,FALSE))</f>
        <v/>
      </c>
      <c r="DN626" s="361" t="str">
        <f ca="1">IF($DJ626="","",VLOOKUP($DJ626,games.a,6,FALSE))</f>
        <v/>
      </c>
      <c r="DO626" s="362" t="str">
        <f ca="1">IF($DJ626="","",VLOOKUP($DJ626,games.a,7,FALSE))</f>
        <v/>
      </c>
      <c r="DP626" s="379" t="str">
        <f>DP625</f>
        <v/>
      </c>
      <c r="DQ626" s="302"/>
      <c r="DR626" s="364"/>
      <c r="DV626" s="424"/>
      <c r="DW626" s="424"/>
      <c r="DX626" s="424"/>
      <c r="DY626" s="424"/>
      <c r="DZ626" s="424"/>
      <c r="EA626" s="424"/>
      <c r="EB626" s="424"/>
      <c r="EC626" s="424"/>
      <c r="ED626" s="424"/>
      <c r="EE626" s="424"/>
      <c r="EF626" s="424"/>
      <c r="EG626" s="424"/>
      <c r="EH626" s="424"/>
      <c r="EI626" s="424"/>
      <c r="EJ626" s="424"/>
      <c r="EK626" s="424"/>
      <c r="EL626" s="424"/>
      <c r="EM626" s="424"/>
      <c r="EN626" s="424"/>
      <c r="EO626" s="424"/>
      <c r="EP626" s="424"/>
      <c r="EQ626" s="424"/>
    </row>
    <row r="627" spans="113:147" x14ac:dyDescent="0.25">
      <c r="DI627" s="395" t="str">
        <f>DI623</f>
        <v/>
      </c>
      <c r="DJ627" s="465" t="str">
        <f ca="1">IF(OR(DI627="",DP627="",DI627=DP627,COUNTIF(games.av,DI627&amp;DP627)=0),"",CONCATENATE(DI627,DP627))</f>
        <v/>
      </c>
      <c r="DK627" s="360" t="str">
        <f ca="1">IF($DJ627="","",CONCATENATE(VLOOKUP($DJ627,games.a,9,FALSE),VLOOKUP($DJ627,games.a,12,FALSE)))</f>
        <v/>
      </c>
      <c r="DL627" s="354" t="str">
        <f ca="1">IF($DJ627="","",VLOOKUP($DJ627,games.a,10,FALSE))</f>
        <v/>
      </c>
      <c r="DM627" s="354" t="str">
        <f ca="1">IF($DJ627="","",VLOOKUP($DJ627,games.a,13,FALSE))</f>
        <v/>
      </c>
      <c r="DN627" s="361" t="str">
        <f ca="1">IF($DJ627="","",VLOOKUP($DJ627,games.a,6,FALSE))</f>
        <v/>
      </c>
      <c r="DO627" s="362" t="str">
        <f ca="1">IF($DJ627="","",VLOOKUP($DJ627,games.a,7,FALSE))</f>
        <v/>
      </c>
      <c r="DP627" s="379" t="str">
        <f>DP626</f>
        <v/>
      </c>
      <c r="DQ627" s="302"/>
      <c r="DR627" s="364"/>
      <c r="DV627" s="424"/>
      <c r="DW627" s="424"/>
      <c r="DX627" s="424"/>
      <c r="DY627" s="424"/>
      <c r="DZ627" s="424"/>
      <c r="EA627" s="424"/>
      <c r="EB627" s="424"/>
      <c r="EC627" s="424"/>
      <c r="ED627" s="424"/>
      <c r="EE627" s="424"/>
      <c r="EF627" s="424"/>
      <c r="EG627" s="424"/>
      <c r="EH627" s="424"/>
      <c r="EI627" s="424"/>
      <c r="EJ627" s="424"/>
      <c r="EK627" s="424"/>
      <c r="EL627" s="424"/>
      <c r="EM627" s="424"/>
      <c r="EN627" s="424"/>
      <c r="EO627" s="424"/>
      <c r="EP627" s="424"/>
      <c r="EQ627" s="424"/>
    </row>
    <row r="628" spans="113:147" x14ac:dyDescent="0.25">
      <c r="DI628" s="301"/>
      <c r="DJ628" s="458" t="s">
        <v>157</v>
      </c>
      <c r="DK628" s="458" t="s">
        <v>158</v>
      </c>
      <c r="DL628" s="459" t="s">
        <v>159</v>
      </c>
      <c r="DM628" s="459"/>
      <c r="DN628" s="460" t="s">
        <v>160</v>
      </c>
      <c r="DO628" s="459" t="s">
        <v>135</v>
      </c>
      <c r="DP628" s="302"/>
      <c r="DQ628" s="302"/>
      <c r="DR628" s="364"/>
      <c r="DV628" s="424"/>
      <c r="DW628" s="424"/>
      <c r="DX628" s="424"/>
      <c r="DY628" s="424"/>
      <c r="DZ628" s="424"/>
      <c r="EA628" s="424"/>
      <c r="EB628" s="424"/>
      <c r="EC628" s="424"/>
      <c r="ED628" s="424"/>
      <c r="EE628" s="424"/>
      <c r="EF628" s="424"/>
      <c r="EG628" s="424"/>
      <c r="EH628" s="424"/>
      <c r="EI628" s="424"/>
      <c r="EJ628" s="424"/>
      <c r="EK628" s="424"/>
      <c r="EL628" s="424"/>
      <c r="EM628" s="424"/>
      <c r="EN628" s="424"/>
      <c r="EO628" s="424"/>
      <c r="EP628" s="424"/>
      <c r="EQ628" s="424"/>
    </row>
    <row r="629" spans="113:147" x14ac:dyDescent="0.25">
      <c r="DI629" s="395" t="str">
        <f>DI625</f>
        <v/>
      </c>
      <c r="DJ629" s="465" t="str">
        <f ca="1">IF(OR(DI629="",DP629="",DI629=DP629,COUNTIF(games.av,DI629&amp;DP629)=0),"",CONCATENATE(DI629,DP629))</f>
        <v/>
      </c>
      <c r="DK629" s="360" t="str">
        <f ca="1">IF($DJ629="","",CONCATENATE(VLOOKUP($DJ629,games.a,9,FALSE),VLOOKUP($DJ629,games.a,12,FALSE)))</f>
        <v/>
      </c>
      <c r="DL629" s="354" t="str">
        <f ca="1">IF($DJ629="","",VLOOKUP($DJ629,games.a,10,FALSE))</f>
        <v/>
      </c>
      <c r="DM629" s="354" t="str">
        <f ca="1">IF($DJ629="","",VLOOKUP($DJ629,games.a,13,FALSE))</f>
        <v/>
      </c>
      <c r="DN629" s="361" t="str">
        <f ca="1">IF($DJ629="","",VLOOKUP($DJ629,games.a,6,FALSE))</f>
        <v/>
      </c>
      <c r="DO629" s="362" t="str">
        <f ca="1">IF($DJ629="","",VLOOKUP($DJ629,games.a,7,FALSE))</f>
        <v/>
      </c>
      <c r="DP629" s="466" t="str">
        <f>DI623</f>
        <v/>
      </c>
      <c r="DQ629" s="302"/>
      <c r="DR629" s="364"/>
      <c r="DV629" s="424"/>
      <c r="DW629" s="424"/>
      <c r="DX629" s="424"/>
      <c r="DY629" s="424"/>
      <c r="DZ629" s="424"/>
      <c r="EA629" s="424"/>
      <c r="EB629" s="424"/>
      <c r="EC629" s="424"/>
      <c r="ED629" s="424"/>
      <c r="EE629" s="424"/>
      <c r="EF629" s="424"/>
      <c r="EG629" s="424"/>
      <c r="EH629" s="424"/>
      <c r="EI629" s="424"/>
      <c r="EJ629" s="424"/>
      <c r="EK629" s="424"/>
      <c r="EL629" s="424"/>
      <c r="EM629" s="424"/>
      <c r="EN629" s="424"/>
      <c r="EO629" s="424"/>
      <c r="EP629" s="424"/>
      <c r="EQ629" s="424"/>
    </row>
    <row r="630" spans="113:147" x14ac:dyDescent="0.25">
      <c r="DI630" s="395" t="str">
        <f>DI626</f>
        <v/>
      </c>
      <c r="DJ630" s="465" t="str">
        <f ca="1">IF(OR(DI630="",DP630="",DI630=DP630,COUNTIF(games.av,DI630&amp;DP630)=0),"",CONCATENATE(DI630,DP630))</f>
        <v/>
      </c>
      <c r="DK630" s="360" t="str">
        <f ca="1">IF($DJ630="","",CONCATENATE(VLOOKUP($DJ630,games.a,9,FALSE),VLOOKUP($DJ630,games.a,12,FALSE)))</f>
        <v/>
      </c>
      <c r="DL630" s="354" t="str">
        <f ca="1">IF($DJ630="","",VLOOKUP($DJ630,games.a,10,FALSE))</f>
        <v/>
      </c>
      <c r="DM630" s="354" t="str">
        <f ca="1">IF($DJ630="","",VLOOKUP($DJ630,games.a,13,FALSE))</f>
        <v/>
      </c>
      <c r="DN630" s="361" t="str">
        <f ca="1">IF($DJ630="","",VLOOKUP($DJ630,games.a,6,FALSE))</f>
        <v/>
      </c>
      <c r="DO630" s="362" t="str">
        <f ca="1">IF($DJ630="","",VLOOKUP($DJ630,games.a,7,FALSE))</f>
        <v/>
      </c>
      <c r="DP630" s="379" t="str">
        <f>DP629</f>
        <v/>
      </c>
      <c r="DQ630" s="302"/>
      <c r="DR630" s="364"/>
      <c r="DV630" s="424"/>
      <c r="DW630" s="424"/>
      <c r="DX630" s="424"/>
      <c r="DY630" s="424"/>
      <c r="DZ630" s="424"/>
      <c r="EA630" s="424"/>
      <c r="EB630" s="424"/>
      <c r="EC630" s="424"/>
      <c r="ED630" s="424"/>
      <c r="EE630" s="424"/>
      <c r="EF630" s="424"/>
      <c r="EG630" s="424"/>
      <c r="EH630" s="424"/>
      <c r="EI630" s="424"/>
      <c r="EJ630" s="424"/>
      <c r="EK630" s="424"/>
      <c r="EL630" s="424"/>
      <c r="EM630" s="424"/>
      <c r="EN630" s="424"/>
      <c r="EO630" s="424"/>
      <c r="EP630" s="424"/>
      <c r="EQ630" s="424"/>
    </row>
    <row r="631" spans="113:147" x14ac:dyDescent="0.25">
      <c r="DI631" s="395" t="str">
        <f>DI627</f>
        <v/>
      </c>
      <c r="DJ631" s="465" t="str">
        <f ca="1">IF(OR(DI631="",DP631="",DI631=DP631,COUNTIF(games.av,DI631&amp;DP631)=0),"",CONCATENATE(DI631,DP631))</f>
        <v/>
      </c>
      <c r="DK631" s="360" t="str">
        <f ca="1">IF($DJ631="","",CONCATENATE(VLOOKUP($DJ631,games.a,9,FALSE),VLOOKUP($DJ631,games.a,12,FALSE)))</f>
        <v/>
      </c>
      <c r="DL631" s="354" t="str">
        <f ca="1">IF($DJ631="","",VLOOKUP($DJ631,games.a,10,FALSE))</f>
        <v/>
      </c>
      <c r="DM631" s="354" t="str">
        <f ca="1">IF($DJ631="","",VLOOKUP($DJ631,games.a,13,FALSE))</f>
        <v/>
      </c>
      <c r="DN631" s="361" t="str">
        <f ca="1">IF($DJ631="","",VLOOKUP($DJ631,games.a,6,FALSE))</f>
        <v/>
      </c>
      <c r="DO631" s="362" t="str">
        <f ca="1">IF($DJ631="","",VLOOKUP($DJ631,games.a,7,FALSE))</f>
        <v/>
      </c>
      <c r="DP631" s="379" t="str">
        <f>DP630</f>
        <v/>
      </c>
      <c r="DQ631" s="302"/>
      <c r="DR631" s="364"/>
      <c r="DV631" s="424"/>
      <c r="DW631" s="424"/>
      <c r="DX631" s="424"/>
      <c r="DY631" s="424"/>
      <c r="DZ631" s="424"/>
      <c r="EA631" s="424"/>
      <c r="EB631" s="424"/>
      <c r="EC631" s="424"/>
      <c r="ED631" s="424"/>
      <c r="EE631" s="424"/>
      <c r="EF631" s="424"/>
      <c r="EG631" s="424"/>
      <c r="EH631" s="424"/>
      <c r="EI631" s="424"/>
      <c r="EJ631" s="424"/>
      <c r="EK631" s="424"/>
      <c r="EL631" s="424"/>
      <c r="EM631" s="424"/>
      <c r="EN631" s="424"/>
      <c r="EO631" s="424"/>
      <c r="EP631" s="424"/>
      <c r="EQ631" s="424"/>
    </row>
    <row r="632" spans="113:147" x14ac:dyDescent="0.25">
      <c r="DI632" s="301"/>
      <c r="DJ632" s="445"/>
      <c r="DK632" s="302"/>
      <c r="DL632" s="302"/>
      <c r="DM632" s="302"/>
      <c r="DN632" s="302"/>
      <c r="DO632" s="302"/>
      <c r="DP632" s="447"/>
      <c r="DQ632" s="302"/>
      <c r="DR632" s="446" t="s">
        <v>221</v>
      </c>
      <c r="DV632" s="424"/>
      <c r="DW632" s="424"/>
      <c r="DX632" s="424"/>
      <c r="DY632" s="424"/>
      <c r="DZ632" s="424"/>
      <c r="EA632" s="424"/>
      <c r="EB632" s="424"/>
      <c r="EC632" s="424"/>
      <c r="ED632" s="424"/>
      <c r="EE632" s="424"/>
      <c r="EF632" s="424"/>
      <c r="EG632" s="424"/>
      <c r="EH632" s="424"/>
      <c r="EI632" s="424"/>
      <c r="EJ632" s="424"/>
      <c r="EK632" s="424"/>
      <c r="EL632" s="424"/>
      <c r="EM632" s="424"/>
      <c r="EN632" s="424"/>
      <c r="EO632" s="424"/>
      <c r="EP632" s="424"/>
      <c r="EQ632" s="424"/>
    </row>
    <row r="633" spans="113:147" x14ac:dyDescent="0.25">
      <c r="DI633" s="301"/>
      <c r="DJ633" s="445"/>
      <c r="DK633" s="302"/>
      <c r="DL633" s="302"/>
      <c r="DM633" s="302"/>
      <c r="DN633" s="302"/>
      <c r="DO633" s="302"/>
      <c r="DP633" s="447"/>
      <c r="DQ633" s="302"/>
      <c r="DR633" s="448" t="s">
        <v>222</v>
      </c>
      <c r="DV633" s="424"/>
      <c r="DW633" s="424"/>
      <c r="DX633" s="424"/>
      <c r="DY633" s="424"/>
      <c r="DZ633" s="424"/>
      <c r="EA633" s="424"/>
      <c r="EB633" s="424"/>
      <c r="EC633" s="424"/>
      <c r="ED633" s="424"/>
      <c r="EE633" s="424"/>
      <c r="EF633" s="424"/>
      <c r="EG633" s="424"/>
      <c r="EH633" s="424"/>
      <c r="EI633" s="424"/>
      <c r="EJ633" s="424"/>
      <c r="EK633" s="424"/>
      <c r="EL633" s="424"/>
      <c r="EM633" s="424"/>
      <c r="EN633" s="424"/>
      <c r="EO633" s="424"/>
      <c r="EP633" s="424"/>
      <c r="EQ633" s="424"/>
    </row>
    <row r="634" spans="113:147" x14ac:dyDescent="0.25">
      <c r="DI634" s="323" t="b">
        <f ca="1">OR(NOT($AJ$44),COUNTIF(DN634:DN639,"")=4-(DP634-1)*DP634,COUNTIF(DN634:DN639,"")=4-(DP634-1)*DP634/2)</f>
        <v>1</v>
      </c>
      <c r="DJ634" s="458" t="s">
        <v>157</v>
      </c>
      <c r="DK634" s="458" t="s">
        <v>158</v>
      </c>
      <c r="DL634" s="459" t="s">
        <v>159</v>
      </c>
      <c r="DM634" s="459"/>
      <c r="DN634" s="460" t="s">
        <v>160</v>
      </c>
      <c r="DO634" s="459" t="s">
        <v>135</v>
      </c>
      <c r="DP634" s="323">
        <f>COUNT(CW369:CW370)</f>
        <v>0</v>
      </c>
      <c r="DQ634" s="302"/>
      <c r="DR634" s="364"/>
      <c r="DV634" s="329" t="s">
        <v>229</v>
      </c>
      <c r="DW634" s="365"/>
      <c r="DX634" s="329" t="s">
        <v>152</v>
      </c>
      <c r="DY634" s="329" t="s">
        <v>153</v>
      </c>
      <c r="DZ634" s="329" t="s">
        <v>154</v>
      </c>
      <c r="EA634" s="329" t="s">
        <v>155</v>
      </c>
      <c r="EB634" s="329" t="s">
        <v>125</v>
      </c>
      <c r="EC634" s="329" t="s">
        <v>226</v>
      </c>
      <c r="ED634" s="329" t="s">
        <v>126</v>
      </c>
      <c r="EE634" s="329" t="s">
        <v>227</v>
      </c>
      <c r="EF634" s="424"/>
      <c r="EG634" s="424"/>
      <c r="EH634" s="424"/>
      <c r="EI634" s="329" t="s">
        <v>228</v>
      </c>
      <c r="EJ634" s="329" t="s">
        <v>156</v>
      </c>
      <c r="EK634" s="329" t="s">
        <v>208</v>
      </c>
      <c r="EL634" s="424"/>
      <c r="EM634" s="424"/>
      <c r="EN634" s="424"/>
      <c r="EO634" s="424"/>
      <c r="EP634" s="424"/>
      <c r="EQ634" s="424"/>
    </row>
    <row r="635" spans="113:147" x14ac:dyDescent="0.25">
      <c r="DI635" s="464" t="str">
        <f>IF(CW369="","",VLOOKUP(CW369,xxx.av2,10,FALSE))</f>
        <v/>
      </c>
      <c r="DJ635" s="465" t="str">
        <f ca="1">IF(OR(DI635="",DP635="",DI635=DP635,COUNTIF(games.av,DI635&amp;DP635)=0),"",CONCATENATE(DI635,DP635))</f>
        <v/>
      </c>
      <c r="DK635" s="360" t="str">
        <f ca="1">IF($DJ635="","",CONCATENATE(VLOOKUP($DJ635,games.a,9,FALSE),VLOOKUP($DJ635,games.a,12,FALSE)))</f>
        <v/>
      </c>
      <c r="DL635" s="354" t="str">
        <f ca="1">IF($DJ635="","",VLOOKUP($DJ635,games.a,10,FALSE))</f>
        <v/>
      </c>
      <c r="DM635" s="354" t="str">
        <f ca="1">IF($DJ635="","",VLOOKUP($DJ635,games.a,13,FALSE))</f>
        <v/>
      </c>
      <c r="DN635" s="361" t="str">
        <f ca="1">IF($DJ635="","",VLOOKUP($DJ635,games.a,6,FALSE))</f>
        <v/>
      </c>
      <c r="DO635" s="362" t="str">
        <f ca="1">IF($DJ635="","",VLOOKUP($DJ635,games.a,7,FALSE))</f>
        <v/>
      </c>
      <c r="DP635" s="466" t="str">
        <f>DI635</f>
        <v/>
      </c>
      <c r="DQ635" s="302"/>
      <c r="DR635" s="364"/>
      <c r="DV635" s="366" t="str">
        <f ca="1">IF(OR(NOT($AJ$44),DI634),DI635,"")</f>
        <v/>
      </c>
      <c r="DW635" s="365"/>
      <c r="DX635" s="366">
        <f ca="1">IF($DV635="",0,COUNTIF(xxgy.av,$DV635))</f>
        <v>0</v>
      </c>
      <c r="DY635" s="366">
        <f ca="1">IF($DV635="",0,COUNTIF(xxd.av,$DV635))</f>
        <v>0</v>
      </c>
      <c r="DZ635" s="366">
        <f ca="1">IF($DV635="",0,1)*(SUMIF(xxo.av,$DV635,xxl.av)+SUMIF(xxi.av,$DV635,xxk.av))</f>
        <v>0</v>
      </c>
      <c r="EA635" s="366">
        <f ca="1">IF($DV635="",0,1)*(SUMIF(xxo.av,$DV635,xxk.av)+SUMIF(xxi.av,$DV635,xxl.av))</f>
        <v>0</v>
      </c>
      <c r="EB635" s="366">
        <f ca="1">DZ635-EA635</f>
        <v>0</v>
      </c>
      <c r="EC635" s="366">
        <f ca="1">IF(EA635=0,0,DZ635/EA635)</f>
        <v>0</v>
      </c>
      <c r="ED635" s="366">
        <f ca="1">$AJ$48*DX635+IF($AJ$44,0,1)*DY635</f>
        <v>0</v>
      </c>
      <c r="EE635" s="396">
        <f ca="1">ED635*1000000+IF($AJ$44,EC635,EB635)*1000*0</f>
        <v>0</v>
      </c>
      <c r="EF635" s="424"/>
      <c r="EG635" s="424"/>
      <c r="EH635" s="424"/>
      <c r="EI635" s="366">
        <f ca="1">IF(OR(ISERR(EE635),ISNA(EE635)),0,EE635)</f>
        <v>0</v>
      </c>
      <c r="EJ635" s="366">
        <f ca="1">IF(EI635=0,0,RANK(EI635,EI635:EI636,1))</f>
        <v>0</v>
      </c>
      <c r="EK635" s="366">
        <f ca="1">EJ635*40000*IF(COUNTIF($FC$589:$FC$598,DV635)&gt;0,0,1)</f>
        <v>0</v>
      </c>
      <c r="EL635" s="424"/>
      <c r="EM635" s="424"/>
      <c r="EN635" s="424"/>
      <c r="EO635" s="424"/>
      <c r="EP635" s="424"/>
      <c r="EQ635" s="424"/>
    </row>
    <row r="636" spans="113:147" x14ac:dyDescent="0.25">
      <c r="DI636" s="464" t="str">
        <f>IF(CW370="","",VLOOKUP(CW370,xxx.av2,10,FALSE))</f>
        <v/>
      </c>
      <c r="DJ636" s="465" t="str">
        <f ca="1">IF(OR(DI636="",DP636="",DI636=DP636,COUNTIF(games.av,DI636&amp;DP636)=0),"",CONCATENATE(DI636,DP636))</f>
        <v/>
      </c>
      <c r="DK636" s="360" t="str">
        <f ca="1">IF($DJ636="","",CONCATENATE(VLOOKUP($DJ636,games.a,9,FALSE),VLOOKUP($DJ636,games.a,12,FALSE)))</f>
        <v/>
      </c>
      <c r="DL636" s="354" t="str">
        <f ca="1">IF($DJ636="","",VLOOKUP($DJ636,games.a,10,FALSE))</f>
        <v/>
      </c>
      <c r="DM636" s="354" t="str">
        <f ca="1">IF($DJ636="","",VLOOKUP($DJ636,games.a,13,FALSE))</f>
        <v/>
      </c>
      <c r="DN636" s="361" t="str">
        <f ca="1">IF($DJ636="","",VLOOKUP($DJ636,games.a,6,FALSE))</f>
        <v/>
      </c>
      <c r="DO636" s="362" t="str">
        <f ca="1">IF($DJ636="","",VLOOKUP($DJ636,games.a,7,FALSE))</f>
        <v/>
      </c>
      <c r="DP636" s="379" t="str">
        <f>DP635</f>
        <v/>
      </c>
      <c r="DQ636" s="302"/>
      <c r="DR636" s="364"/>
      <c r="DV636" s="366" t="str">
        <f ca="1">IF(OR(NOT($AJ$44),DI634),DI636,"")</f>
        <v/>
      </c>
      <c r="DW636" s="365"/>
      <c r="DX636" s="366">
        <f ca="1">IF($DV636="",0,COUNTIF(xxgy.av,$DV636))</f>
        <v>0</v>
      </c>
      <c r="DY636" s="366">
        <f ca="1">IF($DV636="",0,COUNTIF(xxd.av,$DV636))</f>
        <v>0</v>
      </c>
      <c r="DZ636" s="366">
        <f ca="1">IF($DV636="",0,1)*(SUMIF(xxo.av,$DV636,xxl.av)+SUMIF(xxi.av,$DV636,xxk.av))</f>
        <v>0</v>
      </c>
      <c r="EA636" s="366">
        <f ca="1">IF($DV636="",0,1)*(SUMIF(xxo.av,$DV636,xxk.av)+SUMIF(xxi.av,$DV636,xxl.av))</f>
        <v>0</v>
      </c>
      <c r="EB636" s="366">
        <f ca="1">DZ636-EA636</f>
        <v>0</v>
      </c>
      <c r="EC636" s="366">
        <f ca="1">IF(EA636=0,0,DZ636/EA636)</f>
        <v>0</v>
      </c>
      <c r="ED636" s="366">
        <f ca="1">$AJ$48*DX636+IF($AJ$44,0,1)*DY636</f>
        <v>0</v>
      </c>
      <c r="EE636" s="396">
        <f ca="1">ED636*1000000+IF($AJ$44,EC636,EB636)*1000*0</f>
        <v>0</v>
      </c>
      <c r="EF636" s="424"/>
      <c r="EG636" s="424"/>
      <c r="EH636" s="424"/>
      <c r="EI636" s="366">
        <f ca="1">IF(OR(ISERR(EE636),ISNA(EE636)),0,EE636)</f>
        <v>0</v>
      </c>
      <c r="EJ636" s="366">
        <f ca="1">IF(EI636=0,0,RANK(EI636,EI635:EI636,1))</f>
        <v>0</v>
      </c>
      <c r="EK636" s="366">
        <f ca="1">EJ636*40000*IF(COUNTIF($FC$589:$FC$598,DV636)&gt;0,0,1)</f>
        <v>0</v>
      </c>
      <c r="EL636" s="424"/>
      <c r="EM636" s="424"/>
      <c r="EN636" s="424"/>
      <c r="EO636" s="424"/>
      <c r="EP636" s="424"/>
      <c r="EQ636" s="424"/>
    </row>
    <row r="637" spans="113:147" x14ac:dyDescent="0.25">
      <c r="DI637" s="301"/>
      <c r="DJ637" s="458" t="s">
        <v>157</v>
      </c>
      <c r="DK637" s="458" t="s">
        <v>158</v>
      </c>
      <c r="DL637" s="459" t="s">
        <v>159</v>
      </c>
      <c r="DM637" s="459"/>
      <c r="DN637" s="460" t="s">
        <v>160</v>
      </c>
      <c r="DO637" s="459" t="s">
        <v>135</v>
      </c>
      <c r="DP637" s="302"/>
      <c r="DQ637" s="302"/>
      <c r="DR637" s="364"/>
      <c r="DV637" s="424"/>
      <c r="DW637" s="424"/>
      <c r="DX637" s="424"/>
      <c r="DY637" s="424"/>
      <c r="DZ637" s="424"/>
      <c r="EA637" s="424"/>
      <c r="EB637" s="424"/>
      <c r="EC637" s="424"/>
      <c r="ED637" s="424"/>
      <c r="EE637" s="424"/>
      <c r="EF637" s="424"/>
      <c r="EG637" s="424"/>
      <c r="EH637" s="424"/>
      <c r="EI637" s="424"/>
      <c r="EJ637" s="424"/>
      <c r="EK637" s="424"/>
      <c r="EL637" s="424"/>
      <c r="EM637" s="424"/>
      <c r="EN637" s="424"/>
      <c r="EO637" s="424"/>
      <c r="EP637" s="424"/>
      <c r="EQ637" s="424"/>
    </row>
    <row r="638" spans="113:147" x14ac:dyDescent="0.25">
      <c r="DI638" s="395" t="str">
        <f>DI635</f>
        <v/>
      </c>
      <c r="DJ638" s="465" t="str">
        <f ca="1">IF(OR(DI638="",DP638="",DI638=DP638,COUNTIF(games.av,DI638&amp;DP638)=0),"",CONCATENATE(DI638,DP638))</f>
        <v/>
      </c>
      <c r="DK638" s="360" t="str">
        <f ca="1">IF($DJ638="","",CONCATENATE(VLOOKUP($DJ638,games.a,9,FALSE),VLOOKUP($DJ638,games.a,12,FALSE)))</f>
        <v/>
      </c>
      <c r="DL638" s="354" t="str">
        <f ca="1">IF($DJ638="","",VLOOKUP($DJ638,games.a,10,FALSE))</f>
        <v/>
      </c>
      <c r="DM638" s="354" t="str">
        <f ca="1">IF($DJ638="","",VLOOKUP($DJ638,games.a,13,FALSE))</f>
        <v/>
      </c>
      <c r="DN638" s="361" t="str">
        <f ca="1">IF($DJ638="","",VLOOKUP($DJ638,games.a,6,FALSE))</f>
        <v/>
      </c>
      <c r="DO638" s="362" t="str">
        <f ca="1">IF($DJ638="","",VLOOKUP($DJ638,games.a,7,FALSE))</f>
        <v/>
      </c>
      <c r="DP638" s="466" t="str">
        <f>DI636</f>
        <v/>
      </c>
      <c r="DQ638" s="302"/>
      <c r="DR638" s="364"/>
      <c r="DV638" s="424"/>
      <c r="DW638" s="424"/>
      <c r="DX638" s="424"/>
      <c r="DY638" s="424"/>
      <c r="DZ638" s="424"/>
      <c r="EA638" s="424"/>
      <c r="EB638" s="424"/>
      <c r="EC638" s="424"/>
      <c r="ED638" s="424"/>
      <c r="EE638" s="424"/>
      <c r="EF638" s="424"/>
      <c r="EG638" s="424"/>
      <c r="EH638" s="424"/>
      <c r="EI638" s="424"/>
      <c r="EJ638" s="424"/>
      <c r="EK638" s="424"/>
      <c r="EL638" s="424"/>
      <c r="EM638" s="424"/>
      <c r="EN638" s="424"/>
      <c r="EO638" s="424"/>
      <c r="EP638" s="424"/>
      <c r="EQ638" s="424"/>
    </row>
    <row r="639" spans="113:147" x14ac:dyDescent="0.25">
      <c r="DI639" s="395" t="str">
        <f>DI636</f>
        <v/>
      </c>
      <c r="DJ639" s="465" t="str">
        <f ca="1">IF(OR(DI639="",DP639="",DI639=DP639,COUNTIF(games.av,DI639&amp;DP639)=0),"",CONCATENATE(DI639,DP639))</f>
        <v/>
      </c>
      <c r="DK639" s="360" t="str">
        <f ca="1">IF($DJ639="","",CONCATENATE(VLOOKUP($DJ639,games.a,9,FALSE),VLOOKUP($DJ639,games.a,12,FALSE)))</f>
        <v/>
      </c>
      <c r="DL639" s="354" t="str">
        <f ca="1">IF($DJ639="","",VLOOKUP($DJ639,games.a,10,FALSE))</f>
        <v/>
      </c>
      <c r="DM639" s="354" t="str">
        <f ca="1">IF($DJ639="","",VLOOKUP($DJ639,games.a,13,FALSE))</f>
        <v/>
      </c>
      <c r="DN639" s="361" t="str">
        <f ca="1">IF($DJ639="","",VLOOKUP($DJ639,games.a,6,FALSE))</f>
        <v/>
      </c>
      <c r="DO639" s="362" t="str">
        <f ca="1">IF($DJ639="","",VLOOKUP($DJ639,games.a,7,FALSE))</f>
        <v/>
      </c>
      <c r="DP639" s="379" t="str">
        <f>DP638</f>
        <v/>
      </c>
      <c r="DQ639" s="302"/>
      <c r="DR639" s="364"/>
      <c r="DV639" s="424"/>
      <c r="DW639" s="424"/>
      <c r="DX639" s="424"/>
      <c r="DY639" s="424"/>
      <c r="DZ639" s="424"/>
      <c r="EA639" s="424"/>
      <c r="EB639" s="424"/>
      <c r="EC639" s="424"/>
      <c r="ED639" s="424"/>
      <c r="EE639" s="424"/>
      <c r="EF639" s="424"/>
      <c r="EG639" s="424"/>
      <c r="EH639" s="424"/>
      <c r="EI639" s="424"/>
      <c r="EJ639" s="424"/>
      <c r="EK639" s="424"/>
      <c r="EL639" s="424"/>
      <c r="EM639" s="424"/>
      <c r="EN639" s="424"/>
      <c r="EO639" s="424"/>
      <c r="EP639" s="424"/>
      <c r="EQ639" s="424"/>
    </row>
    <row r="640" spans="113:147" x14ac:dyDescent="0.25">
      <c r="DI640" s="301"/>
      <c r="DJ640" s="302"/>
      <c r="DK640" s="302"/>
      <c r="DL640" s="302"/>
      <c r="DM640" s="302"/>
      <c r="DN640" s="302"/>
      <c r="DO640" s="302"/>
      <c r="DP640" s="302"/>
      <c r="DQ640" s="302"/>
      <c r="DR640" s="446" t="s">
        <v>222</v>
      </c>
      <c r="DV640" s="424"/>
      <c r="DW640" s="424"/>
      <c r="DX640" s="424"/>
      <c r="DY640" s="424"/>
      <c r="DZ640" s="424"/>
      <c r="EA640" s="424"/>
      <c r="EB640" s="424"/>
      <c r="EC640" s="424"/>
      <c r="ED640" s="424"/>
      <c r="EE640" s="424"/>
      <c r="EF640" s="424"/>
      <c r="EG640" s="424"/>
      <c r="EH640" s="424"/>
      <c r="EI640" s="424"/>
      <c r="EJ640" s="424"/>
      <c r="EK640" s="424"/>
      <c r="EL640" s="424"/>
      <c r="EM640" s="424"/>
      <c r="EN640" s="424"/>
      <c r="EO640" s="424"/>
      <c r="EP640" s="424"/>
      <c r="EQ640" s="424"/>
    </row>
    <row r="641" spans="86:161" x14ac:dyDescent="0.25">
      <c r="DV641" s="424"/>
      <c r="DW641" s="424"/>
      <c r="DX641" s="424"/>
      <c r="DY641" s="424"/>
      <c r="DZ641" s="424"/>
      <c r="EA641" s="424"/>
      <c r="EB641" s="424"/>
      <c r="EC641" s="424"/>
      <c r="ED641" s="424"/>
      <c r="EE641" s="424"/>
      <c r="EF641" s="424"/>
      <c r="EG641" s="424"/>
      <c r="EH641" s="424"/>
      <c r="EI641" s="424"/>
      <c r="EJ641" s="424"/>
      <c r="EK641" s="424"/>
      <c r="EL641" s="424"/>
      <c r="EM641" s="424"/>
      <c r="EN641" s="424"/>
      <c r="EO641" s="424"/>
      <c r="EP641" s="424"/>
    </row>
    <row r="642" spans="86:161" x14ac:dyDescent="0.25">
      <c r="CH642" s="296"/>
      <c r="CI642" s="296"/>
      <c r="CJ642" s="296"/>
      <c r="CK642" s="296"/>
      <c r="CL642" s="296"/>
      <c r="CM642" s="296"/>
      <c r="DG642" s="296"/>
      <c r="DH642" s="300"/>
      <c r="DI642" s="301"/>
      <c r="DJ642" s="302"/>
      <c r="DK642" s="302"/>
      <c r="DL642" s="302"/>
      <c r="DM642" s="302"/>
      <c r="DN642" s="302"/>
      <c r="DO642" s="302"/>
      <c r="DP642" s="302"/>
      <c r="DQ642" s="302"/>
      <c r="DR642" s="303"/>
      <c r="DS642" s="302"/>
      <c r="EK642" s="305"/>
    </row>
    <row r="643" spans="86:161" x14ac:dyDescent="0.25">
      <c r="CH643" s="296"/>
      <c r="CI643" s="467" t="s">
        <v>212</v>
      </c>
      <c r="CJ643" s="467" t="s">
        <v>410</v>
      </c>
      <c r="CK643" s="467" t="s">
        <v>411</v>
      </c>
      <c r="CL643" s="296"/>
      <c r="CM643" s="296"/>
      <c r="CO643" s="468">
        <f ca="1">IF(CN644=0,"xxx",VLOOKUP(CN644,CI644:CL667,IF($AJ$44,3,2),FALSE))</f>
        <v>25</v>
      </c>
      <c r="CP643" s="469"/>
      <c r="CQ643" s="470" t="s">
        <v>151</v>
      </c>
      <c r="CR643" s="468" t="str">
        <f ca="1">IF(CN645=0,"xxx",VLOOKUP(CN645,CI644:CL667,IF($AJ$44,3,2),FALSE))</f>
        <v>xxx</v>
      </c>
      <c r="CS643" s="469"/>
      <c r="CT643" s="470" t="s">
        <v>215</v>
      </c>
      <c r="CU643" s="468" t="str">
        <f ca="1">IF(CN646=0,"xxx",VLOOKUP(CN646,CI644:CL667,IF($AJ$44,3,2),FALSE))</f>
        <v>xxx</v>
      </c>
      <c r="CV643" s="469"/>
      <c r="CW643" s="470" t="s">
        <v>216</v>
      </c>
      <c r="CX643" s="468" t="str">
        <f ca="1">IF(CN647=0,"xxx",VLOOKUP(CN647,CI644:CL667,IF($AJ$44,3,2),FALSE))</f>
        <v>xxx</v>
      </c>
      <c r="CY643" s="469"/>
      <c r="CZ643" s="470" t="s">
        <v>217</v>
      </c>
      <c r="DA643" s="468" t="str">
        <f ca="1">IF(CN648=0,"xxx",VLOOKUP(CN648,CI644:CL667,IF($AJ$44,3,2),FALSE))</f>
        <v>xxx</v>
      </c>
      <c r="DB643" s="469"/>
      <c r="DC643" s="470" t="s">
        <v>218</v>
      </c>
      <c r="DD643" s="468" t="str">
        <f ca="1">IF(CN649=0,"xxx",VLOOKUP(CN649,CI644:CL667,IF($AJ$44,3,2),FALSE))</f>
        <v>xxx</v>
      </c>
      <c r="DE643" s="469"/>
      <c r="DF643" s="470" t="s">
        <v>219</v>
      </c>
      <c r="DG643" s="296"/>
      <c r="DH643" s="300"/>
      <c r="DI643" s="323" t="b">
        <f ca="1">OR(NOT($AJ$44),COUNTIF(DN643:DN752,"")=100-(DP643-1)*DP643,COUNTIF(DN643:DN752,"")=100-(DP643-1)*DP643/2)</f>
        <v>1</v>
      </c>
      <c r="DJ643" s="471" t="s">
        <v>157</v>
      </c>
      <c r="DK643" s="471" t="s">
        <v>158</v>
      </c>
      <c r="DL643" s="472" t="s">
        <v>159</v>
      </c>
      <c r="DM643" s="472"/>
      <c r="DN643" s="473" t="s">
        <v>160</v>
      </c>
      <c r="DO643" s="472" t="s">
        <v>135</v>
      </c>
      <c r="DP643" s="323">
        <f ca="1">COUNT(CQ644:CQ653)</f>
        <v>2</v>
      </c>
      <c r="DQ643" s="302"/>
      <c r="DR643" s="327" t="s">
        <v>151</v>
      </c>
      <c r="DS643" s="302"/>
      <c r="DU643" s="328"/>
      <c r="DV643" s="329" t="s">
        <v>223</v>
      </c>
      <c r="DW643" s="329" t="s">
        <v>224</v>
      </c>
      <c r="DX643" s="329" t="s">
        <v>152</v>
      </c>
      <c r="DZ643" s="329" t="s">
        <v>154</v>
      </c>
      <c r="EA643" s="329" t="s">
        <v>155</v>
      </c>
      <c r="EC643" s="329" t="s">
        <v>226</v>
      </c>
      <c r="EE643" s="329" t="s">
        <v>227</v>
      </c>
      <c r="EI643" s="329" t="s">
        <v>228</v>
      </c>
      <c r="EJ643" s="329" t="s">
        <v>156</v>
      </c>
      <c r="EK643" s="329" t="s">
        <v>208</v>
      </c>
      <c r="EM643" s="329" t="s">
        <v>212</v>
      </c>
      <c r="EN643" s="330" t="s">
        <v>227</v>
      </c>
      <c r="EO643" s="329" t="s">
        <v>225</v>
      </c>
      <c r="EP643" s="328"/>
      <c r="EQ643" s="328"/>
      <c r="ER643" s="328"/>
      <c r="ES643" s="331" t="str">
        <f ca="1">IF(ER644=0,"xxx",VLOOKUP(ER644,EM644:EP653,IF($AJ$54,2,3),FALSE))</f>
        <v>xxx</v>
      </c>
      <c r="ET643" s="328"/>
      <c r="EU643" s="328"/>
      <c r="EV643" s="331" t="str">
        <f ca="1">IF(ER645=0,"xxx",VLOOKUP(ER645,EM644:EP653,IF($AJ$54,2,3),FALSE))</f>
        <v>xxx</v>
      </c>
      <c r="EW643" s="328"/>
      <c r="EX643" s="328"/>
      <c r="EY643" s="331" t="str">
        <f ca="1">IF(ER646=0,"xxx",VLOOKUP(ER646,EM644:EP653,IF($AJ$54,2,3),FALSE))</f>
        <v>xxx</v>
      </c>
      <c r="EZ643" s="328"/>
      <c r="FA643" s="328"/>
      <c r="FB643" s="328"/>
      <c r="FC643" s="471"/>
      <c r="FD643" s="332"/>
      <c r="FE643" s="333"/>
    </row>
    <row r="644" spans="86:161" x14ac:dyDescent="0.25">
      <c r="CH644" s="350"/>
      <c r="CI644" s="474">
        <f ca="1">IF($AJ$44,COUNTIF($BO$146:$BO$169,CK644)*IF(CK644=0,0,1),COUNTIF($BM$146:$BM$169,CJ644)*IF(CJ644=0,0,1))+CL644/1000</f>
        <v>1.0009999999999999</v>
      </c>
      <c r="CJ644" s="352">
        <f ca="1">LARGE($BM$146:$BM$169,CL644)</f>
        <v>52</v>
      </c>
      <c r="CK644" s="353">
        <f ca="1">LARGE($BO$146:$BO$169,CL644)</f>
        <v>0.92105263157894735</v>
      </c>
      <c r="CL644" s="354">
        <v>1</v>
      </c>
      <c r="CM644" s="350"/>
      <c r="CN644" s="475">
        <f ca="1">IF(LARGE(CI644:CI667,CL644)&lt;2,0,LARGE(CI644:CI667,CL644))</f>
        <v>2.0049999999999999</v>
      </c>
      <c r="CO644" s="356" t="str">
        <f ca="1">IF(OR(CO$643=$BM146,CO$643=$BO146),$BC146,"")</f>
        <v/>
      </c>
      <c r="CP644" s="357" t="str">
        <f ca="1">IF(CO644="","",$CL644)</f>
        <v/>
      </c>
      <c r="CQ644" s="476">
        <f ca="1">IF(ISERR(LARGE(CP644:CP667,$CL644)),"",LARGE(CP644:CP667,$CL644))</f>
        <v>7</v>
      </c>
      <c r="CR644" s="356" t="str">
        <f ca="1">IF(OR(CR$643=$BM146,CR$643=$BO146),$BC146,"")</f>
        <v/>
      </c>
      <c r="CS644" s="357" t="str">
        <f ca="1">IF(CR644="","",$CL644)</f>
        <v/>
      </c>
      <c r="CT644" s="476" t="str">
        <f ca="1">IF(ISERR(LARGE(CS644:CS667,$CL644)),"",LARGE(CS644:CS667,$CL644))</f>
        <v/>
      </c>
      <c r="CU644" s="356" t="str">
        <f ca="1">IF(OR(CU$643=$BM146,CU$643=$BO146),$BC146,"")</f>
        <v/>
      </c>
      <c r="CV644" s="357" t="str">
        <f ca="1">IF(CU644="","",$CL644)</f>
        <v/>
      </c>
      <c r="CW644" s="476" t="str">
        <f ca="1">IF(ISERR(LARGE(CV644:CV667,$CL644)),"",LARGE(CV644:CV667,$CL644))</f>
        <v/>
      </c>
      <c r="CX644" s="356" t="str">
        <f ca="1">IF(OR(CX$643=$BM146,CX$643=$BO146),$BC146,"")</f>
        <v/>
      </c>
      <c r="CY644" s="357" t="str">
        <f ca="1">IF(CX644="","",$CL644)</f>
        <v/>
      </c>
      <c r="CZ644" s="476" t="str">
        <f ca="1">IF(ISERR(LARGE(CY644:CY667,$CL644)),"",LARGE(CY644:CY667,$CL644))</f>
        <v/>
      </c>
      <c r="DA644" s="356" t="str">
        <f ca="1">IF(OR(DA$643=$BM146,DA$643=$BO146),$BC146,"")</f>
        <v/>
      </c>
      <c r="DB644" s="357" t="str">
        <f ca="1">IF(DA644="","",$CL644)</f>
        <v/>
      </c>
      <c r="DC644" s="476" t="str">
        <f ca="1">IF(ISERR(LARGE(DB644:DB667,$CL644)),"",LARGE(DB644:DB667,$CL644))</f>
        <v/>
      </c>
      <c r="DD644" s="356" t="str">
        <f ca="1">IF(OR(DD$643=$BM146,DD$643=$BO146),$BC146,"")</f>
        <v/>
      </c>
      <c r="DE644" s="357" t="str">
        <f ca="1">IF(DD644="","",$CL644)</f>
        <v/>
      </c>
      <c r="DF644" s="476" t="str">
        <f ca="1">IF(ISERR(LARGE(DE644:DE667,$CL644)),"",LARGE(DE644:DE667,$CL644))</f>
        <v/>
      </c>
      <c r="DG644" s="350"/>
      <c r="DH644" s="300"/>
      <c r="DI644" s="477" t="str">
        <f t="shared" ref="DI644:DI653" ca="1" si="976">IF(CQ644="","",VLOOKUP(CQ644,xxx.an1,4,FALSE))</f>
        <v>Hercules-Ludovika</v>
      </c>
      <c r="DJ644" s="478" t="str">
        <f t="shared" ref="DJ644:DJ653" ca="1" si="977">IF(OR(DI644="",DP644="",DI644=DP644,COUNTIF(games.an,DI644&amp;DP644)=0),"",CONCATENATE(DI644,DP644))</f>
        <v/>
      </c>
      <c r="DK644" s="360" t="str">
        <f t="shared" ref="DK644:DK653" ca="1" si="978">IF($DJ644="","",CONCATENATE(VLOOKUP($DJ644,games.a,9,FALSE),VLOOKUP($DJ644,games.a,12,FALSE)))</f>
        <v/>
      </c>
      <c r="DL644" s="354" t="str">
        <f t="shared" ref="DL644:DL653" ca="1" si="979">IF($DJ644="","",VLOOKUP($DJ644,games.a,10,FALSE))</f>
        <v/>
      </c>
      <c r="DM644" s="354" t="str">
        <f t="shared" ref="DM644:DM653" ca="1" si="980">IF($DJ644="","",VLOOKUP($DJ644,games.a,13,FALSE))</f>
        <v/>
      </c>
      <c r="DN644" s="361" t="str">
        <f t="shared" ref="DN644:DN653" ca="1" si="981">IF($DJ644="","",VLOOKUP($DJ644,games.a,6,FALSE))</f>
        <v/>
      </c>
      <c r="DO644" s="362" t="str">
        <f t="shared" ref="DO644:DO653" ca="1" si="982">IF($DJ644="","",VLOOKUP($DJ644,games.a,7,FALSE))</f>
        <v/>
      </c>
      <c r="DP644" s="479" t="str">
        <f ca="1">DI644</f>
        <v>Hercules-Ludovika</v>
      </c>
      <c r="DQ644" s="302"/>
      <c r="DR644" s="364"/>
      <c r="DS644" s="302"/>
      <c r="DU644" s="365"/>
      <c r="DV644" s="366" t="str">
        <f ca="1">IF(AND($AJ$44,DI643,DP643&lt;&gt;2),DI644,"")</f>
        <v/>
      </c>
      <c r="DW644" s="366">
        <f t="shared" ref="DW644:DW653" ca="1" si="983">IF(DV644="",-1,COUNTIF(xxgy.an,DV644))</f>
        <v>-1</v>
      </c>
      <c r="DX644" s="366">
        <f t="shared" ref="DX644:DX653" ca="1" si="984">IF($DV644="",0,COUNTIF(yygy.an,$DV644))</f>
        <v>0</v>
      </c>
      <c r="DZ644" s="366">
        <f t="shared" ref="DZ644:DZ653" ca="1" si="985">IF($DV644="",0,1)*(SUMIF(yyo.an,$DV644,yyl.an)+SUMIF(yyi.an,$DV644,yyk.an))</f>
        <v>0</v>
      </c>
      <c r="EA644" s="366">
        <f t="shared" ref="EA644:EA653" ca="1" si="986">IF($DV644="",0,1)*(SUMIF(yyo.an,$DV644,yyk.an)+SUMIF(yyi.an,$DV644,yyl.an))</f>
        <v>0</v>
      </c>
      <c r="EC644" s="366">
        <f ca="1">IF(EA644=0,0,DZ644/EA644)</f>
        <v>0</v>
      </c>
      <c r="EE644" s="366">
        <f t="shared" ref="EE644:EE653" ca="1" si="987">DW644*1000000+DX644*1000+EC644</f>
        <v>-1000000</v>
      </c>
      <c r="EI644" s="366">
        <f t="shared" ref="EI644:EI653" ca="1" si="988">IF(OR(ISERR(EE644),ISNA(EE644),DW644&lt;0),0,EE644)</f>
        <v>0</v>
      </c>
      <c r="EJ644" s="366">
        <f ca="1">IF(EI644=0,0,RANK(EI644,EI644:EI653,1))</f>
        <v>0</v>
      </c>
      <c r="EK644" s="366">
        <f ca="1">EJ644*40000*IF(COUNTIF($FC$644:$FC$667,DV644)&gt;0,0,1)</f>
        <v>0</v>
      </c>
      <c r="EM644" s="367">
        <f ca="1">IF($AJ$54,COUNTIF(EE655:EE664,EN644)*IF(EN644=0,0,1),COUNTIF(DW644:DW653,EO644)*IF(EO644&lt;0,0,1))+EP644/1000</f>
        <v>1E-3</v>
      </c>
      <c r="EN644" s="368">
        <v>0</v>
      </c>
      <c r="EO644" s="369">
        <f ca="1">LARGE(DW644:DW653,EP644)</f>
        <v>-1</v>
      </c>
      <c r="EP644" s="369">
        <v>1</v>
      </c>
      <c r="EQ644" s="365"/>
      <c r="ER644" s="370">
        <f ca="1">IF(LARGE(EM644:EM653,EP644)&lt;1,0,LARGE(EM644:EM653,EP644))</f>
        <v>0</v>
      </c>
      <c r="ES644" s="371" t="str">
        <f ca="1">IF(DW644=ES643,DV644,IF(EE655=ES643,DV655,""))</f>
        <v/>
      </c>
      <c r="ET644" s="369" t="str">
        <f t="shared" ref="ET644:ET653" ca="1" si="989">IF(ES644="","",EP644)</f>
        <v/>
      </c>
      <c r="EU644" s="372" t="str">
        <f ca="1">IF(ISERR(LARGE(ET644:ET653,EP644)),"",LARGE(ET644:ET653,EP644))</f>
        <v/>
      </c>
      <c r="EV644" s="371" t="str">
        <f ca="1">IF(DW644=EV643,DV644,IF(EE655=EV643,DV655,""))</f>
        <v/>
      </c>
      <c r="EW644" s="369" t="str">
        <f t="shared" ref="EW644:EW653" ca="1" si="990">IF(EV644="","",EP644)</f>
        <v/>
      </c>
      <c r="EX644" s="372" t="str">
        <f ca="1">IF(ISERR(LARGE(EW644:EW653,EP644)),"",LARGE(EW644:EW653,EP644))</f>
        <v/>
      </c>
      <c r="EY644" s="371" t="str">
        <f ca="1">IF(DW644=EY643,DV644,IF(EE655=EY643,DV655,""))</f>
        <v/>
      </c>
      <c r="EZ644" s="369" t="str">
        <f t="shared" ref="EZ644:EZ653" ca="1" si="991">IF(EY644="","",EP644)</f>
        <v/>
      </c>
      <c r="FA644" s="372" t="str">
        <f ca="1">IF(ISERR(LARGE(EZ644:EZ653,EP644)),"",LARGE(EZ644:EZ653,EP644))</f>
        <v/>
      </c>
      <c r="FB644" s="365"/>
      <c r="FC644" s="366"/>
      <c r="FD644" s="373"/>
      <c r="FE644" s="333"/>
    </row>
    <row r="645" spans="86:161" x14ac:dyDescent="0.25">
      <c r="CH645" s="350"/>
      <c r="CI645" s="353">
        <f ca="1">IF($AJ$44,COUNTIF($BO$146:$BO$169,CK645)*IF(OR(CK645=CK644,CK645=0),0,1),COUNTIF($BM$146:$BM$169,CJ645)*IF(OR(CJ645=CJ644,CJ645=0),0,1))+CL645/1000</f>
        <v>1.002</v>
      </c>
      <c r="CJ645" s="352">
        <f t="shared" ref="CJ645:CJ667" ca="1" si="992">LARGE($BM$146:$BM$169,CL645)</f>
        <v>49</v>
      </c>
      <c r="CK645" s="353">
        <f t="shared" ref="CK645:CK667" ca="1" si="993">LARGE($BO$146:$BO$169,CL645)</f>
        <v>0.89473684210526316</v>
      </c>
      <c r="CL645" s="354">
        <v>2</v>
      </c>
      <c r="CM645" s="350"/>
      <c r="CN645" s="475">
        <f ca="1">IF(LARGE(CI644:CI667,CL645)&lt;2,0,LARGE(CI644:CI667,CL645))</f>
        <v>0</v>
      </c>
      <c r="CO645" s="356" t="str">
        <f t="shared" ref="CO645:CO667" ca="1" si="994">IF(OR(CO$643=$BM147,CO$643=$BO147),$BC147,"")</f>
        <v/>
      </c>
      <c r="CP645" s="357" t="str">
        <f t="shared" ref="CP645:CP667" ca="1" si="995">IF(CO645="","",$CL645)</f>
        <v/>
      </c>
      <c r="CQ645" s="476">
        <f ca="1">IF(ISERR(LARGE(CP644:CP667,$CL645)),"",LARGE(CP644:CP667,$CL645))</f>
        <v>6</v>
      </c>
      <c r="CR645" s="356" t="str">
        <f t="shared" ref="CR645:CR667" ca="1" si="996">IF(OR(CR$643=$BM147,CR$643=$BO147),$BC147,"")</f>
        <v/>
      </c>
      <c r="CS645" s="357" t="str">
        <f t="shared" ref="CS645:CS667" ca="1" si="997">IF(CR645="","",$CL645)</f>
        <v/>
      </c>
      <c r="CT645" s="476" t="str">
        <f ca="1">IF(ISERR(LARGE(CS644:CS667,$CL645)),"",LARGE(CS644:CS667,$CL645))</f>
        <v/>
      </c>
      <c r="CU645" s="356" t="str">
        <f t="shared" ref="CU645:CU667" ca="1" si="998">IF(OR(CU$643=$BM147,CU$643=$BO147),$BC147,"")</f>
        <v/>
      </c>
      <c r="CV645" s="357" t="str">
        <f t="shared" ref="CV645:CV667" ca="1" si="999">IF(CU645="","",$CL645)</f>
        <v/>
      </c>
      <c r="CW645" s="476" t="str">
        <f ca="1">IF(ISERR(LARGE(CV644:CV667,$CL645)),"",LARGE(CV644:CV667,$CL645))</f>
        <v/>
      </c>
      <c r="CX645" s="356" t="str">
        <f t="shared" ref="CX645:CX667" ca="1" si="1000">IF(OR(CX$643=$BM147,CX$643=$BO147),$BC147,"")</f>
        <v/>
      </c>
      <c r="CY645" s="357" t="str">
        <f t="shared" ref="CY645:CY667" ca="1" si="1001">IF(CX645="","",$CL645)</f>
        <v/>
      </c>
      <c r="CZ645" s="476" t="str">
        <f ca="1">IF(ISERR(LARGE(CY644:CY667,$CL645)),"",LARGE(CY644:CY667,$CL645))</f>
        <v/>
      </c>
      <c r="DA645" s="356" t="str">
        <f t="shared" ref="DA645:DA667" ca="1" si="1002">IF(OR(DA$643=$BM147,DA$643=$BO147),$BC147,"")</f>
        <v/>
      </c>
      <c r="DB645" s="357" t="str">
        <f t="shared" ref="DB645:DB667" ca="1" si="1003">IF(DA645="","",$CL645)</f>
        <v/>
      </c>
      <c r="DC645" s="476" t="str">
        <f ca="1">IF(ISERR(LARGE(DB644:DB667,$CL645)),"",LARGE(DB644:DB667,$CL645))</f>
        <v/>
      </c>
      <c r="DD645" s="356" t="str">
        <f t="shared" ref="DD645:DD667" ca="1" si="1004">IF(OR(DD$643=$BM147,DD$643=$BO147),$BC147,"")</f>
        <v/>
      </c>
      <c r="DE645" s="357" t="str">
        <f t="shared" ref="DE645:DE667" ca="1" si="1005">IF(DD645="","",$CL645)</f>
        <v/>
      </c>
      <c r="DF645" s="476" t="str">
        <f ca="1">IF(ISERR(LARGE(DE644:DE667,$CL645)),"",LARGE(DE644:DE667,$CL645))</f>
        <v/>
      </c>
      <c r="DG645" s="350"/>
      <c r="DH645" s="300"/>
      <c r="DI645" s="477" t="str">
        <f t="shared" ca="1" si="976"/>
        <v>Élelmesek</v>
      </c>
      <c r="DJ645" s="478" t="str">
        <f t="shared" ca="1" si="977"/>
        <v>ÉlelmesekHercules-Ludovika</v>
      </c>
      <c r="DK645" s="360" t="str">
        <f t="shared" ca="1" si="978"/>
        <v/>
      </c>
      <c r="DL645" s="354" t="str">
        <f t="shared" ca="1" si="979"/>
        <v>Élelmesek</v>
      </c>
      <c r="DM645" s="354" t="str">
        <f t="shared" ca="1" si="980"/>
        <v>Hercules-Ludovika</v>
      </c>
      <c r="DN645" s="361">
        <f t="shared" ca="1" si="981"/>
        <v>1</v>
      </c>
      <c r="DO645" s="362">
        <f t="shared" ca="1" si="982"/>
        <v>1</v>
      </c>
      <c r="DP645" s="379" t="str">
        <f ca="1">DP644</f>
        <v>Hercules-Ludovika</v>
      </c>
      <c r="DQ645" s="302"/>
      <c r="DR645" s="364"/>
      <c r="DS645" s="302"/>
      <c r="DU645" s="365"/>
      <c r="DV645" s="366" t="str">
        <f ca="1">IF(AND($AJ$44,DI643,DP643&lt;&gt;2),DI645,"")</f>
        <v/>
      </c>
      <c r="DW645" s="366">
        <f t="shared" ca="1" si="983"/>
        <v>-1</v>
      </c>
      <c r="DX645" s="366">
        <f t="shared" ca="1" si="984"/>
        <v>0</v>
      </c>
      <c r="DZ645" s="366">
        <f t="shared" ca="1" si="985"/>
        <v>0</v>
      </c>
      <c r="EA645" s="366">
        <f t="shared" ca="1" si="986"/>
        <v>0</v>
      </c>
      <c r="EC645" s="366">
        <f t="shared" ref="EC645:EC653" ca="1" si="1006">IF(EA645=0,0,DZ645/EA645)</f>
        <v>0</v>
      </c>
      <c r="EE645" s="366">
        <f t="shared" ca="1" si="987"/>
        <v>-1000000</v>
      </c>
      <c r="EI645" s="366">
        <f t="shared" ca="1" si="988"/>
        <v>0</v>
      </c>
      <c r="EJ645" s="366">
        <f ca="1">IF(EI645=0,0,RANK(EI645,EI644:EI653,1))</f>
        <v>0</v>
      </c>
      <c r="EK645" s="366">
        <f t="shared" ref="EK645:EK664" ca="1" si="1007">EJ645*40000*IF(COUNTIF($FC$644:$FC$667,DV645)&gt;0,0,1)</f>
        <v>0</v>
      </c>
      <c r="EM645" s="367">
        <f ca="1">IF($AJ$54,COUNTIF(EE655:EE664,EN644)*IF(OR(EN645=0,EN645=EN644),0,1),COUNTIF(DW644:DW653,EO645)*IF(OR(EO645=EO644,EO645&lt;0),0,1))+EP645/1000</f>
        <v>2E-3</v>
      </c>
      <c r="EN645" s="368">
        <v>0</v>
      </c>
      <c r="EO645" s="369">
        <f ca="1">LARGE(DW644:DW653,EP645)</f>
        <v>-1</v>
      </c>
      <c r="EP645" s="369">
        <v>2</v>
      </c>
      <c r="EQ645" s="365"/>
      <c r="ER645" s="370">
        <f ca="1">IF(LARGE(EM644:EM653,EP645)&lt;1,0,LARGE(EM644:EM653,EP645))</f>
        <v>0</v>
      </c>
      <c r="ES645" s="371" t="str">
        <f ca="1">IF(DW645=ES643,DV645,IF(EE656=ES643,DV656,""))</f>
        <v/>
      </c>
      <c r="ET645" s="369" t="str">
        <f t="shared" ca="1" si="989"/>
        <v/>
      </c>
      <c r="EU645" s="372" t="str">
        <f ca="1">IF(ISERR(LARGE(ET644:ET653,EP645)),"",LARGE(ET644:ET653,EP645))</f>
        <v/>
      </c>
      <c r="EV645" s="371" t="str">
        <f ca="1">IF(DW645=EV643,DV645,IF(EE656=EV643,DV656,""))</f>
        <v/>
      </c>
      <c r="EW645" s="369" t="str">
        <f t="shared" ca="1" si="990"/>
        <v/>
      </c>
      <c r="EX645" s="372" t="str">
        <f ca="1">IF(ISERR(LARGE(EW644:EW653,EP645)),"",LARGE(EW644:EW653,EP645))</f>
        <v/>
      </c>
      <c r="EY645" s="371" t="str">
        <f ca="1">IF(DW645=EY643,DV645,IF(EE656=EY643,DV656,""))</f>
        <v/>
      </c>
      <c r="EZ645" s="369" t="str">
        <f t="shared" ca="1" si="991"/>
        <v/>
      </c>
      <c r="FA645" s="372" t="str">
        <f ca="1">IF(ISERR(LARGE(EZ644:EZ653,EP645)),"",LARGE(EZ644:EZ653,EP645))</f>
        <v/>
      </c>
      <c r="FB645" s="365"/>
      <c r="FC645" s="366"/>
      <c r="FD645" s="373"/>
      <c r="FE645" s="333"/>
    </row>
    <row r="646" spans="86:161" x14ac:dyDescent="0.25">
      <c r="CH646" s="350"/>
      <c r="CI646" s="353">
        <f t="shared" ref="CI646:CI667" ca="1" si="1008">IF($AJ$44,COUNTIF($BO$146:$BO$169,CK646)*IF(OR(CK646=CK645,CK646=0),0,1),COUNTIF($BM$146:$BM$169,CJ646)*IF(OR(CJ646=CJ645,CJ646=0),0,1))+CL646/1000</f>
        <v>1.0029999999999999</v>
      </c>
      <c r="CJ646" s="352">
        <f t="shared" ca="1" si="992"/>
        <v>42</v>
      </c>
      <c r="CK646" s="353">
        <f t="shared" ca="1" si="993"/>
        <v>0.78947368421052633</v>
      </c>
      <c r="CL646" s="354">
        <v>3</v>
      </c>
      <c r="CM646" s="350"/>
      <c r="CN646" s="475">
        <f ca="1">IF(LARGE(CI644:CI667,CL646)&lt;2,0,LARGE(CI644:CI667,CL646))</f>
        <v>0</v>
      </c>
      <c r="CO646" s="356" t="str">
        <f t="shared" ca="1" si="994"/>
        <v/>
      </c>
      <c r="CP646" s="357" t="str">
        <f t="shared" ca="1" si="995"/>
        <v/>
      </c>
      <c r="CQ646" s="476" t="str">
        <f ca="1">IF(ISERR(LARGE(CP644:CP667,$CL646)),"",LARGE(CP644:CP667,$CL646))</f>
        <v/>
      </c>
      <c r="CR646" s="356" t="str">
        <f t="shared" ca="1" si="996"/>
        <v/>
      </c>
      <c r="CS646" s="357" t="str">
        <f t="shared" ca="1" si="997"/>
        <v/>
      </c>
      <c r="CT646" s="476" t="str">
        <f ca="1">IF(ISERR(LARGE(CS644:CS667,$CL646)),"",LARGE(CS644:CS667,$CL646))</f>
        <v/>
      </c>
      <c r="CU646" s="356" t="str">
        <f t="shared" ca="1" si="998"/>
        <v/>
      </c>
      <c r="CV646" s="357" t="str">
        <f t="shared" ca="1" si="999"/>
        <v/>
      </c>
      <c r="CW646" s="476" t="str">
        <f ca="1">IF(ISERR(LARGE(CV644:CV667,$CL646)),"",LARGE(CV644:CV667,$CL646))</f>
        <v/>
      </c>
      <c r="CX646" s="356" t="str">
        <f t="shared" ca="1" si="1000"/>
        <v/>
      </c>
      <c r="CY646" s="357" t="str">
        <f t="shared" ca="1" si="1001"/>
        <v/>
      </c>
      <c r="CZ646" s="476" t="str">
        <f ca="1">IF(ISERR(LARGE(CY644:CY667,$CL646)),"",LARGE(CY644:CY667,$CL646))</f>
        <v/>
      </c>
      <c r="DA646" s="356" t="str">
        <f t="shared" ca="1" si="1002"/>
        <v/>
      </c>
      <c r="DB646" s="357" t="str">
        <f t="shared" ca="1" si="1003"/>
        <v/>
      </c>
      <c r="DC646" s="476" t="str">
        <f ca="1">IF(ISERR(LARGE(DB644:DB667,$CL646)),"",LARGE(DB644:DB667,$CL646))</f>
        <v/>
      </c>
      <c r="DD646" s="356" t="str">
        <f t="shared" ca="1" si="1004"/>
        <v/>
      </c>
      <c r="DE646" s="357" t="str">
        <f t="shared" ca="1" si="1005"/>
        <v/>
      </c>
      <c r="DF646" s="380"/>
      <c r="DG646" s="350"/>
      <c r="DH646" s="300"/>
      <c r="DI646" s="477" t="str">
        <f t="shared" ca="1" si="976"/>
        <v/>
      </c>
      <c r="DJ646" s="478" t="str">
        <f t="shared" ca="1" si="977"/>
        <v/>
      </c>
      <c r="DK646" s="360" t="str">
        <f t="shared" ca="1" si="978"/>
        <v/>
      </c>
      <c r="DL646" s="354" t="str">
        <f t="shared" ca="1" si="979"/>
        <v/>
      </c>
      <c r="DM646" s="354" t="str">
        <f t="shared" ca="1" si="980"/>
        <v/>
      </c>
      <c r="DN646" s="361" t="str">
        <f t="shared" ca="1" si="981"/>
        <v/>
      </c>
      <c r="DO646" s="362" t="str">
        <f t="shared" ca="1" si="982"/>
        <v/>
      </c>
      <c r="DP646" s="379" t="str">
        <f t="shared" ref="DP646:DP653" ca="1" si="1009">DP645</f>
        <v>Hercules-Ludovika</v>
      </c>
      <c r="DQ646" s="302"/>
      <c r="DR646" s="364"/>
      <c r="DS646" s="302"/>
      <c r="DU646" s="365"/>
      <c r="DV646" s="366" t="str">
        <f ca="1">IF(AND($AJ$44,DI643,DP643&lt;&gt;2),DI646,"")</f>
        <v/>
      </c>
      <c r="DW646" s="366">
        <f t="shared" ca="1" si="983"/>
        <v>-1</v>
      </c>
      <c r="DX646" s="366">
        <f t="shared" ca="1" si="984"/>
        <v>0</v>
      </c>
      <c r="DZ646" s="366">
        <f t="shared" ca="1" si="985"/>
        <v>0</v>
      </c>
      <c r="EA646" s="366">
        <f t="shared" ca="1" si="986"/>
        <v>0</v>
      </c>
      <c r="EC646" s="366">
        <f t="shared" ca="1" si="1006"/>
        <v>0</v>
      </c>
      <c r="EE646" s="366">
        <f t="shared" ca="1" si="987"/>
        <v>-1000000</v>
      </c>
      <c r="EI646" s="366">
        <f t="shared" ca="1" si="988"/>
        <v>0</v>
      </c>
      <c r="EJ646" s="366">
        <f ca="1">IF(EI646=0,0,RANK(EI646,EI644:EI653,1))</f>
        <v>0</v>
      </c>
      <c r="EK646" s="366">
        <f t="shared" ca="1" si="1007"/>
        <v>0</v>
      </c>
      <c r="EL646" s="365"/>
      <c r="EM646" s="367">
        <f ca="1">IF($AJ$54,COUNTIF(EE655:EE664,EN645)*IF(OR(EN646=0,EN646=EN645),0,1),COUNTIF(DW644:DW653,EO646)*IF(OR(EO646=EO645,EO646&lt;0),0,1))+EP646/1000</f>
        <v>3.0000000000000001E-3</v>
      </c>
      <c r="EN646" s="368">
        <v>0</v>
      </c>
      <c r="EO646" s="369">
        <f ca="1">LARGE(DW644:DW653,EP646)</f>
        <v>-1</v>
      </c>
      <c r="EP646" s="369">
        <v>3</v>
      </c>
      <c r="EQ646" s="365"/>
      <c r="ER646" s="370">
        <f ca="1">IF(LARGE(EM644:EM653,EP646)&lt;1,0,LARGE(EM644:EM653,EP646))</f>
        <v>0</v>
      </c>
      <c r="ES646" s="371" t="str">
        <f ca="1">IF(DW646=ES643,DV646,IF(EE657=ES643,DV657,""))</f>
        <v/>
      </c>
      <c r="ET646" s="369" t="str">
        <f t="shared" ca="1" si="989"/>
        <v/>
      </c>
      <c r="EU646" s="372" t="str">
        <f ca="1">IF(ISERR(LARGE(ET644:ET653,EP646)),"",LARGE(ET644:ET653,EP646))</f>
        <v/>
      </c>
      <c r="EV646" s="371" t="str">
        <f ca="1">IF(DW646=EV643,DV646,IF(EE657=EV643,DV657,""))</f>
        <v/>
      </c>
      <c r="EW646" s="369" t="str">
        <f t="shared" ca="1" si="990"/>
        <v/>
      </c>
      <c r="EX646" s="381"/>
      <c r="EY646" s="371" t="str">
        <f ca="1">IF(DW646=EY643,DV646,IF(EE657=EY643,DV657,""))</f>
        <v/>
      </c>
      <c r="EZ646" s="369" t="str">
        <f t="shared" ca="1" si="991"/>
        <v/>
      </c>
      <c r="FA646" s="381"/>
      <c r="FB646" s="365"/>
      <c r="FC646" s="366"/>
      <c r="FD646" s="373"/>
      <c r="FE646" s="333"/>
    </row>
    <row r="647" spans="86:161" x14ac:dyDescent="0.25">
      <c r="CH647" s="350"/>
      <c r="CI647" s="353">
        <f t="shared" ca="1" si="1008"/>
        <v>1.004</v>
      </c>
      <c r="CJ647" s="352">
        <f t="shared" ca="1" si="992"/>
        <v>41</v>
      </c>
      <c r="CK647" s="353">
        <f t="shared" ca="1" si="993"/>
        <v>0.76315789473684215</v>
      </c>
      <c r="CL647" s="354">
        <v>4</v>
      </c>
      <c r="CM647" s="350"/>
      <c r="CN647" s="475">
        <f ca="1">IF(LARGE(CI644:CI667,CL647)&lt;2,0,LARGE(CI644:CI667,CL647))</f>
        <v>0</v>
      </c>
      <c r="CO647" s="356" t="str">
        <f t="shared" ca="1" si="994"/>
        <v/>
      </c>
      <c r="CP647" s="357" t="str">
        <f t="shared" ca="1" si="995"/>
        <v/>
      </c>
      <c r="CQ647" s="476" t="str">
        <f ca="1">IF(ISERR(LARGE(CP644:CP667,$CL647)),"",LARGE(CP644:CP667,$CL647))</f>
        <v/>
      </c>
      <c r="CR647" s="356" t="str">
        <f t="shared" ca="1" si="996"/>
        <v/>
      </c>
      <c r="CS647" s="357" t="str">
        <f t="shared" ca="1" si="997"/>
        <v/>
      </c>
      <c r="CT647" s="476" t="str">
        <f ca="1">IF(ISERR(LARGE(CS644:CS667,$CL647)),"",LARGE(CS644:CS667,$CL647))</f>
        <v/>
      </c>
      <c r="CU647" s="356" t="str">
        <f t="shared" ca="1" si="998"/>
        <v/>
      </c>
      <c r="CV647" s="357" t="str">
        <f t="shared" ca="1" si="999"/>
        <v/>
      </c>
      <c r="CW647" s="476" t="str">
        <f ca="1">IF(ISERR(LARGE(CV644:CV667,$CL647)),"",LARGE(CV644:CV667,$CL647))</f>
        <v/>
      </c>
      <c r="CX647" s="356" t="str">
        <f t="shared" ca="1" si="1000"/>
        <v/>
      </c>
      <c r="CY647" s="357" t="str">
        <f t="shared" ca="1" si="1001"/>
        <v/>
      </c>
      <c r="CZ647" s="476" t="str">
        <f ca="1">IF(ISERR(LARGE(CY644:CY667,$CL647)),"",LARGE(CY644:CY667,$CL647))</f>
        <v/>
      </c>
      <c r="DA647" s="356" t="str">
        <f t="shared" ca="1" si="1002"/>
        <v/>
      </c>
      <c r="DB647" s="357" t="str">
        <f t="shared" ca="1" si="1003"/>
        <v/>
      </c>
      <c r="DC647" s="380"/>
      <c r="DD647" s="356" t="str">
        <f t="shared" ca="1" si="1004"/>
        <v/>
      </c>
      <c r="DE647" s="357" t="str">
        <f t="shared" ca="1" si="1005"/>
        <v/>
      </c>
      <c r="DF647" s="385"/>
      <c r="DG647" s="350"/>
      <c r="DH647" s="300"/>
      <c r="DI647" s="477" t="str">
        <f t="shared" ca="1" si="976"/>
        <v/>
      </c>
      <c r="DJ647" s="478" t="str">
        <f t="shared" ca="1" si="977"/>
        <v/>
      </c>
      <c r="DK647" s="360" t="str">
        <f t="shared" ca="1" si="978"/>
        <v/>
      </c>
      <c r="DL647" s="354" t="str">
        <f t="shared" ca="1" si="979"/>
        <v/>
      </c>
      <c r="DM647" s="354" t="str">
        <f t="shared" ca="1" si="980"/>
        <v/>
      </c>
      <c r="DN647" s="361" t="str">
        <f t="shared" ca="1" si="981"/>
        <v/>
      </c>
      <c r="DO647" s="362" t="str">
        <f t="shared" ca="1" si="982"/>
        <v/>
      </c>
      <c r="DP647" s="379" t="str">
        <f t="shared" ca="1" si="1009"/>
        <v>Hercules-Ludovika</v>
      </c>
      <c r="DQ647" s="302"/>
      <c r="DR647" s="364"/>
      <c r="DS647" s="302"/>
      <c r="DU647" s="365"/>
      <c r="DV647" s="366" t="str">
        <f ca="1">IF(AND($AJ$44,DI643,DP643&lt;&gt;2),DI647,"")</f>
        <v/>
      </c>
      <c r="DW647" s="366">
        <f t="shared" ca="1" si="983"/>
        <v>-1</v>
      </c>
      <c r="DX647" s="366">
        <f t="shared" ca="1" si="984"/>
        <v>0</v>
      </c>
      <c r="DZ647" s="366">
        <f t="shared" ca="1" si="985"/>
        <v>0</v>
      </c>
      <c r="EA647" s="366">
        <f t="shared" ca="1" si="986"/>
        <v>0</v>
      </c>
      <c r="EC647" s="366">
        <f t="shared" ca="1" si="1006"/>
        <v>0</v>
      </c>
      <c r="EE647" s="366">
        <f t="shared" ca="1" si="987"/>
        <v>-1000000</v>
      </c>
      <c r="EI647" s="366">
        <f t="shared" ca="1" si="988"/>
        <v>0</v>
      </c>
      <c r="EJ647" s="366">
        <f ca="1">IF(EI647=0,0,RANK(EI647,EI644:EI653,1))</f>
        <v>0</v>
      </c>
      <c r="EK647" s="366">
        <f t="shared" ca="1" si="1007"/>
        <v>0</v>
      </c>
      <c r="EL647" s="365"/>
      <c r="EM647" s="367">
        <f ca="1">IF($AJ$54,COUNTIF(EE655:EE664,EN646)*IF(OR(EN647=0,EN647=EN646),0,1),COUNTIF(DW644:DW653,EO647)*IF(OR(EO647=EO646,EO647&lt;0),0,1))+EP647/1000</f>
        <v>4.0000000000000001E-3</v>
      </c>
      <c r="EN647" s="368">
        <v>0</v>
      </c>
      <c r="EO647" s="369">
        <f ca="1">LARGE(DW644:DW653,EP647)</f>
        <v>-1</v>
      </c>
      <c r="EP647" s="369">
        <v>4</v>
      </c>
      <c r="EQ647" s="365"/>
      <c r="ER647" s="365"/>
      <c r="ES647" s="371" t="str">
        <f ca="1">IF(DW647=ES643,DV647,IF(EE658=ES643,DV658,""))</f>
        <v/>
      </c>
      <c r="ET647" s="369" t="str">
        <f t="shared" ca="1" si="989"/>
        <v/>
      </c>
      <c r="EU647" s="372" t="str">
        <f ca="1">IF(ISERR(LARGE(ET644:ET653,EP647)),"",LARGE(ET644:ET653,EP647))</f>
        <v/>
      </c>
      <c r="EV647" s="371" t="str">
        <f ca="1">IF(DW647=EV643,DV647,IF(EE658=EV643,DV658,""))</f>
        <v/>
      </c>
      <c r="EW647" s="369" t="str">
        <f t="shared" ca="1" si="990"/>
        <v/>
      </c>
      <c r="EX647" s="386"/>
      <c r="EY647" s="371" t="str">
        <f ca="1">IF(DW647=EY643,DV647,IF(EE658=EY643,DV658,""))</f>
        <v/>
      </c>
      <c r="EZ647" s="369" t="str">
        <f t="shared" ca="1" si="991"/>
        <v/>
      </c>
      <c r="FA647" s="386"/>
      <c r="FB647" s="365"/>
      <c r="FC647" s="366"/>
      <c r="FD647" s="373"/>
      <c r="FE647" s="333"/>
    </row>
    <row r="648" spans="86:161" x14ac:dyDescent="0.25">
      <c r="CH648" s="350"/>
      <c r="CI648" s="353">
        <f t="shared" ca="1" si="1008"/>
        <v>2.0049999999999999</v>
      </c>
      <c r="CJ648" s="352">
        <f t="shared" ca="1" si="992"/>
        <v>25</v>
      </c>
      <c r="CK648" s="353">
        <f t="shared" ca="1" si="993"/>
        <v>0.68421052631578949</v>
      </c>
      <c r="CL648" s="354">
        <v>5</v>
      </c>
      <c r="CM648" s="350"/>
      <c r="CN648" s="475">
        <f ca="1">IF(LARGE(CI644:CI667,CL648)&lt;2,0,LARGE(CI644:CI667,CL648))</f>
        <v>0</v>
      </c>
      <c r="CO648" s="356" t="str">
        <f t="shared" ca="1" si="994"/>
        <v/>
      </c>
      <c r="CP648" s="357" t="str">
        <f t="shared" ca="1" si="995"/>
        <v/>
      </c>
      <c r="CQ648" s="476" t="str">
        <f ca="1">IF(ISERR(LARGE(CP644:CP667,$CL648)),"",LARGE(CP644:CP667,$CL648))</f>
        <v/>
      </c>
      <c r="CR648" s="356" t="str">
        <f t="shared" ca="1" si="996"/>
        <v/>
      </c>
      <c r="CS648" s="357" t="str">
        <f t="shared" ca="1" si="997"/>
        <v/>
      </c>
      <c r="CT648" s="476" t="str">
        <f ca="1">IF(ISERR(LARGE(CS644:CS667,$CL648)),"",LARGE(CS644:CS667,$CL648))</f>
        <v/>
      </c>
      <c r="CU648" s="356" t="str">
        <f t="shared" ca="1" si="998"/>
        <v/>
      </c>
      <c r="CV648" s="357" t="str">
        <f t="shared" ca="1" si="999"/>
        <v/>
      </c>
      <c r="CW648" s="476" t="str">
        <f ca="1">IF(ISERR(LARGE(CV644:CV667,$CL648)),"",LARGE(CV644:CV667,$CL648))</f>
        <v/>
      </c>
      <c r="CX648" s="356" t="str">
        <f t="shared" ca="1" si="1000"/>
        <v/>
      </c>
      <c r="CY648" s="357" t="str">
        <f t="shared" ca="1" si="1001"/>
        <v/>
      </c>
      <c r="CZ648" s="380"/>
      <c r="DA648" s="356" t="str">
        <f t="shared" ca="1" si="1002"/>
        <v/>
      </c>
      <c r="DB648" s="357" t="str">
        <f t="shared" ca="1" si="1003"/>
        <v/>
      </c>
      <c r="DC648" s="385"/>
      <c r="DD648" s="356" t="str">
        <f t="shared" ca="1" si="1004"/>
        <v/>
      </c>
      <c r="DE648" s="357" t="str">
        <f t="shared" ca="1" si="1005"/>
        <v/>
      </c>
      <c r="DF648" s="385"/>
      <c r="DG648" s="350"/>
      <c r="DH648" s="300"/>
      <c r="DI648" s="477" t="str">
        <f t="shared" ca="1" si="976"/>
        <v/>
      </c>
      <c r="DJ648" s="478" t="str">
        <f t="shared" ca="1" si="977"/>
        <v/>
      </c>
      <c r="DK648" s="360" t="str">
        <f t="shared" ca="1" si="978"/>
        <v/>
      </c>
      <c r="DL648" s="354" t="str">
        <f t="shared" ca="1" si="979"/>
        <v/>
      </c>
      <c r="DM648" s="354" t="str">
        <f t="shared" ca="1" si="980"/>
        <v/>
      </c>
      <c r="DN648" s="361" t="str">
        <f t="shared" ca="1" si="981"/>
        <v/>
      </c>
      <c r="DO648" s="362" t="str">
        <f t="shared" ca="1" si="982"/>
        <v/>
      </c>
      <c r="DP648" s="379" t="str">
        <f t="shared" ca="1" si="1009"/>
        <v>Hercules-Ludovika</v>
      </c>
      <c r="DQ648" s="302"/>
      <c r="DR648" s="364"/>
      <c r="DS648" s="302"/>
      <c r="DU648" s="365"/>
      <c r="DV648" s="366" t="str">
        <f ca="1">IF(AND($AJ$44,DI643,DP643&lt;&gt;2),DI648,"")</f>
        <v/>
      </c>
      <c r="DW648" s="366">
        <f t="shared" ca="1" si="983"/>
        <v>-1</v>
      </c>
      <c r="DX648" s="366">
        <f t="shared" ca="1" si="984"/>
        <v>0</v>
      </c>
      <c r="DZ648" s="366">
        <f t="shared" ca="1" si="985"/>
        <v>0</v>
      </c>
      <c r="EA648" s="366">
        <f t="shared" ca="1" si="986"/>
        <v>0</v>
      </c>
      <c r="EC648" s="366">
        <f t="shared" ca="1" si="1006"/>
        <v>0</v>
      </c>
      <c r="EE648" s="366">
        <f t="shared" ca="1" si="987"/>
        <v>-1000000</v>
      </c>
      <c r="EI648" s="366">
        <f t="shared" ca="1" si="988"/>
        <v>0</v>
      </c>
      <c r="EJ648" s="366">
        <f ca="1">IF(EI648=0,0,RANK(EI648,EI644:EI653,1))</f>
        <v>0</v>
      </c>
      <c r="EK648" s="366">
        <f t="shared" ca="1" si="1007"/>
        <v>0</v>
      </c>
      <c r="EL648" s="365"/>
      <c r="EM648" s="367">
        <f ca="1">IF($AJ$54,COUNTIF(EE655:EE664,EN647)*IF(OR(EN648=0,EN648=EN647),0,1),COUNTIF(DW644:DW653,EO648)*IF(OR(EO648=EO647,EO648&lt;0),0,1))+EP648/1000</f>
        <v>5.0000000000000001E-3</v>
      </c>
      <c r="EN648" s="368">
        <v>0</v>
      </c>
      <c r="EO648" s="369">
        <f ca="1">LARGE(DW644:DW653,EP648)</f>
        <v>-1</v>
      </c>
      <c r="EP648" s="369">
        <v>5</v>
      </c>
      <c r="EQ648" s="365"/>
      <c r="ER648" s="365"/>
      <c r="ES648" s="371" t="str">
        <f ca="1">IF(DW648=ES643,DV648,IF(EE659=ES643,DV659,""))</f>
        <v/>
      </c>
      <c r="ET648" s="369" t="str">
        <f t="shared" ca="1" si="989"/>
        <v/>
      </c>
      <c r="EU648" s="388" t="str">
        <f ca="1">IF(ISERR(LARGE(ET644:ET653,EP648)),"",LARGE(ET644:ET653,EP648))</f>
        <v/>
      </c>
      <c r="EV648" s="371" t="str">
        <f ca="1">IF(DW648=EV643,DV648,IF(EE659=EV643,DV659,""))</f>
        <v/>
      </c>
      <c r="EW648" s="369" t="str">
        <f t="shared" ca="1" si="990"/>
        <v/>
      </c>
      <c r="EX648" s="386"/>
      <c r="EY648" s="371" t="str">
        <f ca="1">IF(DW648=EY643,DV648,IF(EE659=EY643,DV659,""))</f>
        <v/>
      </c>
      <c r="EZ648" s="369" t="str">
        <f t="shared" ca="1" si="991"/>
        <v/>
      </c>
      <c r="FA648" s="386"/>
      <c r="FB648" s="365"/>
      <c r="FC648" s="366"/>
      <c r="FD648" s="373"/>
      <c r="FE648" s="333"/>
    </row>
    <row r="649" spans="86:161" x14ac:dyDescent="0.25">
      <c r="CH649" s="350"/>
      <c r="CI649" s="353">
        <f t="shared" ca="1" si="1008"/>
        <v>6.0000000000000001E-3</v>
      </c>
      <c r="CJ649" s="352">
        <f t="shared" ca="1" si="992"/>
        <v>25</v>
      </c>
      <c r="CK649" s="353">
        <f t="shared" ca="1" si="993"/>
        <v>0.60526315789473684</v>
      </c>
      <c r="CL649" s="354">
        <v>6</v>
      </c>
      <c r="CM649" s="350"/>
      <c r="CN649" s="475">
        <f ca="1">IF(LARGE(CI644:CI667,CL649)&lt;2,0,LARGE(CI644:CI667,CL649))</f>
        <v>0</v>
      </c>
      <c r="CO649" s="356" t="str">
        <f t="shared" ca="1" si="994"/>
        <v>Élelmesek</v>
      </c>
      <c r="CP649" s="357">
        <f t="shared" ca="1" si="995"/>
        <v>6</v>
      </c>
      <c r="CQ649" s="476" t="str">
        <f ca="1">IF(ISERR(LARGE(CP644:CP667,$CL649)),"",LARGE(CP644:CP667,$CL649))</f>
        <v/>
      </c>
      <c r="CR649" s="356" t="str">
        <f t="shared" ca="1" si="996"/>
        <v/>
      </c>
      <c r="CS649" s="357" t="str">
        <f t="shared" ca="1" si="997"/>
        <v/>
      </c>
      <c r="CT649" s="476" t="str">
        <f ca="1">IF(ISERR(LARGE(CS644:CS667,$CL649)),"",LARGE(CS644:CS667,$CL649))</f>
        <v/>
      </c>
      <c r="CU649" s="356" t="str">
        <f t="shared" ca="1" si="998"/>
        <v/>
      </c>
      <c r="CV649" s="357" t="str">
        <f t="shared" ca="1" si="999"/>
        <v/>
      </c>
      <c r="CW649" s="380"/>
      <c r="CX649" s="356" t="str">
        <f t="shared" ca="1" si="1000"/>
        <v/>
      </c>
      <c r="CY649" s="357" t="str">
        <f t="shared" ca="1" si="1001"/>
        <v/>
      </c>
      <c r="CZ649" s="385"/>
      <c r="DA649" s="356" t="str">
        <f t="shared" ca="1" si="1002"/>
        <v/>
      </c>
      <c r="DB649" s="357" t="str">
        <f t="shared" ca="1" si="1003"/>
        <v/>
      </c>
      <c r="DC649" s="385"/>
      <c r="DD649" s="356" t="str">
        <f t="shared" ca="1" si="1004"/>
        <v/>
      </c>
      <c r="DE649" s="357" t="str">
        <f t="shared" ca="1" si="1005"/>
        <v/>
      </c>
      <c r="DF649" s="385"/>
      <c r="DG649" s="350"/>
      <c r="DH649" s="300"/>
      <c r="DI649" s="477" t="str">
        <f t="shared" ca="1" si="976"/>
        <v/>
      </c>
      <c r="DJ649" s="478" t="str">
        <f t="shared" ca="1" si="977"/>
        <v/>
      </c>
      <c r="DK649" s="360" t="str">
        <f t="shared" ca="1" si="978"/>
        <v/>
      </c>
      <c r="DL649" s="354" t="str">
        <f t="shared" ca="1" si="979"/>
        <v/>
      </c>
      <c r="DM649" s="354" t="str">
        <f t="shared" ca="1" si="980"/>
        <v/>
      </c>
      <c r="DN649" s="361" t="str">
        <f t="shared" ca="1" si="981"/>
        <v/>
      </c>
      <c r="DO649" s="362" t="str">
        <f t="shared" ca="1" si="982"/>
        <v/>
      </c>
      <c r="DP649" s="379" t="str">
        <f t="shared" ca="1" si="1009"/>
        <v>Hercules-Ludovika</v>
      </c>
      <c r="DQ649" s="302"/>
      <c r="DR649" s="364"/>
      <c r="DS649" s="302"/>
      <c r="DU649" s="365"/>
      <c r="DV649" s="366" t="str">
        <f ca="1">IF(AND($AJ$44,DI643,DP643&lt;&gt;2),DI649,"")</f>
        <v/>
      </c>
      <c r="DW649" s="366">
        <f t="shared" ca="1" si="983"/>
        <v>-1</v>
      </c>
      <c r="DX649" s="366">
        <f t="shared" ca="1" si="984"/>
        <v>0</v>
      </c>
      <c r="DZ649" s="366">
        <f t="shared" ca="1" si="985"/>
        <v>0</v>
      </c>
      <c r="EA649" s="366">
        <f t="shared" ca="1" si="986"/>
        <v>0</v>
      </c>
      <c r="EC649" s="366">
        <f t="shared" ca="1" si="1006"/>
        <v>0</v>
      </c>
      <c r="EE649" s="366">
        <f t="shared" ca="1" si="987"/>
        <v>-1000000</v>
      </c>
      <c r="EI649" s="366">
        <f t="shared" ca="1" si="988"/>
        <v>0</v>
      </c>
      <c r="EJ649" s="366">
        <f ca="1">IF(EI649=0,0,RANK(EI649,EI644:EI653,1))</f>
        <v>0</v>
      </c>
      <c r="EK649" s="366">
        <f t="shared" ca="1" si="1007"/>
        <v>0</v>
      </c>
      <c r="EL649" s="365"/>
      <c r="EM649" s="367">
        <f ca="1">IF($AJ$54,COUNTIF(EE655:EE664,EN648)*IF(OR(EN649=0,EN649=EN648),0,1),COUNTIF(DW644:DW653,EO649)*IF(OR(EO649=EO648,EO649&lt;0),0,1))+EP649/1000</f>
        <v>6.0000000000000001E-3</v>
      </c>
      <c r="EN649" s="368">
        <v>0</v>
      </c>
      <c r="EO649" s="369">
        <f ca="1">LARGE(DW644:DW653,EP649)</f>
        <v>-1</v>
      </c>
      <c r="EP649" s="369">
        <v>6</v>
      </c>
      <c r="EQ649" s="365"/>
      <c r="ER649" s="365"/>
      <c r="ES649" s="371" t="str">
        <f ca="1">IF(DW649=ES643,DV649,IF(EE660=ES643,DV660,""))</f>
        <v/>
      </c>
      <c r="ET649" s="369" t="str">
        <f t="shared" ca="1" si="989"/>
        <v/>
      </c>
      <c r="EU649" s="386"/>
      <c r="EV649" s="371" t="str">
        <f ca="1">IF(DW649=EV643,DV649,IF(EE660=EV643,DV660,""))</f>
        <v/>
      </c>
      <c r="EW649" s="369" t="str">
        <f t="shared" ca="1" si="990"/>
        <v/>
      </c>
      <c r="EX649" s="386"/>
      <c r="EY649" s="371" t="str">
        <f ca="1">IF(DW649=EY643,DV649,IF(EE660=EY643,DV660,""))</f>
        <v/>
      </c>
      <c r="EZ649" s="369" t="str">
        <f t="shared" ca="1" si="991"/>
        <v/>
      </c>
      <c r="FA649" s="386"/>
      <c r="FB649" s="365"/>
      <c r="FC649" s="366"/>
      <c r="FD649" s="373"/>
      <c r="FE649" s="333"/>
    </row>
    <row r="650" spans="86:161" x14ac:dyDescent="0.25">
      <c r="CH650" s="350"/>
      <c r="CI650" s="353">
        <f t="shared" ca="1" si="1008"/>
        <v>1.0069999999999999</v>
      </c>
      <c r="CJ650" s="352">
        <f t="shared" ca="1" si="992"/>
        <v>20</v>
      </c>
      <c r="CK650" s="353">
        <f t="shared" ca="1" si="993"/>
        <v>0.57894736842105265</v>
      </c>
      <c r="CL650" s="354">
        <v>7</v>
      </c>
      <c r="CM650" s="350"/>
      <c r="CN650" s="300"/>
      <c r="CO650" s="356" t="str">
        <f t="shared" ca="1" si="994"/>
        <v>Hercules-Ludovika</v>
      </c>
      <c r="CP650" s="357">
        <f t="shared" ca="1" si="995"/>
        <v>7</v>
      </c>
      <c r="CQ650" s="476" t="str">
        <f ca="1">IF(ISERR(LARGE(CP644:CP667,$CL650)),"",LARGE(CP644:CP667,$CL650))</f>
        <v/>
      </c>
      <c r="CR650" s="356" t="str">
        <f t="shared" ca="1" si="996"/>
        <v/>
      </c>
      <c r="CS650" s="357" t="str">
        <f t="shared" ca="1" si="997"/>
        <v/>
      </c>
      <c r="CT650" s="476" t="str">
        <f ca="1">IF(ISERR(LARGE(CS644:CS667,$CL650)),"",LARGE(CS644:CS667,$CL650))</f>
        <v/>
      </c>
      <c r="CU650" s="356" t="str">
        <f t="shared" ca="1" si="998"/>
        <v/>
      </c>
      <c r="CV650" s="357" t="str">
        <f t="shared" ca="1" si="999"/>
        <v/>
      </c>
      <c r="CW650" s="385"/>
      <c r="CX650" s="356" t="str">
        <f t="shared" ca="1" si="1000"/>
        <v/>
      </c>
      <c r="CY650" s="357" t="str">
        <f t="shared" ca="1" si="1001"/>
        <v/>
      </c>
      <c r="CZ650" s="385"/>
      <c r="DA650" s="356" t="str">
        <f t="shared" ca="1" si="1002"/>
        <v/>
      </c>
      <c r="DB650" s="357" t="str">
        <f t="shared" ca="1" si="1003"/>
        <v/>
      </c>
      <c r="DC650" s="385"/>
      <c r="DD650" s="356" t="str">
        <f t="shared" ca="1" si="1004"/>
        <v/>
      </c>
      <c r="DE650" s="357" t="str">
        <f t="shared" ca="1" si="1005"/>
        <v/>
      </c>
      <c r="DF650" s="385"/>
      <c r="DG650" s="350"/>
      <c r="DH650" s="300"/>
      <c r="DI650" s="477" t="str">
        <f t="shared" ca="1" si="976"/>
        <v/>
      </c>
      <c r="DJ650" s="478" t="str">
        <f t="shared" ca="1" si="977"/>
        <v/>
      </c>
      <c r="DK650" s="360" t="str">
        <f t="shared" ca="1" si="978"/>
        <v/>
      </c>
      <c r="DL650" s="354" t="str">
        <f t="shared" ca="1" si="979"/>
        <v/>
      </c>
      <c r="DM650" s="354" t="str">
        <f t="shared" ca="1" si="980"/>
        <v/>
      </c>
      <c r="DN650" s="361" t="str">
        <f t="shared" ca="1" si="981"/>
        <v/>
      </c>
      <c r="DO650" s="362" t="str">
        <f t="shared" ca="1" si="982"/>
        <v/>
      </c>
      <c r="DP650" s="379" t="str">
        <f t="shared" ca="1" si="1009"/>
        <v>Hercules-Ludovika</v>
      </c>
      <c r="DQ650" s="302"/>
      <c r="DR650" s="364"/>
      <c r="DS650" s="302"/>
      <c r="DU650" s="365"/>
      <c r="DV650" s="366" t="str">
        <f ca="1">IF(AND($AJ$44,DI643,DP643&lt;&gt;2),DI650,"")</f>
        <v/>
      </c>
      <c r="DW650" s="366">
        <f t="shared" ca="1" si="983"/>
        <v>-1</v>
      </c>
      <c r="DX650" s="366">
        <f t="shared" ca="1" si="984"/>
        <v>0</v>
      </c>
      <c r="DZ650" s="366">
        <f t="shared" ca="1" si="985"/>
        <v>0</v>
      </c>
      <c r="EA650" s="366">
        <f t="shared" ca="1" si="986"/>
        <v>0</v>
      </c>
      <c r="EC650" s="366">
        <f t="shared" ca="1" si="1006"/>
        <v>0</v>
      </c>
      <c r="EE650" s="366">
        <f t="shared" ca="1" si="987"/>
        <v>-1000000</v>
      </c>
      <c r="EI650" s="366">
        <f t="shared" ca="1" si="988"/>
        <v>0</v>
      </c>
      <c r="EJ650" s="366">
        <f ca="1">IF(EI650=0,0,RANK(EI650,EI644:EI653,1))</f>
        <v>0</v>
      </c>
      <c r="EK650" s="366">
        <f t="shared" ca="1" si="1007"/>
        <v>0</v>
      </c>
      <c r="EL650" s="365"/>
      <c r="EM650" s="367">
        <f ca="1">IF($AJ$54,COUNTIF(EE655:EE664,EN649)*IF(OR(EN650=0,EN650=EN649),0,1),COUNTIF(DW644:DW653,EO650)*IF(OR(EO650=EO649,EO650&lt;0),0,1))+EP650/1000</f>
        <v>7.0000000000000001E-3</v>
      </c>
      <c r="EN650" s="368">
        <v>0</v>
      </c>
      <c r="EO650" s="369">
        <f ca="1">LARGE(DW644:DW653,EP650)</f>
        <v>-1</v>
      </c>
      <c r="EP650" s="369">
        <v>7</v>
      </c>
      <c r="EQ650" s="365"/>
      <c r="ER650" s="365"/>
      <c r="ES650" s="371" t="str">
        <f ca="1">IF(DW650=ES643,DV650,IF(EE661=ES643,DV661,""))</f>
        <v/>
      </c>
      <c r="ET650" s="369" t="str">
        <f t="shared" ca="1" si="989"/>
        <v/>
      </c>
      <c r="EU650" s="386"/>
      <c r="EV650" s="371" t="str">
        <f ca="1">IF(DW650=EV643,DV650,IF(EE661=EV643,DV661,""))</f>
        <v/>
      </c>
      <c r="EW650" s="369" t="str">
        <f t="shared" ca="1" si="990"/>
        <v/>
      </c>
      <c r="EX650" s="386"/>
      <c r="EY650" s="371" t="str">
        <f ca="1">IF(DW650=EY643,DV650,IF(EE661=EY643,DV661,""))</f>
        <v/>
      </c>
      <c r="EZ650" s="369" t="str">
        <f t="shared" ca="1" si="991"/>
        <v/>
      </c>
      <c r="FA650" s="386"/>
      <c r="FB650" s="365"/>
      <c r="FC650" s="366"/>
      <c r="FD650" s="373"/>
      <c r="FE650" s="333"/>
    </row>
    <row r="651" spans="86:161" x14ac:dyDescent="0.25">
      <c r="CH651" s="350"/>
      <c r="CI651" s="353">
        <f t="shared" ca="1" si="1008"/>
        <v>1.008</v>
      </c>
      <c r="CJ651" s="352">
        <f t="shared" ca="1" si="992"/>
        <v>17</v>
      </c>
      <c r="CK651" s="353">
        <f t="shared" ca="1" si="993"/>
        <v>0.57894736842105265</v>
      </c>
      <c r="CL651" s="354">
        <v>8</v>
      </c>
      <c r="CM651" s="350"/>
      <c r="CN651" s="300"/>
      <c r="CO651" s="356" t="str">
        <f t="shared" ca="1" si="994"/>
        <v/>
      </c>
      <c r="CP651" s="357" t="str">
        <f t="shared" ca="1" si="995"/>
        <v/>
      </c>
      <c r="CQ651" s="476" t="str">
        <f ca="1">IF(ISERR(LARGE(CP644:CP667,$CL651)),"",LARGE(CP644:CP667,$CL651))</f>
        <v/>
      </c>
      <c r="CR651" s="356" t="str">
        <f t="shared" ca="1" si="996"/>
        <v/>
      </c>
      <c r="CS651" s="357" t="str">
        <f t="shared" ca="1" si="997"/>
        <v/>
      </c>
      <c r="CT651" s="380"/>
      <c r="CU651" s="356" t="str">
        <f t="shared" ca="1" si="998"/>
        <v/>
      </c>
      <c r="CV651" s="357" t="str">
        <f t="shared" ca="1" si="999"/>
        <v/>
      </c>
      <c r="CW651" s="385"/>
      <c r="CX651" s="356" t="str">
        <f t="shared" ca="1" si="1000"/>
        <v/>
      </c>
      <c r="CY651" s="357" t="str">
        <f t="shared" ca="1" si="1001"/>
        <v/>
      </c>
      <c r="CZ651" s="385"/>
      <c r="DA651" s="356" t="str">
        <f t="shared" ca="1" si="1002"/>
        <v/>
      </c>
      <c r="DB651" s="357" t="str">
        <f t="shared" ca="1" si="1003"/>
        <v/>
      </c>
      <c r="DC651" s="385"/>
      <c r="DD651" s="356" t="str">
        <f t="shared" ca="1" si="1004"/>
        <v/>
      </c>
      <c r="DE651" s="357" t="str">
        <f t="shared" ca="1" si="1005"/>
        <v/>
      </c>
      <c r="DF651" s="385"/>
      <c r="DG651" s="350"/>
      <c r="DH651" s="300"/>
      <c r="DI651" s="477" t="str">
        <f t="shared" ca="1" si="976"/>
        <v/>
      </c>
      <c r="DJ651" s="478" t="str">
        <f t="shared" ca="1" si="977"/>
        <v/>
      </c>
      <c r="DK651" s="360" t="str">
        <f t="shared" ca="1" si="978"/>
        <v/>
      </c>
      <c r="DL651" s="354" t="str">
        <f t="shared" ca="1" si="979"/>
        <v/>
      </c>
      <c r="DM651" s="354" t="str">
        <f t="shared" ca="1" si="980"/>
        <v/>
      </c>
      <c r="DN651" s="361" t="str">
        <f t="shared" ca="1" si="981"/>
        <v/>
      </c>
      <c r="DO651" s="362" t="str">
        <f t="shared" ca="1" si="982"/>
        <v/>
      </c>
      <c r="DP651" s="379" t="str">
        <f t="shared" ca="1" si="1009"/>
        <v>Hercules-Ludovika</v>
      </c>
      <c r="DQ651" s="302"/>
      <c r="DR651" s="364"/>
      <c r="DS651" s="302"/>
      <c r="DU651" s="365"/>
      <c r="DV651" s="366" t="str">
        <f ca="1">IF(AND($AJ$44,DI643,DP643&lt;&gt;2),DI651,"")</f>
        <v/>
      </c>
      <c r="DW651" s="366">
        <f t="shared" ca="1" si="983"/>
        <v>-1</v>
      </c>
      <c r="DX651" s="366">
        <f t="shared" ca="1" si="984"/>
        <v>0</v>
      </c>
      <c r="DZ651" s="366">
        <f t="shared" ca="1" si="985"/>
        <v>0</v>
      </c>
      <c r="EA651" s="366">
        <f t="shared" ca="1" si="986"/>
        <v>0</v>
      </c>
      <c r="EC651" s="366">
        <f t="shared" ca="1" si="1006"/>
        <v>0</v>
      </c>
      <c r="EE651" s="366">
        <f t="shared" ca="1" si="987"/>
        <v>-1000000</v>
      </c>
      <c r="EI651" s="366">
        <f t="shared" ca="1" si="988"/>
        <v>0</v>
      </c>
      <c r="EJ651" s="366">
        <f ca="1">IF(EI651=0,0,RANK(EI651,EI644:EI653,1))</f>
        <v>0</v>
      </c>
      <c r="EK651" s="366">
        <f t="shared" ca="1" si="1007"/>
        <v>0</v>
      </c>
      <c r="EL651" s="365"/>
      <c r="EM651" s="367">
        <f ca="1">IF($AJ$54,COUNTIF(EE655:EE664,EN650)*IF(OR(EN651=0,EN651=EN650),0,1),COUNTIF(DW644:DW653,EO651)*IF(OR(EO651=EO650,EO651&lt;0),0,1))+EP651/1000</f>
        <v>8.0000000000000002E-3</v>
      </c>
      <c r="EN651" s="368">
        <v>0</v>
      </c>
      <c r="EO651" s="369">
        <f ca="1">LARGE(DW644:DW653,EP651)</f>
        <v>-1</v>
      </c>
      <c r="EP651" s="369">
        <v>8</v>
      </c>
      <c r="EQ651" s="365"/>
      <c r="ER651" s="365"/>
      <c r="ES651" s="371" t="str">
        <f ca="1">IF(DW651=ES643,DV651,IF(EE662=ES643,DV662,""))</f>
        <v/>
      </c>
      <c r="ET651" s="369" t="str">
        <f t="shared" ca="1" si="989"/>
        <v/>
      </c>
      <c r="EU651" s="386"/>
      <c r="EV651" s="371" t="str">
        <f ca="1">IF(DW651=EV643,DV651,IF(EE662=EV643,DV662,""))</f>
        <v/>
      </c>
      <c r="EW651" s="369" t="str">
        <f t="shared" ca="1" si="990"/>
        <v/>
      </c>
      <c r="EX651" s="386"/>
      <c r="EY651" s="371" t="str">
        <f ca="1">IF(DW651=EY643,DV651,IF(EE662=EY643,DV662,""))</f>
        <v/>
      </c>
      <c r="EZ651" s="369" t="str">
        <f t="shared" ca="1" si="991"/>
        <v/>
      </c>
      <c r="FA651" s="386"/>
      <c r="FB651" s="365"/>
      <c r="FC651" s="366"/>
      <c r="FD651" s="373"/>
      <c r="FE651" s="333"/>
    </row>
    <row r="652" spans="86:161" x14ac:dyDescent="0.25">
      <c r="CH652" s="350"/>
      <c r="CI652" s="353">
        <f t="shared" ca="1" si="1008"/>
        <v>1.0089999999999999</v>
      </c>
      <c r="CJ652" s="352">
        <f t="shared" ca="1" si="992"/>
        <v>14</v>
      </c>
      <c r="CK652" s="353">
        <f t="shared" ca="1" si="993"/>
        <v>0.55263157894736847</v>
      </c>
      <c r="CL652" s="354">
        <v>9</v>
      </c>
      <c r="CM652" s="350"/>
      <c r="CN652" s="300"/>
      <c r="CO652" s="356" t="str">
        <f t="shared" ca="1" si="994"/>
        <v/>
      </c>
      <c r="CP652" s="357" t="str">
        <f t="shared" ca="1" si="995"/>
        <v/>
      </c>
      <c r="CQ652" s="476" t="str">
        <f ca="1">IF(ISERR(LARGE(CP644:CP667,$CL652)),"",LARGE(CP644:CP667,$CL652))</f>
        <v/>
      </c>
      <c r="CR652" s="356" t="str">
        <f t="shared" ca="1" si="996"/>
        <v/>
      </c>
      <c r="CS652" s="357" t="str">
        <f t="shared" ca="1" si="997"/>
        <v/>
      </c>
      <c r="CT652" s="385"/>
      <c r="CU652" s="356" t="str">
        <f t="shared" ca="1" si="998"/>
        <v/>
      </c>
      <c r="CV652" s="357" t="str">
        <f t="shared" ca="1" si="999"/>
        <v/>
      </c>
      <c r="CW652" s="385"/>
      <c r="CX652" s="356" t="str">
        <f t="shared" ca="1" si="1000"/>
        <v/>
      </c>
      <c r="CY652" s="357" t="str">
        <f t="shared" ca="1" si="1001"/>
        <v/>
      </c>
      <c r="CZ652" s="385"/>
      <c r="DA652" s="356" t="str">
        <f t="shared" ca="1" si="1002"/>
        <v/>
      </c>
      <c r="DB652" s="357" t="str">
        <f t="shared" ca="1" si="1003"/>
        <v/>
      </c>
      <c r="DC652" s="385"/>
      <c r="DD652" s="356" t="str">
        <f t="shared" ca="1" si="1004"/>
        <v/>
      </c>
      <c r="DE652" s="357" t="str">
        <f t="shared" ca="1" si="1005"/>
        <v/>
      </c>
      <c r="DF652" s="385"/>
      <c r="DG652" s="350"/>
      <c r="DH652" s="300"/>
      <c r="DI652" s="477" t="str">
        <f t="shared" ca="1" si="976"/>
        <v/>
      </c>
      <c r="DJ652" s="478" t="str">
        <f t="shared" ca="1" si="977"/>
        <v/>
      </c>
      <c r="DK652" s="360" t="str">
        <f t="shared" ca="1" si="978"/>
        <v/>
      </c>
      <c r="DL652" s="354" t="str">
        <f t="shared" ca="1" si="979"/>
        <v/>
      </c>
      <c r="DM652" s="354" t="str">
        <f t="shared" ca="1" si="980"/>
        <v/>
      </c>
      <c r="DN652" s="361" t="str">
        <f t="shared" ca="1" si="981"/>
        <v/>
      </c>
      <c r="DO652" s="362" t="str">
        <f t="shared" ca="1" si="982"/>
        <v/>
      </c>
      <c r="DP652" s="379" t="str">
        <f t="shared" ca="1" si="1009"/>
        <v>Hercules-Ludovika</v>
      </c>
      <c r="DQ652" s="302"/>
      <c r="DR652" s="364"/>
      <c r="DS652" s="302"/>
      <c r="DU652" s="365"/>
      <c r="DV652" s="366" t="str">
        <f ca="1">IF(AND($AJ$44,DI643,DP643&lt;&gt;2),DI652,"")</f>
        <v/>
      </c>
      <c r="DW652" s="366">
        <f t="shared" ca="1" si="983"/>
        <v>-1</v>
      </c>
      <c r="DX652" s="366">
        <f t="shared" ca="1" si="984"/>
        <v>0</v>
      </c>
      <c r="DZ652" s="366">
        <f t="shared" ca="1" si="985"/>
        <v>0</v>
      </c>
      <c r="EA652" s="366">
        <f t="shared" ca="1" si="986"/>
        <v>0</v>
      </c>
      <c r="EC652" s="366">
        <f t="shared" ca="1" si="1006"/>
        <v>0</v>
      </c>
      <c r="EE652" s="366">
        <f t="shared" ca="1" si="987"/>
        <v>-1000000</v>
      </c>
      <c r="EI652" s="366">
        <f t="shared" ca="1" si="988"/>
        <v>0</v>
      </c>
      <c r="EJ652" s="366">
        <f ca="1">IF(EI652=0,0,RANK(EI652,EI644:EI653,1))</f>
        <v>0</v>
      </c>
      <c r="EK652" s="366">
        <f t="shared" ca="1" si="1007"/>
        <v>0</v>
      </c>
      <c r="EL652" s="365"/>
      <c r="EM652" s="367">
        <f ca="1">IF($AJ$54,COUNTIF(EE655:EE664,EN651)*IF(OR(EN652=0,EN652=EN651),0,1),COUNTIF(DW644:DW653,EO652)*IF(OR(EO652=EO651,EO652&lt;0),0,1))+EP652/1000</f>
        <v>8.9999999999999993E-3</v>
      </c>
      <c r="EN652" s="368">
        <v>0</v>
      </c>
      <c r="EO652" s="369">
        <f ca="1">LARGE(DW644:DW653,EP652)</f>
        <v>-1</v>
      </c>
      <c r="EP652" s="369">
        <v>9</v>
      </c>
      <c r="EQ652" s="365"/>
      <c r="ER652" s="365"/>
      <c r="ES652" s="371" t="str">
        <f ca="1">IF(DW652=ES643,DV652,IF(EE663=ES643,DV663,""))</f>
        <v/>
      </c>
      <c r="ET652" s="369" t="str">
        <f t="shared" ca="1" si="989"/>
        <v/>
      </c>
      <c r="EU652" s="386"/>
      <c r="EV652" s="371" t="str">
        <f ca="1">IF(DW652=EV643,DV652,IF(EE663=EV643,DV663,""))</f>
        <v/>
      </c>
      <c r="EW652" s="369" t="str">
        <f t="shared" ca="1" si="990"/>
        <v/>
      </c>
      <c r="EX652" s="386"/>
      <c r="EY652" s="371" t="str">
        <f ca="1">IF(DW652=EY643,DV652,IF(EE663=EY643,DV663,""))</f>
        <v/>
      </c>
      <c r="EZ652" s="369" t="str">
        <f t="shared" ca="1" si="991"/>
        <v/>
      </c>
      <c r="FA652" s="386"/>
      <c r="FB652" s="365"/>
      <c r="FC652" s="366"/>
      <c r="FD652" s="373"/>
      <c r="FE652" s="333"/>
    </row>
    <row r="653" spans="86:161" x14ac:dyDescent="0.25">
      <c r="CH653" s="350"/>
      <c r="CI653" s="353">
        <f t="shared" ca="1" si="1008"/>
        <v>1.01</v>
      </c>
      <c r="CJ653" s="352">
        <f t="shared" ca="1" si="992"/>
        <v>10</v>
      </c>
      <c r="CK653" s="353">
        <f t="shared" ca="1" si="993"/>
        <v>0.55000000000000004</v>
      </c>
      <c r="CL653" s="354">
        <v>10</v>
      </c>
      <c r="CM653" s="350"/>
      <c r="CN653" s="300"/>
      <c r="CO653" s="356" t="str">
        <f t="shared" ca="1" si="994"/>
        <v/>
      </c>
      <c r="CP653" s="357" t="str">
        <f t="shared" ca="1" si="995"/>
        <v/>
      </c>
      <c r="CQ653" s="476" t="str">
        <f ca="1">IF(ISERR(LARGE(CP644:CP667,$CL653)),"",LARGE(CP644:CP667,$CL653))</f>
        <v/>
      </c>
      <c r="CR653" s="356" t="str">
        <f t="shared" ca="1" si="996"/>
        <v/>
      </c>
      <c r="CS653" s="357" t="str">
        <f t="shared" ca="1" si="997"/>
        <v/>
      </c>
      <c r="CT653" s="385"/>
      <c r="CU653" s="356" t="str">
        <f t="shared" ca="1" si="998"/>
        <v/>
      </c>
      <c r="CV653" s="357" t="str">
        <f t="shared" ca="1" si="999"/>
        <v/>
      </c>
      <c r="CW653" s="385"/>
      <c r="CX653" s="356" t="str">
        <f t="shared" ca="1" si="1000"/>
        <v/>
      </c>
      <c r="CY653" s="357" t="str">
        <f t="shared" ca="1" si="1001"/>
        <v/>
      </c>
      <c r="CZ653" s="385"/>
      <c r="DA653" s="356" t="str">
        <f t="shared" ca="1" si="1002"/>
        <v/>
      </c>
      <c r="DB653" s="357" t="str">
        <f t="shared" ca="1" si="1003"/>
        <v/>
      </c>
      <c r="DC653" s="385"/>
      <c r="DD653" s="356" t="str">
        <f t="shared" ca="1" si="1004"/>
        <v/>
      </c>
      <c r="DE653" s="357" t="str">
        <f t="shared" ca="1" si="1005"/>
        <v/>
      </c>
      <c r="DF653" s="385"/>
      <c r="DG653" s="350"/>
      <c r="DH653" s="300"/>
      <c r="DI653" s="477" t="str">
        <f t="shared" ca="1" si="976"/>
        <v/>
      </c>
      <c r="DJ653" s="478" t="str">
        <f t="shared" ca="1" si="977"/>
        <v/>
      </c>
      <c r="DK653" s="360" t="str">
        <f t="shared" ca="1" si="978"/>
        <v/>
      </c>
      <c r="DL653" s="354" t="str">
        <f t="shared" ca="1" si="979"/>
        <v/>
      </c>
      <c r="DM653" s="354" t="str">
        <f t="shared" ca="1" si="980"/>
        <v/>
      </c>
      <c r="DN653" s="361" t="str">
        <f t="shared" ca="1" si="981"/>
        <v/>
      </c>
      <c r="DO653" s="362" t="str">
        <f t="shared" ca="1" si="982"/>
        <v/>
      </c>
      <c r="DP653" s="379" t="str">
        <f t="shared" ca="1" si="1009"/>
        <v>Hercules-Ludovika</v>
      </c>
      <c r="DQ653" s="302"/>
      <c r="DR653" s="364"/>
      <c r="DS653" s="302"/>
      <c r="DU653" s="365"/>
      <c r="DV653" s="366" t="str">
        <f ca="1">IF(AND($AJ$44,DI643,DP643&lt;&gt;2),DI653,"")</f>
        <v/>
      </c>
      <c r="DW653" s="366">
        <f t="shared" ca="1" si="983"/>
        <v>-1</v>
      </c>
      <c r="DX653" s="366">
        <f t="shared" ca="1" si="984"/>
        <v>0</v>
      </c>
      <c r="DZ653" s="366">
        <f t="shared" ca="1" si="985"/>
        <v>0</v>
      </c>
      <c r="EA653" s="366">
        <f t="shared" ca="1" si="986"/>
        <v>0</v>
      </c>
      <c r="EC653" s="366">
        <f t="shared" ca="1" si="1006"/>
        <v>0</v>
      </c>
      <c r="EE653" s="366">
        <f t="shared" ca="1" si="987"/>
        <v>-1000000</v>
      </c>
      <c r="EI653" s="366">
        <f t="shared" ca="1" si="988"/>
        <v>0</v>
      </c>
      <c r="EJ653" s="366">
        <f ca="1">IF(EI653=0,0,RANK(EI653,EI644:EI653,1))</f>
        <v>0</v>
      </c>
      <c r="EK653" s="366">
        <f t="shared" ca="1" si="1007"/>
        <v>0</v>
      </c>
      <c r="EL653" s="365"/>
      <c r="EM653" s="367">
        <f ca="1">IF($AJ$54,COUNTIF(EE655:EE664,EN652)*IF(OR(EN653=0,EN653=EN652),0,1),COUNTIF(DW644:DW653,EO653)*IF(OR(EO653=EO652,EO653&lt;0),0,1))+EP653/1000</f>
        <v>0.01</v>
      </c>
      <c r="EN653" s="368">
        <v>0</v>
      </c>
      <c r="EO653" s="369">
        <f ca="1">LARGE(DW644:DW653,EP653)</f>
        <v>-1</v>
      </c>
      <c r="EP653" s="369">
        <v>10</v>
      </c>
      <c r="EQ653" s="365"/>
      <c r="ER653" s="365"/>
      <c r="ES653" s="371" t="str">
        <f ca="1">IF(DW653=ES643,DV653,IF(EE664=ES643,DV664,""))</f>
        <v/>
      </c>
      <c r="ET653" s="369" t="str">
        <f t="shared" ca="1" si="989"/>
        <v/>
      </c>
      <c r="EU653" s="391"/>
      <c r="EV653" s="371" t="str">
        <f ca="1">IF(DW653=EV643,DV653,IF(EE664=EV643,DV664,""))</f>
        <v/>
      </c>
      <c r="EW653" s="369" t="str">
        <f t="shared" ca="1" si="990"/>
        <v/>
      </c>
      <c r="EX653" s="391"/>
      <c r="EY653" s="371" t="str">
        <f ca="1">IF(DW653=EY643,DV653,IF(EE664=EY643,DV664,""))</f>
        <v/>
      </c>
      <c r="EZ653" s="369" t="str">
        <f t="shared" ca="1" si="991"/>
        <v/>
      </c>
      <c r="FA653" s="391"/>
      <c r="FB653" s="365"/>
      <c r="FC653" s="366"/>
      <c r="FD653" s="373"/>
      <c r="FE653" s="333"/>
    </row>
    <row r="654" spans="86:161" x14ac:dyDescent="0.25">
      <c r="CH654" s="350"/>
      <c r="CI654" s="353">
        <f t="shared" ca="1" si="1008"/>
        <v>1.0109999999999999</v>
      </c>
      <c r="CJ654" s="352">
        <f t="shared" ca="1" si="992"/>
        <v>9</v>
      </c>
      <c r="CK654" s="353">
        <f t="shared" ca="1" si="993"/>
        <v>0.47368421052631576</v>
      </c>
      <c r="CL654" s="354">
        <v>11</v>
      </c>
      <c r="CM654" s="350"/>
      <c r="CN654" s="300"/>
      <c r="CO654" s="356" t="str">
        <f t="shared" ca="1" si="994"/>
        <v/>
      </c>
      <c r="CP654" s="357" t="str">
        <f t="shared" ca="1" si="995"/>
        <v/>
      </c>
      <c r="CQ654" s="380"/>
      <c r="CR654" s="356" t="str">
        <f t="shared" ca="1" si="996"/>
        <v/>
      </c>
      <c r="CS654" s="357" t="str">
        <f t="shared" ca="1" si="997"/>
        <v/>
      </c>
      <c r="CT654" s="385"/>
      <c r="CU654" s="356" t="str">
        <f t="shared" ca="1" si="998"/>
        <v/>
      </c>
      <c r="CV654" s="357" t="str">
        <f t="shared" ca="1" si="999"/>
        <v/>
      </c>
      <c r="CW654" s="385"/>
      <c r="CX654" s="356" t="str">
        <f t="shared" ca="1" si="1000"/>
        <v/>
      </c>
      <c r="CY654" s="357" t="str">
        <f t="shared" ca="1" si="1001"/>
        <v/>
      </c>
      <c r="CZ654" s="385"/>
      <c r="DA654" s="356" t="str">
        <f t="shared" ca="1" si="1002"/>
        <v/>
      </c>
      <c r="DB654" s="357" t="str">
        <f t="shared" ca="1" si="1003"/>
        <v/>
      </c>
      <c r="DC654" s="385"/>
      <c r="DD654" s="356" t="str">
        <f t="shared" ca="1" si="1004"/>
        <v/>
      </c>
      <c r="DE654" s="357" t="str">
        <f t="shared" ca="1" si="1005"/>
        <v/>
      </c>
      <c r="DF654" s="385"/>
      <c r="DG654" s="350"/>
      <c r="DH654" s="300"/>
      <c r="DI654" s="301"/>
      <c r="DJ654" s="471" t="s">
        <v>157</v>
      </c>
      <c r="DK654" s="471" t="s">
        <v>158</v>
      </c>
      <c r="DL654" s="472" t="s">
        <v>159</v>
      </c>
      <c r="DM654" s="472"/>
      <c r="DN654" s="473" t="s">
        <v>160</v>
      </c>
      <c r="DO654" s="472" t="s">
        <v>135</v>
      </c>
      <c r="DP654" s="302"/>
      <c r="DQ654" s="302"/>
      <c r="DR654" s="364"/>
      <c r="DS654" s="302"/>
      <c r="DU654" s="365"/>
      <c r="DV654" s="329" t="s">
        <v>229</v>
      </c>
      <c r="DW654" s="365"/>
      <c r="DX654" s="329" t="s">
        <v>152</v>
      </c>
      <c r="DY654" s="329" t="s">
        <v>153</v>
      </c>
      <c r="DZ654" s="329" t="s">
        <v>154</v>
      </c>
      <c r="EA654" s="329" t="s">
        <v>155</v>
      </c>
      <c r="EB654" s="329" t="s">
        <v>125</v>
      </c>
      <c r="EC654" s="329" t="s">
        <v>226</v>
      </c>
      <c r="ED654" s="329" t="s">
        <v>126</v>
      </c>
      <c r="EE654" s="329" t="s">
        <v>227</v>
      </c>
      <c r="EF654" s="330" t="s">
        <v>154</v>
      </c>
      <c r="EG654" s="330" t="s">
        <v>155</v>
      </c>
      <c r="EH654" s="330" t="s">
        <v>125</v>
      </c>
      <c r="EI654" s="329" t="s">
        <v>228</v>
      </c>
      <c r="EJ654" s="329" t="s">
        <v>156</v>
      </c>
      <c r="EK654" s="329" t="s">
        <v>208</v>
      </c>
      <c r="EL654" s="365"/>
      <c r="EM654" s="365"/>
      <c r="EN654" s="365"/>
      <c r="EO654" s="365"/>
      <c r="EP654" s="365"/>
      <c r="EQ654" s="365"/>
      <c r="ER654" s="365"/>
      <c r="ES654" s="365"/>
      <c r="ET654" s="365"/>
      <c r="EU654" s="365"/>
      <c r="EV654" s="365"/>
      <c r="EW654" s="365"/>
      <c r="EX654" s="365"/>
      <c r="EY654" s="365"/>
      <c r="EZ654" s="365"/>
      <c r="FA654" s="365"/>
      <c r="FB654" s="365"/>
      <c r="FC654" s="366"/>
      <c r="FD654" s="373"/>
      <c r="FE654" s="333"/>
    </row>
    <row r="655" spans="86:161" x14ac:dyDescent="0.25">
      <c r="CH655" s="350"/>
      <c r="CI655" s="353">
        <f t="shared" ca="1" si="1008"/>
        <v>1.2E-2</v>
      </c>
      <c r="CJ655" s="352">
        <f t="shared" ca="1" si="992"/>
        <v>0</v>
      </c>
      <c r="CK655" s="353">
        <f t="shared" ca="1" si="993"/>
        <v>0</v>
      </c>
      <c r="CL655" s="354">
        <v>12</v>
      </c>
      <c r="CM655" s="350"/>
      <c r="CN655" s="300"/>
      <c r="CO655" s="356" t="str">
        <f t="shared" ca="1" si="994"/>
        <v/>
      </c>
      <c r="CP655" s="357" t="str">
        <f t="shared" ca="1" si="995"/>
        <v/>
      </c>
      <c r="CQ655" s="385"/>
      <c r="CR655" s="356" t="str">
        <f t="shared" ca="1" si="996"/>
        <v/>
      </c>
      <c r="CS655" s="357" t="str">
        <f t="shared" ca="1" si="997"/>
        <v/>
      </c>
      <c r="CT655" s="385"/>
      <c r="CU655" s="356" t="str">
        <f t="shared" ca="1" si="998"/>
        <v/>
      </c>
      <c r="CV655" s="357" t="str">
        <f t="shared" ca="1" si="999"/>
        <v/>
      </c>
      <c r="CW655" s="385"/>
      <c r="CX655" s="356" t="str">
        <f t="shared" ca="1" si="1000"/>
        <v/>
      </c>
      <c r="CY655" s="357" t="str">
        <f t="shared" ca="1" si="1001"/>
        <v/>
      </c>
      <c r="CZ655" s="385"/>
      <c r="DA655" s="356" t="str">
        <f t="shared" ca="1" si="1002"/>
        <v/>
      </c>
      <c r="DB655" s="357" t="str">
        <f t="shared" ca="1" si="1003"/>
        <v/>
      </c>
      <c r="DC655" s="385"/>
      <c r="DD655" s="356" t="str">
        <f t="shared" ca="1" si="1004"/>
        <v/>
      </c>
      <c r="DE655" s="357" t="str">
        <f t="shared" ca="1" si="1005"/>
        <v/>
      </c>
      <c r="DF655" s="385"/>
      <c r="DG655" s="350"/>
      <c r="DH655" s="300"/>
      <c r="DI655" s="395" t="str">
        <f ca="1">DI644</f>
        <v>Hercules-Ludovika</v>
      </c>
      <c r="DJ655" s="478" t="str">
        <f t="shared" ref="DJ655:DJ664" ca="1" si="1010">IF(OR(DI655="",DP655="",DI655=DP655,COUNTIF(games.an,DI655&amp;DP655)=0),"",CONCATENATE(DI655,DP655))</f>
        <v>Hercules-LudovikaÉlelmesek</v>
      </c>
      <c r="DK655" s="360" t="str">
        <f t="shared" ref="DK655:DK664" ca="1" si="1011">IF($DJ655="","",CONCATENATE(VLOOKUP($DJ655,games.a,9,FALSE),VLOOKUP($DJ655,games.a,12,FALSE)))</f>
        <v>Élelmesek</v>
      </c>
      <c r="DL655" s="354" t="str">
        <f t="shared" ref="DL655:DL664" ca="1" si="1012">IF($DJ655="","",VLOOKUP($DJ655,games.a,10,FALSE))</f>
        <v/>
      </c>
      <c r="DM655" s="354" t="str">
        <f t="shared" ref="DM655:DM664" ca="1" si="1013">IF($DJ655="","",VLOOKUP($DJ655,games.a,13,FALSE))</f>
        <v/>
      </c>
      <c r="DN655" s="361">
        <f t="shared" ref="DN655:DN664" ca="1" si="1014">IF($DJ655="","",VLOOKUP($DJ655,games.a,6,FALSE))</f>
        <v>1</v>
      </c>
      <c r="DO655" s="362">
        <f t="shared" ref="DO655:DO664" ca="1" si="1015">IF($DJ655="","",VLOOKUP($DJ655,games.a,7,FALSE))</f>
        <v>3</v>
      </c>
      <c r="DP655" s="479" t="str">
        <f ca="1">DI645</f>
        <v>Élelmesek</v>
      </c>
      <c r="DQ655" s="302"/>
      <c r="DR655" s="364"/>
      <c r="DS655" s="302"/>
      <c r="DU655" s="365"/>
      <c r="DV655" s="366" t="str">
        <f ca="1">IF(OR(NOT($AJ$44),AND(DI643,DV644="")),DI644,"")</f>
        <v>Hercules-Ludovika</v>
      </c>
      <c r="DW655" s="365"/>
      <c r="DX655" s="366">
        <f t="shared" ref="DX655:DX664" ca="1" si="1016">IF($DV655="",0,COUNTIF(xxgy.an,$DV655))</f>
        <v>0</v>
      </c>
      <c r="DY655" s="366">
        <f t="shared" ref="DY655:DY664" ca="1" si="1017">IF($DV655="",0,COUNTIF(xxd.an,$DV655))</f>
        <v>1</v>
      </c>
      <c r="DZ655" s="366">
        <f t="shared" ref="DZ655:DZ664" ca="1" si="1018">IF($DV655="",0,1)*(SUMIF(xxo.an,$DV655,xxl.an)+SUMIF(xxi.an,$DV655,xxk.an))</f>
        <v>2</v>
      </c>
      <c r="EA655" s="366">
        <f t="shared" ref="EA655:EA664" ca="1" si="1019">IF($DV655="",0,1)*(SUMIF(xxo.an,$DV655,xxk.an)+SUMIF(xxi.an,$DV655,xxl.an))</f>
        <v>4</v>
      </c>
      <c r="EB655" s="366">
        <f ca="1">DZ655-EA655</f>
        <v>-2</v>
      </c>
      <c r="EC655" s="366">
        <f ca="1">IF(EA655=0,0,DZ655/EA655)</f>
        <v>0.5</v>
      </c>
      <c r="ED655" s="366">
        <f t="shared" ref="ED655:ED664" ca="1" si="1020">$AJ$48*DX655+IF($AJ$44,0,1)*DY655</f>
        <v>1</v>
      </c>
      <c r="EE655" s="396">
        <f ca="1">ED655*1000000+IF($AJ$44,EC655,EB655)*1000*0</f>
        <v>1000000</v>
      </c>
      <c r="EF655" s="366">
        <f t="shared" ref="EF655:EF664" ca="1" si="1021">IF($DV655="",0,1)*(SUMIF(yyo.an,$DV655,yyl.an)+SUMIF(yyi.an,$DV655,yyk.an))</f>
        <v>0</v>
      </c>
      <c r="EG655" s="366">
        <f t="shared" ref="EG655:EG664" ca="1" si="1022">IF($DV655="",0,1)*(SUMIF(yyo.an,$DV655,yyk.an)+SUMIF(yyi.an,$DV655,yyl.an))</f>
        <v>0</v>
      </c>
      <c r="EH655" s="366">
        <f ca="1">EF655-EG655</f>
        <v>0</v>
      </c>
      <c r="EI655" s="366">
        <f ca="1">IF(OR(ISERR(EE655),ISNA(EE655)),0,EE655)+IF($AJ$54,EH655,0)</f>
        <v>1000000</v>
      </c>
      <c r="EJ655" s="366">
        <f ca="1">IF(EI655=0,0,RANK(EI655,EI655:EI664,1))</f>
        <v>9</v>
      </c>
      <c r="EK655" s="366">
        <f t="shared" ca="1" si="1007"/>
        <v>360000</v>
      </c>
      <c r="EL655" s="365"/>
      <c r="EO655" s="365"/>
      <c r="EP655" s="365"/>
      <c r="EQ655" s="365"/>
      <c r="ER655" s="398"/>
      <c r="ES655" s="329" t="s">
        <v>157</v>
      </c>
      <c r="ET655" s="329" t="s">
        <v>158</v>
      </c>
      <c r="EU655" s="399"/>
      <c r="EV655" s="400"/>
      <c r="EW655" s="401" t="s">
        <v>160</v>
      </c>
      <c r="EX655" s="402" t="s">
        <v>135</v>
      </c>
      <c r="EY655" s="403">
        <f ca="1">COUNT(EU644:EU648)</f>
        <v>0</v>
      </c>
      <c r="EZ655" s="365"/>
      <c r="FA655" s="365"/>
      <c r="FB655" s="365"/>
      <c r="FC655" s="366"/>
      <c r="FD655" s="373"/>
      <c r="FE655" s="333"/>
    </row>
    <row r="656" spans="86:161" x14ac:dyDescent="0.25">
      <c r="CH656" s="350"/>
      <c r="CI656" s="353">
        <f t="shared" ca="1" si="1008"/>
        <v>1.2999999999999999E-2</v>
      </c>
      <c r="CJ656" s="352">
        <f t="shared" ca="1" si="992"/>
        <v>0</v>
      </c>
      <c r="CK656" s="353">
        <f t="shared" ca="1" si="993"/>
        <v>0</v>
      </c>
      <c r="CL656" s="354">
        <v>13</v>
      </c>
      <c r="CM656" s="350"/>
      <c r="CN656" s="300"/>
      <c r="CO656" s="356" t="str">
        <f t="shared" ca="1" si="994"/>
        <v/>
      </c>
      <c r="CP656" s="357" t="str">
        <f t="shared" ca="1" si="995"/>
        <v/>
      </c>
      <c r="CQ656" s="385"/>
      <c r="CR656" s="356" t="str">
        <f t="shared" ca="1" si="996"/>
        <v/>
      </c>
      <c r="CS656" s="357" t="str">
        <f t="shared" ca="1" si="997"/>
        <v/>
      </c>
      <c r="CT656" s="385"/>
      <c r="CU656" s="356" t="str">
        <f t="shared" ca="1" si="998"/>
        <v/>
      </c>
      <c r="CV656" s="357" t="str">
        <f t="shared" ca="1" si="999"/>
        <v/>
      </c>
      <c r="CW656" s="385"/>
      <c r="CX656" s="356" t="str">
        <f t="shared" ca="1" si="1000"/>
        <v/>
      </c>
      <c r="CY656" s="357" t="str">
        <f t="shared" ca="1" si="1001"/>
        <v/>
      </c>
      <c r="CZ656" s="385"/>
      <c r="DA656" s="356" t="str">
        <f t="shared" ca="1" si="1002"/>
        <v/>
      </c>
      <c r="DB656" s="357" t="str">
        <f t="shared" ca="1" si="1003"/>
        <v/>
      </c>
      <c r="DC656" s="385"/>
      <c r="DD656" s="356" t="str">
        <f t="shared" ca="1" si="1004"/>
        <v/>
      </c>
      <c r="DE656" s="357" t="str">
        <f t="shared" ca="1" si="1005"/>
        <v/>
      </c>
      <c r="DF656" s="385"/>
      <c r="DG656" s="350"/>
      <c r="DH656" s="300"/>
      <c r="DI656" s="395" t="str">
        <f t="shared" ref="DI656:DI664" ca="1" si="1023">DI645</f>
        <v>Élelmesek</v>
      </c>
      <c r="DJ656" s="478" t="str">
        <f t="shared" ca="1" si="1010"/>
        <v/>
      </c>
      <c r="DK656" s="360" t="str">
        <f t="shared" ca="1" si="1011"/>
        <v/>
      </c>
      <c r="DL656" s="354" t="str">
        <f t="shared" ca="1" si="1012"/>
        <v/>
      </c>
      <c r="DM656" s="354" t="str">
        <f t="shared" ca="1" si="1013"/>
        <v/>
      </c>
      <c r="DN656" s="361" t="str">
        <f t="shared" ca="1" si="1014"/>
        <v/>
      </c>
      <c r="DO656" s="362" t="str">
        <f t="shared" ca="1" si="1015"/>
        <v/>
      </c>
      <c r="DP656" s="379" t="str">
        <f ca="1">DP655</f>
        <v>Élelmesek</v>
      </c>
      <c r="DQ656" s="302"/>
      <c r="DR656" s="364"/>
      <c r="DS656" s="302"/>
      <c r="DU656" s="365"/>
      <c r="DV656" s="366" t="str">
        <f ca="1">IF(OR(NOT($AJ$44),AND(DI643,DV645="")),DI645,"")</f>
        <v>Élelmesek</v>
      </c>
      <c r="DW656" s="365"/>
      <c r="DX656" s="366">
        <f t="shared" ca="1" si="1016"/>
        <v>1</v>
      </c>
      <c r="DY656" s="366">
        <f t="shared" ca="1" si="1017"/>
        <v>1</v>
      </c>
      <c r="DZ656" s="366">
        <f t="shared" ca="1" si="1018"/>
        <v>4</v>
      </c>
      <c r="EA656" s="366">
        <f t="shared" ca="1" si="1019"/>
        <v>2</v>
      </c>
      <c r="EB656" s="366">
        <f t="shared" ref="EB656:EB664" ca="1" si="1024">DZ656-EA656</f>
        <v>2</v>
      </c>
      <c r="EC656" s="366">
        <f t="shared" ref="EC656:EC664" ca="1" si="1025">IF(EA656=0,0,DZ656/EA656)</f>
        <v>2</v>
      </c>
      <c r="ED656" s="366">
        <f t="shared" ca="1" si="1020"/>
        <v>4</v>
      </c>
      <c r="EE656" s="396">
        <f t="shared" ref="EE656:EE664" ca="1" si="1026">ED656*1000000+IF($AJ$44,EC656,EB656)*1000*0</f>
        <v>4000000</v>
      </c>
      <c r="EF656" s="366">
        <f t="shared" ca="1" si="1021"/>
        <v>0</v>
      </c>
      <c r="EG656" s="366">
        <f t="shared" ca="1" si="1022"/>
        <v>0</v>
      </c>
      <c r="EH656" s="366">
        <f t="shared" ref="EH656:EH664" ca="1" si="1027">EF656-EG656</f>
        <v>0</v>
      </c>
      <c r="EI656" s="366">
        <f t="shared" ref="EI656:EI664" ca="1" si="1028">IF(OR(ISERR(EE656),ISNA(EE656)),0,EE656)+IF($AJ$54,EH656,0)</f>
        <v>4000000</v>
      </c>
      <c r="EJ656" s="366">
        <f ca="1">IF(EI656=0,0,RANK(EI656,EI655:EI664,1))</f>
        <v>10</v>
      </c>
      <c r="EK656" s="366">
        <f t="shared" ca="1" si="1007"/>
        <v>400000</v>
      </c>
      <c r="EL656" s="365"/>
      <c r="EO656" s="365"/>
      <c r="EP656" s="365"/>
      <c r="EQ656" s="365"/>
      <c r="ER656" s="404" t="str">
        <f ca="1">IF(EU644="","",VLOOKUP(EU644,yyy.an1.10,4,FALSE))</f>
        <v/>
      </c>
      <c r="ES656" s="371" t="str">
        <f ca="1">IF(OR(ER656="",EY656="",ER656=EY656),"",CONCATENATE(ER656,EY656))</f>
        <v/>
      </c>
      <c r="ET656" s="405" t="str">
        <f ca="1">IF(OR(ES656="",EY655&gt;2),"",CONCATENATE(VLOOKUP(ES656,games.a,9,FALSE),VLOOKUP(ES656,games.a,12,FALSE)))</f>
        <v/>
      </c>
      <c r="EU656" s="406"/>
      <c r="EV656" s="407"/>
      <c r="EW656" s="408" t="str">
        <f ca="1">IF(ES656="","",VLOOKUP(ES656,games.a,6,FALSE))</f>
        <v/>
      </c>
      <c r="EX656" s="409" t="str">
        <f ca="1">IF(ES656="","",VLOOKUP(ES656,games.a,7,FALSE))</f>
        <v/>
      </c>
      <c r="EY656" s="410" t="str">
        <f ca="1">ER656</f>
        <v/>
      </c>
      <c r="EZ656" s="411"/>
      <c r="FA656" s="412"/>
      <c r="FB656" s="365"/>
      <c r="FC656" s="366"/>
      <c r="FD656" s="373"/>
      <c r="FE656" s="333"/>
    </row>
    <row r="657" spans="86:161" x14ac:dyDescent="0.25">
      <c r="CH657" s="350"/>
      <c r="CI657" s="353">
        <f t="shared" ca="1" si="1008"/>
        <v>1.4E-2</v>
      </c>
      <c r="CJ657" s="352">
        <f t="shared" ca="1" si="992"/>
        <v>0</v>
      </c>
      <c r="CK657" s="353">
        <f t="shared" ca="1" si="993"/>
        <v>0</v>
      </c>
      <c r="CL657" s="354">
        <v>14</v>
      </c>
      <c r="CM657" s="350"/>
      <c r="CN657" s="300"/>
      <c r="CO657" s="356" t="str">
        <f t="shared" ca="1" si="994"/>
        <v/>
      </c>
      <c r="CP657" s="357" t="str">
        <f t="shared" ca="1" si="995"/>
        <v/>
      </c>
      <c r="CQ657" s="385"/>
      <c r="CR657" s="356" t="str">
        <f t="shared" ca="1" si="996"/>
        <v/>
      </c>
      <c r="CS657" s="357" t="str">
        <f t="shared" ca="1" si="997"/>
        <v/>
      </c>
      <c r="CT657" s="385"/>
      <c r="CU657" s="356" t="str">
        <f t="shared" ca="1" si="998"/>
        <v/>
      </c>
      <c r="CV657" s="357" t="str">
        <f t="shared" ca="1" si="999"/>
        <v/>
      </c>
      <c r="CW657" s="385"/>
      <c r="CX657" s="356" t="str">
        <f t="shared" ca="1" si="1000"/>
        <v/>
      </c>
      <c r="CY657" s="357" t="str">
        <f t="shared" ca="1" si="1001"/>
        <v/>
      </c>
      <c r="CZ657" s="385"/>
      <c r="DA657" s="356" t="str">
        <f t="shared" ca="1" si="1002"/>
        <v/>
      </c>
      <c r="DB657" s="357" t="str">
        <f t="shared" ca="1" si="1003"/>
        <v/>
      </c>
      <c r="DC657" s="385"/>
      <c r="DD657" s="356" t="str">
        <f t="shared" ca="1" si="1004"/>
        <v/>
      </c>
      <c r="DE657" s="357" t="str">
        <f t="shared" ca="1" si="1005"/>
        <v/>
      </c>
      <c r="DF657" s="385"/>
      <c r="DG657" s="350"/>
      <c r="DH657" s="300"/>
      <c r="DI657" s="395" t="str">
        <f t="shared" ca="1" si="1023"/>
        <v/>
      </c>
      <c r="DJ657" s="478" t="str">
        <f t="shared" ca="1" si="1010"/>
        <v/>
      </c>
      <c r="DK657" s="360" t="str">
        <f t="shared" ca="1" si="1011"/>
        <v/>
      </c>
      <c r="DL657" s="354" t="str">
        <f t="shared" ca="1" si="1012"/>
        <v/>
      </c>
      <c r="DM657" s="354" t="str">
        <f t="shared" ca="1" si="1013"/>
        <v/>
      </c>
      <c r="DN657" s="361" t="str">
        <f t="shared" ca="1" si="1014"/>
        <v/>
      </c>
      <c r="DO657" s="362" t="str">
        <f t="shared" ca="1" si="1015"/>
        <v/>
      </c>
      <c r="DP657" s="379" t="str">
        <f t="shared" ref="DP657:DP664" ca="1" si="1029">DP656</f>
        <v>Élelmesek</v>
      </c>
      <c r="DQ657" s="302"/>
      <c r="DR657" s="364"/>
      <c r="DS657" s="302"/>
      <c r="DU657" s="365"/>
      <c r="DV657" s="366" t="str">
        <f ca="1">IF(OR(NOT($AJ$44),AND(DI643,DV646="")),DI646,"")</f>
        <v/>
      </c>
      <c r="DW657" s="365"/>
      <c r="DX657" s="366">
        <f t="shared" ca="1" si="1016"/>
        <v>0</v>
      </c>
      <c r="DY657" s="366">
        <f t="shared" ca="1" si="1017"/>
        <v>0</v>
      </c>
      <c r="DZ657" s="366">
        <f t="shared" ca="1" si="1018"/>
        <v>0</v>
      </c>
      <c r="EA657" s="366">
        <f t="shared" ca="1" si="1019"/>
        <v>0</v>
      </c>
      <c r="EB657" s="366">
        <f t="shared" ca="1" si="1024"/>
        <v>0</v>
      </c>
      <c r="EC657" s="366">
        <f t="shared" ca="1" si="1025"/>
        <v>0</v>
      </c>
      <c r="ED657" s="366">
        <f t="shared" ca="1" si="1020"/>
        <v>0</v>
      </c>
      <c r="EE657" s="396">
        <f t="shared" ca="1" si="1026"/>
        <v>0</v>
      </c>
      <c r="EF657" s="366">
        <f t="shared" ca="1" si="1021"/>
        <v>0</v>
      </c>
      <c r="EG657" s="366">
        <f t="shared" ca="1" si="1022"/>
        <v>0</v>
      </c>
      <c r="EH657" s="366">
        <f t="shared" ca="1" si="1027"/>
        <v>0</v>
      </c>
      <c r="EI657" s="366">
        <f t="shared" ca="1" si="1028"/>
        <v>0</v>
      </c>
      <c r="EJ657" s="366">
        <f ca="1">IF(EI657=0,0,RANK(EI657,EI655:EI664,1))</f>
        <v>0</v>
      </c>
      <c r="EK657" s="366">
        <f t="shared" ca="1" si="1007"/>
        <v>0</v>
      </c>
      <c r="EL657" s="365"/>
      <c r="EO657" s="365"/>
      <c r="EP657" s="365"/>
      <c r="EQ657" s="365"/>
      <c r="ER657" s="404" t="str">
        <f ca="1">IF(EU645="","",VLOOKUP(EU645,yyy.an1.10,4,FALSE))</f>
        <v/>
      </c>
      <c r="ES657" s="371" t="str">
        <f ca="1">IF(OR(ER657="",EY657="",ER657=EY657),"",CONCATENATE(ER657,EY657))</f>
        <v/>
      </c>
      <c r="ET657" s="405" t="str">
        <f ca="1">IF(OR(ES657="",EY655&gt;2),"",CONCATENATE(VLOOKUP(ES657,games.a,9,FALSE),VLOOKUP(ES657,games.a,12,FALSE)))</f>
        <v/>
      </c>
      <c r="EU657" s="413"/>
      <c r="EV657" s="414"/>
      <c r="EW657" s="408" t="str">
        <f ca="1">IF(ES657="","",VLOOKUP(ES657,games.a,6,FALSE))</f>
        <v/>
      </c>
      <c r="EX657" s="409" t="str">
        <f ca="1">IF(ES657="","",VLOOKUP(ES657,games.a,7,FALSE))</f>
        <v/>
      </c>
      <c r="EY657" s="415" t="str">
        <f ca="1">EY656</f>
        <v/>
      </c>
      <c r="EZ657" s="416"/>
      <c r="FA657" s="417"/>
      <c r="FB657" s="365"/>
      <c r="FC657" s="366"/>
      <c r="FD657" s="373"/>
      <c r="FE657" s="333"/>
    </row>
    <row r="658" spans="86:161" x14ac:dyDescent="0.25">
      <c r="CH658" s="350"/>
      <c r="CI658" s="353">
        <f t="shared" ca="1" si="1008"/>
        <v>1.4999999999999999E-2</v>
      </c>
      <c r="CJ658" s="352">
        <f t="shared" ca="1" si="992"/>
        <v>0</v>
      </c>
      <c r="CK658" s="353">
        <f t="shared" ca="1" si="993"/>
        <v>0</v>
      </c>
      <c r="CL658" s="354">
        <v>15</v>
      </c>
      <c r="CM658" s="350"/>
      <c r="CN658" s="300"/>
      <c r="CO658" s="356" t="str">
        <f t="shared" ca="1" si="994"/>
        <v/>
      </c>
      <c r="CP658" s="357" t="str">
        <f t="shared" ca="1" si="995"/>
        <v/>
      </c>
      <c r="CQ658" s="385"/>
      <c r="CR658" s="356" t="str">
        <f t="shared" ca="1" si="996"/>
        <v/>
      </c>
      <c r="CS658" s="357" t="str">
        <f t="shared" ca="1" si="997"/>
        <v/>
      </c>
      <c r="CT658" s="385"/>
      <c r="CU658" s="356" t="str">
        <f t="shared" ca="1" si="998"/>
        <v/>
      </c>
      <c r="CV658" s="357" t="str">
        <f t="shared" ca="1" si="999"/>
        <v/>
      </c>
      <c r="CW658" s="385"/>
      <c r="CX658" s="356" t="str">
        <f t="shared" ca="1" si="1000"/>
        <v/>
      </c>
      <c r="CY658" s="357" t="str">
        <f t="shared" ca="1" si="1001"/>
        <v/>
      </c>
      <c r="CZ658" s="385"/>
      <c r="DA658" s="356" t="str">
        <f t="shared" ca="1" si="1002"/>
        <v/>
      </c>
      <c r="DB658" s="357" t="str">
        <f t="shared" ca="1" si="1003"/>
        <v/>
      </c>
      <c r="DC658" s="385"/>
      <c r="DD658" s="356" t="str">
        <f t="shared" ca="1" si="1004"/>
        <v/>
      </c>
      <c r="DE658" s="357" t="str">
        <f t="shared" ca="1" si="1005"/>
        <v/>
      </c>
      <c r="DF658" s="385"/>
      <c r="DG658" s="350"/>
      <c r="DH658" s="300"/>
      <c r="DI658" s="395" t="str">
        <f t="shared" ca="1" si="1023"/>
        <v/>
      </c>
      <c r="DJ658" s="478" t="str">
        <f t="shared" ca="1" si="1010"/>
        <v/>
      </c>
      <c r="DK658" s="360" t="str">
        <f t="shared" ca="1" si="1011"/>
        <v/>
      </c>
      <c r="DL658" s="354" t="str">
        <f t="shared" ca="1" si="1012"/>
        <v/>
      </c>
      <c r="DM658" s="354" t="str">
        <f t="shared" ca="1" si="1013"/>
        <v/>
      </c>
      <c r="DN658" s="361" t="str">
        <f t="shared" ca="1" si="1014"/>
        <v/>
      </c>
      <c r="DO658" s="362" t="str">
        <f t="shared" ca="1" si="1015"/>
        <v/>
      </c>
      <c r="DP658" s="379" t="str">
        <f t="shared" ca="1" si="1029"/>
        <v>Élelmesek</v>
      </c>
      <c r="DQ658" s="302"/>
      <c r="DR658" s="364"/>
      <c r="DS658" s="302"/>
      <c r="DU658" s="365"/>
      <c r="DV658" s="366" t="str">
        <f ca="1">IF(OR(NOT($AJ$44),AND(DI643,DV647="")),DI647,"")</f>
        <v/>
      </c>
      <c r="DW658" s="365"/>
      <c r="DX658" s="366">
        <f t="shared" ca="1" si="1016"/>
        <v>0</v>
      </c>
      <c r="DY658" s="366">
        <f t="shared" ca="1" si="1017"/>
        <v>0</v>
      </c>
      <c r="DZ658" s="366">
        <f t="shared" ca="1" si="1018"/>
        <v>0</v>
      </c>
      <c r="EA658" s="366">
        <f t="shared" ca="1" si="1019"/>
        <v>0</v>
      </c>
      <c r="EB658" s="366">
        <f t="shared" ca="1" si="1024"/>
        <v>0</v>
      </c>
      <c r="EC658" s="366">
        <f t="shared" ca="1" si="1025"/>
        <v>0</v>
      </c>
      <c r="ED658" s="366">
        <f t="shared" ca="1" si="1020"/>
        <v>0</v>
      </c>
      <c r="EE658" s="396">
        <f t="shared" ca="1" si="1026"/>
        <v>0</v>
      </c>
      <c r="EF658" s="366">
        <f t="shared" ca="1" si="1021"/>
        <v>0</v>
      </c>
      <c r="EG658" s="366">
        <f t="shared" ca="1" si="1022"/>
        <v>0</v>
      </c>
      <c r="EH658" s="366">
        <f t="shared" ca="1" si="1027"/>
        <v>0</v>
      </c>
      <c r="EI658" s="366">
        <f t="shared" ca="1" si="1028"/>
        <v>0</v>
      </c>
      <c r="EJ658" s="366">
        <f ca="1">IF(EI658=0,0,RANK(EI658,EI655:EI664,1))</f>
        <v>0</v>
      </c>
      <c r="EK658" s="366">
        <f t="shared" ca="1" si="1007"/>
        <v>0</v>
      </c>
      <c r="EL658" s="365"/>
      <c r="EO658" s="365"/>
      <c r="EP658" s="365"/>
      <c r="EQ658" s="365"/>
      <c r="ER658" s="404" t="str">
        <f ca="1">IF(EU646="","",VLOOKUP(EU646,yyy.an1.10,4,FALSE))</f>
        <v/>
      </c>
      <c r="ES658" s="371" t="str">
        <f ca="1">IF(OR(ER658="",EY658="",ER658=EY658),"",CONCATENATE(ER658,EY658))</f>
        <v/>
      </c>
      <c r="ET658" s="405" t="str">
        <f ca="1">IF(OR(ES658="",EY655&gt;2),"",CONCATENATE(VLOOKUP(ES658,games.a,9,FALSE),VLOOKUP(ES658,games.a,12,FALSE)))</f>
        <v/>
      </c>
      <c r="EU658" s="413"/>
      <c r="EV658" s="414"/>
      <c r="EW658" s="408" t="str">
        <f ca="1">IF(ES658="","",VLOOKUP(ES658,games.a,6,FALSE))</f>
        <v/>
      </c>
      <c r="EX658" s="409" t="str">
        <f ca="1">IF(ES658="","",VLOOKUP(ES658,games.a,7,FALSE))</f>
        <v/>
      </c>
      <c r="EY658" s="415" t="str">
        <f ca="1">EY657</f>
        <v/>
      </c>
      <c r="EZ658" s="416"/>
      <c r="FA658" s="417"/>
      <c r="FB658" s="365"/>
      <c r="FC658" s="366"/>
      <c r="FD658" s="373"/>
      <c r="FE658" s="333"/>
    </row>
    <row r="659" spans="86:161" x14ac:dyDescent="0.25">
      <c r="CH659" s="350"/>
      <c r="CI659" s="353">
        <f t="shared" ca="1" si="1008"/>
        <v>1.6E-2</v>
      </c>
      <c r="CJ659" s="352">
        <f t="shared" ca="1" si="992"/>
        <v>0</v>
      </c>
      <c r="CK659" s="353">
        <f t="shared" ca="1" si="993"/>
        <v>0</v>
      </c>
      <c r="CL659" s="354">
        <v>16</v>
      </c>
      <c r="CM659" s="350"/>
      <c r="CN659" s="300"/>
      <c r="CO659" s="356" t="str">
        <f t="shared" ca="1" si="994"/>
        <v/>
      </c>
      <c r="CP659" s="357" t="str">
        <f t="shared" ca="1" si="995"/>
        <v/>
      </c>
      <c r="CQ659" s="385"/>
      <c r="CR659" s="356" t="str">
        <f t="shared" ca="1" si="996"/>
        <v/>
      </c>
      <c r="CS659" s="357" t="str">
        <f t="shared" ca="1" si="997"/>
        <v/>
      </c>
      <c r="CT659" s="385"/>
      <c r="CU659" s="356" t="str">
        <f t="shared" ca="1" si="998"/>
        <v/>
      </c>
      <c r="CV659" s="357" t="str">
        <f t="shared" ca="1" si="999"/>
        <v/>
      </c>
      <c r="CW659" s="385"/>
      <c r="CX659" s="356" t="str">
        <f t="shared" ca="1" si="1000"/>
        <v/>
      </c>
      <c r="CY659" s="357" t="str">
        <f t="shared" ca="1" si="1001"/>
        <v/>
      </c>
      <c r="CZ659" s="385"/>
      <c r="DA659" s="356" t="str">
        <f t="shared" ca="1" si="1002"/>
        <v/>
      </c>
      <c r="DB659" s="357" t="str">
        <f t="shared" ca="1" si="1003"/>
        <v/>
      </c>
      <c r="DC659" s="385"/>
      <c r="DD659" s="356" t="str">
        <f t="shared" ca="1" si="1004"/>
        <v/>
      </c>
      <c r="DE659" s="357" t="str">
        <f t="shared" ca="1" si="1005"/>
        <v/>
      </c>
      <c r="DF659" s="385"/>
      <c r="DG659" s="350"/>
      <c r="DH659" s="300"/>
      <c r="DI659" s="395" t="str">
        <f t="shared" ca="1" si="1023"/>
        <v/>
      </c>
      <c r="DJ659" s="478" t="str">
        <f t="shared" ca="1" si="1010"/>
        <v/>
      </c>
      <c r="DK659" s="360" t="str">
        <f t="shared" ca="1" si="1011"/>
        <v/>
      </c>
      <c r="DL659" s="354" t="str">
        <f t="shared" ca="1" si="1012"/>
        <v/>
      </c>
      <c r="DM659" s="354" t="str">
        <f t="shared" ca="1" si="1013"/>
        <v/>
      </c>
      <c r="DN659" s="361" t="str">
        <f t="shared" ca="1" si="1014"/>
        <v/>
      </c>
      <c r="DO659" s="362" t="str">
        <f t="shared" ca="1" si="1015"/>
        <v/>
      </c>
      <c r="DP659" s="379" t="str">
        <f t="shared" ca="1" si="1029"/>
        <v>Élelmesek</v>
      </c>
      <c r="DQ659" s="302"/>
      <c r="DR659" s="364"/>
      <c r="DS659" s="302"/>
      <c r="DU659" s="365"/>
      <c r="DV659" s="366" t="str">
        <f ca="1">IF(OR(NOT($AJ$44),AND(DI643,DV648="")),DI648,"")</f>
        <v/>
      </c>
      <c r="DW659" s="365"/>
      <c r="DX659" s="366">
        <f t="shared" ca="1" si="1016"/>
        <v>0</v>
      </c>
      <c r="DY659" s="366">
        <f t="shared" ca="1" si="1017"/>
        <v>0</v>
      </c>
      <c r="DZ659" s="366">
        <f t="shared" ca="1" si="1018"/>
        <v>0</v>
      </c>
      <c r="EA659" s="366">
        <f t="shared" ca="1" si="1019"/>
        <v>0</v>
      </c>
      <c r="EB659" s="366">
        <f t="shared" ca="1" si="1024"/>
        <v>0</v>
      </c>
      <c r="EC659" s="366">
        <f t="shared" ca="1" si="1025"/>
        <v>0</v>
      </c>
      <c r="ED659" s="366">
        <f t="shared" ca="1" si="1020"/>
        <v>0</v>
      </c>
      <c r="EE659" s="396">
        <f t="shared" ca="1" si="1026"/>
        <v>0</v>
      </c>
      <c r="EF659" s="366">
        <f t="shared" ca="1" si="1021"/>
        <v>0</v>
      </c>
      <c r="EG659" s="366">
        <f t="shared" ca="1" si="1022"/>
        <v>0</v>
      </c>
      <c r="EH659" s="366">
        <f t="shared" ca="1" si="1027"/>
        <v>0</v>
      </c>
      <c r="EI659" s="366">
        <f t="shared" ca="1" si="1028"/>
        <v>0</v>
      </c>
      <c r="EJ659" s="366">
        <f ca="1">IF(EI659=0,0,RANK(EI659,EI655:EI664,1))</f>
        <v>0</v>
      </c>
      <c r="EK659" s="366">
        <f t="shared" ca="1" si="1007"/>
        <v>0</v>
      </c>
      <c r="EL659" s="365"/>
      <c r="EO659" s="365"/>
      <c r="EP659" s="365"/>
      <c r="EQ659" s="365"/>
      <c r="ER659" s="404" t="str">
        <f ca="1">IF(EU647="","",VLOOKUP(EU647,yyy.an1.10,4,FALSE))</f>
        <v/>
      </c>
      <c r="ES659" s="371" t="str">
        <f ca="1">IF(OR(ER659="",EY659="",ER659=EY659),"",CONCATENATE(ER659,EY659))</f>
        <v/>
      </c>
      <c r="ET659" s="405" t="str">
        <f ca="1">IF(OR(ES659="",EY655&gt;2),"",CONCATENATE(VLOOKUP(ES659,games.a,9,FALSE),VLOOKUP(ES659,games.a,12,FALSE)))</f>
        <v/>
      </c>
      <c r="EU659" s="413"/>
      <c r="EV659" s="414"/>
      <c r="EW659" s="408" t="str">
        <f ca="1">IF(ES659="","",VLOOKUP(ES659,games.a,6,FALSE))</f>
        <v/>
      </c>
      <c r="EX659" s="409" t="str">
        <f ca="1">IF(ES659="","",VLOOKUP(ES659,games.a,7,FALSE))</f>
        <v/>
      </c>
      <c r="EY659" s="415" t="str">
        <f ca="1">EY658</f>
        <v/>
      </c>
      <c r="EZ659" s="416"/>
      <c r="FA659" s="417"/>
      <c r="FB659" s="365"/>
      <c r="FC659" s="366"/>
      <c r="FD659" s="373"/>
      <c r="FE659" s="333"/>
    </row>
    <row r="660" spans="86:161" x14ac:dyDescent="0.25">
      <c r="CH660" s="350"/>
      <c r="CI660" s="353">
        <f t="shared" ca="1" si="1008"/>
        <v>1.7000000000000001E-2</v>
      </c>
      <c r="CJ660" s="352">
        <f t="shared" ca="1" si="992"/>
        <v>0</v>
      </c>
      <c r="CK660" s="353">
        <f t="shared" ca="1" si="993"/>
        <v>0</v>
      </c>
      <c r="CL660" s="354">
        <v>17</v>
      </c>
      <c r="CM660" s="350"/>
      <c r="CN660" s="300"/>
      <c r="CO660" s="356" t="str">
        <f t="shared" ca="1" si="994"/>
        <v/>
      </c>
      <c r="CP660" s="357" t="str">
        <f t="shared" ca="1" si="995"/>
        <v/>
      </c>
      <c r="CQ660" s="385"/>
      <c r="CR660" s="356" t="str">
        <f t="shared" ca="1" si="996"/>
        <v/>
      </c>
      <c r="CS660" s="357" t="str">
        <f t="shared" ca="1" si="997"/>
        <v/>
      </c>
      <c r="CT660" s="385"/>
      <c r="CU660" s="356" t="str">
        <f t="shared" ca="1" si="998"/>
        <v/>
      </c>
      <c r="CV660" s="357" t="str">
        <f t="shared" ca="1" si="999"/>
        <v/>
      </c>
      <c r="CW660" s="385"/>
      <c r="CX660" s="356" t="str">
        <f t="shared" ca="1" si="1000"/>
        <v/>
      </c>
      <c r="CY660" s="357" t="str">
        <f t="shared" ca="1" si="1001"/>
        <v/>
      </c>
      <c r="CZ660" s="385"/>
      <c r="DA660" s="356" t="str">
        <f t="shared" ca="1" si="1002"/>
        <v/>
      </c>
      <c r="DB660" s="357" t="str">
        <f t="shared" ca="1" si="1003"/>
        <v/>
      </c>
      <c r="DC660" s="385"/>
      <c r="DD660" s="356" t="str">
        <f t="shared" ca="1" si="1004"/>
        <v/>
      </c>
      <c r="DE660" s="357" t="str">
        <f t="shared" ca="1" si="1005"/>
        <v/>
      </c>
      <c r="DF660" s="385"/>
      <c r="DG660" s="350"/>
      <c r="DH660" s="300"/>
      <c r="DI660" s="395" t="str">
        <f t="shared" ca="1" si="1023"/>
        <v/>
      </c>
      <c r="DJ660" s="478" t="str">
        <f t="shared" ca="1" si="1010"/>
        <v/>
      </c>
      <c r="DK660" s="360" t="str">
        <f t="shared" ca="1" si="1011"/>
        <v/>
      </c>
      <c r="DL660" s="354" t="str">
        <f t="shared" ca="1" si="1012"/>
        <v/>
      </c>
      <c r="DM660" s="354" t="str">
        <f t="shared" ca="1" si="1013"/>
        <v/>
      </c>
      <c r="DN660" s="361" t="str">
        <f t="shared" ca="1" si="1014"/>
        <v/>
      </c>
      <c r="DO660" s="362" t="str">
        <f t="shared" ca="1" si="1015"/>
        <v/>
      </c>
      <c r="DP660" s="379" t="str">
        <f t="shared" ca="1" si="1029"/>
        <v>Élelmesek</v>
      </c>
      <c r="DQ660" s="302"/>
      <c r="DR660" s="364"/>
      <c r="DS660" s="302"/>
      <c r="DU660" s="365"/>
      <c r="DV660" s="366" t="str">
        <f ca="1">IF(OR(NOT($AJ$44),AND(DI643,DV649="")),DI649,"")</f>
        <v/>
      </c>
      <c r="DW660" s="365"/>
      <c r="DX660" s="366">
        <f t="shared" ca="1" si="1016"/>
        <v>0</v>
      </c>
      <c r="DY660" s="366">
        <f t="shared" ca="1" si="1017"/>
        <v>0</v>
      </c>
      <c r="DZ660" s="366">
        <f t="shared" ca="1" si="1018"/>
        <v>0</v>
      </c>
      <c r="EA660" s="366">
        <f t="shared" ca="1" si="1019"/>
        <v>0</v>
      </c>
      <c r="EB660" s="366">
        <f t="shared" ca="1" si="1024"/>
        <v>0</v>
      </c>
      <c r="EC660" s="366">
        <f t="shared" ca="1" si="1025"/>
        <v>0</v>
      </c>
      <c r="ED660" s="366">
        <f t="shared" ca="1" si="1020"/>
        <v>0</v>
      </c>
      <c r="EE660" s="396">
        <f t="shared" ca="1" si="1026"/>
        <v>0</v>
      </c>
      <c r="EF660" s="366">
        <f t="shared" ca="1" si="1021"/>
        <v>0</v>
      </c>
      <c r="EG660" s="366">
        <f t="shared" ca="1" si="1022"/>
        <v>0</v>
      </c>
      <c r="EH660" s="366">
        <f t="shared" ca="1" si="1027"/>
        <v>0</v>
      </c>
      <c r="EI660" s="366">
        <f t="shared" ca="1" si="1028"/>
        <v>0</v>
      </c>
      <c r="EJ660" s="366">
        <f ca="1">IF(EI660=0,0,RANK(EI660,EI655:EI664,1))</f>
        <v>0</v>
      </c>
      <c r="EK660" s="366">
        <f t="shared" ca="1" si="1007"/>
        <v>0</v>
      </c>
      <c r="EL660" s="365"/>
      <c r="EO660" s="365"/>
      <c r="EP660" s="365"/>
      <c r="EQ660" s="365"/>
      <c r="ER660" s="404" t="str">
        <f ca="1">IF(EU648="","",VLOOKUP(EU648,yyy.an1.10,4,FALSE))</f>
        <v/>
      </c>
      <c r="ES660" s="371" t="str">
        <f ca="1">IF(OR(ER660="",EY660="",ER660=EY660),"",CONCATENATE(ER660,EY660))</f>
        <v/>
      </c>
      <c r="ET660" s="405" t="str">
        <f ca="1">IF(OR(ES660="",EY655&gt;2),"",CONCATENATE(VLOOKUP(ES660,games.a,9,FALSE),VLOOKUP(ES660,games.a,12,FALSE)))</f>
        <v/>
      </c>
      <c r="EU660" s="420"/>
      <c r="EV660" s="421"/>
      <c r="EW660" s="408" t="str">
        <f ca="1">IF(ES660="","",VLOOKUP(ES660,games.a,6,FALSE))</f>
        <v/>
      </c>
      <c r="EX660" s="409" t="str">
        <f ca="1">IF(ES660="","",VLOOKUP(ES660,games.a,7,FALSE))</f>
        <v/>
      </c>
      <c r="EY660" s="415" t="str">
        <f ca="1">EY659</f>
        <v/>
      </c>
      <c r="EZ660" s="416"/>
      <c r="FA660" s="417"/>
      <c r="FB660" s="365"/>
      <c r="FC660" s="366"/>
      <c r="FD660" s="373"/>
      <c r="FE660" s="333"/>
    </row>
    <row r="661" spans="86:161" x14ac:dyDescent="0.25">
      <c r="CH661" s="350"/>
      <c r="CI661" s="353">
        <f t="shared" ca="1" si="1008"/>
        <v>1.7999999999999999E-2</v>
      </c>
      <c r="CJ661" s="352">
        <f t="shared" ca="1" si="992"/>
        <v>0</v>
      </c>
      <c r="CK661" s="353">
        <f t="shared" ca="1" si="993"/>
        <v>0</v>
      </c>
      <c r="CL661" s="354">
        <v>18</v>
      </c>
      <c r="CM661" s="350"/>
      <c r="CN661" s="300"/>
      <c r="CO661" s="356" t="str">
        <f t="shared" ca="1" si="994"/>
        <v/>
      </c>
      <c r="CP661" s="357" t="str">
        <f t="shared" ca="1" si="995"/>
        <v/>
      </c>
      <c r="CQ661" s="385"/>
      <c r="CR661" s="356" t="str">
        <f t="shared" ca="1" si="996"/>
        <v/>
      </c>
      <c r="CS661" s="357" t="str">
        <f t="shared" ca="1" si="997"/>
        <v/>
      </c>
      <c r="CT661" s="385"/>
      <c r="CU661" s="356" t="str">
        <f t="shared" ca="1" si="998"/>
        <v/>
      </c>
      <c r="CV661" s="357" t="str">
        <f t="shared" ca="1" si="999"/>
        <v/>
      </c>
      <c r="CW661" s="385"/>
      <c r="CX661" s="356" t="str">
        <f t="shared" ca="1" si="1000"/>
        <v/>
      </c>
      <c r="CY661" s="357" t="str">
        <f t="shared" ca="1" si="1001"/>
        <v/>
      </c>
      <c r="CZ661" s="385"/>
      <c r="DA661" s="356" t="str">
        <f t="shared" ca="1" si="1002"/>
        <v/>
      </c>
      <c r="DB661" s="357" t="str">
        <f t="shared" ca="1" si="1003"/>
        <v/>
      </c>
      <c r="DC661" s="385"/>
      <c r="DD661" s="356" t="str">
        <f t="shared" ca="1" si="1004"/>
        <v/>
      </c>
      <c r="DE661" s="357" t="str">
        <f t="shared" ca="1" si="1005"/>
        <v/>
      </c>
      <c r="DF661" s="385"/>
      <c r="DG661" s="350"/>
      <c r="DH661" s="300"/>
      <c r="DI661" s="395" t="str">
        <f t="shared" ca="1" si="1023"/>
        <v/>
      </c>
      <c r="DJ661" s="478" t="str">
        <f t="shared" ca="1" si="1010"/>
        <v/>
      </c>
      <c r="DK661" s="360" t="str">
        <f t="shared" ca="1" si="1011"/>
        <v/>
      </c>
      <c r="DL661" s="354" t="str">
        <f t="shared" ca="1" si="1012"/>
        <v/>
      </c>
      <c r="DM661" s="354" t="str">
        <f t="shared" ca="1" si="1013"/>
        <v/>
      </c>
      <c r="DN661" s="361" t="str">
        <f t="shared" ca="1" si="1014"/>
        <v/>
      </c>
      <c r="DO661" s="362" t="str">
        <f t="shared" ca="1" si="1015"/>
        <v/>
      </c>
      <c r="DP661" s="379" t="str">
        <f t="shared" ca="1" si="1029"/>
        <v>Élelmesek</v>
      </c>
      <c r="DQ661" s="302"/>
      <c r="DR661" s="364"/>
      <c r="DS661" s="302"/>
      <c r="DU661" s="365"/>
      <c r="DV661" s="366" t="str">
        <f ca="1">IF(OR(NOT($AJ$44),AND(DI643,DV650="")),DI650,"")</f>
        <v/>
      </c>
      <c r="DW661" s="365"/>
      <c r="DX661" s="366">
        <f t="shared" ca="1" si="1016"/>
        <v>0</v>
      </c>
      <c r="DY661" s="366">
        <f t="shared" ca="1" si="1017"/>
        <v>0</v>
      </c>
      <c r="DZ661" s="366">
        <f t="shared" ca="1" si="1018"/>
        <v>0</v>
      </c>
      <c r="EA661" s="366">
        <f t="shared" ca="1" si="1019"/>
        <v>0</v>
      </c>
      <c r="EB661" s="366">
        <f t="shared" ca="1" si="1024"/>
        <v>0</v>
      </c>
      <c r="EC661" s="366">
        <f t="shared" ca="1" si="1025"/>
        <v>0</v>
      </c>
      <c r="ED661" s="366">
        <f t="shared" ca="1" si="1020"/>
        <v>0</v>
      </c>
      <c r="EE661" s="396">
        <f t="shared" ca="1" si="1026"/>
        <v>0</v>
      </c>
      <c r="EF661" s="366">
        <f t="shared" ca="1" si="1021"/>
        <v>0</v>
      </c>
      <c r="EG661" s="366">
        <f t="shared" ca="1" si="1022"/>
        <v>0</v>
      </c>
      <c r="EH661" s="366">
        <f t="shared" ca="1" si="1027"/>
        <v>0</v>
      </c>
      <c r="EI661" s="366">
        <f t="shared" ca="1" si="1028"/>
        <v>0</v>
      </c>
      <c r="EJ661" s="366">
        <f ca="1">IF(EI661=0,0,RANK(EI661,EI655:EI664,1))</f>
        <v>0</v>
      </c>
      <c r="EK661" s="366">
        <f t="shared" ca="1" si="1007"/>
        <v>0</v>
      </c>
      <c r="EL661" s="365"/>
      <c r="EO661" s="365"/>
      <c r="EP661" s="365"/>
      <c r="EQ661" s="365"/>
      <c r="ER661" s="398"/>
      <c r="ES661" s="329" t="s">
        <v>157</v>
      </c>
      <c r="ET661" s="329" t="s">
        <v>158</v>
      </c>
      <c r="EU661" s="399"/>
      <c r="EV661" s="400"/>
      <c r="EW661" s="401" t="s">
        <v>160</v>
      </c>
      <c r="EX661" s="402" t="s">
        <v>135</v>
      </c>
      <c r="EY661" s="398"/>
      <c r="EZ661" s="365"/>
      <c r="FA661" s="365"/>
      <c r="FB661" s="365"/>
      <c r="FC661" s="366"/>
      <c r="FD661" s="373"/>
      <c r="FE661" s="333"/>
    </row>
    <row r="662" spans="86:161" x14ac:dyDescent="0.25">
      <c r="CH662" s="350"/>
      <c r="CI662" s="353">
        <f t="shared" ca="1" si="1008"/>
        <v>1.9E-2</v>
      </c>
      <c r="CJ662" s="352">
        <f t="shared" ca="1" si="992"/>
        <v>0</v>
      </c>
      <c r="CK662" s="353">
        <f t="shared" ca="1" si="993"/>
        <v>0</v>
      </c>
      <c r="CL662" s="354">
        <v>19</v>
      </c>
      <c r="CM662" s="350"/>
      <c r="CN662" s="300"/>
      <c r="CO662" s="356" t="str">
        <f t="shared" ca="1" si="994"/>
        <v/>
      </c>
      <c r="CP662" s="357" t="str">
        <f t="shared" ca="1" si="995"/>
        <v/>
      </c>
      <c r="CQ662" s="385"/>
      <c r="CR662" s="356" t="str">
        <f t="shared" ca="1" si="996"/>
        <v/>
      </c>
      <c r="CS662" s="357" t="str">
        <f t="shared" ca="1" si="997"/>
        <v/>
      </c>
      <c r="CT662" s="385"/>
      <c r="CU662" s="356" t="str">
        <f t="shared" ca="1" si="998"/>
        <v/>
      </c>
      <c r="CV662" s="357" t="str">
        <f t="shared" ca="1" si="999"/>
        <v/>
      </c>
      <c r="CW662" s="385"/>
      <c r="CX662" s="356" t="str">
        <f t="shared" ca="1" si="1000"/>
        <v/>
      </c>
      <c r="CY662" s="357" t="str">
        <f t="shared" ca="1" si="1001"/>
        <v/>
      </c>
      <c r="CZ662" s="385"/>
      <c r="DA662" s="356" t="str">
        <f t="shared" ca="1" si="1002"/>
        <v/>
      </c>
      <c r="DB662" s="357" t="str">
        <f t="shared" ca="1" si="1003"/>
        <v/>
      </c>
      <c r="DC662" s="385"/>
      <c r="DD662" s="356" t="str">
        <f t="shared" ca="1" si="1004"/>
        <v/>
      </c>
      <c r="DE662" s="357" t="str">
        <f t="shared" ca="1" si="1005"/>
        <v/>
      </c>
      <c r="DF662" s="385"/>
      <c r="DG662" s="350"/>
      <c r="DH662" s="300"/>
      <c r="DI662" s="395" t="str">
        <f t="shared" ca="1" si="1023"/>
        <v/>
      </c>
      <c r="DJ662" s="478" t="str">
        <f t="shared" ca="1" si="1010"/>
        <v/>
      </c>
      <c r="DK662" s="360" t="str">
        <f t="shared" ca="1" si="1011"/>
        <v/>
      </c>
      <c r="DL662" s="354" t="str">
        <f t="shared" ca="1" si="1012"/>
        <v/>
      </c>
      <c r="DM662" s="354" t="str">
        <f t="shared" ca="1" si="1013"/>
        <v/>
      </c>
      <c r="DN662" s="361" t="str">
        <f t="shared" ca="1" si="1014"/>
        <v/>
      </c>
      <c r="DO662" s="362" t="str">
        <f t="shared" ca="1" si="1015"/>
        <v/>
      </c>
      <c r="DP662" s="379" t="str">
        <f t="shared" ca="1" si="1029"/>
        <v>Élelmesek</v>
      </c>
      <c r="DQ662" s="302"/>
      <c r="DR662" s="364"/>
      <c r="DS662" s="302"/>
      <c r="DU662" s="365"/>
      <c r="DV662" s="366" t="str">
        <f ca="1">IF(OR(NOT($AJ$44),AND(DI643,DV651="")),DI651,"")</f>
        <v/>
      </c>
      <c r="DW662" s="365"/>
      <c r="DX662" s="366">
        <f t="shared" ca="1" si="1016"/>
        <v>0</v>
      </c>
      <c r="DY662" s="366">
        <f t="shared" ca="1" si="1017"/>
        <v>0</v>
      </c>
      <c r="DZ662" s="366">
        <f t="shared" ca="1" si="1018"/>
        <v>0</v>
      </c>
      <c r="EA662" s="366">
        <f t="shared" ca="1" si="1019"/>
        <v>0</v>
      </c>
      <c r="EB662" s="366">
        <f t="shared" ca="1" si="1024"/>
        <v>0</v>
      </c>
      <c r="EC662" s="366">
        <f t="shared" ca="1" si="1025"/>
        <v>0</v>
      </c>
      <c r="ED662" s="366">
        <f t="shared" ca="1" si="1020"/>
        <v>0</v>
      </c>
      <c r="EE662" s="396">
        <f t="shared" ca="1" si="1026"/>
        <v>0</v>
      </c>
      <c r="EF662" s="366">
        <f t="shared" ca="1" si="1021"/>
        <v>0</v>
      </c>
      <c r="EG662" s="366">
        <f t="shared" ca="1" si="1022"/>
        <v>0</v>
      </c>
      <c r="EH662" s="366">
        <f t="shared" ca="1" si="1027"/>
        <v>0</v>
      </c>
      <c r="EI662" s="366">
        <f t="shared" ca="1" si="1028"/>
        <v>0</v>
      </c>
      <c r="EJ662" s="366">
        <f ca="1">IF(EI662=0,0,RANK(EI662,EI655:EI664,1))</f>
        <v>0</v>
      </c>
      <c r="EK662" s="366">
        <f t="shared" ca="1" si="1007"/>
        <v>0</v>
      </c>
      <c r="EL662" s="365"/>
      <c r="EO662" s="365"/>
      <c r="EP662" s="365"/>
      <c r="EQ662" s="365"/>
      <c r="ER662" s="404" t="str">
        <f ca="1">ER656</f>
        <v/>
      </c>
      <c r="ES662" s="371" t="str">
        <f ca="1">IF(OR(ER662="",EY662="",ER662=EY662),"",CONCATENATE(ER662,EY662))</f>
        <v/>
      </c>
      <c r="ET662" s="422" t="str">
        <f ca="1">IF(OR(ES662="",EY655&gt;2),"",CONCATENATE(VLOOKUP(ES662,games.a,9,FALSE),VLOOKUP(ES662,games.a,12,FALSE)))</f>
        <v/>
      </c>
      <c r="EU662" s="406"/>
      <c r="EV662" s="407"/>
      <c r="EW662" s="423" t="str">
        <f ca="1">IF(ES662="","",VLOOKUP(ES662,games.a,6,FALSE))</f>
        <v/>
      </c>
      <c r="EX662" s="409" t="str">
        <f ca="1">IF(ES662="","",VLOOKUP(ES662,games.a,7,FALSE))</f>
        <v/>
      </c>
      <c r="EY662" s="410" t="str">
        <f ca="1">ER657</f>
        <v/>
      </c>
      <c r="EZ662" s="411"/>
      <c r="FA662" s="412"/>
      <c r="FB662" s="365"/>
      <c r="FC662" s="366"/>
      <c r="FD662" s="373"/>
      <c r="FE662" s="333"/>
    </row>
    <row r="663" spans="86:161" x14ac:dyDescent="0.25">
      <c r="CH663" s="350"/>
      <c r="CI663" s="353">
        <f t="shared" ca="1" si="1008"/>
        <v>0.02</v>
      </c>
      <c r="CJ663" s="352">
        <f t="shared" ca="1" si="992"/>
        <v>0</v>
      </c>
      <c r="CK663" s="353">
        <f t="shared" ca="1" si="993"/>
        <v>0</v>
      </c>
      <c r="CL663" s="354">
        <v>20</v>
      </c>
      <c r="CM663" s="350"/>
      <c r="CN663" s="300"/>
      <c r="CO663" s="356" t="str">
        <f t="shared" ca="1" si="994"/>
        <v/>
      </c>
      <c r="CP663" s="357" t="str">
        <f t="shared" ca="1" si="995"/>
        <v/>
      </c>
      <c r="CQ663" s="385"/>
      <c r="CR663" s="356" t="str">
        <f t="shared" ca="1" si="996"/>
        <v/>
      </c>
      <c r="CS663" s="357" t="str">
        <f t="shared" ca="1" si="997"/>
        <v/>
      </c>
      <c r="CT663" s="385"/>
      <c r="CU663" s="356" t="str">
        <f t="shared" ca="1" si="998"/>
        <v/>
      </c>
      <c r="CV663" s="357" t="str">
        <f t="shared" ca="1" si="999"/>
        <v/>
      </c>
      <c r="CW663" s="385"/>
      <c r="CX663" s="356" t="str">
        <f t="shared" ca="1" si="1000"/>
        <v/>
      </c>
      <c r="CY663" s="357" t="str">
        <f t="shared" ca="1" si="1001"/>
        <v/>
      </c>
      <c r="CZ663" s="385"/>
      <c r="DA663" s="356" t="str">
        <f t="shared" ca="1" si="1002"/>
        <v/>
      </c>
      <c r="DB663" s="357" t="str">
        <f t="shared" ca="1" si="1003"/>
        <v/>
      </c>
      <c r="DC663" s="385"/>
      <c r="DD663" s="356" t="str">
        <f t="shared" ca="1" si="1004"/>
        <v/>
      </c>
      <c r="DE663" s="357" t="str">
        <f t="shared" ca="1" si="1005"/>
        <v/>
      </c>
      <c r="DF663" s="385"/>
      <c r="DG663" s="350"/>
      <c r="DH663" s="300"/>
      <c r="DI663" s="395" t="str">
        <f t="shared" ca="1" si="1023"/>
        <v/>
      </c>
      <c r="DJ663" s="478" t="str">
        <f t="shared" ca="1" si="1010"/>
        <v/>
      </c>
      <c r="DK663" s="360" t="str">
        <f t="shared" ca="1" si="1011"/>
        <v/>
      </c>
      <c r="DL663" s="354" t="str">
        <f t="shared" ca="1" si="1012"/>
        <v/>
      </c>
      <c r="DM663" s="354" t="str">
        <f t="shared" ca="1" si="1013"/>
        <v/>
      </c>
      <c r="DN663" s="361" t="str">
        <f t="shared" ca="1" si="1014"/>
        <v/>
      </c>
      <c r="DO663" s="362" t="str">
        <f t="shared" ca="1" si="1015"/>
        <v/>
      </c>
      <c r="DP663" s="379" t="str">
        <f t="shared" ca="1" si="1029"/>
        <v>Élelmesek</v>
      </c>
      <c r="DQ663" s="302"/>
      <c r="DR663" s="364"/>
      <c r="DS663" s="302"/>
      <c r="DU663" s="365"/>
      <c r="DV663" s="366" t="str">
        <f ca="1">IF(OR(NOT($AJ$44),AND(DI643,DV652="")),DI652,"")</f>
        <v/>
      </c>
      <c r="DW663" s="365"/>
      <c r="DX663" s="366">
        <f t="shared" ca="1" si="1016"/>
        <v>0</v>
      </c>
      <c r="DY663" s="366">
        <f t="shared" ca="1" si="1017"/>
        <v>0</v>
      </c>
      <c r="DZ663" s="366">
        <f t="shared" ca="1" si="1018"/>
        <v>0</v>
      </c>
      <c r="EA663" s="366">
        <f t="shared" ca="1" si="1019"/>
        <v>0</v>
      </c>
      <c r="EB663" s="366">
        <f t="shared" ca="1" si="1024"/>
        <v>0</v>
      </c>
      <c r="EC663" s="366">
        <f t="shared" ca="1" si="1025"/>
        <v>0</v>
      </c>
      <c r="ED663" s="366">
        <f t="shared" ca="1" si="1020"/>
        <v>0</v>
      </c>
      <c r="EE663" s="396">
        <f t="shared" ca="1" si="1026"/>
        <v>0</v>
      </c>
      <c r="EF663" s="366">
        <f t="shared" ca="1" si="1021"/>
        <v>0</v>
      </c>
      <c r="EG663" s="366">
        <f t="shared" ca="1" si="1022"/>
        <v>0</v>
      </c>
      <c r="EH663" s="366">
        <f t="shared" ca="1" si="1027"/>
        <v>0</v>
      </c>
      <c r="EI663" s="366">
        <f t="shared" ca="1" si="1028"/>
        <v>0</v>
      </c>
      <c r="EJ663" s="366">
        <f ca="1">IF(EI663=0,0,RANK(EI663,EI655:EI664,1))</f>
        <v>0</v>
      </c>
      <c r="EK663" s="366">
        <f t="shared" ca="1" si="1007"/>
        <v>0</v>
      </c>
      <c r="EL663" s="365"/>
      <c r="EO663" s="365"/>
      <c r="EP663" s="365"/>
      <c r="EQ663" s="365"/>
      <c r="ER663" s="404" t="str">
        <f ca="1">ER657</f>
        <v/>
      </c>
      <c r="ES663" s="371" t="str">
        <f ca="1">IF(OR(ER663="",EY663="",ER663=EY663),"",CONCATENATE(ER663,EY663))</f>
        <v/>
      </c>
      <c r="ET663" s="422" t="str">
        <f ca="1">IF(OR(ES663="",EY655&gt;2),"",CONCATENATE(VLOOKUP(ES663,games.a,9,FALSE),VLOOKUP(ES663,games.a,12,FALSE)))</f>
        <v/>
      </c>
      <c r="EU663" s="413"/>
      <c r="EV663" s="414"/>
      <c r="EW663" s="423" t="str">
        <f ca="1">IF(ES663="","",VLOOKUP(ES663,games.a,6,FALSE))</f>
        <v/>
      </c>
      <c r="EX663" s="409" t="str">
        <f ca="1">IF(ES663="","",VLOOKUP(ES663,games.a,7,FALSE))</f>
        <v/>
      </c>
      <c r="EY663" s="415" t="str">
        <f ca="1">EY662</f>
        <v/>
      </c>
      <c r="EZ663" s="416"/>
      <c r="FA663" s="417"/>
      <c r="FB663" s="365"/>
      <c r="FC663" s="366"/>
      <c r="FD663" s="373"/>
      <c r="FE663" s="333"/>
    </row>
    <row r="664" spans="86:161" x14ac:dyDescent="0.25">
      <c r="CH664" s="350"/>
      <c r="CI664" s="353">
        <f t="shared" ca="1" si="1008"/>
        <v>2.1000000000000001E-2</v>
      </c>
      <c r="CJ664" s="352">
        <f t="shared" ca="1" si="992"/>
        <v>0</v>
      </c>
      <c r="CK664" s="353">
        <f t="shared" ca="1" si="993"/>
        <v>0</v>
      </c>
      <c r="CL664" s="354">
        <v>21</v>
      </c>
      <c r="CM664" s="350"/>
      <c r="CO664" s="356" t="str">
        <f t="shared" ca="1" si="994"/>
        <v/>
      </c>
      <c r="CP664" s="357" t="str">
        <f t="shared" ca="1" si="995"/>
        <v/>
      </c>
      <c r="CQ664" s="385"/>
      <c r="CR664" s="356" t="str">
        <f t="shared" ca="1" si="996"/>
        <v/>
      </c>
      <c r="CS664" s="357" t="str">
        <f t="shared" ca="1" si="997"/>
        <v/>
      </c>
      <c r="CT664" s="385"/>
      <c r="CU664" s="356" t="str">
        <f t="shared" ca="1" si="998"/>
        <v/>
      </c>
      <c r="CV664" s="357" t="str">
        <f t="shared" ca="1" si="999"/>
        <v/>
      </c>
      <c r="CW664" s="385"/>
      <c r="CX664" s="356" t="str">
        <f t="shared" ca="1" si="1000"/>
        <v/>
      </c>
      <c r="CY664" s="357" t="str">
        <f t="shared" ca="1" si="1001"/>
        <v/>
      </c>
      <c r="CZ664" s="385"/>
      <c r="DA664" s="356" t="str">
        <f t="shared" ca="1" si="1002"/>
        <v/>
      </c>
      <c r="DB664" s="357" t="str">
        <f t="shared" ca="1" si="1003"/>
        <v/>
      </c>
      <c r="DC664" s="385"/>
      <c r="DD664" s="356" t="str">
        <f t="shared" ca="1" si="1004"/>
        <v/>
      </c>
      <c r="DE664" s="357" t="str">
        <f t="shared" ca="1" si="1005"/>
        <v/>
      </c>
      <c r="DF664" s="385"/>
      <c r="DG664" s="350"/>
      <c r="DH664" s="300"/>
      <c r="DI664" s="395" t="str">
        <f t="shared" ca="1" si="1023"/>
        <v/>
      </c>
      <c r="DJ664" s="478" t="str">
        <f t="shared" ca="1" si="1010"/>
        <v/>
      </c>
      <c r="DK664" s="360" t="str">
        <f t="shared" ca="1" si="1011"/>
        <v/>
      </c>
      <c r="DL664" s="354" t="str">
        <f t="shared" ca="1" si="1012"/>
        <v/>
      </c>
      <c r="DM664" s="354" t="str">
        <f t="shared" ca="1" si="1013"/>
        <v/>
      </c>
      <c r="DN664" s="361" t="str">
        <f t="shared" ca="1" si="1014"/>
        <v/>
      </c>
      <c r="DO664" s="362" t="str">
        <f t="shared" ca="1" si="1015"/>
        <v/>
      </c>
      <c r="DP664" s="379" t="str">
        <f t="shared" ca="1" si="1029"/>
        <v>Élelmesek</v>
      </c>
      <c r="DQ664" s="302"/>
      <c r="DR664" s="364"/>
      <c r="DS664" s="302"/>
      <c r="DU664" s="424"/>
      <c r="DV664" s="366" t="str">
        <f ca="1">IF(OR(NOT($AJ$44),AND(DI643,DV653="")),DI653,"")</f>
        <v/>
      </c>
      <c r="DW664" s="365"/>
      <c r="DX664" s="366">
        <f t="shared" ca="1" si="1016"/>
        <v>0</v>
      </c>
      <c r="DY664" s="366">
        <f t="shared" ca="1" si="1017"/>
        <v>0</v>
      </c>
      <c r="DZ664" s="366">
        <f t="shared" ca="1" si="1018"/>
        <v>0</v>
      </c>
      <c r="EA664" s="366">
        <f t="shared" ca="1" si="1019"/>
        <v>0</v>
      </c>
      <c r="EB664" s="366">
        <f t="shared" ca="1" si="1024"/>
        <v>0</v>
      </c>
      <c r="EC664" s="366">
        <f t="shared" ca="1" si="1025"/>
        <v>0</v>
      </c>
      <c r="ED664" s="366">
        <f t="shared" ca="1" si="1020"/>
        <v>0</v>
      </c>
      <c r="EE664" s="396">
        <f t="shared" ca="1" si="1026"/>
        <v>0</v>
      </c>
      <c r="EF664" s="366">
        <f t="shared" ca="1" si="1021"/>
        <v>0</v>
      </c>
      <c r="EG664" s="366">
        <f t="shared" ca="1" si="1022"/>
        <v>0</v>
      </c>
      <c r="EH664" s="366">
        <f t="shared" ca="1" si="1027"/>
        <v>0</v>
      </c>
      <c r="EI664" s="366">
        <f t="shared" ca="1" si="1028"/>
        <v>0</v>
      </c>
      <c r="EJ664" s="366">
        <f ca="1">IF(EI664=0,0,RANK(EI664,EI655:EI664,1))</f>
        <v>0</v>
      </c>
      <c r="EK664" s="366">
        <f t="shared" ca="1" si="1007"/>
        <v>0</v>
      </c>
      <c r="EL664" s="365"/>
      <c r="EO664" s="424"/>
      <c r="EP664" s="424"/>
      <c r="EQ664" s="424"/>
      <c r="ER664" s="404" t="str">
        <f ca="1">ER658</f>
        <v/>
      </c>
      <c r="ES664" s="371" t="str">
        <f ca="1">IF(OR(ER664="",EY664="",ER664=EY664),"",CONCATENATE(ER664,EY664))</f>
        <v/>
      </c>
      <c r="ET664" s="422" t="str">
        <f ca="1">IF(OR(ES664="",EY655&gt;2),"",CONCATENATE(VLOOKUP(ES664,games.a,9,FALSE),VLOOKUP(ES664,games.a,12,FALSE)))</f>
        <v/>
      </c>
      <c r="EU664" s="413"/>
      <c r="EV664" s="414"/>
      <c r="EW664" s="423" t="str">
        <f ca="1">IF(ES664="","",VLOOKUP(ES664,games.a,6,FALSE))</f>
        <v/>
      </c>
      <c r="EX664" s="409" t="str">
        <f ca="1">IF(ES664="","",VLOOKUP(ES664,games.a,7,FALSE))</f>
        <v/>
      </c>
      <c r="EY664" s="415" t="str">
        <f ca="1">EY663</f>
        <v/>
      </c>
      <c r="EZ664" s="416"/>
      <c r="FA664" s="417"/>
      <c r="FB664" s="424"/>
      <c r="FC664" s="366"/>
      <c r="FD664" s="425"/>
      <c r="FE664" s="333"/>
    </row>
    <row r="665" spans="86:161" x14ac:dyDescent="0.25">
      <c r="CH665" s="350"/>
      <c r="CI665" s="353">
        <f t="shared" ca="1" si="1008"/>
        <v>2.1999999999999999E-2</v>
      </c>
      <c r="CJ665" s="352">
        <f t="shared" ca="1" si="992"/>
        <v>0</v>
      </c>
      <c r="CK665" s="353">
        <f t="shared" ca="1" si="993"/>
        <v>0</v>
      </c>
      <c r="CL665" s="354">
        <v>22</v>
      </c>
      <c r="CM665" s="350"/>
      <c r="CO665" s="356" t="str">
        <f t="shared" ca="1" si="994"/>
        <v/>
      </c>
      <c r="CP665" s="357" t="str">
        <f t="shared" ca="1" si="995"/>
        <v/>
      </c>
      <c r="CQ665" s="385"/>
      <c r="CR665" s="356" t="str">
        <f t="shared" ca="1" si="996"/>
        <v/>
      </c>
      <c r="CS665" s="357" t="str">
        <f t="shared" ca="1" si="997"/>
        <v/>
      </c>
      <c r="CT665" s="385"/>
      <c r="CU665" s="356" t="str">
        <f t="shared" ca="1" si="998"/>
        <v/>
      </c>
      <c r="CV665" s="357" t="str">
        <f t="shared" ca="1" si="999"/>
        <v/>
      </c>
      <c r="CW665" s="385"/>
      <c r="CX665" s="356" t="str">
        <f t="shared" ca="1" si="1000"/>
        <v/>
      </c>
      <c r="CY665" s="357" t="str">
        <f t="shared" ca="1" si="1001"/>
        <v/>
      </c>
      <c r="CZ665" s="385"/>
      <c r="DA665" s="356" t="str">
        <f t="shared" ca="1" si="1002"/>
        <v/>
      </c>
      <c r="DB665" s="357" t="str">
        <f t="shared" ca="1" si="1003"/>
        <v/>
      </c>
      <c r="DC665" s="385"/>
      <c r="DD665" s="356" t="str">
        <f t="shared" ca="1" si="1004"/>
        <v/>
      </c>
      <c r="DE665" s="357" t="str">
        <f t="shared" ca="1" si="1005"/>
        <v/>
      </c>
      <c r="DF665" s="385"/>
      <c r="DG665" s="350"/>
      <c r="DH665" s="300"/>
      <c r="DI665" s="301"/>
      <c r="DJ665" s="471" t="s">
        <v>157</v>
      </c>
      <c r="DK665" s="471" t="s">
        <v>158</v>
      </c>
      <c r="DL665" s="472" t="s">
        <v>159</v>
      </c>
      <c r="DM665" s="472"/>
      <c r="DN665" s="473" t="s">
        <v>160</v>
      </c>
      <c r="DO665" s="472" t="s">
        <v>135</v>
      </c>
      <c r="DP665" s="302"/>
      <c r="DQ665" s="302"/>
      <c r="DR665" s="364"/>
      <c r="DS665" s="302"/>
      <c r="DU665" s="424"/>
      <c r="EL665" s="365"/>
      <c r="EO665" s="424"/>
      <c r="EP665" s="424"/>
      <c r="EQ665" s="424"/>
      <c r="ER665" s="404" t="str">
        <f ca="1">ER659</f>
        <v/>
      </c>
      <c r="ES665" s="371" t="str">
        <f ca="1">IF(OR(ER665="",EY665="",ER665=EY665),"",CONCATENATE(ER665,EY665))</f>
        <v/>
      </c>
      <c r="ET665" s="422" t="str">
        <f ca="1">IF(OR(ES665="",EY655&gt;2),"",CONCATENATE(VLOOKUP(ES665,games.a,9,FALSE),VLOOKUP(ES665,games.a,12,FALSE)))</f>
        <v/>
      </c>
      <c r="EU665" s="413"/>
      <c r="EV665" s="414"/>
      <c r="EW665" s="423" t="str">
        <f ca="1">IF(ES665="","",VLOOKUP(ES665,games.a,6,FALSE))</f>
        <v/>
      </c>
      <c r="EX665" s="409" t="str">
        <f ca="1">IF(ES665="","",VLOOKUP(ES665,games.a,7,FALSE))</f>
        <v/>
      </c>
      <c r="EY665" s="415" t="str">
        <f ca="1">EY664</f>
        <v/>
      </c>
      <c r="EZ665" s="416"/>
      <c r="FA665" s="417"/>
      <c r="FB665" s="424"/>
      <c r="FC665" s="366"/>
      <c r="FD665" s="425"/>
      <c r="FE665" s="333"/>
    </row>
    <row r="666" spans="86:161" x14ac:dyDescent="0.25">
      <c r="CH666" s="350"/>
      <c r="CI666" s="353">
        <f t="shared" ca="1" si="1008"/>
        <v>2.3E-2</v>
      </c>
      <c r="CJ666" s="352">
        <f t="shared" ca="1" si="992"/>
        <v>0</v>
      </c>
      <c r="CK666" s="353">
        <f t="shared" ca="1" si="993"/>
        <v>0</v>
      </c>
      <c r="CL666" s="354">
        <v>23</v>
      </c>
      <c r="CM666" s="350"/>
      <c r="CO666" s="356" t="str">
        <f t="shared" ca="1" si="994"/>
        <v/>
      </c>
      <c r="CP666" s="357" t="str">
        <f t="shared" ca="1" si="995"/>
        <v/>
      </c>
      <c r="CQ666" s="385"/>
      <c r="CR666" s="356" t="str">
        <f t="shared" ca="1" si="996"/>
        <v/>
      </c>
      <c r="CS666" s="357" t="str">
        <f t="shared" ca="1" si="997"/>
        <v/>
      </c>
      <c r="CT666" s="385"/>
      <c r="CU666" s="356" t="str">
        <f t="shared" ca="1" si="998"/>
        <v/>
      </c>
      <c r="CV666" s="357" t="str">
        <f t="shared" ca="1" si="999"/>
        <v/>
      </c>
      <c r="CW666" s="385"/>
      <c r="CX666" s="356" t="str">
        <f t="shared" ca="1" si="1000"/>
        <v/>
      </c>
      <c r="CY666" s="357" t="str">
        <f t="shared" ca="1" si="1001"/>
        <v/>
      </c>
      <c r="CZ666" s="385"/>
      <c r="DA666" s="356" t="str">
        <f t="shared" ca="1" si="1002"/>
        <v/>
      </c>
      <c r="DB666" s="357" t="str">
        <f t="shared" ca="1" si="1003"/>
        <v/>
      </c>
      <c r="DC666" s="385"/>
      <c r="DD666" s="356" t="str">
        <f t="shared" ca="1" si="1004"/>
        <v/>
      </c>
      <c r="DE666" s="357" t="str">
        <f t="shared" ca="1" si="1005"/>
        <v/>
      </c>
      <c r="DF666" s="385"/>
      <c r="DG666" s="350"/>
      <c r="DH666" s="300"/>
      <c r="DI666" s="395" t="str">
        <f ca="1">DI655</f>
        <v>Hercules-Ludovika</v>
      </c>
      <c r="DJ666" s="478" t="str">
        <f t="shared" ref="DJ666:DJ675" ca="1" si="1030">IF(OR(DI666="",DP666="",DI666=DP666,COUNTIF(games.an,DI666&amp;DP666)=0),"",CONCATENATE(DI666,DP666))</f>
        <v/>
      </c>
      <c r="DK666" s="360" t="str">
        <f t="shared" ref="DK666:DK675" ca="1" si="1031">IF($DJ666="","",CONCATENATE(VLOOKUP($DJ666,games.a,9,FALSE),VLOOKUP($DJ666,games.a,12,FALSE)))</f>
        <v/>
      </c>
      <c r="DL666" s="354" t="str">
        <f t="shared" ref="DL666:DL675" ca="1" si="1032">IF($DJ666="","",VLOOKUP($DJ666,games.a,10,FALSE))</f>
        <v/>
      </c>
      <c r="DM666" s="354" t="str">
        <f t="shared" ref="DM666:DM675" ca="1" si="1033">IF($DJ666="","",VLOOKUP($DJ666,games.a,13,FALSE))</f>
        <v/>
      </c>
      <c r="DN666" s="361" t="str">
        <f t="shared" ref="DN666:DN675" ca="1" si="1034">IF($DJ666="","",VLOOKUP($DJ666,games.a,6,FALSE))</f>
        <v/>
      </c>
      <c r="DO666" s="362" t="str">
        <f t="shared" ref="DO666:DO675" ca="1" si="1035">IF($DJ666="","",VLOOKUP($DJ666,games.a,7,FALSE))</f>
        <v/>
      </c>
      <c r="DP666" s="479" t="str">
        <f ca="1">DI646</f>
        <v/>
      </c>
      <c r="DQ666" s="302"/>
      <c r="DR666" s="364"/>
      <c r="DS666" s="302"/>
      <c r="DU666" s="424"/>
      <c r="EL666" s="365"/>
      <c r="EM666" s="424"/>
      <c r="EN666" s="424"/>
      <c r="EO666" s="424"/>
      <c r="EP666" s="424"/>
      <c r="EQ666" s="424"/>
      <c r="ER666" s="404" t="str">
        <f ca="1">ER660</f>
        <v/>
      </c>
      <c r="ES666" s="371" t="str">
        <f ca="1">IF(OR(ER666="",EY666="",ER666=EY666),"",CONCATENATE(ER666,EY666))</f>
        <v/>
      </c>
      <c r="ET666" s="422" t="str">
        <f ca="1">IF(OR(ES666="",EY655&gt;2),"",CONCATENATE(VLOOKUP(ES666,games.a,9,FALSE),VLOOKUP(ES666,games.a,12,FALSE)))</f>
        <v/>
      </c>
      <c r="EU666" s="420"/>
      <c r="EV666" s="421"/>
      <c r="EW666" s="423" t="str">
        <f ca="1">IF(ES666="","",VLOOKUP(ES666,games.a,6,FALSE))</f>
        <v/>
      </c>
      <c r="EX666" s="409" t="str">
        <f ca="1">IF(ES666="","",VLOOKUP(ES666,games.a,7,FALSE))</f>
        <v/>
      </c>
      <c r="EY666" s="415" t="str">
        <f ca="1">EY665</f>
        <v/>
      </c>
      <c r="EZ666" s="416"/>
      <c r="FA666" s="417"/>
      <c r="FB666" s="424"/>
      <c r="FC666" s="366"/>
      <c r="FD666" s="425"/>
      <c r="FE666" s="333"/>
    </row>
    <row r="667" spans="86:161" x14ac:dyDescent="0.25">
      <c r="CH667" s="350"/>
      <c r="CI667" s="353">
        <f t="shared" ca="1" si="1008"/>
        <v>2.4E-2</v>
      </c>
      <c r="CJ667" s="352">
        <f t="shared" ca="1" si="992"/>
        <v>0</v>
      </c>
      <c r="CK667" s="353">
        <f t="shared" ca="1" si="993"/>
        <v>0</v>
      </c>
      <c r="CL667" s="354">
        <v>24</v>
      </c>
      <c r="CM667" s="350"/>
      <c r="CO667" s="356" t="str">
        <f t="shared" ca="1" si="994"/>
        <v/>
      </c>
      <c r="CP667" s="357" t="str">
        <f t="shared" ca="1" si="995"/>
        <v/>
      </c>
      <c r="CQ667" s="357"/>
      <c r="CR667" s="356" t="str">
        <f t="shared" ca="1" si="996"/>
        <v/>
      </c>
      <c r="CS667" s="357" t="str">
        <f t="shared" ca="1" si="997"/>
        <v/>
      </c>
      <c r="CT667" s="357"/>
      <c r="CU667" s="356" t="str">
        <f t="shared" ca="1" si="998"/>
        <v/>
      </c>
      <c r="CV667" s="357" t="str">
        <f t="shared" ca="1" si="999"/>
        <v/>
      </c>
      <c r="CW667" s="357"/>
      <c r="CX667" s="356" t="str">
        <f t="shared" ca="1" si="1000"/>
        <v/>
      </c>
      <c r="CY667" s="357" t="str">
        <f t="shared" ca="1" si="1001"/>
        <v/>
      </c>
      <c r="CZ667" s="357"/>
      <c r="DA667" s="356" t="str">
        <f t="shared" ca="1" si="1002"/>
        <v/>
      </c>
      <c r="DB667" s="357" t="str">
        <f t="shared" ca="1" si="1003"/>
        <v/>
      </c>
      <c r="DC667" s="357"/>
      <c r="DD667" s="356" t="str">
        <f t="shared" ca="1" si="1004"/>
        <v/>
      </c>
      <c r="DE667" s="357" t="str">
        <f t="shared" ca="1" si="1005"/>
        <v/>
      </c>
      <c r="DF667" s="357"/>
      <c r="DG667" s="350"/>
      <c r="DH667" s="300"/>
      <c r="DI667" s="395" t="str">
        <f t="shared" ref="DI667:DI675" ca="1" si="1036">DI656</f>
        <v>Élelmesek</v>
      </c>
      <c r="DJ667" s="478" t="str">
        <f t="shared" ca="1" si="1030"/>
        <v/>
      </c>
      <c r="DK667" s="360" t="str">
        <f t="shared" ca="1" si="1031"/>
        <v/>
      </c>
      <c r="DL667" s="354" t="str">
        <f t="shared" ca="1" si="1032"/>
        <v/>
      </c>
      <c r="DM667" s="354" t="str">
        <f t="shared" ca="1" si="1033"/>
        <v/>
      </c>
      <c r="DN667" s="361" t="str">
        <f t="shared" ca="1" si="1034"/>
        <v/>
      </c>
      <c r="DO667" s="362" t="str">
        <f t="shared" ca="1" si="1035"/>
        <v/>
      </c>
      <c r="DP667" s="379" t="str">
        <f ca="1">DP666</f>
        <v/>
      </c>
      <c r="DQ667" s="302"/>
      <c r="DR667" s="364"/>
      <c r="DS667" s="302"/>
      <c r="DU667" s="424"/>
      <c r="EL667" s="365"/>
      <c r="EM667" s="424"/>
      <c r="EN667" s="424"/>
      <c r="EO667" s="424"/>
      <c r="EP667" s="424"/>
      <c r="EQ667" s="424"/>
      <c r="ER667" s="398"/>
      <c r="ES667" s="329" t="s">
        <v>157</v>
      </c>
      <c r="ET667" s="329" t="s">
        <v>158</v>
      </c>
      <c r="EU667" s="399"/>
      <c r="EV667" s="400"/>
      <c r="EW667" s="401" t="s">
        <v>160</v>
      </c>
      <c r="EX667" s="402" t="s">
        <v>135</v>
      </c>
      <c r="EY667" s="398"/>
      <c r="EZ667" s="365"/>
      <c r="FA667" s="365"/>
      <c r="FB667" s="424"/>
      <c r="FC667" s="366"/>
      <c r="FD667" s="425"/>
      <c r="FE667" s="333"/>
    </row>
    <row r="668" spans="86:161" x14ac:dyDescent="0.25">
      <c r="CH668" s="350"/>
      <c r="CI668" s="350"/>
      <c r="CJ668" s="350"/>
      <c r="CK668" s="350"/>
      <c r="CL668" s="350"/>
      <c r="CM668" s="350"/>
      <c r="DG668" s="350"/>
      <c r="DH668" s="300"/>
      <c r="DI668" s="395" t="str">
        <f t="shared" ca="1" si="1036"/>
        <v/>
      </c>
      <c r="DJ668" s="478" t="str">
        <f t="shared" ca="1" si="1030"/>
        <v/>
      </c>
      <c r="DK668" s="360" t="str">
        <f t="shared" ca="1" si="1031"/>
        <v/>
      </c>
      <c r="DL668" s="354" t="str">
        <f t="shared" ca="1" si="1032"/>
        <v/>
      </c>
      <c r="DM668" s="354" t="str">
        <f t="shared" ca="1" si="1033"/>
        <v/>
      </c>
      <c r="DN668" s="361" t="str">
        <f t="shared" ca="1" si="1034"/>
        <v/>
      </c>
      <c r="DO668" s="362" t="str">
        <f t="shared" ca="1" si="1035"/>
        <v/>
      </c>
      <c r="DP668" s="379" t="str">
        <f t="shared" ref="DP668:DP675" ca="1" si="1037">DP667</f>
        <v/>
      </c>
      <c r="DQ668" s="302"/>
      <c r="DR668" s="364"/>
      <c r="DS668" s="302"/>
      <c r="DU668" s="424"/>
      <c r="EL668" s="365"/>
      <c r="EM668" s="424"/>
      <c r="EN668" s="424"/>
      <c r="EO668" s="424"/>
      <c r="EP668" s="424"/>
      <c r="EQ668" s="424"/>
      <c r="ER668" s="404" t="str">
        <f ca="1">ER662</f>
        <v/>
      </c>
      <c r="ES668" s="371" t="str">
        <f ca="1">IF(OR(ER668="",EY668="",ER668=EY668),"",CONCATENATE(ER668,EY668))</f>
        <v/>
      </c>
      <c r="ET668" s="422" t="str">
        <f ca="1">IF(OR(ES668="",EY655&gt;2),"",CONCATENATE(VLOOKUP(ES668,games.a,9,FALSE),VLOOKUP(ES668,games.a,12,FALSE)))</f>
        <v/>
      </c>
      <c r="EU668" s="406"/>
      <c r="EV668" s="407"/>
      <c r="EW668" s="423" t="str">
        <f ca="1">IF(ES668="","",VLOOKUP(ES668,games.a,6,FALSE))</f>
        <v/>
      </c>
      <c r="EX668" s="409" t="str">
        <f ca="1">IF(ES668="","",VLOOKUP(ES668,games.a,7,FALSE))</f>
        <v/>
      </c>
      <c r="EY668" s="410" t="str">
        <f ca="1">ER658</f>
        <v/>
      </c>
      <c r="EZ668" s="411"/>
      <c r="FA668" s="412"/>
      <c r="FB668" s="424"/>
      <c r="FC668" s="424"/>
      <c r="FD668" s="425"/>
      <c r="FE668" s="333"/>
    </row>
    <row r="669" spans="86:161" x14ac:dyDescent="0.25">
      <c r="CH669" s="350"/>
      <c r="CI669" s="467" t="s">
        <v>212</v>
      </c>
      <c r="CJ669" s="467" t="s">
        <v>213</v>
      </c>
      <c r="CK669" s="467" t="s">
        <v>214</v>
      </c>
      <c r="CL669" s="296"/>
      <c r="CM669" s="296"/>
      <c r="CO669" s="468" t="str">
        <f>IF(CN670=0,"xxx",VLOOKUP(CN670,CI670:CL679,IF($AJ$44,3,2),FALSE))</f>
        <v>xxx</v>
      </c>
      <c r="CP669" s="469"/>
      <c r="CQ669" s="470" t="s">
        <v>220</v>
      </c>
      <c r="CR669" s="468" t="str">
        <f>IF(CN671=0,"xxx",VLOOKUP(CN671,CI670:CL679,IF($AJ$44,3,2),FALSE))</f>
        <v>xxx</v>
      </c>
      <c r="CS669" s="469"/>
      <c r="CT669" s="470" t="s">
        <v>221</v>
      </c>
      <c r="CU669" s="468" t="str">
        <f>IF(CN672=0,"xxx",VLOOKUP(CN672,CI670:CL679,IF($AJ$44,3,2),FALSE))</f>
        <v>xxx</v>
      </c>
      <c r="CV669" s="469"/>
      <c r="CW669" s="470" t="s">
        <v>222</v>
      </c>
      <c r="DG669" s="350"/>
      <c r="DH669" s="300"/>
      <c r="DI669" s="395" t="str">
        <f t="shared" ca="1" si="1036"/>
        <v/>
      </c>
      <c r="DJ669" s="478" t="str">
        <f t="shared" ca="1" si="1030"/>
        <v/>
      </c>
      <c r="DK669" s="360" t="str">
        <f t="shared" ca="1" si="1031"/>
        <v/>
      </c>
      <c r="DL669" s="354" t="str">
        <f t="shared" ca="1" si="1032"/>
        <v/>
      </c>
      <c r="DM669" s="354" t="str">
        <f t="shared" ca="1" si="1033"/>
        <v/>
      </c>
      <c r="DN669" s="361" t="str">
        <f t="shared" ca="1" si="1034"/>
        <v/>
      </c>
      <c r="DO669" s="362" t="str">
        <f t="shared" ca="1" si="1035"/>
        <v/>
      </c>
      <c r="DP669" s="379" t="str">
        <f t="shared" ca="1" si="1037"/>
        <v/>
      </c>
      <c r="DQ669" s="302"/>
      <c r="DR669" s="364"/>
      <c r="DS669" s="302"/>
      <c r="DU669" s="424"/>
      <c r="EL669" s="424"/>
      <c r="EM669" s="424"/>
      <c r="EN669" s="424"/>
      <c r="EO669" s="424"/>
      <c r="EP669" s="424"/>
      <c r="EQ669" s="424"/>
      <c r="ER669" s="404" t="str">
        <f ca="1">ER663</f>
        <v/>
      </c>
      <c r="ES669" s="371" t="str">
        <f ca="1">IF(OR(ER669="",EY669="",ER669=EY669),"",CONCATENATE(ER669,EY669))</f>
        <v/>
      </c>
      <c r="ET669" s="422" t="str">
        <f ca="1">IF(OR(ES669="",EY655&gt;2),"",CONCATENATE(VLOOKUP(ES669,games.a,9,FALSE),VLOOKUP(ES669,games.a,12,FALSE)))</f>
        <v/>
      </c>
      <c r="EU669" s="413"/>
      <c r="EV669" s="414"/>
      <c r="EW669" s="423" t="str">
        <f ca="1">IF(ES669="","",VLOOKUP(ES669,games.a,6,FALSE))</f>
        <v/>
      </c>
      <c r="EX669" s="409" t="str">
        <f ca="1">IF(ES669="","",VLOOKUP(ES669,games.a,7,FALSE))</f>
        <v/>
      </c>
      <c r="EY669" s="415" t="str">
        <f ca="1">EY668</f>
        <v/>
      </c>
      <c r="EZ669" s="416"/>
      <c r="FA669" s="417"/>
      <c r="FB669" s="424"/>
      <c r="FC669" s="424"/>
      <c r="FD669" s="425"/>
      <c r="FE669" s="333"/>
    </row>
    <row r="670" spans="86:161" x14ac:dyDescent="0.25">
      <c r="CH670" s="350"/>
      <c r="CI670" s="474">
        <f>IF($AJ$44,COUNTIF($BO$186:$BO$195,CK670)*IF(CK670=0,0,1),COUNTIF($BM$186:$BM$195,CJ670)*IF(CJ670=0,0,1))+CL670/1000</f>
        <v>1E-3</v>
      </c>
      <c r="CJ670" s="352">
        <f>LARGE($BM$186:$BM$195,CL670)</f>
        <v>0</v>
      </c>
      <c r="CK670" s="353">
        <f>LARGE($BO$186:$BO$195,CL670)</f>
        <v>0</v>
      </c>
      <c r="CL670" s="354">
        <v>1</v>
      </c>
      <c r="CM670" s="350"/>
      <c r="CN670" s="475">
        <f>IF(LARGE(CI670:CI679,CL670)&lt;2,0,LARGE(CI670:CI679,CL670))</f>
        <v>0</v>
      </c>
      <c r="CO670" s="356" t="str">
        <f>IF(OR(CO$669=$BM186,CO$669=$BO186),$BC186,"")</f>
        <v/>
      </c>
      <c r="CP670" s="357" t="str">
        <f>IF(CO670="","",$CL670)</f>
        <v/>
      </c>
      <c r="CQ670" s="476" t="str">
        <f>IF(ISERR(LARGE(CP670:CP679,$CL670)),"",LARGE(CP670:CP679,$CL670))</f>
        <v/>
      </c>
      <c r="CR670" s="356" t="str">
        <f>IF(OR(CR$669=$BM186,CR$669=$BO186),$BC186,"")</f>
        <v/>
      </c>
      <c r="CS670" s="357" t="str">
        <f>IF(CR670="","",$CL670)</f>
        <v/>
      </c>
      <c r="CT670" s="476" t="str">
        <f>IF(ISERR(LARGE(CS670:CS679,$CL670)),"",LARGE(CS670:CS679,$CL670))</f>
        <v/>
      </c>
      <c r="CU670" s="356" t="str">
        <f>IF(OR(CU$669=$BM186,CU$669=$BO186),$BC186,"")</f>
        <v/>
      </c>
      <c r="CV670" s="357" t="str">
        <f>IF(CU670="","",$CL670)</f>
        <v/>
      </c>
      <c r="CW670" s="476" t="str">
        <f>IF(ISERR(LARGE(CV670:CV679,$CL670)),"",LARGE(CV670:CV679,$CL670))</f>
        <v/>
      </c>
      <c r="DG670" s="350"/>
      <c r="DH670" s="300"/>
      <c r="DI670" s="395" t="str">
        <f t="shared" ca="1" si="1036"/>
        <v/>
      </c>
      <c r="DJ670" s="478" t="str">
        <f t="shared" ca="1" si="1030"/>
        <v/>
      </c>
      <c r="DK670" s="360" t="str">
        <f t="shared" ca="1" si="1031"/>
        <v/>
      </c>
      <c r="DL670" s="354" t="str">
        <f t="shared" ca="1" si="1032"/>
        <v/>
      </c>
      <c r="DM670" s="354" t="str">
        <f t="shared" ca="1" si="1033"/>
        <v/>
      </c>
      <c r="DN670" s="361" t="str">
        <f t="shared" ca="1" si="1034"/>
        <v/>
      </c>
      <c r="DO670" s="362" t="str">
        <f t="shared" ca="1" si="1035"/>
        <v/>
      </c>
      <c r="DP670" s="379" t="str">
        <f t="shared" ca="1" si="1037"/>
        <v/>
      </c>
      <c r="DQ670" s="302"/>
      <c r="DR670" s="364"/>
      <c r="DS670" s="302"/>
      <c r="DU670" s="424"/>
      <c r="EL670" s="424"/>
      <c r="EM670" s="424"/>
      <c r="EN670" s="424"/>
      <c r="EO670" s="424"/>
      <c r="EP670" s="424"/>
      <c r="EQ670" s="424"/>
      <c r="ER670" s="404" t="str">
        <f ca="1">ER664</f>
        <v/>
      </c>
      <c r="ES670" s="371" t="str">
        <f ca="1">IF(OR(ER670="",EY670="",ER670=EY670),"",CONCATENATE(ER670,EY670))</f>
        <v/>
      </c>
      <c r="ET670" s="422" t="str">
        <f ca="1">IF(OR(ES670="",EY655&gt;2),"",CONCATENATE(VLOOKUP(ES670,games.a,9,FALSE),VLOOKUP(ES670,games.a,12,FALSE)))</f>
        <v/>
      </c>
      <c r="EU670" s="413"/>
      <c r="EV670" s="414"/>
      <c r="EW670" s="423" t="str">
        <f ca="1">IF(ES670="","",VLOOKUP(ES670,games.a,6,FALSE))</f>
        <v/>
      </c>
      <c r="EX670" s="409" t="str">
        <f ca="1">IF(ES670="","",VLOOKUP(ES670,games.a,7,FALSE))</f>
        <v/>
      </c>
      <c r="EY670" s="415" t="str">
        <f ca="1">EY669</f>
        <v/>
      </c>
      <c r="EZ670" s="416"/>
      <c r="FA670" s="417"/>
      <c r="FB670" s="424"/>
      <c r="FC670" s="424"/>
      <c r="FD670" s="425"/>
      <c r="FE670" s="333"/>
    </row>
    <row r="671" spans="86:161" x14ac:dyDescent="0.25">
      <c r="CH671" s="350"/>
      <c r="CI671" s="353">
        <f>IF($AJ$44,COUNTIF($BO$186:$BO$195,CK671)*IF(OR(CK671=CK670,CK671=0),0,1),COUNTIF($BM$186:$BM$195,CJ671)*IF(OR(CJ671=CJ670,CJ671=0),0,1))+CL671/1000</f>
        <v>2E-3</v>
      </c>
      <c r="CJ671" s="352">
        <f t="shared" ref="CJ671:CJ679" si="1038">LARGE($BM$186:$BM$195,CL671)</f>
        <v>0</v>
      </c>
      <c r="CK671" s="353">
        <f t="shared" ref="CK671:CK679" si="1039">LARGE($BO$186:$BO$195,CL671)</f>
        <v>0</v>
      </c>
      <c r="CL671" s="354">
        <v>2</v>
      </c>
      <c r="CM671" s="350"/>
      <c r="CN671" s="475">
        <f>IF(LARGE(CI670:CI679,CL671)&lt;2,0,LARGE(CI670:CI679,CL671))</f>
        <v>0</v>
      </c>
      <c r="CO671" s="356" t="str">
        <f t="shared" ref="CO671:CO679" si="1040">IF(OR(CO$669=$BM187,CO$669=$BO187),$BC187,"")</f>
        <v/>
      </c>
      <c r="CP671" s="357" t="str">
        <f t="shared" ref="CP671:CP679" si="1041">IF(CO671="","",$CL671)</f>
        <v/>
      </c>
      <c r="CQ671" s="476" t="str">
        <f>IF(ISERR(LARGE(CP670:CP679,$CL671)),"",LARGE(CP670:CP679,$CL671))</f>
        <v/>
      </c>
      <c r="CR671" s="356" t="str">
        <f t="shared" ref="CR671:CR679" si="1042">IF(OR(CR$669=$BM187,CR$669=$BO187),$BC187,"")</f>
        <v/>
      </c>
      <c r="CS671" s="357" t="str">
        <f t="shared" ref="CS671:CS679" si="1043">IF(CR671="","",$CL671)</f>
        <v/>
      </c>
      <c r="CT671" s="476" t="str">
        <f>IF(ISERR(LARGE(CS670:CS679,$CL671)),"",LARGE(CS670:CS679,$CL671))</f>
        <v/>
      </c>
      <c r="CU671" s="356" t="str">
        <f t="shared" ref="CU671:CU679" si="1044">IF(OR(CU$669=$BM187,CU$669=$BO187),$BC187,"")</f>
        <v/>
      </c>
      <c r="CV671" s="357" t="str">
        <f t="shared" ref="CV671:CV679" si="1045">IF(CU671="","",$CL671)</f>
        <v/>
      </c>
      <c r="CW671" s="476" t="str">
        <f>IF(ISERR(LARGE(CV670:CV679,$CL671)),"",LARGE(CV670:CV679,$CL671))</f>
        <v/>
      </c>
      <c r="DG671" s="350"/>
      <c r="DH671" s="300"/>
      <c r="DI671" s="395" t="str">
        <f t="shared" ca="1" si="1036"/>
        <v/>
      </c>
      <c r="DJ671" s="478" t="str">
        <f t="shared" ca="1" si="1030"/>
        <v/>
      </c>
      <c r="DK671" s="360" t="str">
        <f t="shared" ca="1" si="1031"/>
        <v/>
      </c>
      <c r="DL671" s="354" t="str">
        <f t="shared" ca="1" si="1032"/>
        <v/>
      </c>
      <c r="DM671" s="354" t="str">
        <f t="shared" ca="1" si="1033"/>
        <v/>
      </c>
      <c r="DN671" s="361" t="str">
        <f t="shared" ca="1" si="1034"/>
        <v/>
      </c>
      <c r="DO671" s="362" t="str">
        <f t="shared" ca="1" si="1035"/>
        <v/>
      </c>
      <c r="DP671" s="379" t="str">
        <f t="shared" ca="1" si="1037"/>
        <v/>
      </c>
      <c r="DQ671" s="302"/>
      <c r="DR671" s="364"/>
      <c r="DS671" s="302"/>
      <c r="DU671" s="424"/>
      <c r="EL671" s="424"/>
      <c r="EM671" s="424"/>
      <c r="EN671" s="424"/>
      <c r="EO671" s="424"/>
      <c r="EP671" s="424"/>
      <c r="EQ671" s="424"/>
      <c r="ER671" s="404" t="str">
        <f ca="1">ER665</f>
        <v/>
      </c>
      <c r="ES671" s="371" t="str">
        <f ca="1">IF(OR(ER671="",EY671="",ER671=EY671),"",CONCATENATE(ER671,EY671))</f>
        <v/>
      </c>
      <c r="ET671" s="422" t="str">
        <f ca="1">IF(OR(ES671="",EY655&gt;2),"",CONCATENATE(VLOOKUP(ES671,games.a,9,FALSE),VLOOKUP(ES671,games.a,12,FALSE)))</f>
        <v/>
      </c>
      <c r="EU671" s="413"/>
      <c r="EV671" s="414"/>
      <c r="EW671" s="423" t="str">
        <f ca="1">IF(ES671="","",VLOOKUP(ES671,games.a,6,FALSE))</f>
        <v/>
      </c>
      <c r="EX671" s="409" t="str">
        <f ca="1">IF(ES671="","",VLOOKUP(ES671,games.a,7,FALSE))</f>
        <v/>
      </c>
      <c r="EY671" s="415" t="str">
        <f ca="1">EY670</f>
        <v/>
      </c>
      <c r="EZ671" s="416"/>
      <c r="FA671" s="417"/>
      <c r="FB671" s="424"/>
      <c r="FC671" s="424"/>
      <c r="FD671" s="425"/>
      <c r="FE671" s="333"/>
    </row>
    <row r="672" spans="86:161" x14ac:dyDescent="0.25">
      <c r="CH672" s="350"/>
      <c r="CI672" s="353">
        <f t="shared" ref="CI672:CI679" si="1046">IF($AJ$44,COUNTIF($BO$186:$BO$195,CK672)*IF(OR(CK672=CK671,CK672=0),0,1),COUNTIF($BM$186:$BM$195,CJ672)*IF(OR(CJ672=CJ671,CJ672=0),0,1))+CL672/1000</f>
        <v>3.0000000000000001E-3</v>
      </c>
      <c r="CJ672" s="352">
        <f t="shared" si="1038"/>
        <v>0</v>
      </c>
      <c r="CK672" s="353">
        <f t="shared" si="1039"/>
        <v>0</v>
      </c>
      <c r="CL672" s="354">
        <v>3</v>
      </c>
      <c r="CM672" s="350"/>
      <c r="CN672" s="475">
        <f>IF(LARGE(CI670:CI679,CL672)&lt;2,0,LARGE(CI670:CI679,CL672))</f>
        <v>0</v>
      </c>
      <c r="CO672" s="356" t="str">
        <f t="shared" si="1040"/>
        <v/>
      </c>
      <c r="CP672" s="357" t="str">
        <f t="shared" si="1041"/>
        <v/>
      </c>
      <c r="CQ672" s="476" t="str">
        <f>IF(ISERR(LARGE(CP670:CP679,$CL672)),"",LARGE(CP670:CP679,$CL672))</f>
        <v/>
      </c>
      <c r="CR672" s="356" t="str">
        <f t="shared" si="1042"/>
        <v/>
      </c>
      <c r="CS672" s="357" t="str">
        <f t="shared" si="1043"/>
        <v/>
      </c>
      <c r="CT672" s="476" t="str">
        <f>IF(ISERR(LARGE(CS670:CS679,$CL672)),"",LARGE(CS670:CS679,$CL672))</f>
        <v/>
      </c>
      <c r="CU672" s="356" t="str">
        <f t="shared" si="1044"/>
        <v/>
      </c>
      <c r="CV672" s="357" t="str">
        <f t="shared" si="1045"/>
        <v/>
      </c>
      <c r="CW672" s="385"/>
      <c r="DG672" s="350"/>
      <c r="DH672" s="300"/>
      <c r="DI672" s="395" t="str">
        <f t="shared" ca="1" si="1036"/>
        <v/>
      </c>
      <c r="DJ672" s="478" t="str">
        <f t="shared" ca="1" si="1030"/>
        <v/>
      </c>
      <c r="DK672" s="360" t="str">
        <f t="shared" ca="1" si="1031"/>
        <v/>
      </c>
      <c r="DL672" s="354" t="str">
        <f t="shared" ca="1" si="1032"/>
        <v/>
      </c>
      <c r="DM672" s="354" t="str">
        <f t="shared" ca="1" si="1033"/>
        <v/>
      </c>
      <c r="DN672" s="361" t="str">
        <f t="shared" ca="1" si="1034"/>
        <v/>
      </c>
      <c r="DO672" s="362" t="str">
        <f t="shared" ca="1" si="1035"/>
        <v/>
      </c>
      <c r="DP672" s="379" t="str">
        <f t="shared" ca="1" si="1037"/>
        <v/>
      </c>
      <c r="DQ672" s="302"/>
      <c r="DR672" s="364"/>
      <c r="DS672" s="302"/>
      <c r="DU672" s="424"/>
      <c r="EL672" s="424"/>
      <c r="EM672" s="424"/>
      <c r="EN672" s="424"/>
      <c r="EO672" s="424"/>
      <c r="EP672" s="424"/>
      <c r="EQ672" s="424"/>
      <c r="ER672" s="404" t="str">
        <f ca="1">ER666</f>
        <v/>
      </c>
      <c r="ES672" s="371" t="str">
        <f ca="1">IF(OR(ER672="",EY672="",ER672=EY672),"",CONCATENATE(ER672,EY672))</f>
        <v/>
      </c>
      <c r="ET672" s="422" t="str">
        <f ca="1">IF(OR(ES672="",EY655&gt;2),"",CONCATENATE(VLOOKUP(ES672,games.a,9,FALSE),VLOOKUP(ES672,games.a,12,FALSE)))</f>
        <v/>
      </c>
      <c r="EU672" s="420"/>
      <c r="EV672" s="421"/>
      <c r="EW672" s="423" t="str">
        <f ca="1">IF(ES672="","",VLOOKUP(ES672,games.a,6,FALSE))</f>
        <v/>
      </c>
      <c r="EX672" s="409" t="str">
        <f ca="1">IF(ES672="","",VLOOKUP(ES672,games.a,7,FALSE))</f>
        <v/>
      </c>
      <c r="EY672" s="415" t="str">
        <f ca="1">EY671</f>
        <v/>
      </c>
      <c r="EZ672" s="416"/>
      <c r="FA672" s="417"/>
      <c r="FB672" s="424"/>
      <c r="FC672" s="424"/>
      <c r="FD672" s="425"/>
      <c r="FE672" s="333"/>
    </row>
    <row r="673" spans="86:161" x14ac:dyDescent="0.25">
      <c r="CH673" s="350"/>
      <c r="CI673" s="353">
        <f t="shared" si="1046"/>
        <v>4.0000000000000001E-3</v>
      </c>
      <c r="CJ673" s="352">
        <f t="shared" si="1038"/>
        <v>0</v>
      </c>
      <c r="CK673" s="353">
        <f t="shared" si="1039"/>
        <v>0</v>
      </c>
      <c r="CL673" s="354">
        <v>4</v>
      </c>
      <c r="CM673" s="350"/>
      <c r="CN673" s="300"/>
      <c r="CO673" s="356" t="str">
        <f t="shared" si="1040"/>
        <v/>
      </c>
      <c r="CP673" s="357" t="str">
        <f t="shared" si="1041"/>
        <v/>
      </c>
      <c r="CQ673" s="476" t="str">
        <f>IF(ISERR(LARGE(CP670:CP679,$CL673)),"",LARGE(CP670:CP679,$CL673))</f>
        <v/>
      </c>
      <c r="CR673" s="356" t="str">
        <f t="shared" si="1042"/>
        <v/>
      </c>
      <c r="CS673" s="357" t="str">
        <f t="shared" si="1043"/>
        <v/>
      </c>
      <c r="CT673" s="385"/>
      <c r="CU673" s="356" t="str">
        <f t="shared" si="1044"/>
        <v/>
      </c>
      <c r="CV673" s="357" t="str">
        <f t="shared" si="1045"/>
        <v/>
      </c>
      <c r="CW673" s="385"/>
      <c r="DG673" s="350"/>
      <c r="DH673" s="300"/>
      <c r="DI673" s="395" t="str">
        <f t="shared" ca="1" si="1036"/>
        <v/>
      </c>
      <c r="DJ673" s="478" t="str">
        <f t="shared" ca="1" si="1030"/>
        <v/>
      </c>
      <c r="DK673" s="360" t="str">
        <f t="shared" ca="1" si="1031"/>
        <v/>
      </c>
      <c r="DL673" s="354" t="str">
        <f t="shared" ca="1" si="1032"/>
        <v/>
      </c>
      <c r="DM673" s="354" t="str">
        <f t="shared" ca="1" si="1033"/>
        <v/>
      </c>
      <c r="DN673" s="361" t="str">
        <f t="shared" ca="1" si="1034"/>
        <v/>
      </c>
      <c r="DO673" s="362" t="str">
        <f t="shared" ca="1" si="1035"/>
        <v/>
      </c>
      <c r="DP673" s="379" t="str">
        <f t="shared" ca="1" si="1037"/>
        <v/>
      </c>
      <c r="DQ673" s="302"/>
      <c r="DR673" s="364"/>
      <c r="DS673" s="302"/>
      <c r="DU673" s="424"/>
      <c r="EL673" s="424"/>
      <c r="EM673" s="424"/>
      <c r="EN673" s="424"/>
      <c r="EO673" s="424"/>
      <c r="EP673" s="424"/>
      <c r="EQ673" s="424"/>
      <c r="ER673" s="398"/>
      <c r="ES673" s="329" t="s">
        <v>157</v>
      </c>
      <c r="ET673" s="329" t="s">
        <v>158</v>
      </c>
      <c r="EU673" s="399"/>
      <c r="EV673" s="400"/>
      <c r="EW673" s="401" t="s">
        <v>160</v>
      </c>
      <c r="EX673" s="402" t="s">
        <v>135</v>
      </c>
      <c r="EY673" s="398"/>
      <c r="EZ673" s="365"/>
      <c r="FA673" s="365"/>
      <c r="FB673" s="424"/>
      <c r="FC673" s="424"/>
      <c r="FD673" s="425"/>
      <c r="FE673" s="333"/>
    </row>
    <row r="674" spans="86:161" x14ac:dyDescent="0.25">
      <c r="CH674" s="350"/>
      <c r="CI674" s="353">
        <f t="shared" si="1046"/>
        <v>5.0000000000000001E-3</v>
      </c>
      <c r="CJ674" s="352">
        <f t="shared" si="1038"/>
        <v>0</v>
      </c>
      <c r="CK674" s="353">
        <f t="shared" si="1039"/>
        <v>0</v>
      </c>
      <c r="CL674" s="354">
        <v>5</v>
      </c>
      <c r="CM674" s="350"/>
      <c r="CN674" s="300"/>
      <c r="CO674" s="356" t="str">
        <f t="shared" si="1040"/>
        <v/>
      </c>
      <c r="CP674" s="357" t="str">
        <f t="shared" si="1041"/>
        <v/>
      </c>
      <c r="CQ674" s="476" t="str">
        <f>IF(ISERR(LARGE(CP670:CP679,$CL674)),"",LARGE(CP670:CP679,$CL674))</f>
        <v/>
      </c>
      <c r="CR674" s="356" t="str">
        <f t="shared" si="1042"/>
        <v/>
      </c>
      <c r="CS674" s="357" t="str">
        <f t="shared" si="1043"/>
        <v/>
      </c>
      <c r="CT674" s="385"/>
      <c r="CU674" s="356" t="str">
        <f t="shared" si="1044"/>
        <v/>
      </c>
      <c r="CV674" s="357" t="str">
        <f t="shared" si="1045"/>
        <v/>
      </c>
      <c r="CW674" s="385"/>
      <c r="DG674" s="350"/>
      <c r="DH674" s="300"/>
      <c r="DI674" s="395" t="str">
        <f t="shared" ca="1" si="1036"/>
        <v/>
      </c>
      <c r="DJ674" s="478" t="str">
        <f t="shared" ca="1" si="1030"/>
        <v/>
      </c>
      <c r="DK674" s="360" t="str">
        <f t="shared" ca="1" si="1031"/>
        <v/>
      </c>
      <c r="DL674" s="354" t="str">
        <f t="shared" ca="1" si="1032"/>
        <v/>
      </c>
      <c r="DM674" s="354" t="str">
        <f t="shared" ca="1" si="1033"/>
        <v/>
      </c>
      <c r="DN674" s="361" t="str">
        <f t="shared" ca="1" si="1034"/>
        <v/>
      </c>
      <c r="DO674" s="362" t="str">
        <f t="shared" ca="1" si="1035"/>
        <v/>
      </c>
      <c r="DP674" s="379" t="str">
        <f t="shared" ca="1" si="1037"/>
        <v/>
      </c>
      <c r="DQ674" s="302"/>
      <c r="DR674" s="364"/>
      <c r="DS674" s="302"/>
      <c r="DU674" s="424"/>
      <c r="EL674" s="424"/>
      <c r="EM674" s="424"/>
      <c r="EN674" s="424"/>
      <c r="EO674" s="424"/>
      <c r="EP674" s="424"/>
      <c r="EQ674" s="424"/>
      <c r="ER674" s="404" t="str">
        <f ca="1">ER668</f>
        <v/>
      </c>
      <c r="ES674" s="371" t="str">
        <f ca="1">IF(OR(ER674="",EY674="",ER674=EY674),"",CONCATENATE(ER674,EY674))</f>
        <v/>
      </c>
      <c r="ET674" s="422" t="str">
        <f ca="1">IF(OR(ES674="",EY655&gt;2),"",CONCATENATE(VLOOKUP(ES674,games.a,9,FALSE),VLOOKUP(ES674,games.a,12,FALSE)))</f>
        <v/>
      </c>
      <c r="EU674" s="406"/>
      <c r="EV674" s="407"/>
      <c r="EW674" s="423" t="str">
        <f ca="1">IF(ES674="","",VLOOKUP(ES674,games.a,6,FALSE))</f>
        <v/>
      </c>
      <c r="EX674" s="409" t="str">
        <f ca="1">IF(ES674="","",VLOOKUP(ES674,games.a,7,FALSE))</f>
        <v/>
      </c>
      <c r="EY674" s="410" t="str">
        <f ca="1">ER659</f>
        <v/>
      </c>
      <c r="EZ674" s="411"/>
      <c r="FA674" s="412"/>
      <c r="FB674" s="424"/>
      <c r="FC674" s="424"/>
      <c r="FD674" s="425"/>
      <c r="FE674" s="333"/>
    </row>
    <row r="675" spans="86:161" x14ac:dyDescent="0.25">
      <c r="CH675" s="350"/>
      <c r="CI675" s="353">
        <f t="shared" si="1046"/>
        <v>6.0000000000000001E-3</v>
      </c>
      <c r="CJ675" s="352">
        <f t="shared" si="1038"/>
        <v>0</v>
      </c>
      <c r="CK675" s="353">
        <f t="shared" si="1039"/>
        <v>0</v>
      </c>
      <c r="CL675" s="354">
        <v>6</v>
      </c>
      <c r="CM675" s="350"/>
      <c r="CN675" s="300"/>
      <c r="CO675" s="356" t="str">
        <f t="shared" si="1040"/>
        <v/>
      </c>
      <c r="CP675" s="357" t="str">
        <f t="shared" si="1041"/>
        <v/>
      </c>
      <c r="CQ675" s="385"/>
      <c r="CR675" s="356" t="str">
        <f t="shared" si="1042"/>
        <v/>
      </c>
      <c r="CS675" s="357" t="str">
        <f t="shared" si="1043"/>
        <v/>
      </c>
      <c r="CT675" s="385"/>
      <c r="CU675" s="356" t="str">
        <f t="shared" si="1044"/>
        <v/>
      </c>
      <c r="CV675" s="357" t="str">
        <f t="shared" si="1045"/>
        <v/>
      </c>
      <c r="CW675" s="385"/>
      <c r="DG675" s="350"/>
      <c r="DH675" s="300"/>
      <c r="DI675" s="395" t="str">
        <f t="shared" ca="1" si="1036"/>
        <v/>
      </c>
      <c r="DJ675" s="478" t="str">
        <f t="shared" ca="1" si="1030"/>
        <v/>
      </c>
      <c r="DK675" s="360" t="str">
        <f t="shared" ca="1" si="1031"/>
        <v/>
      </c>
      <c r="DL675" s="354" t="str">
        <f t="shared" ca="1" si="1032"/>
        <v/>
      </c>
      <c r="DM675" s="354" t="str">
        <f t="shared" ca="1" si="1033"/>
        <v/>
      </c>
      <c r="DN675" s="361" t="str">
        <f t="shared" ca="1" si="1034"/>
        <v/>
      </c>
      <c r="DO675" s="362" t="str">
        <f t="shared" ca="1" si="1035"/>
        <v/>
      </c>
      <c r="DP675" s="379" t="str">
        <f t="shared" ca="1" si="1037"/>
        <v/>
      </c>
      <c r="DQ675" s="302"/>
      <c r="DR675" s="364"/>
      <c r="DS675" s="302"/>
      <c r="DU675" s="424"/>
      <c r="EL675" s="424"/>
      <c r="EM675" s="424"/>
      <c r="EN675" s="424"/>
      <c r="EO675" s="424"/>
      <c r="EP675" s="424"/>
      <c r="EQ675" s="424"/>
      <c r="ER675" s="404" t="str">
        <f ca="1">ER669</f>
        <v/>
      </c>
      <c r="ES675" s="371" t="str">
        <f ca="1">IF(OR(ER675="",EY675="",ER675=EY675),"",CONCATENATE(ER675,EY675))</f>
        <v/>
      </c>
      <c r="ET675" s="422" t="str">
        <f ca="1">IF(OR(ES675="",EY655&gt;2),"",CONCATENATE(VLOOKUP(ES675,games.a,9,FALSE),VLOOKUP(ES675,games.a,12,FALSE)))</f>
        <v/>
      </c>
      <c r="EU675" s="413"/>
      <c r="EV675" s="414"/>
      <c r="EW675" s="423" t="str">
        <f ca="1">IF(ES675="","",VLOOKUP(ES675,games.a,6,FALSE))</f>
        <v/>
      </c>
      <c r="EX675" s="409" t="str">
        <f ca="1">IF(ES675="","",VLOOKUP(ES675,games.a,7,FALSE))</f>
        <v/>
      </c>
      <c r="EY675" s="415" t="str">
        <f ca="1">EY674</f>
        <v/>
      </c>
      <c r="EZ675" s="416"/>
      <c r="FA675" s="417"/>
      <c r="FB675" s="424"/>
      <c r="FC675" s="424"/>
      <c r="FD675" s="425"/>
      <c r="FE675" s="333"/>
    </row>
    <row r="676" spans="86:161" x14ac:dyDescent="0.25">
      <c r="CH676" s="350"/>
      <c r="CI676" s="353">
        <f t="shared" si="1046"/>
        <v>7.0000000000000001E-3</v>
      </c>
      <c r="CJ676" s="352">
        <f t="shared" si="1038"/>
        <v>0</v>
      </c>
      <c r="CK676" s="353">
        <f t="shared" si="1039"/>
        <v>0</v>
      </c>
      <c r="CL676" s="354">
        <v>7</v>
      </c>
      <c r="CM676" s="350"/>
      <c r="CN676" s="300"/>
      <c r="CO676" s="356" t="str">
        <f t="shared" si="1040"/>
        <v/>
      </c>
      <c r="CP676" s="357" t="str">
        <f t="shared" si="1041"/>
        <v/>
      </c>
      <c r="CQ676" s="385"/>
      <c r="CR676" s="356" t="str">
        <f t="shared" si="1042"/>
        <v/>
      </c>
      <c r="CS676" s="357" t="str">
        <f t="shared" si="1043"/>
        <v/>
      </c>
      <c r="CT676" s="385"/>
      <c r="CU676" s="356" t="str">
        <f t="shared" si="1044"/>
        <v/>
      </c>
      <c r="CV676" s="357" t="str">
        <f t="shared" si="1045"/>
        <v/>
      </c>
      <c r="CW676" s="385"/>
      <c r="DG676" s="350"/>
      <c r="DH676" s="300"/>
      <c r="DI676" s="301"/>
      <c r="DJ676" s="471" t="s">
        <v>157</v>
      </c>
      <c r="DK676" s="471" t="s">
        <v>158</v>
      </c>
      <c r="DL676" s="472" t="s">
        <v>159</v>
      </c>
      <c r="DM676" s="472"/>
      <c r="DN676" s="473" t="s">
        <v>160</v>
      </c>
      <c r="DO676" s="472" t="s">
        <v>135</v>
      </c>
      <c r="DP676" s="302"/>
      <c r="DQ676" s="302"/>
      <c r="DR676" s="364"/>
      <c r="DS676" s="302"/>
      <c r="DU676" s="424"/>
      <c r="EL676" s="424"/>
      <c r="EM676" s="424"/>
      <c r="EN676" s="424"/>
      <c r="EO676" s="424"/>
      <c r="EP676" s="424"/>
      <c r="EQ676" s="424"/>
      <c r="ER676" s="404" t="str">
        <f ca="1">ER670</f>
        <v/>
      </c>
      <c r="ES676" s="371" t="str">
        <f ca="1">IF(OR(ER676="",EY676="",ER676=EY676),"",CONCATENATE(ER676,EY676))</f>
        <v/>
      </c>
      <c r="ET676" s="422" t="str">
        <f ca="1">IF(OR(ES676="",EY655&gt;2),"",CONCATENATE(VLOOKUP(ES676,games.a,9,FALSE),VLOOKUP(ES676,games.a,12,FALSE)))</f>
        <v/>
      </c>
      <c r="EU676" s="413"/>
      <c r="EV676" s="414"/>
      <c r="EW676" s="423" t="str">
        <f ca="1">IF(ES676="","",VLOOKUP(ES676,games.a,6,FALSE))</f>
        <v/>
      </c>
      <c r="EX676" s="409" t="str">
        <f ca="1">IF(ES676="","",VLOOKUP(ES676,games.a,7,FALSE))</f>
        <v/>
      </c>
      <c r="EY676" s="415" t="str">
        <f ca="1">EY675</f>
        <v/>
      </c>
      <c r="EZ676" s="416"/>
      <c r="FA676" s="417"/>
      <c r="FB676" s="424"/>
      <c r="FC676" s="424"/>
      <c r="FD676" s="425"/>
      <c r="FE676" s="333"/>
    </row>
    <row r="677" spans="86:161" x14ac:dyDescent="0.25">
      <c r="CH677" s="350"/>
      <c r="CI677" s="353">
        <f t="shared" si="1046"/>
        <v>8.0000000000000002E-3</v>
      </c>
      <c r="CJ677" s="352">
        <f t="shared" si="1038"/>
        <v>0</v>
      </c>
      <c r="CK677" s="353">
        <f t="shared" si="1039"/>
        <v>0</v>
      </c>
      <c r="CL677" s="354">
        <v>8</v>
      </c>
      <c r="CM677" s="350"/>
      <c r="CN677" s="300"/>
      <c r="CO677" s="356" t="str">
        <f t="shared" si="1040"/>
        <v/>
      </c>
      <c r="CP677" s="357" t="str">
        <f t="shared" si="1041"/>
        <v/>
      </c>
      <c r="CQ677" s="385"/>
      <c r="CR677" s="356" t="str">
        <f t="shared" si="1042"/>
        <v/>
      </c>
      <c r="CS677" s="357" t="str">
        <f t="shared" si="1043"/>
        <v/>
      </c>
      <c r="CT677" s="385"/>
      <c r="CU677" s="356" t="str">
        <f t="shared" si="1044"/>
        <v/>
      </c>
      <c r="CV677" s="357" t="str">
        <f t="shared" si="1045"/>
        <v/>
      </c>
      <c r="CW677" s="385"/>
      <c r="DG677" s="350"/>
      <c r="DH677" s="300"/>
      <c r="DI677" s="395" t="str">
        <f ca="1">DI666</f>
        <v>Hercules-Ludovika</v>
      </c>
      <c r="DJ677" s="478" t="str">
        <f t="shared" ref="DJ677:DJ686" ca="1" si="1047">IF(OR(DI677="",DP677="",DI677=DP677,COUNTIF(games.an,DI677&amp;DP677)=0),"",CONCATENATE(DI677,DP677))</f>
        <v/>
      </c>
      <c r="DK677" s="360" t="str">
        <f t="shared" ref="DK677:DK686" ca="1" si="1048">IF($DJ677="","",CONCATENATE(VLOOKUP($DJ677,games.a,9,FALSE),VLOOKUP($DJ677,games.a,12,FALSE)))</f>
        <v/>
      </c>
      <c r="DL677" s="354" t="str">
        <f t="shared" ref="DL677:DL686" ca="1" si="1049">IF($DJ677="","",VLOOKUP($DJ677,games.a,10,FALSE))</f>
        <v/>
      </c>
      <c r="DM677" s="354" t="str">
        <f t="shared" ref="DM677:DM686" ca="1" si="1050">IF($DJ677="","",VLOOKUP($DJ677,games.a,13,FALSE))</f>
        <v/>
      </c>
      <c r="DN677" s="361" t="str">
        <f t="shared" ref="DN677:DN686" ca="1" si="1051">IF($DJ677="","",VLOOKUP($DJ677,games.a,6,FALSE))</f>
        <v/>
      </c>
      <c r="DO677" s="362" t="str">
        <f t="shared" ref="DO677:DO686" ca="1" si="1052">IF($DJ677="","",VLOOKUP($DJ677,games.a,7,FALSE))</f>
        <v/>
      </c>
      <c r="DP677" s="479" t="str">
        <f ca="1">DI647</f>
        <v/>
      </c>
      <c r="DQ677" s="302"/>
      <c r="DR677" s="364"/>
      <c r="DS677" s="302"/>
      <c r="DU677" s="424"/>
      <c r="DV677" s="424"/>
      <c r="DW677" s="424"/>
      <c r="DX677" s="424"/>
      <c r="DY677" s="424"/>
      <c r="DZ677" s="424"/>
      <c r="EA677" s="424"/>
      <c r="EB677" s="424"/>
      <c r="EC677" s="424"/>
      <c r="ED677" s="424"/>
      <c r="EE677" s="424"/>
      <c r="EF677" s="424"/>
      <c r="EG677" s="424"/>
      <c r="EH677" s="424"/>
      <c r="EI677" s="424"/>
      <c r="EJ677" s="424"/>
      <c r="EK677" s="424"/>
      <c r="EL677" s="424"/>
      <c r="EM677" s="424"/>
      <c r="EN677" s="424"/>
      <c r="EO677" s="424"/>
      <c r="EP677" s="424"/>
      <c r="EQ677" s="424"/>
      <c r="ER677" s="404" t="str">
        <f ca="1">ER671</f>
        <v/>
      </c>
      <c r="ES677" s="371" t="str">
        <f ca="1">IF(OR(ER677="",EY677="",ER677=EY677),"",CONCATENATE(ER677,EY677))</f>
        <v/>
      </c>
      <c r="ET677" s="422" t="str">
        <f ca="1">IF(OR(ES677="",EY655&gt;2),"",CONCATENATE(VLOOKUP(ES677,games.a,9,FALSE),VLOOKUP(ES677,games.a,12,FALSE)))</f>
        <v/>
      </c>
      <c r="EU677" s="413"/>
      <c r="EV677" s="414"/>
      <c r="EW677" s="423" t="str">
        <f ca="1">IF(ES677="","",VLOOKUP(ES677,games.a,6,FALSE))</f>
        <v/>
      </c>
      <c r="EX677" s="409" t="str">
        <f ca="1">IF(ES677="","",VLOOKUP(ES677,games.a,7,FALSE))</f>
        <v/>
      </c>
      <c r="EY677" s="415" t="str">
        <f ca="1">EY676</f>
        <v/>
      </c>
      <c r="EZ677" s="416"/>
      <c r="FA677" s="417"/>
      <c r="FB677" s="424"/>
      <c r="FC677" s="424"/>
      <c r="FD677" s="425"/>
      <c r="FE677" s="333"/>
    </row>
    <row r="678" spans="86:161" x14ac:dyDescent="0.25">
      <c r="CH678" s="350"/>
      <c r="CI678" s="353">
        <f t="shared" si="1046"/>
        <v>8.9999999999999993E-3</v>
      </c>
      <c r="CJ678" s="352">
        <f t="shared" si="1038"/>
        <v>0</v>
      </c>
      <c r="CK678" s="353">
        <f t="shared" si="1039"/>
        <v>0</v>
      </c>
      <c r="CL678" s="354">
        <v>9</v>
      </c>
      <c r="CM678" s="350"/>
      <c r="CN678" s="300"/>
      <c r="CO678" s="356" t="str">
        <f t="shared" si="1040"/>
        <v/>
      </c>
      <c r="CP678" s="357" t="str">
        <f t="shared" si="1041"/>
        <v/>
      </c>
      <c r="CQ678" s="385"/>
      <c r="CR678" s="356" t="str">
        <f t="shared" si="1042"/>
        <v/>
      </c>
      <c r="CS678" s="357" t="str">
        <f t="shared" si="1043"/>
        <v/>
      </c>
      <c r="CT678" s="385"/>
      <c r="CU678" s="356" t="str">
        <f t="shared" si="1044"/>
        <v/>
      </c>
      <c r="CV678" s="357" t="str">
        <f t="shared" si="1045"/>
        <v/>
      </c>
      <c r="CW678" s="385"/>
      <c r="DG678" s="350"/>
      <c r="DH678" s="300"/>
      <c r="DI678" s="395" t="str">
        <f t="shared" ref="DI678:DI686" ca="1" si="1053">DI667</f>
        <v>Élelmesek</v>
      </c>
      <c r="DJ678" s="478" t="str">
        <f t="shared" ca="1" si="1047"/>
        <v/>
      </c>
      <c r="DK678" s="360" t="str">
        <f t="shared" ca="1" si="1048"/>
        <v/>
      </c>
      <c r="DL678" s="354" t="str">
        <f t="shared" ca="1" si="1049"/>
        <v/>
      </c>
      <c r="DM678" s="354" t="str">
        <f t="shared" ca="1" si="1050"/>
        <v/>
      </c>
      <c r="DN678" s="361" t="str">
        <f t="shared" ca="1" si="1051"/>
        <v/>
      </c>
      <c r="DO678" s="362" t="str">
        <f t="shared" ca="1" si="1052"/>
        <v/>
      </c>
      <c r="DP678" s="379" t="str">
        <f ca="1">DP677</f>
        <v/>
      </c>
      <c r="DQ678" s="302"/>
      <c r="DR678" s="364"/>
      <c r="DS678" s="302"/>
      <c r="DU678" s="424"/>
      <c r="DV678" s="424"/>
      <c r="DW678" s="424"/>
      <c r="DX678" s="424"/>
      <c r="DY678" s="424"/>
      <c r="DZ678" s="424"/>
      <c r="EA678" s="424"/>
      <c r="EB678" s="424"/>
      <c r="EC678" s="424"/>
      <c r="ED678" s="424"/>
      <c r="EE678" s="424"/>
      <c r="EF678" s="424"/>
      <c r="EG678" s="424"/>
      <c r="EH678" s="424"/>
      <c r="EI678" s="424"/>
      <c r="EJ678" s="424"/>
      <c r="EK678" s="424"/>
      <c r="EL678" s="424"/>
      <c r="EM678" s="424"/>
      <c r="EN678" s="424"/>
      <c r="EO678" s="424"/>
      <c r="EP678" s="424"/>
      <c r="EQ678" s="424"/>
      <c r="ER678" s="404" t="str">
        <f ca="1">ER672</f>
        <v/>
      </c>
      <c r="ES678" s="371" t="str">
        <f ca="1">IF(OR(ER678="",EY678="",ER678=EY678),"",CONCATENATE(ER678,EY678))</f>
        <v/>
      </c>
      <c r="ET678" s="422" t="str">
        <f ca="1">IF(OR(ES678="",EY655&gt;2),"",CONCATENATE(VLOOKUP(ES678,games.a,9,FALSE),VLOOKUP(ES678,games.a,12,FALSE)))</f>
        <v/>
      </c>
      <c r="EU678" s="420"/>
      <c r="EV678" s="421"/>
      <c r="EW678" s="423" t="str">
        <f ca="1">IF(ES678="","",VLOOKUP(ES678,games.a,6,FALSE))</f>
        <v/>
      </c>
      <c r="EX678" s="409" t="str">
        <f ca="1">IF(ES678="","",VLOOKUP(ES678,games.a,7,FALSE))</f>
        <v/>
      </c>
      <c r="EY678" s="415" t="str">
        <f ca="1">EY677</f>
        <v/>
      </c>
      <c r="EZ678" s="416"/>
      <c r="FA678" s="417"/>
      <c r="FB678" s="424"/>
      <c r="FC678" s="424"/>
      <c r="FD678" s="425"/>
      <c r="FE678" s="333"/>
    </row>
    <row r="679" spans="86:161" x14ac:dyDescent="0.25">
      <c r="CH679" s="350"/>
      <c r="CI679" s="353">
        <f t="shared" si="1046"/>
        <v>0.01</v>
      </c>
      <c r="CJ679" s="352">
        <f t="shared" si="1038"/>
        <v>0</v>
      </c>
      <c r="CK679" s="353">
        <f t="shared" si="1039"/>
        <v>0</v>
      </c>
      <c r="CL679" s="354">
        <v>10</v>
      </c>
      <c r="CM679" s="350"/>
      <c r="CN679" s="300"/>
      <c r="CO679" s="356" t="str">
        <f t="shared" si="1040"/>
        <v/>
      </c>
      <c r="CP679" s="357" t="str">
        <f t="shared" si="1041"/>
        <v/>
      </c>
      <c r="CQ679" s="357"/>
      <c r="CR679" s="356" t="str">
        <f t="shared" si="1042"/>
        <v/>
      </c>
      <c r="CS679" s="357" t="str">
        <f t="shared" si="1043"/>
        <v/>
      </c>
      <c r="CT679" s="357"/>
      <c r="CU679" s="356" t="str">
        <f t="shared" si="1044"/>
        <v/>
      </c>
      <c r="CV679" s="357" t="str">
        <f t="shared" si="1045"/>
        <v/>
      </c>
      <c r="CW679" s="357"/>
      <c r="DG679" s="350"/>
      <c r="DH679" s="300"/>
      <c r="DI679" s="395" t="str">
        <f t="shared" ca="1" si="1053"/>
        <v/>
      </c>
      <c r="DJ679" s="478" t="str">
        <f t="shared" ca="1" si="1047"/>
        <v/>
      </c>
      <c r="DK679" s="360" t="str">
        <f t="shared" ca="1" si="1048"/>
        <v/>
      </c>
      <c r="DL679" s="354" t="str">
        <f t="shared" ca="1" si="1049"/>
        <v/>
      </c>
      <c r="DM679" s="354" t="str">
        <f t="shared" ca="1" si="1050"/>
        <v/>
      </c>
      <c r="DN679" s="361" t="str">
        <f t="shared" ca="1" si="1051"/>
        <v/>
      </c>
      <c r="DO679" s="362" t="str">
        <f t="shared" ca="1" si="1052"/>
        <v/>
      </c>
      <c r="DP679" s="379" t="str">
        <f t="shared" ref="DP679:DP686" ca="1" si="1054">DP678</f>
        <v/>
      </c>
      <c r="DQ679" s="302"/>
      <c r="DR679" s="364"/>
      <c r="DS679" s="302"/>
      <c r="DU679" s="424"/>
      <c r="DV679" s="424"/>
      <c r="DW679" s="424"/>
      <c r="DX679" s="424"/>
      <c r="DY679" s="424"/>
      <c r="DZ679" s="424"/>
      <c r="EA679" s="424"/>
      <c r="EB679" s="424"/>
      <c r="EC679" s="424"/>
      <c r="ED679" s="424"/>
      <c r="EE679" s="424"/>
      <c r="EF679" s="424"/>
      <c r="EG679" s="424"/>
      <c r="EH679" s="424"/>
      <c r="EI679" s="424"/>
      <c r="EJ679" s="424"/>
      <c r="EK679" s="424"/>
      <c r="EL679" s="424"/>
      <c r="EM679" s="424"/>
      <c r="EN679" s="424"/>
      <c r="EO679" s="424"/>
      <c r="EP679" s="424"/>
      <c r="EQ679" s="424"/>
      <c r="ER679" s="398"/>
      <c r="ES679" s="329" t="s">
        <v>157</v>
      </c>
      <c r="ET679" s="329" t="s">
        <v>158</v>
      </c>
      <c r="EU679" s="399"/>
      <c r="EV679" s="400"/>
      <c r="EW679" s="401" t="s">
        <v>160</v>
      </c>
      <c r="EX679" s="402" t="s">
        <v>135</v>
      </c>
      <c r="EY679" s="398"/>
      <c r="EZ679" s="365"/>
      <c r="FA679" s="365"/>
      <c r="FB679" s="424"/>
      <c r="FC679" s="424"/>
      <c r="FD679" s="425"/>
      <c r="FE679" s="333"/>
    </row>
    <row r="680" spans="86:161" x14ac:dyDescent="0.25">
      <c r="CH680" s="350"/>
      <c r="CI680" s="350"/>
      <c r="CJ680" s="350"/>
      <c r="CK680" s="350"/>
      <c r="CL680" s="350"/>
      <c r="CM680" s="350"/>
      <c r="CN680" s="300"/>
      <c r="DG680" s="350"/>
      <c r="DH680" s="300"/>
      <c r="DI680" s="395" t="str">
        <f t="shared" ca="1" si="1053"/>
        <v/>
      </c>
      <c r="DJ680" s="478" t="str">
        <f t="shared" ca="1" si="1047"/>
        <v/>
      </c>
      <c r="DK680" s="360" t="str">
        <f t="shared" ca="1" si="1048"/>
        <v/>
      </c>
      <c r="DL680" s="354" t="str">
        <f t="shared" ca="1" si="1049"/>
        <v/>
      </c>
      <c r="DM680" s="354" t="str">
        <f t="shared" ca="1" si="1050"/>
        <v/>
      </c>
      <c r="DN680" s="361" t="str">
        <f t="shared" ca="1" si="1051"/>
        <v/>
      </c>
      <c r="DO680" s="362" t="str">
        <f t="shared" ca="1" si="1052"/>
        <v/>
      </c>
      <c r="DP680" s="379" t="str">
        <f t="shared" ca="1" si="1054"/>
        <v/>
      </c>
      <c r="DQ680" s="302"/>
      <c r="DR680" s="364"/>
      <c r="DS680" s="302"/>
      <c r="DU680" s="424"/>
      <c r="DV680" s="424"/>
      <c r="DW680" s="424"/>
      <c r="DX680" s="424"/>
      <c r="DY680" s="424"/>
      <c r="DZ680" s="424"/>
      <c r="EA680" s="424"/>
      <c r="EB680" s="424"/>
      <c r="EC680" s="424"/>
      <c r="ED680" s="424"/>
      <c r="EE680" s="424"/>
      <c r="EF680" s="424"/>
      <c r="EG680" s="424"/>
      <c r="EH680" s="424"/>
      <c r="EI680" s="424"/>
      <c r="EJ680" s="424"/>
      <c r="EK680" s="424"/>
      <c r="EL680" s="424"/>
      <c r="EM680" s="424"/>
      <c r="EN680" s="424"/>
      <c r="EO680" s="424"/>
      <c r="EP680" s="424"/>
      <c r="EQ680" s="424"/>
      <c r="ER680" s="404" t="str">
        <f ca="1">ER674</f>
        <v/>
      </c>
      <c r="ES680" s="371" t="str">
        <f ca="1">IF(OR(ER680="",EY680="",ER680=EY680),"",CONCATENATE(ER680,EY680))</f>
        <v/>
      </c>
      <c r="ET680" s="422" t="str">
        <f ca="1">IF(OR(ES680="",EY655&gt;2),"",CONCATENATE(VLOOKUP(ES680,games.a,9,FALSE),VLOOKUP(ES680,games.a,12,FALSE)))</f>
        <v/>
      </c>
      <c r="EU680" s="406"/>
      <c r="EV680" s="407"/>
      <c r="EW680" s="423" t="str">
        <f ca="1">IF(ES680="","",VLOOKUP(ES680,games.a,6,FALSE))</f>
        <v/>
      </c>
      <c r="EX680" s="409" t="str">
        <f ca="1">IF(ES680="","",VLOOKUP(ES680,games.a,7,FALSE))</f>
        <v/>
      </c>
      <c r="EY680" s="410" t="str">
        <f ca="1">ER660</f>
        <v/>
      </c>
      <c r="EZ680" s="411"/>
      <c r="FA680" s="412"/>
      <c r="FB680" s="424"/>
      <c r="FC680" s="424"/>
      <c r="FD680" s="425"/>
      <c r="FE680" s="333"/>
    </row>
    <row r="681" spans="86:161" x14ac:dyDescent="0.25">
      <c r="CH681" s="350"/>
      <c r="CI681" s="350"/>
      <c r="CJ681" s="350"/>
      <c r="CK681" s="350"/>
      <c r="CL681" s="350"/>
      <c r="CM681" s="350"/>
      <c r="CN681" s="300"/>
      <c r="DG681" s="350"/>
      <c r="DH681" s="300"/>
      <c r="DI681" s="395" t="str">
        <f t="shared" ca="1" si="1053"/>
        <v/>
      </c>
      <c r="DJ681" s="478" t="str">
        <f t="shared" ca="1" si="1047"/>
        <v/>
      </c>
      <c r="DK681" s="360" t="str">
        <f t="shared" ca="1" si="1048"/>
        <v/>
      </c>
      <c r="DL681" s="354" t="str">
        <f t="shared" ca="1" si="1049"/>
        <v/>
      </c>
      <c r="DM681" s="354" t="str">
        <f t="shared" ca="1" si="1050"/>
        <v/>
      </c>
      <c r="DN681" s="361" t="str">
        <f t="shared" ca="1" si="1051"/>
        <v/>
      </c>
      <c r="DO681" s="362" t="str">
        <f t="shared" ca="1" si="1052"/>
        <v/>
      </c>
      <c r="DP681" s="379" t="str">
        <f t="shared" ca="1" si="1054"/>
        <v/>
      </c>
      <c r="DQ681" s="302"/>
      <c r="DR681" s="364"/>
      <c r="DS681" s="302"/>
      <c r="DU681" s="424"/>
      <c r="DV681" s="424"/>
      <c r="DW681" s="424"/>
      <c r="DX681" s="424"/>
      <c r="DY681" s="424"/>
      <c r="DZ681" s="424"/>
      <c r="EA681" s="424"/>
      <c r="EB681" s="424"/>
      <c r="EC681" s="424"/>
      <c r="ED681" s="424"/>
      <c r="EE681" s="424"/>
      <c r="EF681" s="424"/>
      <c r="EG681" s="424"/>
      <c r="EH681" s="424"/>
      <c r="EI681" s="424"/>
      <c r="EJ681" s="424"/>
      <c r="EK681" s="424"/>
      <c r="EL681" s="424"/>
      <c r="EM681" s="424"/>
      <c r="EN681" s="424"/>
      <c r="EO681" s="424"/>
      <c r="EP681" s="424"/>
      <c r="EQ681" s="424"/>
      <c r="ER681" s="404" t="str">
        <f ca="1">ER675</f>
        <v/>
      </c>
      <c r="ES681" s="371" t="str">
        <f ca="1">IF(OR(ER681="",EY681="",ER681=EY681),"",CONCATENATE(ER681,EY681))</f>
        <v/>
      </c>
      <c r="ET681" s="422" t="str">
        <f ca="1">IF(OR(ES681="",EY655&gt;2),"",CONCATENATE(VLOOKUP(ES681,games.a,9,FALSE),VLOOKUP(ES681,games.a,12,FALSE)))</f>
        <v/>
      </c>
      <c r="EU681" s="413"/>
      <c r="EV681" s="414"/>
      <c r="EW681" s="423" t="str">
        <f ca="1">IF(ES681="","",VLOOKUP(ES681,games.a,6,FALSE))</f>
        <v/>
      </c>
      <c r="EX681" s="409" t="str">
        <f ca="1">IF(ES681="","",VLOOKUP(ES681,games.a,7,FALSE))</f>
        <v/>
      </c>
      <c r="EY681" s="415" t="str">
        <f ca="1">EY680</f>
        <v/>
      </c>
      <c r="EZ681" s="416"/>
      <c r="FA681" s="417"/>
      <c r="FB681" s="424"/>
      <c r="FC681" s="424"/>
      <c r="FD681" s="425"/>
      <c r="FE681" s="333"/>
    </row>
    <row r="682" spans="86:161" x14ac:dyDescent="0.25">
      <c r="CH682" s="350"/>
      <c r="CI682" s="350"/>
      <c r="CJ682" s="350"/>
      <c r="CK682" s="350"/>
      <c r="CL682" s="350"/>
      <c r="CM682" s="350"/>
      <c r="CN682" s="300"/>
      <c r="DG682" s="350"/>
      <c r="DH682" s="300"/>
      <c r="DI682" s="395" t="str">
        <f t="shared" ca="1" si="1053"/>
        <v/>
      </c>
      <c r="DJ682" s="478" t="str">
        <f t="shared" ca="1" si="1047"/>
        <v/>
      </c>
      <c r="DK682" s="360" t="str">
        <f t="shared" ca="1" si="1048"/>
        <v/>
      </c>
      <c r="DL682" s="354" t="str">
        <f t="shared" ca="1" si="1049"/>
        <v/>
      </c>
      <c r="DM682" s="354" t="str">
        <f t="shared" ca="1" si="1050"/>
        <v/>
      </c>
      <c r="DN682" s="361" t="str">
        <f t="shared" ca="1" si="1051"/>
        <v/>
      </c>
      <c r="DO682" s="362" t="str">
        <f t="shared" ca="1" si="1052"/>
        <v/>
      </c>
      <c r="DP682" s="379" t="str">
        <f t="shared" ca="1" si="1054"/>
        <v/>
      </c>
      <c r="DQ682" s="302"/>
      <c r="DR682" s="364"/>
      <c r="DS682" s="302"/>
      <c r="DU682" s="424"/>
      <c r="DV682" s="424"/>
      <c r="DW682" s="424"/>
      <c r="DX682" s="424"/>
      <c r="DY682" s="424"/>
      <c r="DZ682" s="424"/>
      <c r="EA682" s="424"/>
      <c r="EB682" s="424"/>
      <c r="EC682" s="424"/>
      <c r="ED682" s="424"/>
      <c r="EE682" s="424"/>
      <c r="EF682" s="424"/>
      <c r="EG682" s="424"/>
      <c r="EH682" s="424"/>
      <c r="EI682" s="424"/>
      <c r="EJ682" s="424"/>
      <c r="EK682" s="424"/>
      <c r="EL682" s="424"/>
      <c r="EM682" s="424"/>
      <c r="EN682" s="424"/>
      <c r="EO682" s="424"/>
      <c r="EP682" s="424"/>
      <c r="EQ682" s="424"/>
      <c r="ER682" s="404" t="str">
        <f ca="1">ER676</f>
        <v/>
      </c>
      <c r="ES682" s="371" t="str">
        <f ca="1">IF(OR(ER682="",EY682="",ER682=EY682),"",CONCATENATE(ER682,EY682))</f>
        <v/>
      </c>
      <c r="ET682" s="422" t="str">
        <f ca="1">IF(OR(ES682="",EY655&gt;2),"",CONCATENATE(VLOOKUP(ES682,games.a,9,FALSE),VLOOKUP(ES682,games.a,12,FALSE)))</f>
        <v/>
      </c>
      <c r="EU682" s="413"/>
      <c r="EV682" s="414"/>
      <c r="EW682" s="423" t="str">
        <f ca="1">IF(ES682="","",VLOOKUP(ES682,games.a,6,FALSE))</f>
        <v/>
      </c>
      <c r="EX682" s="409" t="str">
        <f ca="1">IF(ES682="","",VLOOKUP(ES682,games.a,7,FALSE))</f>
        <v/>
      </c>
      <c r="EY682" s="415" t="str">
        <f ca="1">EY681</f>
        <v/>
      </c>
      <c r="EZ682" s="416"/>
      <c r="FA682" s="417"/>
      <c r="FB682" s="424"/>
      <c r="FC682" s="424"/>
      <c r="FD682" s="425"/>
      <c r="FE682" s="333"/>
    </row>
    <row r="683" spans="86:161" x14ac:dyDescent="0.25">
      <c r="CH683" s="350"/>
      <c r="CI683" s="350"/>
      <c r="CJ683" s="350"/>
      <c r="CK683" s="350"/>
      <c r="CL683" s="350"/>
      <c r="CM683" s="350"/>
      <c r="CN683" s="300"/>
      <c r="DG683" s="350"/>
      <c r="DH683" s="300"/>
      <c r="DI683" s="395" t="str">
        <f t="shared" ca="1" si="1053"/>
        <v/>
      </c>
      <c r="DJ683" s="478" t="str">
        <f t="shared" ca="1" si="1047"/>
        <v/>
      </c>
      <c r="DK683" s="360" t="str">
        <f t="shared" ca="1" si="1048"/>
        <v/>
      </c>
      <c r="DL683" s="354" t="str">
        <f t="shared" ca="1" si="1049"/>
        <v/>
      </c>
      <c r="DM683" s="354" t="str">
        <f t="shared" ca="1" si="1050"/>
        <v/>
      </c>
      <c r="DN683" s="361" t="str">
        <f t="shared" ca="1" si="1051"/>
        <v/>
      </c>
      <c r="DO683" s="362" t="str">
        <f t="shared" ca="1" si="1052"/>
        <v/>
      </c>
      <c r="DP683" s="379" t="str">
        <f t="shared" ca="1" si="1054"/>
        <v/>
      </c>
      <c r="DQ683" s="302"/>
      <c r="DR683" s="364"/>
      <c r="DS683" s="302"/>
      <c r="DU683" s="424"/>
      <c r="DV683" s="424"/>
      <c r="DW683" s="424"/>
      <c r="DX683" s="424"/>
      <c r="DY683" s="424"/>
      <c r="DZ683" s="424"/>
      <c r="EA683" s="424"/>
      <c r="EB683" s="424"/>
      <c r="EC683" s="424"/>
      <c r="ED683" s="424"/>
      <c r="EE683" s="424"/>
      <c r="EF683" s="424"/>
      <c r="EG683" s="424"/>
      <c r="EH683" s="424"/>
      <c r="EI683" s="424"/>
      <c r="EJ683" s="424"/>
      <c r="EK683" s="424"/>
      <c r="EL683" s="424"/>
      <c r="EM683" s="424"/>
      <c r="EN683" s="424"/>
      <c r="EO683" s="424"/>
      <c r="EP683" s="424"/>
      <c r="EQ683" s="424"/>
      <c r="ER683" s="404" t="str">
        <f ca="1">ER677</f>
        <v/>
      </c>
      <c r="ES683" s="371" t="str">
        <f ca="1">IF(OR(ER683="",EY683="",ER683=EY683),"",CONCATENATE(ER683,EY683))</f>
        <v/>
      </c>
      <c r="ET683" s="422" t="str">
        <f ca="1">IF(OR(ES683="",EY655&gt;2),"",CONCATENATE(VLOOKUP(ES683,games.a,9,FALSE),VLOOKUP(ES683,games.a,12,FALSE)))</f>
        <v/>
      </c>
      <c r="EU683" s="413"/>
      <c r="EV683" s="414"/>
      <c r="EW683" s="423" t="str">
        <f ca="1">IF(ES683="","",VLOOKUP(ES683,games.a,6,FALSE))</f>
        <v/>
      </c>
      <c r="EX683" s="409" t="str">
        <f ca="1">IF(ES683="","",VLOOKUP(ES683,games.a,7,FALSE))</f>
        <v/>
      </c>
      <c r="EY683" s="415" t="str">
        <f ca="1">EY682</f>
        <v/>
      </c>
      <c r="EZ683" s="416"/>
      <c r="FA683" s="417"/>
      <c r="FB683" s="424"/>
      <c r="FC683" s="424"/>
      <c r="FD683" s="425"/>
      <c r="FE683" s="333"/>
    </row>
    <row r="684" spans="86:161" x14ac:dyDescent="0.25">
      <c r="CH684" s="350"/>
      <c r="CI684" s="350"/>
      <c r="CJ684" s="350"/>
      <c r="CK684" s="350"/>
      <c r="CL684" s="350"/>
      <c r="CM684" s="350"/>
      <c r="CN684" s="300"/>
      <c r="DG684" s="350"/>
      <c r="DH684" s="300"/>
      <c r="DI684" s="395" t="str">
        <f t="shared" ca="1" si="1053"/>
        <v/>
      </c>
      <c r="DJ684" s="478" t="str">
        <f t="shared" ca="1" si="1047"/>
        <v/>
      </c>
      <c r="DK684" s="360" t="str">
        <f t="shared" ca="1" si="1048"/>
        <v/>
      </c>
      <c r="DL684" s="354" t="str">
        <f t="shared" ca="1" si="1049"/>
        <v/>
      </c>
      <c r="DM684" s="354" t="str">
        <f t="shared" ca="1" si="1050"/>
        <v/>
      </c>
      <c r="DN684" s="361" t="str">
        <f t="shared" ca="1" si="1051"/>
        <v/>
      </c>
      <c r="DO684" s="362" t="str">
        <f t="shared" ca="1" si="1052"/>
        <v/>
      </c>
      <c r="DP684" s="379" t="str">
        <f t="shared" ca="1" si="1054"/>
        <v/>
      </c>
      <c r="DQ684" s="302"/>
      <c r="DR684" s="364"/>
      <c r="DS684" s="302"/>
      <c r="DU684" s="424"/>
      <c r="DV684" s="424"/>
      <c r="DW684" s="424"/>
      <c r="DX684" s="424"/>
      <c r="DY684" s="424"/>
      <c r="DZ684" s="424"/>
      <c r="EA684" s="424"/>
      <c r="EB684" s="424"/>
      <c r="EC684" s="424"/>
      <c r="ED684" s="424"/>
      <c r="EE684" s="424"/>
      <c r="EF684" s="424"/>
      <c r="EG684" s="424"/>
      <c r="EH684" s="424"/>
      <c r="EI684" s="424"/>
      <c r="EJ684" s="424"/>
      <c r="EK684" s="424"/>
      <c r="EL684" s="424"/>
      <c r="EM684" s="424"/>
      <c r="EN684" s="424"/>
      <c r="EO684" s="424"/>
      <c r="EP684" s="424"/>
      <c r="EQ684" s="424"/>
      <c r="ER684" s="404" t="str">
        <f ca="1">ER678</f>
        <v/>
      </c>
      <c r="ES684" s="371" t="str">
        <f ca="1">IF(OR(ER684="",EY684="",ER684=EY684),"",CONCATENATE(ER684,EY684))</f>
        <v/>
      </c>
      <c r="ET684" s="422" t="str">
        <f ca="1">IF(OR(ES684="",EY655&gt;2),"",CONCATENATE(VLOOKUP(ES684,games.a,9,FALSE),VLOOKUP(ES684,games.a,12,FALSE)))</f>
        <v/>
      </c>
      <c r="EU684" s="420"/>
      <c r="EV684" s="421"/>
      <c r="EW684" s="423" t="str">
        <f ca="1">IF(ES684="","",VLOOKUP(ES684,games.a,6,FALSE))</f>
        <v/>
      </c>
      <c r="EX684" s="409" t="str">
        <f ca="1">IF(ES684="","",VLOOKUP(ES684,games.a,7,FALSE))</f>
        <v/>
      </c>
      <c r="EY684" s="415" t="str">
        <f ca="1">EY683</f>
        <v/>
      </c>
      <c r="EZ684" s="416"/>
      <c r="FA684" s="417"/>
      <c r="FB684" s="424"/>
      <c r="FC684" s="424"/>
      <c r="FD684" s="425"/>
      <c r="FE684" s="333"/>
    </row>
    <row r="685" spans="86:161" x14ac:dyDescent="0.25">
      <c r="CH685" s="350"/>
      <c r="CI685" s="350"/>
      <c r="CJ685" s="350"/>
      <c r="CK685" s="350"/>
      <c r="CL685" s="350"/>
      <c r="CM685" s="350"/>
      <c r="CN685" s="300"/>
      <c r="DG685" s="350"/>
      <c r="DH685" s="300"/>
      <c r="DI685" s="395" t="str">
        <f t="shared" ca="1" si="1053"/>
        <v/>
      </c>
      <c r="DJ685" s="478" t="str">
        <f t="shared" ca="1" si="1047"/>
        <v/>
      </c>
      <c r="DK685" s="360" t="str">
        <f t="shared" ca="1" si="1048"/>
        <v/>
      </c>
      <c r="DL685" s="354" t="str">
        <f t="shared" ca="1" si="1049"/>
        <v/>
      </c>
      <c r="DM685" s="354" t="str">
        <f t="shared" ca="1" si="1050"/>
        <v/>
      </c>
      <c r="DN685" s="361" t="str">
        <f t="shared" ca="1" si="1051"/>
        <v/>
      </c>
      <c r="DO685" s="362" t="str">
        <f t="shared" ca="1" si="1052"/>
        <v/>
      </c>
      <c r="DP685" s="379" t="str">
        <f t="shared" ca="1" si="1054"/>
        <v/>
      </c>
      <c r="DQ685" s="302"/>
      <c r="DR685" s="364"/>
      <c r="DS685" s="302"/>
      <c r="DU685" s="424"/>
      <c r="DV685" s="424"/>
      <c r="DW685" s="424"/>
      <c r="DX685" s="424"/>
      <c r="DY685" s="424"/>
      <c r="DZ685" s="424"/>
      <c r="EA685" s="424"/>
      <c r="EB685" s="424"/>
      <c r="EC685" s="424"/>
      <c r="ED685" s="424"/>
      <c r="EE685" s="424"/>
      <c r="EF685" s="424"/>
      <c r="EG685" s="424"/>
      <c r="EH685" s="424"/>
      <c r="EI685" s="424"/>
      <c r="EJ685" s="424"/>
      <c r="EK685" s="424"/>
      <c r="EL685" s="424"/>
      <c r="EM685" s="424"/>
      <c r="EN685" s="424"/>
      <c r="EO685" s="424"/>
      <c r="EP685" s="424"/>
      <c r="EQ685" s="424"/>
      <c r="ER685" s="424"/>
      <c r="ES685" s="424"/>
      <c r="ET685" s="424"/>
      <c r="EU685" s="424"/>
      <c r="EV685" s="424"/>
      <c r="EW685" s="424"/>
      <c r="EX685" s="424"/>
      <c r="EY685" s="424"/>
      <c r="EZ685" s="424"/>
      <c r="FA685" s="424"/>
      <c r="FB685" s="424"/>
      <c r="FC685" s="424"/>
      <c r="FD685" s="425"/>
      <c r="FE685" s="333"/>
    </row>
    <row r="686" spans="86:161" x14ac:dyDescent="0.25">
      <c r="CH686" s="350"/>
      <c r="CI686" s="350"/>
      <c r="CJ686" s="350"/>
      <c r="CK686" s="350"/>
      <c r="CL686" s="350"/>
      <c r="CM686" s="350"/>
      <c r="CN686" s="300"/>
      <c r="DG686" s="350"/>
      <c r="DH686" s="300"/>
      <c r="DI686" s="395" t="str">
        <f t="shared" ca="1" si="1053"/>
        <v/>
      </c>
      <c r="DJ686" s="478" t="str">
        <f t="shared" ca="1" si="1047"/>
        <v/>
      </c>
      <c r="DK686" s="360" t="str">
        <f t="shared" ca="1" si="1048"/>
        <v/>
      </c>
      <c r="DL686" s="354" t="str">
        <f t="shared" ca="1" si="1049"/>
        <v/>
      </c>
      <c r="DM686" s="354" t="str">
        <f t="shared" ca="1" si="1050"/>
        <v/>
      </c>
      <c r="DN686" s="361" t="str">
        <f t="shared" ca="1" si="1051"/>
        <v/>
      </c>
      <c r="DO686" s="362" t="str">
        <f t="shared" ca="1" si="1052"/>
        <v/>
      </c>
      <c r="DP686" s="379" t="str">
        <f t="shared" ca="1" si="1054"/>
        <v/>
      </c>
      <c r="DQ686" s="302"/>
      <c r="DR686" s="364"/>
      <c r="DS686" s="302"/>
      <c r="DU686" s="424"/>
      <c r="DV686" s="424"/>
      <c r="DW686" s="424"/>
      <c r="DX686" s="424"/>
      <c r="DY686" s="424"/>
      <c r="DZ686" s="424"/>
      <c r="EA686" s="424"/>
      <c r="EB686" s="424"/>
      <c r="EC686" s="424"/>
      <c r="ED686" s="424"/>
      <c r="EE686" s="424"/>
      <c r="EF686" s="424"/>
      <c r="EG686" s="424"/>
      <c r="EH686" s="424"/>
      <c r="EI686" s="424"/>
      <c r="EJ686" s="424"/>
      <c r="EK686" s="424"/>
      <c r="EL686" s="424"/>
      <c r="EM686" s="424"/>
      <c r="EN686" s="424"/>
      <c r="EO686" s="424"/>
      <c r="EP686" s="424"/>
      <c r="EQ686" s="424"/>
      <c r="ER686" s="398"/>
      <c r="ES686" s="329" t="s">
        <v>157</v>
      </c>
      <c r="ET686" s="329" t="s">
        <v>158</v>
      </c>
      <c r="EU686" s="399"/>
      <c r="EV686" s="400"/>
      <c r="EW686" s="401" t="s">
        <v>160</v>
      </c>
      <c r="EX686" s="402" t="s">
        <v>135</v>
      </c>
      <c r="EY686" s="365"/>
      <c r="EZ686" s="365"/>
      <c r="FA686" s="365"/>
      <c r="FB686" s="424"/>
      <c r="FC686" s="424"/>
      <c r="FD686" s="425"/>
      <c r="FE686" s="333"/>
    </row>
    <row r="687" spans="86:161" x14ac:dyDescent="0.25">
      <c r="CH687" s="350"/>
      <c r="CI687" s="350"/>
      <c r="CJ687" s="350"/>
      <c r="CK687" s="350"/>
      <c r="CL687" s="350"/>
      <c r="CM687" s="350"/>
      <c r="CN687" s="300"/>
      <c r="DG687" s="350"/>
      <c r="DH687" s="300"/>
      <c r="DI687" s="301"/>
      <c r="DJ687" s="471" t="s">
        <v>157</v>
      </c>
      <c r="DK687" s="471" t="s">
        <v>158</v>
      </c>
      <c r="DL687" s="472" t="s">
        <v>159</v>
      </c>
      <c r="DM687" s="472"/>
      <c r="DN687" s="473" t="s">
        <v>160</v>
      </c>
      <c r="DO687" s="472" t="s">
        <v>135</v>
      </c>
      <c r="DP687" s="302"/>
      <c r="DQ687" s="302"/>
      <c r="DR687" s="364"/>
      <c r="DS687" s="302"/>
      <c r="DU687" s="424"/>
      <c r="DV687" s="424"/>
      <c r="DW687" s="424"/>
      <c r="DX687" s="424"/>
      <c r="DY687" s="424"/>
      <c r="DZ687" s="424"/>
      <c r="EA687" s="424"/>
      <c r="EB687" s="424"/>
      <c r="EC687" s="424"/>
      <c r="ED687" s="424"/>
      <c r="EE687" s="424"/>
      <c r="EF687" s="424"/>
      <c r="EG687" s="424"/>
      <c r="EH687" s="424"/>
      <c r="EI687" s="424"/>
      <c r="EJ687" s="424"/>
      <c r="EK687" s="424"/>
      <c r="EL687" s="424"/>
      <c r="EM687" s="424"/>
      <c r="EN687" s="424"/>
      <c r="EO687" s="424"/>
      <c r="EP687" s="424"/>
      <c r="EQ687" s="424"/>
      <c r="ER687" s="404" t="str">
        <f ca="1">IF(EX644="","",VLOOKUP(EX644,yyy.an1.10,7,FALSE))</f>
        <v/>
      </c>
      <c r="ES687" s="371" t="str">
        <f ca="1">IF(OR(ER687="",EY687="",ER687=EY687),"",CONCATENATE(ER687,EY687))</f>
        <v/>
      </c>
      <c r="ET687" s="369" t="str">
        <f ca="1">IF(ES687="","",CONCATENATE(VLOOKUP(ES687,games.a,9,FALSE),VLOOKUP(ES687,games.a,12,FALSE)))</f>
        <v/>
      </c>
      <c r="EU687" s="406"/>
      <c r="EV687" s="407"/>
      <c r="EW687" s="423" t="str">
        <f ca="1">IF(ES687="","",VLOOKUP(ES687,games.a,6,FALSE))</f>
        <v/>
      </c>
      <c r="EX687" s="409" t="str">
        <f ca="1">IF(ES687="","",VLOOKUP(ES687,games.a,7,FALSE))</f>
        <v/>
      </c>
      <c r="EY687" s="410" t="str">
        <f ca="1">ER687</f>
        <v/>
      </c>
      <c r="EZ687" s="411"/>
      <c r="FA687" s="412"/>
      <c r="FB687" s="424"/>
      <c r="FC687" s="424"/>
      <c r="FD687" s="425"/>
      <c r="FE687" s="333"/>
    </row>
    <row r="688" spans="86:161" x14ac:dyDescent="0.25">
      <c r="CH688" s="350"/>
      <c r="CI688" s="350"/>
      <c r="CJ688" s="350"/>
      <c r="CK688" s="350"/>
      <c r="CL688" s="350"/>
      <c r="CM688" s="350"/>
      <c r="CN688" s="300"/>
      <c r="DG688" s="350"/>
      <c r="DH688" s="300"/>
      <c r="DI688" s="395" t="str">
        <f ca="1">DI677</f>
        <v>Hercules-Ludovika</v>
      </c>
      <c r="DJ688" s="478" t="str">
        <f t="shared" ref="DJ688:DJ697" ca="1" si="1055">IF(OR(DI688="",DP688="",DI688=DP688,COUNTIF(games.an,DI688&amp;DP688)=0),"",CONCATENATE(DI688,DP688))</f>
        <v/>
      </c>
      <c r="DK688" s="360" t="str">
        <f t="shared" ref="DK688:DK697" ca="1" si="1056">IF($DJ688="","",CONCATENATE(VLOOKUP($DJ688,games.a,9,FALSE),VLOOKUP($DJ688,games.a,12,FALSE)))</f>
        <v/>
      </c>
      <c r="DL688" s="354" t="str">
        <f t="shared" ref="DL688:DL697" ca="1" si="1057">IF($DJ688="","",VLOOKUP($DJ688,games.a,10,FALSE))</f>
        <v/>
      </c>
      <c r="DM688" s="354" t="str">
        <f t="shared" ref="DM688:DM697" ca="1" si="1058">IF($DJ688="","",VLOOKUP($DJ688,games.a,13,FALSE))</f>
        <v/>
      </c>
      <c r="DN688" s="361" t="str">
        <f t="shared" ref="DN688:DN697" ca="1" si="1059">IF($DJ688="","",VLOOKUP($DJ688,games.a,6,FALSE))</f>
        <v/>
      </c>
      <c r="DO688" s="362" t="str">
        <f t="shared" ref="DO688:DO697" ca="1" si="1060">IF($DJ688="","",VLOOKUP($DJ688,games.a,7,FALSE))</f>
        <v/>
      </c>
      <c r="DP688" s="479" t="str">
        <f ca="1">DI648</f>
        <v/>
      </c>
      <c r="DQ688" s="302"/>
      <c r="DR688" s="364"/>
      <c r="DS688" s="302"/>
      <c r="DU688" s="424"/>
      <c r="DV688" s="424"/>
      <c r="DW688" s="424"/>
      <c r="DX688" s="424"/>
      <c r="DY688" s="424"/>
      <c r="DZ688" s="424"/>
      <c r="EA688" s="424"/>
      <c r="EB688" s="424"/>
      <c r="EC688" s="424"/>
      <c r="ED688" s="424"/>
      <c r="EE688" s="424"/>
      <c r="EF688" s="424"/>
      <c r="EG688" s="424"/>
      <c r="EH688" s="424"/>
      <c r="EI688" s="424"/>
      <c r="EJ688" s="424"/>
      <c r="EK688" s="424"/>
      <c r="EL688" s="424"/>
      <c r="EM688" s="424"/>
      <c r="EN688" s="424"/>
      <c r="EO688" s="424"/>
      <c r="EP688" s="424"/>
      <c r="EQ688" s="424"/>
      <c r="ER688" s="404" t="str">
        <f ca="1">IF(EX645="","",VLOOKUP(EX645,yyy.an1.10,7,FALSE))</f>
        <v/>
      </c>
      <c r="ES688" s="371" t="str">
        <f ca="1">IF(OR(ER688="",EY688="",ER688=EY688),"",CONCATENATE(ER688,EY688))</f>
        <v/>
      </c>
      <c r="ET688" s="369" t="str">
        <f ca="1">IF(ES688="","",CONCATENATE(VLOOKUP(ES688,games.a,9,FALSE),VLOOKUP(ES688,games.a,12,FALSE)))</f>
        <v/>
      </c>
      <c r="EU688" s="413"/>
      <c r="EV688" s="414"/>
      <c r="EW688" s="423" t="str">
        <f ca="1">IF(ES688="","",VLOOKUP(ES688,games.a,6,FALSE))</f>
        <v/>
      </c>
      <c r="EX688" s="409" t="str">
        <f ca="1">IF(ES688="","",VLOOKUP(ES688,games.a,7,FALSE))</f>
        <v/>
      </c>
      <c r="EY688" s="415" t="str">
        <f ca="1">EY687</f>
        <v/>
      </c>
      <c r="EZ688" s="416"/>
      <c r="FA688" s="417"/>
      <c r="FB688" s="424"/>
      <c r="FC688" s="424"/>
      <c r="FD688" s="425"/>
      <c r="FE688" s="333"/>
    </row>
    <row r="689" spans="86:161" x14ac:dyDescent="0.25">
      <c r="CH689" s="350"/>
      <c r="CI689" s="350"/>
      <c r="CJ689" s="350"/>
      <c r="CK689" s="350"/>
      <c r="CL689" s="350"/>
      <c r="CM689" s="350"/>
      <c r="CN689" s="300"/>
      <c r="DG689" s="350"/>
      <c r="DH689" s="300"/>
      <c r="DI689" s="395" t="str">
        <f t="shared" ref="DI689:DI697" ca="1" si="1061">DI678</f>
        <v>Élelmesek</v>
      </c>
      <c r="DJ689" s="478" t="str">
        <f t="shared" ca="1" si="1055"/>
        <v/>
      </c>
      <c r="DK689" s="360" t="str">
        <f t="shared" ca="1" si="1056"/>
        <v/>
      </c>
      <c r="DL689" s="354" t="str">
        <f t="shared" ca="1" si="1057"/>
        <v/>
      </c>
      <c r="DM689" s="354" t="str">
        <f t="shared" ca="1" si="1058"/>
        <v/>
      </c>
      <c r="DN689" s="361" t="str">
        <f t="shared" ca="1" si="1059"/>
        <v/>
      </c>
      <c r="DO689" s="362" t="str">
        <f t="shared" ca="1" si="1060"/>
        <v/>
      </c>
      <c r="DP689" s="379" t="str">
        <f ca="1">DP688</f>
        <v/>
      </c>
      <c r="DQ689" s="302"/>
      <c r="DR689" s="364"/>
      <c r="DS689" s="302"/>
      <c r="DU689" s="424"/>
      <c r="DV689" s="424"/>
      <c r="DW689" s="424"/>
      <c r="DX689" s="424"/>
      <c r="DY689" s="424"/>
      <c r="DZ689" s="424"/>
      <c r="EA689" s="424"/>
      <c r="EB689" s="424"/>
      <c r="EC689" s="424"/>
      <c r="ED689" s="424"/>
      <c r="EE689" s="424"/>
      <c r="EF689" s="424"/>
      <c r="EG689" s="424"/>
      <c r="EH689" s="424"/>
      <c r="EI689" s="424"/>
      <c r="EJ689" s="424"/>
      <c r="EK689" s="424"/>
      <c r="EL689" s="424"/>
      <c r="EM689" s="424"/>
      <c r="EN689" s="424"/>
      <c r="EO689" s="424"/>
      <c r="EP689" s="424"/>
      <c r="EQ689" s="424"/>
      <c r="ER689" s="398"/>
      <c r="ES689" s="329" t="s">
        <v>157</v>
      </c>
      <c r="ET689" s="329" t="s">
        <v>158</v>
      </c>
      <c r="EU689" s="399"/>
      <c r="EV689" s="400"/>
      <c r="EW689" s="401" t="s">
        <v>160</v>
      </c>
      <c r="EX689" s="402" t="s">
        <v>135</v>
      </c>
      <c r="EY689" s="398"/>
      <c r="EZ689" s="365"/>
      <c r="FA689" s="365"/>
      <c r="FB689" s="424"/>
      <c r="FC689" s="424"/>
      <c r="FD689" s="425"/>
      <c r="FE689" s="333"/>
    </row>
    <row r="690" spans="86:161" x14ac:dyDescent="0.25">
      <c r="CH690" s="350"/>
      <c r="CI690" s="350"/>
      <c r="CJ690" s="350"/>
      <c r="CK690" s="350"/>
      <c r="CL690" s="350"/>
      <c r="CM690" s="350"/>
      <c r="DG690" s="350"/>
      <c r="DH690" s="300"/>
      <c r="DI690" s="395" t="str">
        <f t="shared" ca="1" si="1061"/>
        <v/>
      </c>
      <c r="DJ690" s="478" t="str">
        <f t="shared" ca="1" si="1055"/>
        <v/>
      </c>
      <c r="DK690" s="360" t="str">
        <f t="shared" ca="1" si="1056"/>
        <v/>
      </c>
      <c r="DL690" s="354" t="str">
        <f t="shared" ca="1" si="1057"/>
        <v/>
      </c>
      <c r="DM690" s="354" t="str">
        <f t="shared" ca="1" si="1058"/>
        <v/>
      </c>
      <c r="DN690" s="361" t="str">
        <f t="shared" ca="1" si="1059"/>
        <v/>
      </c>
      <c r="DO690" s="362" t="str">
        <f t="shared" ca="1" si="1060"/>
        <v/>
      </c>
      <c r="DP690" s="379" t="str">
        <f t="shared" ref="DP690:DP697" ca="1" si="1062">DP689</f>
        <v/>
      </c>
      <c r="DQ690" s="302"/>
      <c r="DR690" s="364"/>
      <c r="DS690" s="302"/>
      <c r="DU690" s="424"/>
      <c r="DV690" s="424"/>
      <c r="DW690" s="424"/>
      <c r="DX690" s="424"/>
      <c r="DY690" s="424"/>
      <c r="DZ690" s="424"/>
      <c r="EA690" s="424"/>
      <c r="EB690" s="424"/>
      <c r="EC690" s="424"/>
      <c r="ED690" s="424"/>
      <c r="EE690" s="424"/>
      <c r="EF690" s="424"/>
      <c r="EG690" s="424"/>
      <c r="EH690" s="424"/>
      <c r="EI690" s="424"/>
      <c r="EJ690" s="424"/>
      <c r="EK690" s="424"/>
      <c r="EL690" s="424"/>
      <c r="EM690" s="424"/>
      <c r="EN690" s="424"/>
      <c r="EO690" s="424"/>
      <c r="EP690" s="424"/>
      <c r="EQ690" s="424"/>
      <c r="ER690" s="404" t="str">
        <f ca="1">ER687</f>
        <v/>
      </c>
      <c r="ES690" s="371" t="str">
        <f ca="1">IF(OR(ER690="",EY690="",ER690=EY690),"",CONCATENATE(ER690,EY690))</f>
        <v/>
      </c>
      <c r="ET690" s="369" t="str">
        <f ca="1">IF(ES690="","",CONCATENATE(VLOOKUP(ES690,games.a,9,FALSE),VLOOKUP(ES690,games.a,12,FALSE)))</f>
        <v/>
      </c>
      <c r="EU690" s="406"/>
      <c r="EV690" s="407"/>
      <c r="EW690" s="423" t="str">
        <f ca="1">IF(ES690="","",VLOOKUP(ES690,games.a,6,FALSE))</f>
        <v/>
      </c>
      <c r="EX690" s="409" t="str">
        <f ca="1">IF(ES690="","",VLOOKUP(ES690,games.a,7,FALSE))</f>
        <v/>
      </c>
      <c r="EY690" s="410" t="str">
        <f ca="1">ER688</f>
        <v/>
      </c>
      <c r="EZ690" s="411"/>
      <c r="FA690" s="412"/>
      <c r="FB690" s="424"/>
      <c r="FC690" s="424"/>
      <c r="FD690" s="425"/>
      <c r="FE690" s="333"/>
    </row>
    <row r="691" spans="86:161" x14ac:dyDescent="0.25">
      <c r="CH691" s="350"/>
      <c r="CI691" s="350"/>
      <c r="CJ691" s="350"/>
      <c r="CK691" s="350"/>
      <c r="CL691" s="350"/>
      <c r="CM691" s="350"/>
      <c r="DG691" s="350"/>
      <c r="DH691" s="300"/>
      <c r="DI691" s="395" t="str">
        <f t="shared" ca="1" si="1061"/>
        <v/>
      </c>
      <c r="DJ691" s="478" t="str">
        <f t="shared" ca="1" si="1055"/>
        <v/>
      </c>
      <c r="DK691" s="360" t="str">
        <f t="shared" ca="1" si="1056"/>
        <v/>
      </c>
      <c r="DL691" s="354" t="str">
        <f t="shared" ca="1" si="1057"/>
        <v/>
      </c>
      <c r="DM691" s="354" t="str">
        <f t="shared" ca="1" si="1058"/>
        <v/>
      </c>
      <c r="DN691" s="361" t="str">
        <f t="shared" ca="1" si="1059"/>
        <v/>
      </c>
      <c r="DO691" s="362" t="str">
        <f t="shared" ca="1" si="1060"/>
        <v/>
      </c>
      <c r="DP691" s="379" t="str">
        <f t="shared" ca="1" si="1062"/>
        <v/>
      </c>
      <c r="DQ691" s="302"/>
      <c r="DR691" s="364"/>
      <c r="DS691" s="302"/>
      <c r="DU691" s="424"/>
      <c r="DV691" s="424"/>
      <c r="DW691" s="424"/>
      <c r="DX691" s="424"/>
      <c r="DY691" s="424"/>
      <c r="DZ691" s="424"/>
      <c r="EA691" s="424"/>
      <c r="EB691" s="424"/>
      <c r="EC691" s="424"/>
      <c r="ED691" s="424"/>
      <c r="EE691" s="424"/>
      <c r="EF691" s="424"/>
      <c r="EG691" s="424"/>
      <c r="EH691" s="424"/>
      <c r="EI691" s="424"/>
      <c r="EJ691" s="424"/>
      <c r="EK691" s="424"/>
      <c r="EL691" s="424"/>
      <c r="EM691" s="424"/>
      <c r="EN691" s="424"/>
      <c r="EO691" s="424"/>
      <c r="EP691" s="424"/>
      <c r="EQ691" s="424"/>
      <c r="ER691" s="404" t="str">
        <f ca="1">ER688</f>
        <v/>
      </c>
      <c r="ES691" s="371" t="str">
        <f ca="1">IF(OR(ER691="",EY691="",ER691=EY691),"",CONCATENATE(ER691,EY691))</f>
        <v/>
      </c>
      <c r="ET691" s="369" t="str">
        <f ca="1">IF(ES691="","",CONCATENATE(VLOOKUP(ES691,games.a,9,FALSE),VLOOKUP(ES691,games.a,12,FALSE)))</f>
        <v/>
      </c>
      <c r="EU691" s="420"/>
      <c r="EV691" s="421"/>
      <c r="EW691" s="423" t="str">
        <f ca="1">IF(ES691="","",VLOOKUP(ES691,games.a,6,FALSE))</f>
        <v/>
      </c>
      <c r="EX691" s="409" t="str">
        <f ca="1">IF(ES691="","",VLOOKUP(ES691,games.a,7,FALSE))</f>
        <v/>
      </c>
      <c r="EY691" s="415" t="str">
        <f ca="1">EY690</f>
        <v/>
      </c>
      <c r="EZ691" s="416"/>
      <c r="FA691" s="417"/>
      <c r="FB691" s="424"/>
      <c r="FC691" s="424"/>
      <c r="FD691" s="425"/>
      <c r="FE691" s="333"/>
    </row>
    <row r="692" spans="86:161" x14ac:dyDescent="0.25">
      <c r="CH692" s="350"/>
      <c r="CI692" s="350"/>
      <c r="CJ692" s="350"/>
      <c r="CK692" s="350"/>
      <c r="CL692" s="350"/>
      <c r="CM692" s="350"/>
      <c r="DG692" s="350"/>
      <c r="DH692" s="300"/>
      <c r="DI692" s="395" t="str">
        <f t="shared" ca="1" si="1061"/>
        <v/>
      </c>
      <c r="DJ692" s="478" t="str">
        <f t="shared" ca="1" si="1055"/>
        <v/>
      </c>
      <c r="DK692" s="360" t="str">
        <f t="shared" ca="1" si="1056"/>
        <v/>
      </c>
      <c r="DL692" s="354" t="str">
        <f t="shared" ca="1" si="1057"/>
        <v/>
      </c>
      <c r="DM692" s="354" t="str">
        <f t="shared" ca="1" si="1058"/>
        <v/>
      </c>
      <c r="DN692" s="361" t="str">
        <f t="shared" ca="1" si="1059"/>
        <v/>
      </c>
      <c r="DO692" s="362" t="str">
        <f t="shared" ca="1" si="1060"/>
        <v/>
      </c>
      <c r="DP692" s="379" t="str">
        <f t="shared" ca="1" si="1062"/>
        <v/>
      </c>
      <c r="DQ692" s="302"/>
      <c r="DR692" s="364"/>
      <c r="DS692" s="302"/>
      <c r="DU692" s="424"/>
      <c r="DV692" s="424"/>
      <c r="DW692" s="424"/>
      <c r="DX692" s="424"/>
      <c r="DY692" s="424"/>
      <c r="DZ692" s="424"/>
      <c r="EA692" s="424"/>
      <c r="EB692" s="424"/>
      <c r="EC692" s="424"/>
      <c r="ED692" s="424"/>
      <c r="EE692" s="424"/>
      <c r="EF692" s="424"/>
      <c r="EG692" s="424"/>
      <c r="EH692" s="424"/>
      <c r="EI692" s="424"/>
      <c r="EJ692" s="424"/>
      <c r="EK692" s="424"/>
      <c r="EL692" s="424"/>
      <c r="EM692" s="424"/>
      <c r="EN692" s="424"/>
      <c r="EO692" s="424"/>
      <c r="EP692" s="424"/>
      <c r="EQ692" s="424"/>
      <c r="ER692" s="424"/>
      <c r="ES692" s="424"/>
      <c r="ET692" s="424"/>
      <c r="EU692" s="424"/>
      <c r="EV692" s="424"/>
      <c r="EW692" s="424"/>
      <c r="EX692" s="424"/>
      <c r="EY692" s="424"/>
      <c r="EZ692" s="424"/>
      <c r="FA692" s="424"/>
      <c r="FB692" s="424"/>
      <c r="FC692" s="424"/>
      <c r="FD692" s="425"/>
      <c r="FE692" s="333"/>
    </row>
    <row r="693" spans="86:161" x14ac:dyDescent="0.25">
      <c r="CH693" s="350"/>
      <c r="CI693" s="350"/>
      <c r="CJ693" s="350"/>
      <c r="CK693" s="350"/>
      <c r="CL693" s="350"/>
      <c r="CM693" s="350"/>
      <c r="DG693" s="350"/>
      <c r="DH693" s="300"/>
      <c r="DI693" s="395" t="str">
        <f t="shared" ca="1" si="1061"/>
        <v/>
      </c>
      <c r="DJ693" s="478" t="str">
        <f t="shared" ca="1" si="1055"/>
        <v/>
      </c>
      <c r="DK693" s="360" t="str">
        <f t="shared" ca="1" si="1056"/>
        <v/>
      </c>
      <c r="DL693" s="354" t="str">
        <f t="shared" ca="1" si="1057"/>
        <v/>
      </c>
      <c r="DM693" s="354" t="str">
        <f t="shared" ca="1" si="1058"/>
        <v/>
      </c>
      <c r="DN693" s="361" t="str">
        <f t="shared" ca="1" si="1059"/>
        <v/>
      </c>
      <c r="DO693" s="362" t="str">
        <f t="shared" ca="1" si="1060"/>
        <v/>
      </c>
      <c r="DP693" s="379" t="str">
        <f t="shared" ca="1" si="1062"/>
        <v/>
      </c>
      <c r="DQ693" s="302"/>
      <c r="DR693" s="364"/>
      <c r="DS693" s="302"/>
      <c r="DU693" s="424"/>
      <c r="DV693" s="424"/>
      <c r="DW693" s="424"/>
      <c r="DX693" s="424"/>
      <c r="DY693" s="424"/>
      <c r="DZ693" s="424"/>
      <c r="EA693" s="424"/>
      <c r="EB693" s="424"/>
      <c r="EC693" s="424"/>
      <c r="ED693" s="424"/>
      <c r="EE693" s="424"/>
      <c r="EF693" s="424"/>
      <c r="EG693" s="424"/>
      <c r="EH693" s="424"/>
      <c r="EI693" s="424"/>
      <c r="EJ693" s="424"/>
      <c r="EK693" s="424"/>
      <c r="EL693" s="424"/>
      <c r="EM693" s="424"/>
      <c r="EN693" s="424"/>
      <c r="EO693" s="424"/>
      <c r="EP693" s="424"/>
      <c r="EQ693" s="424"/>
      <c r="ER693" s="398"/>
      <c r="ES693" s="329" t="s">
        <v>157</v>
      </c>
      <c r="ET693" s="329" t="s">
        <v>158</v>
      </c>
      <c r="EU693" s="399"/>
      <c r="EV693" s="400"/>
      <c r="EW693" s="401" t="s">
        <v>160</v>
      </c>
      <c r="EX693" s="402" t="s">
        <v>135</v>
      </c>
      <c r="EY693" s="365"/>
      <c r="EZ693" s="365"/>
      <c r="FA693" s="365"/>
      <c r="FB693" s="424"/>
      <c r="FC693" s="424"/>
      <c r="FD693" s="425"/>
      <c r="FE693" s="333"/>
    </row>
    <row r="694" spans="86:161" x14ac:dyDescent="0.25">
      <c r="CH694" s="350"/>
      <c r="CI694" s="350"/>
      <c r="CJ694" s="350"/>
      <c r="CK694" s="350"/>
      <c r="CL694" s="350"/>
      <c r="CM694" s="350"/>
      <c r="DG694" s="350"/>
      <c r="DH694" s="300"/>
      <c r="DI694" s="395" t="str">
        <f t="shared" ca="1" si="1061"/>
        <v/>
      </c>
      <c r="DJ694" s="478" t="str">
        <f t="shared" ca="1" si="1055"/>
        <v/>
      </c>
      <c r="DK694" s="360" t="str">
        <f t="shared" ca="1" si="1056"/>
        <v/>
      </c>
      <c r="DL694" s="354" t="str">
        <f t="shared" ca="1" si="1057"/>
        <v/>
      </c>
      <c r="DM694" s="354" t="str">
        <f t="shared" ca="1" si="1058"/>
        <v/>
      </c>
      <c r="DN694" s="361" t="str">
        <f t="shared" ca="1" si="1059"/>
        <v/>
      </c>
      <c r="DO694" s="362" t="str">
        <f t="shared" ca="1" si="1060"/>
        <v/>
      </c>
      <c r="DP694" s="379" t="str">
        <f t="shared" ca="1" si="1062"/>
        <v/>
      </c>
      <c r="DQ694" s="302"/>
      <c r="DR694" s="364"/>
      <c r="DS694" s="302"/>
      <c r="DU694" s="424"/>
      <c r="DV694" s="424"/>
      <c r="DW694" s="424"/>
      <c r="DX694" s="424"/>
      <c r="DY694" s="424"/>
      <c r="DZ694" s="424"/>
      <c r="EA694" s="424"/>
      <c r="EB694" s="424"/>
      <c r="EC694" s="424"/>
      <c r="ED694" s="424"/>
      <c r="EE694" s="424"/>
      <c r="EF694" s="424"/>
      <c r="EG694" s="424"/>
      <c r="EH694" s="424"/>
      <c r="EI694" s="424"/>
      <c r="EJ694" s="424"/>
      <c r="EK694" s="424"/>
      <c r="EL694" s="424"/>
      <c r="EM694" s="424"/>
      <c r="EN694" s="424"/>
      <c r="EO694" s="424"/>
      <c r="EP694" s="424"/>
      <c r="EQ694" s="424"/>
      <c r="ER694" s="404" t="str">
        <f ca="1">IF(FA644="","",VLOOKUP(FA644,yyy.an1.10,10,FALSE))</f>
        <v/>
      </c>
      <c r="ES694" s="371" t="str">
        <f ca="1">IF(OR(ER694="",EY694="",ER694=EY694),"",CONCATENATE(ER694,EY694))</f>
        <v/>
      </c>
      <c r="ET694" s="369" t="str">
        <f ca="1">IF(ES694="","",CONCATENATE(VLOOKUP(ES694,games.a,9,FALSE),VLOOKUP(ES694,games.a,12,FALSE)))</f>
        <v/>
      </c>
      <c r="EU694" s="406"/>
      <c r="EV694" s="407"/>
      <c r="EW694" s="423" t="str">
        <f ca="1">IF(ES694="","",VLOOKUP(ES694,games.a,6,FALSE))</f>
        <v/>
      </c>
      <c r="EX694" s="409" t="str">
        <f ca="1">IF(ES694="","",VLOOKUP(ES694,games.a,7,FALSE))</f>
        <v/>
      </c>
      <c r="EY694" s="410" t="str">
        <f ca="1">ER694</f>
        <v/>
      </c>
      <c r="EZ694" s="411"/>
      <c r="FA694" s="412"/>
      <c r="FB694" s="424"/>
      <c r="FC694" s="424"/>
      <c r="FD694" s="425"/>
      <c r="FE694" s="333"/>
    </row>
    <row r="695" spans="86:161" x14ac:dyDescent="0.25">
      <c r="CH695" s="350"/>
      <c r="CI695" s="350"/>
      <c r="CJ695" s="350"/>
      <c r="CK695" s="350"/>
      <c r="CL695" s="350"/>
      <c r="CM695" s="350"/>
      <c r="DG695" s="350"/>
      <c r="DH695" s="300"/>
      <c r="DI695" s="395" t="str">
        <f t="shared" ca="1" si="1061"/>
        <v/>
      </c>
      <c r="DJ695" s="478" t="str">
        <f t="shared" ca="1" si="1055"/>
        <v/>
      </c>
      <c r="DK695" s="360" t="str">
        <f t="shared" ca="1" si="1056"/>
        <v/>
      </c>
      <c r="DL695" s="354" t="str">
        <f t="shared" ca="1" si="1057"/>
        <v/>
      </c>
      <c r="DM695" s="354" t="str">
        <f t="shared" ca="1" si="1058"/>
        <v/>
      </c>
      <c r="DN695" s="361" t="str">
        <f t="shared" ca="1" si="1059"/>
        <v/>
      </c>
      <c r="DO695" s="362" t="str">
        <f t="shared" ca="1" si="1060"/>
        <v/>
      </c>
      <c r="DP695" s="379" t="str">
        <f t="shared" ca="1" si="1062"/>
        <v/>
      </c>
      <c r="DQ695" s="302"/>
      <c r="DR695" s="364"/>
      <c r="DS695" s="302"/>
      <c r="DU695" s="424"/>
      <c r="DV695" s="424"/>
      <c r="DW695" s="424"/>
      <c r="DX695" s="424"/>
      <c r="DY695" s="424"/>
      <c r="DZ695" s="424"/>
      <c r="EA695" s="424"/>
      <c r="EB695" s="424"/>
      <c r="EC695" s="424"/>
      <c r="ED695" s="424"/>
      <c r="EE695" s="424"/>
      <c r="EF695" s="424"/>
      <c r="EG695" s="424"/>
      <c r="EH695" s="424"/>
      <c r="EI695" s="424"/>
      <c r="EJ695" s="424"/>
      <c r="EK695" s="424"/>
      <c r="EL695" s="424"/>
      <c r="EM695" s="424"/>
      <c r="EN695" s="424"/>
      <c r="EO695" s="424"/>
      <c r="EP695" s="424"/>
      <c r="EQ695" s="424"/>
      <c r="ER695" s="404" t="str">
        <f ca="1">IF(FA645="","",VLOOKUP(FA645,yyy.an1.10,10,FALSE))</f>
        <v/>
      </c>
      <c r="ES695" s="371" t="str">
        <f ca="1">IF(OR(ER695="",EY695="",ER695=EY695),"",CONCATENATE(ER695,EY695))</f>
        <v/>
      </c>
      <c r="ET695" s="369" t="str">
        <f ca="1">IF(ES695="","",CONCATENATE(VLOOKUP(ES695,games.a,9,FALSE),VLOOKUP(ES695,games.a,12,FALSE)))</f>
        <v/>
      </c>
      <c r="EU695" s="413"/>
      <c r="EV695" s="414"/>
      <c r="EW695" s="423" t="str">
        <f ca="1">IF(ES695="","",VLOOKUP(ES695,games.a,6,FALSE))</f>
        <v/>
      </c>
      <c r="EX695" s="409" t="str">
        <f ca="1">IF(ES695="","",VLOOKUP(ES695,games.a,7,FALSE))</f>
        <v/>
      </c>
      <c r="EY695" s="415" t="str">
        <f ca="1">EY694</f>
        <v/>
      </c>
      <c r="EZ695" s="416"/>
      <c r="FA695" s="417"/>
      <c r="FB695" s="424"/>
      <c r="FC695" s="424"/>
      <c r="FD695" s="425"/>
      <c r="FE695" s="333"/>
    </row>
    <row r="696" spans="86:161" x14ac:dyDescent="0.25">
      <c r="CH696" s="350"/>
      <c r="CI696" s="350"/>
      <c r="CJ696" s="350"/>
      <c r="CK696" s="350"/>
      <c r="CL696" s="350"/>
      <c r="CM696" s="350"/>
      <c r="DG696" s="350"/>
      <c r="DH696" s="300"/>
      <c r="DI696" s="395" t="str">
        <f t="shared" ca="1" si="1061"/>
        <v/>
      </c>
      <c r="DJ696" s="478" t="str">
        <f t="shared" ca="1" si="1055"/>
        <v/>
      </c>
      <c r="DK696" s="360" t="str">
        <f t="shared" ca="1" si="1056"/>
        <v/>
      </c>
      <c r="DL696" s="354" t="str">
        <f t="shared" ca="1" si="1057"/>
        <v/>
      </c>
      <c r="DM696" s="354" t="str">
        <f t="shared" ca="1" si="1058"/>
        <v/>
      </c>
      <c r="DN696" s="361" t="str">
        <f t="shared" ca="1" si="1059"/>
        <v/>
      </c>
      <c r="DO696" s="362" t="str">
        <f t="shared" ca="1" si="1060"/>
        <v/>
      </c>
      <c r="DP696" s="379" t="str">
        <f t="shared" ca="1" si="1062"/>
        <v/>
      </c>
      <c r="DQ696" s="302"/>
      <c r="DR696" s="364"/>
      <c r="DS696" s="302"/>
      <c r="DU696" s="424"/>
      <c r="DV696" s="424"/>
      <c r="DW696" s="424"/>
      <c r="DX696" s="424"/>
      <c r="DY696" s="424"/>
      <c r="DZ696" s="424"/>
      <c r="EA696" s="424"/>
      <c r="EB696" s="424"/>
      <c r="EC696" s="424"/>
      <c r="ED696" s="424"/>
      <c r="EE696" s="424"/>
      <c r="EF696" s="424"/>
      <c r="EG696" s="424"/>
      <c r="EH696" s="424"/>
      <c r="EI696" s="424"/>
      <c r="EJ696" s="424"/>
      <c r="EK696" s="424"/>
      <c r="EL696" s="424"/>
      <c r="EM696" s="424"/>
      <c r="EN696" s="424"/>
      <c r="EO696" s="424"/>
      <c r="EP696" s="424"/>
      <c r="EQ696" s="424"/>
      <c r="ER696" s="398"/>
      <c r="ES696" s="329" t="s">
        <v>157</v>
      </c>
      <c r="ET696" s="329" t="s">
        <v>158</v>
      </c>
      <c r="EU696" s="399"/>
      <c r="EV696" s="400"/>
      <c r="EW696" s="401" t="s">
        <v>160</v>
      </c>
      <c r="EX696" s="402" t="s">
        <v>135</v>
      </c>
      <c r="EY696" s="398"/>
      <c r="EZ696" s="365"/>
      <c r="FA696" s="365"/>
      <c r="FB696" s="424"/>
      <c r="FC696" s="424"/>
      <c r="FD696" s="425"/>
      <c r="FE696" s="333"/>
    </row>
    <row r="697" spans="86:161" x14ac:dyDescent="0.25">
      <c r="CH697" s="350"/>
      <c r="CI697" s="350"/>
      <c r="CJ697" s="350"/>
      <c r="CK697" s="350"/>
      <c r="CL697" s="350"/>
      <c r="CM697" s="350"/>
      <c r="DG697" s="350"/>
      <c r="DH697" s="300"/>
      <c r="DI697" s="395" t="str">
        <f t="shared" ca="1" si="1061"/>
        <v/>
      </c>
      <c r="DJ697" s="478" t="str">
        <f t="shared" ca="1" si="1055"/>
        <v/>
      </c>
      <c r="DK697" s="360" t="str">
        <f t="shared" ca="1" si="1056"/>
        <v/>
      </c>
      <c r="DL697" s="354" t="str">
        <f t="shared" ca="1" si="1057"/>
        <v/>
      </c>
      <c r="DM697" s="354" t="str">
        <f t="shared" ca="1" si="1058"/>
        <v/>
      </c>
      <c r="DN697" s="361" t="str">
        <f t="shared" ca="1" si="1059"/>
        <v/>
      </c>
      <c r="DO697" s="362" t="str">
        <f t="shared" ca="1" si="1060"/>
        <v/>
      </c>
      <c r="DP697" s="379" t="str">
        <f t="shared" ca="1" si="1062"/>
        <v/>
      </c>
      <c r="DQ697" s="302"/>
      <c r="DR697" s="364"/>
      <c r="DS697" s="302"/>
      <c r="DU697" s="424"/>
      <c r="DV697" s="424"/>
      <c r="DW697" s="424"/>
      <c r="DX697" s="424"/>
      <c r="DY697" s="424"/>
      <c r="DZ697" s="424"/>
      <c r="EA697" s="424"/>
      <c r="EB697" s="424"/>
      <c r="EC697" s="424"/>
      <c r="ED697" s="424"/>
      <c r="EE697" s="424"/>
      <c r="EF697" s="424"/>
      <c r="EG697" s="424"/>
      <c r="EH697" s="424"/>
      <c r="EI697" s="424"/>
      <c r="EJ697" s="424"/>
      <c r="EK697" s="424"/>
      <c r="EL697" s="424"/>
      <c r="EM697" s="424"/>
      <c r="EN697" s="424"/>
      <c r="EO697" s="424"/>
      <c r="EP697" s="424"/>
      <c r="EQ697" s="424"/>
      <c r="ER697" s="404" t="str">
        <f ca="1">ER694</f>
        <v/>
      </c>
      <c r="ES697" s="371" t="str">
        <f ca="1">IF(OR(ER697="",EY697="",ER697=EY697),"",CONCATENATE(ER697,EY697))</f>
        <v/>
      </c>
      <c r="ET697" s="369" t="str">
        <f ca="1">IF(ES697="","",CONCATENATE(VLOOKUP(ES697,games.a,9,FALSE),VLOOKUP(ES697,games.a,12,FALSE)))</f>
        <v/>
      </c>
      <c r="EU697" s="406"/>
      <c r="EV697" s="407"/>
      <c r="EW697" s="423" t="str">
        <f ca="1">IF(ES697="","",VLOOKUP(ES697,games.a,6,FALSE))</f>
        <v/>
      </c>
      <c r="EX697" s="409" t="str">
        <f ca="1">IF(ES697="","",VLOOKUP(ES697,games.a,7,FALSE))</f>
        <v/>
      </c>
      <c r="EY697" s="410" t="str">
        <f ca="1">ER695</f>
        <v/>
      </c>
      <c r="EZ697" s="411"/>
      <c r="FA697" s="412"/>
      <c r="FB697" s="424"/>
      <c r="FC697" s="424"/>
      <c r="FD697" s="425"/>
      <c r="FE697" s="333"/>
    </row>
    <row r="698" spans="86:161" x14ac:dyDescent="0.25">
      <c r="CH698" s="350"/>
      <c r="CI698" s="350"/>
      <c r="CJ698" s="350"/>
      <c r="CK698" s="350"/>
      <c r="CL698" s="350"/>
      <c r="CM698" s="350"/>
      <c r="DG698" s="350"/>
      <c r="DH698" s="300"/>
      <c r="DI698" s="301"/>
      <c r="DJ698" s="471" t="s">
        <v>157</v>
      </c>
      <c r="DK698" s="471" t="s">
        <v>158</v>
      </c>
      <c r="DL698" s="472" t="s">
        <v>159</v>
      </c>
      <c r="DM698" s="472"/>
      <c r="DN698" s="473" t="s">
        <v>160</v>
      </c>
      <c r="DO698" s="472" t="s">
        <v>135</v>
      </c>
      <c r="DP698" s="302"/>
      <c r="DQ698" s="302"/>
      <c r="DR698" s="364"/>
      <c r="DS698" s="302"/>
      <c r="DU698" s="424"/>
      <c r="DV698" s="424"/>
      <c r="DW698" s="424"/>
      <c r="DX698" s="424"/>
      <c r="DY698" s="424"/>
      <c r="DZ698" s="424"/>
      <c r="EA698" s="424"/>
      <c r="EB698" s="424"/>
      <c r="EC698" s="424"/>
      <c r="ED698" s="424"/>
      <c r="EE698" s="424"/>
      <c r="EF698" s="424"/>
      <c r="EG698" s="424"/>
      <c r="EH698" s="424"/>
      <c r="EI698" s="424"/>
      <c r="EJ698" s="424"/>
      <c r="EK698" s="424"/>
      <c r="EL698" s="424"/>
      <c r="EM698" s="424"/>
      <c r="EN698" s="424"/>
      <c r="EO698" s="424"/>
      <c r="EP698" s="424"/>
      <c r="EQ698" s="424"/>
      <c r="ER698" s="404" t="str">
        <f ca="1">ER695</f>
        <v/>
      </c>
      <c r="ES698" s="371" t="str">
        <f ca="1">IF(OR(ER698="",EY698="",ER698=EY698),"",CONCATENATE(ER698,EY698))</f>
        <v/>
      </c>
      <c r="ET698" s="369" t="str">
        <f ca="1">IF(ES698="","",CONCATENATE(VLOOKUP(ES698,games.a,9,FALSE),VLOOKUP(ES698,games.a,12,FALSE)))</f>
        <v/>
      </c>
      <c r="EU698" s="420"/>
      <c r="EV698" s="421"/>
      <c r="EW698" s="423" t="str">
        <f ca="1">IF(ES698="","",VLOOKUP(ES698,games.a,6,FALSE))</f>
        <v/>
      </c>
      <c r="EX698" s="409" t="str">
        <f ca="1">IF(ES698="","",VLOOKUP(ES698,games.a,7,FALSE))</f>
        <v/>
      </c>
      <c r="EY698" s="415" t="str">
        <f ca="1">EY697</f>
        <v/>
      </c>
      <c r="EZ698" s="416"/>
      <c r="FA698" s="417"/>
      <c r="FB698" s="424"/>
      <c r="FC698" s="424"/>
      <c r="FD698" s="425"/>
      <c r="FE698" s="333"/>
    </row>
    <row r="699" spans="86:161" x14ac:dyDescent="0.25">
      <c r="CH699" s="350"/>
      <c r="CI699" s="350"/>
      <c r="CJ699" s="350"/>
      <c r="CK699" s="350"/>
      <c r="CL699" s="350"/>
      <c r="CM699" s="350"/>
      <c r="DG699" s="350"/>
      <c r="DH699" s="300"/>
      <c r="DI699" s="395" t="str">
        <f ca="1">DI688</f>
        <v>Hercules-Ludovika</v>
      </c>
      <c r="DJ699" s="478" t="str">
        <f t="shared" ref="DJ699:DJ708" ca="1" si="1063">IF(OR(DI699="",DP699="",DI699=DP699,COUNTIF(games.an,DI699&amp;DP699)=0),"",CONCATENATE(DI699,DP699))</f>
        <v/>
      </c>
      <c r="DK699" s="360" t="str">
        <f t="shared" ref="DK699:DK708" ca="1" si="1064">IF($DJ699="","",CONCATENATE(VLOOKUP($DJ699,games.a,9,FALSE),VLOOKUP($DJ699,games.a,12,FALSE)))</f>
        <v/>
      </c>
      <c r="DL699" s="354" t="str">
        <f t="shared" ref="DL699:DL708" ca="1" si="1065">IF($DJ699="","",VLOOKUP($DJ699,games.a,10,FALSE))</f>
        <v/>
      </c>
      <c r="DM699" s="354" t="str">
        <f t="shared" ref="DM699:DM708" ca="1" si="1066">IF($DJ699="","",VLOOKUP($DJ699,games.a,13,FALSE))</f>
        <v/>
      </c>
      <c r="DN699" s="361" t="str">
        <f t="shared" ref="DN699:DN708" ca="1" si="1067">IF($DJ699="","",VLOOKUP($DJ699,games.a,6,FALSE))</f>
        <v/>
      </c>
      <c r="DO699" s="362" t="str">
        <f t="shared" ref="DO699:DO708" ca="1" si="1068">IF($DJ699="","",VLOOKUP($DJ699,games.a,7,FALSE))</f>
        <v/>
      </c>
      <c r="DP699" s="479" t="str">
        <f ca="1">DI649</f>
        <v/>
      </c>
      <c r="DQ699" s="302"/>
      <c r="DR699" s="364"/>
      <c r="DS699" s="302"/>
      <c r="DU699" s="424"/>
      <c r="DV699" s="424"/>
      <c r="DW699" s="424"/>
      <c r="DX699" s="424"/>
      <c r="DY699" s="424"/>
      <c r="DZ699" s="424"/>
      <c r="EA699" s="424"/>
      <c r="EB699" s="424"/>
      <c r="EC699" s="424"/>
      <c r="ED699" s="424"/>
      <c r="EE699" s="424"/>
      <c r="EF699" s="424"/>
      <c r="EG699" s="424"/>
      <c r="EH699" s="424"/>
      <c r="EI699" s="424"/>
      <c r="EJ699" s="424"/>
      <c r="EK699" s="424"/>
      <c r="EL699" s="424"/>
      <c r="EM699" s="424"/>
      <c r="EN699" s="424"/>
      <c r="EO699" s="424"/>
      <c r="EP699" s="424"/>
      <c r="EQ699" s="424"/>
      <c r="ER699" s="424"/>
      <c r="ES699" s="424"/>
      <c r="ET699" s="424"/>
      <c r="EU699" s="424"/>
      <c r="EV699" s="424"/>
      <c r="EW699" s="424"/>
      <c r="EX699" s="424"/>
      <c r="EY699" s="424"/>
      <c r="EZ699" s="424"/>
      <c r="FA699" s="424"/>
      <c r="FB699" s="424"/>
      <c r="FC699" s="424"/>
      <c r="FD699" s="425"/>
      <c r="FE699" s="333"/>
    </row>
    <row r="700" spans="86:161" x14ac:dyDescent="0.25">
      <c r="CH700" s="350"/>
      <c r="CI700" s="350"/>
      <c r="CJ700" s="350"/>
      <c r="CK700" s="350"/>
      <c r="CL700" s="350"/>
      <c r="CM700" s="350"/>
      <c r="DG700" s="350"/>
      <c r="DH700" s="300"/>
      <c r="DI700" s="395" t="str">
        <f t="shared" ref="DI700:DI708" ca="1" si="1069">DI689</f>
        <v>Élelmesek</v>
      </c>
      <c r="DJ700" s="478" t="str">
        <f t="shared" ca="1" si="1063"/>
        <v/>
      </c>
      <c r="DK700" s="360" t="str">
        <f t="shared" ca="1" si="1064"/>
        <v/>
      </c>
      <c r="DL700" s="354" t="str">
        <f t="shared" ca="1" si="1065"/>
        <v/>
      </c>
      <c r="DM700" s="354" t="str">
        <f t="shared" ca="1" si="1066"/>
        <v/>
      </c>
      <c r="DN700" s="361" t="str">
        <f t="shared" ca="1" si="1067"/>
        <v/>
      </c>
      <c r="DO700" s="362" t="str">
        <f t="shared" ca="1" si="1068"/>
        <v/>
      </c>
      <c r="DP700" s="379" t="str">
        <f ca="1">DP699</f>
        <v/>
      </c>
      <c r="DQ700" s="302"/>
      <c r="DR700" s="364"/>
      <c r="DS700" s="302"/>
      <c r="DU700" s="424"/>
      <c r="DV700" s="424"/>
      <c r="DW700" s="424"/>
      <c r="DX700" s="424"/>
      <c r="DY700" s="424"/>
      <c r="DZ700" s="424"/>
      <c r="EA700" s="424"/>
      <c r="EB700" s="424"/>
      <c r="EC700" s="424"/>
      <c r="ED700" s="424"/>
      <c r="EE700" s="424"/>
      <c r="EF700" s="424"/>
      <c r="EG700" s="424"/>
      <c r="EH700" s="424"/>
      <c r="EI700" s="424"/>
      <c r="EJ700" s="424"/>
      <c r="EK700" s="424"/>
      <c r="EL700" s="424"/>
      <c r="EM700" s="424"/>
      <c r="EN700" s="424"/>
      <c r="EO700" s="424"/>
      <c r="EP700" s="424"/>
      <c r="EQ700" s="424"/>
      <c r="ER700" s="424"/>
      <c r="ES700" s="424"/>
      <c r="ET700" s="424"/>
      <c r="EU700" s="424"/>
      <c r="EV700" s="424"/>
      <c r="EW700" s="424"/>
      <c r="EX700" s="424"/>
      <c r="EY700" s="424"/>
      <c r="EZ700" s="424"/>
      <c r="FA700" s="424"/>
      <c r="FB700" s="424"/>
      <c r="FC700" s="424"/>
      <c r="FD700" s="425"/>
      <c r="FE700" s="333"/>
    </row>
    <row r="701" spans="86:161" x14ac:dyDescent="0.25">
      <c r="CH701" s="350"/>
      <c r="CI701" s="350"/>
      <c r="CJ701" s="350"/>
      <c r="CK701" s="350"/>
      <c r="CL701" s="350"/>
      <c r="CM701" s="350"/>
      <c r="DG701" s="350"/>
      <c r="DH701" s="300"/>
      <c r="DI701" s="395" t="str">
        <f t="shared" ca="1" si="1069"/>
        <v/>
      </c>
      <c r="DJ701" s="478" t="str">
        <f t="shared" ca="1" si="1063"/>
        <v/>
      </c>
      <c r="DK701" s="360" t="str">
        <f t="shared" ca="1" si="1064"/>
        <v/>
      </c>
      <c r="DL701" s="354" t="str">
        <f t="shared" ca="1" si="1065"/>
        <v/>
      </c>
      <c r="DM701" s="354" t="str">
        <f t="shared" ca="1" si="1066"/>
        <v/>
      </c>
      <c r="DN701" s="361" t="str">
        <f t="shared" ca="1" si="1067"/>
        <v/>
      </c>
      <c r="DO701" s="362" t="str">
        <f t="shared" ca="1" si="1068"/>
        <v/>
      </c>
      <c r="DP701" s="379" t="str">
        <f t="shared" ref="DP701:DP708" ca="1" si="1070">DP700</f>
        <v/>
      </c>
      <c r="DQ701" s="302"/>
      <c r="DR701" s="364"/>
      <c r="DS701" s="302"/>
      <c r="DU701" s="424"/>
      <c r="DV701" s="424"/>
      <c r="DW701" s="424"/>
      <c r="DX701" s="424"/>
      <c r="DY701" s="424"/>
      <c r="DZ701" s="424"/>
      <c r="EA701" s="424"/>
      <c r="EB701" s="424"/>
      <c r="EC701" s="424"/>
      <c r="ED701" s="424"/>
      <c r="EE701" s="424"/>
      <c r="EF701" s="424"/>
      <c r="EG701" s="424"/>
      <c r="EH701" s="424"/>
      <c r="EI701" s="424"/>
      <c r="EJ701" s="424"/>
      <c r="EK701" s="424"/>
      <c r="EL701" s="424"/>
      <c r="EM701" s="424"/>
      <c r="EN701" s="424"/>
      <c r="EO701" s="424"/>
      <c r="EP701" s="424"/>
      <c r="EQ701" s="424"/>
      <c r="ER701" s="424"/>
      <c r="ES701" s="424"/>
      <c r="ET701" s="424"/>
      <c r="EU701" s="424"/>
      <c r="EV701" s="424"/>
      <c r="EW701" s="424"/>
      <c r="EX701" s="424"/>
      <c r="EY701" s="424"/>
      <c r="EZ701" s="424"/>
      <c r="FA701" s="424"/>
      <c r="FB701" s="424"/>
      <c r="FC701" s="424"/>
      <c r="FD701" s="425"/>
      <c r="FE701" s="333"/>
    </row>
    <row r="702" spans="86:161" x14ac:dyDescent="0.25">
      <c r="CH702" s="350"/>
      <c r="CI702" s="350"/>
      <c r="CJ702" s="350"/>
      <c r="CK702" s="350"/>
      <c r="CL702" s="350"/>
      <c r="CM702" s="350"/>
      <c r="DG702" s="350"/>
      <c r="DH702" s="300"/>
      <c r="DI702" s="395" t="str">
        <f t="shared" ca="1" si="1069"/>
        <v/>
      </c>
      <c r="DJ702" s="478" t="str">
        <f t="shared" ca="1" si="1063"/>
        <v/>
      </c>
      <c r="DK702" s="360" t="str">
        <f t="shared" ca="1" si="1064"/>
        <v/>
      </c>
      <c r="DL702" s="354" t="str">
        <f t="shared" ca="1" si="1065"/>
        <v/>
      </c>
      <c r="DM702" s="354" t="str">
        <f t="shared" ca="1" si="1066"/>
        <v/>
      </c>
      <c r="DN702" s="361" t="str">
        <f t="shared" ca="1" si="1067"/>
        <v/>
      </c>
      <c r="DO702" s="362" t="str">
        <f t="shared" ca="1" si="1068"/>
        <v/>
      </c>
      <c r="DP702" s="379" t="str">
        <f t="shared" ca="1" si="1070"/>
        <v/>
      </c>
      <c r="DQ702" s="302"/>
      <c r="DR702" s="364"/>
      <c r="DS702" s="302"/>
      <c r="DU702" s="424"/>
      <c r="DV702" s="424"/>
      <c r="DW702" s="424"/>
      <c r="DX702" s="424"/>
      <c r="DY702" s="424"/>
      <c r="DZ702" s="424"/>
      <c r="EA702" s="424"/>
      <c r="EB702" s="424"/>
      <c r="EC702" s="424"/>
      <c r="ED702" s="424"/>
      <c r="EE702" s="424"/>
      <c r="EF702" s="424"/>
      <c r="EG702" s="424"/>
      <c r="EH702" s="424"/>
      <c r="EI702" s="424"/>
      <c r="EJ702" s="424"/>
      <c r="EK702" s="424"/>
      <c r="EL702" s="424"/>
      <c r="EM702" s="424"/>
      <c r="EN702" s="424"/>
      <c r="EO702" s="424"/>
      <c r="EP702" s="424"/>
      <c r="EQ702" s="424"/>
      <c r="ER702" s="424"/>
      <c r="ES702" s="424"/>
      <c r="ET702" s="424"/>
      <c r="EU702" s="424"/>
      <c r="EV702" s="424"/>
      <c r="EW702" s="424"/>
      <c r="EX702" s="424"/>
      <c r="EY702" s="424"/>
      <c r="EZ702" s="424"/>
      <c r="FA702" s="424"/>
      <c r="FB702" s="424"/>
      <c r="FC702" s="424"/>
      <c r="FD702" s="425"/>
      <c r="FE702" s="333"/>
    </row>
    <row r="703" spans="86:161" x14ac:dyDescent="0.25">
      <c r="CH703" s="350"/>
      <c r="CI703" s="350"/>
      <c r="CJ703" s="350"/>
      <c r="CK703" s="350"/>
      <c r="CL703" s="350"/>
      <c r="CM703" s="350"/>
      <c r="DG703" s="350"/>
      <c r="DH703" s="300"/>
      <c r="DI703" s="395" t="str">
        <f t="shared" ca="1" si="1069"/>
        <v/>
      </c>
      <c r="DJ703" s="478" t="str">
        <f t="shared" ca="1" si="1063"/>
        <v/>
      </c>
      <c r="DK703" s="360" t="str">
        <f t="shared" ca="1" si="1064"/>
        <v/>
      </c>
      <c r="DL703" s="354" t="str">
        <f t="shared" ca="1" si="1065"/>
        <v/>
      </c>
      <c r="DM703" s="354" t="str">
        <f t="shared" ca="1" si="1066"/>
        <v/>
      </c>
      <c r="DN703" s="361" t="str">
        <f t="shared" ca="1" si="1067"/>
        <v/>
      </c>
      <c r="DO703" s="362" t="str">
        <f t="shared" ca="1" si="1068"/>
        <v/>
      </c>
      <c r="DP703" s="379" t="str">
        <f t="shared" ca="1" si="1070"/>
        <v/>
      </c>
      <c r="DQ703" s="302"/>
      <c r="DR703" s="364"/>
      <c r="DS703" s="302"/>
      <c r="DU703" s="424"/>
      <c r="DV703" s="424"/>
      <c r="DW703" s="424"/>
      <c r="DX703" s="424"/>
      <c r="DY703" s="424"/>
      <c r="DZ703" s="424"/>
      <c r="EA703" s="424"/>
      <c r="EB703" s="424"/>
      <c r="EC703" s="424"/>
      <c r="ED703" s="424"/>
      <c r="EE703" s="424"/>
      <c r="EF703" s="424"/>
      <c r="EG703" s="424"/>
      <c r="EH703" s="424"/>
      <c r="EI703" s="424"/>
      <c r="EJ703" s="424"/>
      <c r="EK703" s="424"/>
      <c r="EL703" s="424"/>
      <c r="EM703" s="424"/>
      <c r="EN703" s="424"/>
      <c r="EO703" s="424"/>
      <c r="EP703" s="424"/>
      <c r="EQ703" s="424"/>
      <c r="ER703" s="424"/>
      <c r="ES703" s="424"/>
      <c r="ET703" s="424"/>
      <c r="EU703" s="424"/>
      <c r="EV703" s="424"/>
      <c r="EW703" s="424"/>
      <c r="EX703" s="424"/>
      <c r="EY703" s="424"/>
      <c r="EZ703" s="424"/>
      <c r="FA703" s="424"/>
      <c r="FB703" s="424"/>
      <c r="FC703" s="424"/>
      <c r="FD703" s="425"/>
      <c r="FE703" s="333"/>
    </row>
    <row r="704" spans="86:161" x14ac:dyDescent="0.25">
      <c r="CH704" s="350"/>
      <c r="CI704" s="350"/>
      <c r="CJ704" s="350"/>
      <c r="CK704" s="350"/>
      <c r="CL704" s="350"/>
      <c r="CM704" s="350"/>
      <c r="DG704" s="350"/>
      <c r="DH704" s="300"/>
      <c r="DI704" s="395" t="str">
        <f t="shared" ca="1" si="1069"/>
        <v/>
      </c>
      <c r="DJ704" s="478" t="str">
        <f t="shared" ca="1" si="1063"/>
        <v/>
      </c>
      <c r="DK704" s="360" t="str">
        <f t="shared" ca="1" si="1064"/>
        <v/>
      </c>
      <c r="DL704" s="354" t="str">
        <f t="shared" ca="1" si="1065"/>
        <v/>
      </c>
      <c r="DM704" s="354" t="str">
        <f t="shared" ca="1" si="1066"/>
        <v/>
      </c>
      <c r="DN704" s="361" t="str">
        <f t="shared" ca="1" si="1067"/>
        <v/>
      </c>
      <c r="DO704" s="362" t="str">
        <f t="shared" ca="1" si="1068"/>
        <v/>
      </c>
      <c r="DP704" s="379" t="str">
        <f t="shared" ca="1" si="1070"/>
        <v/>
      </c>
      <c r="DQ704" s="302"/>
      <c r="DR704" s="364"/>
      <c r="DS704" s="302"/>
      <c r="DU704" s="424"/>
      <c r="DV704" s="424"/>
      <c r="DW704" s="424"/>
      <c r="DX704" s="424"/>
      <c r="DY704" s="424"/>
      <c r="DZ704" s="424"/>
      <c r="EA704" s="424"/>
      <c r="EB704" s="424"/>
      <c r="EC704" s="424"/>
      <c r="ED704" s="424"/>
      <c r="EE704" s="424"/>
      <c r="EF704" s="424"/>
      <c r="EG704" s="424"/>
      <c r="EH704" s="424"/>
      <c r="EI704" s="424"/>
      <c r="EJ704" s="424"/>
      <c r="EK704" s="424"/>
      <c r="EL704" s="424"/>
      <c r="EM704" s="424"/>
      <c r="EN704" s="424"/>
      <c r="EO704" s="424"/>
      <c r="EP704" s="424"/>
      <c r="EQ704" s="424"/>
      <c r="ER704" s="424"/>
      <c r="ES704" s="424"/>
      <c r="ET704" s="424"/>
      <c r="EU704" s="424"/>
      <c r="EV704" s="424"/>
      <c r="EW704" s="424"/>
      <c r="EX704" s="424"/>
      <c r="EY704" s="424"/>
      <c r="EZ704" s="424"/>
      <c r="FA704" s="424"/>
      <c r="FB704" s="424"/>
      <c r="FC704" s="424"/>
      <c r="FD704" s="425"/>
      <c r="FE704" s="333"/>
    </row>
    <row r="705" spans="86:161" x14ac:dyDescent="0.25">
      <c r="CH705" s="350"/>
      <c r="CI705" s="350"/>
      <c r="CJ705" s="350"/>
      <c r="CK705" s="350"/>
      <c r="CL705" s="350"/>
      <c r="CM705" s="350"/>
      <c r="DG705" s="350"/>
      <c r="DH705" s="300"/>
      <c r="DI705" s="395" t="str">
        <f t="shared" ca="1" si="1069"/>
        <v/>
      </c>
      <c r="DJ705" s="478" t="str">
        <f t="shared" ca="1" si="1063"/>
        <v/>
      </c>
      <c r="DK705" s="360" t="str">
        <f t="shared" ca="1" si="1064"/>
        <v/>
      </c>
      <c r="DL705" s="354" t="str">
        <f t="shared" ca="1" si="1065"/>
        <v/>
      </c>
      <c r="DM705" s="354" t="str">
        <f t="shared" ca="1" si="1066"/>
        <v/>
      </c>
      <c r="DN705" s="361" t="str">
        <f t="shared" ca="1" si="1067"/>
        <v/>
      </c>
      <c r="DO705" s="362" t="str">
        <f t="shared" ca="1" si="1068"/>
        <v/>
      </c>
      <c r="DP705" s="379" t="str">
        <f t="shared" ca="1" si="1070"/>
        <v/>
      </c>
      <c r="DQ705" s="302"/>
      <c r="DR705" s="364"/>
      <c r="DS705" s="302"/>
      <c r="DU705" s="424"/>
      <c r="DV705" s="424"/>
      <c r="DW705" s="424"/>
      <c r="DX705" s="424"/>
      <c r="DY705" s="424"/>
      <c r="DZ705" s="424"/>
      <c r="EA705" s="424"/>
      <c r="EB705" s="424"/>
      <c r="EC705" s="424"/>
      <c r="ED705" s="424"/>
      <c r="EE705" s="424"/>
      <c r="EF705" s="424"/>
      <c r="EG705" s="424"/>
      <c r="EH705" s="424"/>
      <c r="EI705" s="424"/>
      <c r="EJ705" s="424"/>
      <c r="EK705" s="424"/>
      <c r="EL705" s="424"/>
      <c r="EM705" s="424"/>
      <c r="EN705" s="424"/>
      <c r="EO705" s="424"/>
      <c r="EP705" s="424"/>
      <c r="EQ705" s="424"/>
      <c r="ER705" s="424"/>
      <c r="ES705" s="424"/>
      <c r="ET705" s="424"/>
      <c r="EU705" s="424"/>
      <c r="EV705" s="424"/>
      <c r="EW705" s="424"/>
      <c r="EX705" s="424"/>
      <c r="EY705" s="424"/>
      <c r="EZ705" s="424"/>
      <c r="FA705" s="424"/>
      <c r="FB705" s="424"/>
      <c r="FC705" s="424"/>
      <c r="FD705" s="425"/>
      <c r="FE705" s="333"/>
    </row>
    <row r="706" spans="86:161" x14ac:dyDescent="0.25">
      <c r="CH706" s="350"/>
      <c r="CI706" s="350"/>
      <c r="CJ706" s="350"/>
      <c r="CK706" s="350"/>
      <c r="CL706" s="350"/>
      <c r="CM706" s="350"/>
      <c r="DG706" s="350"/>
      <c r="DH706" s="300"/>
      <c r="DI706" s="395" t="str">
        <f t="shared" ca="1" si="1069"/>
        <v/>
      </c>
      <c r="DJ706" s="478" t="str">
        <f t="shared" ca="1" si="1063"/>
        <v/>
      </c>
      <c r="DK706" s="360" t="str">
        <f t="shared" ca="1" si="1064"/>
        <v/>
      </c>
      <c r="DL706" s="354" t="str">
        <f t="shared" ca="1" si="1065"/>
        <v/>
      </c>
      <c r="DM706" s="354" t="str">
        <f t="shared" ca="1" si="1066"/>
        <v/>
      </c>
      <c r="DN706" s="361" t="str">
        <f t="shared" ca="1" si="1067"/>
        <v/>
      </c>
      <c r="DO706" s="362" t="str">
        <f t="shared" ca="1" si="1068"/>
        <v/>
      </c>
      <c r="DP706" s="379" t="str">
        <f t="shared" ca="1" si="1070"/>
        <v/>
      </c>
      <c r="DQ706" s="302"/>
      <c r="DR706" s="364"/>
      <c r="DS706" s="302"/>
      <c r="DU706" s="424"/>
      <c r="DV706" s="424"/>
      <c r="DW706" s="424"/>
      <c r="DX706" s="424"/>
      <c r="DY706" s="424"/>
      <c r="DZ706" s="424"/>
      <c r="EA706" s="424"/>
      <c r="EB706" s="424"/>
      <c r="EC706" s="424"/>
      <c r="ED706" s="424"/>
      <c r="EE706" s="424"/>
      <c r="EF706" s="424"/>
      <c r="EG706" s="424"/>
      <c r="EH706" s="424"/>
      <c r="EI706" s="424"/>
      <c r="EJ706" s="424"/>
      <c r="EK706" s="424"/>
      <c r="EL706" s="424"/>
      <c r="EM706" s="424"/>
      <c r="EN706" s="424"/>
      <c r="EO706" s="424"/>
      <c r="EP706" s="424"/>
      <c r="EQ706" s="424"/>
      <c r="ER706" s="424"/>
      <c r="ES706" s="424"/>
      <c r="ET706" s="424"/>
      <c r="EU706" s="424"/>
      <c r="EV706" s="424"/>
      <c r="EW706" s="424"/>
      <c r="EX706" s="424"/>
      <c r="EY706" s="424"/>
      <c r="EZ706" s="424"/>
      <c r="FA706" s="424"/>
      <c r="FB706" s="424"/>
      <c r="FC706" s="424"/>
      <c r="FD706" s="425"/>
      <c r="FE706" s="333"/>
    </row>
    <row r="707" spans="86:161" x14ac:dyDescent="0.25">
      <c r="CH707" s="350"/>
      <c r="CI707" s="350"/>
      <c r="CJ707" s="350"/>
      <c r="CK707" s="350"/>
      <c r="CL707" s="350"/>
      <c r="CM707" s="350"/>
      <c r="DG707" s="350"/>
      <c r="DH707" s="300"/>
      <c r="DI707" s="395" t="str">
        <f t="shared" ca="1" si="1069"/>
        <v/>
      </c>
      <c r="DJ707" s="478" t="str">
        <f t="shared" ca="1" si="1063"/>
        <v/>
      </c>
      <c r="DK707" s="360" t="str">
        <f t="shared" ca="1" si="1064"/>
        <v/>
      </c>
      <c r="DL707" s="354" t="str">
        <f t="shared" ca="1" si="1065"/>
        <v/>
      </c>
      <c r="DM707" s="354" t="str">
        <f t="shared" ca="1" si="1066"/>
        <v/>
      </c>
      <c r="DN707" s="361" t="str">
        <f t="shared" ca="1" si="1067"/>
        <v/>
      </c>
      <c r="DO707" s="362" t="str">
        <f t="shared" ca="1" si="1068"/>
        <v/>
      </c>
      <c r="DP707" s="379" t="str">
        <f t="shared" ca="1" si="1070"/>
        <v/>
      </c>
      <c r="DQ707" s="302"/>
      <c r="DR707" s="364"/>
      <c r="DS707" s="302"/>
      <c r="DU707" s="424"/>
      <c r="DV707" s="424"/>
      <c r="DW707" s="424"/>
      <c r="DX707" s="424"/>
      <c r="DY707" s="424"/>
      <c r="DZ707" s="424"/>
      <c r="EA707" s="424"/>
      <c r="EB707" s="424"/>
      <c r="EC707" s="424"/>
      <c r="ED707" s="424"/>
      <c r="EE707" s="424"/>
      <c r="EF707" s="424"/>
      <c r="EG707" s="424"/>
      <c r="EH707" s="424"/>
      <c r="EI707" s="424"/>
      <c r="EJ707" s="424"/>
      <c r="EK707" s="424"/>
      <c r="EL707" s="424"/>
      <c r="EM707" s="424"/>
      <c r="EN707" s="424"/>
      <c r="EO707" s="424"/>
      <c r="EP707" s="424"/>
      <c r="EQ707" s="424"/>
      <c r="ER707" s="424"/>
      <c r="ES707" s="424"/>
      <c r="ET707" s="424"/>
      <c r="EU707" s="424"/>
      <c r="EV707" s="424"/>
      <c r="EW707" s="424"/>
      <c r="EX707" s="424"/>
      <c r="EY707" s="424"/>
      <c r="EZ707" s="424"/>
      <c r="FA707" s="424"/>
      <c r="FB707" s="424"/>
      <c r="FC707" s="424"/>
      <c r="FD707" s="425"/>
      <c r="FE707" s="333"/>
    </row>
    <row r="708" spans="86:161" x14ac:dyDescent="0.25">
      <c r="CH708" s="350"/>
      <c r="CI708" s="350"/>
      <c r="CJ708" s="350"/>
      <c r="CK708" s="350"/>
      <c r="CL708" s="350"/>
      <c r="CM708" s="350"/>
      <c r="DG708" s="350"/>
      <c r="DH708" s="300"/>
      <c r="DI708" s="395" t="str">
        <f t="shared" ca="1" si="1069"/>
        <v/>
      </c>
      <c r="DJ708" s="478" t="str">
        <f t="shared" ca="1" si="1063"/>
        <v/>
      </c>
      <c r="DK708" s="360" t="str">
        <f t="shared" ca="1" si="1064"/>
        <v/>
      </c>
      <c r="DL708" s="354" t="str">
        <f t="shared" ca="1" si="1065"/>
        <v/>
      </c>
      <c r="DM708" s="354" t="str">
        <f t="shared" ca="1" si="1066"/>
        <v/>
      </c>
      <c r="DN708" s="361" t="str">
        <f t="shared" ca="1" si="1067"/>
        <v/>
      </c>
      <c r="DO708" s="362" t="str">
        <f t="shared" ca="1" si="1068"/>
        <v/>
      </c>
      <c r="DP708" s="379" t="str">
        <f t="shared" ca="1" si="1070"/>
        <v/>
      </c>
      <c r="DQ708" s="302"/>
      <c r="DR708" s="364"/>
      <c r="DS708" s="302"/>
      <c r="DU708" s="424"/>
      <c r="DV708" s="424"/>
      <c r="DW708" s="424"/>
      <c r="DX708" s="424"/>
      <c r="DY708" s="424"/>
      <c r="DZ708" s="424"/>
      <c r="EA708" s="424"/>
      <c r="EB708" s="424"/>
      <c r="EC708" s="424"/>
      <c r="ED708" s="424"/>
      <c r="EE708" s="424"/>
      <c r="EF708" s="424"/>
      <c r="EG708" s="424"/>
      <c r="EH708" s="424"/>
      <c r="EI708" s="424"/>
      <c r="EJ708" s="424"/>
      <c r="EK708" s="424"/>
      <c r="EL708" s="424"/>
      <c r="EM708" s="424"/>
      <c r="EN708" s="424"/>
      <c r="EO708" s="424"/>
      <c r="EP708" s="424"/>
      <c r="EQ708" s="424"/>
      <c r="ER708" s="424"/>
      <c r="ES708" s="424"/>
      <c r="ET708" s="424"/>
      <c r="EU708" s="424"/>
      <c r="EV708" s="424"/>
      <c r="EW708" s="424"/>
      <c r="EX708" s="424"/>
      <c r="EY708" s="424"/>
      <c r="EZ708" s="424"/>
      <c r="FA708" s="424"/>
      <c r="FB708" s="424"/>
      <c r="FC708" s="424"/>
      <c r="FD708" s="425"/>
      <c r="FE708" s="333"/>
    </row>
    <row r="709" spans="86:161" x14ac:dyDescent="0.25">
      <c r="CH709" s="350"/>
      <c r="CI709" s="350"/>
      <c r="CJ709" s="350"/>
      <c r="CK709" s="350"/>
      <c r="CL709" s="350"/>
      <c r="CM709" s="350"/>
      <c r="DG709" s="350"/>
      <c r="DH709" s="300"/>
      <c r="DI709" s="301"/>
      <c r="DJ709" s="471" t="s">
        <v>157</v>
      </c>
      <c r="DK709" s="471" t="s">
        <v>158</v>
      </c>
      <c r="DL709" s="472" t="s">
        <v>159</v>
      </c>
      <c r="DM709" s="472"/>
      <c r="DN709" s="473" t="s">
        <v>160</v>
      </c>
      <c r="DO709" s="472" t="s">
        <v>135</v>
      </c>
      <c r="DP709" s="302"/>
      <c r="DQ709" s="302"/>
      <c r="DR709" s="364"/>
      <c r="DS709" s="302"/>
      <c r="DU709" s="424"/>
      <c r="DV709" s="424"/>
      <c r="DW709" s="424"/>
      <c r="DX709" s="424"/>
      <c r="DY709" s="424"/>
      <c r="DZ709" s="424"/>
      <c r="EA709" s="424"/>
      <c r="EB709" s="424"/>
      <c r="EC709" s="424"/>
      <c r="ED709" s="424"/>
      <c r="EE709" s="424"/>
      <c r="EF709" s="424"/>
      <c r="EG709" s="424"/>
      <c r="EH709" s="424"/>
      <c r="EI709" s="424"/>
      <c r="EJ709" s="424"/>
      <c r="EK709" s="424"/>
      <c r="EL709" s="424"/>
      <c r="EM709" s="424"/>
      <c r="EN709" s="424"/>
      <c r="EO709" s="424"/>
      <c r="EP709" s="424"/>
      <c r="EQ709" s="424"/>
      <c r="ER709" s="424"/>
      <c r="ES709" s="424"/>
      <c r="ET709" s="424"/>
      <c r="EU709" s="424"/>
      <c r="EV709" s="424"/>
      <c r="EW709" s="424"/>
      <c r="EX709" s="424"/>
      <c r="EY709" s="424"/>
      <c r="EZ709" s="424"/>
      <c r="FA709" s="424"/>
      <c r="FB709" s="424"/>
      <c r="FC709" s="424"/>
      <c r="FD709" s="425"/>
      <c r="FE709" s="333"/>
    </row>
    <row r="710" spans="86:161" x14ac:dyDescent="0.25">
      <c r="CH710" s="350"/>
      <c r="CI710" s="350"/>
      <c r="CJ710" s="350"/>
      <c r="CK710" s="350"/>
      <c r="CL710" s="350"/>
      <c r="CM710" s="350"/>
      <c r="DG710" s="350"/>
      <c r="DH710" s="300"/>
      <c r="DI710" s="395" t="str">
        <f ca="1">DI699</f>
        <v>Hercules-Ludovika</v>
      </c>
      <c r="DJ710" s="478" t="str">
        <f t="shared" ref="DJ710:DJ719" ca="1" si="1071">IF(OR(DI710="",DP710="",DI710=DP710,COUNTIF(games.an,DI710&amp;DP710)=0),"",CONCATENATE(DI710,DP710))</f>
        <v/>
      </c>
      <c r="DK710" s="360" t="str">
        <f t="shared" ref="DK710:DK719" ca="1" si="1072">IF($DJ710="","",CONCATENATE(VLOOKUP($DJ710,games.a,9,FALSE),VLOOKUP($DJ710,games.a,12,FALSE)))</f>
        <v/>
      </c>
      <c r="DL710" s="354" t="str">
        <f t="shared" ref="DL710:DL719" ca="1" si="1073">IF($DJ710="","",VLOOKUP($DJ710,games.a,10,FALSE))</f>
        <v/>
      </c>
      <c r="DM710" s="354" t="str">
        <f t="shared" ref="DM710:DM719" ca="1" si="1074">IF($DJ710="","",VLOOKUP($DJ710,games.a,13,FALSE))</f>
        <v/>
      </c>
      <c r="DN710" s="361" t="str">
        <f t="shared" ref="DN710:DN719" ca="1" si="1075">IF($DJ710="","",VLOOKUP($DJ710,games.a,6,FALSE))</f>
        <v/>
      </c>
      <c r="DO710" s="362" t="str">
        <f t="shared" ref="DO710:DO719" ca="1" si="1076">IF($DJ710="","",VLOOKUP($DJ710,games.a,7,FALSE))</f>
        <v/>
      </c>
      <c r="DP710" s="479" t="str">
        <f ca="1">DI650</f>
        <v/>
      </c>
      <c r="DQ710" s="302"/>
      <c r="DR710" s="364"/>
      <c r="DS710" s="302"/>
      <c r="DU710" s="424"/>
      <c r="DV710" s="424"/>
      <c r="DW710" s="424"/>
      <c r="DX710" s="424"/>
      <c r="DY710" s="424"/>
      <c r="DZ710" s="424"/>
      <c r="EA710" s="424"/>
      <c r="EB710" s="424"/>
      <c r="EC710" s="424"/>
      <c r="ED710" s="424"/>
      <c r="EE710" s="424"/>
      <c r="EF710" s="424"/>
      <c r="EG710" s="424"/>
      <c r="EH710" s="424"/>
      <c r="EI710" s="424"/>
      <c r="EJ710" s="424"/>
      <c r="EK710" s="424"/>
      <c r="EL710" s="424"/>
      <c r="EM710" s="424"/>
      <c r="EN710" s="424"/>
      <c r="EO710" s="424"/>
      <c r="EP710" s="424"/>
      <c r="EQ710" s="424"/>
      <c r="ER710" s="424"/>
      <c r="ES710" s="424"/>
      <c r="ET710" s="424"/>
      <c r="EU710" s="424"/>
      <c r="EV710" s="424"/>
      <c r="EW710" s="424"/>
      <c r="EX710" s="424"/>
      <c r="EY710" s="424"/>
      <c r="EZ710" s="424"/>
      <c r="FA710" s="424"/>
      <c r="FB710" s="424"/>
      <c r="FC710" s="424"/>
      <c r="FD710" s="425"/>
      <c r="FE710" s="333"/>
    </row>
    <row r="711" spans="86:161" x14ac:dyDescent="0.25">
      <c r="CH711" s="350"/>
      <c r="CI711" s="350"/>
      <c r="CJ711" s="350"/>
      <c r="CK711" s="350"/>
      <c r="CL711" s="350"/>
      <c r="CM711" s="350"/>
      <c r="DG711" s="350"/>
      <c r="DH711" s="300"/>
      <c r="DI711" s="395" t="str">
        <f t="shared" ref="DI711:DI719" ca="1" si="1077">DI700</f>
        <v>Élelmesek</v>
      </c>
      <c r="DJ711" s="478" t="str">
        <f t="shared" ca="1" si="1071"/>
        <v/>
      </c>
      <c r="DK711" s="360" t="str">
        <f t="shared" ca="1" si="1072"/>
        <v/>
      </c>
      <c r="DL711" s="354" t="str">
        <f t="shared" ca="1" si="1073"/>
        <v/>
      </c>
      <c r="DM711" s="354" t="str">
        <f t="shared" ca="1" si="1074"/>
        <v/>
      </c>
      <c r="DN711" s="361" t="str">
        <f t="shared" ca="1" si="1075"/>
        <v/>
      </c>
      <c r="DO711" s="362" t="str">
        <f t="shared" ca="1" si="1076"/>
        <v/>
      </c>
      <c r="DP711" s="379" t="str">
        <f ca="1">DP710</f>
        <v/>
      </c>
      <c r="DQ711" s="302"/>
      <c r="DR711" s="364"/>
      <c r="DS711" s="302"/>
      <c r="DU711" s="424"/>
      <c r="DV711" s="424"/>
      <c r="DW711" s="424"/>
      <c r="DX711" s="424"/>
      <c r="DY711" s="424"/>
      <c r="DZ711" s="424"/>
      <c r="EA711" s="424"/>
      <c r="EB711" s="424"/>
      <c r="EC711" s="424"/>
      <c r="ED711" s="424"/>
      <c r="EE711" s="424"/>
      <c r="EF711" s="424"/>
      <c r="EG711" s="424"/>
      <c r="EH711" s="424"/>
      <c r="EI711" s="424"/>
      <c r="EJ711" s="424"/>
      <c r="EK711" s="424"/>
      <c r="EL711" s="424"/>
      <c r="EM711" s="424"/>
      <c r="EN711" s="424"/>
      <c r="EO711" s="424"/>
      <c r="EP711" s="424"/>
      <c r="EQ711" s="424"/>
      <c r="ER711" s="424"/>
      <c r="ES711" s="424"/>
      <c r="ET711" s="424"/>
      <c r="EU711" s="424"/>
      <c r="EV711" s="424"/>
      <c r="EW711" s="424"/>
      <c r="EX711" s="424"/>
      <c r="EY711" s="424"/>
      <c r="EZ711" s="424"/>
      <c r="FA711" s="424"/>
      <c r="FB711" s="424"/>
      <c r="FC711" s="424"/>
      <c r="FD711" s="425"/>
      <c r="FE711" s="333"/>
    </row>
    <row r="712" spans="86:161" x14ac:dyDescent="0.25">
      <c r="CH712" s="350"/>
      <c r="CI712" s="350"/>
      <c r="CJ712" s="350"/>
      <c r="CK712" s="350"/>
      <c r="CL712" s="350"/>
      <c r="CM712" s="350"/>
      <c r="DG712" s="350"/>
      <c r="DH712" s="300"/>
      <c r="DI712" s="395" t="str">
        <f t="shared" ca="1" si="1077"/>
        <v/>
      </c>
      <c r="DJ712" s="478" t="str">
        <f t="shared" ca="1" si="1071"/>
        <v/>
      </c>
      <c r="DK712" s="360" t="str">
        <f t="shared" ca="1" si="1072"/>
        <v/>
      </c>
      <c r="DL712" s="354" t="str">
        <f t="shared" ca="1" si="1073"/>
        <v/>
      </c>
      <c r="DM712" s="354" t="str">
        <f t="shared" ca="1" si="1074"/>
        <v/>
      </c>
      <c r="DN712" s="361" t="str">
        <f t="shared" ca="1" si="1075"/>
        <v/>
      </c>
      <c r="DO712" s="362" t="str">
        <f t="shared" ca="1" si="1076"/>
        <v/>
      </c>
      <c r="DP712" s="379" t="str">
        <f t="shared" ref="DP712:DP719" ca="1" si="1078">DP711</f>
        <v/>
      </c>
      <c r="DQ712" s="302"/>
      <c r="DR712" s="364"/>
      <c r="DS712" s="302"/>
      <c r="DU712" s="424"/>
      <c r="DV712" s="424"/>
      <c r="DW712" s="424"/>
      <c r="DX712" s="424"/>
      <c r="DY712" s="424"/>
      <c r="DZ712" s="424"/>
      <c r="EA712" s="424"/>
      <c r="EB712" s="424"/>
      <c r="EC712" s="424"/>
      <c r="ED712" s="424"/>
      <c r="EE712" s="424"/>
      <c r="EF712" s="424"/>
      <c r="EG712" s="424"/>
      <c r="EH712" s="424"/>
      <c r="EI712" s="424"/>
      <c r="EJ712" s="424"/>
      <c r="EK712" s="424"/>
      <c r="EL712" s="424"/>
      <c r="EM712" s="424"/>
      <c r="EN712" s="424"/>
      <c r="EO712" s="424"/>
      <c r="EP712" s="424"/>
      <c r="EQ712" s="424"/>
      <c r="ER712" s="424"/>
      <c r="ES712" s="424"/>
      <c r="ET712" s="424"/>
      <c r="EU712" s="424"/>
      <c r="EV712" s="424"/>
      <c r="EW712" s="424"/>
      <c r="EX712" s="424"/>
      <c r="EY712" s="424"/>
      <c r="EZ712" s="424"/>
      <c r="FA712" s="424"/>
      <c r="FB712" s="424"/>
      <c r="FC712" s="424"/>
      <c r="FD712" s="425"/>
      <c r="FE712" s="333"/>
    </row>
    <row r="713" spans="86:161" x14ac:dyDescent="0.25">
      <c r="CH713" s="350"/>
      <c r="CI713" s="350"/>
      <c r="CJ713" s="350"/>
      <c r="CK713" s="350"/>
      <c r="CL713" s="350"/>
      <c r="CM713" s="350"/>
      <c r="DG713" s="350"/>
      <c r="DH713" s="300"/>
      <c r="DI713" s="395" t="str">
        <f t="shared" ca="1" si="1077"/>
        <v/>
      </c>
      <c r="DJ713" s="478" t="str">
        <f t="shared" ca="1" si="1071"/>
        <v/>
      </c>
      <c r="DK713" s="360" t="str">
        <f t="shared" ca="1" si="1072"/>
        <v/>
      </c>
      <c r="DL713" s="354" t="str">
        <f t="shared" ca="1" si="1073"/>
        <v/>
      </c>
      <c r="DM713" s="354" t="str">
        <f t="shared" ca="1" si="1074"/>
        <v/>
      </c>
      <c r="DN713" s="361" t="str">
        <f t="shared" ca="1" si="1075"/>
        <v/>
      </c>
      <c r="DO713" s="362" t="str">
        <f t="shared" ca="1" si="1076"/>
        <v/>
      </c>
      <c r="DP713" s="379" t="str">
        <f t="shared" ca="1" si="1078"/>
        <v/>
      </c>
      <c r="DQ713" s="302"/>
      <c r="DR713" s="364"/>
      <c r="DS713" s="302"/>
      <c r="DU713" s="398"/>
      <c r="DV713" s="398"/>
      <c r="DW713" s="398"/>
      <c r="DX713" s="398"/>
      <c r="DY713" s="398"/>
      <c r="DZ713" s="398"/>
      <c r="EA713" s="398"/>
      <c r="EB713" s="398"/>
      <c r="EC713" s="398"/>
      <c r="ED713" s="398"/>
      <c r="EE713" s="398"/>
      <c r="EF713" s="398"/>
      <c r="EG713" s="398"/>
      <c r="EH713" s="398"/>
      <c r="EI713" s="398"/>
      <c r="EJ713" s="398"/>
      <c r="EK713" s="398"/>
      <c r="EL713" s="398"/>
      <c r="EM713" s="398"/>
      <c r="EN713" s="398"/>
      <c r="EO713" s="398"/>
      <c r="EP713" s="398"/>
      <c r="EQ713" s="398"/>
      <c r="ER713" s="398"/>
      <c r="ES713" s="398"/>
      <c r="ET713" s="398"/>
      <c r="EU713" s="398"/>
      <c r="EV713" s="398"/>
      <c r="EW713" s="398"/>
      <c r="EX713" s="398"/>
      <c r="EY713" s="398"/>
      <c r="EZ713" s="398"/>
      <c r="FA713" s="398"/>
      <c r="FB713" s="398"/>
      <c r="FC713" s="398"/>
      <c r="FD713" s="436"/>
      <c r="FE713" s="437"/>
    </row>
    <row r="714" spans="86:161" x14ac:dyDescent="0.25">
      <c r="CH714" s="350"/>
      <c r="CI714" s="350"/>
      <c r="CJ714" s="350"/>
      <c r="CK714" s="350"/>
      <c r="CL714" s="350"/>
      <c r="CM714" s="350"/>
      <c r="DG714" s="350"/>
      <c r="DH714" s="300"/>
      <c r="DI714" s="395" t="str">
        <f t="shared" ca="1" si="1077"/>
        <v/>
      </c>
      <c r="DJ714" s="478" t="str">
        <f t="shared" ca="1" si="1071"/>
        <v/>
      </c>
      <c r="DK714" s="360" t="str">
        <f t="shared" ca="1" si="1072"/>
        <v/>
      </c>
      <c r="DL714" s="354" t="str">
        <f t="shared" ca="1" si="1073"/>
        <v/>
      </c>
      <c r="DM714" s="354" t="str">
        <f t="shared" ca="1" si="1074"/>
        <v/>
      </c>
      <c r="DN714" s="361" t="str">
        <f t="shared" ca="1" si="1075"/>
        <v/>
      </c>
      <c r="DO714" s="362" t="str">
        <f t="shared" ca="1" si="1076"/>
        <v/>
      </c>
      <c r="DP714" s="379" t="str">
        <f t="shared" ca="1" si="1078"/>
        <v/>
      </c>
      <c r="DQ714" s="302"/>
      <c r="DR714" s="364"/>
      <c r="DS714" s="302"/>
      <c r="DU714" s="398"/>
      <c r="DV714" s="398"/>
      <c r="DW714" s="398"/>
      <c r="DX714" s="398"/>
      <c r="DY714" s="398"/>
      <c r="DZ714" s="398"/>
      <c r="EA714" s="398"/>
      <c r="EB714" s="398"/>
      <c r="EC714" s="398"/>
      <c r="ED714" s="398"/>
      <c r="EE714" s="398"/>
      <c r="EF714" s="398"/>
      <c r="EG714" s="398"/>
      <c r="EH714" s="398"/>
      <c r="EI714" s="398"/>
      <c r="EJ714" s="398"/>
      <c r="EK714" s="398"/>
      <c r="EL714" s="398"/>
      <c r="EM714" s="398"/>
      <c r="EN714" s="398"/>
      <c r="EO714" s="398"/>
      <c r="EP714" s="398"/>
      <c r="EQ714" s="398"/>
      <c r="ER714" s="398"/>
      <c r="ES714" s="398"/>
      <c r="ET714" s="398"/>
      <c r="EU714" s="398"/>
      <c r="EV714" s="398"/>
      <c r="EW714" s="398"/>
      <c r="EX714" s="398"/>
      <c r="EY714" s="398"/>
      <c r="EZ714" s="398"/>
      <c r="FA714" s="398"/>
      <c r="FB714" s="398"/>
      <c r="FC714" s="398"/>
      <c r="FD714" s="436"/>
      <c r="FE714" s="437"/>
    </row>
    <row r="715" spans="86:161" x14ac:dyDescent="0.25">
      <c r="CH715" s="350"/>
      <c r="CI715" s="350"/>
      <c r="CJ715" s="350"/>
      <c r="CK715" s="350"/>
      <c r="CL715" s="350"/>
      <c r="CM715" s="350"/>
      <c r="DG715" s="350"/>
      <c r="DH715" s="300"/>
      <c r="DI715" s="395" t="str">
        <f t="shared" ca="1" si="1077"/>
        <v/>
      </c>
      <c r="DJ715" s="478" t="str">
        <f t="shared" ca="1" si="1071"/>
        <v/>
      </c>
      <c r="DK715" s="360" t="str">
        <f t="shared" ca="1" si="1072"/>
        <v/>
      </c>
      <c r="DL715" s="354" t="str">
        <f t="shared" ca="1" si="1073"/>
        <v/>
      </c>
      <c r="DM715" s="354" t="str">
        <f t="shared" ca="1" si="1074"/>
        <v/>
      </c>
      <c r="DN715" s="361" t="str">
        <f t="shared" ca="1" si="1075"/>
        <v/>
      </c>
      <c r="DO715" s="362" t="str">
        <f t="shared" ca="1" si="1076"/>
        <v/>
      </c>
      <c r="DP715" s="379" t="str">
        <f t="shared" ca="1" si="1078"/>
        <v/>
      </c>
      <c r="DQ715" s="302"/>
      <c r="DR715" s="364"/>
      <c r="DS715" s="302"/>
      <c r="DU715" s="398"/>
      <c r="DV715" s="398"/>
      <c r="DW715" s="398"/>
      <c r="DX715" s="398"/>
      <c r="DY715" s="398"/>
      <c r="DZ715" s="398"/>
      <c r="EA715" s="398"/>
      <c r="EB715" s="398"/>
      <c r="EC715" s="398"/>
      <c r="ED715" s="398"/>
      <c r="EE715" s="398"/>
      <c r="EF715" s="398"/>
      <c r="EG715" s="398"/>
      <c r="EH715" s="398"/>
      <c r="EI715" s="398"/>
      <c r="EJ715" s="398"/>
      <c r="EK715" s="398"/>
      <c r="EL715" s="398"/>
      <c r="EM715" s="398"/>
      <c r="EN715" s="398"/>
      <c r="EO715" s="398"/>
      <c r="EP715" s="398"/>
      <c r="EQ715" s="398"/>
      <c r="ER715" s="398"/>
      <c r="ES715" s="398"/>
      <c r="ET715" s="398"/>
      <c r="EU715" s="398"/>
      <c r="EV715" s="398"/>
      <c r="EW715" s="398"/>
      <c r="EX715" s="398"/>
      <c r="EY715" s="398"/>
      <c r="EZ715" s="398"/>
      <c r="FA715" s="398"/>
      <c r="FB715" s="398"/>
      <c r="FC715" s="398"/>
      <c r="FD715" s="436"/>
      <c r="FE715" s="437"/>
    </row>
    <row r="716" spans="86:161" x14ac:dyDescent="0.25">
      <c r="CH716" s="350"/>
      <c r="CI716" s="350"/>
      <c r="CJ716" s="350"/>
      <c r="CK716" s="350"/>
      <c r="CL716" s="350"/>
      <c r="CM716" s="350"/>
      <c r="DG716" s="350"/>
      <c r="DH716" s="300"/>
      <c r="DI716" s="395" t="str">
        <f t="shared" ca="1" si="1077"/>
        <v/>
      </c>
      <c r="DJ716" s="478" t="str">
        <f t="shared" ca="1" si="1071"/>
        <v/>
      </c>
      <c r="DK716" s="360" t="str">
        <f t="shared" ca="1" si="1072"/>
        <v/>
      </c>
      <c r="DL716" s="354" t="str">
        <f t="shared" ca="1" si="1073"/>
        <v/>
      </c>
      <c r="DM716" s="354" t="str">
        <f t="shared" ca="1" si="1074"/>
        <v/>
      </c>
      <c r="DN716" s="361" t="str">
        <f t="shared" ca="1" si="1075"/>
        <v/>
      </c>
      <c r="DO716" s="362" t="str">
        <f t="shared" ca="1" si="1076"/>
        <v/>
      </c>
      <c r="DP716" s="379" t="str">
        <f t="shared" ca="1" si="1078"/>
        <v/>
      </c>
      <c r="DQ716" s="302"/>
      <c r="DR716" s="364"/>
      <c r="DS716" s="302"/>
      <c r="DU716" s="398"/>
      <c r="DV716" s="398"/>
      <c r="DW716" s="398"/>
      <c r="DX716" s="398"/>
      <c r="DY716" s="398"/>
      <c r="DZ716" s="398"/>
      <c r="EA716" s="398"/>
      <c r="EB716" s="398"/>
      <c r="EC716" s="398"/>
      <c r="ED716" s="398"/>
      <c r="EE716" s="398"/>
      <c r="EF716" s="398"/>
      <c r="EG716" s="398"/>
      <c r="EH716" s="398"/>
      <c r="EI716" s="398"/>
      <c r="EJ716" s="398"/>
      <c r="EK716" s="398"/>
      <c r="EL716" s="398"/>
      <c r="EM716" s="398"/>
      <c r="EN716" s="398"/>
      <c r="EO716" s="398"/>
      <c r="EP716" s="398"/>
      <c r="EQ716" s="398"/>
      <c r="ER716" s="398"/>
      <c r="ES716" s="398"/>
      <c r="ET716" s="398"/>
      <c r="EU716" s="398"/>
      <c r="EV716" s="398"/>
      <c r="EW716" s="398"/>
      <c r="EX716" s="398"/>
      <c r="EY716" s="398"/>
      <c r="EZ716" s="398"/>
      <c r="FA716" s="398"/>
      <c r="FB716" s="398"/>
      <c r="FC716" s="398"/>
      <c r="FD716" s="436"/>
      <c r="FE716" s="437"/>
    </row>
    <row r="717" spans="86:161" x14ac:dyDescent="0.25">
      <c r="CH717" s="350"/>
      <c r="CI717" s="350"/>
      <c r="CJ717" s="350"/>
      <c r="CK717" s="350"/>
      <c r="CL717" s="350"/>
      <c r="CM717" s="350"/>
      <c r="DG717" s="350"/>
      <c r="DH717" s="300"/>
      <c r="DI717" s="395" t="str">
        <f t="shared" ca="1" si="1077"/>
        <v/>
      </c>
      <c r="DJ717" s="478" t="str">
        <f t="shared" ca="1" si="1071"/>
        <v/>
      </c>
      <c r="DK717" s="360" t="str">
        <f t="shared" ca="1" si="1072"/>
        <v/>
      </c>
      <c r="DL717" s="354" t="str">
        <f t="shared" ca="1" si="1073"/>
        <v/>
      </c>
      <c r="DM717" s="354" t="str">
        <f t="shared" ca="1" si="1074"/>
        <v/>
      </c>
      <c r="DN717" s="361" t="str">
        <f t="shared" ca="1" si="1075"/>
        <v/>
      </c>
      <c r="DO717" s="362" t="str">
        <f t="shared" ca="1" si="1076"/>
        <v/>
      </c>
      <c r="DP717" s="379" t="str">
        <f t="shared" ca="1" si="1078"/>
        <v/>
      </c>
      <c r="DQ717" s="302"/>
      <c r="DR717" s="364"/>
      <c r="DS717" s="302"/>
      <c r="DU717" s="424"/>
      <c r="DV717" s="424"/>
      <c r="DW717" s="424"/>
      <c r="DX717" s="424"/>
      <c r="DY717" s="424"/>
      <c r="DZ717" s="424"/>
      <c r="EA717" s="424"/>
      <c r="EB717" s="424"/>
      <c r="EC717" s="424"/>
      <c r="ED717" s="424"/>
      <c r="EE717" s="424"/>
      <c r="EF717" s="424"/>
      <c r="EG717" s="424"/>
      <c r="EH717" s="424"/>
      <c r="EI717" s="424"/>
      <c r="EJ717" s="424"/>
      <c r="EK717" s="424"/>
      <c r="EL717" s="424"/>
      <c r="EM717" s="424"/>
      <c r="EN717" s="424"/>
      <c r="EO717" s="424"/>
      <c r="EP717" s="424"/>
      <c r="EQ717" s="424"/>
      <c r="ER717" s="424"/>
      <c r="ES717" s="424"/>
      <c r="ET717" s="424"/>
      <c r="EU717" s="424"/>
      <c r="EV717" s="424"/>
      <c r="EW717" s="424"/>
      <c r="EX717" s="424"/>
      <c r="EY717" s="424"/>
      <c r="EZ717" s="424"/>
      <c r="FA717" s="424"/>
      <c r="FB717" s="424"/>
      <c r="FC717" s="424"/>
      <c r="FD717" s="425"/>
      <c r="FE717" s="333"/>
    </row>
    <row r="718" spans="86:161" x14ac:dyDescent="0.25">
      <c r="CH718" s="350"/>
      <c r="CI718" s="350"/>
      <c r="CJ718" s="350"/>
      <c r="CK718" s="350"/>
      <c r="CL718" s="350"/>
      <c r="CM718" s="350"/>
      <c r="DG718" s="350"/>
      <c r="DH718" s="300"/>
      <c r="DI718" s="395" t="str">
        <f t="shared" ca="1" si="1077"/>
        <v/>
      </c>
      <c r="DJ718" s="478" t="str">
        <f t="shared" ca="1" si="1071"/>
        <v/>
      </c>
      <c r="DK718" s="360" t="str">
        <f t="shared" ca="1" si="1072"/>
        <v/>
      </c>
      <c r="DL718" s="354" t="str">
        <f t="shared" ca="1" si="1073"/>
        <v/>
      </c>
      <c r="DM718" s="354" t="str">
        <f t="shared" ca="1" si="1074"/>
        <v/>
      </c>
      <c r="DN718" s="361" t="str">
        <f t="shared" ca="1" si="1075"/>
        <v/>
      </c>
      <c r="DO718" s="362" t="str">
        <f t="shared" ca="1" si="1076"/>
        <v/>
      </c>
      <c r="DP718" s="379" t="str">
        <f t="shared" ca="1" si="1078"/>
        <v/>
      </c>
      <c r="DQ718" s="302"/>
      <c r="DR718" s="364"/>
      <c r="DS718" s="302"/>
      <c r="DU718" s="424"/>
      <c r="DV718" s="424"/>
      <c r="DW718" s="424"/>
      <c r="DX718" s="424"/>
      <c r="DY718" s="424"/>
      <c r="DZ718" s="424"/>
      <c r="EA718" s="424"/>
      <c r="EB718" s="424"/>
      <c r="EC718" s="424"/>
      <c r="ED718" s="424"/>
      <c r="EE718" s="424"/>
      <c r="EF718" s="424"/>
      <c r="EG718" s="424"/>
      <c r="EH718" s="424"/>
      <c r="EI718" s="424"/>
      <c r="EJ718" s="424"/>
      <c r="EK718" s="424"/>
      <c r="EL718" s="424"/>
      <c r="EM718" s="424"/>
      <c r="EN718" s="424"/>
      <c r="EO718" s="424"/>
      <c r="EP718" s="424"/>
      <c r="EQ718" s="424"/>
      <c r="ER718" s="424"/>
      <c r="ES718" s="424"/>
      <c r="ET718" s="424"/>
      <c r="EU718" s="424"/>
      <c r="EV718" s="424"/>
      <c r="EW718" s="424"/>
      <c r="EX718" s="424"/>
      <c r="EY718" s="424"/>
      <c r="EZ718" s="424"/>
      <c r="FA718" s="424"/>
      <c r="FB718" s="424"/>
      <c r="FC718" s="424"/>
      <c r="FD718" s="425"/>
      <c r="FE718" s="333"/>
    </row>
    <row r="719" spans="86:161" x14ac:dyDescent="0.25">
      <c r="CH719" s="350"/>
      <c r="CI719" s="350"/>
      <c r="CJ719" s="350"/>
      <c r="CK719" s="350"/>
      <c r="CL719" s="350"/>
      <c r="CM719" s="350"/>
      <c r="DG719" s="350"/>
      <c r="DH719" s="300"/>
      <c r="DI719" s="395" t="str">
        <f t="shared" ca="1" si="1077"/>
        <v/>
      </c>
      <c r="DJ719" s="478" t="str">
        <f t="shared" ca="1" si="1071"/>
        <v/>
      </c>
      <c r="DK719" s="360" t="str">
        <f t="shared" ca="1" si="1072"/>
        <v/>
      </c>
      <c r="DL719" s="354" t="str">
        <f t="shared" ca="1" si="1073"/>
        <v/>
      </c>
      <c r="DM719" s="354" t="str">
        <f t="shared" ca="1" si="1074"/>
        <v/>
      </c>
      <c r="DN719" s="361" t="str">
        <f t="shared" ca="1" si="1075"/>
        <v/>
      </c>
      <c r="DO719" s="362" t="str">
        <f t="shared" ca="1" si="1076"/>
        <v/>
      </c>
      <c r="DP719" s="379" t="str">
        <f t="shared" ca="1" si="1078"/>
        <v/>
      </c>
      <c r="DQ719" s="302"/>
      <c r="DR719" s="364"/>
      <c r="DS719" s="302"/>
      <c r="DU719" s="424"/>
      <c r="DV719" s="424"/>
      <c r="DW719" s="424"/>
      <c r="DX719" s="424"/>
      <c r="DY719" s="424"/>
      <c r="DZ719" s="424"/>
      <c r="EA719" s="424"/>
      <c r="EB719" s="424"/>
      <c r="EC719" s="424"/>
      <c r="ED719" s="424"/>
      <c r="EE719" s="424"/>
      <c r="EF719" s="424"/>
      <c r="EG719" s="424"/>
      <c r="EH719" s="424"/>
      <c r="EI719" s="424"/>
      <c r="EJ719" s="424"/>
      <c r="EK719" s="424"/>
      <c r="EL719" s="424"/>
      <c r="EM719" s="424"/>
      <c r="EN719" s="424"/>
      <c r="EO719" s="424"/>
      <c r="EP719" s="424"/>
      <c r="EQ719" s="424"/>
      <c r="ER719" s="424"/>
      <c r="ES719" s="424"/>
      <c r="ET719" s="424"/>
      <c r="EU719" s="424"/>
      <c r="EV719" s="424"/>
      <c r="EW719" s="424"/>
      <c r="EX719" s="424"/>
      <c r="EY719" s="424"/>
      <c r="EZ719" s="424"/>
      <c r="FA719" s="424"/>
      <c r="FB719" s="424"/>
      <c r="FC719" s="424"/>
      <c r="FD719" s="425"/>
      <c r="FE719" s="333"/>
    </row>
    <row r="720" spans="86:161" x14ac:dyDescent="0.25">
      <c r="CH720" s="350"/>
      <c r="CI720" s="350"/>
      <c r="CJ720" s="350"/>
      <c r="CK720" s="350"/>
      <c r="CL720" s="350"/>
      <c r="CM720" s="350"/>
      <c r="DG720" s="350"/>
      <c r="DH720" s="300"/>
      <c r="DI720" s="301"/>
      <c r="DJ720" s="471" t="s">
        <v>157</v>
      </c>
      <c r="DK720" s="471" t="s">
        <v>158</v>
      </c>
      <c r="DL720" s="472" t="s">
        <v>159</v>
      </c>
      <c r="DM720" s="472"/>
      <c r="DN720" s="473" t="s">
        <v>160</v>
      </c>
      <c r="DO720" s="472" t="s">
        <v>135</v>
      </c>
      <c r="DP720" s="302"/>
      <c r="DQ720" s="302"/>
      <c r="DR720" s="364"/>
      <c r="DS720" s="302"/>
      <c r="DU720" s="424"/>
      <c r="DV720" s="424"/>
      <c r="DW720" s="424"/>
      <c r="DX720" s="424"/>
      <c r="DY720" s="424"/>
      <c r="DZ720" s="424"/>
      <c r="EA720" s="424"/>
      <c r="EB720" s="424"/>
      <c r="EC720" s="424"/>
      <c r="ED720" s="424"/>
      <c r="EE720" s="424"/>
      <c r="EF720" s="424"/>
      <c r="EG720" s="424"/>
      <c r="EH720" s="424"/>
      <c r="EI720" s="424"/>
      <c r="EJ720" s="424"/>
      <c r="EK720" s="424"/>
      <c r="EL720" s="424"/>
      <c r="EM720" s="424"/>
      <c r="EN720" s="424"/>
      <c r="EO720" s="424"/>
      <c r="EP720" s="424"/>
      <c r="EQ720" s="424"/>
      <c r="ER720" s="424"/>
      <c r="ES720" s="424"/>
      <c r="ET720" s="424"/>
      <c r="EU720" s="424"/>
      <c r="EV720" s="424"/>
      <c r="EW720" s="424"/>
      <c r="EX720" s="424"/>
      <c r="EY720" s="424"/>
      <c r="EZ720" s="424"/>
      <c r="FA720" s="424"/>
      <c r="FB720" s="424"/>
      <c r="FC720" s="424"/>
      <c r="FD720" s="425"/>
      <c r="FE720" s="333"/>
    </row>
    <row r="721" spans="86:161" x14ac:dyDescent="0.25">
      <c r="CH721" s="350"/>
      <c r="CI721" s="350"/>
      <c r="CJ721" s="350"/>
      <c r="CK721" s="350"/>
      <c r="CL721" s="350"/>
      <c r="CM721" s="350"/>
      <c r="DG721" s="350"/>
      <c r="DH721" s="300"/>
      <c r="DI721" s="395" t="str">
        <f ca="1">DI710</f>
        <v>Hercules-Ludovika</v>
      </c>
      <c r="DJ721" s="478" t="str">
        <f t="shared" ref="DJ721:DJ730" ca="1" si="1079">IF(OR(DI721="",DP721="",DI721=DP721,COUNTIF(games.an,DI721&amp;DP721)=0),"",CONCATENATE(DI721,DP721))</f>
        <v/>
      </c>
      <c r="DK721" s="360" t="str">
        <f t="shared" ref="DK721:DK730" ca="1" si="1080">IF($DJ721="","",CONCATENATE(VLOOKUP($DJ721,games.a,9,FALSE),VLOOKUP($DJ721,games.a,12,FALSE)))</f>
        <v/>
      </c>
      <c r="DL721" s="354" t="str">
        <f t="shared" ref="DL721:DL730" ca="1" si="1081">IF($DJ721="","",VLOOKUP($DJ721,games.a,10,FALSE))</f>
        <v/>
      </c>
      <c r="DM721" s="354" t="str">
        <f t="shared" ref="DM721:DM730" ca="1" si="1082">IF($DJ721="","",VLOOKUP($DJ721,games.a,13,FALSE))</f>
        <v/>
      </c>
      <c r="DN721" s="361" t="str">
        <f t="shared" ref="DN721:DN730" ca="1" si="1083">IF($DJ721="","",VLOOKUP($DJ721,games.a,6,FALSE))</f>
        <v/>
      </c>
      <c r="DO721" s="362" t="str">
        <f t="shared" ref="DO721:DO730" ca="1" si="1084">IF($DJ721="","",VLOOKUP($DJ721,games.a,7,FALSE))</f>
        <v/>
      </c>
      <c r="DP721" s="479" t="str">
        <f ca="1">DI651</f>
        <v/>
      </c>
      <c r="DQ721" s="302"/>
      <c r="DR721" s="364"/>
      <c r="DS721" s="302"/>
      <c r="DU721" s="424"/>
      <c r="DV721" s="424"/>
      <c r="DW721" s="424"/>
      <c r="DX721" s="424"/>
      <c r="DY721" s="424"/>
      <c r="DZ721" s="424"/>
      <c r="EA721" s="424"/>
      <c r="EB721" s="424"/>
      <c r="EC721" s="424"/>
      <c r="ED721" s="424"/>
      <c r="EE721" s="424"/>
      <c r="EF721" s="424"/>
      <c r="EG721" s="424"/>
      <c r="EH721" s="424"/>
      <c r="EI721" s="424"/>
      <c r="EJ721" s="424"/>
      <c r="EK721" s="424"/>
      <c r="EL721" s="424"/>
      <c r="EM721" s="424"/>
      <c r="EN721" s="424"/>
      <c r="EO721" s="424"/>
      <c r="EP721" s="424"/>
      <c r="EQ721" s="424"/>
      <c r="ER721" s="424"/>
      <c r="ES721" s="424"/>
      <c r="ET721" s="424"/>
      <c r="EU721" s="424"/>
      <c r="EV721" s="424"/>
      <c r="EW721" s="424"/>
      <c r="EX721" s="424"/>
      <c r="EY721" s="424"/>
      <c r="EZ721" s="424"/>
      <c r="FA721" s="424"/>
      <c r="FB721" s="424"/>
      <c r="FC721" s="424"/>
      <c r="FD721" s="425"/>
      <c r="FE721" s="333"/>
    </row>
    <row r="722" spans="86:161" x14ac:dyDescent="0.25">
      <c r="CH722" s="350"/>
      <c r="CI722" s="350"/>
      <c r="CJ722" s="350"/>
      <c r="CK722" s="350"/>
      <c r="CL722" s="350"/>
      <c r="CM722" s="350"/>
      <c r="DG722" s="350"/>
      <c r="DH722" s="300"/>
      <c r="DI722" s="395" t="str">
        <f t="shared" ref="DI722:DI730" ca="1" si="1085">DI711</f>
        <v>Élelmesek</v>
      </c>
      <c r="DJ722" s="478" t="str">
        <f t="shared" ca="1" si="1079"/>
        <v/>
      </c>
      <c r="DK722" s="360" t="str">
        <f t="shared" ca="1" si="1080"/>
        <v/>
      </c>
      <c r="DL722" s="354" t="str">
        <f t="shared" ca="1" si="1081"/>
        <v/>
      </c>
      <c r="DM722" s="354" t="str">
        <f t="shared" ca="1" si="1082"/>
        <v/>
      </c>
      <c r="DN722" s="361" t="str">
        <f t="shared" ca="1" si="1083"/>
        <v/>
      </c>
      <c r="DO722" s="362" t="str">
        <f t="shared" ca="1" si="1084"/>
        <v/>
      </c>
      <c r="DP722" s="379" t="str">
        <f ca="1">DP721</f>
        <v/>
      </c>
      <c r="DQ722" s="302"/>
      <c r="DR722" s="364"/>
      <c r="DS722" s="302"/>
      <c r="DU722" s="424"/>
      <c r="DV722" s="424"/>
      <c r="DW722" s="424"/>
      <c r="DX722" s="424"/>
      <c r="DY722" s="424"/>
      <c r="DZ722" s="424"/>
      <c r="EA722" s="424"/>
      <c r="EB722" s="424"/>
      <c r="EC722" s="424"/>
      <c r="ED722" s="424"/>
      <c r="EE722" s="424"/>
      <c r="EF722" s="424"/>
      <c r="EG722" s="424"/>
      <c r="EH722" s="424"/>
      <c r="EI722" s="424"/>
      <c r="EJ722" s="424"/>
      <c r="EK722" s="424"/>
      <c r="EL722" s="424"/>
      <c r="EM722" s="424"/>
      <c r="EN722" s="424"/>
      <c r="EO722" s="424"/>
      <c r="EP722" s="424"/>
      <c r="EQ722" s="424"/>
      <c r="ER722" s="424"/>
      <c r="ES722" s="424"/>
      <c r="ET722" s="424"/>
      <c r="EU722" s="424"/>
      <c r="EV722" s="424"/>
      <c r="EW722" s="424"/>
      <c r="EX722" s="424"/>
      <c r="EY722" s="424"/>
      <c r="EZ722" s="424"/>
      <c r="FA722" s="424"/>
      <c r="FB722" s="424"/>
      <c r="FC722" s="424"/>
      <c r="FD722" s="425"/>
      <c r="FE722" s="333"/>
    </row>
    <row r="723" spans="86:161" x14ac:dyDescent="0.25">
      <c r="CH723" s="350"/>
      <c r="CI723" s="350"/>
      <c r="CJ723" s="350"/>
      <c r="CK723" s="350"/>
      <c r="CL723" s="350"/>
      <c r="CM723" s="350"/>
      <c r="DG723" s="350"/>
      <c r="DH723" s="300"/>
      <c r="DI723" s="395" t="str">
        <f t="shared" ca="1" si="1085"/>
        <v/>
      </c>
      <c r="DJ723" s="478" t="str">
        <f t="shared" ca="1" si="1079"/>
        <v/>
      </c>
      <c r="DK723" s="360" t="str">
        <f t="shared" ca="1" si="1080"/>
        <v/>
      </c>
      <c r="DL723" s="354" t="str">
        <f t="shared" ca="1" si="1081"/>
        <v/>
      </c>
      <c r="DM723" s="354" t="str">
        <f t="shared" ca="1" si="1082"/>
        <v/>
      </c>
      <c r="DN723" s="361" t="str">
        <f t="shared" ca="1" si="1083"/>
        <v/>
      </c>
      <c r="DO723" s="362" t="str">
        <f t="shared" ca="1" si="1084"/>
        <v/>
      </c>
      <c r="DP723" s="379" t="str">
        <f t="shared" ref="DP723:DP730" ca="1" si="1086">DP722</f>
        <v/>
      </c>
      <c r="DQ723" s="302"/>
      <c r="DR723" s="364"/>
      <c r="DS723" s="302"/>
      <c r="DU723" s="424"/>
      <c r="DV723" s="424"/>
      <c r="DW723" s="424"/>
      <c r="DX723" s="424"/>
      <c r="DY723" s="424"/>
      <c r="DZ723" s="424"/>
      <c r="EA723" s="424"/>
      <c r="EB723" s="424"/>
      <c r="EC723" s="424"/>
      <c r="ED723" s="424"/>
      <c r="EE723" s="424"/>
      <c r="EF723" s="424"/>
      <c r="EG723" s="424"/>
      <c r="EH723" s="424"/>
      <c r="EI723" s="424"/>
      <c r="EJ723" s="424"/>
      <c r="EK723" s="424"/>
      <c r="EL723" s="424"/>
      <c r="EM723" s="424"/>
      <c r="EN723" s="424"/>
      <c r="EO723" s="424"/>
      <c r="EP723" s="424"/>
      <c r="EQ723" s="424"/>
      <c r="ER723" s="424"/>
      <c r="ES723" s="424"/>
      <c r="ET723" s="424"/>
      <c r="EU723" s="424"/>
      <c r="EV723" s="424"/>
      <c r="EW723" s="424"/>
      <c r="EX723" s="424"/>
      <c r="EY723" s="424"/>
      <c r="EZ723" s="424"/>
      <c r="FA723" s="424"/>
      <c r="FB723" s="424"/>
      <c r="FC723" s="424"/>
      <c r="FD723" s="425"/>
      <c r="FE723" s="333"/>
    </row>
    <row r="724" spans="86:161" x14ac:dyDescent="0.25">
      <c r="CH724" s="350"/>
      <c r="CI724" s="350"/>
      <c r="CJ724" s="350"/>
      <c r="CK724" s="350"/>
      <c r="CL724" s="350"/>
      <c r="CM724" s="350"/>
      <c r="DG724" s="350"/>
      <c r="DH724" s="300"/>
      <c r="DI724" s="395" t="str">
        <f t="shared" ca="1" si="1085"/>
        <v/>
      </c>
      <c r="DJ724" s="478" t="str">
        <f t="shared" ca="1" si="1079"/>
        <v/>
      </c>
      <c r="DK724" s="360" t="str">
        <f t="shared" ca="1" si="1080"/>
        <v/>
      </c>
      <c r="DL724" s="354" t="str">
        <f t="shared" ca="1" si="1081"/>
        <v/>
      </c>
      <c r="DM724" s="354" t="str">
        <f t="shared" ca="1" si="1082"/>
        <v/>
      </c>
      <c r="DN724" s="361" t="str">
        <f t="shared" ca="1" si="1083"/>
        <v/>
      </c>
      <c r="DO724" s="362" t="str">
        <f t="shared" ca="1" si="1084"/>
        <v/>
      </c>
      <c r="DP724" s="379" t="str">
        <f t="shared" ca="1" si="1086"/>
        <v/>
      </c>
      <c r="DQ724" s="302"/>
      <c r="DR724" s="364"/>
      <c r="DS724" s="302"/>
      <c r="DU724" s="424"/>
      <c r="DV724" s="424"/>
      <c r="DW724" s="424"/>
      <c r="DX724" s="424"/>
      <c r="DY724" s="424"/>
      <c r="DZ724" s="424"/>
      <c r="EA724" s="424"/>
      <c r="EB724" s="424"/>
      <c r="EC724" s="424"/>
      <c r="ED724" s="424"/>
      <c r="EE724" s="424"/>
      <c r="EF724" s="424"/>
      <c r="EG724" s="424"/>
      <c r="EH724" s="424"/>
      <c r="EI724" s="424"/>
      <c r="EJ724" s="424"/>
      <c r="EK724" s="424"/>
      <c r="EL724" s="424"/>
      <c r="EM724" s="424"/>
      <c r="EN724" s="424"/>
      <c r="EO724" s="424"/>
      <c r="EP724" s="424"/>
      <c r="EQ724" s="424"/>
      <c r="ER724" s="424"/>
      <c r="ES724" s="424"/>
      <c r="ET724" s="424"/>
      <c r="EU724" s="424"/>
      <c r="EV724" s="424"/>
      <c r="EW724" s="424"/>
      <c r="EX724" s="424"/>
      <c r="EY724" s="424"/>
      <c r="EZ724" s="424"/>
      <c r="FA724" s="424"/>
      <c r="FB724" s="424"/>
      <c r="FC724" s="424"/>
      <c r="FD724" s="425"/>
      <c r="FE724" s="333"/>
    </row>
    <row r="725" spans="86:161" x14ac:dyDescent="0.25">
      <c r="CH725" s="350"/>
      <c r="CI725" s="350"/>
      <c r="CJ725" s="350"/>
      <c r="CK725" s="350"/>
      <c r="CL725" s="350"/>
      <c r="CM725" s="350"/>
      <c r="DG725" s="350"/>
      <c r="DH725" s="300"/>
      <c r="DI725" s="395" t="str">
        <f t="shared" ca="1" si="1085"/>
        <v/>
      </c>
      <c r="DJ725" s="478" t="str">
        <f t="shared" ca="1" si="1079"/>
        <v/>
      </c>
      <c r="DK725" s="360" t="str">
        <f t="shared" ca="1" si="1080"/>
        <v/>
      </c>
      <c r="DL725" s="354" t="str">
        <f t="shared" ca="1" si="1081"/>
        <v/>
      </c>
      <c r="DM725" s="354" t="str">
        <f t="shared" ca="1" si="1082"/>
        <v/>
      </c>
      <c r="DN725" s="361" t="str">
        <f t="shared" ca="1" si="1083"/>
        <v/>
      </c>
      <c r="DO725" s="362" t="str">
        <f t="shared" ca="1" si="1084"/>
        <v/>
      </c>
      <c r="DP725" s="379" t="str">
        <f t="shared" ca="1" si="1086"/>
        <v/>
      </c>
      <c r="DQ725" s="302"/>
      <c r="DR725" s="364"/>
      <c r="DS725" s="302"/>
      <c r="DU725" s="424"/>
      <c r="DV725" s="424"/>
      <c r="DW725" s="424"/>
      <c r="DX725" s="424"/>
      <c r="DY725" s="424"/>
      <c r="DZ725" s="424"/>
      <c r="EA725" s="424"/>
      <c r="EB725" s="424"/>
      <c r="EC725" s="424"/>
      <c r="ED725" s="424"/>
      <c r="EE725" s="424"/>
      <c r="EF725" s="424"/>
      <c r="EG725" s="424"/>
      <c r="EH725" s="424"/>
      <c r="EI725" s="424"/>
      <c r="EJ725" s="424"/>
      <c r="EK725" s="424"/>
      <c r="EL725" s="424"/>
      <c r="EM725" s="424"/>
      <c r="EN725" s="424"/>
      <c r="EO725" s="424"/>
      <c r="EP725" s="424"/>
      <c r="EQ725" s="424"/>
      <c r="ER725" s="424"/>
      <c r="ES725" s="424"/>
      <c r="ET725" s="424"/>
      <c r="EU725" s="424"/>
      <c r="EV725" s="424"/>
      <c r="EW725" s="424"/>
      <c r="EX725" s="424"/>
      <c r="EY725" s="424"/>
      <c r="EZ725" s="424"/>
      <c r="FA725" s="424"/>
      <c r="FB725" s="424"/>
      <c r="FC725" s="424"/>
      <c r="FD725" s="425"/>
      <c r="FE725" s="333"/>
    </row>
    <row r="726" spans="86:161" x14ac:dyDescent="0.25">
      <c r="CH726" s="350"/>
      <c r="CI726" s="350"/>
      <c r="CJ726" s="350"/>
      <c r="CK726" s="350"/>
      <c r="CL726" s="350"/>
      <c r="CM726" s="350"/>
      <c r="DG726" s="350"/>
      <c r="DH726" s="300"/>
      <c r="DI726" s="395" t="str">
        <f t="shared" ca="1" si="1085"/>
        <v/>
      </c>
      <c r="DJ726" s="478" t="str">
        <f t="shared" ca="1" si="1079"/>
        <v/>
      </c>
      <c r="DK726" s="360" t="str">
        <f t="shared" ca="1" si="1080"/>
        <v/>
      </c>
      <c r="DL726" s="354" t="str">
        <f t="shared" ca="1" si="1081"/>
        <v/>
      </c>
      <c r="DM726" s="354" t="str">
        <f t="shared" ca="1" si="1082"/>
        <v/>
      </c>
      <c r="DN726" s="361" t="str">
        <f t="shared" ca="1" si="1083"/>
        <v/>
      </c>
      <c r="DO726" s="362" t="str">
        <f t="shared" ca="1" si="1084"/>
        <v/>
      </c>
      <c r="DP726" s="379" t="str">
        <f t="shared" ca="1" si="1086"/>
        <v/>
      </c>
      <c r="DQ726" s="302"/>
      <c r="DR726" s="364"/>
      <c r="DS726" s="302"/>
      <c r="DU726" s="424"/>
      <c r="DV726" s="424"/>
      <c r="DW726" s="424"/>
      <c r="DX726" s="424"/>
      <c r="DY726" s="424"/>
      <c r="DZ726" s="424"/>
      <c r="EA726" s="424"/>
      <c r="EB726" s="424"/>
      <c r="EC726" s="424"/>
      <c r="ED726" s="424"/>
      <c r="EE726" s="424"/>
      <c r="EF726" s="424"/>
      <c r="EG726" s="424"/>
      <c r="EH726" s="424"/>
      <c r="EI726" s="424"/>
      <c r="EJ726" s="424"/>
      <c r="EK726" s="424"/>
      <c r="EL726" s="424"/>
      <c r="EM726" s="424"/>
      <c r="EN726" s="424"/>
      <c r="EO726" s="424"/>
      <c r="EP726" s="424"/>
      <c r="EQ726" s="424"/>
      <c r="ER726" s="424"/>
      <c r="ES726" s="424"/>
      <c r="ET726" s="424"/>
      <c r="EU726" s="424"/>
      <c r="EV726" s="424"/>
      <c r="EW726" s="424"/>
      <c r="EX726" s="424"/>
      <c r="EY726" s="424"/>
      <c r="EZ726" s="424"/>
      <c r="FA726" s="424"/>
      <c r="FB726" s="424"/>
      <c r="FC726" s="424"/>
      <c r="FD726" s="425"/>
      <c r="FE726" s="333"/>
    </row>
    <row r="727" spans="86:161" x14ac:dyDescent="0.25">
      <c r="CH727" s="350"/>
      <c r="CI727" s="350"/>
      <c r="CJ727" s="350"/>
      <c r="CK727" s="350"/>
      <c r="CL727" s="350"/>
      <c r="CM727" s="350"/>
      <c r="DG727" s="350"/>
      <c r="DH727" s="300"/>
      <c r="DI727" s="395" t="str">
        <f t="shared" ca="1" si="1085"/>
        <v/>
      </c>
      <c r="DJ727" s="478" t="str">
        <f t="shared" ca="1" si="1079"/>
        <v/>
      </c>
      <c r="DK727" s="360" t="str">
        <f t="shared" ca="1" si="1080"/>
        <v/>
      </c>
      <c r="DL727" s="354" t="str">
        <f t="shared" ca="1" si="1081"/>
        <v/>
      </c>
      <c r="DM727" s="354" t="str">
        <f t="shared" ca="1" si="1082"/>
        <v/>
      </c>
      <c r="DN727" s="361" t="str">
        <f t="shared" ca="1" si="1083"/>
        <v/>
      </c>
      <c r="DO727" s="362" t="str">
        <f t="shared" ca="1" si="1084"/>
        <v/>
      </c>
      <c r="DP727" s="379" t="str">
        <f t="shared" ca="1" si="1086"/>
        <v/>
      </c>
      <c r="DQ727" s="302"/>
      <c r="DR727" s="364"/>
      <c r="DS727" s="302"/>
      <c r="DU727" s="424"/>
      <c r="DV727" s="424"/>
      <c r="DW727" s="424"/>
      <c r="DX727" s="424"/>
      <c r="DY727" s="424"/>
      <c r="DZ727" s="424"/>
      <c r="EA727" s="424"/>
      <c r="EB727" s="424"/>
      <c r="EC727" s="424"/>
      <c r="ED727" s="424"/>
      <c r="EE727" s="424"/>
      <c r="EF727" s="424"/>
      <c r="EG727" s="424"/>
      <c r="EH727" s="424"/>
      <c r="EI727" s="424"/>
      <c r="EJ727" s="424"/>
      <c r="EK727" s="424"/>
      <c r="EL727" s="424"/>
      <c r="EM727" s="424"/>
      <c r="EN727" s="424"/>
      <c r="EO727" s="424"/>
      <c r="EP727" s="424"/>
      <c r="EQ727" s="424"/>
      <c r="ER727" s="424"/>
      <c r="ES727" s="424"/>
      <c r="ET727" s="424"/>
      <c r="EU727" s="424"/>
      <c r="EV727" s="424"/>
      <c r="EW727" s="424"/>
      <c r="EX727" s="424"/>
      <c r="EY727" s="424"/>
      <c r="EZ727" s="424"/>
      <c r="FA727" s="424"/>
      <c r="FB727" s="424"/>
      <c r="FC727" s="424"/>
      <c r="FD727" s="425"/>
      <c r="FE727" s="333"/>
    </row>
    <row r="728" spans="86:161" x14ac:dyDescent="0.25">
      <c r="CH728" s="350"/>
      <c r="CI728" s="350"/>
      <c r="CJ728" s="350"/>
      <c r="CK728" s="350"/>
      <c r="CL728" s="350"/>
      <c r="CM728" s="350"/>
      <c r="DG728" s="350"/>
      <c r="DH728" s="300"/>
      <c r="DI728" s="395" t="str">
        <f t="shared" ca="1" si="1085"/>
        <v/>
      </c>
      <c r="DJ728" s="478" t="str">
        <f t="shared" ca="1" si="1079"/>
        <v/>
      </c>
      <c r="DK728" s="360" t="str">
        <f t="shared" ca="1" si="1080"/>
        <v/>
      </c>
      <c r="DL728" s="354" t="str">
        <f t="shared" ca="1" si="1081"/>
        <v/>
      </c>
      <c r="DM728" s="354" t="str">
        <f t="shared" ca="1" si="1082"/>
        <v/>
      </c>
      <c r="DN728" s="361" t="str">
        <f t="shared" ca="1" si="1083"/>
        <v/>
      </c>
      <c r="DO728" s="362" t="str">
        <f t="shared" ca="1" si="1084"/>
        <v/>
      </c>
      <c r="DP728" s="379" t="str">
        <f t="shared" ca="1" si="1086"/>
        <v/>
      </c>
      <c r="DQ728" s="302"/>
      <c r="DR728" s="364"/>
      <c r="DS728" s="302"/>
      <c r="DU728" s="424"/>
      <c r="DV728" s="424"/>
      <c r="DW728" s="424"/>
      <c r="DX728" s="424"/>
      <c r="DY728" s="424"/>
      <c r="DZ728" s="424"/>
      <c r="EA728" s="424"/>
      <c r="EB728" s="424"/>
      <c r="EC728" s="424"/>
      <c r="ED728" s="424"/>
      <c r="EE728" s="424"/>
      <c r="EF728" s="424"/>
      <c r="EG728" s="424"/>
      <c r="EH728" s="424"/>
      <c r="EI728" s="424"/>
      <c r="EJ728" s="424"/>
      <c r="EK728" s="424"/>
      <c r="EL728" s="424"/>
      <c r="EM728" s="424"/>
      <c r="EN728" s="424"/>
      <c r="EO728" s="424"/>
      <c r="EP728" s="424"/>
      <c r="EQ728" s="424"/>
      <c r="ER728" s="424"/>
      <c r="ES728" s="424"/>
      <c r="ET728" s="424"/>
      <c r="EU728" s="424"/>
      <c r="EV728" s="424"/>
      <c r="EW728" s="424"/>
      <c r="EX728" s="424"/>
      <c r="EY728" s="424"/>
      <c r="EZ728" s="424"/>
      <c r="FA728" s="424"/>
      <c r="FB728" s="424"/>
      <c r="FC728" s="424"/>
      <c r="FD728" s="425"/>
      <c r="FE728" s="333"/>
    </row>
    <row r="729" spans="86:161" x14ac:dyDescent="0.25">
      <c r="CH729" s="350"/>
      <c r="CI729" s="350"/>
      <c r="CJ729" s="350"/>
      <c r="CK729" s="350"/>
      <c r="CL729" s="350"/>
      <c r="CM729" s="350"/>
      <c r="DG729" s="350"/>
      <c r="DH729" s="300"/>
      <c r="DI729" s="395" t="str">
        <f t="shared" ca="1" si="1085"/>
        <v/>
      </c>
      <c r="DJ729" s="478" t="str">
        <f t="shared" ca="1" si="1079"/>
        <v/>
      </c>
      <c r="DK729" s="360" t="str">
        <f t="shared" ca="1" si="1080"/>
        <v/>
      </c>
      <c r="DL729" s="354" t="str">
        <f t="shared" ca="1" si="1081"/>
        <v/>
      </c>
      <c r="DM729" s="354" t="str">
        <f t="shared" ca="1" si="1082"/>
        <v/>
      </c>
      <c r="DN729" s="361" t="str">
        <f t="shared" ca="1" si="1083"/>
        <v/>
      </c>
      <c r="DO729" s="362" t="str">
        <f t="shared" ca="1" si="1084"/>
        <v/>
      </c>
      <c r="DP729" s="379" t="str">
        <f t="shared" ca="1" si="1086"/>
        <v/>
      </c>
      <c r="DQ729" s="302"/>
      <c r="DR729" s="364"/>
      <c r="DS729" s="302"/>
      <c r="DU729" s="424"/>
      <c r="DV729" s="424"/>
      <c r="DW729" s="424"/>
      <c r="DX729" s="424"/>
      <c r="DY729" s="424"/>
      <c r="DZ729" s="424"/>
      <c r="EA729" s="424"/>
      <c r="EB729" s="424"/>
      <c r="EC729" s="424"/>
      <c r="ED729" s="424"/>
      <c r="EE729" s="424"/>
      <c r="EF729" s="424"/>
      <c r="EG729" s="424"/>
      <c r="EH729" s="424"/>
      <c r="EI729" s="424"/>
      <c r="EJ729" s="424"/>
      <c r="EK729" s="424"/>
      <c r="EL729" s="424"/>
      <c r="EM729" s="424"/>
      <c r="EN729" s="424"/>
      <c r="EO729" s="424"/>
      <c r="EP729" s="424"/>
      <c r="EQ729" s="424"/>
      <c r="ER729" s="424"/>
      <c r="ES729" s="424"/>
      <c r="ET729" s="424"/>
      <c r="EU729" s="424"/>
      <c r="EV729" s="424"/>
      <c r="EW729" s="424"/>
      <c r="EX729" s="424"/>
      <c r="EY729" s="424"/>
      <c r="EZ729" s="424"/>
      <c r="FA729" s="424"/>
      <c r="FB729" s="424"/>
      <c r="FC729" s="424"/>
      <c r="FD729" s="425"/>
      <c r="FE729" s="333"/>
    </row>
    <row r="730" spans="86:161" x14ac:dyDescent="0.25">
      <c r="CH730" s="350"/>
      <c r="CI730" s="350"/>
      <c r="CJ730" s="350"/>
      <c r="CK730" s="350"/>
      <c r="CL730" s="350"/>
      <c r="CM730" s="350"/>
      <c r="DG730" s="350"/>
      <c r="DH730" s="300"/>
      <c r="DI730" s="395" t="str">
        <f t="shared" ca="1" si="1085"/>
        <v/>
      </c>
      <c r="DJ730" s="478" t="str">
        <f t="shared" ca="1" si="1079"/>
        <v/>
      </c>
      <c r="DK730" s="360" t="str">
        <f t="shared" ca="1" si="1080"/>
        <v/>
      </c>
      <c r="DL730" s="354" t="str">
        <f t="shared" ca="1" si="1081"/>
        <v/>
      </c>
      <c r="DM730" s="354" t="str">
        <f t="shared" ca="1" si="1082"/>
        <v/>
      </c>
      <c r="DN730" s="361" t="str">
        <f t="shared" ca="1" si="1083"/>
        <v/>
      </c>
      <c r="DO730" s="362" t="str">
        <f t="shared" ca="1" si="1084"/>
        <v/>
      </c>
      <c r="DP730" s="379" t="str">
        <f t="shared" ca="1" si="1086"/>
        <v/>
      </c>
      <c r="DQ730" s="302"/>
      <c r="DR730" s="364"/>
      <c r="DS730" s="302"/>
      <c r="DU730" s="424"/>
      <c r="DV730" s="424"/>
      <c r="DW730" s="424"/>
      <c r="DX730" s="424"/>
      <c r="DY730" s="424"/>
      <c r="DZ730" s="424"/>
      <c r="EA730" s="424"/>
      <c r="EB730" s="424"/>
      <c r="EC730" s="424"/>
      <c r="ED730" s="424"/>
      <c r="EE730" s="424"/>
      <c r="EF730" s="424"/>
      <c r="EG730" s="424"/>
      <c r="EH730" s="424"/>
      <c r="EI730" s="424"/>
      <c r="EJ730" s="424"/>
      <c r="EK730" s="424"/>
      <c r="EL730" s="424"/>
      <c r="EM730" s="424"/>
      <c r="EN730" s="424"/>
      <c r="EO730" s="424"/>
      <c r="EP730" s="424"/>
      <c r="EQ730" s="424"/>
      <c r="ER730" s="424"/>
      <c r="ES730" s="424"/>
      <c r="ET730" s="424"/>
      <c r="EU730" s="424"/>
      <c r="EV730" s="424"/>
      <c r="EW730" s="424"/>
      <c r="EX730" s="424"/>
      <c r="EY730" s="424"/>
      <c r="EZ730" s="424"/>
      <c r="FA730" s="424"/>
      <c r="FB730" s="424"/>
      <c r="FC730" s="424"/>
      <c r="FD730" s="425"/>
      <c r="FE730" s="333"/>
    </row>
    <row r="731" spans="86:161" x14ac:dyDescent="0.25">
      <c r="CH731" s="350"/>
      <c r="CI731" s="350"/>
      <c r="CJ731" s="350"/>
      <c r="CK731" s="350"/>
      <c r="CL731" s="350"/>
      <c r="CM731" s="350"/>
      <c r="DG731" s="350"/>
      <c r="DH731" s="300"/>
      <c r="DI731" s="301"/>
      <c r="DJ731" s="471" t="s">
        <v>157</v>
      </c>
      <c r="DK731" s="471" t="s">
        <v>158</v>
      </c>
      <c r="DL731" s="472" t="s">
        <v>159</v>
      </c>
      <c r="DM731" s="472"/>
      <c r="DN731" s="473" t="s">
        <v>160</v>
      </c>
      <c r="DO731" s="472" t="s">
        <v>135</v>
      </c>
      <c r="DP731" s="302"/>
      <c r="DQ731" s="302"/>
      <c r="DR731" s="364"/>
      <c r="DS731" s="302"/>
      <c r="DU731" s="424"/>
      <c r="DV731" s="424"/>
      <c r="DW731" s="424"/>
      <c r="DX731" s="424"/>
      <c r="DY731" s="424"/>
      <c r="DZ731" s="424"/>
      <c r="EA731" s="424"/>
      <c r="EB731" s="424"/>
      <c r="EC731" s="424"/>
      <c r="ED731" s="424"/>
      <c r="EE731" s="424"/>
      <c r="EF731" s="424"/>
      <c r="EG731" s="424"/>
      <c r="EH731" s="424"/>
      <c r="EI731" s="424"/>
      <c r="EJ731" s="424"/>
      <c r="EK731" s="424"/>
      <c r="EL731" s="424"/>
      <c r="EM731" s="424"/>
      <c r="EN731" s="424"/>
      <c r="EO731" s="424"/>
      <c r="EP731" s="424"/>
      <c r="EQ731" s="424"/>
      <c r="ER731" s="424"/>
      <c r="ES731" s="424"/>
      <c r="ET731" s="424"/>
      <c r="EU731" s="424"/>
      <c r="EV731" s="424"/>
      <c r="EW731" s="424"/>
      <c r="EX731" s="424"/>
      <c r="EY731" s="424"/>
      <c r="EZ731" s="424"/>
      <c r="FA731" s="424"/>
      <c r="FB731" s="424"/>
      <c r="FC731" s="424"/>
      <c r="FD731" s="425"/>
      <c r="FE731" s="333"/>
    </row>
    <row r="732" spans="86:161" x14ac:dyDescent="0.25">
      <c r="CH732" s="350"/>
      <c r="CI732" s="350"/>
      <c r="CJ732" s="350"/>
      <c r="CK732" s="350"/>
      <c r="CL732" s="350"/>
      <c r="CM732" s="350"/>
      <c r="DG732" s="350"/>
      <c r="DH732" s="300"/>
      <c r="DI732" s="395" t="str">
        <f ca="1">DI721</f>
        <v>Hercules-Ludovika</v>
      </c>
      <c r="DJ732" s="478" t="str">
        <f t="shared" ref="DJ732:DJ741" ca="1" si="1087">IF(OR(DI732="",DP732="",DI732=DP732,COUNTIF(games.an,DI732&amp;DP732)=0),"",CONCATENATE(DI732,DP732))</f>
        <v/>
      </c>
      <c r="DK732" s="360" t="str">
        <f t="shared" ref="DK732:DK741" ca="1" si="1088">IF($DJ732="","",CONCATENATE(VLOOKUP($DJ732,games.a,9,FALSE),VLOOKUP($DJ732,games.a,12,FALSE)))</f>
        <v/>
      </c>
      <c r="DL732" s="354" t="str">
        <f t="shared" ref="DL732:DL741" ca="1" si="1089">IF($DJ732="","",VLOOKUP($DJ732,games.a,10,FALSE))</f>
        <v/>
      </c>
      <c r="DM732" s="354" t="str">
        <f t="shared" ref="DM732:DM741" ca="1" si="1090">IF($DJ732="","",VLOOKUP($DJ732,games.a,13,FALSE))</f>
        <v/>
      </c>
      <c r="DN732" s="361" t="str">
        <f t="shared" ref="DN732:DN741" ca="1" si="1091">IF($DJ732="","",VLOOKUP($DJ732,games.a,6,FALSE))</f>
        <v/>
      </c>
      <c r="DO732" s="362" t="str">
        <f t="shared" ref="DO732:DO741" ca="1" si="1092">IF($DJ732="","",VLOOKUP($DJ732,games.a,7,FALSE))</f>
        <v/>
      </c>
      <c r="DP732" s="479" t="str">
        <f ca="1">DI652</f>
        <v/>
      </c>
      <c r="DQ732" s="302"/>
      <c r="DR732" s="364"/>
      <c r="DS732" s="302"/>
      <c r="DU732" s="424"/>
      <c r="DV732" s="424"/>
      <c r="DW732" s="424"/>
      <c r="DX732" s="424"/>
      <c r="DY732" s="424"/>
      <c r="DZ732" s="424"/>
      <c r="EA732" s="424"/>
      <c r="EB732" s="424"/>
      <c r="EC732" s="424"/>
      <c r="ED732" s="424"/>
      <c r="EE732" s="424"/>
      <c r="EF732" s="424"/>
      <c r="EG732" s="424"/>
      <c r="EH732" s="424"/>
      <c r="EI732" s="424"/>
      <c r="EJ732" s="424"/>
      <c r="EK732" s="424"/>
      <c r="EL732" s="424"/>
      <c r="EM732" s="424"/>
      <c r="EN732" s="424"/>
      <c r="EO732" s="424"/>
      <c r="EP732" s="424"/>
      <c r="EQ732" s="424"/>
      <c r="ER732" s="424"/>
      <c r="ES732" s="424"/>
      <c r="ET732" s="424"/>
      <c r="EU732" s="424"/>
      <c r="EV732" s="424"/>
      <c r="EW732" s="424"/>
      <c r="EX732" s="424"/>
      <c r="EY732" s="424"/>
      <c r="EZ732" s="424"/>
      <c r="FA732" s="424"/>
      <c r="FB732" s="424"/>
      <c r="FC732" s="424"/>
      <c r="FD732" s="425"/>
      <c r="FE732" s="333"/>
    </row>
    <row r="733" spans="86:161" x14ac:dyDescent="0.25">
      <c r="CH733" s="350"/>
      <c r="CI733" s="350"/>
      <c r="CJ733" s="350"/>
      <c r="CK733" s="350"/>
      <c r="CL733" s="350"/>
      <c r="CM733" s="350"/>
      <c r="DG733" s="350"/>
      <c r="DH733" s="300"/>
      <c r="DI733" s="395" t="str">
        <f t="shared" ref="DI733:DI741" ca="1" si="1093">DI722</f>
        <v>Élelmesek</v>
      </c>
      <c r="DJ733" s="478" t="str">
        <f t="shared" ca="1" si="1087"/>
        <v/>
      </c>
      <c r="DK733" s="360" t="str">
        <f t="shared" ca="1" si="1088"/>
        <v/>
      </c>
      <c r="DL733" s="354" t="str">
        <f t="shared" ca="1" si="1089"/>
        <v/>
      </c>
      <c r="DM733" s="354" t="str">
        <f t="shared" ca="1" si="1090"/>
        <v/>
      </c>
      <c r="DN733" s="361" t="str">
        <f t="shared" ca="1" si="1091"/>
        <v/>
      </c>
      <c r="DO733" s="362" t="str">
        <f t="shared" ca="1" si="1092"/>
        <v/>
      </c>
      <c r="DP733" s="379" t="str">
        <f ca="1">DP732</f>
        <v/>
      </c>
      <c r="DQ733" s="302"/>
      <c r="DR733" s="364"/>
      <c r="DS733" s="302"/>
      <c r="DU733" s="424"/>
      <c r="DV733" s="424"/>
      <c r="DW733" s="424"/>
      <c r="DX733" s="424"/>
      <c r="DY733" s="424"/>
      <c r="DZ733" s="424"/>
      <c r="EA733" s="424"/>
      <c r="EB733" s="424"/>
      <c r="EC733" s="424"/>
      <c r="ED733" s="424"/>
      <c r="EE733" s="424"/>
      <c r="EF733" s="424"/>
      <c r="EG733" s="424"/>
      <c r="EH733" s="424"/>
      <c r="EI733" s="424"/>
      <c r="EJ733" s="424"/>
      <c r="EK733" s="424"/>
      <c r="EL733" s="424"/>
      <c r="EM733" s="424"/>
      <c r="EN733" s="424"/>
      <c r="EO733" s="424"/>
      <c r="EP733" s="424"/>
      <c r="EQ733" s="424"/>
      <c r="ER733" s="424"/>
      <c r="ES733" s="424"/>
      <c r="ET733" s="424"/>
      <c r="EU733" s="424"/>
      <c r="EV733" s="424"/>
      <c r="EW733" s="424"/>
      <c r="EX733" s="424"/>
      <c r="EY733" s="424"/>
      <c r="EZ733" s="424"/>
      <c r="FA733" s="424"/>
      <c r="FB733" s="424"/>
      <c r="FC733" s="424"/>
      <c r="FD733" s="425"/>
      <c r="FE733" s="333"/>
    </row>
    <row r="734" spans="86:161" x14ac:dyDescent="0.25">
      <c r="CH734" s="350"/>
      <c r="CI734" s="350"/>
      <c r="CJ734" s="350"/>
      <c r="CK734" s="350"/>
      <c r="CL734" s="350"/>
      <c r="CM734" s="350"/>
      <c r="DG734" s="350"/>
      <c r="DH734" s="300"/>
      <c r="DI734" s="395" t="str">
        <f t="shared" ca="1" si="1093"/>
        <v/>
      </c>
      <c r="DJ734" s="478" t="str">
        <f t="shared" ca="1" si="1087"/>
        <v/>
      </c>
      <c r="DK734" s="360" t="str">
        <f t="shared" ca="1" si="1088"/>
        <v/>
      </c>
      <c r="DL734" s="354" t="str">
        <f t="shared" ca="1" si="1089"/>
        <v/>
      </c>
      <c r="DM734" s="354" t="str">
        <f t="shared" ca="1" si="1090"/>
        <v/>
      </c>
      <c r="DN734" s="361" t="str">
        <f t="shared" ca="1" si="1091"/>
        <v/>
      </c>
      <c r="DO734" s="362" t="str">
        <f t="shared" ca="1" si="1092"/>
        <v/>
      </c>
      <c r="DP734" s="379" t="str">
        <f t="shared" ref="DP734:DP741" ca="1" si="1094">DP733</f>
        <v/>
      </c>
      <c r="DQ734" s="302"/>
      <c r="DR734" s="364"/>
      <c r="DS734" s="302"/>
      <c r="DU734" s="424"/>
      <c r="DV734" s="424"/>
      <c r="DW734" s="424"/>
      <c r="DX734" s="424"/>
      <c r="DY734" s="424"/>
      <c r="DZ734" s="424"/>
      <c r="EA734" s="424"/>
      <c r="EB734" s="424"/>
      <c r="EC734" s="424"/>
      <c r="ED734" s="424"/>
      <c r="EE734" s="424"/>
      <c r="EF734" s="424"/>
      <c r="EG734" s="424"/>
      <c r="EH734" s="424"/>
      <c r="EI734" s="424"/>
      <c r="EJ734" s="424"/>
      <c r="EK734" s="424"/>
      <c r="EL734" s="424"/>
      <c r="EM734" s="424"/>
      <c r="EN734" s="424"/>
      <c r="EO734" s="424"/>
      <c r="EP734" s="424"/>
      <c r="EQ734" s="424"/>
      <c r="ER734" s="424"/>
      <c r="ES734" s="424"/>
      <c r="ET734" s="424"/>
      <c r="EU734" s="424"/>
      <c r="EV734" s="424"/>
      <c r="EW734" s="424"/>
      <c r="EX734" s="424"/>
      <c r="EY734" s="424"/>
      <c r="EZ734" s="424"/>
      <c r="FA734" s="424"/>
      <c r="FB734" s="424"/>
      <c r="FC734" s="424"/>
      <c r="FD734" s="425"/>
      <c r="FE734" s="333"/>
    </row>
    <row r="735" spans="86:161" x14ac:dyDescent="0.25">
      <c r="CH735" s="350"/>
      <c r="CI735" s="350"/>
      <c r="CJ735" s="350"/>
      <c r="CK735" s="350"/>
      <c r="CL735" s="350"/>
      <c r="CM735" s="350"/>
      <c r="DG735" s="350"/>
      <c r="DH735" s="300"/>
      <c r="DI735" s="395" t="str">
        <f t="shared" ca="1" si="1093"/>
        <v/>
      </c>
      <c r="DJ735" s="478" t="str">
        <f t="shared" ca="1" si="1087"/>
        <v/>
      </c>
      <c r="DK735" s="360" t="str">
        <f t="shared" ca="1" si="1088"/>
        <v/>
      </c>
      <c r="DL735" s="354" t="str">
        <f t="shared" ca="1" si="1089"/>
        <v/>
      </c>
      <c r="DM735" s="354" t="str">
        <f t="shared" ca="1" si="1090"/>
        <v/>
      </c>
      <c r="DN735" s="361" t="str">
        <f t="shared" ca="1" si="1091"/>
        <v/>
      </c>
      <c r="DO735" s="362" t="str">
        <f t="shared" ca="1" si="1092"/>
        <v/>
      </c>
      <c r="DP735" s="379" t="str">
        <f t="shared" ca="1" si="1094"/>
        <v/>
      </c>
      <c r="DQ735" s="302"/>
      <c r="DR735" s="364"/>
      <c r="DS735" s="302"/>
      <c r="DU735" s="424"/>
      <c r="DV735" s="424"/>
      <c r="DW735" s="424"/>
      <c r="DX735" s="424"/>
      <c r="DY735" s="424"/>
      <c r="DZ735" s="424"/>
      <c r="EA735" s="424"/>
      <c r="EB735" s="424"/>
      <c r="EC735" s="424"/>
      <c r="ED735" s="424"/>
      <c r="EE735" s="424"/>
      <c r="EF735" s="424"/>
      <c r="EG735" s="424"/>
      <c r="EH735" s="424"/>
      <c r="EI735" s="424"/>
      <c r="EJ735" s="424"/>
      <c r="EK735" s="424"/>
      <c r="EL735" s="424"/>
      <c r="EM735" s="424"/>
      <c r="EN735" s="424"/>
      <c r="EO735" s="424"/>
      <c r="EP735" s="424"/>
      <c r="EQ735" s="424"/>
      <c r="ER735" s="424"/>
      <c r="ES735" s="424"/>
      <c r="ET735" s="424"/>
      <c r="EU735" s="424"/>
      <c r="EV735" s="424"/>
      <c r="EW735" s="424"/>
      <c r="EX735" s="424"/>
      <c r="EY735" s="424"/>
      <c r="EZ735" s="424"/>
      <c r="FA735" s="424"/>
      <c r="FB735" s="424"/>
      <c r="FC735" s="424"/>
      <c r="FD735" s="425"/>
      <c r="FE735" s="333"/>
    </row>
    <row r="736" spans="86:161" x14ac:dyDescent="0.25">
      <c r="CH736" s="350"/>
      <c r="CI736" s="350"/>
      <c r="CJ736" s="350"/>
      <c r="CK736" s="350"/>
      <c r="CL736" s="350"/>
      <c r="CM736" s="350"/>
      <c r="DG736" s="350"/>
      <c r="DH736" s="300"/>
      <c r="DI736" s="395" t="str">
        <f t="shared" ca="1" si="1093"/>
        <v/>
      </c>
      <c r="DJ736" s="478" t="str">
        <f t="shared" ca="1" si="1087"/>
        <v/>
      </c>
      <c r="DK736" s="360" t="str">
        <f t="shared" ca="1" si="1088"/>
        <v/>
      </c>
      <c r="DL736" s="354" t="str">
        <f t="shared" ca="1" si="1089"/>
        <v/>
      </c>
      <c r="DM736" s="354" t="str">
        <f t="shared" ca="1" si="1090"/>
        <v/>
      </c>
      <c r="DN736" s="361" t="str">
        <f t="shared" ca="1" si="1091"/>
        <v/>
      </c>
      <c r="DO736" s="362" t="str">
        <f t="shared" ca="1" si="1092"/>
        <v/>
      </c>
      <c r="DP736" s="379" t="str">
        <f t="shared" ca="1" si="1094"/>
        <v/>
      </c>
      <c r="DQ736" s="302"/>
      <c r="DR736" s="364"/>
      <c r="DS736" s="302"/>
      <c r="DU736" s="424"/>
      <c r="DV736" s="424"/>
      <c r="DW736" s="424"/>
      <c r="DX736" s="424"/>
      <c r="DY736" s="424"/>
      <c r="DZ736" s="424"/>
      <c r="EA736" s="424"/>
      <c r="EB736" s="424"/>
      <c r="EC736" s="424"/>
      <c r="ED736" s="424"/>
      <c r="EE736" s="424"/>
      <c r="EF736" s="424"/>
      <c r="EG736" s="424"/>
      <c r="EH736" s="424"/>
      <c r="EI736" s="424"/>
      <c r="EJ736" s="424"/>
      <c r="EK736" s="424"/>
      <c r="EL736" s="424"/>
      <c r="EM736" s="424"/>
      <c r="EN736" s="424"/>
      <c r="EO736" s="424"/>
      <c r="EP736" s="424"/>
      <c r="EQ736" s="424"/>
      <c r="ER736" s="424"/>
      <c r="ES736" s="424"/>
      <c r="ET736" s="424"/>
      <c r="EU736" s="424"/>
      <c r="EV736" s="424"/>
      <c r="EW736" s="424"/>
      <c r="EX736" s="424"/>
      <c r="EY736" s="424"/>
      <c r="EZ736" s="424"/>
      <c r="FA736" s="424"/>
      <c r="FB736" s="424"/>
      <c r="FC736" s="424"/>
      <c r="FD736" s="425"/>
      <c r="FE736" s="333"/>
    </row>
    <row r="737" spans="86:161" x14ac:dyDescent="0.25">
      <c r="CH737" s="350"/>
      <c r="CI737" s="350"/>
      <c r="CJ737" s="350"/>
      <c r="CK737" s="350"/>
      <c r="CL737" s="350"/>
      <c r="CM737" s="350"/>
      <c r="DG737" s="350"/>
      <c r="DH737" s="300"/>
      <c r="DI737" s="395" t="str">
        <f t="shared" ca="1" si="1093"/>
        <v/>
      </c>
      <c r="DJ737" s="478" t="str">
        <f t="shared" ca="1" si="1087"/>
        <v/>
      </c>
      <c r="DK737" s="360" t="str">
        <f t="shared" ca="1" si="1088"/>
        <v/>
      </c>
      <c r="DL737" s="354" t="str">
        <f t="shared" ca="1" si="1089"/>
        <v/>
      </c>
      <c r="DM737" s="354" t="str">
        <f t="shared" ca="1" si="1090"/>
        <v/>
      </c>
      <c r="DN737" s="361" t="str">
        <f t="shared" ca="1" si="1091"/>
        <v/>
      </c>
      <c r="DO737" s="362" t="str">
        <f t="shared" ca="1" si="1092"/>
        <v/>
      </c>
      <c r="DP737" s="379" t="str">
        <f t="shared" ca="1" si="1094"/>
        <v/>
      </c>
      <c r="DQ737" s="302"/>
      <c r="DR737" s="364"/>
      <c r="DS737" s="302"/>
      <c r="DU737" s="424"/>
      <c r="DV737" s="424"/>
      <c r="DW737" s="424"/>
      <c r="DX737" s="424"/>
      <c r="DY737" s="424"/>
      <c r="DZ737" s="424"/>
      <c r="EA737" s="424"/>
      <c r="EB737" s="424"/>
      <c r="EC737" s="424"/>
      <c r="ED737" s="424"/>
      <c r="EE737" s="424"/>
      <c r="EF737" s="424"/>
      <c r="EG737" s="424"/>
      <c r="EH737" s="424"/>
      <c r="EI737" s="424"/>
      <c r="EJ737" s="424"/>
      <c r="EK737" s="424"/>
      <c r="EL737" s="424"/>
      <c r="EM737" s="424"/>
      <c r="EN737" s="424"/>
      <c r="EO737" s="424"/>
      <c r="EP737" s="424"/>
      <c r="EQ737" s="424"/>
      <c r="ER737" s="424"/>
      <c r="ES737" s="424"/>
      <c r="ET737" s="424"/>
      <c r="EU737" s="424"/>
      <c r="EV737" s="424"/>
      <c r="EW737" s="424"/>
      <c r="EX737" s="424"/>
      <c r="EY737" s="424"/>
      <c r="EZ737" s="424"/>
      <c r="FA737" s="424"/>
      <c r="FB737" s="424"/>
      <c r="FC737" s="424"/>
      <c r="FD737" s="425"/>
      <c r="FE737" s="333"/>
    </row>
    <row r="738" spans="86:161" x14ac:dyDescent="0.25">
      <c r="CH738" s="350"/>
      <c r="CI738" s="350"/>
      <c r="CJ738" s="350"/>
      <c r="CK738" s="350"/>
      <c r="CL738" s="350"/>
      <c r="CM738" s="350"/>
      <c r="DG738" s="350"/>
      <c r="DH738" s="300"/>
      <c r="DI738" s="395" t="str">
        <f t="shared" ca="1" si="1093"/>
        <v/>
      </c>
      <c r="DJ738" s="478" t="str">
        <f t="shared" ca="1" si="1087"/>
        <v/>
      </c>
      <c r="DK738" s="360" t="str">
        <f t="shared" ca="1" si="1088"/>
        <v/>
      </c>
      <c r="DL738" s="354" t="str">
        <f t="shared" ca="1" si="1089"/>
        <v/>
      </c>
      <c r="DM738" s="354" t="str">
        <f t="shared" ca="1" si="1090"/>
        <v/>
      </c>
      <c r="DN738" s="361" t="str">
        <f t="shared" ca="1" si="1091"/>
        <v/>
      </c>
      <c r="DO738" s="362" t="str">
        <f t="shared" ca="1" si="1092"/>
        <v/>
      </c>
      <c r="DP738" s="379" t="str">
        <f t="shared" ca="1" si="1094"/>
        <v/>
      </c>
      <c r="DQ738" s="302"/>
      <c r="DR738" s="364"/>
      <c r="DS738" s="302"/>
      <c r="DU738" s="424"/>
      <c r="DV738" s="424"/>
      <c r="DW738" s="424"/>
      <c r="DX738" s="424"/>
      <c r="DY738" s="424"/>
      <c r="DZ738" s="424"/>
      <c r="EA738" s="424"/>
      <c r="EB738" s="424"/>
      <c r="EC738" s="424"/>
      <c r="ED738" s="424"/>
      <c r="EE738" s="424"/>
      <c r="EF738" s="424"/>
      <c r="EG738" s="424"/>
      <c r="EH738" s="424"/>
      <c r="EI738" s="424"/>
      <c r="EJ738" s="424"/>
      <c r="EK738" s="424"/>
      <c r="EL738" s="424"/>
      <c r="EM738" s="424"/>
      <c r="EN738" s="424"/>
      <c r="EO738" s="424"/>
      <c r="EP738" s="424"/>
      <c r="EQ738" s="424"/>
      <c r="ER738" s="424"/>
      <c r="ES738" s="424"/>
      <c r="ET738" s="424"/>
      <c r="EU738" s="424"/>
      <c r="EV738" s="424"/>
      <c r="EW738" s="424"/>
      <c r="EX738" s="424"/>
      <c r="EY738" s="424"/>
      <c r="EZ738" s="424"/>
      <c r="FA738" s="424"/>
      <c r="FB738" s="424"/>
      <c r="FC738" s="424"/>
      <c r="FD738" s="425"/>
      <c r="FE738" s="333"/>
    </row>
    <row r="739" spans="86:161" x14ac:dyDescent="0.25">
      <c r="CH739" s="350"/>
      <c r="CI739" s="350"/>
      <c r="CJ739" s="350"/>
      <c r="CK739" s="350"/>
      <c r="CL739" s="350"/>
      <c r="CM739" s="350"/>
      <c r="DG739" s="350"/>
      <c r="DH739" s="300"/>
      <c r="DI739" s="395" t="str">
        <f t="shared" ca="1" si="1093"/>
        <v/>
      </c>
      <c r="DJ739" s="478" t="str">
        <f t="shared" ca="1" si="1087"/>
        <v/>
      </c>
      <c r="DK739" s="360" t="str">
        <f t="shared" ca="1" si="1088"/>
        <v/>
      </c>
      <c r="DL739" s="354" t="str">
        <f t="shared" ca="1" si="1089"/>
        <v/>
      </c>
      <c r="DM739" s="354" t="str">
        <f t="shared" ca="1" si="1090"/>
        <v/>
      </c>
      <c r="DN739" s="361" t="str">
        <f t="shared" ca="1" si="1091"/>
        <v/>
      </c>
      <c r="DO739" s="362" t="str">
        <f t="shared" ca="1" si="1092"/>
        <v/>
      </c>
      <c r="DP739" s="379" t="str">
        <f t="shared" ca="1" si="1094"/>
        <v/>
      </c>
      <c r="DQ739" s="302"/>
      <c r="DR739" s="364"/>
      <c r="DS739" s="302"/>
      <c r="DU739" s="424"/>
      <c r="DV739" s="424"/>
      <c r="DW739" s="424"/>
      <c r="DX739" s="424"/>
      <c r="DY739" s="424"/>
      <c r="DZ739" s="424"/>
      <c r="EA739" s="424"/>
      <c r="EB739" s="424"/>
      <c r="EC739" s="424"/>
      <c r="ED739" s="424"/>
      <c r="EE739" s="424"/>
      <c r="EF739" s="424"/>
      <c r="EG739" s="424"/>
      <c r="EH739" s="424"/>
      <c r="EI739" s="424"/>
      <c r="EJ739" s="424"/>
      <c r="EK739" s="424"/>
      <c r="EL739" s="424"/>
      <c r="EM739" s="424"/>
      <c r="EN739" s="424"/>
      <c r="EO739" s="424"/>
      <c r="EP739" s="424"/>
      <c r="EQ739" s="424"/>
      <c r="ER739" s="424"/>
      <c r="ES739" s="424"/>
      <c r="ET739" s="424"/>
      <c r="EU739" s="424"/>
      <c r="EV739" s="424"/>
      <c r="EW739" s="424"/>
      <c r="EX739" s="424"/>
      <c r="EY739" s="424"/>
      <c r="EZ739" s="424"/>
      <c r="FA739" s="424"/>
      <c r="FB739" s="424"/>
      <c r="FC739" s="424"/>
      <c r="FD739" s="425"/>
      <c r="FE739" s="333"/>
    </row>
    <row r="740" spans="86:161" x14ac:dyDescent="0.25">
      <c r="CH740" s="350"/>
      <c r="CI740" s="350"/>
      <c r="CJ740" s="350"/>
      <c r="CK740" s="350"/>
      <c r="CL740" s="350"/>
      <c r="CM740" s="350"/>
      <c r="DG740" s="350"/>
      <c r="DH740" s="300"/>
      <c r="DI740" s="395" t="str">
        <f t="shared" ca="1" si="1093"/>
        <v/>
      </c>
      <c r="DJ740" s="478" t="str">
        <f t="shared" ca="1" si="1087"/>
        <v/>
      </c>
      <c r="DK740" s="360" t="str">
        <f t="shared" ca="1" si="1088"/>
        <v/>
      </c>
      <c r="DL740" s="354" t="str">
        <f t="shared" ca="1" si="1089"/>
        <v/>
      </c>
      <c r="DM740" s="354" t="str">
        <f t="shared" ca="1" si="1090"/>
        <v/>
      </c>
      <c r="DN740" s="361" t="str">
        <f t="shared" ca="1" si="1091"/>
        <v/>
      </c>
      <c r="DO740" s="362" t="str">
        <f t="shared" ca="1" si="1092"/>
        <v/>
      </c>
      <c r="DP740" s="379" t="str">
        <f t="shared" ca="1" si="1094"/>
        <v/>
      </c>
      <c r="DQ740" s="302"/>
      <c r="DR740" s="364"/>
      <c r="DS740" s="302"/>
      <c r="DU740" s="424"/>
      <c r="DV740" s="424"/>
      <c r="DW740" s="424"/>
      <c r="DX740" s="424"/>
      <c r="DY740" s="424"/>
      <c r="DZ740" s="424"/>
      <c r="EA740" s="424"/>
      <c r="EB740" s="424"/>
      <c r="EC740" s="424"/>
      <c r="ED740" s="424"/>
      <c r="EE740" s="424"/>
      <c r="EF740" s="424"/>
      <c r="EG740" s="424"/>
      <c r="EH740" s="424"/>
      <c r="EI740" s="424"/>
      <c r="EJ740" s="424"/>
      <c r="EK740" s="424"/>
      <c r="EL740" s="424"/>
      <c r="EM740" s="424"/>
      <c r="EN740" s="424"/>
      <c r="EO740" s="424"/>
      <c r="EP740" s="424"/>
      <c r="EQ740" s="424"/>
      <c r="ER740" s="424"/>
      <c r="ES740" s="424"/>
      <c r="ET740" s="424"/>
      <c r="EU740" s="424"/>
      <c r="EV740" s="424"/>
      <c r="EW740" s="424"/>
      <c r="EX740" s="424"/>
      <c r="EY740" s="424"/>
      <c r="EZ740" s="424"/>
      <c r="FA740" s="424"/>
      <c r="FB740" s="424"/>
      <c r="FC740" s="424"/>
      <c r="FD740" s="425"/>
      <c r="FE740" s="333"/>
    </row>
    <row r="741" spans="86:161" x14ac:dyDescent="0.25">
      <c r="CH741" s="350"/>
      <c r="CI741" s="350"/>
      <c r="CJ741" s="350"/>
      <c r="CK741" s="350"/>
      <c r="CL741" s="350"/>
      <c r="CM741" s="350"/>
      <c r="DG741" s="350"/>
      <c r="DH741" s="300"/>
      <c r="DI741" s="395" t="str">
        <f t="shared" ca="1" si="1093"/>
        <v/>
      </c>
      <c r="DJ741" s="478" t="str">
        <f t="shared" ca="1" si="1087"/>
        <v/>
      </c>
      <c r="DK741" s="360" t="str">
        <f t="shared" ca="1" si="1088"/>
        <v/>
      </c>
      <c r="DL741" s="354" t="str">
        <f t="shared" ca="1" si="1089"/>
        <v/>
      </c>
      <c r="DM741" s="354" t="str">
        <f t="shared" ca="1" si="1090"/>
        <v/>
      </c>
      <c r="DN741" s="361" t="str">
        <f t="shared" ca="1" si="1091"/>
        <v/>
      </c>
      <c r="DO741" s="362" t="str">
        <f t="shared" ca="1" si="1092"/>
        <v/>
      </c>
      <c r="DP741" s="379" t="str">
        <f t="shared" ca="1" si="1094"/>
        <v/>
      </c>
      <c r="DQ741" s="302"/>
      <c r="DR741" s="364"/>
      <c r="DS741" s="302"/>
      <c r="DU741" s="424"/>
      <c r="DV741" s="424"/>
      <c r="DW741" s="424"/>
      <c r="DX741" s="424"/>
      <c r="DY741" s="424"/>
      <c r="DZ741" s="424"/>
      <c r="EA741" s="424"/>
      <c r="EB741" s="424"/>
      <c r="EC741" s="424"/>
      <c r="ED741" s="424"/>
      <c r="EE741" s="424"/>
      <c r="EF741" s="424"/>
      <c r="EG741" s="424"/>
      <c r="EH741" s="424"/>
      <c r="EI741" s="424"/>
      <c r="EJ741" s="424"/>
      <c r="EK741" s="424"/>
      <c r="EL741" s="424"/>
      <c r="EM741" s="424"/>
      <c r="EN741" s="424"/>
      <c r="EO741" s="424"/>
      <c r="EP741" s="424"/>
      <c r="EQ741" s="424"/>
      <c r="ER741" s="424"/>
      <c r="ES741" s="424"/>
      <c r="ET741" s="424"/>
      <c r="EU741" s="424"/>
      <c r="EV741" s="424"/>
      <c r="EW741" s="424"/>
      <c r="EX741" s="424"/>
      <c r="EY741" s="424"/>
      <c r="EZ741" s="424"/>
      <c r="FA741" s="424"/>
      <c r="FB741" s="424"/>
      <c r="FC741" s="424"/>
      <c r="FD741" s="425"/>
      <c r="FE741" s="333"/>
    </row>
    <row r="742" spans="86:161" x14ac:dyDescent="0.25">
      <c r="CH742" s="350"/>
      <c r="CI742" s="350"/>
      <c r="CJ742" s="350"/>
      <c r="CK742" s="350"/>
      <c r="CL742" s="350"/>
      <c r="CM742" s="350"/>
      <c r="DG742" s="350"/>
      <c r="DH742" s="300"/>
      <c r="DI742" s="301"/>
      <c r="DJ742" s="471" t="s">
        <v>157</v>
      </c>
      <c r="DK742" s="471" t="s">
        <v>158</v>
      </c>
      <c r="DL742" s="472" t="s">
        <v>159</v>
      </c>
      <c r="DM742" s="472"/>
      <c r="DN742" s="473" t="s">
        <v>160</v>
      </c>
      <c r="DO742" s="472" t="s">
        <v>135</v>
      </c>
      <c r="DP742" s="302"/>
      <c r="DQ742" s="302"/>
      <c r="DR742" s="364"/>
      <c r="DS742" s="302"/>
      <c r="DU742" s="424"/>
      <c r="DV742" s="424"/>
      <c r="DW742" s="424"/>
      <c r="DX742" s="424"/>
      <c r="DY742" s="424"/>
      <c r="DZ742" s="424"/>
      <c r="EA742" s="424"/>
      <c r="EB742" s="424"/>
      <c r="EC742" s="424"/>
      <c r="ED742" s="424"/>
      <c r="EE742" s="424"/>
      <c r="EF742" s="424"/>
      <c r="EG742" s="424"/>
      <c r="EH742" s="424"/>
      <c r="EI742" s="424"/>
      <c r="EJ742" s="424"/>
      <c r="EK742" s="424"/>
      <c r="EL742" s="424"/>
      <c r="EM742" s="424"/>
      <c r="EN742" s="424"/>
      <c r="EO742" s="424"/>
      <c r="EP742" s="424"/>
      <c r="EQ742" s="424"/>
      <c r="ER742" s="424"/>
      <c r="ES742" s="424"/>
      <c r="ET742" s="424"/>
      <c r="EU742" s="424"/>
      <c r="EV742" s="424"/>
      <c r="EW742" s="424"/>
      <c r="EX742" s="424"/>
      <c r="EY742" s="424"/>
      <c r="EZ742" s="424"/>
      <c r="FA742" s="424"/>
      <c r="FB742" s="424"/>
      <c r="FC742" s="424"/>
      <c r="FD742" s="425"/>
      <c r="FE742" s="333"/>
    </row>
    <row r="743" spans="86:161" x14ac:dyDescent="0.25">
      <c r="CH743" s="350"/>
      <c r="CI743" s="350"/>
      <c r="CJ743" s="350"/>
      <c r="CK743" s="350"/>
      <c r="CL743" s="350"/>
      <c r="CM743" s="350"/>
      <c r="DG743" s="350"/>
      <c r="DH743" s="300"/>
      <c r="DI743" s="395" t="str">
        <f ca="1">DI732</f>
        <v>Hercules-Ludovika</v>
      </c>
      <c r="DJ743" s="478" t="str">
        <f t="shared" ref="DJ743:DJ752" ca="1" si="1095">IF(OR(DI743="",DP743="",DI743=DP743,COUNTIF(games.an,DI743&amp;DP743)=0),"",CONCATENATE(DI743,DP743))</f>
        <v/>
      </c>
      <c r="DK743" s="360" t="str">
        <f t="shared" ref="DK743:DK752" ca="1" si="1096">IF($DJ743="","",CONCATENATE(VLOOKUP($DJ743,games.a,9,FALSE),VLOOKUP($DJ743,games.a,12,FALSE)))</f>
        <v/>
      </c>
      <c r="DL743" s="354" t="str">
        <f t="shared" ref="DL743:DL752" ca="1" si="1097">IF($DJ743="","",VLOOKUP($DJ743,games.a,10,FALSE))</f>
        <v/>
      </c>
      <c r="DM743" s="354" t="str">
        <f t="shared" ref="DM743:DM752" ca="1" si="1098">IF($DJ743="","",VLOOKUP($DJ743,games.a,13,FALSE))</f>
        <v/>
      </c>
      <c r="DN743" s="361" t="str">
        <f t="shared" ref="DN743:DN752" ca="1" si="1099">IF($DJ743="","",VLOOKUP($DJ743,games.a,6,FALSE))</f>
        <v/>
      </c>
      <c r="DO743" s="362" t="str">
        <f t="shared" ref="DO743:DO752" ca="1" si="1100">IF($DJ743="","",VLOOKUP($DJ743,games.a,7,FALSE))</f>
        <v/>
      </c>
      <c r="DP743" s="479" t="str">
        <f ca="1">DI653</f>
        <v/>
      </c>
      <c r="DQ743" s="302"/>
      <c r="DR743" s="364"/>
      <c r="DS743" s="302"/>
      <c r="DU743" s="424"/>
      <c r="DV743" s="424"/>
      <c r="DW743" s="424"/>
      <c r="DX743" s="424"/>
      <c r="DY743" s="424"/>
      <c r="DZ743" s="424"/>
      <c r="EA743" s="424"/>
      <c r="EB743" s="424"/>
      <c r="EC743" s="424"/>
      <c r="ED743" s="424"/>
      <c r="EE743" s="424"/>
      <c r="EF743" s="424"/>
      <c r="EG743" s="424"/>
      <c r="EH743" s="424"/>
      <c r="EI743" s="424"/>
      <c r="EJ743" s="424"/>
      <c r="EK743" s="424"/>
      <c r="EL743" s="424"/>
      <c r="EM743" s="424"/>
      <c r="EN743" s="424"/>
      <c r="EO743" s="424"/>
      <c r="EP743" s="424"/>
      <c r="EQ743" s="424"/>
      <c r="ER743" s="424"/>
      <c r="ES743" s="424"/>
      <c r="ET743" s="424"/>
      <c r="EU743" s="424"/>
      <c r="EV743" s="424"/>
      <c r="EW743" s="424"/>
      <c r="EX743" s="424"/>
      <c r="EY743" s="424"/>
      <c r="EZ743" s="424"/>
      <c r="FA743" s="424"/>
      <c r="FB743" s="424"/>
      <c r="FC743" s="424"/>
      <c r="FD743" s="425"/>
      <c r="FE743" s="333"/>
    </row>
    <row r="744" spans="86:161" x14ac:dyDescent="0.25">
      <c r="CH744" s="350"/>
      <c r="CI744" s="350"/>
      <c r="CJ744" s="350"/>
      <c r="CK744" s="350"/>
      <c r="CL744" s="350"/>
      <c r="CM744" s="350"/>
      <c r="DG744" s="350"/>
      <c r="DH744" s="300"/>
      <c r="DI744" s="395" t="str">
        <f t="shared" ref="DI744:DI752" ca="1" si="1101">DI733</f>
        <v>Élelmesek</v>
      </c>
      <c r="DJ744" s="478" t="str">
        <f t="shared" ca="1" si="1095"/>
        <v/>
      </c>
      <c r="DK744" s="360" t="str">
        <f t="shared" ca="1" si="1096"/>
        <v/>
      </c>
      <c r="DL744" s="354" t="str">
        <f t="shared" ca="1" si="1097"/>
        <v/>
      </c>
      <c r="DM744" s="354" t="str">
        <f t="shared" ca="1" si="1098"/>
        <v/>
      </c>
      <c r="DN744" s="361" t="str">
        <f t="shared" ca="1" si="1099"/>
        <v/>
      </c>
      <c r="DO744" s="362" t="str">
        <f t="shared" ca="1" si="1100"/>
        <v/>
      </c>
      <c r="DP744" s="379" t="str">
        <f ca="1">DP743</f>
        <v/>
      </c>
      <c r="DQ744" s="302"/>
      <c r="DR744" s="364"/>
      <c r="DS744" s="302"/>
      <c r="DU744" s="424"/>
      <c r="DV744" s="424"/>
      <c r="DW744" s="424"/>
      <c r="DX744" s="424"/>
      <c r="DY744" s="424"/>
      <c r="DZ744" s="424"/>
      <c r="EA744" s="424"/>
      <c r="EB744" s="424"/>
      <c r="EC744" s="424"/>
      <c r="ED744" s="424"/>
      <c r="EE744" s="424"/>
      <c r="EF744" s="424"/>
      <c r="EG744" s="424"/>
      <c r="EH744" s="424"/>
      <c r="EI744" s="424"/>
      <c r="EJ744" s="424"/>
      <c r="EK744" s="424"/>
      <c r="EL744" s="424"/>
      <c r="EM744" s="424"/>
      <c r="EN744" s="424"/>
      <c r="EO744" s="424"/>
      <c r="EP744" s="424"/>
      <c r="EQ744" s="424"/>
      <c r="ER744" s="424"/>
      <c r="ES744" s="424"/>
      <c r="ET744" s="424"/>
      <c r="EU744" s="424"/>
      <c r="EV744" s="424"/>
      <c r="EW744" s="424"/>
      <c r="EX744" s="424"/>
      <c r="EY744" s="424"/>
      <c r="EZ744" s="424"/>
      <c r="FA744" s="424"/>
      <c r="FB744" s="424"/>
      <c r="FC744" s="424"/>
      <c r="FD744" s="425"/>
      <c r="FE744" s="333"/>
    </row>
    <row r="745" spans="86:161" x14ac:dyDescent="0.25">
      <c r="CH745" s="350"/>
      <c r="CI745" s="350"/>
      <c r="CJ745" s="350"/>
      <c r="CK745" s="350"/>
      <c r="CL745" s="350"/>
      <c r="CM745" s="350"/>
      <c r="DG745" s="350"/>
      <c r="DH745" s="300"/>
      <c r="DI745" s="395" t="str">
        <f t="shared" ca="1" si="1101"/>
        <v/>
      </c>
      <c r="DJ745" s="478" t="str">
        <f t="shared" ca="1" si="1095"/>
        <v/>
      </c>
      <c r="DK745" s="360" t="str">
        <f t="shared" ca="1" si="1096"/>
        <v/>
      </c>
      <c r="DL745" s="354" t="str">
        <f t="shared" ca="1" si="1097"/>
        <v/>
      </c>
      <c r="DM745" s="354" t="str">
        <f t="shared" ca="1" si="1098"/>
        <v/>
      </c>
      <c r="DN745" s="361" t="str">
        <f t="shared" ca="1" si="1099"/>
        <v/>
      </c>
      <c r="DO745" s="362" t="str">
        <f t="shared" ca="1" si="1100"/>
        <v/>
      </c>
      <c r="DP745" s="379" t="str">
        <f t="shared" ref="DP745:DP752" ca="1" si="1102">DP744</f>
        <v/>
      </c>
      <c r="DQ745" s="302"/>
      <c r="DR745" s="364"/>
      <c r="DS745" s="302"/>
      <c r="DU745" s="424"/>
      <c r="DV745" s="424"/>
      <c r="DW745" s="424"/>
      <c r="DX745" s="424"/>
      <c r="DY745" s="424"/>
      <c r="DZ745" s="424"/>
      <c r="EA745" s="424"/>
      <c r="EB745" s="424"/>
      <c r="EC745" s="424"/>
      <c r="ED745" s="424"/>
      <c r="EE745" s="424"/>
      <c r="EF745" s="424"/>
      <c r="EG745" s="424"/>
      <c r="EH745" s="424"/>
      <c r="EI745" s="424"/>
      <c r="EJ745" s="424"/>
      <c r="EK745" s="424"/>
      <c r="EL745" s="424"/>
      <c r="EM745" s="424"/>
      <c r="EN745" s="424"/>
      <c r="EO745" s="424"/>
      <c r="EP745" s="424"/>
      <c r="EQ745" s="424"/>
      <c r="ER745" s="424"/>
      <c r="ES745" s="424"/>
      <c r="ET745" s="424"/>
      <c r="EU745" s="424"/>
      <c r="EV745" s="424"/>
      <c r="EW745" s="424"/>
      <c r="EX745" s="424"/>
      <c r="EY745" s="424"/>
      <c r="EZ745" s="424"/>
      <c r="FA745" s="424"/>
      <c r="FB745" s="424"/>
      <c r="FC745" s="424"/>
      <c r="FD745" s="425"/>
      <c r="FE745" s="333"/>
    </row>
    <row r="746" spans="86:161" x14ac:dyDescent="0.25">
      <c r="CH746" s="350"/>
      <c r="CI746" s="350"/>
      <c r="CJ746" s="350"/>
      <c r="CK746" s="350"/>
      <c r="CL746" s="350"/>
      <c r="CM746" s="350"/>
      <c r="DG746" s="350"/>
      <c r="DH746" s="300"/>
      <c r="DI746" s="395" t="str">
        <f t="shared" ca="1" si="1101"/>
        <v/>
      </c>
      <c r="DJ746" s="478" t="str">
        <f t="shared" ca="1" si="1095"/>
        <v/>
      </c>
      <c r="DK746" s="360" t="str">
        <f t="shared" ca="1" si="1096"/>
        <v/>
      </c>
      <c r="DL746" s="354" t="str">
        <f t="shared" ca="1" si="1097"/>
        <v/>
      </c>
      <c r="DM746" s="354" t="str">
        <f t="shared" ca="1" si="1098"/>
        <v/>
      </c>
      <c r="DN746" s="361" t="str">
        <f t="shared" ca="1" si="1099"/>
        <v/>
      </c>
      <c r="DO746" s="362" t="str">
        <f t="shared" ca="1" si="1100"/>
        <v/>
      </c>
      <c r="DP746" s="379" t="str">
        <f t="shared" ca="1" si="1102"/>
        <v/>
      </c>
      <c r="DQ746" s="302"/>
      <c r="DR746" s="364"/>
      <c r="DS746" s="302"/>
      <c r="DU746" s="424"/>
      <c r="DV746" s="424"/>
      <c r="DW746" s="424"/>
      <c r="DX746" s="424"/>
      <c r="DY746" s="424"/>
      <c r="DZ746" s="424"/>
      <c r="EA746" s="424"/>
      <c r="EB746" s="424"/>
      <c r="EC746" s="424"/>
      <c r="ED746" s="424"/>
      <c r="EE746" s="424"/>
      <c r="EF746" s="424"/>
      <c r="EG746" s="424"/>
      <c r="EH746" s="424"/>
      <c r="EI746" s="424"/>
      <c r="EJ746" s="424"/>
      <c r="EK746" s="424"/>
      <c r="EL746" s="424"/>
      <c r="EM746" s="424"/>
      <c r="EN746" s="424"/>
      <c r="EO746" s="424"/>
      <c r="EP746" s="424"/>
      <c r="EQ746" s="424"/>
      <c r="ER746" s="424"/>
      <c r="ES746" s="424"/>
      <c r="ET746" s="424"/>
      <c r="EU746" s="424"/>
      <c r="EV746" s="424"/>
      <c r="EW746" s="424"/>
      <c r="EX746" s="424"/>
      <c r="EY746" s="424"/>
      <c r="EZ746" s="424"/>
      <c r="FA746" s="424"/>
      <c r="FB746" s="424"/>
      <c r="FC746" s="424"/>
      <c r="FD746" s="425"/>
      <c r="FE746" s="333"/>
    </row>
    <row r="747" spans="86:161" x14ac:dyDescent="0.25">
      <c r="CH747" s="350"/>
      <c r="CI747" s="350"/>
      <c r="CJ747" s="350"/>
      <c r="CK747" s="350"/>
      <c r="CL747" s="350"/>
      <c r="CM747" s="350"/>
      <c r="DG747" s="350"/>
      <c r="DH747" s="300"/>
      <c r="DI747" s="395" t="str">
        <f t="shared" ca="1" si="1101"/>
        <v/>
      </c>
      <c r="DJ747" s="478" t="str">
        <f t="shared" ca="1" si="1095"/>
        <v/>
      </c>
      <c r="DK747" s="360" t="str">
        <f t="shared" ca="1" si="1096"/>
        <v/>
      </c>
      <c r="DL747" s="354" t="str">
        <f t="shared" ca="1" si="1097"/>
        <v/>
      </c>
      <c r="DM747" s="354" t="str">
        <f t="shared" ca="1" si="1098"/>
        <v/>
      </c>
      <c r="DN747" s="361" t="str">
        <f t="shared" ca="1" si="1099"/>
        <v/>
      </c>
      <c r="DO747" s="362" t="str">
        <f t="shared" ca="1" si="1100"/>
        <v/>
      </c>
      <c r="DP747" s="379" t="str">
        <f t="shared" ca="1" si="1102"/>
        <v/>
      </c>
      <c r="DQ747" s="302"/>
      <c r="DR747" s="364"/>
      <c r="DS747" s="302"/>
      <c r="DU747" s="424"/>
      <c r="DV747" s="424"/>
      <c r="DW747" s="424"/>
      <c r="DX747" s="424"/>
      <c r="DY747" s="424"/>
      <c r="DZ747" s="424"/>
      <c r="EA747" s="424"/>
      <c r="EB747" s="424"/>
      <c r="EC747" s="424"/>
      <c r="ED747" s="424"/>
      <c r="EE747" s="424"/>
      <c r="EF747" s="424"/>
      <c r="EG747" s="424"/>
      <c r="EH747" s="424"/>
      <c r="EI747" s="424"/>
      <c r="EJ747" s="424"/>
      <c r="EK747" s="424"/>
      <c r="EL747" s="424"/>
      <c r="EM747" s="424"/>
      <c r="EN747" s="424"/>
      <c r="EO747" s="424"/>
      <c r="EP747" s="424"/>
      <c r="EQ747" s="424"/>
      <c r="ER747" s="424"/>
      <c r="ES747" s="424"/>
      <c r="ET747" s="424"/>
      <c r="EU747" s="424"/>
      <c r="EV747" s="424"/>
      <c r="EW747" s="424"/>
      <c r="EX747" s="424"/>
      <c r="EY747" s="424"/>
      <c r="EZ747" s="424"/>
      <c r="FA747" s="424"/>
      <c r="FB747" s="424"/>
      <c r="FC747" s="424"/>
      <c r="FD747" s="425"/>
      <c r="FE747" s="333"/>
    </row>
    <row r="748" spans="86:161" x14ac:dyDescent="0.25">
      <c r="CH748" s="350"/>
      <c r="CI748" s="350"/>
      <c r="CJ748" s="350"/>
      <c r="CK748" s="350"/>
      <c r="CL748" s="350"/>
      <c r="CM748" s="350"/>
      <c r="DG748" s="350"/>
      <c r="DH748" s="300"/>
      <c r="DI748" s="395" t="str">
        <f t="shared" ca="1" si="1101"/>
        <v/>
      </c>
      <c r="DJ748" s="478" t="str">
        <f t="shared" ca="1" si="1095"/>
        <v/>
      </c>
      <c r="DK748" s="360" t="str">
        <f t="shared" ca="1" si="1096"/>
        <v/>
      </c>
      <c r="DL748" s="354" t="str">
        <f t="shared" ca="1" si="1097"/>
        <v/>
      </c>
      <c r="DM748" s="354" t="str">
        <f t="shared" ca="1" si="1098"/>
        <v/>
      </c>
      <c r="DN748" s="361" t="str">
        <f t="shared" ca="1" si="1099"/>
        <v/>
      </c>
      <c r="DO748" s="362" t="str">
        <f t="shared" ca="1" si="1100"/>
        <v/>
      </c>
      <c r="DP748" s="379" t="str">
        <f t="shared" ca="1" si="1102"/>
        <v/>
      </c>
      <c r="DQ748" s="302"/>
      <c r="DR748" s="364"/>
      <c r="DS748" s="302"/>
      <c r="DU748" s="424"/>
      <c r="DV748" s="424"/>
      <c r="DW748" s="424"/>
      <c r="DX748" s="424"/>
      <c r="DY748" s="424"/>
      <c r="DZ748" s="424"/>
      <c r="EA748" s="424"/>
      <c r="EB748" s="424"/>
      <c r="EC748" s="424"/>
      <c r="ED748" s="424"/>
      <c r="EE748" s="424"/>
      <c r="EF748" s="424"/>
      <c r="EG748" s="424"/>
      <c r="EH748" s="424"/>
      <c r="EI748" s="424"/>
      <c r="EJ748" s="424"/>
      <c r="EK748" s="424"/>
      <c r="EL748" s="424"/>
      <c r="EM748" s="424"/>
      <c r="EN748" s="424"/>
      <c r="EO748" s="424"/>
      <c r="EP748" s="424"/>
      <c r="EQ748" s="424"/>
      <c r="ER748" s="424"/>
      <c r="ES748" s="424"/>
      <c r="ET748" s="424"/>
      <c r="EU748" s="424"/>
      <c r="EV748" s="424"/>
      <c r="EW748" s="424"/>
      <c r="EX748" s="424"/>
      <c r="EY748" s="424"/>
      <c r="EZ748" s="424"/>
      <c r="FA748" s="424"/>
      <c r="FB748" s="424"/>
      <c r="FC748" s="424"/>
      <c r="FD748" s="425"/>
      <c r="FE748" s="333"/>
    </row>
    <row r="749" spans="86:161" x14ac:dyDescent="0.25">
      <c r="CH749" s="350"/>
      <c r="CI749" s="350"/>
      <c r="CJ749" s="350"/>
      <c r="CK749" s="350"/>
      <c r="CL749" s="350"/>
      <c r="CM749" s="350"/>
      <c r="DG749" s="350"/>
      <c r="DH749" s="300"/>
      <c r="DI749" s="395" t="str">
        <f t="shared" ca="1" si="1101"/>
        <v/>
      </c>
      <c r="DJ749" s="478" t="str">
        <f t="shared" ca="1" si="1095"/>
        <v/>
      </c>
      <c r="DK749" s="360" t="str">
        <f t="shared" ca="1" si="1096"/>
        <v/>
      </c>
      <c r="DL749" s="354" t="str">
        <f t="shared" ca="1" si="1097"/>
        <v/>
      </c>
      <c r="DM749" s="354" t="str">
        <f t="shared" ca="1" si="1098"/>
        <v/>
      </c>
      <c r="DN749" s="361" t="str">
        <f t="shared" ca="1" si="1099"/>
        <v/>
      </c>
      <c r="DO749" s="362" t="str">
        <f t="shared" ca="1" si="1100"/>
        <v/>
      </c>
      <c r="DP749" s="379" t="str">
        <f t="shared" ca="1" si="1102"/>
        <v/>
      </c>
      <c r="DQ749" s="302"/>
      <c r="DR749" s="364"/>
      <c r="DS749" s="302"/>
      <c r="DU749" s="424"/>
      <c r="DV749" s="424"/>
      <c r="DW749" s="424"/>
      <c r="DX749" s="424"/>
      <c r="DY749" s="424"/>
      <c r="DZ749" s="424"/>
      <c r="EA749" s="424"/>
      <c r="EB749" s="424"/>
      <c r="EC749" s="424"/>
      <c r="ED749" s="424"/>
      <c r="EE749" s="424"/>
      <c r="EF749" s="424"/>
      <c r="EG749" s="424"/>
      <c r="EH749" s="424"/>
      <c r="EI749" s="424"/>
      <c r="EJ749" s="424"/>
      <c r="EK749" s="424"/>
      <c r="EL749" s="424"/>
      <c r="EM749" s="424"/>
      <c r="EN749" s="424"/>
      <c r="EO749" s="424"/>
      <c r="EP749" s="424"/>
      <c r="EQ749" s="424"/>
      <c r="ER749" s="424"/>
      <c r="ES749" s="424"/>
      <c r="ET749" s="424"/>
      <c r="EU749" s="424"/>
      <c r="EV749" s="424"/>
      <c r="EW749" s="424"/>
      <c r="EX749" s="424"/>
      <c r="EY749" s="424"/>
      <c r="EZ749" s="424"/>
      <c r="FA749" s="424"/>
      <c r="FB749" s="424"/>
      <c r="FC749" s="424"/>
      <c r="FD749" s="425"/>
      <c r="FE749" s="333"/>
    </row>
    <row r="750" spans="86:161" x14ac:dyDescent="0.25">
      <c r="CH750" s="350"/>
      <c r="CI750" s="350"/>
      <c r="CJ750" s="350"/>
      <c r="CK750" s="350"/>
      <c r="CL750" s="350"/>
      <c r="CM750" s="350"/>
      <c r="DG750" s="350"/>
      <c r="DH750" s="300"/>
      <c r="DI750" s="395" t="str">
        <f t="shared" ca="1" si="1101"/>
        <v/>
      </c>
      <c r="DJ750" s="478" t="str">
        <f t="shared" ca="1" si="1095"/>
        <v/>
      </c>
      <c r="DK750" s="360" t="str">
        <f t="shared" ca="1" si="1096"/>
        <v/>
      </c>
      <c r="DL750" s="354" t="str">
        <f t="shared" ca="1" si="1097"/>
        <v/>
      </c>
      <c r="DM750" s="354" t="str">
        <f t="shared" ca="1" si="1098"/>
        <v/>
      </c>
      <c r="DN750" s="361" t="str">
        <f t="shared" ca="1" si="1099"/>
        <v/>
      </c>
      <c r="DO750" s="362" t="str">
        <f t="shared" ca="1" si="1100"/>
        <v/>
      </c>
      <c r="DP750" s="379" t="str">
        <f t="shared" ca="1" si="1102"/>
        <v/>
      </c>
      <c r="DQ750" s="302"/>
      <c r="DR750" s="364"/>
      <c r="DS750" s="302"/>
      <c r="DU750" s="424"/>
      <c r="DV750" s="424"/>
      <c r="DW750" s="424"/>
      <c r="DX750" s="424"/>
      <c r="DY750" s="424"/>
      <c r="DZ750" s="424"/>
      <c r="EA750" s="424"/>
      <c r="EB750" s="424"/>
      <c r="EC750" s="424"/>
      <c r="ED750" s="424"/>
      <c r="EE750" s="424"/>
      <c r="EF750" s="424"/>
      <c r="EG750" s="424"/>
      <c r="EH750" s="424"/>
      <c r="EI750" s="424"/>
      <c r="EJ750" s="424"/>
      <c r="EK750" s="424"/>
      <c r="EL750" s="424"/>
      <c r="EM750" s="424"/>
      <c r="EN750" s="424"/>
      <c r="EO750" s="424"/>
      <c r="EP750" s="424"/>
      <c r="EQ750" s="424"/>
      <c r="ER750" s="424"/>
      <c r="ES750" s="424"/>
      <c r="ET750" s="424"/>
      <c r="EU750" s="424"/>
      <c r="EV750" s="424"/>
      <c r="EW750" s="424"/>
      <c r="EX750" s="424"/>
      <c r="EY750" s="424"/>
      <c r="EZ750" s="424"/>
      <c r="FA750" s="424"/>
      <c r="FB750" s="424"/>
      <c r="FC750" s="424"/>
      <c r="FD750" s="425"/>
      <c r="FE750" s="333"/>
    </row>
    <row r="751" spans="86:161" x14ac:dyDescent="0.25">
      <c r="CH751" s="350"/>
      <c r="CI751" s="350"/>
      <c r="CJ751" s="350"/>
      <c r="CK751" s="350"/>
      <c r="CL751" s="350"/>
      <c r="CM751" s="350"/>
      <c r="DG751" s="350"/>
      <c r="DH751" s="300"/>
      <c r="DI751" s="395" t="str">
        <f t="shared" ca="1" si="1101"/>
        <v/>
      </c>
      <c r="DJ751" s="478" t="str">
        <f t="shared" ca="1" si="1095"/>
        <v/>
      </c>
      <c r="DK751" s="360" t="str">
        <f t="shared" ca="1" si="1096"/>
        <v/>
      </c>
      <c r="DL751" s="354" t="str">
        <f t="shared" ca="1" si="1097"/>
        <v/>
      </c>
      <c r="DM751" s="354" t="str">
        <f t="shared" ca="1" si="1098"/>
        <v/>
      </c>
      <c r="DN751" s="361" t="str">
        <f t="shared" ca="1" si="1099"/>
        <v/>
      </c>
      <c r="DO751" s="362" t="str">
        <f t="shared" ca="1" si="1100"/>
        <v/>
      </c>
      <c r="DP751" s="379" t="str">
        <f t="shared" ca="1" si="1102"/>
        <v/>
      </c>
      <c r="DQ751" s="302"/>
      <c r="DR751" s="364"/>
      <c r="DS751" s="302"/>
      <c r="DU751" s="424"/>
      <c r="DV751" s="424"/>
      <c r="DW751" s="424"/>
      <c r="DX751" s="424"/>
      <c r="DY751" s="424"/>
      <c r="DZ751" s="424"/>
      <c r="EA751" s="424"/>
      <c r="EB751" s="424"/>
      <c r="EC751" s="424"/>
      <c r="ED751" s="424"/>
      <c r="EE751" s="424"/>
      <c r="EF751" s="424"/>
      <c r="EG751" s="424"/>
      <c r="EH751" s="424"/>
      <c r="EI751" s="424"/>
      <c r="EJ751" s="424"/>
      <c r="EK751" s="424"/>
      <c r="EL751" s="424"/>
      <c r="EM751" s="424"/>
      <c r="EN751" s="424"/>
      <c r="EO751" s="424"/>
      <c r="EP751" s="424"/>
      <c r="EQ751" s="424"/>
      <c r="ER751" s="424"/>
      <c r="ES751" s="424"/>
      <c r="ET751" s="424"/>
      <c r="EU751" s="424"/>
      <c r="EV751" s="424"/>
      <c r="EW751" s="424"/>
      <c r="EX751" s="424"/>
      <c r="EY751" s="424"/>
      <c r="EZ751" s="424"/>
      <c r="FA751" s="424"/>
      <c r="FB751" s="424"/>
      <c r="FC751" s="424"/>
      <c r="FD751" s="425"/>
      <c r="FE751" s="333"/>
    </row>
    <row r="752" spans="86:161" x14ac:dyDescent="0.25">
      <c r="CH752" s="350"/>
      <c r="CI752" s="350"/>
      <c r="CJ752" s="350"/>
      <c r="CK752" s="350"/>
      <c r="CL752" s="350"/>
      <c r="CM752" s="350"/>
      <c r="DG752" s="350"/>
      <c r="DH752" s="300"/>
      <c r="DI752" s="395" t="str">
        <f t="shared" ca="1" si="1101"/>
        <v/>
      </c>
      <c r="DJ752" s="478" t="str">
        <f t="shared" ca="1" si="1095"/>
        <v/>
      </c>
      <c r="DK752" s="360" t="str">
        <f t="shared" ca="1" si="1096"/>
        <v/>
      </c>
      <c r="DL752" s="354" t="str">
        <f t="shared" ca="1" si="1097"/>
        <v/>
      </c>
      <c r="DM752" s="354" t="str">
        <f t="shared" ca="1" si="1098"/>
        <v/>
      </c>
      <c r="DN752" s="361" t="str">
        <f t="shared" ca="1" si="1099"/>
        <v/>
      </c>
      <c r="DO752" s="362" t="str">
        <f t="shared" ca="1" si="1100"/>
        <v/>
      </c>
      <c r="DP752" s="379" t="str">
        <f t="shared" ca="1" si="1102"/>
        <v/>
      </c>
      <c r="DQ752" s="302"/>
      <c r="DR752" s="364"/>
      <c r="DS752" s="302"/>
      <c r="DU752" s="424"/>
      <c r="DV752" s="424"/>
      <c r="DW752" s="424"/>
      <c r="DX752" s="424"/>
      <c r="DY752" s="424"/>
      <c r="DZ752" s="424"/>
      <c r="EA752" s="424"/>
      <c r="EB752" s="424"/>
      <c r="EC752" s="424"/>
      <c r="ED752" s="424"/>
      <c r="EE752" s="424"/>
      <c r="EF752" s="424"/>
      <c r="EG752" s="424"/>
      <c r="EH752" s="424"/>
      <c r="EI752" s="424"/>
      <c r="EJ752" s="424"/>
      <c r="EK752" s="424"/>
      <c r="EL752" s="424"/>
      <c r="EM752" s="424"/>
      <c r="EN752" s="424"/>
      <c r="EO752" s="424"/>
      <c r="EP752" s="424"/>
      <c r="EQ752" s="424"/>
      <c r="ER752" s="424"/>
      <c r="ES752" s="424"/>
      <c r="ET752" s="424"/>
      <c r="EU752" s="424"/>
      <c r="EV752" s="424"/>
      <c r="EW752" s="424"/>
      <c r="EX752" s="424"/>
      <c r="EY752" s="424"/>
      <c r="EZ752" s="424"/>
      <c r="FA752" s="424"/>
      <c r="FB752" s="424"/>
      <c r="FC752" s="424"/>
      <c r="FD752" s="425"/>
      <c r="FE752" s="333"/>
    </row>
    <row r="753" spans="86:161" x14ac:dyDescent="0.25">
      <c r="CH753" s="350"/>
      <c r="CI753" s="350"/>
      <c r="CJ753" s="350"/>
      <c r="CK753" s="350"/>
      <c r="CL753" s="350"/>
      <c r="CM753" s="350"/>
      <c r="DG753" s="350"/>
      <c r="DH753" s="445"/>
      <c r="DI753" s="301"/>
      <c r="DJ753" s="302"/>
      <c r="DK753" s="302"/>
      <c r="DL753" s="302"/>
      <c r="DM753" s="302"/>
      <c r="DN753" s="302"/>
      <c r="DO753" s="302"/>
      <c r="DP753" s="302"/>
      <c r="DQ753" s="302"/>
      <c r="DR753" s="446" t="s">
        <v>151</v>
      </c>
      <c r="DS753" s="302"/>
      <c r="DU753" s="424"/>
      <c r="DV753" s="424"/>
      <c r="DW753" s="424"/>
      <c r="DX753" s="424"/>
      <c r="DY753" s="424"/>
      <c r="DZ753" s="424"/>
      <c r="EA753" s="424"/>
      <c r="EB753" s="424"/>
      <c r="EC753" s="424"/>
      <c r="ED753" s="424"/>
      <c r="EE753" s="424"/>
      <c r="EF753" s="424"/>
      <c r="EG753" s="424"/>
      <c r="EH753" s="424"/>
      <c r="EI753" s="424"/>
      <c r="EJ753" s="424"/>
      <c r="EK753" s="424"/>
      <c r="EL753" s="424"/>
      <c r="EM753" s="424"/>
      <c r="EN753" s="424"/>
      <c r="EO753" s="424"/>
      <c r="EP753" s="424"/>
      <c r="EQ753" s="424"/>
      <c r="ER753" s="424"/>
      <c r="ES753" s="424"/>
      <c r="ET753" s="424"/>
      <c r="EU753" s="424"/>
      <c r="EV753" s="424"/>
      <c r="EW753" s="424"/>
      <c r="EX753" s="424"/>
      <c r="EY753" s="424"/>
      <c r="EZ753" s="424"/>
      <c r="FA753" s="424"/>
      <c r="FB753" s="424"/>
      <c r="FC753" s="424"/>
      <c r="FD753" s="425"/>
      <c r="FE753" s="333"/>
    </row>
    <row r="754" spans="86:161" x14ac:dyDescent="0.25">
      <c r="CH754" s="350"/>
      <c r="CI754" s="350"/>
      <c r="CJ754" s="350"/>
      <c r="CK754" s="350"/>
      <c r="CL754" s="350"/>
      <c r="CM754" s="350"/>
      <c r="DG754" s="350"/>
      <c r="DH754" s="445"/>
      <c r="DI754" s="301"/>
      <c r="DJ754" s="302"/>
      <c r="DK754" s="302"/>
      <c r="DL754" s="302"/>
      <c r="DM754" s="302"/>
      <c r="DN754" s="302"/>
      <c r="DO754" s="302"/>
      <c r="DP754" s="447"/>
      <c r="DQ754" s="302"/>
      <c r="DR754" s="448" t="s">
        <v>215</v>
      </c>
      <c r="DS754" s="302"/>
      <c r="DU754" s="424"/>
      <c r="DV754" s="424"/>
      <c r="DW754" s="424"/>
      <c r="DX754" s="424"/>
      <c r="DY754" s="424"/>
      <c r="DZ754" s="424"/>
      <c r="EA754" s="424"/>
      <c r="EB754" s="424"/>
      <c r="EC754" s="424"/>
      <c r="ED754" s="424"/>
      <c r="EE754" s="424"/>
      <c r="EF754" s="424"/>
      <c r="EG754" s="424"/>
      <c r="EH754" s="424"/>
      <c r="EI754" s="424"/>
      <c r="EJ754" s="424"/>
      <c r="EK754" s="424"/>
      <c r="EL754" s="424"/>
      <c r="EM754" s="424"/>
      <c r="EN754" s="424"/>
      <c r="EO754" s="424"/>
      <c r="EP754" s="424"/>
      <c r="EQ754" s="424"/>
      <c r="ER754" s="424"/>
      <c r="ES754" s="424"/>
      <c r="ET754" s="424"/>
      <c r="EU754" s="424"/>
      <c r="EV754" s="424"/>
      <c r="EW754" s="424"/>
      <c r="EX754" s="424"/>
      <c r="EY754" s="424"/>
      <c r="EZ754" s="424"/>
      <c r="FA754" s="424"/>
      <c r="FB754" s="424"/>
      <c r="FC754" s="424"/>
      <c r="FD754" s="425"/>
      <c r="FE754" s="333"/>
    </row>
    <row r="755" spans="86:161" x14ac:dyDescent="0.25">
      <c r="CH755" s="350"/>
      <c r="CI755" s="350"/>
      <c r="CJ755" s="350"/>
      <c r="CK755" s="350"/>
      <c r="CL755" s="350"/>
      <c r="CM755" s="350"/>
      <c r="DG755" s="350"/>
      <c r="DH755" s="300"/>
      <c r="DI755" s="323" t="b">
        <f ca="1">OR(NOT($AJ$44),COUNTIF(DN755:DN810,"")=49-(DP755-1)*DP755,COUNTIF(DN755:DN810,"")=49-(DP755-1)*DP755/2)</f>
        <v>1</v>
      </c>
      <c r="DJ755" s="471" t="s">
        <v>157</v>
      </c>
      <c r="DK755" s="471" t="s">
        <v>158</v>
      </c>
      <c r="DL755" s="472" t="s">
        <v>159</v>
      </c>
      <c r="DM755" s="472"/>
      <c r="DN755" s="473" t="s">
        <v>160</v>
      </c>
      <c r="DO755" s="472" t="s">
        <v>135</v>
      </c>
      <c r="DP755" s="323">
        <f ca="1">COUNT(CT644:CT650)</f>
        <v>0</v>
      </c>
      <c r="DQ755" s="302"/>
      <c r="DR755" s="364"/>
      <c r="DS755" s="302"/>
      <c r="DU755" s="424"/>
      <c r="DV755" s="329" t="s">
        <v>223</v>
      </c>
      <c r="DW755" s="329" t="s">
        <v>224</v>
      </c>
      <c r="DX755" s="329" t="s">
        <v>152</v>
      </c>
      <c r="DZ755" s="329" t="s">
        <v>154</v>
      </c>
      <c r="EA755" s="329" t="s">
        <v>155</v>
      </c>
      <c r="EC755" s="329" t="s">
        <v>226</v>
      </c>
      <c r="EE755" s="329" t="s">
        <v>227</v>
      </c>
      <c r="EI755" s="329" t="s">
        <v>228</v>
      </c>
      <c r="EJ755" s="329" t="s">
        <v>156</v>
      </c>
      <c r="EK755" s="329" t="s">
        <v>208</v>
      </c>
      <c r="EM755" s="329" t="s">
        <v>212</v>
      </c>
      <c r="EN755" s="330" t="s">
        <v>227</v>
      </c>
      <c r="EO755" s="329" t="s">
        <v>225</v>
      </c>
      <c r="EP755" s="328"/>
      <c r="EQ755" s="328"/>
      <c r="ER755" s="328"/>
      <c r="ES755" s="331" t="str">
        <f ca="1">IF(ER756=0,"xxx",VLOOKUP(ER756,EM756:EP762,IF($AJ$54,2,3),FALSE))</f>
        <v>xxx</v>
      </c>
      <c r="ET755" s="328"/>
      <c r="EU755" s="328"/>
      <c r="EV755" s="331" t="str">
        <f ca="1">IF(ER757=0,"xxx",VLOOKUP(ER757,EM756:EP762,IF($AJ$54,2,3),FALSE))</f>
        <v>xxx</v>
      </c>
      <c r="EW755" s="328"/>
      <c r="EX755" s="328"/>
      <c r="EY755" s="331" t="str">
        <f ca="1">IF(ER758=0,"xxx",VLOOKUP(ER758,EM756:EP762,IF($AJ$54,2,3),FALSE))</f>
        <v>xxx</v>
      </c>
      <c r="EZ755" s="328"/>
      <c r="FA755" s="328"/>
      <c r="FB755" s="424"/>
      <c r="FC755" s="424"/>
      <c r="FD755" s="425"/>
      <c r="FE755" s="333"/>
    </row>
    <row r="756" spans="86:161" x14ac:dyDescent="0.25">
      <c r="CH756" s="350"/>
      <c r="CI756" s="350"/>
      <c r="CJ756" s="350"/>
      <c r="CK756" s="350"/>
      <c r="CL756" s="350"/>
      <c r="CM756" s="350"/>
      <c r="DG756" s="350"/>
      <c r="DH756" s="300"/>
      <c r="DI756" s="477" t="str">
        <f t="shared" ref="DI756:DI762" ca="1" si="1103">IF(CT644="","",VLOOKUP(CT644,xxx.an1,7,FALSE))</f>
        <v/>
      </c>
      <c r="DJ756" s="478" t="str">
        <f t="shared" ref="DJ756:DJ762" ca="1" si="1104">IF(OR(DI756="",DP756="",DI756=DP756,COUNTIF(games.an,DI756&amp;DP756)=0),"",CONCATENATE(DI756,DP756))</f>
        <v/>
      </c>
      <c r="DK756" s="360" t="str">
        <f t="shared" ref="DK756:DK762" ca="1" si="1105">IF($DJ756="","",CONCATENATE(VLOOKUP($DJ756,games.a,9,FALSE),VLOOKUP($DJ756,games.a,12,FALSE)))</f>
        <v/>
      </c>
      <c r="DL756" s="354" t="str">
        <f t="shared" ref="DL756:DL762" ca="1" si="1106">IF($DJ756="","",VLOOKUP($DJ756,games.a,10,FALSE))</f>
        <v/>
      </c>
      <c r="DM756" s="354" t="str">
        <f t="shared" ref="DM756:DM762" ca="1" si="1107">IF($DJ756="","",VLOOKUP($DJ756,games.a,13,FALSE))</f>
        <v/>
      </c>
      <c r="DN756" s="361" t="str">
        <f t="shared" ref="DN756:DN762" ca="1" si="1108">IF($DJ756="","",VLOOKUP($DJ756,games.a,6,FALSE))</f>
        <v/>
      </c>
      <c r="DO756" s="362" t="str">
        <f t="shared" ref="DO756:DO762" ca="1" si="1109">IF($DJ756="","",VLOOKUP($DJ756,games.a,7,FALSE))</f>
        <v/>
      </c>
      <c r="DP756" s="479" t="str">
        <f ca="1">DI756</f>
        <v/>
      </c>
      <c r="DQ756" s="302"/>
      <c r="DR756" s="364"/>
      <c r="DS756" s="302"/>
      <c r="DU756" s="424"/>
      <c r="DV756" s="366" t="str">
        <f ca="1">IF(AND($AJ$44,DI755,DP755&lt;&gt;2),DI756,"")</f>
        <v/>
      </c>
      <c r="DW756" s="366">
        <f t="shared" ref="DW756:DW762" ca="1" si="1110">IF(DV756="",-1,COUNTIF(xxgy.an,DV756))</f>
        <v>-1</v>
      </c>
      <c r="DX756" s="366">
        <f t="shared" ref="DX756:DX762" ca="1" si="1111">IF($DV756="",0,COUNTIF(yygy.an,$DV756))</f>
        <v>0</v>
      </c>
      <c r="DZ756" s="366">
        <f t="shared" ref="DZ756:DZ762" ca="1" si="1112">IF($DV756="",0,1)*(SUMIF(yyo.an,$DV756,yyl.an)+SUMIF(yyi.an,$DV756,yyk.an))</f>
        <v>0</v>
      </c>
      <c r="EA756" s="366">
        <f t="shared" ref="EA756:EA762" ca="1" si="1113">IF($DV756="",0,1)*(SUMIF(yyo.an,$DV756,yyk.an)+SUMIF(yyi.an,$DV756,yyl.an))</f>
        <v>0</v>
      </c>
      <c r="EC756" s="366">
        <f ca="1">IF(EA756=0,0,DZ756/EA756)</f>
        <v>0</v>
      </c>
      <c r="EE756" s="366">
        <f t="shared" ref="EE756:EE762" ca="1" si="1114">DW756*1000000+DX756*1000+EC756</f>
        <v>-1000000</v>
      </c>
      <c r="EI756" s="366">
        <f t="shared" ref="EI756:EI762" ca="1" si="1115">IF(OR(ISERR(EE756),ISNA(EE756),DW756&lt;0),0,EE756)</f>
        <v>0</v>
      </c>
      <c r="EJ756" s="366">
        <f ca="1">IF(EI756=0,0,RANK(EI756,EI756:EI762,1))</f>
        <v>0</v>
      </c>
      <c r="EK756" s="366">
        <f t="shared" ref="EK756:EK762" ca="1" si="1116">EJ756*40000*IF(COUNTIF($FC$644:$FC$667,DV756)&gt;0,0,1)</f>
        <v>0</v>
      </c>
      <c r="EM756" s="367">
        <f ca="1">IF($AJ$54,COUNTIF(EE764:EE770,EN756)*IF(EN756=0,0,1),COUNTIF(DW756:DW762,EO756)*IF(EO756&lt;0,0,1))+EP756/1000</f>
        <v>1E-3</v>
      </c>
      <c r="EN756" s="368">
        <v>0</v>
      </c>
      <c r="EO756" s="369">
        <f ca="1">LARGE(DW756:DW762,EP756)</f>
        <v>-1</v>
      </c>
      <c r="EP756" s="369">
        <v>1</v>
      </c>
      <c r="EQ756" s="365"/>
      <c r="ER756" s="370">
        <f ca="1">IF(LARGE(EM756:EM762,EP756)&lt;1,0,LARGE(EM756:EM762,EP756))</f>
        <v>0</v>
      </c>
      <c r="ES756" s="371" t="str">
        <f ca="1">IF(DW756=ES755,DV756,IF(EE764=ES755,DV764,""))</f>
        <v/>
      </c>
      <c r="ET756" s="369" t="str">
        <f t="shared" ref="ET756:ET762" ca="1" si="1117">IF(ES756="","",EP756)</f>
        <v/>
      </c>
      <c r="EU756" s="372" t="str">
        <f ca="1">IF(ISERR(LARGE(ET756:ET762,EP756)),"",LARGE(ET756:ET762,EP756))</f>
        <v/>
      </c>
      <c r="EV756" s="371" t="str">
        <f ca="1">IF(DW756=EV755,DV756,IF(EE764=EV755,DV764,""))</f>
        <v/>
      </c>
      <c r="EW756" s="369" t="str">
        <f t="shared" ref="EW756:EW762" ca="1" si="1118">IF(EV756="","",EP756)</f>
        <v/>
      </c>
      <c r="EX756" s="372" t="str">
        <f ca="1">IF(ISERR(LARGE(EW756:EW762,EP756)),"",LARGE(EW756:EW762,EP756))</f>
        <v/>
      </c>
      <c r="EY756" s="371" t="str">
        <f ca="1">IF(DW756=EY755,DV756,IF(EE764=EY755,DV764,""))</f>
        <v/>
      </c>
      <c r="EZ756" s="369" t="str">
        <f t="shared" ref="EZ756:EZ762" ca="1" si="1119">IF(EY756="","",EP756)</f>
        <v/>
      </c>
      <c r="FA756" s="372" t="str">
        <f ca="1">IF(ISERR(LARGE(EZ756:EZ762,EP756)),"",LARGE(EZ756:EZ762,EP756))</f>
        <v/>
      </c>
      <c r="FB756" s="424"/>
      <c r="FC756" s="424"/>
      <c r="FD756" s="425"/>
      <c r="FE756" s="333"/>
    </row>
    <row r="757" spans="86:161" x14ac:dyDescent="0.25">
      <c r="CH757" s="350"/>
      <c r="CI757" s="350"/>
      <c r="CJ757" s="350"/>
      <c r="CK757" s="350"/>
      <c r="CL757" s="350"/>
      <c r="CM757" s="350"/>
      <c r="DG757" s="350"/>
      <c r="DH757" s="300"/>
      <c r="DI757" s="477" t="str">
        <f t="shared" ca="1" si="1103"/>
        <v/>
      </c>
      <c r="DJ757" s="478" t="str">
        <f t="shared" ca="1" si="1104"/>
        <v/>
      </c>
      <c r="DK757" s="360" t="str">
        <f t="shared" ca="1" si="1105"/>
        <v/>
      </c>
      <c r="DL757" s="354" t="str">
        <f t="shared" ca="1" si="1106"/>
        <v/>
      </c>
      <c r="DM757" s="354" t="str">
        <f t="shared" ca="1" si="1107"/>
        <v/>
      </c>
      <c r="DN757" s="361" t="str">
        <f t="shared" ca="1" si="1108"/>
        <v/>
      </c>
      <c r="DO757" s="362" t="str">
        <f t="shared" ca="1" si="1109"/>
        <v/>
      </c>
      <c r="DP757" s="379" t="str">
        <f t="shared" ref="DP757:DP762" ca="1" si="1120">DP756</f>
        <v/>
      </c>
      <c r="DQ757" s="302"/>
      <c r="DR757" s="364"/>
      <c r="DS757" s="302"/>
      <c r="DU757" s="424"/>
      <c r="DV757" s="366" t="str">
        <f ca="1">IF(AND($AJ$44,DI755,DP755&lt;&gt;2),DI757,"")</f>
        <v/>
      </c>
      <c r="DW757" s="366">
        <f t="shared" ca="1" si="1110"/>
        <v>-1</v>
      </c>
      <c r="DX757" s="366">
        <f t="shared" ca="1" si="1111"/>
        <v>0</v>
      </c>
      <c r="DZ757" s="366">
        <f t="shared" ca="1" si="1112"/>
        <v>0</v>
      </c>
      <c r="EA757" s="366">
        <f t="shared" ca="1" si="1113"/>
        <v>0</v>
      </c>
      <c r="EC757" s="366">
        <f t="shared" ref="EC757:EC762" ca="1" si="1121">IF(EA757=0,0,DZ757/EA757)</f>
        <v>0</v>
      </c>
      <c r="EE757" s="366">
        <f t="shared" ca="1" si="1114"/>
        <v>-1000000</v>
      </c>
      <c r="EI757" s="366">
        <f t="shared" ca="1" si="1115"/>
        <v>0</v>
      </c>
      <c r="EJ757" s="366">
        <f ca="1">IF(EI757=0,0,RANK(EI757,EI756:EI762,1))</f>
        <v>0</v>
      </c>
      <c r="EK757" s="366">
        <f t="shared" ca="1" si="1116"/>
        <v>0</v>
      </c>
      <c r="EM757" s="367">
        <f ca="1">IF($AJ$54,COUNTIF(EE764:EE770,EN756)*IF(OR(EN757=0,EN757=EN756),0,1),COUNTIF(DW756:DW762,EO757)*IF(OR(EO757=EO756,EO757&lt;0),0,1))+EP757/1000</f>
        <v>2E-3</v>
      </c>
      <c r="EN757" s="368">
        <v>0</v>
      </c>
      <c r="EO757" s="369">
        <f ca="1">LARGE(DW756:DW762,EP757)</f>
        <v>-1</v>
      </c>
      <c r="EP757" s="369">
        <v>2</v>
      </c>
      <c r="EQ757" s="365"/>
      <c r="ER757" s="370">
        <f ca="1">IF(LARGE(EM756:EM762,EP757)&lt;1,0,LARGE(EM756:EM762,EP757))</f>
        <v>0</v>
      </c>
      <c r="ES757" s="371" t="str">
        <f ca="1">IF(DW757=ES755,DV757,IF(EE765=ES755,DV765,""))</f>
        <v/>
      </c>
      <c r="ET757" s="369" t="str">
        <f t="shared" ca="1" si="1117"/>
        <v/>
      </c>
      <c r="EU757" s="372" t="str">
        <f ca="1">IF(ISERR(LARGE(ET756:ET762,EP757)),"",LARGE(ET756:ET762,EP757))</f>
        <v/>
      </c>
      <c r="EV757" s="371" t="str">
        <f ca="1">IF(DW757=EV755,DV757,IF(EE765=EV755,DV765,""))</f>
        <v/>
      </c>
      <c r="EW757" s="369" t="str">
        <f t="shared" ca="1" si="1118"/>
        <v/>
      </c>
      <c r="EX757" s="388" t="str">
        <f ca="1">IF(ISERR(LARGE(EW756:EW762,EP757)),"",LARGE(EW756:EW762,EP757))</f>
        <v/>
      </c>
      <c r="EY757" s="371" t="str">
        <f ca="1">IF(DW757=EY755,DV757,IF(EE765=EY755,DV765,""))</f>
        <v/>
      </c>
      <c r="EZ757" s="369" t="str">
        <f t="shared" ca="1" si="1119"/>
        <v/>
      </c>
      <c r="FA757" s="388" t="str">
        <f ca="1">IF(ISERR(LARGE(EZ756:EZ762,EP757)),"",LARGE(EZ756:EZ762,EP757))</f>
        <v/>
      </c>
      <c r="FB757" s="424"/>
      <c r="FC757" s="424"/>
      <c r="FD757" s="425"/>
      <c r="FE757" s="333"/>
    </row>
    <row r="758" spans="86:161" x14ac:dyDescent="0.25">
      <c r="CH758" s="350"/>
      <c r="CI758" s="350"/>
      <c r="CJ758" s="350"/>
      <c r="CK758" s="350"/>
      <c r="CL758" s="350"/>
      <c r="CM758" s="350"/>
      <c r="DG758" s="350"/>
      <c r="DH758" s="300"/>
      <c r="DI758" s="477" t="str">
        <f t="shared" ca="1" si="1103"/>
        <v/>
      </c>
      <c r="DJ758" s="478" t="str">
        <f t="shared" ca="1" si="1104"/>
        <v/>
      </c>
      <c r="DK758" s="360" t="str">
        <f t="shared" ca="1" si="1105"/>
        <v/>
      </c>
      <c r="DL758" s="354" t="str">
        <f t="shared" ca="1" si="1106"/>
        <v/>
      </c>
      <c r="DM758" s="354" t="str">
        <f t="shared" ca="1" si="1107"/>
        <v/>
      </c>
      <c r="DN758" s="361" t="str">
        <f t="shared" ca="1" si="1108"/>
        <v/>
      </c>
      <c r="DO758" s="362" t="str">
        <f t="shared" ca="1" si="1109"/>
        <v/>
      </c>
      <c r="DP758" s="379" t="str">
        <f t="shared" ca="1" si="1120"/>
        <v/>
      </c>
      <c r="DQ758" s="302"/>
      <c r="DR758" s="364"/>
      <c r="DS758" s="302"/>
      <c r="DU758" s="424"/>
      <c r="DV758" s="366" t="str">
        <f ca="1">IF(AND($AJ$44,DI755,DP755&lt;&gt;2),DI758,"")</f>
        <v/>
      </c>
      <c r="DW758" s="366">
        <f t="shared" ca="1" si="1110"/>
        <v>-1</v>
      </c>
      <c r="DX758" s="366">
        <f t="shared" ca="1" si="1111"/>
        <v>0</v>
      </c>
      <c r="DZ758" s="366">
        <f t="shared" ca="1" si="1112"/>
        <v>0</v>
      </c>
      <c r="EA758" s="366">
        <f t="shared" ca="1" si="1113"/>
        <v>0</v>
      </c>
      <c r="EC758" s="366">
        <f t="shared" ca="1" si="1121"/>
        <v>0</v>
      </c>
      <c r="EE758" s="366">
        <f t="shared" ca="1" si="1114"/>
        <v>-1000000</v>
      </c>
      <c r="EI758" s="366">
        <f t="shared" ca="1" si="1115"/>
        <v>0</v>
      </c>
      <c r="EJ758" s="366">
        <f ca="1">IF(EI758=0,0,RANK(EI758,EI756:EI762,1))</f>
        <v>0</v>
      </c>
      <c r="EK758" s="366">
        <f t="shared" ca="1" si="1116"/>
        <v>0</v>
      </c>
      <c r="EL758" s="365"/>
      <c r="EM758" s="367">
        <f ca="1">IF($AJ$54,COUNTIF(EE764:EE770,EN757)*IF(OR(EN758=0,EN758=EN757),0,1),COUNTIF(DW756:DW762,EO758)*IF(OR(EO758=EO757,EO758&lt;0),0,1))+EP758/1000</f>
        <v>3.0000000000000001E-3</v>
      </c>
      <c r="EN758" s="368">
        <v>0</v>
      </c>
      <c r="EO758" s="369">
        <f ca="1">LARGE(DW756:DW762,EP758)</f>
        <v>-1</v>
      </c>
      <c r="EP758" s="369">
        <v>3</v>
      </c>
      <c r="EQ758" s="365"/>
      <c r="ER758" s="370">
        <f ca="1">IF(LARGE(EM756:EM762,EP758)&lt;1,0,LARGE(EM756:EM762,EP758))</f>
        <v>0</v>
      </c>
      <c r="ES758" s="371" t="str">
        <f ca="1">IF(DW758=ES755,DV758,IF(EE766=ES755,DV766,""))</f>
        <v/>
      </c>
      <c r="ET758" s="369" t="str">
        <f t="shared" ca="1" si="1117"/>
        <v/>
      </c>
      <c r="EU758" s="372" t="str">
        <f ca="1">IF(ISERR(LARGE(ET756:ET762,EP758)),"",LARGE(ET756:ET762,EP758))</f>
        <v/>
      </c>
      <c r="EV758" s="371" t="str">
        <f ca="1">IF(DW758=EV755,DV758,IF(EE766=EV755,DV766,""))</f>
        <v/>
      </c>
      <c r="EW758" s="369" t="str">
        <f t="shared" ca="1" si="1118"/>
        <v/>
      </c>
      <c r="EX758" s="386"/>
      <c r="EY758" s="371" t="str">
        <f ca="1">IF(DW758=EY755,DV758,IF(EE766=EY755,DV766,""))</f>
        <v/>
      </c>
      <c r="EZ758" s="369" t="str">
        <f t="shared" ca="1" si="1119"/>
        <v/>
      </c>
      <c r="FA758" s="386"/>
      <c r="FB758" s="424"/>
      <c r="FC758" s="424"/>
      <c r="FD758" s="425"/>
      <c r="FE758" s="333"/>
    </row>
    <row r="759" spans="86:161" x14ac:dyDescent="0.25">
      <c r="CH759" s="445"/>
      <c r="CI759" s="350"/>
      <c r="CJ759" s="350"/>
      <c r="CK759" s="350"/>
      <c r="CL759" s="350"/>
      <c r="CM759" s="445"/>
      <c r="DG759" s="445"/>
      <c r="DH759" s="300"/>
      <c r="DI759" s="477" t="str">
        <f t="shared" ca="1" si="1103"/>
        <v/>
      </c>
      <c r="DJ759" s="478" t="str">
        <f t="shared" ca="1" si="1104"/>
        <v/>
      </c>
      <c r="DK759" s="360" t="str">
        <f t="shared" ca="1" si="1105"/>
        <v/>
      </c>
      <c r="DL759" s="354" t="str">
        <f t="shared" ca="1" si="1106"/>
        <v/>
      </c>
      <c r="DM759" s="354" t="str">
        <f t="shared" ca="1" si="1107"/>
        <v/>
      </c>
      <c r="DN759" s="361" t="str">
        <f t="shared" ca="1" si="1108"/>
        <v/>
      </c>
      <c r="DO759" s="362" t="str">
        <f t="shared" ca="1" si="1109"/>
        <v/>
      </c>
      <c r="DP759" s="379" t="str">
        <f t="shared" ca="1" si="1120"/>
        <v/>
      </c>
      <c r="DQ759" s="302"/>
      <c r="DR759" s="364"/>
      <c r="DS759" s="302"/>
      <c r="DU759" s="424"/>
      <c r="DV759" s="366" t="str">
        <f ca="1">IF(AND($AJ$44,DI755,DP755&lt;&gt;2),DI759,"")</f>
        <v/>
      </c>
      <c r="DW759" s="366">
        <f t="shared" ca="1" si="1110"/>
        <v>-1</v>
      </c>
      <c r="DX759" s="366">
        <f t="shared" ca="1" si="1111"/>
        <v>0</v>
      </c>
      <c r="DZ759" s="366">
        <f t="shared" ca="1" si="1112"/>
        <v>0</v>
      </c>
      <c r="EA759" s="366">
        <f t="shared" ca="1" si="1113"/>
        <v>0</v>
      </c>
      <c r="EC759" s="366">
        <f t="shared" ca="1" si="1121"/>
        <v>0</v>
      </c>
      <c r="EE759" s="366">
        <f t="shared" ca="1" si="1114"/>
        <v>-1000000</v>
      </c>
      <c r="EI759" s="366">
        <f t="shared" ca="1" si="1115"/>
        <v>0</v>
      </c>
      <c r="EJ759" s="366">
        <f ca="1">IF(EI759=0,0,RANK(EI759,EI756:EI762,1))</f>
        <v>0</v>
      </c>
      <c r="EK759" s="366">
        <f t="shared" ca="1" si="1116"/>
        <v>0</v>
      </c>
      <c r="EL759" s="365"/>
      <c r="EM759" s="367">
        <f ca="1">IF($AJ$54,COUNTIF(EE764:EE770,EN758)*IF(OR(EN759=0,EN759=EN758),0,1),COUNTIF(DW756:DW762,EO759)*IF(OR(EO759=EO758,EO759&lt;0),0,1))+EP759/1000</f>
        <v>4.0000000000000001E-3</v>
      </c>
      <c r="EN759" s="368">
        <v>0</v>
      </c>
      <c r="EO759" s="369">
        <f ca="1">LARGE(DW756:DW762,EP759)</f>
        <v>-1</v>
      </c>
      <c r="EP759" s="369">
        <v>4</v>
      </c>
      <c r="EQ759" s="365"/>
      <c r="ER759" s="365"/>
      <c r="ES759" s="371" t="str">
        <f ca="1">IF(DW759=ES755,DV759,IF(EE767=ES755,DV767,""))</f>
        <v/>
      </c>
      <c r="ET759" s="369" t="str">
        <f t="shared" ca="1" si="1117"/>
        <v/>
      </c>
      <c r="EU759" s="372" t="str">
        <f ca="1">IF(ISERR(LARGE(ET756:ET762,EP759)),"",LARGE(ET756:ET762,EP759))</f>
        <v/>
      </c>
      <c r="EV759" s="371" t="str">
        <f ca="1">IF(DW759=EV755,DV759,IF(EE767=EV755,DV767,""))</f>
        <v/>
      </c>
      <c r="EW759" s="369" t="str">
        <f t="shared" ca="1" si="1118"/>
        <v/>
      </c>
      <c r="EX759" s="386"/>
      <c r="EY759" s="371" t="str">
        <f ca="1">IF(DW759=EY755,DV759,IF(EE767=EY755,DV767,""))</f>
        <v/>
      </c>
      <c r="EZ759" s="369" t="str">
        <f t="shared" ca="1" si="1119"/>
        <v/>
      </c>
      <c r="FA759" s="386"/>
      <c r="FB759" s="424"/>
      <c r="FC759" s="424"/>
      <c r="FD759" s="425"/>
      <c r="FE759" s="333"/>
    </row>
    <row r="760" spans="86:161" x14ac:dyDescent="0.25">
      <c r="CH760" s="445"/>
      <c r="CI760" s="350"/>
      <c r="CJ760" s="350"/>
      <c r="CK760" s="350"/>
      <c r="CL760" s="350"/>
      <c r="CM760" s="445"/>
      <c r="DG760" s="445"/>
      <c r="DH760" s="300"/>
      <c r="DI760" s="477" t="str">
        <f t="shared" ca="1" si="1103"/>
        <v/>
      </c>
      <c r="DJ760" s="478" t="str">
        <f t="shared" ca="1" si="1104"/>
        <v/>
      </c>
      <c r="DK760" s="360" t="str">
        <f t="shared" ca="1" si="1105"/>
        <v/>
      </c>
      <c r="DL760" s="354" t="str">
        <f t="shared" ca="1" si="1106"/>
        <v/>
      </c>
      <c r="DM760" s="354" t="str">
        <f t="shared" ca="1" si="1107"/>
        <v/>
      </c>
      <c r="DN760" s="361" t="str">
        <f t="shared" ca="1" si="1108"/>
        <v/>
      </c>
      <c r="DO760" s="362" t="str">
        <f t="shared" ca="1" si="1109"/>
        <v/>
      </c>
      <c r="DP760" s="379" t="str">
        <f t="shared" ca="1" si="1120"/>
        <v/>
      </c>
      <c r="DQ760" s="302"/>
      <c r="DR760" s="364"/>
      <c r="DS760" s="302"/>
      <c r="DU760" s="424"/>
      <c r="DV760" s="366" t="str">
        <f ca="1">IF(AND($AJ$44,DI755,DP755&lt;&gt;2),DI760,"")</f>
        <v/>
      </c>
      <c r="DW760" s="366">
        <f t="shared" ca="1" si="1110"/>
        <v>-1</v>
      </c>
      <c r="DX760" s="366">
        <f t="shared" ca="1" si="1111"/>
        <v>0</v>
      </c>
      <c r="DZ760" s="366">
        <f t="shared" ca="1" si="1112"/>
        <v>0</v>
      </c>
      <c r="EA760" s="366">
        <f t="shared" ca="1" si="1113"/>
        <v>0</v>
      </c>
      <c r="EC760" s="366">
        <f t="shared" ca="1" si="1121"/>
        <v>0</v>
      </c>
      <c r="EE760" s="366">
        <f t="shared" ca="1" si="1114"/>
        <v>-1000000</v>
      </c>
      <c r="EI760" s="366">
        <f t="shared" ca="1" si="1115"/>
        <v>0</v>
      </c>
      <c r="EJ760" s="366">
        <f ca="1">IF(EI760=0,0,RANK(EI760,EI756:EI762,1))</f>
        <v>0</v>
      </c>
      <c r="EK760" s="366">
        <f t="shared" ca="1" si="1116"/>
        <v>0</v>
      </c>
      <c r="EL760" s="365"/>
      <c r="EM760" s="367">
        <f ca="1">IF($AJ$54,COUNTIF(EE764:EE770,EN759)*IF(OR(EN760=0,EN760=EN759),0,1),COUNTIF(DW756:DW762,EO760)*IF(OR(EO760=EO759,EO760&lt;0),0,1))+EP760/1000</f>
        <v>5.0000000000000001E-3</v>
      </c>
      <c r="EN760" s="368">
        <v>0</v>
      </c>
      <c r="EO760" s="369">
        <f ca="1">LARGE(DW756:DW762,EP760)</f>
        <v>-1</v>
      </c>
      <c r="EP760" s="369">
        <v>5</v>
      </c>
      <c r="EQ760" s="365"/>
      <c r="ER760" s="365"/>
      <c r="ES760" s="371" t="str">
        <f ca="1">IF(DW760=ES755,DV760,IF(EE768=ES755,DV768,""))</f>
        <v/>
      </c>
      <c r="ET760" s="369" t="str">
        <f t="shared" ca="1" si="1117"/>
        <v/>
      </c>
      <c r="EU760" s="388" t="str">
        <f ca="1">IF(ISERR(LARGE(ET756:ET762,EP760)),"",LARGE(ET756:ET762,EP760))</f>
        <v/>
      </c>
      <c r="EV760" s="371" t="str">
        <f ca="1">IF(DW760=EV755,DV760,IF(EE768=EV755,DV768,""))</f>
        <v/>
      </c>
      <c r="EW760" s="369" t="str">
        <f t="shared" ca="1" si="1118"/>
        <v/>
      </c>
      <c r="EX760" s="386"/>
      <c r="EY760" s="371" t="str">
        <f ca="1">IF(DW760=EY755,DV760,IF(EE768=EY755,DV768,""))</f>
        <v/>
      </c>
      <c r="EZ760" s="369" t="str">
        <f t="shared" ca="1" si="1119"/>
        <v/>
      </c>
      <c r="FA760" s="386"/>
      <c r="FB760" s="424"/>
      <c r="FC760" s="424"/>
      <c r="FD760" s="425"/>
      <c r="FE760" s="333"/>
    </row>
    <row r="761" spans="86:161" x14ac:dyDescent="0.25">
      <c r="CH761" s="445"/>
      <c r="CI761" s="350"/>
      <c r="CJ761" s="350"/>
      <c r="CK761" s="350"/>
      <c r="CL761" s="350"/>
      <c r="CM761" s="445"/>
      <c r="DG761" s="445"/>
      <c r="DH761" s="300"/>
      <c r="DI761" s="477" t="str">
        <f t="shared" ca="1" si="1103"/>
        <v/>
      </c>
      <c r="DJ761" s="478" t="str">
        <f t="shared" ca="1" si="1104"/>
        <v/>
      </c>
      <c r="DK761" s="360" t="str">
        <f t="shared" ca="1" si="1105"/>
        <v/>
      </c>
      <c r="DL761" s="354" t="str">
        <f t="shared" ca="1" si="1106"/>
        <v/>
      </c>
      <c r="DM761" s="354" t="str">
        <f t="shared" ca="1" si="1107"/>
        <v/>
      </c>
      <c r="DN761" s="361" t="str">
        <f t="shared" ca="1" si="1108"/>
        <v/>
      </c>
      <c r="DO761" s="362" t="str">
        <f t="shared" ca="1" si="1109"/>
        <v/>
      </c>
      <c r="DP761" s="379" t="str">
        <f t="shared" ca="1" si="1120"/>
        <v/>
      </c>
      <c r="DQ761" s="302"/>
      <c r="DR761" s="364"/>
      <c r="DS761" s="302"/>
      <c r="DU761" s="424"/>
      <c r="DV761" s="366" t="str">
        <f ca="1">IF(AND($AJ$44,DI755,DP755&lt;&gt;2),DI761,"")</f>
        <v/>
      </c>
      <c r="DW761" s="366">
        <f t="shared" ca="1" si="1110"/>
        <v>-1</v>
      </c>
      <c r="DX761" s="366">
        <f t="shared" ca="1" si="1111"/>
        <v>0</v>
      </c>
      <c r="DZ761" s="366">
        <f t="shared" ca="1" si="1112"/>
        <v>0</v>
      </c>
      <c r="EA761" s="366">
        <f t="shared" ca="1" si="1113"/>
        <v>0</v>
      </c>
      <c r="EC761" s="366">
        <f t="shared" ca="1" si="1121"/>
        <v>0</v>
      </c>
      <c r="EE761" s="366">
        <f t="shared" ca="1" si="1114"/>
        <v>-1000000</v>
      </c>
      <c r="EI761" s="366">
        <f t="shared" ca="1" si="1115"/>
        <v>0</v>
      </c>
      <c r="EJ761" s="366">
        <f ca="1">IF(EI761=0,0,RANK(EI761,EI756:EI762,1))</f>
        <v>0</v>
      </c>
      <c r="EK761" s="366">
        <f t="shared" ca="1" si="1116"/>
        <v>0</v>
      </c>
      <c r="EL761" s="365"/>
      <c r="EM761" s="367">
        <f ca="1">IF($AJ$54,COUNTIF(EE764:EE770,EN760)*IF(OR(EN761=0,EN761=EN760),0,1),COUNTIF(DW756:DW762,EO761)*IF(OR(EO761=EO760,EO761&lt;0),0,1))+EP761/1000</f>
        <v>6.0000000000000001E-3</v>
      </c>
      <c r="EN761" s="368">
        <v>0</v>
      </c>
      <c r="EO761" s="369">
        <f ca="1">LARGE(DW756:DW762,EP761)</f>
        <v>-1</v>
      </c>
      <c r="EP761" s="369">
        <v>6</v>
      </c>
      <c r="EQ761" s="365"/>
      <c r="ER761" s="365"/>
      <c r="ES761" s="371" t="str">
        <f ca="1">IF(DW761=ES755,DV761,IF(EE769=ES755,DV769,""))</f>
        <v/>
      </c>
      <c r="ET761" s="369" t="str">
        <f t="shared" ca="1" si="1117"/>
        <v/>
      </c>
      <c r="EU761" s="386"/>
      <c r="EV761" s="371" t="str">
        <f ca="1">IF(DW761=EV755,DV761,IF(EE769=EV755,DV769,""))</f>
        <v/>
      </c>
      <c r="EW761" s="369" t="str">
        <f t="shared" ca="1" si="1118"/>
        <v/>
      </c>
      <c r="EX761" s="386"/>
      <c r="EY761" s="371" t="str">
        <f ca="1">IF(DW761=EY755,DV761,IF(EE769=EY755,DV769,""))</f>
        <v/>
      </c>
      <c r="EZ761" s="369" t="str">
        <f t="shared" ca="1" si="1119"/>
        <v/>
      </c>
      <c r="FA761" s="386"/>
      <c r="FB761" s="424"/>
      <c r="FC761" s="424"/>
      <c r="FD761" s="425"/>
      <c r="FE761" s="333"/>
    </row>
    <row r="762" spans="86:161" x14ac:dyDescent="0.25">
      <c r="CH762" s="445"/>
      <c r="CI762" s="350"/>
      <c r="CJ762" s="350"/>
      <c r="CK762" s="350"/>
      <c r="CL762" s="350"/>
      <c r="CM762" s="445"/>
      <c r="DG762" s="445"/>
      <c r="DH762" s="300"/>
      <c r="DI762" s="477" t="str">
        <f t="shared" ca="1" si="1103"/>
        <v/>
      </c>
      <c r="DJ762" s="478" t="str">
        <f t="shared" ca="1" si="1104"/>
        <v/>
      </c>
      <c r="DK762" s="360" t="str">
        <f t="shared" ca="1" si="1105"/>
        <v/>
      </c>
      <c r="DL762" s="354" t="str">
        <f t="shared" ca="1" si="1106"/>
        <v/>
      </c>
      <c r="DM762" s="354" t="str">
        <f t="shared" ca="1" si="1107"/>
        <v/>
      </c>
      <c r="DN762" s="361" t="str">
        <f t="shared" ca="1" si="1108"/>
        <v/>
      </c>
      <c r="DO762" s="362" t="str">
        <f t="shared" ca="1" si="1109"/>
        <v/>
      </c>
      <c r="DP762" s="379" t="str">
        <f t="shared" ca="1" si="1120"/>
        <v/>
      </c>
      <c r="DQ762" s="302"/>
      <c r="DR762" s="364"/>
      <c r="DS762" s="302"/>
      <c r="DU762" s="424"/>
      <c r="DV762" s="366" t="str">
        <f ca="1">IF(AND($AJ$44,DI755,DP755&lt;&gt;2),DI762,"")</f>
        <v/>
      </c>
      <c r="DW762" s="366">
        <f t="shared" ca="1" si="1110"/>
        <v>-1</v>
      </c>
      <c r="DX762" s="366">
        <f t="shared" ca="1" si="1111"/>
        <v>0</v>
      </c>
      <c r="DZ762" s="366">
        <f t="shared" ca="1" si="1112"/>
        <v>0</v>
      </c>
      <c r="EA762" s="366">
        <f t="shared" ca="1" si="1113"/>
        <v>0</v>
      </c>
      <c r="EC762" s="366">
        <f t="shared" ca="1" si="1121"/>
        <v>0</v>
      </c>
      <c r="EE762" s="366">
        <f t="shared" ca="1" si="1114"/>
        <v>-1000000</v>
      </c>
      <c r="EI762" s="366">
        <f t="shared" ca="1" si="1115"/>
        <v>0</v>
      </c>
      <c r="EJ762" s="366">
        <f ca="1">IF(EI762=0,0,RANK(EI762,EI756:EI762,1))</f>
        <v>0</v>
      </c>
      <c r="EK762" s="366">
        <f t="shared" ca="1" si="1116"/>
        <v>0</v>
      </c>
      <c r="EL762" s="365"/>
      <c r="EM762" s="367">
        <f ca="1">IF($AJ$54,COUNTIF(EE764:EE770,EN761)*IF(OR(EN762=0,EN762=EN761),0,1),COUNTIF(DW756:DW762,EO762)*IF(OR(EO762=EO761,EO762&lt;0),0,1))+EP762/1000</f>
        <v>7.0000000000000001E-3</v>
      </c>
      <c r="EN762" s="368">
        <v>0</v>
      </c>
      <c r="EO762" s="369">
        <f ca="1">LARGE(DW756:DW762,EP762)</f>
        <v>-1</v>
      </c>
      <c r="EP762" s="369">
        <v>7</v>
      </c>
      <c r="EQ762" s="365"/>
      <c r="ER762" s="365"/>
      <c r="ES762" s="371" t="str">
        <f ca="1">IF(DW762=ES755,DV762,IF(EE770=ES755,DV770,""))</f>
        <v/>
      </c>
      <c r="ET762" s="369" t="str">
        <f t="shared" ca="1" si="1117"/>
        <v/>
      </c>
      <c r="EU762" s="391"/>
      <c r="EV762" s="371" t="str">
        <f ca="1">IF(DW762=EV755,DV762,IF(EE770=EV755,DV770,""))</f>
        <v/>
      </c>
      <c r="EW762" s="369" t="str">
        <f t="shared" ca="1" si="1118"/>
        <v/>
      </c>
      <c r="EX762" s="391"/>
      <c r="EY762" s="371" t="str">
        <f ca="1">IF(DW762=EY755,DV762,IF(EE770=EY755,DV770,""))</f>
        <v/>
      </c>
      <c r="EZ762" s="369" t="str">
        <f t="shared" ca="1" si="1119"/>
        <v/>
      </c>
      <c r="FA762" s="391"/>
      <c r="FB762" s="424"/>
      <c r="FC762" s="424"/>
      <c r="FD762" s="425"/>
      <c r="FE762" s="333"/>
    </row>
    <row r="763" spans="86:161" x14ac:dyDescent="0.25">
      <c r="CH763" s="445"/>
      <c r="CI763" s="350"/>
      <c r="CJ763" s="350"/>
      <c r="CK763" s="350"/>
      <c r="CL763" s="350"/>
      <c r="CM763" s="445"/>
      <c r="DG763" s="445"/>
      <c r="DH763" s="300"/>
      <c r="DI763" s="301"/>
      <c r="DJ763" s="471" t="s">
        <v>157</v>
      </c>
      <c r="DK763" s="471" t="s">
        <v>158</v>
      </c>
      <c r="DL763" s="472" t="s">
        <v>159</v>
      </c>
      <c r="DM763" s="472"/>
      <c r="DN763" s="473" t="s">
        <v>160</v>
      </c>
      <c r="DO763" s="472" t="s">
        <v>135</v>
      </c>
      <c r="DP763" s="302"/>
      <c r="DQ763" s="302"/>
      <c r="DR763" s="364"/>
      <c r="DS763" s="302"/>
      <c r="DU763" s="424"/>
      <c r="DV763" s="329" t="s">
        <v>229</v>
      </c>
      <c r="DW763" s="365"/>
      <c r="DX763" s="329" t="s">
        <v>152</v>
      </c>
      <c r="DY763" s="329" t="s">
        <v>153</v>
      </c>
      <c r="DZ763" s="329" t="s">
        <v>154</v>
      </c>
      <c r="EA763" s="329" t="s">
        <v>155</v>
      </c>
      <c r="EB763" s="329" t="s">
        <v>125</v>
      </c>
      <c r="EC763" s="329" t="s">
        <v>226</v>
      </c>
      <c r="ED763" s="329" t="s">
        <v>126</v>
      </c>
      <c r="EE763" s="329" t="s">
        <v>227</v>
      </c>
      <c r="EF763" s="330" t="s">
        <v>154</v>
      </c>
      <c r="EG763" s="330" t="s">
        <v>155</v>
      </c>
      <c r="EH763" s="330" t="s">
        <v>125</v>
      </c>
      <c r="EI763" s="329" t="s">
        <v>228</v>
      </c>
      <c r="EJ763" s="329" t="s">
        <v>156</v>
      </c>
      <c r="EK763" s="329" t="s">
        <v>208</v>
      </c>
      <c r="EL763" s="365"/>
      <c r="EM763" s="365"/>
      <c r="EN763" s="365"/>
      <c r="EO763" s="365"/>
      <c r="EP763" s="365"/>
      <c r="EQ763" s="365"/>
      <c r="ER763" s="365"/>
      <c r="ES763" s="365"/>
      <c r="ET763" s="365"/>
      <c r="EU763" s="365"/>
      <c r="EV763" s="365"/>
      <c r="EW763" s="365"/>
      <c r="EX763" s="365"/>
      <c r="EY763" s="365"/>
      <c r="EZ763" s="365"/>
      <c r="FA763" s="365"/>
      <c r="FB763" s="424"/>
      <c r="FC763" s="424"/>
      <c r="FD763" s="425"/>
      <c r="FE763" s="333"/>
    </row>
    <row r="764" spans="86:161" x14ac:dyDescent="0.25">
      <c r="CH764" s="445"/>
      <c r="CI764" s="350"/>
      <c r="CJ764" s="350"/>
      <c r="CK764" s="350"/>
      <c r="CL764" s="350"/>
      <c r="CM764" s="445"/>
      <c r="DG764" s="445"/>
      <c r="DH764" s="300"/>
      <c r="DI764" s="395" t="str">
        <f ca="1">DI756</f>
        <v/>
      </c>
      <c r="DJ764" s="478" t="str">
        <f t="shared" ref="DJ764:DJ770" ca="1" si="1122">IF(OR(DI764="",DP764="",DI764=DP764,COUNTIF(games.an,DI764&amp;DP764)=0),"",CONCATENATE(DI764,DP764))</f>
        <v/>
      </c>
      <c r="DK764" s="360" t="str">
        <f t="shared" ref="DK764:DK770" ca="1" si="1123">IF($DJ764="","",CONCATENATE(VLOOKUP($DJ764,games.a,9,FALSE),VLOOKUP($DJ764,games.a,12,FALSE)))</f>
        <v/>
      </c>
      <c r="DL764" s="354" t="str">
        <f t="shared" ref="DL764:DL770" ca="1" si="1124">IF($DJ764="","",VLOOKUP($DJ764,games.a,10,FALSE))</f>
        <v/>
      </c>
      <c r="DM764" s="354" t="str">
        <f t="shared" ref="DM764:DM770" ca="1" si="1125">IF($DJ764="","",VLOOKUP($DJ764,games.a,13,FALSE))</f>
        <v/>
      </c>
      <c r="DN764" s="361" t="str">
        <f t="shared" ref="DN764:DN770" ca="1" si="1126">IF($DJ764="","",VLOOKUP($DJ764,games.a,6,FALSE))</f>
        <v/>
      </c>
      <c r="DO764" s="362" t="str">
        <f t="shared" ref="DO764:DO770" ca="1" si="1127">IF($DJ764="","",VLOOKUP($DJ764,games.a,7,FALSE))</f>
        <v/>
      </c>
      <c r="DP764" s="479" t="str">
        <f ca="1">DI757</f>
        <v/>
      </c>
      <c r="DQ764" s="302"/>
      <c r="DR764" s="364"/>
      <c r="DS764" s="302"/>
      <c r="DU764" s="424"/>
      <c r="DV764" s="366" t="str">
        <f ca="1">IF(OR(NOT($AJ$44),AND(DI755,DV756="")),DI756,"")</f>
        <v/>
      </c>
      <c r="DW764" s="365"/>
      <c r="DX764" s="366">
        <f t="shared" ref="DX764:DX770" ca="1" si="1128">IF($DV764="",0,COUNTIF(xxgy.an,$DV764))</f>
        <v>0</v>
      </c>
      <c r="DY764" s="366">
        <f t="shared" ref="DY764:DY770" ca="1" si="1129">IF($DV764="",0,COUNTIF(xxd.an,$DV764))</f>
        <v>0</v>
      </c>
      <c r="DZ764" s="366">
        <f t="shared" ref="DZ764:DZ770" ca="1" si="1130">IF($DV764="",0,1)*(SUMIF(xxo.an,$DV764,xxl.an)+SUMIF(xxi.an,$DV764,xxk.an))</f>
        <v>0</v>
      </c>
      <c r="EA764" s="366">
        <f t="shared" ref="EA764:EA770" ca="1" si="1131">IF($DV764="",0,1)*(SUMIF(xxo.an,$DV764,xxk.an)+SUMIF(xxi.an,$DV764,xxl.an))</f>
        <v>0</v>
      </c>
      <c r="EB764" s="366">
        <f t="shared" ref="EB764:EB770" ca="1" si="1132">DZ764-EA764</f>
        <v>0</v>
      </c>
      <c r="EC764" s="366">
        <f t="shared" ref="EC764:EC770" ca="1" si="1133">IF(EA764=0,0,DZ764/EA764)</f>
        <v>0</v>
      </c>
      <c r="ED764" s="366">
        <f t="shared" ref="ED764:ED770" ca="1" si="1134">$AJ$48*DX764+IF($AJ$44,0,1)*DY764</f>
        <v>0</v>
      </c>
      <c r="EE764" s="396">
        <f ca="1">ED764*1000000+IF($AJ$44,EC764,EB764)*1000*0</f>
        <v>0</v>
      </c>
      <c r="EF764" s="366">
        <f t="shared" ref="EF764:EF770" ca="1" si="1135">IF($DV764="",0,1)*(SUMIF(yyo.an,$DV764,yyl.an)+SUMIF(yyi.an,$DV764,yyk.an))</f>
        <v>0</v>
      </c>
      <c r="EG764" s="366">
        <f t="shared" ref="EG764:EG770" ca="1" si="1136">IF($DV764="",0,1)*(SUMIF(yyo.an,$DV764,yyk.an)+SUMIF(yyi.an,$DV764,yyl.an))</f>
        <v>0</v>
      </c>
      <c r="EH764" s="366">
        <f t="shared" ref="EH764:EH770" ca="1" si="1137">EF764-EG764</f>
        <v>0</v>
      </c>
      <c r="EI764" s="366">
        <f t="shared" ref="EI764:EI770" ca="1" si="1138">IF(OR(ISERR(EE764),ISNA(EE764)),0,EE764)+IF($AJ$54,EH764,0)</f>
        <v>0</v>
      </c>
      <c r="EJ764" s="366">
        <f ca="1">IF(EI764=0,0,RANK(EI764,EI764:EI770,1))</f>
        <v>0</v>
      </c>
      <c r="EK764" s="366">
        <f t="shared" ref="EK764:EK770" ca="1" si="1139">EJ764*40000*IF(COUNTIF($FC$644:$FC$667,DV764)&gt;0,0,1)</f>
        <v>0</v>
      </c>
      <c r="EL764" s="365"/>
      <c r="EM764" s="365"/>
      <c r="EN764" s="365"/>
      <c r="EO764" s="365"/>
      <c r="EP764" s="365"/>
      <c r="EQ764" s="365"/>
      <c r="ER764" s="365"/>
      <c r="ES764" s="365"/>
      <c r="ET764" s="365"/>
      <c r="EU764" s="365"/>
      <c r="EV764" s="365"/>
      <c r="EW764" s="365"/>
      <c r="EX764" s="365"/>
      <c r="EY764" s="365"/>
      <c r="EZ764" s="365"/>
      <c r="FA764" s="365"/>
      <c r="FB764" s="424"/>
      <c r="FC764" s="424"/>
      <c r="FD764" s="425"/>
      <c r="FE764" s="333"/>
    </row>
    <row r="765" spans="86:161" x14ac:dyDescent="0.25">
      <c r="CH765" s="445"/>
      <c r="CI765" s="350"/>
      <c r="CJ765" s="350"/>
      <c r="CK765" s="350"/>
      <c r="CL765" s="350"/>
      <c r="CM765" s="445"/>
      <c r="DG765" s="445"/>
      <c r="DH765" s="300"/>
      <c r="DI765" s="395" t="str">
        <f t="shared" ref="DI765:DI770" ca="1" si="1140">DI757</f>
        <v/>
      </c>
      <c r="DJ765" s="478" t="str">
        <f t="shared" ca="1" si="1122"/>
        <v/>
      </c>
      <c r="DK765" s="360" t="str">
        <f t="shared" ca="1" si="1123"/>
        <v/>
      </c>
      <c r="DL765" s="354" t="str">
        <f t="shared" ca="1" si="1124"/>
        <v/>
      </c>
      <c r="DM765" s="354" t="str">
        <f t="shared" ca="1" si="1125"/>
        <v/>
      </c>
      <c r="DN765" s="361" t="str">
        <f t="shared" ca="1" si="1126"/>
        <v/>
      </c>
      <c r="DO765" s="362" t="str">
        <f t="shared" ca="1" si="1127"/>
        <v/>
      </c>
      <c r="DP765" s="379" t="str">
        <f t="shared" ref="DP765:DP770" ca="1" si="1141">DP764</f>
        <v/>
      </c>
      <c r="DQ765" s="302"/>
      <c r="DR765" s="364"/>
      <c r="DS765" s="302"/>
      <c r="DU765" s="424"/>
      <c r="DV765" s="366" t="str">
        <f ca="1">IF(OR(NOT($AJ$44),AND(DI643,DV757="")),DI757,"")</f>
        <v/>
      </c>
      <c r="DW765" s="365"/>
      <c r="DX765" s="366">
        <f t="shared" ca="1" si="1128"/>
        <v>0</v>
      </c>
      <c r="DY765" s="366">
        <f t="shared" ca="1" si="1129"/>
        <v>0</v>
      </c>
      <c r="DZ765" s="366">
        <f t="shared" ca="1" si="1130"/>
        <v>0</v>
      </c>
      <c r="EA765" s="366">
        <f t="shared" ca="1" si="1131"/>
        <v>0</v>
      </c>
      <c r="EB765" s="366">
        <f t="shared" ca="1" si="1132"/>
        <v>0</v>
      </c>
      <c r="EC765" s="366">
        <f t="shared" ca="1" si="1133"/>
        <v>0</v>
      </c>
      <c r="ED765" s="366">
        <f t="shared" ca="1" si="1134"/>
        <v>0</v>
      </c>
      <c r="EE765" s="396">
        <f t="shared" ref="EE765:EE770" ca="1" si="1142">ED765*1000000+IF($AJ$44,EC765,EB765)*1000*0</f>
        <v>0</v>
      </c>
      <c r="EF765" s="366">
        <f t="shared" ca="1" si="1135"/>
        <v>0</v>
      </c>
      <c r="EG765" s="366">
        <f t="shared" ca="1" si="1136"/>
        <v>0</v>
      </c>
      <c r="EH765" s="366">
        <f t="shared" ca="1" si="1137"/>
        <v>0</v>
      </c>
      <c r="EI765" s="366">
        <f t="shared" ca="1" si="1138"/>
        <v>0</v>
      </c>
      <c r="EJ765" s="366">
        <f ca="1">IF(EI765=0,0,RANK(EI765,EI764:EI770,1))</f>
        <v>0</v>
      </c>
      <c r="EK765" s="366">
        <f t="shared" ca="1" si="1139"/>
        <v>0</v>
      </c>
      <c r="EL765" s="365"/>
      <c r="EM765" s="365"/>
      <c r="EN765" s="365"/>
      <c r="EO765" s="365"/>
      <c r="EP765" s="365"/>
      <c r="EQ765" s="365"/>
      <c r="ER765" s="365"/>
      <c r="ES765" s="365"/>
      <c r="ET765" s="365"/>
      <c r="EU765" s="365"/>
      <c r="EV765" s="365"/>
      <c r="EW765" s="365"/>
      <c r="EX765" s="365"/>
      <c r="EY765" s="365"/>
      <c r="EZ765" s="365"/>
      <c r="FA765" s="365"/>
      <c r="FB765" s="424"/>
      <c r="FC765" s="424"/>
      <c r="FD765" s="425"/>
      <c r="FE765" s="333"/>
    </row>
    <row r="766" spans="86:161" x14ac:dyDescent="0.25">
      <c r="CH766" s="445"/>
      <c r="CI766" s="350"/>
      <c r="CJ766" s="350"/>
      <c r="CK766" s="350"/>
      <c r="CL766" s="350"/>
      <c r="CM766" s="445"/>
      <c r="DG766" s="445"/>
      <c r="DH766" s="300"/>
      <c r="DI766" s="395" t="str">
        <f t="shared" ca="1" si="1140"/>
        <v/>
      </c>
      <c r="DJ766" s="478" t="str">
        <f t="shared" ca="1" si="1122"/>
        <v/>
      </c>
      <c r="DK766" s="360" t="str">
        <f t="shared" ca="1" si="1123"/>
        <v/>
      </c>
      <c r="DL766" s="354" t="str">
        <f t="shared" ca="1" si="1124"/>
        <v/>
      </c>
      <c r="DM766" s="354" t="str">
        <f t="shared" ca="1" si="1125"/>
        <v/>
      </c>
      <c r="DN766" s="361" t="str">
        <f t="shared" ca="1" si="1126"/>
        <v/>
      </c>
      <c r="DO766" s="362" t="str">
        <f t="shared" ca="1" si="1127"/>
        <v/>
      </c>
      <c r="DP766" s="379" t="str">
        <f t="shared" ca="1" si="1141"/>
        <v/>
      </c>
      <c r="DQ766" s="302"/>
      <c r="DR766" s="364"/>
      <c r="DS766" s="302"/>
      <c r="DU766" s="424"/>
      <c r="DV766" s="366" t="str">
        <f ca="1">IF(OR(NOT($AJ$44),AND(DI643,DV758="")),DI758,"")</f>
        <v/>
      </c>
      <c r="DW766" s="365"/>
      <c r="DX766" s="366">
        <f t="shared" ca="1" si="1128"/>
        <v>0</v>
      </c>
      <c r="DY766" s="366">
        <f t="shared" ca="1" si="1129"/>
        <v>0</v>
      </c>
      <c r="DZ766" s="366">
        <f t="shared" ca="1" si="1130"/>
        <v>0</v>
      </c>
      <c r="EA766" s="366">
        <f t="shared" ca="1" si="1131"/>
        <v>0</v>
      </c>
      <c r="EB766" s="366">
        <f t="shared" ca="1" si="1132"/>
        <v>0</v>
      </c>
      <c r="EC766" s="366">
        <f t="shared" ca="1" si="1133"/>
        <v>0</v>
      </c>
      <c r="ED766" s="366">
        <f t="shared" ca="1" si="1134"/>
        <v>0</v>
      </c>
      <c r="EE766" s="396">
        <f t="shared" ca="1" si="1142"/>
        <v>0</v>
      </c>
      <c r="EF766" s="366">
        <f t="shared" ca="1" si="1135"/>
        <v>0</v>
      </c>
      <c r="EG766" s="366">
        <f t="shared" ca="1" si="1136"/>
        <v>0</v>
      </c>
      <c r="EH766" s="366">
        <f t="shared" ca="1" si="1137"/>
        <v>0</v>
      </c>
      <c r="EI766" s="366">
        <f t="shared" ca="1" si="1138"/>
        <v>0</v>
      </c>
      <c r="EJ766" s="366">
        <f ca="1">IF(EI766=0,0,RANK(EI766,EI764:EI770,1))</f>
        <v>0</v>
      </c>
      <c r="EK766" s="366">
        <f t="shared" ca="1" si="1139"/>
        <v>0</v>
      </c>
      <c r="EL766" s="365"/>
      <c r="EM766" s="365"/>
      <c r="EN766" s="365"/>
      <c r="EO766" s="365"/>
      <c r="EP766" s="365"/>
      <c r="EQ766" s="365"/>
      <c r="ER766" s="365"/>
      <c r="ES766" s="365"/>
      <c r="ET766" s="365"/>
      <c r="EU766" s="365"/>
      <c r="EV766" s="365"/>
      <c r="EW766" s="365"/>
      <c r="EX766" s="365"/>
      <c r="EY766" s="365"/>
      <c r="EZ766" s="365"/>
      <c r="FA766" s="365"/>
      <c r="FB766" s="424"/>
      <c r="FC766" s="424"/>
      <c r="FD766" s="425"/>
      <c r="FE766" s="333"/>
    </row>
    <row r="767" spans="86:161" x14ac:dyDescent="0.25">
      <c r="CH767" s="445"/>
      <c r="CI767" s="350"/>
      <c r="CJ767" s="350"/>
      <c r="CK767" s="350"/>
      <c r="CL767" s="350"/>
      <c r="CM767" s="445"/>
      <c r="DG767" s="445"/>
      <c r="DH767" s="300"/>
      <c r="DI767" s="395" t="str">
        <f t="shared" ca="1" si="1140"/>
        <v/>
      </c>
      <c r="DJ767" s="478" t="str">
        <f t="shared" ca="1" si="1122"/>
        <v/>
      </c>
      <c r="DK767" s="360" t="str">
        <f t="shared" ca="1" si="1123"/>
        <v/>
      </c>
      <c r="DL767" s="354" t="str">
        <f t="shared" ca="1" si="1124"/>
        <v/>
      </c>
      <c r="DM767" s="354" t="str">
        <f t="shared" ca="1" si="1125"/>
        <v/>
      </c>
      <c r="DN767" s="361" t="str">
        <f t="shared" ca="1" si="1126"/>
        <v/>
      </c>
      <c r="DO767" s="362" t="str">
        <f t="shared" ca="1" si="1127"/>
        <v/>
      </c>
      <c r="DP767" s="379" t="str">
        <f t="shared" ca="1" si="1141"/>
        <v/>
      </c>
      <c r="DQ767" s="302"/>
      <c r="DR767" s="364"/>
      <c r="DS767" s="302"/>
      <c r="DU767" s="424"/>
      <c r="DV767" s="366" t="str">
        <f ca="1">IF(OR(NOT($AJ$44),AND(DI643,DV759="")),DI759,"")</f>
        <v/>
      </c>
      <c r="DW767" s="365"/>
      <c r="DX767" s="366">
        <f t="shared" ca="1" si="1128"/>
        <v>0</v>
      </c>
      <c r="DY767" s="366">
        <f t="shared" ca="1" si="1129"/>
        <v>0</v>
      </c>
      <c r="DZ767" s="366">
        <f t="shared" ca="1" si="1130"/>
        <v>0</v>
      </c>
      <c r="EA767" s="366">
        <f t="shared" ca="1" si="1131"/>
        <v>0</v>
      </c>
      <c r="EB767" s="366">
        <f t="shared" ca="1" si="1132"/>
        <v>0</v>
      </c>
      <c r="EC767" s="366">
        <f t="shared" ca="1" si="1133"/>
        <v>0</v>
      </c>
      <c r="ED767" s="366">
        <f t="shared" ca="1" si="1134"/>
        <v>0</v>
      </c>
      <c r="EE767" s="396">
        <f t="shared" ca="1" si="1142"/>
        <v>0</v>
      </c>
      <c r="EF767" s="366">
        <f t="shared" ca="1" si="1135"/>
        <v>0</v>
      </c>
      <c r="EG767" s="366">
        <f t="shared" ca="1" si="1136"/>
        <v>0</v>
      </c>
      <c r="EH767" s="366">
        <f t="shared" ca="1" si="1137"/>
        <v>0</v>
      </c>
      <c r="EI767" s="366">
        <f t="shared" ca="1" si="1138"/>
        <v>0</v>
      </c>
      <c r="EJ767" s="366">
        <f ca="1">IF(EI767=0,0,RANK(EI767,EI764:EI770,1))</f>
        <v>0</v>
      </c>
      <c r="EK767" s="366">
        <f t="shared" ca="1" si="1139"/>
        <v>0</v>
      </c>
      <c r="EL767" s="365"/>
      <c r="EO767" s="365"/>
      <c r="EP767" s="365"/>
      <c r="EQ767" s="365"/>
      <c r="ER767" s="398"/>
      <c r="ES767" s="329" t="s">
        <v>157</v>
      </c>
      <c r="ET767" s="329" t="s">
        <v>158</v>
      </c>
      <c r="EU767" s="399"/>
      <c r="EV767" s="400"/>
      <c r="EW767" s="401" t="s">
        <v>160</v>
      </c>
      <c r="EX767" s="402" t="s">
        <v>135</v>
      </c>
      <c r="EY767" s="403">
        <f ca="1">COUNT(EU756:EU760)</f>
        <v>0</v>
      </c>
      <c r="EZ767" s="365"/>
      <c r="FA767" s="365"/>
      <c r="FB767" s="424"/>
      <c r="FC767" s="424"/>
      <c r="FD767" s="425"/>
      <c r="FE767" s="333"/>
    </row>
    <row r="768" spans="86:161" x14ac:dyDescent="0.25">
      <c r="CH768" s="445"/>
      <c r="CI768" s="350"/>
      <c r="CJ768" s="350"/>
      <c r="CK768" s="350"/>
      <c r="CL768" s="350"/>
      <c r="CM768" s="445"/>
      <c r="DG768" s="445"/>
      <c r="DH768" s="300"/>
      <c r="DI768" s="395" t="str">
        <f t="shared" ca="1" si="1140"/>
        <v/>
      </c>
      <c r="DJ768" s="478" t="str">
        <f t="shared" ca="1" si="1122"/>
        <v/>
      </c>
      <c r="DK768" s="360" t="str">
        <f t="shared" ca="1" si="1123"/>
        <v/>
      </c>
      <c r="DL768" s="354" t="str">
        <f t="shared" ca="1" si="1124"/>
        <v/>
      </c>
      <c r="DM768" s="354" t="str">
        <f t="shared" ca="1" si="1125"/>
        <v/>
      </c>
      <c r="DN768" s="361" t="str">
        <f t="shared" ca="1" si="1126"/>
        <v/>
      </c>
      <c r="DO768" s="362" t="str">
        <f t="shared" ca="1" si="1127"/>
        <v/>
      </c>
      <c r="DP768" s="379" t="str">
        <f t="shared" ca="1" si="1141"/>
        <v/>
      </c>
      <c r="DQ768" s="302"/>
      <c r="DR768" s="364"/>
      <c r="DS768" s="302"/>
      <c r="DU768" s="424"/>
      <c r="DV768" s="366" t="str">
        <f ca="1">IF(OR(NOT($AJ$44),AND(DI643,DV760="")),DI760,"")</f>
        <v/>
      </c>
      <c r="DW768" s="365"/>
      <c r="DX768" s="366">
        <f t="shared" ca="1" si="1128"/>
        <v>0</v>
      </c>
      <c r="DY768" s="366">
        <f t="shared" ca="1" si="1129"/>
        <v>0</v>
      </c>
      <c r="DZ768" s="366">
        <f t="shared" ca="1" si="1130"/>
        <v>0</v>
      </c>
      <c r="EA768" s="366">
        <f t="shared" ca="1" si="1131"/>
        <v>0</v>
      </c>
      <c r="EB768" s="366">
        <f t="shared" ca="1" si="1132"/>
        <v>0</v>
      </c>
      <c r="EC768" s="366">
        <f t="shared" ca="1" si="1133"/>
        <v>0</v>
      </c>
      <c r="ED768" s="366">
        <f t="shared" ca="1" si="1134"/>
        <v>0</v>
      </c>
      <c r="EE768" s="396">
        <f t="shared" ca="1" si="1142"/>
        <v>0</v>
      </c>
      <c r="EF768" s="366">
        <f t="shared" ca="1" si="1135"/>
        <v>0</v>
      </c>
      <c r="EG768" s="366">
        <f t="shared" ca="1" si="1136"/>
        <v>0</v>
      </c>
      <c r="EH768" s="366">
        <f t="shared" ca="1" si="1137"/>
        <v>0</v>
      </c>
      <c r="EI768" s="366">
        <f t="shared" ca="1" si="1138"/>
        <v>0</v>
      </c>
      <c r="EJ768" s="366">
        <f ca="1">IF(EI768=0,0,RANK(EI768,EI764:EI770,1))</f>
        <v>0</v>
      </c>
      <c r="EK768" s="366">
        <f t="shared" ca="1" si="1139"/>
        <v>0</v>
      </c>
      <c r="EL768" s="365"/>
      <c r="EO768" s="365"/>
      <c r="EP768" s="365"/>
      <c r="EQ768" s="365"/>
      <c r="ER768" s="404" t="str">
        <f ca="1">IF(EU756="","",VLOOKUP(EU756,yyy.an1.7,4,FALSE))</f>
        <v/>
      </c>
      <c r="ES768" s="371" t="str">
        <f ca="1">IF(OR(ER768="",EY768="",ER768=EY768),"",CONCATENATE(ER768,EY768))</f>
        <v/>
      </c>
      <c r="ET768" s="422" t="str">
        <f ca="1">IF(OR(ES768="",EY767&gt;2),"",CONCATENATE(VLOOKUP(ES768,games.a,9,FALSE),VLOOKUP(ES768,games.a,12,FALSE)))</f>
        <v/>
      </c>
      <c r="EU768" s="406"/>
      <c r="EV768" s="407"/>
      <c r="EW768" s="423" t="str">
        <f ca="1">IF(ES768="","",VLOOKUP(ES768,games.a,6,FALSE))</f>
        <v/>
      </c>
      <c r="EX768" s="409" t="str">
        <f ca="1">IF(ES768="","",VLOOKUP(ES768,games.a,7,FALSE))</f>
        <v/>
      </c>
      <c r="EY768" s="410" t="str">
        <f ca="1">ER768</f>
        <v/>
      </c>
      <c r="EZ768" s="411"/>
      <c r="FA768" s="412"/>
      <c r="FB768" s="424"/>
      <c r="FC768" s="424"/>
      <c r="FD768" s="425"/>
      <c r="FE768" s="333"/>
    </row>
    <row r="769" spans="86:161" x14ac:dyDescent="0.25">
      <c r="CH769" s="445"/>
      <c r="CI769" s="350"/>
      <c r="CJ769" s="350"/>
      <c r="CK769" s="350"/>
      <c r="CL769" s="350"/>
      <c r="CM769" s="445"/>
      <c r="DG769" s="445"/>
      <c r="DH769" s="300"/>
      <c r="DI769" s="395" t="str">
        <f t="shared" ca="1" si="1140"/>
        <v/>
      </c>
      <c r="DJ769" s="478" t="str">
        <f t="shared" ca="1" si="1122"/>
        <v/>
      </c>
      <c r="DK769" s="360" t="str">
        <f t="shared" ca="1" si="1123"/>
        <v/>
      </c>
      <c r="DL769" s="354" t="str">
        <f t="shared" ca="1" si="1124"/>
        <v/>
      </c>
      <c r="DM769" s="354" t="str">
        <f t="shared" ca="1" si="1125"/>
        <v/>
      </c>
      <c r="DN769" s="361" t="str">
        <f t="shared" ca="1" si="1126"/>
        <v/>
      </c>
      <c r="DO769" s="362" t="str">
        <f t="shared" ca="1" si="1127"/>
        <v/>
      </c>
      <c r="DP769" s="379" t="str">
        <f t="shared" ca="1" si="1141"/>
        <v/>
      </c>
      <c r="DQ769" s="302"/>
      <c r="DR769" s="364"/>
      <c r="DS769" s="302"/>
      <c r="DU769" s="424"/>
      <c r="DV769" s="366" t="str">
        <f ca="1">IF(OR(NOT($AJ$44),AND(DI643,DV761="")),DI761,"")</f>
        <v/>
      </c>
      <c r="DW769" s="365"/>
      <c r="DX769" s="366">
        <f t="shared" ca="1" si="1128"/>
        <v>0</v>
      </c>
      <c r="DY769" s="366">
        <f t="shared" ca="1" si="1129"/>
        <v>0</v>
      </c>
      <c r="DZ769" s="366">
        <f t="shared" ca="1" si="1130"/>
        <v>0</v>
      </c>
      <c r="EA769" s="366">
        <f t="shared" ca="1" si="1131"/>
        <v>0</v>
      </c>
      <c r="EB769" s="366">
        <f t="shared" ca="1" si="1132"/>
        <v>0</v>
      </c>
      <c r="EC769" s="366">
        <f t="shared" ca="1" si="1133"/>
        <v>0</v>
      </c>
      <c r="ED769" s="366">
        <f t="shared" ca="1" si="1134"/>
        <v>0</v>
      </c>
      <c r="EE769" s="396">
        <f t="shared" ca="1" si="1142"/>
        <v>0</v>
      </c>
      <c r="EF769" s="366">
        <f t="shared" ca="1" si="1135"/>
        <v>0</v>
      </c>
      <c r="EG769" s="366">
        <f t="shared" ca="1" si="1136"/>
        <v>0</v>
      </c>
      <c r="EH769" s="366">
        <f t="shared" ca="1" si="1137"/>
        <v>0</v>
      </c>
      <c r="EI769" s="366">
        <f t="shared" ca="1" si="1138"/>
        <v>0</v>
      </c>
      <c r="EJ769" s="366">
        <f ca="1">IF(EI769=0,0,RANK(EI769,EI764:EI770,1))</f>
        <v>0</v>
      </c>
      <c r="EK769" s="366">
        <f t="shared" ca="1" si="1139"/>
        <v>0</v>
      </c>
      <c r="EL769" s="365"/>
      <c r="EO769" s="365"/>
      <c r="EP769" s="365"/>
      <c r="EQ769" s="365"/>
      <c r="ER769" s="404" t="str">
        <f ca="1">IF(EU757="","",VLOOKUP(EU757,yyy.an1.7,4,FALSE))</f>
        <v/>
      </c>
      <c r="ES769" s="371" t="str">
        <f ca="1">IF(OR(ER769="",EY769="",ER769=EY769),"",CONCATENATE(ER769,EY769))</f>
        <v/>
      </c>
      <c r="ET769" s="422" t="str">
        <f ca="1">IF(OR(ES769="",EY767&gt;2),"",CONCATENATE(VLOOKUP(ES769,games.a,9,FALSE),VLOOKUP(ES769,games.a,12,FALSE)))</f>
        <v/>
      </c>
      <c r="EU769" s="413"/>
      <c r="EV769" s="414"/>
      <c r="EW769" s="423" t="str">
        <f ca="1">IF(ES769="","",VLOOKUP(ES769,games.a,6,FALSE))</f>
        <v/>
      </c>
      <c r="EX769" s="409" t="str">
        <f ca="1">IF(ES769="","",VLOOKUP(ES769,games.a,7,FALSE))</f>
        <v/>
      </c>
      <c r="EY769" s="415" t="str">
        <f ca="1">EY768</f>
        <v/>
      </c>
      <c r="EZ769" s="416"/>
      <c r="FA769" s="417"/>
      <c r="FB769" s="424"/>
      <c r="FC769" s="424"/>
      <c r="FD769" s="425"/>
      <c r="FE769" s="333"/>
    </row>
    <row r="770" spans="86:161" x14ac:dyDescent="0.25">
      <c r="CH770" s="445"/>
      <c r="CI770" s="350"/>
      <c r="CJ770" s="350"/>
      <c r="CK770" s="350"/>
      <c r="CL770" s="350"/>
      <c r="CM770" s="445"/>
      <c r="DG770" s="445"/>
      <c r="DH770" s="300"/>
      <c r="DI770" s="395" t="str">
        <f t="shared" ca="1" si="1140"/>
        <v/>
      </c>
      <c r="DJ770" s="478" t="str">
        <f t="shared" ca="1" si="1122"/>
        <v/>
      </c>
      <c r="DK770" s="360" t="str">
        <f t="shared" ca="1" si="1123"/>
        <v/>
      </c>
      <c r="DL770" s="354" t="str">
        <f t="shared" ca="1" si="1124"/>
        <v/>
      </c>
      <c r="DM770" s="354" t="str">
        <f t="shared" ca="1" si="1125"/>
        <v/>
      </c>
      <c r="DN770" s="361" t="str">
        <f t="shared" ca="1" si="1126"/>
        <v/>
      </c>
      <c r="DO770" s="362" t="str">
        <f t="shared" ca="1" si="1127"/>
        <v/>
      </c>
      <c r="DP770" s="379" t="str">
        <f t="shared" ca="1" si="1141"/>
        <v/>
      </c>
      <c r="DQ770" s="302"/>
      <c r="DR770" s="364"/>
      <c r="DS770" s="302"/>
      <c r="DU770" s="424"/>
      <c r="DV770" s="366" t="str">
        <f ca="1">IF(OR(NOT($AJ$44),AND(DI643,DV762="")),DI762,"")</f>
        <v/>
      </c>
      <c r="DW770" s="365"/>
      <c r="DX770" s="366">
        <f t="shared" ca="1" si="1128"/>
        <v>0</v>
      </c>
      <c r="DY770" s="366">
        <f t="shared" ca="1" si="1129"/>
        <v>0</v>
      </c>
      <c r="DZ770" s="366">
        <f t="shared" ca="1" si="1130"/>
        <v>0</v>
      </c>
      <c r="EA770" s="366">
        <f t="shared" ca="1" si="1131"/>
        <v>0</v>
      </c>
      <c r="EB770" s="366">
        <f t="shared" ca="1" si="1132"/>
        <v>0</v>
      </c>
      <c r="EC770" s="366">
        <f t="shared" ca="1" si="1133"/>
        <v>0</v>
      </c>
      <c r="ED770" s="366">
        <f t="shared" ca="1" si="1134"/>
        <v>0</v>
      </c>
      <c r="EE770" s="396">
        <f t="shared" ca="1" si="1142"/>
        <v>0</v>
      </c>
      <c r="EF770" s="366">
        <f t="shared" ca="1" si="1135"/>
        <v>0</v>
      </c>
      <c r="EG770" s="366">
        <f t="shared" ca="1" si="1136"/>
        <v>0</v>
      </c>
      <c r="EH770" s="366">
        <f t="shared" ca="1" si="1137"/>
        <v>0</v>
      </c>
      <c r="EI770" s="366">
        <f t="shared" ca="1" si="1138"/>
        <v>0</v>
      </c>
      <c r="EJ770" s="366">
        <f ca="1">IF(EI770=0,0,RANK(EI770,EI764:EI770,1))</f>
        <v>0</v>
      </c>
      <c r="EK770" s="366">
        <f t="shared" ca="1" si="1139"/>
        <v>0</v>
      </c>
      <c r="EL770" s="365"/>
      <c r="EO770" s="365"/>
      <c r="EP770" s="365"/>
      <c r="EQ770" s="365"/>
      <c r="ER770" s="404" t="str">
        <f ca="1">IF(EU758="","",VLOOKUP(EU758,yyy.an1.7,4,FALSE))</f>
        <v/>
      </c>
      <c r="ES770" s="371" t="str">
        <f ca="1">IF(OR(ER770="",EY770="",ER770=EY770),"",CONCATENATE(ER770,EY770))</f>
        <v/>
      </c>
      <c r="ET770" s="422" t="str">
        <f ca="1">IF(OR(ES770="",EY767&gt;2),"",CONCATENATE(VLOOKUP(ES770,games.a,9,FALSE),VLOOKUP(ES770,games.a,12,FALSE)))</f>
        <v/>
      </c>
      <c r="EU770" s="413"/>
      <c r="EV770" s="414"/>
      <c r="EW770" s="423" t="str">
        <f ca="1">IF(ES770="","",VLOOKUP(ES770,games.a,6,FALSE))</f>
        <v/>
      </c>
      <c r="EX770" s="409" t="str">
        <f ca="1">IF(ES770="","",VLOOKUP(ES770,games.a,7,FALSE))</f>
        <v/>
      </c>
      <c r="EY770" s="415" t="str">
        <f ca="1">EY769</f>
        <v/>
      </c>
      <c r="EZ770" s="416"/>
      <c r="FA770" s="417"/>
      <c r="FB770" s="424"/>
      <c r="FC770" s="424"/>
      <c r="FD770" s="425"/>
      <c r="FE770" s="333"/>
    </row>
    <row r="771" spans="86:161" x14ac:dyDescent="0.25">
      <c r="CH771" s="445"/>
      <c r="CI771" s="350"/>
      <c r="CJ771" s="350"/>
      <c r="CK771" s="350"/>
      <c r="CL771" s="350"/>
      <c r="CM771" s="445"/>
      <c r="DG771" s="445"/>
      <c r="DH771" s="300"/>
      <c r="DI771" s="301"/>
      <c r="DJ771" s="471" t="s">
        <v>157</v>
      </c>
      <c r="DK771" s="471" t="s">
        <v>158</v>
      </c>
      <c r="DL771" s="472" t="s">
        <v>159</v>
      </c>
      <c r="DM771" s="472"/>
      <c r="DN771" s="473" t="s">
        <v>160</v>
      </c>
      <c r="DO771" s="472" t="s">
        <v>135</v>
      </c>
      <c r="DP771" s="302"/>
      <c r="DQ771" s="302"/>
      <c r="DR771" s="364"/>
      <c r="DS771" s="302"/>
      <c r="DU771" s="424"/>
      <c r="EL771" s="365"/>
      <c r="EO771" s="365"/>
      <c r="EP771" s="365"/>
      <c r="EQ771" s="365"/>
      <c r="ER771" s="404" t="str">
        <f ca="1">IF(EU759="","",VLOOKUP(EU759,yyy.an1.7,4,FALSE))</f>
        <v/>
      </c>
      <c r="ES771" s="371" t="str">
        <f ca="1">IF(OR(ER771="",EY771="",ER771=EY771),"",CONCATENATE(ER771,EY771))</f>
        <v/>
      </c>
      <c r="ET771" s="422" t="str">
        <f ca="1">IF(OR(ES771="",EY767&gt;2),"",CONCATENATE(VLOOKUP(ES771,games.a,9,FALSE),VLOOKUP(ES771,games.a,12,FALSE)))</f>
        <v/>
      </c>
      <c r="EU771" s="413"/>
      <c r="EV771" s="414"/>
      <c r="EW771" s="423" t="str">
        <f ca="1">IF(ES771="","",VLOOKUP(ES771,games.a,6,FALSE))</f>
        <v/>
      </c>
      <c r="EX771" s="409" t="str">
        <f ca="1">IF(ES771="","",VLOOKUP(ES771,games.a,7,FALSE))</f>
        <v/>
      </c>
      <c r="EY771" s="415" t="str">
        <f ca="1">EY770</f>
        <v/>
      </c>
      <c r="EZ771" s="416"/>
      <c r="FA771" s="417"/>
      <c r="FB771" s="424"/>
      <c r="FC771" s="424"/>
      <c r="FD771" s="425"/>
      <c r="FE771" s="333"/>
    </row>
    <row r="772" spans="86:161" x14ac:dyDescent="0.25">
      <c r="CH772" s="445"/>
      <c r="CI772" s="350"/>
      <c r="CJ772" s="350"/>
      <c r="CK772" s="350"/>
      <c r="CL772" s="350"/>
      <c r="CM772" s="445"/>
      <c r="DG772" s="445"/>
      <c r="DH772" s="300"/>
      <c r="DI772" s="395" t="str">
        <f ca="1">DI764</f>
        <v/>
      </c>
      <c r="DJ772" s="478" t="str">
        <f t="shared" ref="DJ772:DJ778" ca="1" si="1143">IF(OR(DI772="",DP772="",DI772=DP772,COUNTIF(games.an,DI772&amp;DP772)=0),"",CONCATENATE(DI772,DP772))</f>
        <v/>
      </c>
      <c r="DK772" s="360" t="str">
        <f t="shared" ref="DK772:DK778" ca="1" si="1144">IF($DJ772="","",CONCATENATE(VLOOKUP($DJ772,games.a,9,FALSE),VLOOKUP($DJ772,games.a,12,FALSE)))</f>
        <v/>
      </c>
      <c r="DL772" s="354" t="str">
        <f t="shared" ref="DL772:DL778" ca="1" si="1145">IF($DJ772="","",VLOOKUP($DJ772,games.a,10,FALSE))</f>
        <v/>
      </c>
      <c r="DM772" s="354" t="str">
        <f t="shared" ref="DM772:DM778" ca="1" si="1146">IF($DJ772="","",VLOOKUP($DJ772,games.a,13,FALSE))</f>
        <v/>
      </c>
      <c r="DN772" s="361" t="str">
        <f t="shared" ref="DN772:DN778" ca="1" si="1147">IF($DJ772="","",VLOOKUP($DJ772,games.a,6,FALSE))</f>
        <v/>
      </c>
      <c r="DO772" s="362" t="str">
        <f t="shared" ref="DO772:DO778" ca="1" si="1148">IF($DJ772="","",VLOOKUP($DJ772,games.a,7,FALSE))</f>
        <v/>
      </c>
      <c r="DP772" s="479" t="str">
        <f ca="1">DI758</f>
        <v/>
      </c>
      <c r="DQ772" s="302"/>
      <c r="DR772" s="364"/>
      <c r="DS772" s="302"/>
      <c r="DU772" s="424"/>
      <c r="EL772" s="365"/>
      <c r="EO772" s="365"/>
      <c r="EP772" s="365"/>
      <c r="EQ772" s="365"/>
      <c r="ER772" s="404" t="str">
        <f ca="1">IF(EU760="","",VLOOKUP(EU760,yyy.an1.7,4,FALSE))</f>
        <v/>
      </c>
      <c r="ES772" s="371" t="str">
        <f ca="1">IF(OR(ER772="",EY772="",ER772=EY772),"",CONCATENATE(ER772,EY772))</f>
        <v/>
      </c>
      <c r="ET772" s="422" t="str">
        <f ca="1">IF(OR(ES772="",EY767&gt;2),"",CONCATENATE(VLOOKUP(ES772,games.a,9,FALSE),VLOOKUP(ES772,games.a,12,FALSE)))</f>
        <v/>
      </c>
      <c r="EU772" s="420"/>
      <c r="EV772" s="421"/>
      <c r="EW772" s="423" t="str">
        <f ca="1">IF(ES772="","",VLOOKUP(ES772,games.a,6,FALSE))</f>
        <v/>
      </c>
      <c r="EX772" s="409" t="str">
        <f ca="1">IF(ES772="","",VLOOKUP(ES772,games.a,7,FALSE))</f>
        <v/>
      </c>
      <c r="EY772" s="415" t="str">
        <f ca="1">EY771</f>
        <v/>
      </c>
      <c r="EZ772" s="416"/>
      <c r="FA772" s="417"/>
      <c r="FB772" s="424"/>
      <c r="FC772" s="424"/>
      <c r="FD772" s="425"/>
      <c r="FE772" s="333"/>
    </row>
    <row r="773" spans="86:161" x14ac:dyDescent="0.25">
      <c r="CH773" s="445"/>
      <c r="CI773" s="350"/>
      <c r="CJ773" s="350"/>
      <c r="CK773" s="350"/>
      <c r="CL773" s="350"/>
      <c r="CM773" s="445"/>
      <c r="DG773" s="445"/>
      <c r="DH773" s="300"/>
      <c r="DI773" s="395" t="str">
        <f t="shared" ref="DI773:DI778" ca="1" si="1149">DI765</f>
        <v/>
      </c>
      <c r="DJ773" s="478" t="str">
        <f t="shared" ca="1" si="1143"/>
        <v/>
      </c>
      <c r="DK773" s="360" t="str">
        <f t="shared" ca="1" si="1144"/>
        <v/>
      </c>
      <c r="DL773" s="354" t="str">
        <f t="shared" ca="1" si="1145"/>
        <v/>
      </c>
      <c r="DM773" s="354" t="str">
        <f t="shared" ca="1" si="1146"/>
        <v/>
      </c>
      <c r="DN773" s="361" t="str">
        <f t="shared" ca="1" si="1147"/>
        <v/>
      </c>
      <c r="DO773" s="362" t="str">
        <f t="shared" ca="1" si="1148"/>
        <v/>
      </c>
      <c r="DP773" s="379" t="str">
        <f t="shared" ref="DP773:DP778" ca="1" si="1150">DP772</f>
        <v/>
      </c>
      <c r="DQ773" s="302"/>
      <c r="DR773" s="364"/>
      <c r="DS773" s="302"/>
      <c r="DU773" s="424"/>
      <c r="EL773" s="365"/>
      <c r="EO773" s="365"/>
      <c r="EP773" s="365"/>
      <c r="EQ773" s="365"/>
      <c r="ER773" s="398"/>
      <c r="ES773" s="329" t="s">
        <v>157</v>
      </c>
      <c r="ET773" s="329" t="s">
        <v>158</v>
      </c>
      <c r="EU773" s="399"/>
      <c r="EV773" s="400"/>
      <c r="EW773" s="401" t="s">
        <v>160</v>
      </c>
      <c r="EX773" s="402" t="s">
        <v>135</v>
      </c>
      <c r="EY773" s="398"/>
      <c r="EZ773" s="365"/>
      <c r="FA773" s="365"/>
      <c r="FB773" s="424"/>
      <c r="FC773" s="424"/>
      <c r="FD773" s="425"/>
      <c r="FE773" s="333"/>
    </row>
    <row r="774" spans="86:161" x14ac:dyDescent="0.25">
      <c r="CH774" s="445"/>
      <c r="CI774" s="350"/>
      <c r="CJ774" s="350"/>
      <c r="CK774" s="350"/>
      <c r="CL774" s="350"/>
      <c r="CM774" s="445"/>
      <c r="DG774" s="445"/>
      <c r="DH774" s="300"/>
      <c r="DI774" s="395" t="str">
        <f t="shared" ca="1" si="1149"/>
        <v/>
      </c>
      <c r="DJ774" s="478" t="str">
        <f t="shared" ca="1" si="1143"/>
        <v/>
      </c>
      <c r="DK774" s="360" t="str">
        <f t="shared" ca="1" si="1144"/>
        <v/>
      </c>
      <c r="DL774" s="354" t="str">
        <f t="shared" ca="1" si="1145"/>
        <v/>
      </c>
      <c r="DM774" s="354" t="str">
        <f t="shared" ca="1" si="1146"/>
        <v/>
      </c>
      <c r="DN774" s="361" t="str">
        <f t="shared" ca="1" si="1147"/>
        <v/>
      </c>
      <c r="DO774" s="362" t="str">
        <f t="shared" ca="1" si="1148"/>
        <v/>
      </c>
      <c r="DP774" s="379" t="str">
        <f t="shared" ca="1" si="1150"/>
        <v/>
      </c>
      <c r="DQ774" s="302"/>
      <c r="DR774" s="364"/>
      <c r="DS774" s="302"/>
      <c r="DU774" s="424"/>
      <c r="EL774" s="365"/>
      <c r="EO774" s="365"/>
      <c r="EP774" s="365"/>
      <c r="EQ774" s="365"/>
      <c r="ER774" s="404" t="str">
        <f ca="1">ER768</f>
        <v/>
      </c>
      <c r="ES774" s="371" t="str">
        <f ca="1">IF(OR(ER774="",EY774="",ER774=EY774),"",CONCATENATE(ER774,EY774))</f>
        <v/>
      </c>
      <c r="ET774" s="422" t="str">
        <f ca="1">IF(OR(ES774="",EY767&gt;2),"",CONCATENATE(VLOOKUP(ES774,games.a,9,FALSE),VLOOKUP(ES774,games.a,12,FALSE)))</f>
        <v/>
      </c>
      <c r="EU774" s="406"/>
      <c r="EV774" s="407"/>
      <c r="EW774" s="423" t="str">
        <f ca="1">IF(ES774="","",VLOOKUP(ES774,games.a,6,FALSE))</f>
        <v/>
      </c>
      <c r="EX774" s="409" t="str">
        <f ca="1">IF(ES774="","",VLOOKUP(ES774,games.a,7,FALSE))</f>
        <v/>
      </c>
      <c r="EY774" s="410" t="str">
        <f ca="1">ER769</f>
        <v/>
      </c>
      <c r="EZ774" s="411"/>
      <c r="FA774" s="412"/>
      <c r="FB774" s="424"/>
      <c r="FC774" s="424"/>
      <c r="FD774" s="425"/>
      <c r="FE774" s="333"/>
    </row>
    <row r="775" spans="86:161" x14ac:dyDescent="0.25">
      <c r="CH775" s="445"/>
      <c r="CI775" s="350"/>
      <c r="CJ775" s="350"/>
      <c r="CK775" s="350"/>
      <c r="CL775" s="350"/>
      <c r="CM775" s="445"/>
      <c r="DG775" s="445"/>
      <c r="DH775" s="300"/>
      <c r="DI775" s="395" t="str">
        <f t="shared" ca="1" si="1149"/>
        <v/>
      </c>
      <c r="DJ775" s="478" t="str">
        <f t="shared" ca="1" si="1143"/>
        <v/>
      </c>
      <c r="DK775" s="360" t="str">
        <f t="shared" ca="1" si="1144"/>
        <v/>
      </c>
      <c r="DL775" s="354" t="str">
        <f t="shared" ca="1" si="1145"/>
        <v/>
      </c>
      <c r="DM775" s="354" t="str">
        <f t="shared" ca="1" si="1146"/>
        <v/>
      </c>
      <c r="DN775" s="361" t="str">
        <f t="shared" ca="1" si="1147"/>
        <v/>
      </c>
      <c r="DO775" s="362" t="str">
        <f t="shared" ca="1" si="1148"/>
        <v/>
      </c>
      <c r="DP775" s="379" t="str">
        <f t="shared" ca="1" si="1150"/>
        <v/>
      </c>
      <c r="DQ775" s="302"/>
      <c r="DR775" s="364"/>
      <c r="DS775" s="302"/>
      <c r="DU775" s="424"/>
      <c r="EL775" s="365"/>
      <c r="EO775" s="365"/>
      <c r="EP775" s="365"/>
      <c r="EQ775" s="365"/>
      <c r="ER775" s="404" t="str">
        <f ca="1">ER769</f>
        <v/>
      </c>
      <c r="ES775" s="371" t="str">
        <f ca="1">IF(OR(ER775="",EY775="",ER775=EY775),"",CONCATENATE(ER775,EY775))</f>
        <v/>
      </c>
      <c r="ET775" s="422" t="str">
        <f ca="1">IF(OR(ES775="",EY767&gt;2),"",CONCATENATE(VLOOKUP(ES775,games.a,9,FALSE),VLOOKUP(ES775,games.a,12,FALSE)))</f>
        <v/>
      </c>
      <c r="EU775" s="413"/>
      <c r="EV775" s="414"/>
      <c r="EW775" s="423" t="str">
        <f ca="1">IF(ES775="","",VLOOKUP(ES775,games.a,6,FALSE))</f>
        <v/>
      </c>
      <c r="EX775" s="409" t="str">
        <f ca="1">IF(ES775="","",VLOOKUP(ES775,games.a,7,FALSE))</f>
        <v/>
      </c>
      <c r="EY775" s="415" t="str">
        <f ca="1">EY774</f>
        <v/>
      </c>
      <c r="EZ775" s="416"/>
      <c r="FA775" s="417"/>
      <c r="FB775" s="424"/>
      <c r="FC775" s="424"/>
      <c r="FD775" s="425"/>
      <c r="FE775" s="333"/>
    </row>
    <row r="776" spans="86:161" x14ac:dyDescent="0.25">
      <c r="CH776" s="445"/>
      <c r="CI776" s="350"/>
      <c r="CJ776" s="350"/>
      <c r="CK776" s="350"/>
      <c r="CL776" s="350"/>
      <c r="CM776" s="445"/>
      <c r="DG776" s="445"/>
      <c r="DH776" s="300"/>
      <c r="DI776" s="395" t="str">
        <f t="shared" ca="1" si="1149"/>
        <v/>
      </c>
      <c r="DJ776" s="478" t="str">
        <f t="shared" ca="1" si="1143"/>
        <v/>
      </c>
      <c r="DK776" s="360" t="str">
        <f t="shared" ca="1" si="1144"/>
        <v/>
      </c>
      <c r="DL776" s="354" t="str">
        <f t="shared" ca="1" si="1145"/>
        <v/>
      </c>
      <c r="DM776" s="354" t="str">
        <f t="shared" ca="1" si="1146"/>
        <v/>
      </c>
      <c r="DN776" s="361" t="str">
        <f t="shared" ca="1" si="1147"/>
        <v/>
      </c>
      <c r="DO776" s="362" t="str">
        <f t="shared" ca="1" si="1148"/>
        <v/>
      </c>
      <c r="DP776" s="379" t="str">
        <f t="shared" ca="1" si="1150"/>
        <v/>
      </c>
      <c r="DQ776" s="302"/>
      <c r="DR776" s="364"/>
      <c r="DS776" s="302"/>
      <c r="DU776" s="424"/>
      <c r="EL776" s="365"/>
      <c r="EO776" s="424"/>
      <c r="EP776" s="424"/>
      <c r="EQ776" s="424"/>
      <c r="ER776" s="404" t="str">
        <f ca="1">ER770</f>
        <v/>
      </c>
      <c r="ES776" s="371" t="str">
        <f ca="1">IF(OR(ER776="",EY776="",ER776=EY776),"",CONCATENATE(ER776,EY776))</f>
        <v/>
      </c>
      <c r="ET776" s="422" t="str">
        <f ca="1">IF(OR(ES776="",EY767&gt;2),"",CONCATENATE(VLOOKUP(ES776,games.a,9,FALSE),VLOOKUP(ES776,games.a,12,FALSE)))</f>
        <v/>
      </c>
      <c r="EU776" s="413"/>
      <c r="EV776" s="414"/>
      <c r="EW776" s="423" t="str">
        <f ca="1">IF(ES776="","",VLOOKUP(ES776,games.a,6,FALSE))</f>
        <v/>
      </c>
      <c r="EX776" s="409" t="str">
        <f ca="1">IF(ES776="","",VLOOKUP(ES776,games.a,7,FALSE))</f>
        <v/>
      </c>
      <c r="EY776" s="415" t="str">
        <f ca="1">EY775</f>
        <v/>
      </c>
      <c r="EZ776" s="416"/>
      <c r="FA776" s="417"/>
      <c r="FB776" s="424"/>
      <c r="FC776" s="424"/>
      <c r="FD776" s="425"/>
      <c r="FE776" s="333"/>
    </row>
    <row r="777" spans="86:161" x14ac:dyDescent="0.25">
      <c r="CH777" s="445"/>
      <c r="CI777" s="350"/>
      <c r="CJ777" s="350"/>
      <c r="CK777" s="350"/>
      <c r="CL777" s="350"/>
      <c r="CM777" s="445"/>
      <c r="DG777" s="445"/>
      <c r="DH777" s="300"/>
      <c r="DI777" s="395" t="str">
        <f t="shared" ca="1" si="1149"/>
        <v/>
      </c>
      <c r="DJ777" s="478" t="str">
        <f t="shared" ca="1" si="1143"/>
        <v/>
      </c>
      <c r="DK777" s="360" t="str">
        <f t="shared" ca="1" si="1144"/>
        <v/>
      </c>
      <c r="DL777" s="354" t="str">
        <f t="shared" ca="1" si="1145"/>
        <v/>
      </c>
      <c r="DM777" s="354" t="str">
        <f t="shared" ca="1" si="1146"/>
        <v/>
      </c>
      <c r="DN777" s="361" t="str">
        <f t="shared" ca="1" si="1147"/>
        <v/>
      </c>
      <c r="DO777" s="362" t="str">
        <f t="shared" ca="1" si="1148"/>
        <v/>
      </c>
      <c r="DP777" s="379" t="str">
        <f t="shared" ca="1" si="1150"/>
        <v/>
      </c>
      <c r="DQ777" s="302"/>
      <c r="DR777" s="364"/>
      <c r="DS777" s="302"/>
      <c r="DU777" s="424"/>
      <c r="EL777" s="365"/>
      <c r="EO777" s="424"/>
      <c r="EP777" s="424"/>
      <c r="EQ777" s="424"/>
      <c r="ER777" s="404" t="str">
        <f ca="1">ER771</f>
        <v/>
      </c>
      <c r="ES777" s="371" t="str">
        <f ca="1">IF(OR(ER777="",EY777="",ER777=EY777),"",CONCATENATE(ER777,EY777))</f>
        <v/>
      </c>
      <c r="ET777" s="422" t="str">
        <f ca="1">IF(OR(ES777="",EY767&gt;2),"",CONCATENATE(VLOOKUP(ES777,games.a,9,FALSE),VLOOKUP(ES777,games.a,12,FALSE)))</f>
        <v/>
      </c>
      <c r="EU777" s="413"/>
      <c r="EV777" s="414"/>
      <c r="EW777" s="423" t="str">
        <f ca="1">IF(ES777="","",VLOOKUP(ES777,games.a,6,FALSE))</f>
        <v/>
      </c>
      <c r="EX777" s="409" t="str">
        <f ca="1">IF(ES777="","",VLOOKUP(ES777,games.a,7,FALSE))</f>
        <v/>
      </c>
      <c r="EY777" s="415" t="str">
        <f ca="1">EY776</f>
        <v/>
      </c>
      <c r="EZ777" s="416"/>
      <c r="FA777" s="417"/>
      <c r="FB777" s="424"/>
      <c r="FC777" s="424"/>
      <c r="FD777" s="425"/>
      <c r="FE777" s="333"/>
    </row>
    <row r="778" spans="86:161" x14ac:dyDescent="0.25">
      <c r="CH778" s="445"/>
      <c r="CI778" s="350"/>
      <c r="CJ778" s="350"/>
      <c r="CK778" s="350"/>
      <c r="CL778" s="350"/>
      <c r="CM778" s="445"/>
      <c r="DG778" s="445"/>
      <c r="DH778" s="300"/>
      <c r="DI778" s="395" t="str">
        <f t="shared" ca="1" si="1149"/>
        <v/>
      </c>
      <c r="DJ778" s="478" t="str">
        <f t="shared" ca="1" si="1143"/>
        <v/>
      </c>
      <c r="DK778" s="360" t="str">
        <f t="shared" ca="1" si="1144"/>
        <v/>
      </c>
      <c r="DL778" s="354" t="str">
        <f t="shared" ca="1" si="1145"/>
        <v/>
      </c>
      <c r="DM778" s="354" t="str">
        <f t="shared" ca="1" si="1146"/>
        <v/>
      </c>
      <c r="DN778" s="361" t="str">
        <f t="shared" ca="1" si="1147"/>
        <v/>
      </c>
      <c r="DO778" s="362" t="str">
        <f t="shared" ca="1" si="1148"/>
        <v/>
      </c>
      <c r="DP778" s="379" t="str">
        <f t="shared" ca="1" si="1150"/>
        <v/>
      </c>
      <c r="DQ778" s="302"/>
      <c r="DR778" s="364"/>
      <c r="DS778" s="302"/>
      <c r="DU778" s="424"/>
      <c r="EL778" s="365"/>
      <c r="EM778" s="424"/>
      <c r="EN778" s="424"/>
      <c r="EO778" s="424"/>
      <c r="EP778" s="424"/>
      <c r="EQ778" s="424"/>
      <c r="ER778" s="404" t="str">
        <f ca="1">ER772</f>
        <v/>
      </c>
      <c r="ES778" s="371" t="str">
        <f ca="1">IF(OR(ER778="",EY778="",ER778=EY778),"",CONCATENATE(ER778,EY778))</f>
        <v/>
      </c>
      <c r="ET778" s="422" t="str">
        <f ca="1">IF(OR(ES778="",EY767&gt;2),"",CONCATENATE(VLOOKUP(ES778,games.a,9,FALSE),VLOOKUP(ES778,games.a,12,FALSE)))</f>
        <v/>
      </c>
      <c r="EU778" s="420"/>
      <c r="EV778" s="421"/>
      <c r="EW778" s="423" t="str">
        <f ca="1">IF(ES778="","",VLOOKUP(ES778,games.a,6,FALSE))</f>
        <v/>
      </c>
      <c r="EX778" s="409" t="str">
        <f ca="1">IF(ES778="","",VLOOKUP(ES778,games.a,7,FALSE))</f>
        <v/>
      </c>
      <c r="EY778" s="415" t="str">
        <f ca="1">EY777</f>
        <v/>
      </c>
      <c r="EZ778" s="416"/>
      <c r="FA778" s="417"/>
      <c r="FB778" s="424"/>
      <c r="FC778" s="424"/>
      <c r="FD778" s="425"/>
      <c r="FE778" s="333"/>
    </row>
    <row r="779" spans="86:161" x14ac:dyDescent="0.25">
      <c r="CH779" s="445"/>
      <c r="CI779" s="350"/>
      <c r="CJ779" s="350"/>
      <c r="CK779" s="350"/>
      <c r="CL779" s="350"/>
      <c r="CM779" s="445"/>
      <c r="DG779" s="445"/>
      <c r="DH779" s="300"/>
      <c r="DI779" s="301"/>
      <c r="DJ779" s="471" t="s">
        <v>157</v>
      </c>
      <c r="DK779" s="471" t="s">
        <v>158</v>
      </c>
      <c r="DL779" s="472" t="s">
        <v>159</v>
      </c>
      <c r="DM779" s="472"/>
      <c r="DN779" s="473" t="s">
        <v>160</v>
      </c>
      <c r="DO779" s="472" t="s">
        <v>135</v>
      </c>
      <c r="DP779" s="302"/>
      <c r="DQ779" s="302"/>
      <c r="DR779" s="364"/>
      <c r="DS779" s="302"/>
      <c r="DU779" s="424"/>
      <c r="EL779" s="365"/>
      <c r="EM779" s="424"/>
      <c r="EN779" s="424"/>
      <c r="EO779" s="424"/>
      <c r="EP779" s="424"/>
      <c r="EQ779" s="424"/>
      <c r="ER779" s="398"/>
      <c r="ES779" s="329" t="s">
        <v>157</v>
      </c>
      <c r="ET779" s="329" t="s">
        <v>158</v>
      </c>
      <c r="EU779" s="399"/>
      <c r="EV779" s="400"/>
      <c r="EW779" s="401" t="s">
        <v>160</v>
      </c>
      <c r="EX779" s="402" t="s">
        <v>135</v>
      </c>
      <c r="EY779" s="398"/>
      <c r="EZ779" s="365"/>
      <c r="FA779" s="365"/>
      <c r="FB779" s="424"/>
      <c r="FC779" s="424"/>
      <c r="FD779" s="425"/>
      <c r="FE779" s="333"/>
    </row>
    <row r="780" spans="86:161" x14ac:dyDescent="0.25">
      <c r="CH780" s="445"/>
      <c r="CI780" s="350"/>
      <c r="CJ780" s="350"/>
      <c r="CK780" s="350"/>
      <c r="CL780" s="350"/>
      <c r="CM780" s="445"/>
      <c r="DG780" s="445"/>
      <c r="DH780" s="300"/>
      <c r="DI780" s="395" t="str">
        <f ca="1">DI772</f>
        <v/>
      </c>
      <c r="DJ780" s="478" t="str">
        <f t="shared" ref="DJ780:DJ786" ca="1" si="1151">IF(OR(DI780="",DP780="",DI780=DP780,COUNTIF(games.an,DI780&amp;DP780)=0),"",CONCATENATE(DI780,DP780))</f>
        <v/>
      </c>
      <c r="DK780" s="360" t="str">
        <f t="shared" ref="DK780:DK786" ca="1" si="1152">IF($DJ780="","",CONCATENATE(VLOOKUP($DJ780,games.a,9,FALSE),VLOOKUP($DJ780,games.a,12,FALSE)))</f>
        <v/>
      </c>
      <c r="DL780" s="354" t="str">
        <f t="shared" ref="DL780:DL786" ca="1" si="1153">IF($DJ780="","",VLOOKUP($DJ780,games.a,10,FALSE))</f>
        <v/>
      </c>
      <c r="DM780" s="354" t="str">
        <f t="shared" ref="DM780:DM786" ca="1" si="1154">IF($DJ780="","",VLOOKUP($DJ780,games.a,13,FALSE))</f>
        <v/>
      </c>
      <c r="DN780" s="361" t="str">
        <f t="shared" ref="DN780:DN786" ca="1" si="1155">IF($DJ780="","",VLOOKUP($DJ780,games.a,6,FALSE))</f>
        <v/>
      </c>
      <c r="DO780" s="362" t="str">
        <f t="shared" ref="DO780:DO786" ca="1" si="1156">IF($DJ780="","",VLOOKUP($DJ780,games.a,7,FALSE))</f>
        <v/>
      </c>
      <c r="DP780" s="479" t="str">
        <f ca="1">DI759</f>
        <v/>
      </c>
      <c r="DQ780" s="302"/>
      <c r="DR780" s="364"/>
      <c r="DS780" s="302"/>
      <c r="DU780" s="424"/>
      <c r="EL780" s="365"/>
      <c r="EM780" s="424"/>
      <c r="EN780" s="424"/>
      <c r="EO780" s="424"/>
      <c r="EP780" s="424"/>
      <c r="EQ780" s="424"/>
      <c r="ER780" s="404" t="str">
        <f ca="1">ER774</f>
        <v/>
      </c>
      <c r="ES780" s="371" t="str">
        <f ca="1">IF(OR(ER780="",EY780="",ER780=EY780),"",CONCATENATE(ER780,EY780))</f>
        <v/>
      </c>
      <c r="ET780" s="422" t="str">
        <f ca="1">IF(OR(ES780="",EY767&gt;2),"",CONCATENATE(VLOOKUP(ES780,games.a,9,FALSE),VLOOKUP(ES780,games.a,12,FALSE)))</f>
        <v/>
      </c>
      <c r="EU780" s="406"/>
      <c r="EV780" s="407"/>
      <c r="EW780" s="423" t="str">
        <f ca="1">IF(ES780="","",VLOOKUP(ES780,games.a,6,FALSE))</f>
        <v/>
      </c>
      <c r="EX780" s="409" t="str">
        <f ca="1">IF(ES780="","",VLOOKUP(ES780,games.a,7,FALSE))</f>
        <v/>
      </c>
      <c r="EY780" s="410" t="str">
        <f ca="1">ER770</f>
        <v/>
      </c>
      <c r="EZ780" s="411"/>
      <c r="FA780" s="412"/>
      <c r="FB780" s="424"/>
      <c r="FC780" s="424"/>
      <c r="FD780" s="425"/>
      <c r="FE780" s="333"/>
    </row>
    <row r="781" spans="86:161" x14ac:dyDescent="0.25">
      <c r="CH781" s="445"/>
      <c r="CI781" s="350"/>
      <c r="CJ781" s="350"/>
      <c r="CK781" s="350"/>
      <c r="CL781" s="350"/>
      <c r="CM781" s="445"/>
      <c r="DG781" s="445"/>
      <c r="DH781" s="300"/>
      <c r="DI781" s="395" t="str">
        <f t="shared" ref="DI781:DI786" ca="1" si="1157">DI773</f>
        <v/>
      </c>
      <c r="DJ781" s="478" t="str">
        <f t="shared" ca="1" si="1151"/>
        <v/>
      </c>
      <c r="DK781" s="360" t="str">
        <f t="shared" ca="1" si="1152"/>
        <v/>
      </c>
      <c r="DL781" s="354" t="str">
        <f t="shared" ca="1" si="1153"/>
        <v/>
      </c>
      <c r="DM781" s="354" t="str">
        <f t="shared" ca="1" si="1154"/>
        <v/>
      </c>
      <c r="DN781" s="361" t="str">
        <f t="shared" ca="1" si="1155"/>
        <v/>
      </c>
      <c r="DO781" s="362" t="str">
        <f t="shared" ca="1" si="1156"/>
        <v/>
      </c>
      <c r="DP781" s="379" t="str">
        <f t="shared" ref="DP781:DP786" ca="1" si="1158">DP780</f>
        <v/>
      </c>
      <c r="DQ781" s="302"/>
      <c r="DR781" s="364"/>
      <c r="DS781" s="302"/>
      <c r="DU781" s="424"/>
      <c r="EL781" s="424"/>
      <c r="EM781" s="424"/>
      <c r="EN781" s="424"/>
      <c r="EO781" s="424"/>
      <c r="EP781" s="424"/>
      <c r="EQ781" s="424"/>
      <c r="ER781" s="404" t="str">
        <f ca="1">ER775</f>
        <v/>
      </c>
      <c r="ES781" s="371" t="str">
        <f ca="1">IF(OR(ER781="",EY781="",ER781=EY781),"",CONCATENATE(ER781,EY781))</f>
        <v/>
      </c>
      <c r="ET781" s="422" t="str">
        <f ca="1">IF(OR(ES781="",EY767&gt;2),"",CONCATENATE(VLOOKUP(ES781,games.a,9,FALSE),VLOOKUP(ES781,games.a,12,FALSE)))</f>
        <v/>
      </c>
      <c r="EU781" s="413"/>
      <c r="EV781" s="414"/>
      <c r="EW781" s="423" t="str">
        <f ca="1">IF(ES781="","",VLOOKUP(ES781,games.a,6,FALSE))</f>
        <v/>
      </c>
      <c r="EX781" s="409" t="str">
        <f ca="1">IF(ES781="","",VLOOKUP(ES781,games.a,7,FALSE))</f>
        <v/>
      </c>
      <c r="EY781" s="415" t="str">
        <f ca="1">EY780</f>
        <v/>
      </c>
      <c r="EZ781" s="416"/>
      <c r="FA781" s="417"/>
      <c r="FB781" s="424"/>
      <c r="FC781" s="424"/>
      <c r="FD781" s="425"/>
      <c r="FE781" s="333"/>
    </row>
    <row r="782" spans="86:161" x14ac:dyDescent="0.25">
      <c r="CH782" s="445"/>
      <c r="CI782" s="350"/>
      <c r="CJ782" s="350"/>
      <c r="CK782" s="350"/>
      <c r="CL782" s="350"/>
      <c r="CM782" s="445"/>
      <c r="DG782" s="445"/>
      <c r="DH782" s="300"/>
      <c r="DI782" s="395" t="str">
        <f t="shared" ca="1" si="1157"/>
        <v/>
      </c>
      <c r="DJ782" s="478" t="str">
        <f t="shared" ca="1" si="1151"/>
        <v/>
      </c>
      <c r="DK782" s="360" t="str">
        <f t="shared" ca="1" si="1152"/>
        <v/>
      </c>
      <c r="DL782" s="354" t="str">
        <f t="shared" ca="1" si="1153"/>
        <v/>
      </c>
      <c r="DM782" s="354" t="str">
        <f t="shared" ca="1" si="1154"/>
        <v/>
      </c>
      <c r="DN782" s="361" t="str">
        <f t="shared" ca="1" si="1155"/>
        <v/>
      </c>
      <c r="DO782" s="362" t="str">
        <f t="shared" ca="1" si="1156"/>
        <v/>
      </c>
      <c r="DP782" s="379" t="str">
        <f t="shared" ca="1" si="1158"/>
        <v/>
      </c>
      <c r="DQ782" s="302"/>
      <c r="DR782" s="364"/>
      <c r="DS782" s="302"/>
      <c r="DU782" s="424"/>
      <c r="EL782" s="424"/>
      <c r="EM782" s="424"/>
      <c r="EN782" s="424"/>
      <c r="EO782" s="424"/>
      <c r="EP782" s="424"/>
      <c r="EQ782" s="424"/>
      <c r="ER782" s="404" t="str">
        <f ca="1">ER776</f>
        <v/>
      </c>
      <c r="ES782" s="371" t="str">
        <f ca="1">IF(OR(ER782="",EY782="",ER782=EY782),"",CONCATENATE(ER782,EY782))</f>
        <v/>
      </c>
      <c r="ET782" s="422" t="str">
        <f ca="1">IF(OR(ES782="",EY767&gt;2),"",CONCATENATE(VLOOKUP(ES782,games.a,9,FALSE),VLOOKUP(ES782,games.a,12,FALSE)))</f>
        <v/>
      </c>
      <c r="EU782" s="413"/>
      <c r="EV782" s="414"/>
      <c r="EW782" s="423" t="str">
        <f ca="1">IF(ES782="","",VLOOKUP(ES782,games.a,6,FALSE))</f>
        <v/>
      </c>
      <c r="EX782" s="409" t="str">
        <f ca="1">IF(ES782="","",VLOOKUP(ES782,games.a,7,FALSE))</f>
        <v/>
      </c>
      <c r="EY782" s="415" t="str">
        <f ca="1">EY781</f>
        <v/>
      </c>
      <c r="EZ782" s="416"/>
      <c r="FA782" s="417"/>
      <c r="FB782" s="424"/>
      <c r="FC782" s="424"/>
      <c r="FD782" s="425"/>
      <c r="FE782" s="333"/>
    </row>
    <row r="783" spans="86:161" x14ac:dyDescent="0.25">
      <c r="CH783" s="445"/>
      <c r="CI783" s="350"/>
      <c r="CJ783" s="350"/>
      <c r="CK783" s="350"/>
      <c r="CL783" s="350"/>
      <c r="CM783" s="445"/>
      <c r="DG783" s="445"/>
      <c r="DH783" s="300"/>
      <c r="DI783" s="395" t="str">
        <f t="shared" ca="1" si="1157"/>
        <v/>
      </c>
      <c r="DJ783" s="478" t="str">
        <f t="shared" ca="1" si="1151"/>
        <v/>
      </c>
      <c r="DK783" s="360" t="str">
        <f t="shared" ca="1" si="1152"/>
        <v/>
      </c>
      <c r="DL783" s="354" t="str">
        <f t="shared" ca="1" si="1153"/>
        <v/>
      </c>
      <c r="DM783" s="354" t="str">
        <f t="shared" ca="1" si="1154"/>
        <v/>
      </c>
      <c r="DN783" s="361" t="str">
        <f t="shared" ca="1" si="1155"/>
        <v/>
      </c>
      <c r="DO783" s="362" t="str">
        <f t="shared" ca="1" si="1156"/>
        <v/>
      </c>
      <c r="DP783" s="379" t="str">
        <f t="shared" ca="1" si="1158"/>
        <v/>
      </c>
      <c r="DQ783" s="302"/>
      <c r="DR783" s="364"/>
      <c r="DS783" s="302"/>
      <c r="DU783" s="424"/>
      <c r="EL783" s="424"/>
      <c r="EM783" s="424"/>
      <c r="EN783" s="424"/>
      <c r="EO783" s="424"/>
      <c r="EP783" s="424"/>
      <c r="EQ783" s="424"/>
      <c r="ER783" s="404" t="str">
        <f ca="1">ER777</f>
        <v/>
      </c>
      <c r="ES783" s="371" t="str">
        <f ca="1">IF(OR(ER783="",EY783="",ER783=EY783),"",CONCATENATE(ER783,EY783))</f>
        <v/>
      </c>
      <c r="ET783" s="422" t="str">
        <f ca="1">IF(OR(ES783="",EY767&gt;2),"",CONCATENATE(VLOOKUP(ES783,games.a,9,FALSE),VLOOKUP(ES783,games.a,12,FALSE)))</f>
        <v/>
      </c>
      <c r="EU783" s="413"/>
      <c r="EV783" s="414"/>
      <c r="EW783" s="423" t="str">
        <f ca="1">IF(ES783="","",VLOOKUP(ES783,games.a,6,FALSE))</f>
        <v/>
      </c>
      <c r="EX783" s="409" t="str">
        <f ca="1">IF(ES783="","",VLOOKUP(ES783,games.a,7,FALSE))</f>
        <v/>
      </c>
      <c r="EY783" s="415" t="str">
        <f ca="1">EY782</f>
        <v/>
      </c>
      <c r="EZ783" s="416"/>
      <c r="FA783" s="417"/>
      <c r="FB783" s="424"/>
      <c r="FC783" s="424"/>
      <c r="FD783" s="425"/>
      <c r="FE783" s="333"/>
    </row>
    <row r="784" spans="86:161" x14ac:dyDescent="0.25">
      <c r="CH784" s="445"/>
      <c r="CI784" s="350"/>
      <c r="CJ784" s="350"/>
      <c r="CK784" s="350"/>
      <c r="CL784" s="350"/>
      <c r="CM784" s="445"/>
      <c r="DG784" s="445"/>
      <c r="DH784" s="300"/>
      <c r="DI784" s="395" t="str">
        <f t="shared" ca="1" si="1157"/>
        <v/>
      </c>
      <c r="DJ784" s="478" t="str">
        <f t="shared" ca="1" si="1151"/>
        <v/>
      </c>
      <c r="DK784" s="360" t="str">
        <f t="shared" ca="1" si="1152"/>
        <v/>
      </c>
      <c r="DL784" s="354" t="str">
        <f t="shared" ca="1" si="1153"/>
        <v/>
      </c>
      <c r="DM784" s="354" t="str">
        <f t="shared" ca="1" si="1154"/>
        <v/>
      </c>
      <c r="DN784" s="361" t="str">
        <f t="shared" ca="1" si="1155"/>
        <v/>
      </c>
      <c r="DO784" s="362" t="str">
        <f t="shared" ca="1" si="1156"/>
        <v/>
      </c>
      <c r="DP784" s="379" t="str">
        <f t="shared" ca="1" si="1158"/>
        <v/>
      </c>
      <c r="DQ784" s="302"/>
      <c r="DR784" s="364"/>
      <c r="DS784" s="302"/>
      <c r="DU784" s="424"/>
      <c r="EL784" s="424"/>
      <c r="EM784" s="424"/>
      <c r="EN784" s="424"/>
      <c r="EO784" s="424"/>
      <c r="EP784" s="424"/>
      <c r="EQ784" s="424"/>
      <c r="ER784" s="404" t="str">
        <f ca="1">ER778</f>
        <v/>
      </c>
      <c r="ES784" s="371" t="str">
        <f ca="1">IF(OR(ER784="",EY784="",ER784=EY784),"",CONCATENATE(ER784,EY784))</f>
        <v/>
      </c>
      <c r="ET784" s="422" t="str">
        <f ca="1">IF(OR(ES784="",EY767&gt;2),"",CONCATENATE(VLOOKUP(ES784,games.a,9,FALSE),VLOOKUP(ES784,games.a,12,FALSE)))</f>
        <v/>
      </c>
      <c r="EU784" s="420"/>
      <c r="EV784" s="421"/>
      <c r="EW784" s="423" t="str">
        <f ca="1">IF(ES784="","",VLOOKUP(ES784,games.a,6,FALSE))</f>
        <v/>
      </c>
      <c r="EX784" s="409" t="str">
        <f ca="1">IF(ES784="","",VLOOKUP(ES784,games.a,7,FALSE))</f>
        <v/>
      </c>
      <c r="EY784" s="415" t="str">
        <f ca="1">EY783</f>
        <v/>
      </c>
      <c r="EZ784" s="416"/>
      <c r="FA784" s="417"/>
      <c r="FB784" s="424"/>
      <c r="FC784" s="424"/>
      <c r="FD784" s="425"/>
      <c r="FE784" s="333"/>
    </row>
    <row r="785" spans="86:161" x14ac:dyDescent="0.25">
      <c r="CH785" s="445"/>
      <c r="CI785" s="350"/>
      <c r="CJ785" s="350"/>
      <c r="CK785" s="350"/>
      <c r="CL785" s="350"/>
      <c r="CM785" s="445"/>
      <c r="DG785" s="445"/>
      <c r="DH785" s="300"/>
      <c r="DI785" s="395" t="str">
        <f t="shared" ca="1" si="1157"/>
        <v/>
      </c>
      <c r="DJ785" s="478" t="str">
        <f t="shared" ca="1" si="1151"/>
        <v/>
      </c>
      <c r="DK785" s="360" t="str">
        <f t="shared" ca="1" si="1152"/>
        <v/>
      </c>
      <c r="DL785" s="354" t="str">
        <f t="shared" ca="1" si="1153"/>
        <v/>
      </c>
      <c r="DM785" s="354" t="str">
        <f t="shared" ca="1" si="1154"/>
        <v/>
      </c>
      <c r="DN785" s="361" t="str">
        <f t="shared" ca="1" si="1155"/>
        <v/>
      </c>
      <c r="DO785" s="362" t="str">
        <f t="shared" ca="1" si="1156"/>
        <v/>
      </c>
      <c r="DP785" s="379" t="str">
        <f t="shared" ca="1" si="1158"/>
        <v/>
      </c>
      <c r="DQ785" s="302"/>
      <c r="DR785" s="364"/>
      <c r="DS785" s="302"/>
      <c r="DU785" s="424"/>
      <c r="EL785" s="424"/>
      <c r="EM785" s="424"/>
      <c r="EN785" s="424"/>
      <c r="EO785" s="424"/>
      <c r="EP785" s="424"/>
      <c r="EQ785" s="424"/>
      <c r="ER785" s="398"/>
      <c r="ES785" s="329" t="s">
        <v>157</v>
      </c>
      <c r="ET785" s="329" t="s">
        <v>158</v>
      </c>
      <c r="EU785" s="399"/>
      <c r="EV785" s="400"/>
      <c r="EW785" s="401" t="s">
        <v>160</v>
      </c>
      <c r="EX785" s="402" t="s">
        <v>135</v>
      </c>
      <c r="EY785" s="398"/>
      <c r="EZ785" s="365"/>
      <c r="FA785" s="365"/>
      <c r="FB785" s="424"/>
      <c r="FC785" s="424"/>
      <c r="FD785" s="425"/>
      <c r="FE785" s="333"/>
    </row>
    <row r="786" spans="86:161" x14ac:dyDescent="0.25">
      <c r="CH786" s="445"/>
      <c r="CI786" s="350"/>
      <c r="CJ786" s="350"/>
      <c r="CK786" s="350"/>
      <c r="CL786" s="350"/>
      <c r="CM786" s="445"/>
      <c r="DG786" s="445"/>
      <c r="DH786" s="300"/>
      <c r="DI786" s="395" t="str">
        <f t="shared" ca="1" si="1157"/>
        <v/>
      </c>
      <c r="DJ786" s="478" t="str">
        <f t="shared" ca="1" si="1151"/>
        <v/>
      </c>
      <c r="DK786" s="360" t="str">
        <f t="shared" ca="1" si="1152"/>
        <v/>
      </c>
      <c r="DL786" s="354" t="str">
        <f t="shared" ca="1" si="1153"/>
        <v/>
      </c>
      <c r="DM786" s="354" t="str">
        <f t="shared" ca="1" si="1154"/>
        <v/>
      </c>
      <c r="DN786" s="361" t="str">
        <f t="shared" ca="1" si="1155"/>
        <v/>
      </c>
      <c r="DO786" s="362" t="str">
        <f t="shared" ca="1" si="1156"/>
        <v/>
      </c>
      <c r="DP786" s="379" t="str">
        <f t="shared" ca="1" si="1158"/>
        <v/>
      </c>
      <c r="DQ786" s="302"/>
      <c r="DR786" s="364"/>
      <c r="DS786" s="302"/>
      <c r="DU786" s="424"/>
      <c r="EL786" s="424"/>
      <c r="EM786" s="424"/>
      <c r="EN786" s="424"/>
      <c r="EO786" s="424"/>
      <c r="EP786" s="424"/>
      <c r="EQ786" s="424"/>
      <c r="ER786" s="404" t="str">
        <f ca="1">ER780</f>
        <v/>
      </c>
      <c r="ES786" s="371" t="str">
        <f ca="1">IF(OR(ER786="",EY786="",ER786=EY786),"",CONCATENATE(ER786,EY786))</f>
        <v/>
      </c>
      <c r="ET786" s="422" t="str">
        <f ca="1">IF(OR(ES786="",EY767&gt;2),"",CONCATENATE(VLOOKUP(ES786,games.a,9,FALSE),VLOOKUP(ES786,games.a,12,FALSE)))</f>
        <v/>
      </c>
      <c r="EU786" s="406"/>
      <c r="EV786" s="407"/>
      <c r="EW786" s="423" t="str">
        <f ca="1">IF(ES786="","",VLOOKUP(ES786,games.a,6,FALSE))</f>
        <v/>
      </c>
      <c r="EX786" s="409" t="str">
        <f ca="1">IF(ES786="","",VLOOKUP(ES786,games.a,7,FALSE))</f>
        <v/>
      </c>
      <c r="EY786" s="410" t="str">
        <f ca="1">ER771</f>
        <v/>
      </c>
      <c r="EZ786" s="411"/>
      <c r="FA786" s="412"/>
      <c r="FB786" s="424"/>
      <c r="FC786" s="424"/>
      <c r="FD786" s="425"/>
      <c r="FE786" s="333"/>
    </row>
    <row r="787" spans="86:161" x14ac:dyDescent="0.25">
      <c r="CH787" s="445"/>
      <c r="CI787" s="350"/>
      <c r="CJ787" s="350"/>
      <c r="CK787" s="350"/>
      <c r="CL787" s="350"/>
      <c r="CM787" s="445"/>
      <c r="DG787" s="445"/>
      <c r="DH787" s="300"/>
      <c r="DI787" s="301"/>
      <c r="DJ787" s="471" t="s">
        <v>157</v>
      </c>
      <c r="DK787" s="471" t="s">
        <v>158</v>
      </c>
      <c r="DL787" s="472" t="s">
        <v>159</v>
      </c>
      <c r="DM787" s="472"/>
      <c r="DN787" s="473" t="s">
        <v>160</v>
      </c>
      <c r="DO787" s="472" t="s">
        <v>135</v>
      </c>
      <c r="DP787" s="302"/>
      <c r="DQ787" s="302"/>
      <c r="DR787" s="364"/>
      <c r="DS787" s="302"/>
      <c r="DU787" s="424"/>
      <c r="EL787" s="424"/>
      <c r="EM787" s="424"/>
      <c r="EN787" s="424"/>
      <c r="EO787" s="424"/>
      <c r="EP787" s="424"/>
      <c r="EQ787" s="424"/>
      <c r="ER787" s="404" t="str">
        <f ca="1">ER781</f>
        <v/>
      </c>
      <c r="ES787" s="371" t="str">
        <f ca="1">IF(OR(ER787="",EY787="",ER787=EY787),"",CONCATENATE(ER787,EY787))</f>
        <v/>
      </c>
      <c r="ET787" s="422" t="str">
        <f ca="1">IF(OR(ES787="",EY767&gt;2),"",CONCATENATE(VLOOKUP(ES787,games.a,9,FALSE),VLOOKUP(ES787,games.a,12,FALSE)))</f>
        <v/>
      </c>
      <c r="EU787" s="413"/>
      <c r="EV787" s="414"/>
      <c r="EW787" s="423" t="str">
        <f ca="1">IF(ES787="","",VLOOKUP(ES787,games.a,6,FALSE))</f>
        <v/>
      </c>
      <c r="EX787" s="409" t="str">
        <f ca="1">IF(ES787="","",VLOOKUP(ES787,games.a,7,FALSE))</f>
        <v/>
      </c>
      <c r="EY787" s="415" t="str">
        <f ca="1">EY786</f>
        <v/>
      </c>
      <c r="EZ787" s="416"/>
      <c r="FA787" s="417"/>
      <c r="FB787" s="424"/>
      <c r="FC787" s="424"/>
      <c r="FD787" s="425"/>
      <c r="FE787" s="333"/>
    </row>
    <row r="788" spans="86:161" x14ac:dyDescent="0.25">
      <c r="CH788" s="445"/>
      <c r="CI788" s="350"/>
      <c r="CJ788" s="350"/>
      <c r="CK788" s="350"/>
      <c r="CL788" s="350"/>
      <c r="CM788" s="445"/>
      <c r="DG788" s="445"/>
      <c r="DH788" s="300"/>
      <c r="DI788" s="395" t="str">
        <f ca="1">DI780</f>
        <v/>
      </c>
      <c r="DJ788" s="478" t="str">
        <f t="shared" ref="DJ788:DJ794" ca="1" si="1159">IF(OR(DI788="",DP788="",DI788=DP788,COUNTIF(games.an,DI788&amp;DP788)=0),"",CONCATENATE(DI788,DP788))</f>
        <v/>
      </c>
      <c r="DK788" s="360" t="str">
        <f t="shared" ref="DK788:DK794" ca="1" si="1160">IF($DJ788="","",CONCATENATE(VLOOKUP($DJ788,games.a,9,FALSE),VLOOKUP($DJ788,games.a,12,FALSE)))</f>
        <v/>
      </c>
      <c r="DL788" s="354" t="str">
        <f t="shared" ref="DL788:DL794" ca="1" si="1161">IF($DJ788="","",VLOOKUP($DJ788,games.a,10,FALSE))</f>
        <v/>
      </c>
      <c r="DM788" s="354" t="str">
        <f t="shared" ref="DM788:DM794" ca="1" si="1162">IF($DJ788="","",VLOOKUP($DJ788,games.a,13,FALSE))</f>
        <v/>
      </c>
      <c r="DN788" s="361" t="str">
        <f t="shared" ref="DN788:DN794" ca="1" si="1163">IF($DJ788="","",VLOOKUP($DJ788,games.a,6,FALSE))</f>
        <v/>
      </c>
      <c r="DO788" s="362" t="str">
        <f t="shared" ref="DO788:DO794" ca="1" si="1164">IF($DJ788="","",VLOOKUP($DJ788,games.a,7,FALSE))</f>
        <v/>
      </c>
      <c r="DP788" s="479" t="str">
        <f ca="1">DI760</f>
        <v/>
      </c>
      <c r="DQ788" s="302"/>
      <c r="DR788" s="364"/>
      <c r="DS788" s="302"/>
      <c r="DU788" s="424"/>
      <c r="EL788" s="424"/>
      <c r="EM788" s="424"/>
      <c r="EN788" s="424"/>
      <c r="EO788" s="424"/>
      <c r="EP788" s="424"/>
      <c r="EQ788" s="424"/>
      <c r="ER788" s="404" t="str">
        <f ca="1">ER782</f>
        <v/>
      </c>
      <c r="ES788" s="371" t="str">
        <f ca="1">IF(OR(ER788="",EY788="",ER788=EY788),"",CONCATENATE(ER788,EY788))</f>
        <v/>
      </c>
      <c r="ET788" s="422" t="str">
        <f ca="1">IF(OR(ES788="",EY767&gt;2),"",CONCATENATE(VLOOKUP(ES788,games.a,9,FALSE),VLOOKUP(ES788,games.a,12,FALSE)))</f>
        <v/>
      </c>
      <c r="EU788" s="413"/>
      <c r="EV788" s="414"/>
      <c r="EW788" s="423" t="str">
        <f ca="1">IF(ES788="","",VLOOKUP(ES788,games.a,6,FALSE))</f>
        <v/>
      </c>
      <c r="EX788" s="409" t="str">
        <f ca="1">IF(ES788="","",VLOOKUP(ES788,games.a,7,FALSE))</f>
        <v/>
      </c>
      <c r="EY788" s="415" t="str">
        <f ca="1">EY787</f>
        <v/>
      </c>
      <c r="EZ788" s="416"/>
      <c r="FA788" s="417"/>
      <c r="FB788" s="424"/>
      <c r="FC788" s="424"/>
      <c r="FD788" s="425"/>
      <c r="FE788" s="333"/>
    </row>
    <row r="789" spans="86:161" x14ac:dyDescent="0.25">
      <c r="CH789" s="445"/>
      <c r="CI789" s="350"/>
      <c r="CJ789" s="350"/>
      <c r="CK789" s="350"/>
      <c r="CL789" s="350"/>
      <c r="CM789" s="445"/>
      <c r="DG789" s="445"/>
      <c r="DH789" s="300"/>
      <c r="DI789" s="395" t="str">
        <f t="shared" ref="DI789:DI794" ca="1" si="1165">DI781</f>
        <v/>
      </c>
      <c r="DJ789" s="478" t="str">
        <f t="shared" ca="1" si="1159"/>
        <v/>
      </c>
      <c r="DK789" s="360" t="str">
        <f t="shared" ca="1" si="1160"/>
        <v/>
      </c>
      <c r="DL789" s="354" t="str">
        <f t="shared" ca="1" si="1161"/>
        <v/>
      </c>
      <c r="DM789" s="354" t="str">
        <f t="shared" ca="1" si="1162"/>
        <v/>
      </c>
      <c r="DN789" s="361" t="str">
        <f t="shared" ca="1" si="1163"/>
        <v/>
      </c>
      <c r="DO789" s="362" t="str">
        <f t="shared" ca="1" si="1164"/>
        <v/>
      </c>
      <c r="DP789" s="379" t="str">
        <f t="shared" ref="DP789:DP794" ca="1" si="1166">DP788</f>
        <v/>
      </c>
      <c r="DQ789" s="302"/>
      <c r="DR789" s="364"/>
      <c r="DS789" s="302"/>
      <c r="DU789" s="424"/>
      <c r="DV789" s="424"/>
      <c r="DW789" s="424"/>
      <c r="DX789" s="424"/>
      <c r="DY789" s="424"/>
      <c r="DZ789" s="424"/>
      <c r="EA789" s="424"/>
      <c r="EB789" s="424"/>
      <c r="EC789" s="424"/>
      <c r="ED789" s="424"/>
      <c r="EE789" s="424"/>
      <c r="EF789" s="424"/>
      <c r="EG789" s="424"/>
      <c r="EH789" s="424"/>
      <c r="EI789" s="424"/>
      <c r="EJ789" s="424"/>
      <c r="EK789" s="424"/>
      <c r="EL789" s="424"/>
      <c r="EM789" s="424"/>
      <c r="EN789" s="424"/>
      <c r="EO789" s="424"/>
      <c r="EP789" s="424"/>
      <c r="EQ789" s="424"/>
      <c r="ER789" s="404" t="str">
        <f ca="1">ER783</f>
        <v/>
      </c>
      <c r="ES789" s="371" t="str">
        <f ca="1">IF(OR(ER789="",EY789="",ER789=EY789),"",CONCATENATE(ER789,EY789))</f>
        <v/>
      </c>
      <c r="ET789" s="422" t="str">
        <f ca="1">IF(OR(ES789="",EY767&gt;2),"",CONCATENATE(VLOOKUP(ES789,games.a,9,FALSE),VLOOKUP(ES789,games.a,12,FALSE)))</f>
        <v/>
      </c>
      <c r="EU789" s="413"/>
      <c r="EV789" s="414"/>
      <c r="EW789" s="423" t="str">
        <f ca="1">IF(ES789="","",VLOOKUP(ES789,games.a,6,FALSE))</f>
        <v/>
      </c>
      <c r="EX789" s="409" t="str">
        <f ca="1">IF(ES789="","",VLOOKUP(ES789,games.a,7,FALSE))</f>
        <v/>
      </c>
      <c r="EY789" s="415" t="str">
        <f ca="1">EY788</f>
        <v/>
      </c>
      <c r="EZ789" s="416"/>
      <c r="FA789" s="417"/>
      <c r="FB789" s="424"/>
      <c r="FC789" s="424"/>
      <c r="FD789" s="425"/>
      <c r="FE789" s="333"/>
    </row>
    <row r="790" spans="86:161" x14ac:dyDescent="0.25">
      <c r="CH790" s="445"/>
      <c r="CI790" s="300"/>
      <c r="CJ790" s="300"/>
      <c r="CK790" s="300"/>
      <c r="CL790" s="449"/>
      <c r="CM790" s="445"/>
      <c r="DG790" s="445"/>
      <c r="DH790" s="300"/>
      <c r="DI790" s="395" t="str">
        <f t="shared" ca="1" si="1165"/>
        <v/>
      </c>
      <c r="DJ790" s="478" t="str">
        <f t="shared" ca="1" si="1159"/>
        <v/>
      </c>
      <c r="DK790" s="360" t="str">
        <f t="shared" ca="1" si="1160"/>
        <v/>
      </c>
      <c r="DL790" s="354" t="str">
        <f t="shared" ca="1" si="1161"/>
        <v/>
      </c>
      <c r="DM790" s="354" t="str">
        <f t="shared" ca="1" si="1162"/>
        <v/>
      </c>
      <c r="DN790" s="361" t="str">
        <f t="shared" ca="1" si="1163"/>
        <v/>
      </c>
      <c r="DO790" s="362" t="str">
        <f t="shared" ca="1" si="1164"/>
        <v/>
      </c>
      <c r="DP790" s="379" t="str">
        <f t="shared" ca="1" si="1166"/>
        <v/>
      </c>
      <c r="DQ790" s="302"/>
      <c r="DR790" s="364"/>
      <c r="DS790" s="302"/>
      <c r="DU790" s="424"/>
      <c r="DV790" s="424"/>
      <c r="DW790" s="424"/>
      <c r="DX790" s="424"/>
      <c r="DY790" s="424"/>
      <c r="DZ790" s="424"/>
      <c r="EA790" s="424"/>
      <c r="EB790" s="424"/>
      <c r="EC790" s="424"/>
      <c r="ED790" s="424"/>
      <c r="EE790" s="424"/>
      <c r="EF790" s="424"/>
      <c r="EG790" s="424"/>
      <c r="EH790" s="424"/>
      <c r="EI790" s="424"/>
      <c r="EJ790" s="424"/>
      <c r="EK790" s="424"/>
      <c r="EL790" s="424"/>
      <c r="EM790" s="424"/>
      <c r="EN790" s="424"/>
      <c r="EO790" s="424"/>
      <c r="EP790" s="424"/>
      <c r="EQ790" s="424"/>
      <c r="ER790" s="404" t="str">
        <f ca="1">ER784</f>
        <v/>
      </c>
      <c r="ES790" s="371" t="str">
        <f ca="1">IF(OR(ER790="",EY790="",ER790=EY790),"",CONCATENATE(ER790,EY790))</f>
        <v/>
      </c>
      <c r="ET790" s="422" t="str">
        <f ca="1">IF(OR(ES790="",EY767&gt;2),"",CONCATENATE(VLOOKUP(ES790,games.a,9,FALSE),VLOOKUP(ES790,games.a,12,FALSE)))</f>
        <v/>
      </c>
      <c r="EU790" s="420"/>
      <c r="EV790" s="421"/>
      <c r="EW790" s="423" t="str">
        <f ca="1">IF(ES790="","",VLOOKUP(ES790,games.a,6,FALSE))</f>
        <v/>
      </c>
      <c r="EX790" s="409" t="str">
        <f ca="1">IF(ES790="","",VLOOKUP(ES790,games.a,7,FALSE))</f>
        <v/>
      </c>
      <c r="EY790" s="415" t="str">
        <f ca="1">EY789</f>
        <v/>
      </c>
      <c r="EZ790" s="416"/>
      <c r="FA790" s="417"/>
      <c r="FB790" s="424"/>
      <c r="FC790" s="424"/>
      <c r="FD790" s="425"/>
      <c r="FE790" s="333"/>
    </row>
    <row r="791" spans="86:161" x14ac:dyDescent="0.25">
      <c r="CH791" s="445"/>
      <c r="CI791" s="300"/>
      <c r="CJ791" s="300"/>
      <c r="CK791" s="300"/>
      <c r="CL791" s="449"/>
      <c r="CM791" s="445"/>
      <c r="DG791" s="445"/>
      <c r="DH791" s="300"/>
      <c r="DI791" s="395" t="str">
        <f t="shared" ca="1" si="1165"/>
        <v/>
      </c>
      <c r="DJ791" s="478" t="str">
        <f t="shared" ca="1" si="1159"/>
        <v/>
      </c>
      <c r="DK791" s="360" t="str">
        <f t="shared" ca="1" si="1160"/>
        <v/>
      </c>
      <c r="DL791" s="354" t="str">
        <f t="shared" ca="1" si="1161"/>
        <v/>
      </c>
      <c r="DM791" s="354" t="str">
        <f t="shared" ca="1" si="1162"/>
        <v/>
      </c>
      <c r="DN791" s="361" t="str">
        <f t="shared" ca="1" si="1163"/>
        <v/>
      </c>
      <c r="DO791" s="362" t="str">
        <f t="shared" ca="1" si="1164"/>
        <v/>
      </c>
      <c r="DP791" s="379" t="str">
        <f t="shared" ca="1" si="1166"/>
        <v/>
      </c>
      <c r="DQ791" s="302"/>
      <c r="DR791" s="364"/>
      <c r="DS791" s="302"/>
      <c r="DU791" s="424"/>
      <c r="DV791" s="424"/>
      <c r="DW791" s="424"/>
      <c r="DX791" s="424"/>
      <c r="DY791" s="424"/>
      <c r="DZ791" s="424"/>
      <c r="EA791" s="424"/>
      <c r="EB791" s="424"/>
      <c r="EC791" s="424"/>
      <c r="ED791" s="424"/>
      <c r="EE791" s="424"/>
      <c r="EF791" s="424"/>
      <c r="EG791" s="424"/>
      <c r="EH791" s="424"/>
      <c r="EI791" s="424"/>
      <c r="EJ791" s="424"/>
      <c r="EK791" s="424"/>
      <c r="EL791" s="424"/>
      <c r="EM791" s="424"/>
      <c r="EN791" s="424"/>
      <c r="EO791" s="424"/>
      <c r="EP791" s="424"/>
      <c r="EQ791" s="424"/>
      <c r="ER791" s="398"/>
      <c r="ES791" s="329" t="s">
        <v>157</v>
      </c>
      <c r="ET791" s="329" t="s">
        <v>158</v>
      </c>
      <c r="EU791" s="399"/>
      <c r="EV791" s="400"/>
      <c r="EW791" s="401" t="s">
        <v>160</v>
      </c>
      <c r="EX791" s="402" t="s">
        <v>135</v>
      </c>
      <c r="EY791" s="398"/>
      <c r="EZ791" s="365"/>
      <c r="FA791" s="365"/>
      <c r="FB791" s="424"/>
      <c r="FC791" s="424"/>
      <c r="FD791" s="425"/>
      <c r="FE791" s="333"/>
    </row>
    <row r="792" spans="86:161" x14ac:dyDescent="0.25">
      <c r="CH792" s="445"/>
      <c r="CI792" s="300"/>
      <c r="CJ792" s="300"/>
      <c r="CK792" s="300"/>
      <c r="CL792" s="449"/>
      <c r="CM792" s="445"/>
      <c r="DG792" s="445"/>
      <c r="DH792" s="300"/>
      <c r="DI792" s="395" t="str">
        <f t="shared" ca="1" si="1165"/>
        <v/>
      </c>
      <c r="DJ792" s="478" t="str">
        <f t="shared" ca="1" si="1159"/>
        <v/>
      </c>
      <c r="DK792" s="360" t="str">
        <f t="shared" ca="1" si="1160"/>
        <v/>
      </c>
      <c r="DL792" s="354" t="str">
        <f t="shared" ca="1" si="1161"/>
        <v/>
      </c>
      <c r="DM792" s="354" t="str">
        <f t="shared" ca="1" si="1162"/>
        <v/>
      </c>
      <c r="DN792" s="361" t="str">
        <f t="shared" ca="1" si="1163"/>
        <v/>
      </c>
      <c r="DO792" s="362" t="str">
        <f t="shared" ca="1" si="1164"/>
        <v/>
      </c>
      <c r="DP792" s="379" t="str">
        <f t="shared" ca="1" si="1166"/>
        <v/>
      </c>
      <c r="DQ792" s="302"/>
      <c r="DR792" s="364"/>
      <c r="DS792" s="302"/>
      <c r="DU792" s="424"/>
      <c r="DV792" s="424"/>
      <c r="DW792" s="424"/>
      <c r="DX792" s="424"/>
      <c r="DY792" s="424"/>
      <c r="DZ792" s="424"/>
      <c r="EA792" s="424"/>
      <c r="EB792" s="424"/>
      <c r="EC792" s="424"/>
      <c r="ED792" s="424"/>
      <c r="EE792" s="424"/>
      <c r="EF792" s="424"/>
      <c r="EG792" s="424"/>
      <c r="EH792" s="424"/>
      <c r="EI792" s="424"/>
      <c r="EJ792" s="424"/>
      <c r="EK792" s="424"/>
      <c r="EL792" s="424"/>
      <c r="EM792" s="424"/>
      <c r="EN792" s="424"/>
      <c r="EO792" s="424"/>
      <c r="EP792" s="424"/>
      <c r="EQ792" s="424"/>
      <c r="ER792" s="404" t="str">
        <f ca="1">ER786</f>
        <v/>
      </c>
      <c r="ES792" s="371" t="str">
        <f ca="1">IF(OR(ER792="",EY792="",ER792=EY792),"",CONCATENATE(ER792,EY792))</f>
        <v/>
      </c>
      <c r="ET792" s="422" t="str">
        <f ca="1">IF(OR(ES792="",EY767&gt;2),"",CONCATENATE(VLOOKUP(ES792,games.a,9,FALSE),VLOOKUP(ES792,games.a,12,FALSE)))</f>
        <v/>
      </c>
      <c r="EU792" s="406"/>
      <c r="EV792" s="407"/>
      <c r="EW792" s="423" t="str">
        <f ca="1">IF(ES792="","",VLOOKUP(ES792,games.a,6,FALSE))</f>
        <v/>
      </c>
      <c r="EX792" s="409" t="str">
        <f ca="1">IF(ES792="","",VLOOKUP(ES792,games.a,7,FALSE))</f>
        <v/>
      </c>
      <c r="EY792" s="410" t="str">
        <f ca="1">ER772</f>
        <v/>
      </c>
      <c r="EZ792" s="411"/>
      <c r="FA792" s="412"/>
      <c r="FB792" s="424"/>
      <c r="FC792" s="424"/>
      <c r="FD792" s="425"/>
      <c r="FE792" s="333"/>
    </row>
    <row r="793" spans="86:161" x14ac:dyDescent="0.25">
      <c r="CH793" s="445"/>
      <c r="CI793" s="300"/>
      <c r="CJ793" s="300"/>
      <c r="CK793" s="300"/>
      <c r="CL793" s="449"/>
      <c r="CM793" s="445"/>
      <c r="DG793" s="445"/>
      <c r="DH793" s="300"/>
      <c r="DI793" s="395" t="str">
        <f t="shared" ca="1" si="1165"/>
        <v/>
      </c>
      <c r="DJ793" s="478" t="str">
        <f t="shared" ca="1" si="1159"/>
        <v/>
      </c>
      <c r="DK793" s="360" t="str">
        <f t="shared" ca="1" si="1160"/>
        <v/>
      </c>
      <c r="DL793" s="354" t="str">
        <f t="shared" ca="1" si="1161"/>
        <v/>
      </c>
      <c r="DM793" s="354" t="str">
        <f t="shared" ca="1" si="1162"/>
        <v/>
      </c>
      <c r="DN793" s="361" t="str">
        <f t="shared" ca="1" si="1163"/>
        <v/>
      </c>
      <c r="DO793" s="362" t="str">
        <f t="shared" ca="1" si="1164"/>
        <v/>
      </c>
      <c r="DP793" s="379" t="str">
        <f t="shared" ca="1" si="1166"/>
        <v/>
      </c>
      <c r="DQ793" s="302"/>
      <c r="DR793" s="364"/>
      <c r="DS793" s="302"/>
      <c r="DU793" s="424"/>
      <c r="DV793" s="424"/>
      <c r="DW793" s="424"/>
      <c r="DX793" s="424"/>
      <c r="DY793" s="424"/>
      <c r="DZ793" s="424"/>
      <c r="EA793" s="424"/>
      <c r="EB793" s="424"/>
      <c r="EC793" s="424"/>
      <c r="ED793" s="424"/>
      <c r="EE793" s="424"/>
      <c r="EF793" s="424"/>
      <c r="EG793" s="424"/>
      <c r="EH793" s="424"/>
      <c r="EI793" s="424"/>
      <c r="EJ793" s="424"/>
      <c r="EK793" s="424"/>
      <c r="EL793" s="424"/>
      <c r="EM793" s="424"/>
      <c r="EN793" s="424"/>
      <c r="EO793" s="424"/>
      <c r="EP793" s="424"/>
      <c r="EQ793" s="424"/>
      <c r="ER793" s="404" t="str">
        <f ca="1">ER787</f>
        <v/>
      </c>
      <c r="ES793" s="371" t="str">
        <f ca="1">IF(OR(ER793="",EY793="",ER793=EY793),"",CONCATENATE(ER793,EY793))</f>
        <v/>
      </c>
      <c r="ET793" s="422" t="str">
        <f ca="1">IF(OR(ES793="",EY767&gt;2),"",CONCATENATE(VLOOKUP(ES793,games.a,9,FALSE),VLOOKUP(ES793,games.a,12,FALSE)))</f>
        <v/>
      </c>
      <c r="EU793" s="413"/>
      <c r="EV793" s="414"/>
      <c r="EW793" s="423" t="str">
        <f ca="1">IF(ES793="","",VLOOKUP(ES793,games.a,6,FALSE))</f>
        <v/>
      </c>
      <c r="EX793" s="409" t="str">
        <f ca="1">IF(ES793="","",VLOOKUP(ES793,games.a,7,FALSE))</f>
        <v/>
      </c>
      <c r="EY793" s="415" t="str">
        <f ca="1">EY792</f>
        <v/>
      </c>
      <c r="EZ793" s="416"/>
      <c r="FA793" s="417"/>
      <c r="FB793" s="424"/>
      <c r="FC793" s="424"/>
      <c r="FD793" s="425"/>
      <c r="FE793" s="333"/>
    </row>
    <row r="794" spans="86:161" x14ac:dyDescent="0.25">
      <c r="CH794" s="445"/>
      <c r="CI794" s="300"/>
      <c r="CJ794" s="300"/>
      <c r="CK794" s="300"/>
      <c r="CL794" s="449"/>
      <c r="CM794" s="445"/>
      <c r="DG794" s="445"/>
      <c r="DH794" s="300"/>
      <c r="DI794" s="395" t="str">
        <f t="shared" ca="1" si="1165"/>
        <v/>
      </c>
      <c r="DJ794" s="478" t="str">
        <f t="shared" ca="1" si="1159"/>
        <v/>
      </c>
      <c r="DK794" s="360" t="str">
        <f t="shared" ca="1" si="1160"/>
        <v/>
      </c>
      <c r="DL794" s="354" t="str">
        <f t="shared" ca="1" si="1161"/>
        <v/>
      </c>
      <c r="DM794" s="354" t="str">
        <f t="shared" ca="1" si="1162"/>
        <v/>
      </c>
      <c r="DN794" s="361" t="str">
        <f t="shared" ca="1" si="1163"/>
        <v/>
      </c>
      <c r="DO794" s="362" t="str">
        <f t="shared" ca="1" si="1164"/>
        <v/>
      </c>
      <c r="DP794" s="379" t="str">
        <f t="shared" ca="1" si="1166"/>
        <v/>
      </c>
      <c r="DQ794" s="302"/>
      <c r="DR794" s="364"/>
      <c r="DS794" s="302"/>
      <c r="DU794" s="424"/>
      <c r="DV794" s="424"/>
      <c r="DW794" s="424"/>
      <c r="DX794" s="424"/>
      <c r="DY794" s="424"/>
      <c r="DZ794" s="424"/>
      <c r="EA794" s="424"/>
      <c r="EB794" s="424"/>
      <c r="EC794" s="424"/>
      <c r="ED794" s="424"/>
      <c r="EE794" s="424"/>
      <c r="EF794" s="424"/>
      <c r="EG794" s="424"/>
      <c r="EH794" s="424"/>
      <c r="EI794" s="424"/>
      <c r="EJ794" s="424"/>
      <c r="EK794" s="424"/>
      <c r="EL794" s="424"/>
      <c r="EM794" s="424"/>
      <c r="EN794" s="424"/>
      <c r="EO794" s="424"/>
      <c r="EP794" s="424"/>
      <c r="EQ794" s="424"/>
      <c r="ER794" s="404" t="str">
        <f ca="1">ER788</f>
        <v/>
      </c>
      <c r="ES794" s="371" t="str">
        <f ca="1">IF(OR(ER794="",EY794="",ER794=EY794),"",CONCATENATE(ER794,EY794))</f>
        <v/>
      </c>
      <c r="ET794" s="422" t="str">
        <f ca="1">IF(OR(ES794="",EY767&gt;2),"",CONCATENATE(VLOOKUP(ES794,games.a,9,FALSE),VLOOKUP(ES794,games.a,12,FALSE)))</f>
        <v/>
      </c>
      <c r="EU794" s="413"/>
      <c r="EV794" s="414"/>
      <c r="EW794" s="423" t="str">
        <f ca="1">IF(ES794="","",VLOOKUP(ES794,games.a,6,FALSE))</f>
        <v/>
      </c>
      <c r="EX794" s="409" t="str">
        <f ca="1">IF(ES794="","",VLOOKUP(ES794,games.a,7,FALSE))</f>
        <v/>
      </c>
      <c r="EY794" s="415" t="str">
        <f ca="1">EY793</f>
        <v/>
      </c>
      <c r="EZ794" s="416"/>
      <c r="FA794" s="417"/>
      <c r="FB794" s="424"/>
      <c r="FC794" s="424"/>
      <c r="FD794" s="425"/>
      <c r="FE794" s="333"/>
    </row>
    <row r="795" spans="86:161" x14ac:dyDescent="0.25">
      <c r="CH795" s="445"/>
      <c r="CI795" s="300"/>
      <c r="CJ795" s="300"/>
      <c r="CK795" s="300"/>
      <c r="CL795" s="449"/>
      <c r="CM795" s="445"/>
      <c r="DG795" s="445"/>
      <c r="DH795" s="300"/>
      <c r="DI795" s="301"/>
      <c r="DJ795" s="471" t="s">
        <v>157</v>
      </c>
      <c r="DK795" s="471" t="s">
        <v>158</v>
      </c>
      <c r="DL795" s="472" t="s">
        <v>159</v>
      </c>
      <c r="DM795" s="472"/>
      <c r="DN795" s="473" t="s">
        <v>160</v>
      </c>
      <c r="DO795" s="472" t="s">
        <v>135</v>
      </c>
      <c r="DP795" s="302"/>
      <c r="DQ795" s="302"/>
      <c r="DR795" s="364"/>
      <c r="DS795" s="302"/>
      <c r="DU795" s="424"/>
      <c r="DV795" s="424"/>
      <c r="DW795" s="424"/>
      <c r="DX795" s="424"/>
      <c r="DY795" s="424"/>
      <c r="DZ795" s="424"/>
      <c r="EA795" s="424"/>
      <c r="EB795" s="424"/>
      <c r="EC795" s="424"/>
      <c r="ED795" s="424"/>
      <c r="EE795" s="424"/>
      <c r="EF795" s="424"/>
      <c r="EG795" s="424"/>
      <c r="EH795" s="424"/>
      <c r="EI795" s="424"/>
      <c r="EJ795" s="424"/>
      <c r="EK795" s="424"/>
      <c r="EL795" s="424"/>
      <c r="EM795" s="424"/>
      <c r="EN795" s="424"/>
      <c r="EO795" s="424"/>
      <c r="EP795" s="424"/>
      <c r="EQ795" s="424"/>
      <c r="ER795" s="404" t="str">
        <f ca="1">ER789</f>
        <v/>
      </c>
      <c r="ES795" s="371" t="str">
        <f ca="1">IF(OR(ER795="",EY795="",ER795=EY795),"",CONCATENATE(ER795,EY795))</f>
        <v/>
      </c>
      <c r="ET795" s="422" t="str">
        <f ca="1">IF(OR(ES795="",EY767&gt;2),"",CONCATENATE(VLOOKUP(ES795,games.a,9,FALSE),VLOOKUP(ES795,games.a,12,FALSE)))</f>
        <v/>
      </c>
      <c r="EU795" s="413"/>
      <c r="EV795" s="414"/>
      <c r="EW795" s="423" t="str">
        <f ca="1">IF(ES795="","",VLOOKUP(ES795,games.a,6,FALSE))</f>
        <v/>
      </c>
      <c r="EX795" s="409" t="str">
        <f ca="1">IF(ES795="","",VLOOKUP(ES795,games.a,7,FALSE))</f>
        <v/>
      </c>
      <c r="EY795" s="415" t="str">
        <f ca="1">EY794</f>
        <v/>
      </c>
      <c r="EZ795" s="416"/>
      <c r="FA795" s="417"/>
      <c r="FB795" s="424"/>
      <c r="FC795" s="424"/>
      <c r="FD795" s="425"/>
      <c r="FE795" s="333"/>
    </row>
    <row r="796" spans="86:161" x14ac:dyDescent="0.25">
      <c r="CH796" s="445"/>
      <c r="CI796" s="300"/>
      <c r="CJ796" s="300"/>
      <c r="CK796" s="300"/>
      <c r="CL796" s="449"/>
      <c r="CM796" s="445"/>
      <c r="DG796" s="445"/>
      <c r="DH796" s="300"/>
      <c r="DI796" s="395" t="str">
        <f ca="1">DI788</f>
        <v/>
      </c>
      <c r="DJ796" s="478" t="str">
        <f t="shared" ref="DJ796:DJ802" ca="1" si="1167">IF(OR(DI796="",DP796="",DI796=DP796,COUNTIF(games.an,DI796&amp;DP796)=0),"",CONCATENATE(DI796,DP796))</f>
        <v/>
      </c>
      <c r="DK796" s="360" t="str">
        <f t="shared" ref="DK796:DK802" ca="1" si="1168">IF($DJ796="","",CONCATENATE(VLOOKUP($DJ796,games.a,9,FALSE),VLOOKUP($DJ796,games.a,12,FALSE)))</f>
        <v/>
      </c>
      <c r="DL796" s="354" t="str">
        <f t="shared" ref="DL796:DL802" ca="1" si="1169">IF($DJ796="","",VLOOKUP($DJ796,games.a,10,FALSE))</f>
        <v/>
      </c>
      <c r="DM796" s="354" t="str">
        <f t="shared" ref="DM796:DM802" ca="1" si="1170">IF($DJ796="","",VLOOKUP($DJ796,games.a,13,FALSE))</f>
        <v/>
      </c>
      <c r="DN796" s="361" t="str">
        <f t="shared" ref="DN796:DN802" ca="1" si="1171">IF($DJ796="","",VLOOKUP($DJ796,games.a,6,FALSE))</f>
        <v/>
      </c>
      <c r="DO796" s="362" t="str">
        <f t="shared" ref="DO796:DO802" ca="1" si="1172">IF($DJ796="","",VLOOKUP($DJ796,games.a,7,FALSE))</f>
        <v/>
      </c>
      <c r="DP796" s="479" t="str">
        <f ca="1">DI761</f>
        <v/>
      </c>
      <c r="DQ796" s="302"/>
      <c r="DR796" s="364"/>
      <c r="DS796" s="302"/>
      <c r="DU796" s="424"/>
      <c r="DV796" s="424"/>
      <c r="DW796" s="424"/>
      <c r="DX796" s="424"/>
      <c r="DY796" s="424"/>
      <c r="DZ796" s="424"/>
      <c r="EA796" s="424"/>
      <c r="EB796" s="424"/>
      <c r="EC796" s="424"/>
      <c r="ED796" s="424"/>
      <c r="EE796" s="424"/>
      <c r="EF796" s="424"/>
      <c r="EG796" s="424"/>
      <c r="EH796" s="424"/>
      <c r="EI796" s="424"/>
      <c r="EJ796" s="424"/>
      <c r="EK796" s="424"/>
      <c r="EL796" s="424"/>
      <c r="EM796" s="424"/>
      <c r="EN796" s="424"/>
      <c r="EO796" s="424"/>
      <c r="EP796" s="424"/>
      <c r="EQ796" s="424"/>
      <c r="ER796" s="404" t="str">
        <f ca="1">ER790</f>
        <v/>
      </c>
      <c r="ES796" s="371" t="str">
        <f ca="1">IF(OR(ER796="",EY796="",ER796=EY796),"",CONCATENATE(ER796,EY796))</f>
        <v/>
      </c>
      <c r="ET796" s="422" t="str">
        <f ca="1">IF(OR(ES796="",EY767&gt;2),"",CONCATENATE(VLOOKUP(ES796,games.a,9,FALSE),VLOOKUP(ES796,games.a,12,FALSE)))</f>
        <v/>
      </c>
      <c r="EU796" s="420"/>
      <c r="EV796" s="421"/>
      <c r="EW796" s="423" t="str">
        <f ca="1">IF(ES796="","",VLOOKUP(ES796,games.a,6,FALSE))</f>
        <v/>
      </c>
      <c r="EX796" s="409" t="str">
        <f ca="1">IF(ES796="","",VLOOKUP(ES796,games.a,7,FALSE))</f>
        <v/>
      </c>
      <c r="EY796" s="415" t="str">
        <f ca="1">EY795</f>
        <v/>
      </c>
      <c r="EZ796" s="416"/>
      <c r="FA796" s="417"/>
      <c r="FB796" s="424"/>
      <c r="FC796" s="424"/>
      <c r="FD796" s="425"/>
      <c r="FE796" s="333"/>
    </row>
    <row r="797" spans="86:161" x14ac:dyDescent="0.25">
      <c r="CH797" s="445"/>
      <c r="CI797" s="300"/>
      <c r="CJ797" s="300"/>
      <c r="CK797" s="300"/>
      <c r="CL797" s="449"/>
      <c r="CM797" s="445"/>
      <c r="DG797" s="445"/>
      <c r="DH797" s="300"/>
      <c r="DI797" s="395" t="str">
        <f t="shared" ref="DI797:DI802" ca="1" si="1173">DI789</f>
        <v/>
      </c>
      <c r="DJ797" s="478" t="str">
        <f t="shared" ca="1" si="1167"/>
        <v/>
      </c>
      <c r="DK797" s="360" t="str">
        <f t="shared" ca="1" si="1168"/>
        <v/>
      </c>
      <c r="DL797" s="354" t="str">
        <f t="shared" ca="1" si="1169"/>
        <v/>
      </c>
      <c r="DM797" s="354" t="str">
        <f t="shared" ca="1" si="1170"/>
        <v/>
      </c>
      <c r="DN797" s="361" t="str">
        <f t="shared" ca="1" si="1171"/>
        <v/>
      </c>
      <c r="DO797" s="362" t="str">
        <f t="shared" ca="1" si="1172"/>
        <v/>
      </c>
      <c r="DP797" s="379" t="str">
        <f t="shared" ref="DP797:DP802" ca="1" si="1174">DP796</f>
        <v/>
      </c>
      <c r="DQ797" s="302"/>
      <c r="DR797" s="364"/>
      <c r="DS797" s="302"/>
      <c r="DU797" s="424"/>
      <c r="DV797" s="424"/>
      <c r="DW797" s="424"/>
      <c r="DX797" s="424"/>
      <c r="DY797" s="424"/>
      <c r="DZ797" s="424"/>
      <c r="EA797" s="424"/>
      <c r="EB797" s="424"/>
      <c r="EC797" s="424"/>
      <c r="ED797" s="424"/>
      <c r="EE797" s="424"/>
      <c r="EF797" s="424"/>
      <c r="EG797" s="424"/>
      <c r="EH797" s="424"/>
      <c r="EI797" s="424"/>
      <c r="EJ797" s="424"/>
      <c r="EK797" s="424"/>
      <c r="EL797" s="424"/>
      <c r="EM797" s="424"/>
      <c r="EN797" s="424"/>
      <c r="EO797" s="424"/>
      <c r="EP797" s="424"/>
      <c r="EQ797" s="424"/>
      <c r="ER797" s="424"/>
      <c r="ES797" s="424"/>
      <c r="ET797" s="424"/>
      <c r="EU797" s="424"/>
      <c r="EV797" s="424"/>
      <c r="EW797" s="424"/>
      <c r="EX797" s="424"/>
      <c r="EY797" s="424"/>
      <c r="EZ797" s="424"/>
      <c r="FA797" s="424"/>
      <c r="FB797" s="424"/>
      <c r="FC797" s="424"/>
      <c r="FD797" s="425"/>
      <c r="FE797" s="333"/>
    </row>
    <row r="798" spans="86:161" x14ac:dyDescent="0.25">
      <c r="CH798" s="445"/>
      <c r="CI798" s="300"/>
      <c r="CJ798" s="300"/>
      <c r="CK798" s="300"/>
      <c r="CL798" s="449"/>
      <c r="CM798" s="445"/>
      <c r="DG798" s="445"/>
      <c r="DH798" s="300"/>
      <c r="DI798" s="395" t="str">
        <f t="shared" ca="1" si="1173"/>
        <v/>
      </c>
      <c r="DJ798" s="478" t="str">
        <f t="shared" ca="1" si="1167"/>
        <v/>
      </c>
      <c r="DK798" s="360" t="str">
        <f t="shared" ca="1" si="1168"/>
        <v/>
      </c>
      <c r="DL798" s="354" t="str">
        <f t="shared" ca="1" si="1169"/>
        <v/>
      </c>
      <c r="DM798" s="354" t="str">
        <f t="shared" ca="1" si="1170"/>
        <v/>
      </c>
      <c r="DN798" s="361" t="str">
        <f t="shared" ca="1" si="1171"/>
        <v/>
      </c>
      <c r="DO798" s="362" t="str">
        <f t="shared" ca="1" si="1172"/>
        <v/>
      </c>
      <c r="DP798" s="379" t="str">
        <f t="shared" ca="1" si="1174"/>
        <v/>
      </c>
      <c r="DQ798" s="302"/>
      <c r="DR798" s="364"/>
      <c r="DS798" s="302"/>
      <c r="DU798" s="424"/>
      <c r="DV798" s="424"/>
      <c r="DW798" s="424"/>
      <c r="DX798" s="424"/>
      <c r="DY798" s="424"/>
      <c r="DZ798" s="424"/>
      <c r="EA798" s="424"/>
      <c r="EB798" s="424"/>
      <c r="EC798" s="424"/>
      <c r="ED798" s="424"/>
      <c r="EE798" s="424"/>
      <c r="EF798" s="424"/>
      <c r="EG798" s="424"/>
      <c r="EH798" s="424"/>
      <c r="EI798" s="424"/>
      <c r="EJ798" s="424"/>
      <c r="EK798" s="424"/>
      <c r="EL798" s="424"/>
      <c r="EM798" s="424"/>
      <c r="EN798" s="424"/>
      <c r="EO798" s="424"/>
      <c r="EP798" s="424"/>
      <c r="EQ798" s="424"/>
      <c r="ER798" s="398"/>
      <c r="ES798" s="329" t="s">
        <v>157</v>
      </c>
      <c r="ET798" s="329" t="s">
        <v>158</v>
      </c>
      <c r="EU798" s="399"/>
      <c r="EV798" s="400"/>
      <c r="EW798" s="401" t="s">
        <v>160</v>
      </c>
      <c r="EX798" s="402" t="s">
        <v>135</v>
      </c>
      <c r="EY798" s="365"/>
      <c r="EZ798" s="365"/>
      <c r="FA798" s="365"/>
      <c r="FB798" s="424"/>
      <c r="FC798" s="424"/>
      <c r="FD798" s="425"/>
      <c r="FE798" s="333"/>
    </row>
    <row r="799" spans="86:161" x14ac:dyDescent="0.25">
      <c r="CH799" s="445"/>
      <c r="CI799" s="300"/>
      <c r="CJ799" s="300"/>
      <c r="CK799" s="300"/>
      <c r="CL799" s="449"/>
      <c r="CM799" s="445"/>
      <c r="DG799" s="445"/>
      <c r="DH799" s="300"/>
      <c r="DI799" s="395" t="str">
        <f t="shared" ca="1" si="1173"/>
        <v/>
      </c>
      <c r="DJ799" s="478" t="str">
        <f t="shared" ca="1" si="1167"/>
        <v/>
      </c>
      <c r="DK799" s="360" t="str">
        <f t="shared" ca="1" si="1168"/>
        <v/>
      </c>
      <c r="DL799" s="354" t="str">
        <f t="shared" ca="1" si="1169"/>
        <v/>
      </c>
      <c r="DM799" s="354" t="str">
        <f t="shared" ca="1" si="1170"/>
        <v/>
      </c>
      <c r="DN799" s="361" t="str">
        <f t="shared" ca="1" si="1171"/>
        <v/>
      </c>
      <c r="DO799" s="362" t="str">
        <f t="shared" ca="1" si="1172"/>
        <v/>
      </c>
      <c r="DP799" s="379" t="str">
        <f t="shared" ca="1" si="1174"/>
        <v/>
      </c>
      <c r="DQ799" s="302"/>
      <c r="DR799" s="364"/>
      <c r="DS799" s="302"/>
      <c r="DU799" s="424"/>
      <c r="DV799" s="424"/>
      <c r="DW799" s="424"/>
      <c r="DX799" s="424"/>
      <c r="DY799" s="424"/>
      <c r="DZ799" s="424"/>
      <c r="EA799" s="424"/>
      <c r="EB799" s="424"/>
      <c r="EC799" s="424"/>
      <c r="ED799" s="424"/>
      <c r="EE799" s="424"/>
      <c r="EF799" s="424"/>
      <c r="EG799" s="424"/>
      <c r="EH799" s="424"/>
      <c r="EI799" s="424"/>
      <c r="EJ799" s="424"/>
      <c r="EK799" s="424"/>
      <c r="EL799" s="424"/>
      <c r="EM799" s="424"/>
      <c r="EN799" s="424"/>
      <c r="EO799" s="424"/>
      <c r="EP799" s="424"/>
      <c r="EQ799" s="424"/>
      <c r="ER799" s="404" t="str">
        <f ca="1">IF(EX756="","",VLOOKUP(EX756,yyy.an1.7,7,FALSE))</f>
        <v/>
      </c>
      <c r="ES799" s="371" t="str">
        <f ca="1">IF(OR(ER799="",EY799="",ER799=EY799),"",CONCATENATE(ER799,EY799))</f>
        <v/>
      </c>
      <c r="ET799" s="369" t="str">
        <f ca="1">IF(ES799="","",CONCATENATE(VLOOKUP(ES799,games.a,9,FALSE),VLOOKUP(ES799,games.a,12,FALSE)))</f>
        <v/>
      </c>
      <c r="EU799" s="406"/>
      <c r="EV799" s="407"/>
      <c r="EW799" s="423" t="str">
        <f ca="1">IF(ES799="","",VLOOKUP(ES799,games.a,6,FALSE))</f>
        <v/>
      </c>
      <c r="EX799" s="409" t="str">
        <f ca="1">IF(ES799="","",VLOOKUP(ES799,games.a,7,FALSE))</f>
        <v/>
      </c>
      <c r="EY799" s="410" t="str">
        <f ca="1">ER799</f>
        <v/>
      </c>
      <c r="EZ799" s="411"/>
      <c r="FA799" s="412"/>
      <c r="FB799" s="424"/>
      <c r="FC799" s="424"/>
      <c r="FD799" s="425"/>
      <c r="FE799" s="333"/>
    </row>
    <row r="800" spans="86:161" x14ac:dyDescent="0.25">
      <c r="CH800" s="445"/>
      <c r="CI800" s="300"/>
      <c r="CJ800" s="300"/>
      <c r="CK800" s="300"/>
      <c r="CL800" s="449"/>
      <c r="CM800" s="445"/>
      <c r="DG800" s="445"/>
      <c r="DH800" s="300"/>
      <c r="DI800" s="395" t="str">
        <f t="shared" ca="1" si="1173"/>
        <v/>
      </c>
      <c r="DJ800" s="478" t="str">
        <f t="shared" ca="1" si="1167"/>
        <v/>
      </c>
      <c r="DK800" s="360" t="str">
        <f t="shared" ca="1" si="1168"/>
        <v/>
      </c>
      <c r="DL800" s="354" t="str">
        <f t="shared" ca="1" si="1169"/>
        <v/>
      </c>
      <c r="DM800" s="354" t="str">
        <f t="shared" ca="1" si="1170"/>
        <v/>
      </c>
      <c r="DN800" s="361" t="str">
        <f t="shared" ca="1" si="1171"/>
        <v/>
      </c>
      <c r="DO800" s="362" t="str">
        <f t="shared" ca="1" si="1172"/>
        <v/>
      </c>
      <c r="DP800" s="379" t="str">
        <f t="shared" ca="1" si="1174"/>
        <v/>
      </c>
      <c r="DQ800" s="302"/>
      <c r="DR800" s="364"/>
      <c r="DS800" s="302"/>
      <c r="DU800" s="424"/>
      <c r="DV800" s="424"/>
      <c r="DW800" s="424"/>
      <c r="DX800" s="424"/>
      <c r="DY800" s="424"/>
      <c r="DZ800" s="424"/>
      <c r="EA800" s="424"/>
      <c r="EB800" s="424"/>
      <c r="EC800" s="424"/>
      <c r="ED800" s="424"/>
      <c r="EE800" s="424"/>
      <c r="EF800" s="424"/>
      <c r="EG800" s="424"/>
      <c r="EH800" s="424"/>
      <c r="EI800" s="424"/>
      <c r="EJ800" s="424"/>
      <c r="EK800" s="424"/>
      <c r="EL800" s="424"/>
      <c r="EM800" s="424"/>
      <c r="EN800" s="424"/>
      <c r="EO800" s="424"/>
      <c r="EP800" s="424"/>
      <c r="EQ800" s="424"/>
      <c r="ER800" s="404" t="str">
        <f ca="1">IF(EX757="","",VLOOKUP(EX757,yyy.an1.7,7,FALSE))</f>
        <v/>
      </c>
      <c r="ES800" s="371" t="str">
        <f ca="1">IF(OR(ER800="",EY800="",ER800=EY800),"",CONCATENATE(ER800,EY800))</f>
        <v/>
      </c>
      <c r="ET800" s="369" t="str">
        <f ca="1">IF(ES800="","",CONCATENATE(VLOOKUP(ES800,games.a,9,FALSE),VLOOKUP(ES800,games.a,12,FALSE)))</f>
        <v/>
      </c>
      <c r="EU800" s="413"/>
      <c r="EV800" s="414"/>
      <c r="EW800" s="423" t="str">
        <f ca="1">IF(ES800="","",VLOOKUP(ES800,games.a,6,FALSE))</f>
        <v/>
      </c>
      <c r="EX800" s="409" t="str">
        <f ca="1">IF(ES800="","",VLOOKUP(ES800,games.a,7,FALSE))</f>
        <v/>
      </c>
      <c r="EY800" s="415" t="str">
        <f ca="1">EY799</f>
        <v/>
      </c>
      <c r="EZ800" s="416"/>
      <c r="FA800" s="417"/>
      <c r="FB800" s="424"/>
      <c r="FC800" s="424"/>
      <c r="FD800" s="425"/>
      <c r="FE800" s="333"/>
    </row>
    <row r="801" spans="86:161" x14ac:dyDescent="0.25">
      <c r="CH801" s="445"/>
      <c r="CI801" s="300"/>
      <c r="CJ801" s="300"/>
      <c r="CK801" s="300"/>
      <c r="CL801" s="449"/>
      <c r="CM801" s="445"/>
      <c r="DG801" s="445"/>
      <c r="DH801" s="300"/>
      <c r="DI801" s="395" t="str">
        <f t="shared" ca="1" si="1173"/>
        <v/>
      </c>
      <c r="DJ801" s="478" t="str">
        <f t="shared" ca="1" si="1167"/>
        <v/>
      </c>
      <c r="DK801" s="360" t="str">
        <f t="shared" ca="1" si="1168"/>
        <v/>
      </c>
      <c r="DL801" s="354" t="str">
        <f t="shared" ca="1" si="1169"/>
        <v/>
      </c>
      <c r="DM801" s="354" t="str">
        <f t="shared" ca="1" si="1170"/>
        <v/>
      </c>
      <c r="DN801" s="361" t="str">
        <f t="shared" ca="1" si="1171"/>
        <v/>
      </c>
      <c r="DO801" s="362" t="str">
        <f t="shared" ca="1" si="1172"/>
        <v/>
      </c>
      <c r="DP801" s="379" t="str">
        <f t="shared" ca="1" si="1174"/>
        <v/>
      </c>
      <c r="DQ801" s="302"/>
      <c r="DR801" s="364"/>
      <c r="DS801" s="302"/>
      <c r="DU801" s="424"/>
      <c r="DV801" s="424"/>
      <c r="DW801" s="424"/>
      <c r="DX801" s="424"/>
      <c r="DY801" s="424"/>
      <c r="DZ801" s="424"/>
      <c r="EA801" s="424"/>
      <c r="EB801" s="424"/>
      <c r="EC801" s="424"/>
      <c r="ED801" s="424"/>
      <c r="EE801" s="424"/>
      <c r="EF801" s="424"/>
      <c r="EG801" s="424"/>
      <c r="EH801" s="424"/>
      <c r="EI801" s="424"/>
      <c r="EJ801" s="424"/>
      <c r="EK801" s="424"/>
      <c r="EL801" s="424"/>
      <c r="EM801" s="424"/>
      <c r="EN801" s="424"/>
      <c r="EO801" s="424"/>
      <c r="EP801" s="424"/>
      <c r="EQ801" s="424"/>
      <c r="ER801" s="398"/>
      <c r="ES801" s="329" t="s">
        <v>157</v>
      </c>
      <c r="ET801" s="329" t="s">
        <v>158</v>
      </c>
      <c r="EU801" s="399"/>
      <c r="EV801" s="400"/>
      <c r="EW801" s="401" t="s">
        <v>160</v>
      </c>
      <c r="EX801" s="402" t="s">
        <v>135</v>
      </c>
      <c r="EY801" s="398"/>
      <c r="EZ801" s="365"/>
      <c r="FA801" s="365"/>
      <c r="FB801" s="424"/>
      <c r="FC801" s="424"/>
      <c r="FD801" s="425"/>
      <c r="FE801" s="333"/>
    </row>
    <row r="802" spans="86:161" x14ac:dyDescent="0.25">
      <c r="CH802" s="445"/>
      <c r="CI802" s="300"/>
      <c r="CJ802" s="300"/>
      <c r="CK802" s="300"/>
      <c r="CL802" s="449"/>
      <c r="CM802" s="445"/>
      <c r="DG802" s="445"/>
      <c r="DH802" s="300"/>
      <c r="DI802" s="395" t="str">
        <f t="shared" ca="1" si="1173"/>
        <v/>
      </c>
      <c r="DJ802" s="478" t="str">
        <f t="shared" ca="1" si="1167"/>
        <v/>
      </c>
      <c r="DK802" s="360" t="str">
        <f t="shared" ca="1" si="1168"/>
        <v/>
      </c>
      <c r="DL802" s="354" t="str">
        <f t="shared" ca="1" si="1169"/>
        <v/>
      </c>
      <c r="DM802" s="354" t="str">
        <f t="shared" ca="1" si="1170"/>
        <v/>
      </c>
      <c r="DN802" s="361" t="str">
        <f t="shared" ca="1" si="1171"/>
        <v/>
      </c>
      <c r="DO802" s="362" t="str">
        <f t="shared" ca="1" si="1172"/>
        <v/>
      </c>
      <c r="DP802" s="379" t="str">
        <f t="shared" ca="1" si="1174"/>
        <v/>
      </c>
      <c r="DQ802" s="302"/>
      <c r="DR802" s="364"/>
      <c r="DS802" s="302"/>
      <c r="DU802" s="424"/>
      <c r="DV802" s="424"/>
      <c r="DW802" s="424"/>
      <c r="DX802" s="424"/>
      <c r="DY802" s="424"/>
      <c r="DZ802" s="424"/>
      <c r="EA802" s="424"/>
      <c r="EB802" s="424"/>
      <c r="EC802" s="424"/>
      <c r="ED802" s="424"/>
      <c r="EE802" s="424"/>
      <c r="EF802" s="424"/>
      <c r="EG802" s="424"/>
      <c r="EH802" s="424"/>
      <c r="EI802" s="424"/>
      <c r="EJ802" s="424"/>
      <c r="EK802" s="424"/>
      <c r="EL802" s="424"/>
      <c r="EM802" s="424"/>
      <c r="EN802" s="424"/>
      <c r="EO802" s="424"/>
      <c r="EP802" s="424"/>
      <c r="EQ802" s="424"/>
      <c r="ER802" s="404" t="str">
        <f ca="1">ER799</f>
        <v/>
      </c>
      <c r="ES802" s="371" t="str">
        <f ca="1">IF(OR(ER802="",EY802="",ER802=EY802),"",CONCATENATE(ER802,EY802))</f>
        <v/>
      </c>
      <c r="ET802" s="369" t="str">
        <f ca="1">IF(ES802="","",CONCATENATE(VLOOKUP(ES802,games.a,9,FALSE),VLOOKUP(ES802,games.a,12,FALSE)))</f>
        <v/>
      </c>
      <c r="EU802" s="406"/>
      <c r="EV802" s="407"/>
      <c r="EW802" s="423" t="str">
        <f ca="1">IF(ES802="","",VLOOKUP(ES802,games.a,6,FALSE))</f>
        <v/>
      </c>
      <c r="EX802" s="409" t="str">
        <f ca="1">IF(ES802="","",VLOOKUP(ES802,games.a,7,FALSE))</f>
        <v/>
      </c>
      <c r="EY802" s="410" t="str">
        <f ca="1">ER800</f>
        <v/>
      </c>
      <c r="EZ802" s="411"/>
      <c r="FA802" s="412"/>
      <c r="FB802" s="424"/>
      <c r="FC802" s="424"/>
      <c r="FD802" s="425"/>
      <c r="FE802" s="333"/>
    </row>
    <row r="803" spans="86:161" x14ac:dyDescent="0.25">
      <c r="CH803" s="445"/>
      <c r="CI803" s="300"/>
      <c r="CJ803" s="300"/>
      <c r="CK803" s="300"/>
      <c r="CL803" s="449"/>
      <c r="CM803" s="445"/>
      <c r="DG803" s="445"/>
      <c r="DH803" s="300"/>
      <c r="DI803" s="301"/>
      <c r="DJ803" s="471" t="s">
        <v>157</v>
      </c>
      <c r="DK803" s="471" t="s">
        <v>158</v>
      </c>
      <c r="DL803" s="472" t="s">
        <v>159</v>
      </c>
      <c r="DM803" s="472"/>
      <c r="DN803" s="473" t="s">
        <v>160</v>
      </c>
      <c r="DO803" s="472" t="s">
        <v>135</v>
      </c>
      <c r="DP803" s="302"/>
      <c r="DQ803" s="302"/>
      <c r="DR803" s="364"/>
      <c r="DS803" s="302"/>
      <c r="DU803" s="424"/>
      <c r="DV803" s="424"/>
      <c r="DW803" s="424"/>
      <c r="DX803" s="424"/>
      <c r="DY803" s="424"/>
      <c r="DZ803" s="424"/>
      <c r="EA803" s="424"/>
      <c r="EB803" s="424"/>
      <c r="EC803" s="424"/>
      <c r="ED803" s="424"/>
      <c r="EE803" s="424"/>
      <c r="EF803" s="424"/>
      <c r="EG803" s="424"/>
      <c r="EH803" s="424"/>
      <c r="EI803" s="424"/>
      <c r="EJ803" s="424"/>
      <c r="EK803" s="424"/>
      <c r="EL803" s="424"/>
      <c r="EM803" s="424"/>
      <c r="EN803" s="424"/>
      <c r="EO803" s="424"/>
      <c r="EP803" s="424"/>
      <c r="EQ803" s="424"/>
      <c r="ER803" s="404" t="str">
        <f ca="1">ER800</f>
        <v/>
      </c>
      <c r="ES803" s="371" t="str">
        <f ca="1">IF(OR(ER803="",EY803="",ER803=EY803),"",CONCATENATE(ER803,EY803))</f>
        <v/>
      </c>
      <c r="ET803" s="369" t="str">
        <f ca="1">IF(ES803="","",CONCATENATE(VLOOKUP(ES803,games.a,9,FALSE),VLOOKUP(ES803,games.a,12,FALSE)))</f>
        <v/>
      </c>
      <c r="EU803" s="420"/>
      <c r="EV803" s="421"/>
      <c r="EW803" s="423" t="str">
        <f ca="1">IF(ES803="","",VLOOKUP(ES803,games.a,6,FALSE))</f>
        <v/>
      </c>
      <c r="EX803" s="409" t="str">
        <f ca="1">IF(ES803="","",VLOOKUP(ES803,games.a,7,FALSE))</f>
        <v/>
      </c>
      <c r="EY803" s="415" t="str">
        <f ca="1">EY802</f>
        <v/>
      </c>
      <c r="EZ803" s="416"/>
      <c r="FA803" s="417"/>
      <c r="FB803" s="424"/>
      <c r="FC803" s="424"/>
      <c r="FD803" s="425"/>
      <c r="FE803" s="333"/>
    </row>
    <row r="804" spans="86:161" x14ac:dyDescent="0.25">
      <c r="CH804" s="445"/>
      <c r="CI804" s="300"/>
      <c r="CJ804" s="300"/>
      <c r="CK804" s="300"/>
      <c r="CL804" s="449"/>
      <c r="CM804" s="445"/>
      <c r="DG804" s="445"/>
      <c r="DH804" s="300"/>
      <c r="DI804" s="395" t="str">
        <f ca="1">DI796</f>
        <v/>
      </c>
      <c r="DJ804" s="478" t="str">
        <f t="shared" ref="DJ804:DJ810" ca="1" si="1175">IF(OR(DI804="",DP804="",DI804=DP804,COUNTIF(games.an,DI804&amp;DP804)=0),"",CONCATENATE(DI804,DP804))</f>
        <v/>
      </c>
      <c r="DK804" s="360" t="str">
        <f t="shared" ref="DK804:DK810" ca="1" si="1176">IF($DJ804="","",CONCATENATE(VLOOKUP($DJ804,games.a,9,FALSE),VLOOKUP($DJ804,games.a,12,FALSE)))</f>
        <v/>
      </c>
      <c r="DL804" s="354" t="str">
        <f t="shared" ref="DL804:DL810" ca="1" si="1177">IF($DJ804="","",VLOOKUP($DJ804,games.a,10,FALSE))</f>
        <v/>
      </c>
      <c r="DM804" s="354" t="str">
        <f t="shared" ref="DM804:DM810" ca="1" si="1178">IF($DJ804="","",VLOOKUP($DJ804,games.a,13,FALSE))</f>
        <v/>
      </c>
      <c r="DN804" s="361" t="str">
        <f t="shared" ref="DN804:DN810" ca="1" si="1179">IF($DJ804="","",VLOOKUP($DJ804,games.a,6,FALSE))</f>
        <v/>
      </c>
      <c r="DO804" s="362" t="str">
        <f t="shared" ref="DO804:DO810" ca="1" si="1180">IF($DJ804="","",VLOOKUP($DJ804,games.a,7,FALSE))</f>
        <v/>
      </c>
      <c r="DP804" s="479" t="str">
        <f ca="1">DI762</f>
        <v/>
      </c>
      <c r="DQ804" s="302"/>
      <c r="DR804" s="364"/>
      <c r="DS804" s="302"/>
      <c r="DU804" s="424"/>
      <c r="DV804" s="424"/>
      <c r="DW804" s="424"/>
      <c r="DX804" s="424"/>
      <c r="DY804" s="424"/>
      <c r="DZ804" s="424"/>
      <c r="EA804" s="424"/>
      <c r="EB804" s="424"/>
      <c r="EC804" s="424"/>
      <c r="ED804" s="424"/>
      <c r="EE804" s="424"/>
      <c r="EF804" s="424"/>
      <c r="EG804" s="424"/>
      <c r="EH804" s="424"/>
      <c r="EI804" s="424"/>
      <c r="EJ804" s="424"/>
      <c r="EK804" s="424"/>
      <c r="EL804" s="424"/>
      <c r="EM804" s="424"/>
      <c r="EN804" s="424"/>
      <c r="EO804" s="424"/>
      <c r="EP804" s="424"/>
      <c r="EQ804" s="424"/>
      <c r="ER804" s="424"/>
      <c r="ES804" s="424"/>
      <c r="ET804" s="424"/>
      <c r="EU804" s="424"/>
      <c r="EV804" s="424"/>
      <c r="EW804" s="424"/>
      <c r="EX804" s="424"/>
      <c r="EY804" s="424"/>
      <c r="EZ804" s="424"/>
      <c r="FA804" s="424"/>
      <c r="FB804" s="424"/>
      <c r="FC804" s="424"/>
      <c r="FD804" s="425"/>
      <c r="FE804" s="333"/>
    </row>
    <row r="805" spans="86:161" x14ac:dyDescent="0.25">
      <c r="CH805" s="445"/>
      <c r="CI805" s="300"/>
      <c r="CJ805" s="300"/>
      <c r="CK805" s="300"/>
      <c r="CL805" s="449"/>
      <c r="CM805" s="445"/>
      <c r="DG805" s="445"/>
      <c r="DH805" s="300"/>
      <c r="DI805" s="395" t="str">
        <f t="shared" ref="DI805:DI810" ca="1" si="1181">DI797</f>
        <v/>
      </c>
      <c r="DJ805" s="478" t="str">
        <f t="shared" ca="1" si="1175"/>
        <v/>
      </c>
      <c r="DK805" s="360" t="str">
        <f t="shared" ca="1" si="1176"/>
        <v/>
      </c>
      <c r="DL805" s="354" t="str">
        <f t="shared" ca="1" si="1177"/>
        <v/>
      </c>
      <c r="DM805" s="354" t="str">
        <f t="shared" ca="1" si="1178"/>
        <v/>
      </c>
      <c r="DN805" s="361" t="str">
        <f t="shared" ca="1" si="1179"/>
        <v/>
      </c>
      <c r="DO805" s="362" t="str">
        <f t="shared" ca="1" si="1180"/>
        <v/>
      </c>
      <c r="DP805" s="379" t="str">
        <f t="shared" ref="DP805:DP810" ca="1" si="1182">DP804</f>
        <v/>
      </c>
      <c r="DQ805" s="302"/>
      <c r="DR805" s="364"/>
      <c r="DS805" s="302"/>
      <c r="DU805" s="424"/>
      <c r="DV805" s="424"/>
      <c r="DW805" s="424"/>
      <c r="DX805" s="424"/>
      <c r="DY805" s="424"/>
      <c r="DZ805" s="424"/>
      <c r="EA805" s="424"/>
      <c r="EB805" s="424"/>
      <c r="EC805" s="424"/>
      <c r="ED805" s="424"/>
      <c r="EE805" s="424"/>
      <c r="EF805" s="424"/>
      <c r="EG805" s="424"/>
      <c r="EH805" s="424"/>
      <c r="EI805" s="424"/>
      <c r="EJ805" s="424"/>
      <c r="EK805" s="424"/>
      <c r="EL805" s="424"/>
      <c r="EM805" s="424"/>
      <c r="EN805" s="424"/>
      <c r="EO805" s="424"/>
      <c r="EP805" s="424"/>
      <c r="EQ805" s="424"/>
      <c r="ER805" s="398"/>
      <c r="ES805" s="329" t="s">
        <v>157</v>
      </c>
      <c r="ET805" s="329" t="s">
        <v>158</v>
      </c>
      <c r="EU805" s="399"/>
      <c r="EV805" s="400"/>
      <c r="EW805" s="401" t="s">
        <v>160</v>
      </c>
      <c r="EX805" s="402" t="s">
        <v>135</v>
      </c>
      <c r="EY805" s="365"/>
      <c r="EZ805" s="365"/>
      <c r="FA805" s="365"/>
      <c r="FB805" s="424"/>
      <c r="FC805" s="424"/>
      <c r="FD805" s="425"/>
      <c r="FE805" s="333"/>
    </row>
    <row r="806" spans="86:161" x14ac:dyDescent="0.25">
      <c r="CH806" s="445"/>
      <c r="CI806" s="300"/>
      <c r="CJ806" s="300"/>
      <c r="CK806" s="300"/>
      <c r="CL806" s="449"/>
      <c r="CM806" s="445"/>
      <c r="DG806" s="445"/>
      <c r="DH806" s="300"/>
      <c r="DI806" s="395" t="str">
        <f t="shared" ca="1" si="1181"/>
        <v/>
      </c>
      <c r="DJ806" s="478" t="str">
        <f t="shared" ca="1" si="1175"/>
        <v/>
      </c>
      <c r="DK806" s="360" t="str">
        <f t="shared" ca="1" si="1176"/>
        <v/>
      </c>
      <c r="DL806" s="354" t="str">
        <f t="shared" ca="1" si="1177"/>
        <v/>
      </c>
      <c r="DM806" s="354" t="str">
        <f t="shared" ca="1" si="1178"/>
        <v/>
      </c>
      <c r="DN806" s="361" t="str">
        <f t="shared" ca="1" si="1179"/>
        <v/>
      </c>
      <c r="DO806" s="362" t="str">
        <f t="shared" ca="1" si="1180"/>
        <v/>
      </c>
      <c r="DP806" s="379" t="str">
        <f t="shared" ca="1" si="1182"/>
        <v/>
      </c>
      <c r="DQ806" s="302"/>
      <c r="DR806" s="364"/>
      <c r="DS806" s="302"/>
      <c r="DU806" s="424"/>
      <c r="DV806" s="424"/>
      <c r="DW806" s="424"/>
      <c r="DX806" s="424"/>
      <c r="DY806" s="424"/>
      <c r="DZ806" s="424"/>
      <c r="EA806" s="424"/>
      <c r="EB806" s="424"/>
      <c r="EC806" s="424"/>
      <c r="ED806" s="424"/>
      <c r="EE806" s="424"/>
      <c r="EF806" s="424"/>
      <c r="EG806" s="424"/>
      <c r="EH806" s="424"/>
      <c r="EI806" s="424"/>
      <c r="EJ806" s="424"/>
      <c r="EK806" s="424"/>
      <c r="EL806" s="424"/>
      <c r="EM806" s="424"/>
      <c r="EN806" s="424"/>
      <c r="EO806" s="424"/>
      <c r="EP806" s="424"/>
      <c r="EQ806" s="424"/>
      <c r="ER806" s="404" t="str">
        <f ca="1">IF(FA756="","",VLOOKUP(FA756,yyy.an1.7,10,FALSE))</f>
        <v/>
      </c>
      <c r="ES806" s="371" t="str">
        <f ca="1">IF(OR(ER806="",EY806="",ER806=EY806),"",CONCATENATE(ER806,EY806))</f>
        <v/>
      </c>
      <c r="ET806" s="369" t="str">
        <f ca="1">IF(ES806="","",CONCATENATE(VLOOKUP(ES806,games.a,9,FALSE),VLOOKUP(ES806,games.a,12,FALSE)))</f>
        <v/>
      </c>
      <c r="EU806" s="406"/>
      <c r="EV806" s="407"/>
      <c r="EW806" s="423" t="str">
        <f ca="1">IF(ES806="","",VLOOKUP(ES806,games.a,6,FALSE))</f>
        <v/>
      </c>
      <c r="EX806" s="409" t="str">
        <f ca="1">IF(ES806="","",VLOOKUP(ES806,games.a,7,FALSE))</f>
        <v/>
      </c>
      <c r="EY806" s="410" t="str">
        <f ca="1">ER806</f>
        <v/>
      </c>
      <c r="EZ806" s="411"/>
      <c r="FA806" s="412"/>
      <c r="FB806" s="424"/>
      <c r="FC806" s="424"/>
      <c r="FD806" s="425"/>
      <c r="FE806" s="333"/>
    </row>
    <row r="807" spans="86:161" x14ac:dyDescent="0.25">
      <c r="CH807" s="445"/>
      <c r="CI807" s="300"/>
      <c r="CJ807" s="300"/>
      <c r="CK807" s="300"/>
      <c r="CL807" s="449"/>
      <c r="CM807" s="445"/>
      <c r="DG807" s="445"/>
      <c r="DH807" s="300"/>
      <c r="DI807" s="395" t="str">
        <f t="shared" ca="1" si="1181"/>
        <v/>
      </c>
      <c r="DJ807" s="478" t="str">
        <f t="shared" ca="1" si="1175"/>
        <v/>
      </c>
      <c r="DK807" s="360" t="str">
        <f t="shared" ca="1" si="1176"/>
        <v/>
      </c>
      <c r="DL807" s="354" t="str">
        <f t="shared" ca="1" si="1177"/>
        <v/>
      </c>
      <c r="DM807" s="354" t="str">
        <f t="shared" ca="1" si="1178"/>
        <v/>
      </c>
      <c r="DN807" s="361" t="str">
        <f t="shared" ca="1" si="1179"/>
        <v/>
      </c>
      <c r="DO807" s="362" t="str">
        <f t="shared" ca="1" si="1180"/>
        <v/>
      </c>
      <c r="DP807" s="379" t="str">
        <f t="shared" ca="1" si="1182"/>
        <v/>
      </c>
      <c r="DQ807" s="302"/>
      <c r="DR807" s="364"/>
      <c r="DS807" s="302"/>
      <c r="DU807" s="424"/>
      <c r="DV807" s="424"/>
      <c r="DW807" s="424"/>
      <c r="DX807" s="424"/>
      <c r="DY807" s="424"/>
      <c r="DZ807" s="424"/>
      <c r="EA807" s="424"/>
      <c r="EB807" s="424"/>
      <c r="EC807" s="424"/>
      <c r="ED807" s="424"/>
      <c r="EE807" s="424"/>
      <c r="EF807" s="424"/>
      <c r="EG807" s="424"/>
      <c r="EH807" s="424"/>
      <c r="EI807" s="424"/>
      <c r="EJ807" s="424"/>
      <c r="EK807" s="424"/>
      <c r="EL807" s="424"/>
      <c r="EM807" s="424"/>
      <c r="EN807" s="424"/>
      <c r="EO807" s="424"/>
      <c r="EP807" s="424"/>
      <c r="EQ807" s="424"/>
      <c r="ER807" s="404" t="str">
        <f ca="1">IF(FA757="","",VLOOKUP(FA757,yyy.an1.7,10,FALSE))</f>
        <v/>
      </c>
      <c r="ES807" s="371" t="str">
        <f ca="1">IF(OR(ER807="",EY807="",ER807=EY807),"",CONCATENATE(ER807,EY807))</f>
        <v/>
      </c>
      <c r="ET807" s="369" t="str">
        <f ca="1">IF(ES807="","",CONCATENATE(VLOOKUP(ES807,games.a,9,FALSE),VLOOKUP(ES807,games.a,12,FALSE)))</f>
        <v/>
      </c>
      <c r="EU807" s="413"/>
      <c r="EV807" s="414"/>
      <c r="EW807" s="423" t="str">
        <f ca="1">IF(ES807="","",VLOOKUP(ES807,games.a,6,FALSE))</f>
        <v/>
      </c>
      <c r="EX807" s="409" t="str">
        <f ca="1">IF(ES807="","",VLOOKUP(ES807,games.a,7,FALSE))</f>
        <v/>
      </c>
      <c r="EY807" s="415" t="str">
        <f ca="1">EY806</f>
        <v/>
      </c>
      <c r="EZ807" s="416"/>
      <c r="FA807" s="417"/>
      <c r="FB807" s="424"/>
      <c r="FC807" s="424"/>
      <c r="FD807" s="425"/>
      <c r="FE807" s="333"/>
    </row>
    <row r="808" spans="86:161" x14ac:dyDescent="0.25">
      <c r="CH808" s="445"/>
      <c r="CI808" s="300"/>
      <c r="CJ808" s="300"/>
      <c r="CK808" s="300"/>
      <c r="CL808" s="449"/>
      <c r="CM808" s="445"/>
      <c r="DG808" s="445"/>
      <c r="DH808" s="300"/>
      <c r="DI808" s="395" t="str">
        <f t="shared" ca="1" si="1181"/>
        <v/>
      </c>
      <c r="DJ808" s="478" t="str">
        <f t="shared" ca="1" si="1175"/>
        <v/>
      </c>
      <c r="DK808" s="360" t="str">
        <f t="shared" ca="1" si="1176"/>
        <v/>
      </c>
      <c r="DL808" s="354" t="str">
        <f t="shared" ca="1" si="1177"/>
        <v/>
      </c>
      <c r="DM808" s="354" t="str">
        <f t="shared" ca="1" si="1178"/>
        <v/>
      </c>
      <c r="DN808" s="361" t="str">
        <f t="shared" ca="1" si="1179"/>
        <v/>
      </c>
      <c r="DO808" s="362" t="str">
        <f t="shared" ca="1" si="1180"/>
        <v/>
      </c>
      <c r="DP808" s="379" t="str">
        <f t="shared" ca="1" si="1182"/>
        <v/>
      </c>
      <c r="DQ808" s="302"/>
      <c r="DR808" s="364"/>
      <c r="DS808" s="302"/>
      <c r="DU808" s="424"/>
      <c r="DV808" s="424"/>
      <c r="DW808" s="424"/>
      <c r="DX808" s="424"/>
      <c r="DY808" s="424"/>
      <c r="DZ808" s="424"/>
      <c r="EA808" s="424"/>
      <c r="EB808" s="424"/>
      <c r="EC808" s="424"/>
      <c r="ED808" s="424"/>
      <c r="EE808" s="424"/>
      <c r="EF808" s="424"/>
      <c r="EG808" s="424"/>
      <c r="EH808" s="424"/>
      <c r="EI808" s="424"/>
      <c r="EJ808" s="424"/>
      <c r="EK808" s="424"/>
      <c r="EL808" s="424"/>
      <c r="EM808" s="424"/>
      <c r="EN808" s="424"/>
      <c r="EO808" s="424"/>
      <c r="EP808" s="424"/>
      <c r="EQ808" s="424"/>
      <c r="ER808" s="398"/>
      <c r="ES808" s="329" t="s">
        <v>157</v>
      </c>
      <c r="ET808" s="329" t="s">
        <v>158</v>
      </c>
      <c r="EU808" s="399"/>
      <c r="EV808" s="400"/>
      <c r="EW808" s="401" t="s">
        <v>160</v>
      </c>
      <c r="EX808" s="402" t="s">
        <v>135</v>
      </c>
      <c r="EY808" s="398"/>
      <c r="EZ808" s="365"/>
      <c r="FA808" s="365"/>
      <c r="FB808" s="424"/>
      <c r="FC808" s="424"/>
      <c r="FD808" s="425"/>
      <c r="FE808" s="333"/>
    </row>
    <row r="809" spans="86:161" x14ac:dyDescent="0.25">
      <c r="CH809" s="445"/>
      <c r="CI809" s="300"/>
      <c r="CJ809" s="300"/>
      <c r="CK809" s="300"/>
      <c r="CL809" s="449"/>
      <c r="CM809" s="445"/>
      <c r="DG809" s="445"/>
      <c r="DH809" s="300"/>
      <c r="DI809" s="395" t="str">
        <f t="shared" ca="1" si="1181"/>
        <v/>
      </c>
      <c r="DJ809" s="478" t="str">
        <f t="shared" ca="1" si="1175"/>
        <v/>
      </c>
      <c r="DK809" s="360" t="str">
        <f t="shared" ca="1" si="1176"/>
        <v/>
      </c>
      <c r="DL809" s="354" t="str">
        <f t="shared" ca="1" si="1177"/>
        <v/>
      </c>
      <c r="DM809" s="354" t="str">
        <f t="shared" ca="1" si="1178"/>
        <v/>
      </c>
      <c r="DN809" s="361" t="str">
        <f t="shared" ca="1" si="1179"/>
        <v/>
      </c>
      <c r="DO809" s="362" t="str">
        <f t="shared" ca="1" si="1180"/>
        <v/>
      </c>
      <c r="DP809" s="379" t="str">
        <f t="shared" ca="1" si="1182"/>
        <v/>
      </c>
      <c r="DQ809" s="302"/>
      <c r="DR809" s="364"/>
      <c r="DS809" s="302"/>
      <c r="DU809" s="424"/>
      <c r="DV809" s="424"/>
      <c r="DW809" s="424"/>
      <c r="DX809" s="424"/>
      <c r="DY809" s="424"/>
      <c r="DZ809" s="424"/>
      <c r="EA809" s="424"/>
      <c r="EB809" s="424"/>
      <c r="EC809" s="424"/>
      <c r="ED809" s="424"/>
      <c r="EE809" s="424"/>
      <c r="EF809" s="424"/>
      <c r="EG809" s="424"/>
      <c r="EH809" s="424"/>
      <c r="EI809" s="424"/>
      <c r="EJ809" s="424"/>
      <c r="EK809" s="424"/>
      <c r="EL809" s="424"/>
      <c r="EM809" s="424"/>
      <c r="EN809" s="424"/>
      <c r="EO809" s="424"/>
      <c r="EP809" s="424"/>
      <c r="EQ809" s="424"/>
      <c r="ER809" s="404" t="str">
        <f ca="1">ER806</f>
        <v/>
      </c>
      <c r="ES809" s="371" t="str">
        <f ca="1">IF(OR(ER809="",EY809="",ER809=EY809),"",CONCATENATE(ER809,EY809))</f>
        <v/>
      </c>
      <c r="ET809" s="369" t="str">
        <f ca="1">IF(ES809="","",CONCATENATE(VLOOKUP(ES809,games.a,9,FALSE),VLOOKUP(ES809,games.a,12,FALSE)))</f>
        <v/>
      </c>
      <c r="EU809" s="406"/>
      <c r="EV809" s="407"/>
      <c r="EW809" s="423" t="str">
        <f ca="1">IF(ES809="","",VLOOKUP(ES809,games.a,6,FALSE))</f>
        <v/>
      </c>
      <c r="EX809" s="409" t="str">
        <f ca="1">IF(ES809="","",VLOOKUP(ES809,games.a,7,FALSE))</f>
        <v/>
      </c>
      <c r="EY809" s="410" t="str">
        <f ca="1">ER807</f>
        <v/>
      </c>
      <c r="EZ809" s="411"/>
      <c r="FA809" s="412"/>
      <c r="FB809" s="424"/>
      <c r="FC809" s="424"/>
      <c r="FD809" s="425"/>
      <c r="FE809" s="333"/>
    </row>
    <row r="810" spans="86:161" x14ac:dyDescent="0.25">
      <c r="CH810" s="445"/>
      <c r="CI810" s="300"/>
      <c r="CJ810" s="300"/>
      <c r="CK810" s="300"/>
      <c r="CL810" s="449"/>
      <c r="CM810" s="445"/>
      <c r="DG810" s="445"/>
      <c r="DH810" s="300"/>
      <c r="DI810" s="395" t="str">
        <f t="shared" ca="1" si="1181"/>
        <v/>
      </c>
      <c r="DJ810" s="478" t="str">
        <f t="shared" ca="1" si="1175"/>
        <v/>
      </c>
      <c r="DK810" s="360" t="str">
        <f t="shared" ca="1" si="1176"/>
        <v/>
      </c>
      <c r="DL810" s="354" t="str">
        <f t="shared" ca="1" si="1177"/>
        <v/>
      </c>
      <c r="DM810" s="354" t="str">
        <f t="shared" ca="1" si="1178"/>
        <v/>
      </c>
      <c r="DN810" s="361" t="str">
        <f t="shared" ca="1" si="1179"/>
        <v/>
      </c>
      <c r="DO810" s="362" t="str">
        <f t="shared" ca="1" si="1180"/>
        <v/>
      </c>
      <c r="DP810" s="379" t="str">
        <f t="shared" ca="1" si="1182"/>
        <v/>
      </c>
      <c r="DQ810" s="302"/>
      <c r="DR810" s="364"/>
      <c r="DS810" s="302"/>
      <c r="DU810" s="424"/>
      <c r="DV810" s="424"/>
      <c r="DW810" s="424"/>
      <c r="DX810" s="424"/>
      <c r="DY810" s="424"/>
      <c r="DZ810" s="424"/>
      <c r="EA810" s="424"/>
      <c r="EB810" s="424"/>
      <c r="EC810" s="424"/>
      <c r="ED810" s="424"/>
      <c r="EE810" s="424"/>
      <c r="EF810" s="424"/>
      <c r="EG810" s="424"/>
      <c r="EH810" s="424"/>
      <c r="EI810" s="424"/>
      <c r="EJ810" s="424"/>
      <c r="EK810" s="424"/>
      <c r="EL810" s="424"/>
      <c r="EM810" s="424"/>
      <c r="EN810" s="424"/>
      <c r="EO810" s="424"/>
      <c r="EP810" s="424"/>
      <c r="EQ810" s="424"/>
      <c r="ER810" s="404" t="str">
        <f ca="1">ER807</f>
        <v/>
      </c>
      <c r="ES810" s="371" t="str">
        <f ca="1">IF(OR(ER810="",EY810="",ER810=EY810),"",CONCATENATE(ER810,EY810))</f>
        <v/>
      </c>
      <c r="ET810" s="369" t="str">
        <f ca="1">IF(ES810="","",CONCATENATE(VLOOKUP(ES810,games.a,9,FALSE),VLOOKUP(ES810,games.a,12,FALSE)))</f>
        <v/>
      </c>
      <c r="EU810" s="420"/>
      <c r="EV810" s="421"/>
      <c r="EW810" s="423" t="str">
        <f ca="1">IF(ES810="","",VLOOKUP(ES810,games.a,6,FALSE))</f>
        <v/>
      </c>
      <c r="EX810" s="409" t="str">
        <f ca="1">IF(ES810="","",VLOOKUP(ES810,games.a,7,FALSE))</f>
        <v/>
      </c>
      <c r="EY810" s="415" t="str">
        <f ca="1">EY809</f>
        <v/>
      </c>
      <c r="EZ810" s="416"/>
      <c r="FA810" s="417"/>
      <c r="FB810" s="424"/>
      <c r="FC810" s="424"/>
      <c r="FD810" s="425"/>
      <c r="FE810" s="333"/>
    </row>
    <row r="811" spans="86:161" x14ac:dyDescent="0.25">
      <c r="CH811" s="445"/>
      <c r="CI811" s="300"/>
      <c r="CJ811" s="300"/>
      <c r="CK811" s="300"/>
      <c r="CL811" s="449"/>
      <c r="CM811" s="445"/>
      <c r="DG811" s="445"/>
      <c r="DH811" s="445"/>
      <c r="DI811" s="301"/>
      <c r="DJ811" s="302"/>
      <c r="DK811" s="302"/>
      <c r="DL811" s="302"/>
      <c r="DM811" s="302"/>
      <c r="DN811" s="302"/>
      <c r="DO811" s="302"/>
      <c r="DP811" s="447"/>
      <c r="DQ811" s="302"/>
      <c r="DR811" s="446" t="s">
        <v>215</v>
      </c>
      <c r="DS811" s="302"/>
      <c r="DU811" s="424"/>
      <c r="DV811" s="424"/>
      <c r="DW811" s="424"/>
      <c r="DX811" s="424"/>
      <c r="DY811" s="424"/>
      <c r="DZ811" s="424"/>
      <c r="EA811" s="424"/>
      <c r="EB811" s="424"/>
      <c r="EC811" s="424"/>
      <c r="ED811" s="424"/>
      <c r="EE811" s="424"/>
      <c r="EF811" s="424"/>
      <c r="EG811" s="424"/>
      <c r="EH811" s="424"/>
      <c r="EI811" s="424"/>
      <c r="EJ811" s="424"/>
      <c r="EK811" s="424"/>
      <c r="EL811" s="424"/>
      <c r="EM811" s="424"/>
      <c r="EN811" s="424"/>
      <c r="EO811" s="424"/>
      <c r="EP811" s="424"/>
      <c r="EQ811" s="424"/>
      <c r="ER811" s="424"/>
      <c r="ES811" s="424"/>
      <c r="ET811" s="424"/>
      <c r="EU811" s="424"/>
      <c r="EV811" s="424"/>
      <c r="EW811" s="424"/>
      <c r="EX811" s="424"/>
      <c r="EY811" s="424"/>
      <c r="EZ811" s="424"/>
      <c r="FA811" s="424"/>
      <c r="FB811" s="424"/>
      <c r="FC811" s="424"/>
      <c r="FD811" s="425"/>
      <c r="FE811" s="333"/>
    </row>
    <row r="812" spans="86:161" x14ac:dyDescent="0.25">
      <c r="CH812" s="445"/>
      <c r="CI812" s="300"/>
      <c r="CJ812" s="300"/>
      <c r="CK812" s="300"/>
      <c r="CL812" s="449"/>
      <c r="CM812" s="445"/>
      <c r="DG812" s="445"/>
      <c r="DH812" s="445"/>
      <c r="DI812" s="301"/>
      <c r="DJ812" s="302"/>
      <c r="DK812" s="302"/>
      <c r="DL812" s="302"/>
      <c r="DM812" s="302"/>
      <c r="DN812" s="302"/>
      <c r="DO812" s="302"/>
      <c r="DP812" s="447"/>
      <c r="DQ812" s="302"/>
      <c r="DR812" s="450" t="s">
        <v>216</v>
      </c>
      <c r="DS812" s="302"/>
      <c r="DU812" s="424"/>
      <c r="DV812" s="424"/>
      <c r="DW812" s="424"/>
      <c r="DX812" s="424"/>
      <c r="DY812" s="424"/>
      <c r="DZ812" s="424"/>
      <c r="EA812" s="424"/>
      <c r="EB812" s="424"/>
      <c r="EC812" s="424"/>
      <c r="ED812" s="424"/>
      <c r="EE812" s="424"/>
      <c r="EF812" s="424"/>
      <c r="EG812" s="424"/>
      <c r="EH812" s="424"/>
      <c r="EI812" s="424"/>
      <c r="EJ812" s="424"/>
      <c r="EK812" s="424"/>
      <c r="EL812" s="424"/>
      <c r="EM812" s="424"/>
      <c r="EN812" s="424"/>
      <c r="EO812" s="424"/>
      <c r="EP812" s="424"/>
      <c r="EQ812" s="424"/>
      <c r="ER812" s="424"/>
      <c r="ES812" s="424"/>
      <c r="ET812" s="424"/>
      <c r="EU812" s="424"/>
      <c r="EV812" s="424"/>
      <c r="EW812" s="424"/>
      <c r="EX812" s="424"/>
      <c r="EY812" s="424"/>
      <c r="EZ812" s="424"/>
      <c r="FA812" s="424"/>
      <c r="FB812" s="424"/>
      <c r="FC812" s="424"/>
      <c r="FD812" s="425"/>
      <c r="FE812" s="333"/>
    </row>
    <row r="813" spans="86:161" x14ac:dyDescent="0.25">
      <c r="CH813" s="445"/>
      <c r="CI813" s="300"/>
      <c r="CJ813" s="300"/>
      <c r="CK813" s="300"/>
      <c r="CL813" s="449"/>
      <c r="CM813" s="445"/>
      <c r="DG813" s="445"/>
      <c r="DH813" s="300"/>
      <c r="DI813" s="323" t="b">
        <f ca="1">OR(NOT($AJ$44),COUNTIF(DN813:DN842,"")=25-(DP813-1)*DP813,COUNTIF(DN813:DN842,"")=25-(DP813-1)*DP813/2)</f>
        <v>1</v>
      </c>
      <c r="DJ813" s="471" t="s">
        <v>157</v>
      </c>
      <c r="DK813" s="471" t="s">
        <v>158</v>
      </c>
      <c r="DL813" s="472" t="s">
        <v>159</v>
      </c>
      <c r="DM813" s="472"/>
      <c r="DN813" s="473" t="s">
        <v>160</v>
      </c>
      <c r="DO813" s="472" t="s">
        <v>135</v>
      </c>
      <c r="DP813" s="323">
        <f ca="1">COUNT(CW644:CW648)</f>
        <v>0</v>
      </c>
      <c r="DQ813" s="302"/>
      <c r="DR813" s="364"/>
      <c r="DS813" s="302"/>
      <c r="DU813" s="424"/>
      <c r="DV813" s="329" t="s">
        <v>229</v>
      </c>
      <c r="DW813" s="365"/>
      <c r="DX813" s="329" t="s">
        <v>152</v>
      </c>
      <c r="DY813" s="329" t="s">
        <v>153</v>
      </c>
      <c r="DZ813" s="329" t="s">
        <v>154</v>
      </c>
      <c r="EA813" s="329" t="s">
        <v>155</v>
      </c>
      <c r="EB813" s="329" t="s">
        <v>125</v>
      </c>
      <c r="EC813" s="329" t="s">
        <v>226</v>
      </c>
      <c r="ED813" s="329" t="s">
        <v>126</v>
      </c>
      <c r="EE813" s="329" t="s">
        <v>227</v>
      </c>
      <c r="EF813" s="424"/>
      <c r="EG813" s="424"/>
      <c r="EH813" s="424"/>
      <c r="EI813" s="329" t="s">
        <v>228</v>
      </c>
      <c r="EJ813" s="329" t="s">
        <v>156</v>
      </c>
      <c r="EK813" s="329" t="s">
        <v>208</v>
      </c>
      <c r="EL813" s="424"/>
      <c r="EM813" s="424"/>
      <c r="EN813" s="424"/>
      <c r="EO813" s="424"/>
      <c r="EP813" s="424"/>
      <c r="EQ813" s="424"/>
      <c r="ER813" s="424"/>
      <c r="ES813" s="424"/>
      <c r="ET813" s="424"/>
      <c r="EU813" s="424"/>
      <c r="EV813" s="424"/>
      <c r="EW813" s="424"/>
      <c r="EX813" s="424"/>
      <c r="EY813" s="424"/>
      <c r="EZ813" s="424"/>
      <c r="FA813" s="424"/>
      <c r="FB813" s="424"/>
      <c r="FC813" s="424"/>
      <c r="FD813" s="425"/>
      <c r="FE813" s="333"/>
    </row>
    <row r="814" spans="86:161" x14ac:dyDescent="0.25">
      <c r="CH814" s="445"/>
      <c r="CI814" s="300"/>
      <c r="CJ814" s="300"/>
      <c r="CK814" s="300"/>
      <c r="CL814" s="449"/>
      <c r="CM814" s="445"/>
      <c r="DG814" s="445"/>
      <c r="DH814" s="300"/>
      <c r="DI814" s="477" t="str">
        <f ca="1">IF(CW644="","",VLOOKUP(CW644,xxx.an1,10,FALSE))</f>
        <v/>
      </c>
      <c r="DJ814" s="478" t="str">
        <f ca="1">IF(OR(DI814="",DP814="",DI814=DP814,COUNTIF(games.an,DI814&amp;DP814)=0),"",CONCATENATE(DI814,DP814))</f>
        <v/>
      </c>
      <c r="DK814" s="360" t="str">
        <f ca="1">IF($DJ814="","",CONCATENATE(VLOOKUP($DJ814,games.a,9,FALSE),VLOOKUP($DJ814,games.a,12,FALSE)))</f>
        <v/>
      </c>
      <c r="DL814" s="354" t="str">
        <f ca="1">IF($DJ814="","",VLOOKUP($DJ814,games.a,10,FALSE))</f>
        <v/>
      </c>
      <c r="DM814" s="354" t="str">
        <f ca="1">IF($DJ814="","",VLOOKUP($DJ814,games.a,13,FALSE))</f>
        <v/>
      </c>
      <c r="DN814" s="361" t="str">
        <f ca="1">IF($DJ814="","",VLOOKUP($DJ814,games.a,6,FALSE))</f>
        <v/>
      </c>
      <c r="DO814" s="362" t="str">
        <f ca="1">IF($DJ814="","",VLOOKUP($DJ814,games.a,7,FALSE))</f>
        <v/>
      </c>
      <c r="DP814" s="479" t="str">
        <f ca="1">DI814</f>
        <v/>
      </c>
      <c r="DQ814" s="302"/>
      <c r="DR814" s="364"/>
      <c r="DS814" s="302"/>
      <c r="DU814" s="424"/>
      <c r="DV814" s="366" t="str">
        <f ca="1">IF(OR(NOT($AJ$44),DI813),DI814,"")</f>
        <v/>
      </c>
      <c r="DW814" s="365"/>
      <c r="DX814" s="366">
        <f ca="1">IF($DV814="",0,COUNTIF(xxgy.an,$DV814))</f>
        <v>0</v>
      </c>
      <c r="DY814" s="366">
        <f ca="1">IF($DV814="",0,COUNTIF(xxd.an,$DV814))</f>
        <v>0</v>
      </c>
      <c r="DZ814" s="366">
        <f ca="1">IF($DV814="",0,1)*(SUMIF(xxo.an,$DV814,xxl.an)+SUMIF(xxi.an,$DV814,xxk.an))</f>
        <v>0</v>
      </c>
      <c r="EA814" s="366">
        <f ca="1">IF($DV814="",0,1)*(SUMIF(xxo.an,$DV814,xxk.an)+SUMIF(xxi.an,$DV814,xxl.an))</f>
        <v>0</v>
      </c>
      <c r="EB814" s="366">
        <f ca="1">DZ814-EA814</f>
        <v>0</v>
      </c>
      <c r="EC814" s="366">
        <f ca="1">IF(EA814=0,0,DZ814/EA814)</f>
        <v>0</v>
      </c>
      <c r="ED814" s="366">
        <f ca="1">$AJ$48*DX814+IF($AJ$44,0,1)*DY814</f>
        <v>0</v>
      </c>
      <c r="EE814" s="396">
        <f ca="1">ED814*1000000+IF($AJ$44,EC814,EB814)*1000*0</f>
        <v>0</v>
      </c>
      <c r="EF814" s="424"/>
      <c r="EG814" s="424"/>
      <c r="EH814" s="424"/>
      <c r="EI814" s="366">
        <f ca="1">IF(OR(ISERR(EE814),ISNA(EE814)),0,EE814)</f>
        <v>0</v>
      </c>
      <c r="EJ814" s="366">
        <f ca="1">IF(EI814=0,0,RANK(EI814,EI814:EI818,1))</f>
        <v>0</v>
      </c>
      <c r="EK814" s="366">
        <f ca="1">EJ814*40000*IF(COUNTIF($FC$644:$FC$667,DV814)&gt;0,0,1)</f>
        <v>0</v>
      </c>
      <c r="EL814" s="424"/>
      <c r="EM814" s="424"/>
      <c r="EN814" s="424"/>
      <c r="EO814" s="424"/>
      <c r="EP814" s="424"/>
      <c r="EQ814" s="424"/>
      <c r="ER814" s="424"/>
      <c r="ES814" s="424"/>
      <c r="ET814" s="424"/>
      <c r="EU814" s="424"/>
      <c r="EV814" s="424"/>
      <c r="EW814" s="424"/>
      <c r="EX814" s="424"/>
      <c r="EY814" s="424"/>
      <c r="EZ814" s="424"/>
      <c r="FA814" s="424"/>
      <c r="FB814" s="424"/>
      <c r="FC814" s="424"/>
      <c r="FD814" s="425"/>
      <c r="FE814" s="333"/>
    </row>
    <row r="815" spans="86:161" x14ac:dyDescent="0.25">
      <c r="CH815" s="445"/>
      <c r="CI815" s="300"/>
      <c r="CJ815" s="300"/>
      <c r="CK815" s="300"/>
      <c r="CL815" s="449"/>
      <c r="CM815" s="445"/>
      <c r="DG815" s="445"/>
      <c r="DH815" s="300"/>
      <c r="DI815" s="477" t="str">
        <f ca="1">IF(CW645="","",VLOOKUP(CW645,xxx.an1,10,FALSE))</f>
        <v/>
      </c>
      <c r="DJ815" s="478" t="str">
        <f ca="1">IF(OR(DI815="",DP815="",DI815=DP815,COUNTIF(games.an,DI815&amp;DP815)=0),"",CONCATENATE(DI815,DP815))</f>
        <v/>
      </c>
      <c r="DK815" s="360" t="str">
        <f ca="1">IF($DJ815="","",CONCATENATE(VLOOKUP($DJ815,games.a,9,FALSE),VLOOKUP($DJ815,games.a,12,FALSE)))</f>
        <v/>
      </c>
      <c r="DL815" s="354" t="str">
        <f ca="1">IF($DJ815="","",VLOOKUP($DJ815,games.a,10,FALSE))</f>
        <v/>
      </c>
      <c r="DM815" s="354" t="str">
        <f ca="1">IF($DJ815="","",VLOOKUP($DJ815,games.a,13,FALSE))</f>
        <v/>
      </c>
      <c r="DN815" s="361" t="str">
        <f ca="1">IF($DJ815="","",VLOOKUP($DJ815,games.a,6,FALSE))</f>
        <v/>
      </c>
      <c r="DO815" s="362" t="str">
        <f ca="1">IF($DJ815="","",VLOOKUP($DJ815,games.a,7,FALSE))</f>
        <v/>
      </c>
      <c r="DP815" s="379" t="str">
        <f ca="1">DP814</f>
        <v/>
      </c>
      <c r="DQ815" s="302"/>
      <c r="DR815" s="364"/>
      <c r="DS815" s="302"/>
      <c r="DU815" s="424"/>
      <c r="DV815" s="366" t="str">
        <f ca="1">IF(OR(NOT($AJ$44),DI813),DI815,"")</f>
        <v/>
      </c>
      <c r="DW815" s="365"/>
      <c r="DX815" s="366">
        <f ca="1">IF($DV815="",0,COUNTIF(xxgy.an,$DV815))</f>
        <v>0</v>
      </c>
      <c r="DY815" s="366">
        <f ca="1">IF($DV815="",0,COUNTIF(xxd.an,$DV815))</f>
        <v>0</v>
      </c>
      <c r="DZ815" s="366">
        <f ca="1">IF($DV815="",0,1)*(SUMIF(xxo.an,$DV815,xxl.an)+SUMIF(xxi.an,$DV815,xxk.an))</f>
        <v>0</v>
      </c>
      <c r="EA815" s="366">
        <f ca="1">IF($DV815="",0,1)*(SUMIF(xxo.an,$DV815,xxk.an)+SUMIF(xxi.an,$DV815,xxl.an))</f>
        <v>0</v>
      </c>
      <c r="EB815" s="366">
        <f ca="1">DZ815-EA815</f>
        <v>0</v>
      </c>
      <c r="EC815" s="366">
        <f ca="1">IF(EA815=0,0,DZ815/EA815)</f>
        <v>0</v>
      </c>
      <c r="ED815" s="366">
        <f ca="1">$AJ$48*DX815+IF($AJ$44,0,1)*DY815</f>
        <v>0</v>
      </c>
      <c r="EE815" s="396">
        <f ca="1">ED815*1000000+IF($AJ$44,EC815,EB815)*1000*0</f>
        <v>0</v>
      </c>
      <c r="EF815" s="424"/>
      <c r="EG815" s="424"/>
      <c r="EH815" s="424"/>
      <c r="EI815" s="366">
        <f ca="1">IF(OR(ISERR(EE815),ISNA(EE815)),0,EE815)</f>
        <v>0</v>
      </c>
      <c r="EJ815" s="366">
        <f ca="1">IF(EI815=0,0,RANK(EI815,EI814:EI818,1))</f>
        <v>0</v>
      </c>
      <c r="EK815" s="366">
        <f ca="1">EJ815*40000*IF(COUNTIF($FC$644:$FC$667,DV815)&gt;0,0,1)</f>
        <v>0</v>
      </c>
      <c r="EL815" s="424"/>
      <c r="EM815" s="424"/>
      <c r="EN815" s="424"/>
      <c r="EO815" s="424"/>
      <c r="EP815" s="424"/>
      <c r="EQ815" s="424"/>
      <c r="ER815" s="424"/>
      <c r="ES815" s="424"/>
      <c r="ET815" s="424"/>
      <c r="EU815" s="424"/>
      <c r="EV815" s="424"/>
      <c r="EW815" s="424"/>
      <c r="EX815" s="424"/>
      <c r="EY815" s="424"/>
      <c r="EZ815" s="424"/>
      <c r="FA815" s="424"/>
      <c r="FB815" s="424"/>
      <c r="FC815" s="424"/>
      <c r="FD815" s="425"/>
      <c r="FE815" s="333"/>
    </row>
    <row r="816" spans="86:161" x14ac:dyDescent="0.25">
      <c r="CH816" s="445"/>
      <c r="CI816" s="300"/>
      <c r="CJ816" s="300"/>
      <c r="CK816" s="300"/>
      <c r="CL816" s="449"/>
      <c r="CM816" s="445"/>
      <c r="DG816" s="445"/>
      <c r="DH816" s="300"/>
      <c r="DI816" s="477" t="str">
        <f ca="1">IF(CW646="","",VLOOKUP(CW646,xxx.an1,10,FALSE))</f>
        <v/>
      </c>
      <c r="DJ816" s="478" t="str">
        <f ca="1">IF(OR(DI816="",DP816="",DI816=DP816,COUNTIF(games.an,DI816&amp;DP816)=0),"",CONCATENATE(DI816,DP816))</f>
        <v/>
      </c>
      <c r="DK816" s="360" t="str">
        <f ca="1">IF($DJ816="","",CONCATENATE(VLOOKUP($DJ816,games.a,9,FALSE),VLOOKUP($DJ816,games.a,12,FALSE)))</f>
        <v/>
      </c>
      <c r="DL816" s="354" t="str">
        <f ca="1">IF($DJ816="","",VLOOKUP($DJ816,games.a,10,FALSE))</f>
        <v/>
      </c>
      <c r="DM816" s="354" t="str">
        <f ca="1">IF($DJ816="","",VLOOKUP($DJ816,games.a,13,FALSE))</f>
        <v/>
      </c>
      <c r="DN816" s="361" t="str">
        <f ca="1">IF($DJ816="","",VLOOKUP($DJ816,games.a,6,FALSE))</f>
        <v/>
      </c>
      <c r="DO816" s="362" t="str">
        <f ca="1">IF($DJ816="","",VLOOKUP($DJ816,games.a,7,FALSE))</f>
        <v/>
      </c>
      <c r="DP816" s="379" t="str">
        <f ca="1">DP815</f>
        <v/>
      </c>
      <c r="DQ816" s="302"/>
      <c r="DR816" s="364"/>
      <c r="DS816" s="302"/>
      <c r="DU816" s="424"/>
      <c r="DV816" s="366" t="str">
        <f ca="1">IF(OR(NOT($AJ$44),DI813),DI816,"")</f>
        <v/>
      </c>
      <c r="DW816" s="365"/>
      <c r="DX816" s="366">
        <f ca="1">IF($DV816="",0,COUNTIF(xxgy.an,$DV816))</f>
        <v>0</v>
      </c>
      <c r="DY816" s="366">
        <f ca="1">IF($DV816="",0,COUNTIF(xxd.an,$DV816))</f>
        <v>0</v>
      </c>
      <c r="DZ816" s="366">
        <f ca="1">IF($DV816="",0,1)*(SUMIF(xxo.an,$DV816,xxl.an)+SUMIF(xxi.an,$DV816,xxk.an))</f>
        <v>0</v>
      </c>
      <c r="EA816" s="366">
        <f ca="1">IF($DV816="",0,1)*(SUMIF(xxo.an,$DV816,xxk.an)+SUMIF(xxi.an,$DV816,xxl.an))</f>
        <v>0</v>
      </c>
      <c r="EB816" s="366">
        <f ca="1">DZ816-EA816</f>
        <v>0</v>
      </c>
      <c r="EC816" s="366">
        <f ca="1">IF(EA816=0,0,DZ816/EA816)</f>
        <v>0</v>
      </c>
      <c r="ED816" s="366">
        <f ca="1">$AJ$48*DX816+IF($AJ$44,0,1)*DY816</f>
        <v>0</v>
      </c>
      <c r="EE816" s="396">
        <f ca="1">ED816*1000000+IF($AJ$44,EC816,EB816)*1000*0</f>
        <v>0</v>
      </c>
      <c r="EF816" s="424"/>
      <c r="EG816" s="424"/>
      <c r="EH816" s="424"/>
      <c r="EI816" s="366">
        <f ca="1">IF(OR(ISERR(EE816),ISNA(EE816)),0,EE816)</f>
        <v>0</v>
      </c>
      <c r="EJ816" s="366">
        <f ca="1">IF(EI816=0,0,RANK(EI816,EI814:EI818,1))</f>
        <v>0</v>
      </c>
      <c r="EK816" s="366">
        <f ca="1">EJ816*40000*IF(COUNTIF($FC$644:$FC$667,DV816)&gt;0,0,1)</f>
        <v>0</v>
      </c>
      <c r="EL816" s="424"/>
      <c r="EM816" s="424"/>
      <c r="EN816" s="424"/>
      <c r="EO816" s="424"/>
      <c r="EP816" s="424"/>
      <c r="EQ816" s="424"/>
      <c r="ER816" s="424"/>
      <c r="ES816" s="424"/>
      <c r="ET816" s="424"/>
      <c r="EU816" s="424"/>
      <c r="EV816" s="424"/>
      <c r="EW816" s="424"/>
      <c r="EX816" s="424"/>
      <c r="EY816" s="424"/>
      <c r="EZ816" s="424"/>
      <c r="FA816" s="424"/>
      <c r="FB816" s="424"/>
      <c r="FC816" s="424"/>
      <c r="FD816" s="425"/>
      <c r="FE816" s="333"/>
    </row>
    <row r="817" spans="86:161" x14ac:dyDescent="0.25">
      <c r="CH817" s="445"/>
      <c r="CI817" s="300"/>
      <c r="CJ817" s="300"/>
      <c r="CK817" s="300"/>
      <c r="CL817" s="449"/>
      <c r="CM817" s="445"/>
      <c r="DG817" s="445"/>
      <c r="DH817" s="300"/>
      <c r="DI817" s="477" t="str">
        <f ca="1">IF(CW647="","",VLOOKUP(CW647,xxx.an1,10,FALSE))</f>
        <v/>
      </c>
      <c r="DJ817" s="478" t="str">
        <f ca="1">IF(OR(DI817="",DP817="",DI817=DP817,COUNTIF(games.an,DI817&amp;DP817)=0),"",CONCATENATE(DI817,DP817))</f>
        <v/>
      </c>
      <c r="DK817" s="360" t="str">
        <f ca="1">IF($DJ817="","",CONCATENATE(VLOOKUP($DJ817,games.a,9,FALSE),VLOOKUP($DJ817,games.a,12,FALSE)))</f>
        <v/>
      </c>
      <c r="DL817" s="354" t="str">
        <f ca="1">IF($DJ817="","",VLOOKUP($DJ817,games.a,10,FALSE))</f>
        <v/>
      </c>
      <c r="DM817" s="354" t="str">
        <f ca="1">IF($DJ817="","",VLOOKUP($DJ817,games.a,13,FALSE))</f>
        <v/>
      </c>
      <c r="DN817" s="361" t="str">
        <f ca="1">IF($DJ817="","",VLOOKUP($DJ817,games.a,6,FALSE))</f>
        <v/>
      </c>
      <c r="DO817" s="362" t="str">
        <f ca="1">IF($DJ817="","",VLOOKUP($DJ817,games.a,7,FALSE))</f>
        <v/>
      </c>
      <c r="DP817" s="379" t="str">
        <f ca="1">DP816</f>
        <v/>
      </c>
      <c r="DQ817" s="302"/>
      <c r="DR817" s="364"/>
      <c r="DS817" s="302"/>
      <c r="DU817" s="424"/>
      <c r="DV817" s="366" t="str">
        <f ca="1">IF(OR(NOT($AJ$44),DI813),DI817,"")</f>
        <v/>
      </c>
      <c r="DW817" s="365"/>
      <c r="DX817" s="366">
        <f ca="1">IF($DV817="",0,COUNTIF(xxgy.an,$DV817))</f>
        <v>0</v>
      </c>
      <c r="DY817" s="366">
        <f ca="1">IF($DV817="",0,COUNTIF(xxd.an,$DV817))</f>
        <v>0</v>
      </c>
      <c r="DZ817" s="366">
        <f ca="1">IF($DV817="",0,1)*(SUMIF(xxo.an,$DV817,xxl.an)+SUMIF(xxi.an,$DV817,xxk.an))</f>
        <v>0</v>
      </c>
      <c r="EA817" s="366">
        <f ca="1">IF($DV817="",0,1)*(SUMIF(xxo.an,$DV817,xxk.an)+SUMIF(xxi.an,$DV817,xxl.an))</f>
        <v>0</v>
      </c>
      <c r="EB817" s="366">
        <f ca="1">DZ817-EA817</f>
        <v>0</v>
      </c>
      <c r="EC817" s="366">
        <f ca="1">IF(EA817=0,0,DZ817/EA817)</f>
        <v>0</v>
      </c>
      <c r="ED817" s="366">
        <f ca="1">$AJ$48*DX817+IF($AJ$44,0,1)*DY817</f>
        <v>0</v>
      </c>
      <c r="EE817" s="396">
        <f ca="1">ED817*1000000+IF($AJ$44,EC817,EB817)*1000*0</f>
        <v>0</v>
      </c>
      <c r="EF817" s="424"/>
      <c r="EG817" s="424"/>
      <c r="EH817" s="424"/>
      <c r="EI817" s="366">
        <f ca="1">IF(OR(ISERR(EE817),ISNA(EE817)),0,EE817)</f>
        <v>0</v>
      </c>
      <c r="EJ817" s="366">
        <f ca="1">IF(EI817=0,0,RANK(EI817,EI814:EI818,1))</f>
        <v>0</v>
      </c>
      <c r="EK817" s="366">
        <f ca="1">EJ817*40000*IF(COUNTIF($FC$644:$FC$667,DV817)&gt;0,0,1)</f>
        <v>0</v>
      </c>
      <c r="EL817" s="424"/>
      <c r="EM817" s="424"/>
      <c r="EN817" s="424"/>
      <c r="EO817" s="424"/>
      <c r="EP817" s="424"/>
      <c r="EQ817" s="424"/>
      <c r="ER817" s="424"/>
      <c r="ES817" s="424"/>
      <c r="ET817" s="424"/>
      <c r="EU817" s="424"/>
      <c r="EV817" s="424"/>
      <c r="EW817" s="424"/>
      <c r="EX817" s="424"/>
      <c r="EY817" s="424"/>
      <c r="EZ817" s="424"/>
      <c r="FA817" s="424"/>
      <c r="FB817" s="424"/>
      <c r="FC817" s="424"/>
      <c r="FD817" s="425"/>
      <c r="FE817" s="333"/>
    </row>
    <row r="818" spans="86:161" x14ac:dyDescent="0.25">
      <c r="CH818" s="445"/>
      <c r="CI818" s="300"/>
      <c r="CJ818" s="300"/>
      <c r="CK818" s="300"/>
      <c r="CL818" s="449"/>
      <c r="CM818" s="445"/>
      <c r="DG818" s="445"/>
      <c r="DH818" s="300"/>
      <c r="DI818" s="477" t="str">
        <f ca="1">IF(CW648="","",VLOOKUP(CW648,xxx.an1,10,FALSE))</f>
        <v/>
      </c>
      <c r="DJ818" s="478" t="str">
        <f ca="1">IF(OR(DI818="",DP818="",DI818=DP818,COUNTIF(games.an,DI818&amp;DP818)=0),"",CONCATENATE(DI818,DP818))</f>
        <v/>
      </c>
      <c r="DK818" s="360" t="str">
        <f ca="1">IF($DJ818="","",CONCATENATE(VLOOKUP($DJ818,games.a,9,FALSE),VLOOKUP($DJ818,games.a,12,FALSE)))</f>
        <v/>
      </c>
      <c r="DL818" s="354" t="str">
        <f ca="1">IF($DJ818="","",VLOOKUP($DJ818,games.a,10,FALSE))</f>
        <v/>
      </c>
      <c r="DM818" s="354" t="str">
        <f ca="1">IF($DJ818="","",VLOOKUP($DJ818,games.a,13,FALSE))</f>
        <v/>
      </c>
      <c r="DN818" s="361" t="str">
        <f ca="1">IF($DJ818="","",VLOOKUP($DJ818,games.a,6,FALSE))</f>
        <v/>
      </c>
      <c r="DO818" s="362" t="str">
        <f ca="1">IF($DJ818="","",VLOOKUP($DJ818,games.a,7,FALSE))</f>
        <v/>
      </c>
      <c r="DP818" s="379" t="str">
        <f ca="1">DP817</f>
        <v/>
      </c>
      <c r="DQ818" s="302"/>
      <c r="DR818" s="364"/>
      <c r="DS818" s="302"/>
      <c r="DU818" s="424"/>
      <c r="DV818" s="366" t="str">
        <f ca="1">IF(OR(NOT($AJ$44),DI813),DI818,"")</f>
        <v/>
      </c>
      <c r="DW818" s="365"/>
      <c r="DX818" s="366">
        <f ca="1">IF($DV818="",0,COUNTIF(xxgy.an,$DV818))</f>
        <v>0</v>
      </c>
      <c r="DY818" s="366">
        <f ca="1">IF($DV818="",0,COUNTIF(xxd.an,$DV818))</f>
        <v>0</v>
      </c>
      <c r="DZ818" s="366">
        <f ca="1">IF($DV818="",0,1)*(SUMIF(xxo.an,$DV818,xxl.an)+SUMIF(xxi.an,$DV818,xxk.an))</f>
        <v>0</v>
      </c>
      <c r="EA818" s="366">
        <f ca="1">IF($DV818="",0,1)*(SUMIF(xxo.an,$DV818,xxk.an)+SUMIF(xxi.an,$DV818,xxl.an))</f>
        <v>0</v>
      </c>
      <c r="EB818" s="366">
        <f ca="1">DZ818-EA818</f>
        <v>0</v>
      </c>
      <c r="EC818" s="366">
        <f ca="1">IF(EA818=0,0,DZ818/EA818)</f>
        <v>0</v>
      </c>
      <c r="ED818" s="366">
        <f ca="1">$AJ$48*DX818+IF($AJ$44,0,1)*DY818</f>
        <v>0</v>
      </c>
      <c r="EE818" s="396">
        <f ca="1">ED818*1000000+IF($AJ$44,EC818,EB818)*1000*0</f>
        <v>0</v>
      </c>
      <c r="EF818" s="424"/>
      <c r="EG818" s="424"/>
      <c r="EH818" s="424"/>
      <c r="EI818" s="366">
        <f ca="1">IF(OR(ISERR(EE818),ISNA(EE818)),0,EE818)</f>
        <v>0</v>
      </c>
      <c r="EJ818" s="366">
        <f ca="1">IF(EI818=0,0,RANK(EI818,EI814:EI818,1))</f>
        <v>0</v>
      </c>
      <c r="EK818" s="366">
        <f ca="1">EJ818*40000*IF(COUNTIF($FC$644:$FC$667,DV818)&gt;0,0,1)</f>
        <v>0</v>
      </c>
      <c r="EL818" s="424"/>
      <c r="EM818" s="424"/>
      <c r="EN818" s="424"/>
      <c r="EO818" s="424"/>
      <c r="EP818" s="424"/>
      <c r="EQ818" s="424"/>
      <c r="ER818" s="424"/>
      <c r="ES818" s="424"/>
      <c r="ET818" s="424"/>
      <c r="EU818" s="424"/>
      <c r="EV818" s="424"/>
      <c r="EW818" s="424"/>
      <c r="EX818" s="424"/>
      <c r="EY818" s="424"/>
      <c r="EZ818" s="424"/>
      <c r="FA818" s="424"/>
      <c r="FB818" s="424"/>
      <c r="FC818" s="424"/>
      <c r="FD818" s="425"/>
      <c r="FE818" s="333"/>
    </row>
    <row r="819" spans="86:161" x14ac:dyDescent="0.25">
      <c r="CH819" s="445"/>
      <c r="CI819" s="300"/>
      <c r="CJ819" s="300"/>
      <c r="CK819" s="300"/>
      <c r="CL819" s="449"/>
      <c r="CM819" s="445"/>
      <c r="DG819" s="445"/>
      <c r="DH819" s="300"/>
      <c r="DI819" s="301"/>
      <c r="DJ819" s="471" t="s">
        <v>157</v>
      </c>
      <c r="DK819" s="471" t="s">
        <v>158</v>
      </c>
      <c r="DL819" s="472" t="s">
        <v>159</v>
      </c>
      <c r="DM819" s="472"/>
      <c r="DN819" s="473" t="s">
        <v>160</v>
      </c>
      <c r="DO819" s="472" t="s">
        <v>135</v>
      </c>
      <c r="DP819" s="302"/>
      <c r="DQ819" s="302"/>
      <c r="DR819" s="364"/>
      <c r="DS819" s="302"/>
      <c r="DU819" s="424"/>
      <c r="DV819" s="424"/>
      <c r="DW819" s="424"/>
      <c r="DX819" s="424"/>
      <c r="DY819" s="424"/>
      <c r="DZ819" s="424"/>
      <c r="EA819" s="424"/>
      <c r="EB819" s="424"/>
      <c r="EC819" s="424"/>
      <c r="ED819" s="424"/>
      <c r="EE819" s="424"/>
      <c r="EF819" s="424"/>
      <c r="EG819" s="424"/>
      <c r="EH819" s="424"/>
      <c r="EI819" s="424"/>
      <c r="EJ819" s="424"/>
      <c r="EK819" s="424"/>
      <c r="EL819" s="424"/>
      <c r="EM819" s="424"/>
      <c r="EN819" s="424"/>
      <c r="EO819" s="424"/>
      <c r="EP819" s="424"/>
      <c r="EQ819" s="424"/>
      <c r="ER819" s="424"/>
      <c r="ES819" s="424"/>
      <c r="ET819" s="424"/>
      <c r="EU819" s="424"/>
      <c r="EV819" s="424"/>
      <c r="EW819" s="424"/>
      <c r="EX819" s="424"/>
      <c r="EY819" s="424"/>
      <c r="EZ819" s="424"/>
      <c r="FA819" s="424"/>
      <c r="FB819" s="424"/>
      <c r="FC819" s="424"/>
      <c r="FD819" s="425"/>
      <c r="FE819" s="333"/>
    </row>
    <row r="820" spans="86:161" x14ac:dyDescent="0.25">
      <c r="CH820" s="445"/>
      <c r="CI820" s="300"/>
      <c r="CJ820" s="300"/>
      <c r="CK820" s="300"/>
      <c r="CL820" s="449"/>
      <c r="CM820" s="445"/>
      <c r="DG820" s="445"/>
      <c r="DH820" s="300"/>
      <c r="DI820" s="395" t="str">
        <f ca="1">DI814</f>
        <v/>
      </c>
      <c r="DJ820" s="478" t="str">
        <f ca="1">IF(OR(DI820="",DP820="",DI820=DP820,COUNTIF(games.an,DI820&amp;DP820)=0),"",CONCATENATE(DI820,DP820))</f>
        <v/>
      </c>
      <c r="DK820" s="360" t="str">
        <f ca="1">IF($DJ820="","",CONCATENATE(VLOOKUP($DJ820,games.a,9,FALSE),VLOOKUP($DJ820,games.a,12,FALSE)))</f>
        <v/>
      </c>
      <c r="DL820" s="354" t="str">
        <f ca="1">IF($DJ820="","",VLOOKUP($DJ820,games.a,10,FALSE))</f>
        <v/>
      </c>
      <c r="DM820" s="354" t="str">
        <f ca="1">IF($DJ820="","",VLOOKUP($DJ820,games.a,13,FALSE))</f>
        <v/>
      </c>
      <c r="DN820" s="361" t="str">
        <f ca="1">IF($DJ820="","",VLOOKUP($DJ820,games.a,6,FALSE))</f>
        <v/>
      </c>
      <c r="DO820" s="362" t="str">
        <f ca="1">IF($DJ820="","",VLOOKUP($DJ820,games.a,7,FALSE))</f>
        <v/>
      </c>
      <c r="DP820" s="479" t="str">
        <f ca="1">DI815</f>
        <v/>
      </c>
      <c r="DQ820" s="302"/>
      <c r="DR820" s="364"/>
      <c r="DS820" s="302"/>
      <c r="DU820" s="424"/>
      <c r="DV820" s="424"/>
      <c r="DW820" s="424"/>
      <c r="DX820" s="424"/>
      <c r="DY820" s="424"/>
      <c r="DZ820" s="424"/>
      <c r="EA820" s="424"/>
      <c r="EB820" s="424"/>
      <c r="EC820" s="424"/>
      <c r="ED820" s="424"/>
      <c r="EE820" s="424"/>
      <c r="EF820" s="424"/>
      <c r="EG820" s="424"/>
      <c r="EH820" s="424"/>
      <c r="EI820" s="424"/>
      <c r="EJ820" s="424"/>
      <c r="EK820" s="424"/>
      <c r="EL820" s="424"/>
      <c r="EM820" s="424"/>
      <c r="EN820" s="424"/>
      <c r="EO820" s="424"/>
      <c r="EP820" s="424"/>
      <c r="EQ820" s="424"/>
      <c r="ER820" s="424"/>
      <c r="ES820" s="424"/>
      <c r="ET820" s="424"/>
      <c r="EU820" s="424"/>
      <c r="EV820" s="424"/>
      <c r="EW820" s="424"/>
      <c r="EX820" s="424"/>
      <c r="EY820" s="424"/>
      <c r="EZ820" s="424"/>
      <c r="FA820" s="424"/>
      <c r="FB820" s="424"/>
      <c r="FC820" s="424"/>
      <c r="FD820" s="425"/>
      <c r="FE820" s="333"/>
    </row>
    <row r="821" spans="86:161" x14ac:dyDescent="0.25">
      <c r="CH821" s="445"/>
      <c r="CI821" s="300"/>
      <c r="CJ821" s="300"/>
      <c r="CK821" s="300"/>
      <c r="CL821" s="449"/>
      <c r="CM821" s="445"/>
      <c r="DG821" s="445"/>
      <c r="DH821" s="300"/>
      <c r="DI821" s="395" t="str">
        <f ca="1">DI815</f>
        <v/>
      </c>
      <c r="DJ821" s="478" t="str">
        <f ca="1">IF(OR(DI821="",DP821="",DI821=DP821,COUNTIF(games.an,DI821&amp;DP821)=0),"",CONCATENATE(DI821,DP821))</f>
        <v/>
      </c>
      <c r="DK821" s="360" t="str">
        <f ca="1">IF($DJ821="","",CONCATENATE(VLOOKUP($DJ821,games.a,9,FALSE),VLOOKUP($DJ821,games.a,12,FALSE)))</f>
        <v/>
      </c>
      <c r="DL821" s="354" t="str">
        <f ca="1">IF($DJ821="","",VLOOKUP($DJ821,games.a,10,FALSE))</f>
        <v/>
      </c>
      <c r="DM821" s="354" t="str">
        <f ca="1">IF($DJ821="","",VLOOKUP($DJ821,games.a,13,FALSE))</f>
        <v/>
      </c>
      <c r="DN821" s="361" t="str">
        <f ca="1">IF($DJ821="","",VLOOKUP($DJ821,games.a,6,FALSE))</f>
        <v/>
      </c>
      <c r="DO821" s="362" t="str">
        <f ca="1">IF($DJ821="","",VLOOKUP($DJ821,games.a,7,FALSE))</f>
        <v/>
      </c>
      <c r="DP821" s="379" t="str">
        <f ca="1">DP820</f>
        <v/>
      </c>
      <c r="DQ821" s="302"/>
      <c r="DR821" s="364"/>
      <c r="DS821" s="302"/>
      <c r="DU821" s="424"/>
      <c r="DV821" s="424"/>
      <c r="DW821" s="424"/>
      <c r="DX821" s="424"/>
      <c r="DY821" s="424"/>
      <c r="DZ821" s="424"/>
      <c r="EA821" s="424"/>
      <c r="EB821" s="424"/>
      <c r="EC821" s="424"/>
      <c r="ED821" s="424"/>
      <c r="EE821" s="424"/>
      <c r="EF821" s="424"/>
      <c r="EG821" s="424"/>
      <c r="EH821" s="424"/>
      <c r="EI821" s="424"/>
      <c r="EJ821" s="424"/>
      <c r="EK821" s="424"/>
      <c r="EL821" s="424"/>
      <c r="EM821" s="424"/>
      <c r="EN821" s="424"/>
      <c r="EO821" s="424"/>
      <c r="EP821" s="424"/>
      <c r="EQ821" s="424"/>
      <c r="ER821" s="424"/>
      <c r="ES821" s="424"/>
      <c r="ET821" s="424"/>
      <c r="EU821" s="424"/>
      <c r="EV821" s="424"/>
      <c r="EW821" s="424"/>
      <c r="EX821" s="424"/>
      <c r="EY821" s="424"/>
      <c r="EZ821" s="424"/>
      <c r="FA821" s="424"/>
      <c r="FB821" s="424"/>
      <c r="FC821" s="424"/>
      <c r="FD821" s="425"/>
      <c r="FE821" s="333"/>
    </row>
    <row r="822" spans="86:161" x14ac:dyDescent="0.25">
      <c r="CH822" s="445"/>
      <c r="CI822" s="300"/>
      <c r="CJ822" s="300"/>
      <c r="CK822" s="300"/>
      <c r="CL822" s="449"/>
      <c r="CM822" s="445"/>
      <c r="DG822" s="445"/>
      <c r="DH822" s="300"/>
      <c r="DI822" s="395" t="str">
        <f ca="1">DI816</f>
        <v/>
      </c>
      <c r="DJ822" s="478" t="str">
        <f ca="1">IF(OR(DI822="",DP822="",DI822=DP822,COUNTIF(games.an,DI822&amp;DP822)=0),"",CONCATENATE(DI822,DP822))</f>
        <v/>
      </c>
      <c r="DK822" s="360" t="str">
        <f ca="1">IF($DJ822="","",CONCATENATE(VLOOKUP($DJ822,games.a,9,FALSE),VLOOKUP($DJ822,games.a,12,FALSE)))</f>
        <v/>
      </c>
      <c r="DL822" s="354" t="str">
        <f ca="1">IF($DJ822="","",VLOOKUP($DJ822,games.a,10,FALSE))</f>
        <v/>
      </c>
      <c r="DM822" s="354" t="str">
        <f ca="1">IF($DJ822="","",VLOOKUP($DJ822,games.a,13,FALSE))</f>
        <v/>
      </c>
      <c r="DN822" s="361" t="str">
        <f ca="1">IF($DJ822="","",VLOOKUP($DJ822,games.a,6,FALSE))</f>
        <v/>
      </c>
      <c r="DO822" s="362" t="str">
        <f ca="1">IF($DJ822="","",VLOOKUP($DJ822,games.a,7,FALSE))</f>
        <v/>
      </c>
      <c r="DP822" s="379" t="str">
        <f ca="1">DP821</f>
        <v/>
      </c>
      <c r="DQ822" s="302"/>
      <c r="DR822" s="364"/>
      <c r="DS822" s="302"/>
      <c r="DU822" s="424"/>
      <c r="DV822" s="424"/>
      <c r="DW822" s="424"/>
      <c r="DX822" s="424"/>
      <c r="DY822" s="424"/>
      <c r="DZ822" s="424"/>
      <c r="EA822" s="424"/>
      <c r="EB822" s="424"/>
      <c r="EC822" s="424"/>
      <c r="ED822" s="424"/>
      <c r="EE822" s="424"/>
      <c r="EF822" s="424"/>
      <c r="EG822" s="424"/>
      <c r="EH822" s="424"/>
      <c r="EI822" s="424"/>
      <c r="EJ822" s="424"/>
      <c r="EK822" s="424"/>
      <c r="EL822" s="424"/>
      <c r="EM822" s="424"/>
      <c r="EN822" s="424"/>
      <c r="EO822" s="424"/>
      <c r="EP822" s="424"/>
      <c r="EQ822" s="424"/>
      <c r="ER822" s="424"/>
      <c r="ES822" s="424"/>
      <c r="ET822" s="424"/>
      <c r="EU822" s="424"/>
      <c r="EV822" s="424"/>
      <c r="EW822" s="424"/>
      <c r="EX822" s="424"/>
      <c r="EY822" s="424"/>
      <c r="EZ822" s="424"/>
      <c r="FA822" s="424"/>
      <c r="FB822" s="424"/>
      <c r="FC822" s="424"/>
      <c r="FD822" s="425"/>
      <c r="FE822" s="333"/>
    </row>
    <row r="823" spans="86:161" x14ac:dyDescent="0.25">
      <c r="CH823" s="445"/>
      <c r="CI823" s="300"/>
      <c r="CJ823" s="300"/>
      <c r="CK823" s="300"/>
      <c r="CL823" s="449"/>
      <c r="CM823" s="445"/>
      <c r="DG823" s="445"/>
      <c r="DH823" s="300"/>
      <c r="DI823" s="395" t="str">
        <f ca="1">DI817</f>
        <v/>
      </c>
      <c r="DJ823" s="478" t="str">
        <f ca="1">IF(OR(DI823="",DP823="",DI823=DP823,COUNTIF(games.an,DI823&amp;DP823)=0),"",CONCATENATE(DI823,DP823))</f>
        <v/>
      </c>
      <c r="DK823" s="360" t="str">
        <f ca="1">IF($DJ823="","",CONCATENATE(VLOOKUP($DJ823,games.a,9,FALSE),VLOOKUP($DJ823,games.a,12,FALSE)))</f>
        <v/>
      </c>
      <c r="DL823" s="354" t="str">
        <f ca="1">IF($DJ823="","",VLOOKUP($DJ823,games.a,10,FALSE))</f>
        <v/>
      </c>
      <c r="DM823" s="354" t="str">
        <f ca="1">IF($DJ823="","",VLOOKUP($DJ823,games.a,13,FALSE))</f>
        <v/>
      </c>
      <c r="DN823" s="361" t="str">
        <f ca="1">IF($DJ823="","",VLOOKUP($DJ823,games.a,6,FALSE))</f>
        <v/>
      </c>
      <c r="DO823" s="362" t="str">
        <f ca="1">IF($DJ823="","",VLOOKUP($DJ823,games.a,7,FALSE))</f>
        <v/>
      </c>
      <c r="DP823" s="379" t="str">
        <f ca="1">DP822</f>
        <v/>
      </c>
      <c r="DQ823" s="302"/>
      <c r="DR823" s="364"/>
      <c r="DS823" s="302"/>
      <c r="DU823" s="424"/>
      <c r="DV823" s="424"/>
      <c r="DW823" s="424"/>
      <c r="DX823" s="424"/>
      <c r="DY823" s="424"/>
      <c r="DZ823" s="424"/>
      <c r="EA823" s="424"/>
      <c r="EB823" s="424"/>
      <c r="EC823" s="424"/>
      <c r="ED823" s="424"/>
      <c r="EE823" s="424"/>
      <c r="EF823" s="424"/>
      <c r="EG823" s="424"/>
      <c r="EH823" s="424"/>
      <c r="EI823" s="424"/>
      <c r="EJ823" s="424"/>
      <c r="EK823" s="424"/>
      <c r="EL823" s="424"/>
      <c r="EM823" s="424"/>
      <c r="EN823" s="424"/>
      <c r="EO823" s="424"/>
      <c r="EP823" s="424"/>
      <c r="EQ823" s="424"/>
      <c r="ER823" s="424"/>
      <c r="ES823" s="424"/>
      <c r="ET823" s="424"/>
      <c r="EU823" s="424"/>
      <c r="EV823" s="424"/>
      <c r="EW823" s="424"/>
      <c r="EX823" s="424"/>
      <c r="EY823" s="424"/>
      <c r="EZ823" s="424"/>
      <c r="FA823" s="424"/>
      <c r="FB823" s="424"/>
      <c r="FC823" s="424"/>
      <c r="FD823" s="425"/>
      <c r="FE823" s="333"/>
    </row>
    <row r="824" spans="86:161" x14ac:dyDescent="0.25">
      <c r="CH824" s="445"/>
      <c r="CI824" s="300"/>
      <c r="CJ824" s="300"/>
      <c r="CK824" s="300"/>
      <c r="CL824" s="449"/>
      <c r="CM824" s="445"/>
      <c r="DG824" s="445"/>
      <c r="DH824" s="300"/>
      <c r="DI824" s="395" t="str">
        <f ca="1">DI818</f>
        <v/>
      </c>
      <c r="DJ824" s="478" t="str">
        <f ca="1">IF(OR(DI824="",DP824="",DI824=DP824,COUNTIF(games.an,DI824&amp;DP824)=0),"",CONCATENATE(DI824,DP824))</f>
        <v/>
      </c>
      <c r="DK824" s="360" t="str">
        <f ca="1">IF($DJ824="","",CONCATENATE(VLOOKUP($DJ824,games.a,9,FALSE),VLOOKUP($DJ824,games.a,12,FALSE)))</f>
        <v/>
      </c>
      <c r="DL824" s="354" t="str">
        <f ca="1">IF($DJ824="","",VLOOKUP($DJ824,games.a,10,FALSE))</f>
        <v/>
      </c>
      <c r="DM824" s="354" t="str">
        <f ca="1">IF($DJ824="","",VLOOKUP($DJ824,games.a,13,FALSE))</f>
        <v/>
      </c>
      <c r="DN824" s="361" t="str">
        <f ca="1">IF($DJ824="","",VLOOKUP($DJ824,games.a,6,FALSE))</f>
        <v/>
      </c>
      <c r="DO824" s="362" t="str">
        <f ca="1">IF($DJ824="","",VLOOKUP($DJ824,games.a,7,FALSE))</f>
        <v/>
      </c>
      <c r="DP824" s="379" t="str">
        <f ca="1">DP823</f>
        <v/>
      </c>
      <c r="DQ824" s="302"/>
      <c r="DR824" s="364"/>
      <c r="DS824" s="302"/>
      <c r="DU824" s="424"/>
      <c r="DV824" s="424"/>
      <c r="DW824" s="424"/>
      <c r="DX824" s="424"/>
      <c r="DY824" s="424"/>
      <c r="DZ824" s="424"/>
      <c r="EA824" s="424"/>
      <c r="EB824" s="424"/>
      <c r="EC824" s="424"/>
      <c r="ED824" s="424"/>
      <c r="EE824" s="424"/>
      <c r="EF824" s="424"/>
      <c r="EG824" s="424"/>
      <c r="EH824" s="424"/>
      <c r="EI824" s="424"/>
      <c r="EJ824" s="424"/>
      <c r="EK824" s="424"/>
      <c r="EL824" s="424"/>
      <c r="EM824" s="424"/>
      <c r="EN824" s="424"/>
      <c r="EO824" s="424"/>
      <c r="EP824" s="424"/>
      <c r="EQ824" s="424"/>
      <c r="ER824" s="424"/>
      <c r="ES824" s="424"/>
      <c r="ET824" s="424"/>
      <c r="EU824" s="424"/>
      <c r="EV824" s="424"/>
      <c r="EW824" s="424"/>
      <c r="EX824" s="424"/>
      <c r="EY824" s="424"/>
      <c r="EZ824" s="424"/>
      <c r="FA824" s="424"/>
      <c r="FB824" s="424"/>
      <c r="FC824" s="424"/>
      <c r="FD824" s="425"/>
      <c r="FE824" s="333"/>
    </row>
    <row r="825" spans="86:161" x14ac:dyDescent="0.25">
      <c r="CH825" s="445"/>
      <c r="CI825" s="300"/>
      <c r="CJ825" s="300"/>
      <c r="CK825" s="300"/>
      <c r="CL825" s="449"/>
      <c r="CM825" s="445"/>
      <c r="DG825" s="445"/>
      <c r="DH825" s="300"/>
      <c r="DI825" s="301"/>
      <c r="DJ825" s="471" t="s">
        <v>157</v>
      </c>
      <c r="DK825" s="471" t="s">
        <v>158</v>
      </c>
      <c r="DL825" s="472" t="s">
        <v>159</v>
      </c>
      <c r="DM825" s="472"/>
      <c r="DN825" s="473" t="s">
        <v>160</v>
      </c>
      <c r="DO825" s="472" t="s">
        <v>135</v>
      </c>
      <c r="DP825" s="302"/>
      <c r="DQ825" s="302"/>
      <c r="DR825" s="364"/>
      <c r="DS825" s="302"/>
      <c r="DU825" s="424"/>
      <c r="DV825" s="424"/>
      <c r="DW825" s="424"/>
      <c r="DX825" s="424"/>
      <c r="DY825" s="424"/>
      <c r="DZ825" s="424"/>
      <c r="EA825" s="424"/>
      <c r="EB825" s="424"/>
      <c r="EC825" s="424"/>
      <c r="ED825" s="424"/>
      <c r="EE825" s="424"/>
      <c r="EF825" s="424"/>
      <c r="EG825" s="424"/>
      <c r="EH825" s="424"/>
      <c r="EI825" s="424"/>
      <c r="EJ825" s="424"/>
      <c r="EK825" s="424"/>
      <c r="EL825" s="424"/>
      <c r="EM825" s="424"/>
      <c r="EN825" s="424"/>
      <c r="EO825" s="424"/>
      <c r="EP825" s="424"/>
      <c r="EQ825" s="424"/>
      <c r="ER825" s="424"/>
      <c r="ES825" s="424"/>
      <c r="ET825" s="424"/>
      <c r="EU825" s="424"/>
      <c r="EV825" s="424"/>
      <c r="EW825" s="424"/>
      <c r="EX825" s="424"/>
      <c r="EY825" s="424"/>
      <c r="EZ825" s="424"/>
      <c r="FA825" s="424"/>
      <c r="FB825" s="424"/>
      <c r="FC825" s="424"/>
      <c r="FD825" s="425"/>
      <c r="FE825" s="333"/>
    </row>
    <row r="826" spans="86:161" x14ac:dyDescent="0.25">
      <c r="CH826" s="445"/>
      <c r="CI826" s="300"/>
      <c r="CJ826" s="300"/>
      <c r="CK826" s="300"/>
      <c r="CL826" s="449"/>
      <c r="CM826" s="445"/>
      <c r="DG826" s="445"/>
      <c r="DH826" s="300"/>
      <c r="DI826" s="395" t="str">
        <f ca="1">DI820</f>
        <v/>
      </c>
      <c r="DJ826" s="478" t="str">
        <f ca="1">IF(OR(DI826="",DP826="",DI826=DP826,COUNTIF(games.an,DI826&amp;DP826)=0),"",CONCATENATE(DI826,DP826))</f>
        <v/>
      </c>
      <c r="DK826" s="360" t="str">
        <f ca="1">IF($DJ826="","",CONCATENATE(VLOOKUP($DJ826,games.a,9,FALSE),VLOOKUP($DJ826,games.a,12,FALSE)))</f>
        <v/>
      </c>
      <c r="DL826" s="354" t="str">
        <f ca="1">IF($DJ826="","",VLOOKUP($DJ826,games.a,10,FALSE))</f>
        <v/>
      </c>
      <c r="DM826" s="354" t="str">
        <f ca="1">IF($DJ826="","",VLOOKUP($DJ826,games.a,13,FALSE))</f>
        <v/>
      </c>
      <c r="DN826" s="361" t="str">
        <f ca="1">IF($DJ826="","",VLOOKUP($DJ826,games.a,6,FALSE))</f>
        <v/>
      </c>
      <c r="DO826" s="362" t="str">
        <f ca="1">IF($DJ826="","",VLOOKUP($DJ826,games.a,7,FALSE))</f>
        <v/>
      </c>
      <c r="DP826" s="479" t="str">
        <f ca="1">DI816</f>
        <v/>
      </c>
      <c r="DQ826" s="302"/>
      <c r="DR826" s="364"/>
      <c r="DS826" s="302"/>
      <c r="DU826" s="424"/>
      <c r="DV826" s="424"/>
      <c r="DW826" s="424"/>
      <c r="DX826" s="424"/>
      <c r="DY826" s="424"/>
      <c r="DZ826" s="424"/>
      <c r="EA826" s="424"/>
      <c r="EB826" s="424"/>
      <c r="EC826" s="424"/>
      <c r="ED826" s="424"/>
      <c r="EE826" s="424"/>
      <c r="EF826" s="424"/>
      <c r="EG826" s="424"/>
      <c r="EH826" s="424"/>
      <c r="EI826" s="424"/>
      <c r="EJ826" s="424"/>
      <c r="EK826" s="424"/>
      <c r="EL826" s="424"/>
      <c r="EM826" s="424"/>
      <c r="EN826" s="424"/>
      <c r="EO826" s="424"/>
      <c r="EP826" s="424"/>
      <c r="EQ826" s="424"/>
      <c r="ER826" s="424"/>
      <c r="ES826" s="424"/>
      <c r="ET826" s="424"/>
      <c r="EU826" s="424"/>
      <c r="EV826" s="424"/>
      <c r="EW826" s="424"/>
      <c r="EX826" s="424"/>
      <c r="EY826" s="424"/>
      <c r="EZ826" s="424"/>
      <c r="FA826" s="424"/>
      <c r="FB826" s="424"/>
      <c r="FC826" s="424"/>
      <c r="FD826" s="425"/>
      <c r="FE826" s="333"/>
    </row>
    <row r="827" spans="86:161" x14ac:dyDescent="0.25">
      <c r="CH827" s="445"/>
      <c r="CI827" s="300"/>
      <c r="CJ827" s="300"/>
      <c r="CK827" s="300"/>
      <c r="CL827" s="449"/>
      <c r="CM827" s="445"/>
      <c r="DG827" s="445"/>
      <c r="DH827" s="300"/>
      <c r="DI827" s="395" t="str">
        <f ca="1">DI821</f>
        <v/>
      </c>
      <c r="DJ827" s="478" t="str">
        <f ca="1">IF(OR(DI827="",DP827="",DI827=DP827,COUNTIF(games.an,DI827&amp;DP827)=0),"",CONCATENATE(DI827,DP827))</f>
        <v/>
      </c>
      <c r="DK827" s="360" t="str">
        <f ca="1">IF($DJ827="","",CONCATENATE(VLOOKUP($DJ827,games.a,9,FALSE),VLOOKUP($DJ827,games.a,12,FALSE)))</f>
        <v/>
      </c>
      <c r="DL827" s="354" t="str">
        <f ca="1">IF($DJ827="","",VLOOKUP($DJ827,games.a,10,FALSE))</f>
        <v/>
      </c>
      <c r="DM827" s="354" t="str">
        <f ca="1">IF($DJ827="","",VLOOKUP($DJ827,games.a,13,FALSE))</f>
        <v/>
      </c>
      <c r="DN827" s="361" t="str">
        <f ca="1">IF($DJ827="","",VLOOKUP($DJ827,games.a,6,FALSE))</f>
        <v/>
      </c>
      <c r="DO827" s="362" t="str">
        <f ca="1">IF($DJ827="","",VLOOKUP($DJ827,games.a,7,FALSE))</f>
        <v/>
      </c>
      <c r="DP827" s="379" t="str">
        <f ca="1">DP826</f>
        <v/>
      </c>
      <c r="DQ827" s="302"/>
      <c r="DR827" s="364"/>
      <c r="DS827" s="302"/>
      <c r="DU827" s="424"/>
      <c r="DV827" s="424"/>
      <c r="DW827" s="424"/>
      <c r="DX827" s="424"/>
      <c r="DY827" s="424"/>
      <c r="DZ827" s="424"/>
      <c r="EA827" s="424"/>
      <c r="EB827" s="424"/>
      <c r="EC827" s="424"/>
      <c r="ED827" s="424"/>
      <c r="EE827" s="424"/>
      <c r="EF827" s="424"/>
      <c r="EG827" s="424"/>
      <c r="EH827" s="424"/>
      <c r="EI827" s="424"/>
      <c r="EJ827" s="424"/>
      <c r="EK827" s="424"/>
      <c r="EL827" s="424"/>
      <c r="EM827" s="424"/>
      <c r="EN827" s="424"/>
      <c r="EO827" s="424"/>
      <c r="EP827" s="424"/>
      <c r="EQ827" s="424"/>
      <c r="ER827" s="424"/>
      <c r="ES827" s="424"/>
      <c r="ET827" s="424"/>
      <c r="EU827" s="424"/>
      <c r="EV827" s="424"/>
      <c r="EW827" s="424"/>
      <c r="EX827" s="424"/>
      <c r="EY827" s="424"/>
      <c r="EZ827" s="424"/>
      <c r="FA827" s="424"/>
      <c r="FB827" s="424"/>
      <c r="FC827" s="424"/>
      <c r="FD827" s="425"/>
      <c r="FE827" s="333"/>
    </row>
    <row r="828" spans="86:161" x14ac:dyDescent="0.25">
      <c r="CH828" s="445"/>
      <c r="CI828" s="300"/>
      <c r="CJ828" s="300"/>
      <c r="CK828" s="300"/>
      <c r="CL828" s="449"/>
      <c r="CM828" s="445"/>
      <c r="DG828" s="445"/>
      <c r="DH828" s="300"/>
      <c r="DI828" s="395" t="str">
        <f ca="1">DI822</f>
        <v/>
      </c>
      <c r="DJ828" s="478" t="str">
        <f ca="1">IF(OR(DI828="",DP828="",DI828=DP828,COUNTIF(games.an,DI828&amp;DP828)=0),"",CONCATENATE(DI828,DP828))</f>
        <v/>
      </c>
      <c r="DK828" s="360" t="str">
        <f ca="1">IF($DJ828="","",CONCATENATE(VLOOKUP($DJ828,games.a,9,FALSE),VLOOKUP($DJ828,games.a,12,FALSE)))</f>
        <v/>
      </c>
      <c r="DL828" s="354" t="str">
        <f ca="1">IF($DJ828="","",VLOOKUP($DJ828,games.a,10,FALSE))</f>
        <v/>
      </c>
      <c r="DM828" s="354" t="str">
        <f ca="1">IF($DJ828="","",VLOOKUP($DJ828,games.a,13,FALSE))</f>
        <v/>
      </c>
      <c r="DN828" s="361" t="str">
        <f ca="1">IF($DJ828="","",VLOOKUP($DJ828,games.a,6,FALSE))</f>
        <v/>
      </c>
      <c r="DO828" s="362" t="str">
        <f ca="1">IF($DJ828="","",VLOOKUP($DJ828,games.a,7,FALSE))</f>
        <v/>
      </c>
      <c r="DP828" s="379" t="str">
        <f ca="1">DP827</f>
        <v/>
      </c>
      <c r="DQ828" s="302"/>
      <c r="DR828" s="364"/>
      <c r="DS828" s="302"/>
      <c r="DU828" s="424"/>
      <c r="DV828" s="424"/>
      <c r="DW828" s="424"/>
      <c r="DX828" s="424"/>
      <c r="DY828" s="424"/>
      <c r="DZ828" s="424"/>
      <c r="EA828" s="424"/>
      <c r="EB828" s="424"/>
      <c r="EC828" s="424"/>
      <c r="ED828" s="424"/>
      <c r="EE828" s="424"/>
      <c r="EF828" s="424"/>
      <c r="EG828" s="424"/>
      <c r="EH828" s="424"/>
      <c r="EI828" s="424"/>
      <c r="EJ828" s="424"/>
      <c r="EK828" s="424"/>
      <c r="EL828" s="424"/>
      <c r="EM828" s="424"/>
      <c r="EN828" s="424"/>
      <c r="EO828" s="424"/>
      <c r="EP828" s="424"/>
      <c r="EQ828" s="424"/>
      <c r="ER828" s="424"/>
      <c r="ES828" s="424"/>
      <c r="ET828" s="424"/>
      <c r="EU828" s="424"/>
      <c r="EV828" s="424"/>
      <c r="EW828" s="424"/>
      <c r="EX828" s="424"/>
      <c r="EY828" s="424"/>
      <c r="EZ828" s="424"/>
      <c r="FA828" s="424"/>
      <c r="FB828" s="424"/>
      <c r="FC828" s="424"/>
      <c r="FD828" s="425"/>
      <c r="FE828" s="333"/>
    </row>
    <row r="829" spans="86:161" x14ac:dyDescent="0.25">
      <c r="CH829" s="445"/>
      <c r="CI829" s="300"/>
      <c r="CJ829" s="300"/>
      <c r="CK829" s="300"/>
      <c r="CL829" s="449"/>
      <c r="CM829" s="445"/>
      <c r="DG829" s="445"/>
      <c r="DH829" s="300"/>
      <c r="DI829" s="395" t="str">
        <f ca="1">DI823</f>
        <v/>
      </c>
      <c r="DJ829" s="478" t="str">
        <f ca="1">IF(OR(DI829="",DP829="",DI829=DP829,COUNTIF(games.an,DI829&amp;DP829)=0),"",CONCATENATE(DI829,DP829))</f>
        <v/>
      </c>
      <c r="DK829" s="360" t="str">
        <f ca="1">IF($DJ829="","",CONCATENATE(VLOOKUP($DJ829,games.a,9,FALSE),VLOOKUP($DJ829,games.a,12,FALSE)))</f>
        <v/>
      </c>
      <c r="DL829" s="354" t="str">
        <f ca="1">IF($DJ829="","",VLOOKUP($DJ829,games.a,10,FALSE))</f>
        <v/>
      </c>
      <c r="DM829" s="354" t="str">
        <f ca="1">IF($DJ829="","",VLOOKUP($DJ829,games.a,13,FALSE))</f>
        <v/>
      </c>
      <c r="DN829" s="361" t="str">
        <f ca="1">IF($DJ829="","",VLOOKUP($DJ829,games.a,6,FALSE))</f>
        <v/>
      </c>
      <c r="DO829" s="362" t="str">
        <f ca="1">IF($DJ829="","",VLOOKUP($DJ829,games.a,7,FALSE))</f>
        <v/>
      </c>
      <c r="DP829" s="379" t="str">
        <f ca="1">DP828</f>
        <v/>
      </c>
      <c r="DQ829" s="302"/>
      <c r="DR829" s="364"/>
      <c r="DS829" s="302"/>
      <c r="DU829" s="424"/>
      <c r="DV829" s="424"/>
      <c r="DW829" s="424"/>
      <c r="DX829" s="424"/>
      <c r="DY829" s="424"/>
      <c r="DZ829" s="424"/>
      <c r="EA829" s="424"/>
      <c r="EB829" s="424"/>
      <c r="EC829" s="424"/>
      <c r="ED829" s="424"/>
      <c r="EE829" s="424"/>
      <c r="EF829" s="424"/>
      <c r="EG829" s="424"/>
      <c r="EH829" s="424"/>
      <c r="EI829" s="424"/>
      <c r="EJ829" s="424"/>
      <c r="EK829" s="424"/>
      <c r="EL829" s="424"/>
      <c r="EM829" s="424"/>
      <c r="EN829" s="424"/>
      <c r="EO829" s="424"/>
      <c r="EP829" s="424"/>
      <c r="EQ829" s="424"/>
      <c r="ER829" s="424"/>
      <c r="ES829" s="424"/>
      <c r="ET829" s="424"/>
      <c r="EU829" s="424"/>
      <c r="EV829" s="424"/>
      <c r="EW829" s="424"/>
      <c r="EX829" s="424"/>
      <c r="EY829" s="424"/>
      <c r="EZ829" s="424"/>
      <c r="FA829" s="424"/>
      <c r="FB829" s="424"/>
      <c r="FC829" s="424"/>
      <c r="FD829" s="425"/>
      <c r="FE829" s="333"/>
    </row>
    <row r="830" spans="86:161" x14ac:dyDescent="0.25">
      <c r="CH830" s="445"/>
      <c r="CI830" s="300"/>
      <c r="CJ830" s="300"/>
      <c r="CK830" s="300"/>
      <c r="CL830" s="449"/>
      <c r="CM830" s="445"/>
      <c r="DG830" s="445"/>
      <c r="DH830" s="300"/>
      <c r="DI830" s="395" t="str">
        <f ca="1">DI824</f>
        <v/>
      </c>
      <c r="DJ830" s="478" t="str">
        <f ca="1">IF(OR(DI830="",DP830="",DI830=DP830,COUNTIF(games.an,DI830&amp;DP830)=0),"",CONCATENATE(DI830,DP830))</f>
        <v/>
      </c>
      <c r="DK830" s="360" t="str">
        <f ca="1">IF($DJ830="","",CONCATENATE(VLOOKUP($DJ830,games.a,9,FALSE),VLOOKUP($DJ830,games.a,12,FALSE)))</f>
        <v/>
      </c>
      <c r="DL830" s="354" t="str">
        <f ca="1">IF($DJ830="","",VLOOKUP($DJ830,games.a,10,FALSE))</f>
        <v/>
      </c>
      <c r="DM830" s="354" t="str">
        <f ca="1">IF($DJ830="","",VLOOKUP($DJ830,games.a,13,FALSE))</f>
        <v/>
      </c>
      <c r="DN830" s="361" t="str">
        <f ca="1">IF($DJ830="","",VLOOKUP($DJ830,games.a,6,FALSE))</f>
        <v/>
      </c>
      <c r="DO830" s="362" t="str">
        <f ca="1">IF($DJ830="","",VLOOKUP($DJ830,games.a,7,FALSE))</f>
        <v/>
      </c>
      <c r="DP830" s="379" t="str">
        <f ca="1">DP829</f>
        <v/>
      </c>
      <c r="DQ830" s="302"/>
      <c r="DR830" s="364"/>
      <c r="DS830" s="302"/>
      <c r="DU830" s="424"/>
      <c r="DV830" s="424"/>
      <c r="DW830" s="424"/>
      <c r="DX830" s="424"/>
      <c r="DY830" s="424"/>
      <c r="DZ830" s="424"/>
      <c r="EA830" s="424"/>
      <c r="EB830" s="424"/>
      <c r="EC830" s="424"/>
      <c r="ED830" s="424"/>
      <c r="EE830" s="424"/>
      <c r="EF830" s="424"/>
      <c r="EG830" s="424"/>
      <c r="EH830" s="424"/>
      <c r="EI830" s="424"/>
      <c r="EJ830" s="424"/>
      <c r="EK830" s="424"/>
      <c r="EL830" s="424"/>
      <c r="EM830" s="424"/>
      <c r="EN830" s="424"/>
      <c r="EO830" s="424"/>
      <c r="EP830" s="424"/>
      <c r="EQ830" s="424"/>
      <c r="ER830" s="424"/>
      <c r="ES830" s="424"/>
      <c r="ET830" s="424"/>
      <c r="EU830" s="424"/>
      <c r="EV830" s="424"/>
      <c r="EW830" s="424"/>
      <c r="EX830" s="424"/>
      <c r="EY830" s="424"/>
      <c r="EZ830" s="424"/>
      <c r="FA830" s="424"/>
      <c r="FB830" s="424"/>
      <c r="FC830" s="424"/>
      <c r="FD830" s="425"/>
      <c r="FE830" s="333"/>
    </row>
    <row r="831" spans="86:161" x14ac:dyDescent="0.25">
      <c r="CH831" s="445"/>
      <c r="CI831" s="300"/>
      <c r="CJ831" s="300"/>
      <c r="CK831" s="300"/>
      <c r="CL831" s="449"/>
      <c r="CM831" s="445"/>
      <c r="DG831" s="445"/>
      <c r="DH831" s="300"/>
      <c r="DI831" s="301"/>
      <c r="DJ831" s="471" t="s">
        <v>157</v>
      </c>
      <c r="DK831" s="471" t="s">
        <v>158</v>
      </c>
      <c r="DL831" s="472" t="s">
        <v>159</v>
      </c>
      <c r="DM831" s="472"/>
      <c r="DN831" s="473" t="s">
        <v>160</v>
      </c>
      <c r="DO831" s="472" t="s">
        <v>135</v>
      </c>
      <c r="DP831" s="302"/>
      <c r="DQ831" s="302"/>
      <c r="DR831" s="364"/>
      <c r="DS831" s="302"/>
      <c r="DU831" s="424"/>
      <c r="DV831" s="424"/>
      <c r="DW831" s="424"/>
      <c r="DX831" s="424"/>
      <c r="DY831" s="424"/>
      <c r="DZ831" s="424"/>
      <c r="EA831" s="424"/>
      <c r="EB831" s="424"/>
      <c r="EC831" s="424"/>
      <c r="ED831" s="424"/>
      <c r="EE831" s="424"/>
      <c r="EF831" s="424"/>
      <c r="EG831" s="424"/>
      <c r="EH831" s="424"/>
      <c r="EI831" s="424"/>
      <c r="EJ831" s="424"/>
      <c r="EK831" s="424"/>
      <c r="EL831" s="424"/>
      <c r="EM831" s="424"/>
      <c r="EN831" s="424"/>
      <c r="EO831" s="424"/>
      <c r="EP831" s="424"/>
      <c r="EQ831" s="424"/>
      <c r="ER831" s="424"/>
      <c r="ES831" s="424"/>
      <c r="ET831" s="424"/>
      <c r="EU831" s="424"/>
      <c r="EV831" s="424"/>
      <c r="EW831" s="424"/>
      <c r="EX831" s="424"/>
      <c r="EY831" s="424"/>
      <c r="EZ831" s="424"/>
      <c r="FA831" s="424"/>
      <c r="FB831" s="424"/>
      <c r="FC831" s="424"/>
      <c r="FD831" s="425"/>
      <c r="FE831" s="333"/>
    </row>
    <row r="832" spans="86:161" x14ac:dyDescent="0.25">
      <c r="CH832" s="445"/>
      <c r="CI832" s="300"/>
      <c r="CJ832" s="300"/>
      <c r="CK832" s="300"/>
      <c r="CL832" s="447"/>
      <c r="CM832" s="445"/>
      <c r="DG832" s="445"/>
      <c r="DH832" s="300"/>
      <c r="DI832" s="395" t="str">
        <f ca="1">DI826</f>
        <v/>
      </c>
      <c r="DJ832" s="478" t="str">
        <f ca="1">IF(OR(DI832="",DP832="",DI832=DP832,COUNTIF(games.an,DI832&amp;DP832)=0),"",CONCATENATE(DI832,DP832))</f>
        <v/>
      </c>
      <c r="DK832" s="360" t="str">
        <f ca="1">IF($DJ832="","",CONCATENATE(VLOOKUP($DJ832,games.a,9,FALSE),VLOOKUP($DJ832,games.a,12,FALSE)))</f>
        <v/>
      </c>
      <c r="DL832" s="354" t="str">
        <f ca="1">IF($DJ832="","",VLOOKUP($DJ832,games.a,10,FALSE))</f>
        <v/>
      </c>
      <c r="DM832" s="354" t="str">
        <f ca="1">IF($DJ832="","",VLOOKUP($DJ832,games.a,13,FALSE))</f>
        <v/>
      </c>
      <c r="DN832" s="361" t="str">
        <f ca="1">IF($DJ832="","",VLOOKUP($DJ832,games.a,6,FALSE))</f>
        <v/>
      </c>
      <c r="DO832" s="362" t="str">
        <f ca="1">IF($DJ832="","",VLOOKUP($DJ832,games.a,7,FALSE))</f>
        <v/>
      </c>
      <c r="DP832" s="479" t="str">
        <f ca="1">DI817</f>
        <v/>
      </c>
      <c r="DQ832" s="302"/>
      <c r="DR832" s="364"/>
      <c r="DS832" s="302"/>
      <c r="DU832" s="424"/>
      <c r="DV832" s="424"/>
      <c r="DW832" s="424"/>
      <c r="DX832" s="424"/>
      <c r="DY832" s="424"/>
      <c r="DZ832" s="424"/>
      <c r="EA832" s="424"/>
      <c r="EB832" s="424"/>
      <c r="EC832" s="424"/>
      <c r="ED832" s="424"/>
      <c r="EE832" s="424"/>
      <c r="EF832" s="424"/>
      <c r="EG832" s="424"/>
      <c r="EH832" s="424"/>
      <c r="EI832" s="424"/>
      <c r="EJ832" s="424"/>
      <c r="EK832" s="424"/>
      <c r="EL832" s="424"/>
      <c r="EM832" s="424"/>
      <c r="EN832" s="424"/>
      <c r="EO832" s="424"/>
      <c r="EP832" s="424"/>
      <c r="EQ832" s="424"/>
      <c r="ER832" s="424"/>
      <c r="ES832" s="424"/>
      <c r="ET832" s="424"/>
      <c r="EU832" s="424"/>
      <c r="EV832" s="424"/>
      <c r="EW832" s="424"/>
      <c r="EX832" s="424"/>
      <c r="EY832" s="424"/>
      <c r="EZ832" s="424"/>
      <c r="FA832" s="424"/>
      <c r="FB832" s="424"/>
      <c r="FC832" s="424"/>
      <c r="FD832" s="425"/>
      <c r="FE832" s="333"/>
    </row>
    <row r="833" spans="86:161" x14ac:dyDescent="0.25">
      <c r="CH833" s="445"/>
      <c r="CI833" s="300"/>
      <c r="CJ833" s="300"/>
      <c r="CK833" s="300"/>
      <c r="CL833" s="447"/>
      <c r="CM833" s="445"/>
      <c r="DG833" s="445"/>
      <c r="DH833" s="300"/>
      <c r="DI833" s="395" t="str">
        <f ca="1">DI827</f>
        <v/>
      </c>
      <c r="DJ833" s="478" t="str">
        <f ca="1">IF(OR(DI833="",DP833="",DI833=DP833,COUNTIF(games.an,DI833&amp;DP833)=0),"",CONCATENATE(DI833,DP833))</f>
        <v/>
      </c>
      <c r="DK833" s="360" t="str">
        <f ca="1">IF($DJ833="","",CONCATENATE(VLOOKUP($DJ833,games.a,9,FALSE),VLOOKUP($DJ833,games.a,12,FALSE)))</f>
        <v/>
      </c>
      <c r="DL833" s="354" t="str">
        <f ca="1">IF($DJ833="","",VLOOKUP($DJ833,games.a,10,FALSE))</f>
        <v/>
      </c>
      <c r="DM833" s="354" t="str">
        <f ca="1">IF($DJ833="","",VLOOKUP($DJ833,games.a,13,FALSE))</f>
        <v/>
      </c>
      <c r="DN833" s="361" t="str">
        <f ca="1">IF($DJ833="","",VLOOKUP($DJ833,games.a,6,FALSE))</f>
        <v/>
      </c>
      <c r="DO833" s="362" t="str">
        <f ca="1">IF($DJ833="","",VLOOKUP($DJ833,games.a,7,FALSE))</f>
        <v/>
      </c>
      <c r="DP833" s="379" t="str">
        <f ca="1">DP832</f>
        <v/>
      </c>
      <c r="DQ833" s="302"/>
      <c r="DR833" s="364"/>
      <c r="DS833" s="302"/>
      <c r="DU833" s="424"/>
      <c r="DV833" s="424"/>
      <c r="DW833" s="424"/>
      <c r="DX833" s="424"/>
      <c r="DY833" s="424"/>
      <c r="DZ833" s="424"/>
      <c r="EA833" s="424"/>
      <c r="EB833" s="424"/>
      <c r="EC833" s="424"/>
      <c r="ED833" s="424"/>
      <c r="EE833" s="424"/>
      <c r="EF833" s="424"/>
      <c r="EG833" s="424"/>
      <c r="EH833" s="424"/>
      <c r="EI833" s="424"/>
      <c r="EJ833" s="424"/>
      <c r="EK833" s="424"/>
      <c r="EL833" s="424"/>
      <c r="EM833" s="424"/>
      <c r="EN833" s="424"/>
      <c r="EO833" s="424"/>
      <c r="EP833" s="424"/>
      <c r="EQ833" s="424"/>
      <c r="ER833" s="424"/>
      <c r="ES833" s="424"/>
      <c r="ET833" s="424"/>
      <c r="EU833" s="424"/>
      <c r="EV833" s="424"/>
      <c r="EW833" s="424"/>
      <c r="EX833" s="424"/>
      <c r="EY833" s="424"/>
      <c r="EZ833" s="424"/>
      <c r="FA833" s="424"/>
      <c r="FB833" s="424"/>
      <c r="FC833" s="424"/>
      <c r="FD833" s="425"/>
      <c r="FE833" s="333"/>
    </row>
    <row r="834" spans="86:161" x14ac:dyDescent="0.25">
      <c r="CH834" s="445"/>
      <c r="CI834" s="300"/>
      <c r="CJ834" s="300"/>
      <c r="CK834" s="300"/>
      <c r="CL834" s="449"/>
      <c r="CM834" s="445"/>
      <c r="DG834" s="445"/>
      <c r="DH834" s="300"/>
      <c r="DI834" s="395" t="str">
        <f ca="1">DI828</f>
        <v/>
      </c>
      <c r="DJ834" s="478" t="str">
        <f ca="1">IF(OR(DI834="",DP834="",DI834=DP834,COUNTIF(games.an,DI834&amp;DP834)=0),"",CONCATENATE(DI834,DP834))</f>
        <v/>
      </c>
      <c r="DK834" s="360" t="str">
        <f ca="1">IF($DJ834="","",CONCATENATE(VLOOKUP($DJ834,games.a,9,FALSE),VLOOKUP($DJ834,games.a,12,FALSE)))</f>
        <v/>
      </c>
      <c r="DL834" s="354" t="str">
        <f ca="1">IF($DJ834="","",VLOOKUP($DJ834,games.a,10,FALSE))</f>
        <v/>
      </c>
      <c r="DM834" s="354" t="str">
        <f ca="1">IF($DJ834="","",VLOOKUP($DJ834,games.a,13,FALSE))</f>
        <v/>
      </c>
      <c r="DN834" s="361" t="str">
        <f ca="1">IF($DJ834="","",VLOOKUP($DJ834,games.a,6,FALSE))</f>
        <v/>
      </c>
      <c r="DO834" s="362" t="str">
        <f ca="1">IF($DJ834="","",VLOOKUP($DJ834,games.a,7,FALSE))</f>
        <v/>
      </c>
      <c r="DP834" s="379" t="str">
        <f ca="1">DP833</f>
        <v/>
      </c>
      <c r="DQ834" s="302"/>
      <c r="DR834" s="364"/>
      <c r="DS834" s="302"/>
      <c r="DU834" s="424"/>
      <c r="DV834" s="424"/>
      <c r="DW834" s="424"/>
      <c r="DX834" s="424"/>
      <c r="DY834" s="424"/>
      <c r="DZ834" s="424"/>
      <c r="EA834" s="424"/>
      <c r="EB834" s="424"/>
      <c r="EC834" s="424"/>
      <c r="ED834" s="424"/>
      <c r="EE834" s="424"/>
      <c r="EF834" s="424"/>
      <c r="EG834" s="424"/>
      <c r="EH834" s="424"/>
      <c r="EI834" s="424"/>
      <c r="EJ834" s="424"/>
      <c r="EK834" s="424"/>
      <c r="EL834" s="424"/>
      <c r="EM834" s="424"/>
      <c r="EN834" s="424"/>
      <c r="EO834" s="424"/>
      <c r="EP834" s="424"/>
      <c r="EQ834" s="424"/>
      <c r="ER834" s="424"/>
      <c r="ES834" s="424"/>
      <c r="ET834" s="424"/>
      <c r="EU834" s="424"/>
      <c r="EV834" s="424"/>
      <c r="EW834" s="424"/>
      <c r="EX834" s="424"/>
      <c r="EY834" s="424"/>
      <c r="EZ834" s="424"/>
      <c r="FA834" s="424"/>
      <c r="FB834" s="424"/>
      <c r="FC834" s="424"/>
      <c r="FD834" s="425"/>
      <c r="FE834" s="333"/>
    </row>
    <row r="835" spans="86:161" x14ac:dyDescent="0.25">
      <c r="CH835" s="445"/>
      <c r="CI835" s="300"/>
      <c r="CJ835" s="300"/>
      <c r="CK835" s="300"/>
      <c r="CL835" s="449"/>
      <c r="CM835" s="445"/>
      <c r="DG835" s="445"/>
      <c r="DH835" s="300"/>
      <c r="DI835" s="395" t="str">
        <f ca="1">DI829</f>
        <v/>
      </c>
      <c r="DJ835" s="478" t="str">
        <f ca="1">IF(OR(DI835="",DP835="",DI835=DP835,COUNTIF(games.an,DI835&amp;DP835)=0),"",CONCATENATE(DI835,DP835))</f>
        <v/>
      </c>
      <c r="DK835" s="360" t="str">
        <f ca="1">IF($DJ835="","",CONCATENATE(VLOOKUP($DJ835,games.a,9,FALSE),VLOOKUP($DJ835,games.a,12,FALSE)))</f>
        <v/>
      </c>
      <c r="DL835" s="354" t="str">
        <f ca="1">IF($DJ835="","",VLOOKUP($DJ835,games.a,10,FALSE))</f>
        <v/>
      </c>
      <c r="DM835" s="354" t="str">
        <f ca="1">IF($DJ835="","",VLOOKUP($DJ835,games.a,13,FALSE))</f>
        <v/>
      </c>
      <c r="DN835" s="361" t="str">
        <f ca="1">IF($DJ835="","",VLOOKUP($DJ835,games.a,6,FALSE))</f>
        <v/>
      </c>
      <c r="DO835" s="362" t="str">
        <f ca="1">IF($DJ835="","",VLOOKUP($DJ835,games.a,7,FALSE))</f>
        <v/>
      </c>
      <c r="DP835" s="379" t="str">
        <f ca="1">DP834</f>
        <v/>
      </c>
      <c r="DQ835" s="302"/>
      <c r="DR835" s="364"/>
      <c r="DS835" s="302"/>
      <c r="DU835" s="424"/>
      <c r="DV835" s="424"/>
      <c r="DW835" s="424"/>
      <c r="DX835" s="424"/>
      <c r="DY835" s="424"/>
      <c r="DZ835" s="424"/>
      <c r="EA835" s="424"/>
      <c r="EB835" s="424"/>
      <c r="EC835" s="424"/>
      <c r="ED835" s="424"/>
      <c r="EE835" s="424"/>
      <c r="EF835" s="424"/>
      <c r="EG835" s="424"/>
      <c r="EH835" s="424"/>
      <c r="EI835" s="424"/>
      <c r="EJ835" s="424"/>
      <c r="EK835" s="424"/>
      <c r="EL835" s="424"/>
      <c r="EM835" s="424"/>
      <c r="EN835" s="424"/>
      <c r="EO835" s="424"/>
      <c r="EP835" s="424"/>
      <c r="EQ835" s="424"/>
      <c r="ER835" s="424"/>
      <c r="ES835" s="424"/>
      <c r="ET835" s="424"/>
      <c r="EU835" s="424"/>
      <c r="EV835" s="424"/>
      <c r="EW835" s="424"/>
      <c r="EX835" s="424"/>
      <c r="EY835" s="424"/>
      <c r="EZ835" s="424"/>
      <c r="FA835" s="424"/>
      <c r="FB835" s="424"/>
      <c r="FC835" s="424"/>
      <c r="FD835" s="425"/>
      <c r="FE835" s="333"/>
    </row>
    <row r="836" spans="86:161" x14ac:dyDescent="0.25">
      <c r="CH836" s="445"/>
      <c r="CI836" s="300"/>
      <c r="CJ836" s="300"/>
      <c r="CK836" s="300"/>
      <c r="CL836" s="449"/>
      <c r="CM836" s="445"/>
      <c r="DG836" s="445"/>
      <c r="DH836" s="300"/>
      <c r="DI836" s="395" t="str">
        <f ca="1">DI830</f>
        <v/>
      </c>
      <c r="DJ836" s="478" t="str">
        <f ca="1">IF(OR(DI836="",DP836="",DI836=DP836,COUNTIF(games.an,DI836&amp;DP836)=0),"",CONCATENATE(DI836,DP836))</f>
        <v/>
      </c>
      <c r="DK836" s="360" t="str">
        <f ca="1">IF($DJ836="","",CONCATENATE(VLOOKUP($DJ836,games.a,9,FALSE),VLOOKUP($DJ836,games.a,12,FALSE)))</f>
        <v/>
      </c>
      <c r="DL836" s="354" t="str">
        <f ca="1">IF($DJ836="","",VLOOKUP($DJ836,games.a,10,FALSE))</f>
        <v/>
      </c>
      <c r="DM836" s="354" t="str">
        <f ca="1">IF($DJ836="","",VLOOKUP($DJ836,games.a,13,FALSE))</f>
        <v/>
      </c>
      <c r="DN836" s="361" t="str">
        <f ca="1">IF($DJ836="","",VLOOKUP($DJ836,games.a,6,FALSE))</f>
        <v/>
      </c>
      <c r="DO836" s="362" t="str">
        <f ca="1">IF($DJ836="","",VLOOKUP($DJ836,games.a,7,FALSE))</f>
        <v/>
      </c>
      <c r="DP836" s="379" t="str">
        <f ca="1">DP835</f>
        <v/>
      </c>
      <c r="DQ836" s="302"/>
      <c r="DR836" s="364"/>
      <c r="DS836" s="302"/>
      <c r="DU836" s="424"/>
      <c r="DV836" s="424"/>
      <c r="DW836" s="424"/>
      <c r="DX836" s="424"/>
      <c r="DY836" s="424"/>
      <c r="DZ836" s="424"/>
      <c r="EA836" s="424"/>
      <c r="EB836" s="424"/>
      <c r="EC836" s="424"/>
      <c r="ED836" s="424"/>
      <c r="EE836" s="424"/>
      <c r="EF836" s="424"/>
      <c r="EG836" s="424"/>
      <c r="EH836" s="424"/>
      <c r="EI836" s="424"/>
      <c r="EJ836" s="424"/>
      <c r="EK836" s="424"/>
      <c r="EL836" s="424"/>
      <c r="EM836" s="424"/>
      <c r="EN836" s="424"/>
      <c r="EO836" s="424"/>
      <c r="EP836" s="424"/>
      <c r="EQ836" s="424"/>
      <c r="ER836" s="424"/>
      <c r="ES836" s="424"/>
      <c r="ET836" s="424"/>
      <c r="EU836" s="424"/>
      <c r="EV836" s="424"/>
      <c r="EW836" s="424"/>
      <c r="EX836" s="424"/>
      <c r="EY836" s="424"/>
      <c r="EZ836" s="424"/>
      <c r="FA836" s="424"/>
      <c r="FB836" s="424"/>
      <c r="FC836" s="424"/>
      <c r="FD836" s="425"/>
      <c r="FE836" s="333"/>
    </row>
    <row r="837" spans="86:161" x14ac:dyDescent="0.25">
      <c r="CH837" s="445"/>
      <c r="CI837" s="300"/>
      <c r="CJ837" s="300"/>
      <c r="CK837" s="300"/>
      <c r="CL837" s="449"/>
      <c r="CM837" s="445"/>
      <c r="DG837" s="445"/>
      <c r="DH837" s="300"/>
      <c r="DI837" s="301"/>
      <c r="DJ837" s="471" t="s">
        <v>157</v>
      </c>
      <c r="DK837" s="471" t="s">
        <v>158</v>
      </c>
      <c r="DL837" s="472" t="s">
        <v>159</v>
      </c>
      <c r="DM837" s="472"/>
      <c r="DN837" s="473" t="s">
        <v>160</v>
      </c>
      <c r="DO837" s="472" t="s">
        <v>135</v>
      </c>
      <c r="DP837" s="302"/>
      <c r="DQ837" s="302"/>
      <c r="DR837" s="364"/>
      <c r="DS837" s="302"/>
      <c r="DU837" s="424"/>
      <c r="DV837" s="424"/>
      <c r="DW837" s="424"/>
      <c r="DX837" s="424"/>
      <c r="DY837" s="424"/>
      <c r="DZ837" s="424"/>
      <c r="EA837" s="424"/>
      <c r="EB837" s="424"/>
      <c r="EC837" s="424"/>
      <c r="ED837" s="424"/>
      <c r="EE837" s="424"/>
      <c r="EF837" s="424"/>
      <c r="EG837" s="424"/>
      <c r="EH837" s="424"/>
      <c r="EI837" s="424"/>
      <c r="EJ837" s="424"/>
      <c r="EK837" s="424"/>
      <c r="EL837" s="424"/>
      <c r="EM837" s="424"/>
      <c r="EN837" s="424"/>
      <c r="EO837" s="424"/>
      <c r="EP837" s="424"/>
      <c r="EQ837" s="424"/>
      <c r="ER837" s="424"/>
      <c r="ES837" s="424"/>
      <c r="ET837" s="424"/>
      <c r="EU837" s="424"/>
      <c r="EV837" s="424"/>
      <c r="EW837" s="424"/>
      <c r="EX837" s="424"/>
      <c r="EY837" s="424"/>
      <c r="EZ837" s="424"/>
      <c r="FA837" s="424"/>
      <c r="FB837" s="424"/>
      <c r="FC837" s="424"/>
      <c r="FD837" s="425"/>
      <c r="FE837" s="333"/>
    </row>
    <row r="838" spans="86:161" x14ac:dyDescent="0.25">
      <c r="CH838" s="445"/>
      <c r="CI838" s="300"/>
      <c r="CJ838" s="300"/>
      <c r="CK838" s="300"/>
      <c r="CL838" s="449"/>
      <c r="CM838" s="445"/>
      <c r="DG838" s="445"/>
      <c r="DH838" s="300"/>
      <c r="DI838" s="395" t="str">
        <f ca="1">DI832</f>
        <v/>
      </c>
      <c r="DJ838" s="478" t="str">
        <f ca="1">IF(OR(DI838="",DP838="",DI838=DP838,COUNTIF(games.an,DI838&amp;DP838)=0),"",CONCATENATE(DI838,DP838))</f>
        <v/>
      </c>
      <c r="DK838" s="360" t="str">
        <f ca="1">IF($DJ838="","",CONCATENATE(VLOOKUP($DJ838,games.a,9,FALSE),VLOOKUP($DJ838,games.a,12,FALSE)))</f>
        <v/>
      </c>
      <c r="DL838" s="354" t="str">
        <f ca="1">IF($DJ838="","",VLOOKUP($DJ838,games.a,10,FALSE))</f>
        <v/>
      </c>
      <c r="DM838" s="354" t="str">
        <f ca="1">IF($DJ838="","",VLOOKUP($DJ838,games.a,13,FALSE))</f>
        <v/>
      </c>
      <c r="DN838" s="361" t="str">
        <f ca="1">IF($DJ838="","",VLOOKUP($DJ838,games.a,6,FALSE))</f>
        <v/>
      </c>
      <c r="DO838" s="362" t="str">
        <f ca="1">IF($DJ838="","",VLOOKUP($DJ838,games.a,7,FALSE))</f>
        <v/>
      </c>
      <c r="DP838" s="479" t="str">
        <f ca="1">DI818</f>
        <v/>
      </c>
      <c r="DQ838" s="302"/>
      <c r="DR838" s="364"/>
      <c r="DS838" s="302"/>
      <c r="DU838" s="424"/>
      <c r="DV838" s="424"/>
      <c r="DW838" s="424"/>
      <c r="DX838" s="424"/>
      <c r="DY838" s="424"/>
      <c r="DZ838" s="424"/>
      <c r="EA838" s="424"/>
      <c r="EB838" s="424"/>
      <c r="EC838" s="424"/>
      <c r="ED838" s="424"/>
      <c r="EE838" s="424"/>
      <c r="EF838" s="424"/>
      <c r="EG838" s="424"/>
      <c r="EH838" s="424"/>
      <c r="EI838" s="424"/>
      <c r="EJ838" s="424"/>
      <c r="EK838" s="424"/>
      <c r="EL838" s="424"/>
      <c r="EM838" s="424"/>
      <c r="EN838" s="424"/>
      <c r="EO838" s="424"/>
      <c r="EP838" s="424"/>
      <c r="EQ838" s="424"/>
      <c r="ER838" s="424"/>
      <c r="ES838" s="424"/>
      <c r="ET838" s="424"/>
      <c r="EU838" s="424"/>
      <c r="EV838" s="424"/>
      <c r="EW838" s="424"/>
      <c r="EX838" s="424"/>
      <c r="EY838" s="424"/>
      <c r="EZ838" s="424"/>
      <c r="FA838" s="424"/>
      <c r="FB838" s="424"/>
      <c r="FC838" s="424"/>
      <c r="FD838" s="425"/>
      <c r="FE838" s="333"/>
    </row>
    <row r="839" spans="86:161" x14ac:dyDescent="0.25">
      <c r="CH839" s="445"/>
      <c r="CI839" s="300"/>
      <c r="CJ839" s="300"/>
      <c r="CK839" s="300"/>
      <c r="CL839" s="449"/>
      <c r="CM839" s="445"/>
      <c r="DG839" s="445"/>
      <c r="DH839" s="300"/>
      <c r="DI839" s="395" t="str">
        <f ca="1">DI833</f>
        <v/>
      </c>
      <c r="DJ839" s="478" t="str">
        <f ca="1">IF(OR(DI839="",DP839="",DI839=DP839,COUNTIF(games.an,DI839&amp;DP839)=0),"",CONCATENATE(DI839,DP839))</f>
        <v/>
      </c>
      <c r="DK839" s="360" t="str">
        <f ca="1">IF($DJ839="","",CONCATENATE(VLOOKUP($DJ839,games.a,9,FALSE),VLOOKUP($DJ839,games.a,12,FALSE)))</f>
        <v/>
      </c>
      <c r="DL839" s="354" t="str">
        <f ca="1">IF($DJ839="","",VLOOKUP($DJ839,games.a,10,FALSE))</f>
        <v/>
      </c>
      <c r="DM839" s="354" t="str">
        <f ca="1">IF($DJ839="","",VLOOKUP($DJ839,games.a,13,FALSE))</f>
        <v/>
      </c>
      <c r="DN839" s="361" t="str">
        <f ca="1">IF($DJ839="","",VLOOKUP($DJ839,games.a,6,FALSE))</f>
        <v/>
      </c>
      <c r="DO839" s="362" t="str">
        <f ca="1">IF($DJ839="","",VLOOKUP($DJ839,games.a,7,FALSE))</f>
        <v/>
      </c>
      <c r="DP839" s="379" t="str">
        <f ca="1">DP838</f>
        <v/>
      </c>
      <c r="DQ839" s="302"/>
      <c r="DR839" s="364"/>
      <c r="DS839" s="302"/>
      <c r="DU839" s="424"/>
      <c r="DV839" s="424"/>
      <c r="DW839" s="424"/>
      <c r="DX839" s="424"/>
      <c r="DY839" s="424"/>
      <c r="DZ839" s="424"/>
      <c r="EA839" s="424"/>
      <c r="EB839" s="424"/>
      <c r="EC839" s="424"/>
      <c r="ED839" s="424"/>
      <c r="EE839" s="424"/>
      <c r="EF839" s="424"/>
      <c r="EG839" s="424"/>
      <c r="EH839" s="424"/>
      <c r="EI839" s="424"/>
      <c r="EJ839" s="424"/>
      <c r="EK839" s="424"/>
      <c r="EL839" s="424"/>
      <c r="EM839" s="424"/>
      <c r="EN839" s="424"/>
      <c r="EO839" s="424"/>
      <c r="EP839" s="424"/>
      <c r="EQ839" s="424"/>
      <c r="ER839" s="424"/>
      <c r="ES839" s="424"/>
      <c r="ET839" s="424"/>
      <c r="EU839" s="424"/>
      <c r="EV839" s="424"/>
      <c r="EW839" s="424"/>
      <c r="EX839" s="424"/>
      <c r="EY839" s="424"/>
      <c r="EZ839" s="424"/>
      <c r="FA839" s="424"/>
      <c r="FB839" s="424"/>
      <c r="FC839" s="424"/>
      <c r="FD839" s="425"/>
      <c r="FE839" s="333"/>
    </row>
    <row r="840" spans="86:161" x14ac:dyDescent="0.25">
      <c r="CH840" s="445"/>
      <c r="CI840" s="300"/>
      <c r="CJ840" s="300"/>
      <c r="CK840" s="300"/>
      <c r="CL840" s="449"/>
      <c r="CM840" s="445"/>
      <c r="DG840" s="445"/>
      <c r="DH840" s="300"/>
      <c r="DI840" s="395" t="str">
        <f ca="1">DI834</f>
        <v/>
      </c>
      <c r="DJ840" s="478" t="str">
        <f ca="1">IF(OR(DI840="",DP840="",DI840=DP840,COUNTIF(games.an,DI840&amp;DP840)=0),"",CONCATENATE(DI840,DP840))</f>
        <v/>
      </c>
      <c r="DK840" s="360" t="str">
        <f ca="1">IF($DJ840="","",CONCATENATE(VLOOKUP($DJ840,games.a,9,FALSE),VLOOKUP($DJ840,games.a,12,FALSE)))</f>
        <v/>
      </c>
      <c r="DL840" s="354" t="str">
        <f ca="1">IF($DJ840="","",VLOOKUP($DJ840,games.a,10,FALSE))</f>
        <v/>
      </c>
      <c r="DM840" s="354" t="str">
        <f ca="1">IF($DJ840="","",VLOOKUP($DJ840,games.a,13,FALSE))</f>
        <v/>
      </c>
      <c r="DN840" s="361" t="str">
        <f ca="1">IF($DJ840="","",VLOOKUP($DJ840,games.a,6,FALSE))</f>
        <v/>
      </c>
      <c r="DO840" s="362" t="str">
        <f ca="1">IF($DJ840="","",VLOOKUP($DJ840,games.a,7,FALSE))</f>
        <v/>
      </c>
      <c r="DP840" s="379" t="str">
        <f ca="1">DP839</f>
        <v/>
      </c>
      <c r="DQ840" s="302"/>
      <c r="DR840" s="364"/>
      <c r="DS840" s="302"/>
      <c r="DU840" s="424"/>
      <c r="DV840" s="424"/>
      <c r="DW840" s="424"/>
      <c r="DX840" s="424"/>
      <c r="DY840" s="424"/>
      <c r="DZ840" s="424"/>
      <c r="EA840" s="424"/>
      <c r="EB840" s="424"/>
      <c r="EC840" s="424"/>
      <c r="ED840" s="424"/>
      <c r="EE840" s="424"/>
      <c r="EF840" s="424"/>
      <c r="EG840" s="424"/>
      <c r="EH840" s="424"/>
      <c r="EI840" s="424"/>
      <c r="EJ840" s="424"/>
      <c r="EK840" s="424"/>
      <c r="EL840" s="424"/>
      <c r="EM840" s="424"/>
      <c r="EN840" s="424"/>
      <c r="EO840" s="424"/>
      <c r="EP840" s="424"/>
      <c r="EQ840" s="424"/>
      <c r="ER840" s="424"/>
      <c r="ES840" s="424"/>
      <c r="ET840" s="424"/>
      <c r="EU840" s="424"/>
      <c r="EV840" s="424"/>
      <c r="EW840" s="424"/>
      <c r="EX840" s="424"/>
      <c r="EY840" s="424"/>
      <c r="EZ840" s="424"/>
      <c r="FA840" s="424"/>
      <c r="FB840" s="424"/>
      <c r="FC840" s="424"/>
      <c r="FD840" s="425"/>
      <c r="FE840" s="333"/>
    </row>
    <row r="841" spans="86:161" x14ac:dyDescent="0.25">
      <c r="CH841" s="445"/>
      <c r="CI841" s="300"/>
      <c r="CJ841" s="300"/>
      <c r="CK841" s="300"/>
      <c r="CL841" s="449"/>
      <c r="CM841" s="445"/>
      <c r="DG841" s="445"/>
      <c r="DH841" s="300"/>
      <c r="DI841" s="395" t="str">
        <f ca="1">DI835</f>
        <v/>
      </c>
      <c r="DJ841" s="478" t="str">
        <f ca="1">IF(OR(DI841="",DP841="",DI841=DP841,COUNTIF(games.an,DI841&amp;DP841)=0),"",CONCATENATE(DI841,DP841))</f>
        <v/>
      </c>
      <c r="DK841" s="360" t="str">
        <f ca="1">IF($DJ841="","",CONCATENATE(VLOOKUP($DJ841,games.a,9,FALSE),VLOOKUP($DJ841,games.a,12,FALSE)))</f>
        <v/>
      </c>
      <c r="DL841" s="354" t="str">
        <f ca="1">IF($DJ841="","",VLOOKUP($DJ841,games.a,10,FALSE))</f>
        <v/>
      </c>
      <c r="DM841" s="354" t="str">
        <f ca="1">IF($DJ841="","",VLOOKUP($DJ841,games.a,13,FALSE))</f>
        <v/>
      </c>
      <c r="DN841" s="361" t="str">
        <f ca="1">IF($DJ841="","",VLOOKUP($DJ841,games.a,6,FALSE))</f>
        <v/>
      </c>
      <c r="DO841" s="362" t="str">
        <f ca="1">IF($DJ841="","",VLOOKUP($DJ841,games.a,7,FALSE))</f>
        <v/>
      </c>
      <c r="DP841" s="379" t="str">
        <f ca="1">DP840</f>
        <v/>
      </c>
      <c r="DQ841" s="302"/>
      <c r="DR841" s="364"/>
      <c r="DS841" s="302"/>
      <c r="DU841" s="424"/>
      <c r="DV841" s="424"/>
      <c r="DW841" s="424"/>
      <c r="DX841" s="424"/>
      <c r="DY841" s="424"/>
      <c r="DZ841" s="424"/>
      <c r="EA841" s="424"/>
      <c r="EB841" s="424"/>
      <c r="EC841" s="424"/>
      <c r="ED841" s="424"/>
      <c r="EE841" s="424"/>
      <c r="EF841" s="424"/>
      <c r="EG841" s="424"/>
      <c r="EH841" s="424"/>
      <c r="EI841" s="424"/>
      <c r="EJ841" s="424"/>
      <c r="EK841" s="424"/>
      <c r="EL841" s="424"/>
      <c r="EM841" s="424"/>
      <c r="EN841" s="424"/>
      <c r="EO841" s="424"/>
      <c r="EP841" s="424"/>
      <c r="EQ841" s="424"/>
      <c r="ER841" s="424"/>
      <c r="ES841" s="424"/>
      <c r="ET841" s="424"/>
      <c r="EU841" s="424"/>
      <c r="EV841" s="424"/>
      <c r="EW841" s="424"/>
      <c r="EX841" s="424"/>
      <c r="EY841" s="424"/>
      <c r="EZ841" s="424"/>
      <c r="FA841" s="424"/>
      <c r="FB841" s="424"/>
      <c r="FC841" s="424"/>
      <c r="FD841" s="425"/>
      <c r="FE841" s="333"/>
    </row>
    <row r="842" spans="86:161" x14ac:dyDescent="0.25">
      <c r="CH842" s="445"/>
      <c r="CI842" s="300"/>
      <c r="CJ842" s="300"/>
      <c r="CK842" s="300"/>
      <c r="CL842" s="449"/>
      <c r="CM842" s="445"/>
      <c r="DG842" s="445"/>
      <c r="DH842" s="300"/>
      <c r="DI842" s="395" t="str">
        <f ca="1">DI836</f>
        <v/>
      </c>
      <c r="DJ842" s="478" t="str">
        <f ca="1">IF(OR(DI842="",DP842="",DI842=DP842,COUNTIF(games.an,DI842&amp;DP842)=0),"",CONCATENATE(DI842,DP842))</f>
        <v/>
      </c>
      <c r="DK842" s="360" t="str">
        <f ca="1">IF($DJ842="","",CONCATENATE(VLOOKUP($DJ842,games.a,9,FALSE),VLOOKUP($DJ842,games.a,12,FALSE)))</f>
        <v/>
      </c>
      <c r="DL842" s="354" t="str">
        <f ca="1">IF($DJ842="","",VLOOKUP($DJ842,games.a,10,FALSE))</f>
        <v/>
      </c>
      <c r="DM842" s="354" t="str">
        <f ca="1">IF($DJ842="","",VLOOKUP($DJ842,games.a,13,FALSE))</f>
        <v/>
      </c>
      <c r="DN842" s="361" t="str">
        <f ca="1">IF($DJ842="","",VLOOKUP($DJ842,games.a,6,FALSE))</f>
        <v/>
      </c>
      <c r="DO842" s="362" t="str">
        <f ca="1">IF($DJ842="","",VLOOKUP($DJ842,games.a,7,FALSE))</f>
        <v/>
      </c>
      <c r="DP842" s="379" t="str">
        <f ca="1">DP841</f>
        <v/>
      </c>
      <c r="DQ842" s="302"/>
      <c r="DR842" s="364"/>
      <c r="DS842" s="302"/>
      <c r="DU842" s="424"/>
      <c r="DV842" s="424"/>
      <c r="DW842" s="424"/>
      <c r="DX842" s="424"/>
      <c r="DY842" s="424"/>
      <c r="DZ842" s="424"/>
      <c r="EA842" s="424"/>
      <c r="EB842" s="424"/>
      <c r="EC842" s="424"/>
      <c r="ED842" s="424"/>
      <c r="EE842" s="424"/>
      <c r="EF842" s="424"/>
      <c r="EG842" s="424"/>
      <c r="EH842" s="424"/>
      <c r="EI842" s="424"/>
      <c r="EJ842" s="424"/>
      <c r="EK842" s="424"/>
      <c r="EL842" s="424"/>
      <c r="EM842" s="424"/>
      <c r="EN842" s="424"/>
      <c r="EO842" s="424"/>
      <c r="EP842" s="424"/>
      <c r="EQ842" s="424"/>
      <c r="ER842" s="424"/>
      <c r="ES842" s="424"/>
      <c r="ET842" s="424"/>
      <c r="EU842" s="424"/>
      <c r="EV842" s="424"/>
      <c r="EW842" s="424"/>
      <c r="EX842" s="424"/>
      <c r="EY842" s="424"/>
      <c r="EZ842" s="424"/>
      <c r="FA842" s="424"/>
      <c r="FB842" s="424"/>
      <c r="FC842" s="424"/>
      <c r="FD842" s="425"/>
      <c r="FE842" s="333"/>
    </row>
    <row r="843" spans="86:161" x14ac:dyDescent="0.25">
      <c r="CH843" s="445"/>
      <c r="CI843" s="300"/>
      <c r="CJ843" s="300"/>
      <c r="CK843" s="300"/>
      <c r="CL843" s="449"/>
      <c r="CM843" s="445"/>
      <c r="DG843" s="445"/>
      <c r="DH843" s="445"/>
      <c r="DI843" s="301"/>
      <c r="DJ843" s="302"/>
      <c r="DK843" s="302"/>
      <c r="DL843" s="302"/>
      <c r="DM843" s="302"/>
      <c r="DN843" s="302"/>
      <c r="DO843" s="302"/>
      <c r="DP843" s="447"/>
      <c r="DQ843" s="302"/>
      <c r="DR843" s="446" t="s">
        <v>216</v>
      </c>
      <c r="DS843" s="302"/>
      <c r="DU843" s="424"/>
      <c r="DV843" s="424"/>
      <c r="DW843" s="424"/>
      <c r="DX843" s="424"/>
      <c r="DY843" s="424"/>
      <c r="DZ843" s="424"/>
      <c r="EA843" s="424"/>
      <c r="EB843" s="424"/>
      <c r="EC843" s="424"/>
      <c r="ED843" s="424"/>
      <c r="EE843" s="424"/>
      <c r="EF843" s="424"/>
      <c r="EG843" s="424"/>
      <c r="EH843" s="424"/>
      <c r="EI843" s="424"/>
      <c r="EJ843" s="424"/>
      <c r="EK843" s="424"/>
      <c r="EL843" s="424"/>
      <c r="EM843" s="424"/>
      <c r="EN843" s="424"/>
      <c r="EO843" s="424"/>
      <c r="EP843" s="424"/>
      <c r="EQ843" s="424"/>
      <c r="ER843" s="424"/>
      <c r="ES843" s="424"/>
      <c r="ET843" s="424"/>
      <c r="EU843" s="424"/>
      <c r="EV843" s="424"/>
      <c r="EW843" s="424"/>
      <c r="EX843" s="424"/>
      <c r="EY843" s="424"/>
      <c r="EZ843" s="424"/>
      <c r="FA843" s="424"/>
      <c r="FB843" s="424"/>
      <c r="FC843" s="424"/>
      <c r="FD843" s="425"/>
      <c r="FE843" s="333"/>
    </row>
    <row r="844" spans="86:161" x14ac:dyDescent="0.25">
      <c r="CH844" s="445"/>
      <c r="CI844" s="300"/>
      <c r="CJ844" s="300"/>
      <c r="CK844" s="300"/>
      <c r="CL844" s="449"/>
      <c r="CM844" s="445"/>
      <c r="DG844" s="445"/>
      <c r="DH844" s="445"/>
      <c r="DI844" s="301"/>
      <c r="DJ844" s="302"/>
      <c r="DK844" s="302"/>
      <c r="DL844" s="302"/>
      <c r="DM844" s="302"/>
      <c r="DN844" s="302"/>
      <c r="DO844" s="302"/>
      <c r="DP844" s="447"/>
      <c r="DQ844" s="302"/>
      <c r="DR844" s="450" t="s">
        <v>217</v>
      </c>
      <c r="DS844" s="302"/>
      <c r="DU844" s="424"/>
      <c r="DV844" s="424"/>
      <c r="DW844" s="424"/>
      <c r="DX844" s="424"/>
      <c r="DY844" s="424"/>
      <c r="DZ844" s="424"/>
      <c r="EA844" s="424"/>
      <c r="EB844" s="424"/>
      <c r="EC844" s="424"/>
      <c r="ED844" s="424"/>
      <c r="EE844" s="424"/>
      <c r="EF844" s="424"/>
      <c r="EG844" s="424"/>
      <c r="EH844" s="424"/>
      <c r="EI844" s="424"/>
      <c r="EJ844" s="424"/>
      <c r="EK844" s="424"/>
      <c r="EL844" s="424"/>
      <c r="EM844" s="424"/>
      <c r="EN844" s="424"/>
      <c r="EO844" s="424"/>
      <c r="EP844" s="424"/>
      <c r="EQ844" s="424"/>
      <c r="ER844" s="424"/>
      <c r="ES844" s="424"/>
      <c r="ET844" s="424"/>
      <c r="EU844" s="424"/>
      <c r="EV844" s="424"/>
      <c r="EW844" s="424"/>
      <c r="EX844" s="424"/>
      <c r="EY844" s="424"/>
      <c r="EZ844" s="424"/>
      <c r="FA844" s="424"/>
      <c r="FB844" s="424"/>
      <c r="FC844" s="424"/>
      <c r="FD844" s="425"/>
      <c r="FE844" s="333"/>
    </row>
    <row r="845" spans="86:161" x14ac:dyDescent="0.25">
      <c r="CH845" s="445"/>
      <c r="CI845" s="300"/>
      <c r="CJ845" s="300"/>
      <c r="CK845" s="300"/>
      <c r="CL845" s="449"/>
      <c r="CM845" s="445"/>
      <c r="DG845" s="445"/>
      <c r="DH845" s="300"/>
      <c r="DI845" s="323" t="b">
        <f ca="1">OR(NOT($AJ$44),COUNTIF(DN845:DN864,"")=16-(DP845-1)*DP845,COUNTIF(DN845:DN864,"")=16-(DP845-1)*DP845/2)</f>
        <v>1</v>
      </c>
      <c r="DJ845" s="471" t="s">
        <v>157</v>
      </c>
      <c r="DK845" s="471" t="s">
        <v>158</v>
      </c>
      <c r="DL845" s="472" t="s">
        <v>159</v>
      </c>
      <c r="DM845" s="472"/>
      <c r="DN845" s="473" t="s">
        <v>160</v>
      </c>
      <c r="DO845" s="472" t="s">
        <v>135</v>
      </c>
      <c r="DP845" s="323">
        <f ca="1">COUNT(CZ644:CZ647)</f>
        <v>0</v>
      </c>
      <c r="DQ845" s="302"/>
      <c r="DR845" s="364"/>
      <c r="DS845" s="302"/>
      <c r="DU845" s="424"/>
      <c r="DV845" s="329" t="s">
        <v>229</v>
      </c>
      <c r="DW845" s="365"/>
      <c r="DX845" s="329" t="s">
        <v>152</v>
      </c>
      <c r="DY845" s="329" t="s">
        <v>153</v>
      </c>
      <c r="DZ845" s="329" t="s">
        <v>154</v>
      </c>
      <c r="EA845" s="329" t="s">
        <v>155</v>
      </c>
      <c r="EB845" s="329" t="s">
        <v>125</v>
      </c>
      <c r="EC845" s="329" t="s">
        <v>226</v>
      </c>
      <c r="ED845" s="329" t="s">
        <v>126</v>
      </c>
      <c r="EE845" s="329" t="s">
        <v>227</v>
      </c>
      <c r="EF845" s="424"/>
      <c r="EG845" s="424"/>
      <c r="EH845" s="424"/>
      <c r="EI845" s="329" t="s">
        <v>228</v>
      </c>
      <c r="EJ845" s="329" t="s">
        <v>156</v>
      </c>
      <c r="EK845" s="329" t="s">
        <v>208</v>
      </c>
      <c r="EL845" s="424"/>
      <c r="EM845" s="424"/>
      <c r="EN845" s="424"/>
      <c r="EO845" s="424"/>
      <c r="EP845" s="424"/>
      <c r="EQ845" s="424"/>
      <c r="ER845" s="424"/>
      <c r="ES845" s="424"/>
      <c r="ET845" s="424"/>
      <c r="EU845" s="424"/>
      <c r="EV845" s="424"/>
      <c r="EW845" s="424"/>
      <c r="EX845" s="424"/>
      <c r="EY845" s="424"/>
      <c r="EZ845" s="424"/>
      <c r="FA845" s="424"/>
      <c r="FB845" s="424"/>
      <c r="FC845" s="424"/>
      <c r="FD845" s="425"/>
      <c r="FE845" s="333"/>
    </row>
    <row r="846" spans="86:161" x14ac:dyDescent="0.25">
      <c r="CH846" s="445"/>
      <c r="CI846" s="300"/>
      <c r="CJ846" s="300"/>
      <c r="CK846" s="300"/>
      <c r="CL846" s="449"/>
      <c r="CM846" s="445"/>
      <c r="DG846" s="445"/>
      <c r="DH846" s="300"/>
      <c r="DI846" s="477" t="str">
        <f ca="1">IF(CZ644="","",VLOOKUP(CZ644,xxx.an1,13,FALSE))</f>
        <v/>
      </c>
      <c r="DJ846" s="478" t="str">
        <f ca="1">IF(OR(DI846="",DP846="",DI846=DP846,COUNTIF(games.an,DI846&amp;DP846)=0),"",CONCATENATE(DI846,DP846))</f>
        <v/>
      </c>
      <c r="DK846" s="360" t="str">
        <f ca="1">IF($DJ846="","",CONCATENATE(VLOOKUP($DJ846,games.a,9,FALSE),VLOOKUP($DJ846,games.a,12,FALSE)))</f>
        <v/>
      </c>
      <c r="DL846" s="354" t="str">
        <f ca="1">IF($DJ846="","",VLOOKUP($DJ846,games.a,10,FALSE))</f>
        <v/>
      </c>
      <c r="DM846" s="354" t="str">
        <f ca="1">IF($DJ846="","",VLOOKUP($DJ846,games.a,13,FALSE))</f>
        <v/>
      </c>
      <c r="DN846" s="361" t="str">
        <f ca="1">IF($DJ846="","",VLOOKUP($DJ846,games.a,6,FALSE))</f>
        <v/>
      </c>
      <c r="DO846" s="362" t="str">
        <f ca="1">IF($DJ846="","",VLOOKUP($DJ846,games.a,7,FALSE))</f>
        <v/>
      </c>
      <c r="DP846" s="479" t="str">
        <f ca="1">DI846</f>
        <v/>
      </c>
      <c r="DQ846" s="302"/>
      <c r="DR846" s="364"/>
      <c r="DS846" s="302"/>
      <c r="DU846" s="424"/>
      <c r="DV846" s="366" t="str">
        <f ca="1">IF(OR(NOT($AJ$44),DI845),DI846,"")</f>
        <v/>
      </c>
      <c r="DW846" s="365"/>
      <c r="DX846" s="366">
        <f ca="1">IF($DV846="",0,COUNTIF(xxgy.an,$DV846))</f>
        <v>0</v>
      </c>
      <c r="DY846" s="366">
        <f ca="1">IF($DV846="",0,COUNTIF(xxd.an,$DV846))</f>
        <v>0</v>
      </c>
      <c r="DZ846" s="366">
        <f ca="1">IF($DV846="",0,1)*(SUMIF(xxo.an,$DV846,xxl.an)+SUMIF(xxi.an,$DV846,xxk.an))</f>
        <v>0</v>
      </c>
      <c r="EA846" s="366">
        <f ca="1">IF($DV846="",0,1)*(SUMIF(xxo.an,$DV846,xxk.an)+SUMIF(xxi.an,$DV846,xxl.an))</f>
        <v>0</v>
      </c>
      <c r="EB846" s="366">
        <f ca="1">DZ846-EA846</f>
        <v>0</v>
      </c>
      <c r="EC846" s="366">
        <f ca="1">IF(EA846=0,0,DZ846/EA846)</f>
        <v>0</v>
      </c>
      <c r="ED846" s="366">
        <f ca="1">$AJ$48*DX846+IF($AJ$44,0,1)*DY846</f>
        <v>0</v>
      </c>
      <c r="EE846" s="396">
        <f ca="1">ED846*1000000+IF($AJ$44,EC846,EB846)*1000*0</f>
        <v>0</v>
      </c>
      <c r="EF846" s="424"/>
      <c r="EG846" s="424"/>
      <c r="EH846" s="424"/>
      <c r="EI846" s="366">
        <f ca="1">IF(OR(ISERR(EE846),ISNA(EE846)),0,EE846)</f>
        <v>0</v>
      </c>
      <c r="EJ846" s="366">
        <f ca="1">IF(EI846=0,0,RANK(EI846,EI846:EI849,1))</f>
        <v>0</v>
      </c>
      <c r="EK846" s="366">
        <f ca="1">EJ846*40000*IF(COUNTIF($FC$644:$FC$667,DV846)&gt;0,0,1)</f>
        <v>0</v>
      </c>
      <c r="EL846" s="424"/>
      <c r="EM846" s="424"/>
      <c r="EN846" s="424"/>
      <c r="EO846" s="424"/>
      <c r="EP846" s="424"/>
      <c r="EQ846" s="424"/>
      <c r="ER846" s="424"/>
      <c r="ES846" s="424"/>
      <c r="ET846" s="424"/>
      <c r="EU846" s="424"/>
      <c r="EV846" s="424"/>
      <c r="EW846" s="424"/>
      <c r="EX846" s="424"/>
      <c r="EY846" s="424"/>
      <c r="EZ846" s="424"/>
      <c r="FA846" s="424"/>
      <c r="FB846" s="424"/>
      <c r="FC846" s="424"/>
      <c r="FD846" s="425"/>
      <c r="FE846" s="333"/>
    </row>
    <row r="847" spans="86:161" x14ac:dyDescent="0.25">
      <c r="CH847" s="445"/>
      <c r="CI847" s="300"/>
      <c r="CJ847" s="300"/>
      <c r="CK847" s="300"/>
      <c r="CL847" s="449"/>
      <c r="CM847" s="445"/>
      <c r="DG847" s="445"/>
      <c r="DH847" s="300"/>
      <c r="DI847" s="477" t="str">
        <f ca="1">IF(CZ645="","",VLOOKUP(CZ645,xxx.an1,13,FALSE))</f>
        <v/>
      </c>
      <c r="DJ847" s="478" t="str">
        <f ca="1">IF(OR(DI847="",DP847="",DI847=DP847,COUNTIF(games.an,DI847&amp;DP847)=0),"",CONCATENATE(DI847,DP847))</f>
        <v/>
      </c>
      <c r="DK847" s="360" t="str">
        <f ca="1">IF($DJ847="","",CONCATENATE(VLOOKUP($DJ847,games.a,9,FALSE),VLOOKUP($DJ847,games.a,12,FALSE)))</f>
        <v/>
      </c>
      <c r="DL847" s="354" t="str">
        <f ca="1">IF($DJ847="","",VLOOKUP($DJ847,games.a,10,FALSE))</f>
        <v/>
      </c>
      <c r="DM847" s="354" t="str">
        <f ca="1">IF($DJ847="","",VLOOKUP($DJ847,games.a,13,FALSE))</f>
        <v/>
      </c>
      <c r="DN847" s="361" t="str">
        <f ca="1">IF($DJ847="","",VLOOKUP($DJ847,games.a,6,FALSE))</f>
        <v/>
      </c>
      <c r="DO847" s="362" t="str">
        <f ca="1">IF($DJ847="","",VLOOKUP($DJ847,games.a,7,FALSE))</f>
        <v/>
      </c>
      <c r="DP847" s="379" t="str">
        <f ca="1">DP846</f>
        <v/>
      </c>
      <c r="DQ847" s="302"/>
      <c r="DR847" s="364"/>
      <c r="DS847" s="302"/>
      <c r="DU847" s="424"/>
      <c r="DV847" s="366" t="str">
        <f ca="1">IF(OR(NOT($AJ$44),DI845),DI847,"")</f>
        <v/>
      </c>
      <c r="DW847" s="365"/>
      <c r="DX847" s="366">
        <f ca="1">IF($DV847="",0,COUNTIF(xxgy.an,$DV847))</f>
        <v>0</v>
      </c>
      <c r="DY847" s="366">
        <f ca="1">IF($DV847="",0,COUNTIF(xxd.an,$DV847))</f>
        <v>0</v>
      </c>
      <c r="DZ847" s="366">
        <f ca="1">IF($DV847="",0,1)*(SUMIF(xxo.an,$DV847,xxl.an)+SUMIF(xxi.an,$DV847,xxk.an))</f>
        <v>0</v>
      </c>
      <c r="EA847" s="366">
        <f ca="1">IF($DV847="",0,1)*(SUMIF(xxo.an,$DV847,xxk.an)+SUMIF(xxi.an,$DV847,xxl.an))</f>
        <v>0</v>
      </c>
      <c r="EB847" s="366">
        <f ca="1">DZ847-EA847</f>
        <v>0</v>
      </c>
      <c r="EC847" s="366">
        <f ca="1">IF(EA847=0,0,DZ847/EA847)</f>
        <v>0</v>
      </c>
      <c r="ED847" s="366">
        <f ca="1">$AJ$48*DX847+IF($AJ$44,0,1)*DY847</f>
        <v>0</v>
      </c>
      <c r="EE847" s="396">
        <f ca="1">ED847*1000000+IF($AJ$44,EC847,EB847)*1000*0</f>
        <v>0</v>
      </c>
      <c r="EF847" s="424"/>
      <c r="EG847" s="424"/>
      <c r="EH847" s="424"/>
      <c r="EI847" s="366">
        <f ca="1">IF(OR(ISERR(EE847),ISNA(EE847)),0,EE847)</f>
        <v>0</v>
      </c>
      <c r="EJ847" s="366">
        <f ca="1">IF(EI847=0,0,RANK(EI847,EI846:EI849,1))</f>
        <v>0</v>
      </c>
      <c r="EK847" s="366">
        <f ca="1">EJ847*40000*IF(COUNTIF($FC$644:$FC$667,DV847)&gt;0,0,1)</f>
        <v>0</v>
      </c>
      <c r="EL847" s="424"/>
      <c r="EM847" s="424"/>
      <c r="EN847" s="424"/>
      <c r="EO847" s="424"/>
      <c r="EP847" s="424"/>
      <c r="EQ847" s="424"/>
      <c r="ER847" s="424"/>
      <c r="ES847" s="424"/>
      <c r="ET847" s="424"/>
      <c r="EU847" s="424"/>
      <c r="EV847" s="424"/>
      <c r="EW847" s="424"/>
      <c r="EX847" s="424"/>
      <c r="EY847" s="424"/>
      <c r="EZ847" s="424"/>
      <c r="FA847" s="424"/>
      <c r="FB847" s="424"/>
      <c r="FC847" s="424"/>
      <c r="FD847" s="425"/>
      <c r="FE847" s="333"/>
    </row>
    <row r="848" spans="86:161" x14ac:dyDescent="0.25">
      <c r="CH848" s="445"/>
      <c r="CI848" s="300"/>
      <c r="CJ848" s="300"/>
      <c r="CK848" s="300"/>
      <c r="CL848" s="449"/>
      <c r="CM848" s="445"/>
      <c r="DG848" s="445"/>
      <c r="DH848" s="300"/>
      <c r="DI848" s="477" t="str">
        <f ca="1">IF(CZ646="","",VLOOKUP(CZ646,xxx.an1,13,FALSE))</f>
        <v/>
      </c>
      <c r="DJ848" s="478" t="str">
        <f ca="1">IF(OR(DI848="",DP848="",DI848=DP848,COUNTIF(games.an,DI848&amp;DP848)=0),"",CONCATENATE(DI848,DP848))</f>
        <v/>
      </c>
      <c r="DK848" s="360" t="str">
        <f ca="1">IF($DJ848="","",CONCATENATE(VLOOKUP($DJ848,games.a,9,FALSE),VLOOKUP($DJ848,games.a,12,FALSE)))</f>
        <v/>
      </c>
      <c r="DL848" s="354" t="str">
        <f ca="1">IF($DJ848="","",VLOOKUP($DJ848,games.a,10,FALSE))</f>
        <v/>
      </c>
      <c r="DM848" s="354" t="str">
        <f ca="1">IF($DJ848="","",VLOOKUP($DJ848,games.a,13,FALSE))</f>
        <v/>
      </c>
      <c r="DN848" s="361" t="str">
        <f ca="1">IF($DJ848="","",VLOOKUP($DJ848,games.a,6,FALSE))</f>
        <v/>
      </c>
      <c r="DO848" s="362" t="str">
        <f ca="1">IF($DJ848="","",VLOOKUP($DJ848,games.a,7,FALSE))</f>
        <v/>
      </c>
      <c r="DP848" s="379" t="str">
        <f ca="1">DP847</f>
        <v/>
      </c>
      <c r="DQ848" s="302"/>
      <c r="DR848" s="364"/>
      <c r="DS848" s="302"/>
      <c r="DU848" s="424"/>
      <c r="DV848" s="366" t="str">
        <f ca="1">IF(OR(NOT($AJ$44),DI845),DI848,"")</f>
        <v/>
      </c>
      <c r="DW848" s="365"/>
      <c r="DX848" s="366">
        <f ca="1">IF($DV848="",0,COUNTIF(xxgy.an,$DV848))</f>
        <v>0</v>
      </c>
      <c r="DY848" s="366">
        <f ca="1">IF($DV848="",0,COUNTIF(xxd.an,$DV848))</f>
        <v>0</v>
      </c>
      <c r="DZ848" s="366">
        <f ca="1">IF($DV848="",0,1)*(SUMIF(xxo.an,$DV848,xxl.an)+SUMIF(xxi.an,$DV848,xxk.an))</f>
        <v>0</v>
      </c>
      <c r="EA848" s="366">
        <f ca="1">IF($DV848="",0,1)*(SUMIF(xxo.an,$DV848,xxk.an)+SUMIF(xxi.an,$DV848,xxl.an))</f>
        <v>0</v>
      </c>
      <c r="EB848" s="366">
        <f ca="1">DZ848-EA848</f>
        <v>0</v>
      </c>
      <c r="EC848" s="366">
        <f ca="1">IF(EA848=0,0,DZ848/EA848)</f>
        <v>0</v>
      </c>
      <c r="ED848" s="366">
        <f ca="1">$AJ$48*DX848+IF($AJ$44,0,1)*DY848</f>
        <v>0</v>
      </c>
      <c r="EE848" s="396">
        <f ca="1">ED848*1000000+IF($AJ$44,EC848,EB848)*1000*0</f>
        <v>0</v>
      </c>
      <c r="EF848" s="424"/>
      <c r="EG848" s="424"/>
      <c r="EH848" s="424"/>
      <c r="EI848" s="366">
        <f ca="1">IF(OR(ISERR(EE848),ISNA(EE848)),0,EE848)</f>
        <v>0</v>
      </c>
      <c r="EJ848" s="366">
        <f ca="1">IF(EI848=0,0,RANK(EI848,EI846:EI849,1))</f>
        <v>0</v>
      </c>
      <c r="EK848" s="366">
        <f ca="1">EJ848*40000*IF(COUNTIF($FC$644:$FC$667,DV848)&gt;0,0,1)</f>
        <v>0</v>
      </c>
      <c r="EL848" s="424"/>
      <c r="EM848" s="424"/>
      <c r="EN848" s="424"/>
      <c r="EO848" s="424"/>
      <c r="EP848" s="424"/>
      <c r="EQ848" s="424"/>
      <c r="ER848" s="424"/>
      <c r="ES848" s="424"/>
      <c r="ET848" s="424"/>
      <c r="EU848" s="424"/>
      <c r="EV848" s="424"/>
      <c r="EW848" s="424"/>
      <c r="EX848" s="424"/>
      <c r="EY848" s="424"/>
      <c r="EZ848" s="424"/>
      <c r="FA848" s="424"/>
      <c r="FB848" s="424"/>
      <c r="FC848" s="424"/>
      <c r="FD848" s="425"/>
      <c r="FE848" s="333"/>
    </row>
    <row r="849" spans="86:161" x14ac:dyDescent="0.25">
      <c r="CH849" s="445"/>
      <c r="CI849" s="300"/>
      <c r="CJ849" s="300"/>
      <c r="CK849" s="300"/>
      <c r="CL849" s="449"/>
      <c r="CM849" s="445"/>
      <c r="DG849" s="445"/>
      <c r="DH849" s="300"/>
      <c r="DI849" s="477" t="str">
        <f ca="1">IF(CZ647="","",VLOOKUP(CZ647,xxx.an1,13,FALSE))</f>
        <v/>
      </c>
      <c r="DJ849" s="478" t="str">
        <f ca="1">IF(OR(DI849="",DP849="",DI849=DP849,COUNTIF(games.an,DI849&amp;DP849)=0),"",CONCATENATE(DI849,DP849))</f>
        <v/>
      </c>
      <c r="DK849" s="360" t="str">
        <f ca="1">IF($DJ849="","",CONCATENATE(VLOOKUP($DJ849,games.a,9,FALSE),VLOOKUP($DJ849,games.a,12,FALSE)))</f>
        <v/>
      </c>
      <c r="DL849" s="354" t="str">
        <f ca="1">IF($DJ849="","",VLOOKUP($DJ849,games.a,10,FALSE))</f>
        <v/>
      </c>
      <c r="DM849" s="354" t="str">
        <f ca="1">IF($DJ849="","",VLOOKUP($DJ849,games.a,13,FALSE))</f>
        <v/>
      </c>
      <c r="DN849" s="361" t="str">
        <f ca="1">IF($DJ849="","",VLOOKUP($DJ849,games.a,6,FALSE))</f>
        <v/>
      </c>
      <c r="DO849" s="362" t="str">
        <f ca="1">IF($DJ849="","",VLOOKUP($DJ849,games.a,7,FALSE))</f>
        <v/>
      </c>
      <c r="DP849" s="379" t="str">
        <f ca="1">DP848</f>
        <v/>
      </c>
      <c r="DQ849" s="302"/>
      <c r="DR849" s="364"/>
      <c r="DS849" s="302"/>
      <c r="DU849" s="424"/>
      <c r="DV849" s="366" t="str">
        <f ca="1">IF(OR(NOT($AJ$44),DI845),DI849,"")</f>
        <v/>
      </c>
      <c r="DW849" s="365"/>
      <c r="DX849" s="366">
        <f ca="1">IF($DV849="",0,COUNTIF(xxgy.an,$DV849))</f>
        <v>0</v>
      </c>
      <c r="DY849" s="366">
        <f ca="1">IF($DV849="",0,COUNTIF(xxd.an,$DV849))</f>
        <v>0</v>
      </c>
      <c r="DZ849" s="366">
        <f ca="1">IF($DV849="",0,1)*(SUMIF(xxo.an,$DV849,xxl.an)+SUMIF(xxi.an,$DV849,xxk.an))</f>
        <v>0</v>
      </c>
      <c r="EA849" s="366">
        <f ca="1">IF($DV849="",0,1)*(SUMIF(xxo.an,$DV849,xxk.an)+SUMIF(xxi.an,$DV849,xxl.an))</f>
        <v>0</v>
      </c>
      <c r="EB849" s="366">
        <f ca="1">DZ849-EA849</f>
        <v>0</v>
      </c>
      <c r="EC849" s="366">
        <f ca="1">IF(EA849=0,0,DZ849/EA849)</f>
        <v>0</v>
      </c>
      <c r="ED849" s="366">
        <f ca="1">$AJ$48*DX849+IF($AJ$44,0,1)*DY849</f>
        <v>0</v>
      </c>
      <c r="EE849" s="396">
        <f ca="1">ED849*1000000+IF($AJ$44,EC849,EB849)*1000*0</f>
        <v>0</v>
      </c>
      <c r="EF849" s="424"/>
      <c r="EG849" s="424"/>
      <c r="EH849" s="424"/>
      <c r="EI849" s="366">
        <f ca="1">IF(OR(ISERR(EE849),ISNA(EE849)),0,EE849)</f>
        <v>0</v>
      </c>
      <c r="EJ849" s="366">
        <f ca="1">IF(EI849=0,0,RANK(EI849,EI846:EI849,1))</f>
        <v>0</v>
      </c>
      <c r="EK849" s="366">
        <f ca="1">EJ849*40000*IF(COUNTIF($FC$644:$FC$667,DV849)&gt;0,0,1)</f>
        <v>0</v>
      </c>
      <c r="EL849" s="424"/>
      <c r="EM849" s="424"/>
      <c r="EN849" s="424"/>
      <c r="EO849" s="424"/>
      <c r="EP849" s="424"/>
      <c r="EQ849" s="424"/>
      <c r="ER849" s="424"/>
      <c r="ES849" s="424"/>
      <c r="ET849" s="424"/>
      <c r="EU849" s="424"/>
      <c r="EV849" s="424"/>
      <c r="EW849" s="424"/>
      <c r="EX849" s="424"/>
      <c r="EY849" s="424"/>
      <c r="EZ849" s="424"/>
      <c r="FA849" s="424"/>
      <c r="FB849" s="424"/>
      <c r="FC849" s="424"/>
      <c r="FD849" s="425"/>
      <c r="FE849" s="333"/>
    </row>
    <row r="850" spans="86:161" x14ac:dyDescent="0.25">
      <c r="CH850" s="445"/>
      <c r="CI850" s="300"/>
      <c r="CJ850" s="300"/>
      <c r="CK850" s="300"/>
      <c r="CL850" s="449"/>
      <c r="CM850" s="445"/>
      <c r="DG850" s="445"/>
      <c r="DH850" s="300"/>
      <c r="DI850" s="301"/>
      <c r="DJ850" s="471" t="s">
        <v>157</v>
      </c>
      <c r="DK850" s="471" t="s">
        <v>158</v>
      </c>
      <c r="DL850" s="472" t="s">
        <v>159</v>
      </c>
      <c r="DM850" s="472"/>
      <c r="DN850" s="473" t="s">
        <v>160</v>
      </c>
      <c r="DO850" s="472" t="s">
        <v>135</v>
      </c>
      <c r="DP850" s="302"/>
      <c r="DQ850" s="302"/>
      <c r="DR850" s="364"/>
      <c r="DS850" s="302"/>
      <c r="DU850" s="424"/>
      <c r="DV850" s="424"/>
      <c r="DW850" s="424"/>
      <c r="DX850" s="424"/>
      <c r="DY850" s="424"/>
      <c r="DZ850" s="424"/>
      <c r="EA850" s="424"/>
      <c r="EB850" s="424"/>
      <c r="EC850" s="424"/>
      <c r="ED850" s="424"/>
      <c r="EE850" s="424"/>
      <c r="EF850" s="424"/>
      <c r="EG850" s="424"/>
      <c r="EH850" s="424"/>
      <c r="EI850" s="424"/>
      <c r="EJ850" s="424"/>
      <c r="EK850" s="424"/>
      <c r="EL850" s="424"/>
      <c r="EM850" s="424"/>
      <c r="EN850" s="424"/>
      <c r="EO850" s="424"/>
      <c r="EP850" s="424"/>
      <c r="EQ850" s="424"/>
      <c r="ER850" s="424"/>
      <c r="ES850" s="424"/>
      <c r="ET850" s="424"/>
      <c r="EU850" s="424"/>
      <c r="EV850" s="424"/>
      <c r="EW850" s="424"/>
      <c r="EX850" s="424"/>
      <c r="EY850" s="424"/>
      <c r="EZ850" s="424"/>
      <c r="FA850" s="424"/>
      <c r="FB850" s="424"/>
      <c r="FC850" s="424"/>
      <c r="FD850" s="425"/>
      <c r="FE850" s="333"/>
    </row>
    <row r="851" spans="86:161" x14ac:dyDescent="0.25">
      <c r="CH851" s="445"/>
      <c r="CI851" s="300"/>
      <c r="CJ851" s="300"/>
      <c r="CK851" s="300"/>
      <c r="CL851" s="449"/>
      <c r="CM851" s="445"/>
      <c r="DG851" s="445"/>
      <c r="DH851" s="300"/>
      <c r="DI851" s="395" t="str">
        <f ca="1">DI846</f>
        <v/>
      </c>
      <c r="DJ851" s="478" t="str">
        <f ca="1">IF(OR(DI851="",DP851="",DI851=DP851,COUNTIF(games.an,DI851&amp;DP851)=0),"",CONCATENATE(DI851,DP851))</f>
        <v/>
      </c>
      <c r="DK851" s="360" t="str">
        <f ca="1">IF($DJ851="","",CONCATENATE(VLOOKUP($DJ851,games.a,9,FALSE),VLOOKUP($DJ851,games.a,12,FALSE)))</f>
        <v/>
      </c>
      <c r="DL851" s="354" t="str">
        <f ca="1">IF($DJ851="","",VLOOKUP($DJ851,games.a,10,FALSE))</f>
        <v/>
      </c>
      <c r="DM851" s="354" t="str">
        <f ca="1">IF($DJ851="","",VLOOKUP($DJ851,games.a,13,FALSE))</f>
        <v/>
      </c>
      <c r="DN851" s="361" t="str">
        <f ca="1">IF($DJ851="","",VLOOKUP($DJ851,games.a,6,FALSE))</f>
        <v/>
      </c>
      <c r="DO851" s="362" t="str">
        <f ca="1">IF($DJ851="","",VLOOKUP($DJ851,games.a,7,FALSE))</f>
        <v/>
      </c>
      <c r="DP851" s="479" t="str">
        <f ca="1">DI847</f>
        <v/>
      </c>
      <c r="DQ851" s="302"/>
      <c r="DR851" s="364"/>
      <c r="DS851" s="302"/>
      <c r="DU851" s="424"/>
      <c r="DV851" s="424"/>
      <c r="DW851" s="424"/>
      <c r="DX851" s="424"/>
      <c r="DY851" s="424"/>
      <c r="DZ851" s="424"/>
      <c r="EA851" s="424"/>
      <c r="EB851" s="424"/>
      <c r="EC851" s="424"/>
      <c r="ED851" s="424"/>
      <c r="EE851" s="424"/>
      <c r="EF851" s="424"/>
      <c r="EG851" s="424"/>
      <c r="EH851" s="424"/>
      <c r="EI851" s="424"/>
      <c r="EJ851" s="424"/>
      <c r="EK851" s="424"/>
      <c r="EL851" s="424"/>
      <c r="EM851" s="424"/>
      <c r="EN851" s="424"/>
      <c r="EO851" s="424"/>
      <c r="EP851" s="424"/>
      <c r="EQ851" s="424"/>
      <c r="ER851" s="424"/>
      <c r="ES851" s="424"/>
      <c r="ET851" s="424"/>
      <c r="EU851" s="424"/>
      <c r="EV851" s="424"/>
      <c r="EW851" s="424"/>
      <c r="EX851" s="424"/>
      <c r="EY851" s="424"/>
      <c r="EZ851" s="424"/>
      <c r="FA851" s="424"/>
      <c r="FB851" s="424"/>
      <c r="FC851" s="424"/>
      <c r="FD851" s="425"/>
      <c r="FE851" s="333"/>
    </row>
    <row r="852" spans="86:161" x14ac:dyDescent="0.25">
      <c r="CH852" s="445"/>
      <c r="CI852" s="300"/>
      <c r="CJ852" s="300"/>
      <c r="CK852" s="300"/>
      <c r="CL852" s="449"/>
      <c r="CM852" s="445"/>
      <c r="DG852" s="445"/>
      <c r="DH852" s="300"/>
      <c r="DI852" s="395" t="str">
        <f ca="1">DI847</f>
        <v/>
      </c>
      <c r="DJ852" s="478" t="str">
        <f ca="1">IF(OR(DI852="",DP852="",DI852=DP852,COUNTIF(games.an,DI852&amp;DP852)=0),"",CONCATENATE(DI852,DP852))</f>
        <v/>
      </c>
      <c r="DK852" s="360" t="str">
        <f ca="1">IF($DJ852="","",CONCATENATE(VLOOKUP($DJ852,games.a,9,FALSE),VLOOKUP($DJ852,games.a,12,FALSE)))</f>
        <v/>
      </c>
      <c r="DL852" s="354" t="str">
        <f ca="1">IF($DJ852="","",VLOOKUP($DJ852,games.a,10,FALSE))</f>
        <v/>
      </c>
      <c r="DM852" s="354" t="str">
        <f ca="1">IF($DJ852="","",VLOOKUP($DJ852,games.a,13,FALSE))</f>
        <v/>
      </c>
      <c r="DN852" s="361" t="str">
        <f ca="1">IF($DJ852="","",VLOOKUP($DJ852,games.a,6,FALSE))</f>
        <v/>
      </c>
      <c r="DO852" s="362" t="str">
        <f ca="1">IF($DJ852="","",VLOOKUP($DJ852,games.a,7,FALSE))</f>
        <v/>
      </c>
      <c r="DP852" s="379" t="str">
        <f ca="1">DP851</f>
        <v/>
      </c>
      <c r="DQ852" s="302"/>
      <c r="DR852" s="364"/>
      <c r="DS852" s="302"/>
      <c r="DU852" s="424"/>
      <c r="DV852" s="424"/>
      <c r="DW852" s="424"/>
      <c r="DX852" s="424"/>
      <c r="DY852" s="424"/>
      <c r="DZ852" s="424"/>
      <c r="EA852" s="424"/>
      <c r="EB852" s="424"/>
      <c r="EC852" s="424"/>
      <c r="ED852" s="424"/>
      <c r="EE852" s="424"/>
      <c r="EF852" s="424"/>
      <c r="EG852" s="424"/>
      <c r="EH852" s="424"/>
      <c r="EI852" s="424"/>
      <c r="EJ852" s="424"/>
      <c r="EK852" s="424"/>
      <c r="EL852" s="424"/>
      <c r="EM852" s="424"/>
      <c r="EN852" s="424"/>
      <c r="EO852" s="424"/>
      <c r="EP852" s="424"/>
      <c r="EQ852" s="424"/>
      <c r="ER852" s="424"/>
      <c r="ES852" s="424"/>
      <c r="ET852" s="424"/>
      <c r="EU852" s="424"/>
      <c r="EV852" s="424"/>
      <c r="EW852" s="424"/>
      <c r="EX852" s="424"/>
      <c r="EY852" s="424"/>
      <c r="EZ852" s="424"/>
      <c r="FA852" s="424"/>
      <c r="FB852" s="424"/>
      <c r="FC852" s="424"/>
      <c r="FD852" s="425"/>
      <c r="FE852" s="333"/>
    </row>
    <row r="853" spans="86:161" x14ac:dyDescent="0.25">
      <c r="CH853" s="445"/>
      <c r="CI853" s="300"/>
      <c r="CJ853" s="300"/>
      <c r="CK853" s="300"/>
      <c r="CL853" s="449"/>
      <c r="CM853" s="445"/>
      <c r="DG853" s="445"/>
      <c r="DH853" s="300"/>
      <c r="DI853" s="395" t="str">
        <f ca="1">DI848</f>
        <v/>
      </c>
      <c r="DJ853" s="478" t="str">
        <f ca="1">IF(OR(DI853="",DP853="",DI853=DP853,COUNTIF(games.an,DI853&amp;DP853)=0),"",CONCATENATE(DI853,DP853))</f>
        <v/>
      </c>
      <c r="DK853" s="360" t="str">
        <f ca="1">IF($DJ853="","",CONCATENATE(VLOOKUP($DJ853,games.a,9,FALSE),VLOOKUP($DJ853,games.a,12,FALSE)))</f>
        <v/>
      </c>
      <c r="DL853" s="354" t="str">
        <f ca="1">IF($DJ853="","",VLOOKUP($DJ853,games.a,10,FALSE))</f>
        <v/>
      </c>
      <c r="DM853" s="354" t="str">
        <f ca="1">IF($DJ853="","",VLOOKUP($DJ853,games.a,13,FALSE))</f>
        <v/>
      </c>
      <c r="DN853" s="361" t="str">
        <f ca="1">IF($DJ853="","",VLOOKUP($DJ853,games.a,6,FALSE))</f>
        <v/>
      </c>
      <c r="DO853" s="362" t="str">
        <f ca="1">IF($DJ853="","",VLOOKUP($DJ853,games.a,7,FALSE))</f>
        <v/>
      </c>
      <c r="DP853" s="379" t="str">
        <f ca="1">DP852</f>
        <v/>
      </c>
      <c r="DQ853" s="302"/>
      <c r="DR853" s="364"/>
      <c r="DS853" s="302"/>
      <c r="DU853" s="424"/>
      <c r="DV853" s="424"/>
      <c r="DW853" s="424"/>
      <c r="DX853" s="424"/>
      <c r="DY853" s="424"/>
      <c r="DZ853" s="424"/>
      <c r="EA853" s="424"/>
      <c r="EB853" s="424"/>
      <c r="EC853" s="424"/>
      <c r="ED853" s="424"/>
      <c r="EE853" s="424"/>
      <c r="EF853" s="424"/>
      <c r="EG853" s="424"/>
      <c r="EH853" s="424"/>
      <c r="EI853" s="424"/>
      <c r="EJ853" s="424"/>
      <c r="EK853" s="424"/>
      <c r="EL853" s="424"/>
      <c r="EM853" s="424"/>
      <c r="EN853" s="424"/>
      <c r="EO853" s="424"/>
      <c r="EP853" s="424"/>
      <c r="EQ853" s="424"/>
      <c r="ER853" s="424"/>
      <c r="ES853" s="424"/>
      <c r="ET853" s="424"/>
      <c r="EU853" s="424"/>
      <c r="EV853" s="424"/>
      <c r="EW853" s="424"/>
      <c r="EX853" s="424"/>
      <c r="EY853" s="424"/>
      <c r="EZ853" s="424"/>
      <c r="FA853" s="424"/>
      <c r="FB853" s="424"/>
      <c r="FC853" s="424"/>
      <c r="FD853" s="425"/>
      <c r="FE853" s="333"/>
    </row>
    <row r="854" spans="86:161" x14ac:dyDescent="0.25">
      <c r="CH854" s="445"/>
      <c r="CI854" s="300"/>
      <c r="CJ854" s="300"/>
      <c r="CK854" s="300"/>
      <c r="CL854" s="449"/>
      <c r="CM854" s="445"/>
      <c r="DG854" s="445"/>
      <c r="DH854" s="300"/>
      <c r="DI854" s="395" t="str">
        <f ca="1">DI849</f>
        <v/>
      </c>
      <c r="DJ854" s="478" t="str">
        <f ca="1">IF(OR(DI854="",DP854="",DI854=DP854,COUNTIF(games.an,DI854&amp;DP854)=0),"",CONCATENATE(DI854,DP854))</f>
        <v/>
      </c>
      <c r="DK854" s="360" t="str">
        <f ca="1">IF($DJ854="","",CONCATENATE(VLOOKUP($DJ854,games.a,9,FALSE),VLOOKUP($DJ854,games.a,12,FALSE)))</f>
        <v/>
      </c>
      <c r="DL854" s="354" t="str">
        <f ca="1">IF($DJ854="","",VLOOKUP($DJ854,games.a,10,FALSE))</f>
        <v/>
      </c>
      <c r="DM854" s="354" t="str">
        <f ca="1">IF($DJ854="","",VLOOKUP($DJ854,games.a,13,FALSE))</f>
        <v/>
      </c>
      <c r="DN854" s="361" t="str">
        <f ca="1">IF($DJ854="","",VLOOKUP($DJ854,games.a,6,FALSE))</f>
        <v/>
      </c>
      <c r="DO854" s="362" t="str">
        <f ca="1">IF($DJ854="","",VLOOKUP($DJ854,games.a,7,FALSE))</f>
        <v/>
      </c>
      <c r="DP854" s="379" t="str">
        <f ca="1">DP853</f>
        <v/>
      </c>
      <c r="DQ854" s="302"/>
      <c r="DR854" s="364"/>
      <c r="DS854" s="302"/>
      <c r="DU854" s="424"/>
      <c r="DV854" s="424"/>
      <c r="DW854" s="424"/>
      <c r="DX854" s="424"/>
      <c r="DY854" s="424"/>
      <c r="DZ854" s="424"/>
      <c r="EA854" s="424"/>
      <c r="EB854" s="424"/>
      <c r="EC854" s="424"/>
      <c r="ED854" s="424"/>
      <c r="EE854" s="424"/>
      <c r="EF854" s="424"/>
      <c r="EG854" s="424"/>
      <c r="EH854" s="424"/>
      <c r="EI854" s="424"/>
      <c r="EJ854" s="424"/>
      <c r="EK854" s="424"/>
      <c r="EL854" s="424"/>
      <c r="EM854" s="424"/>
      <c r="EN854" s="424"/>
      <c r="EO854" s="424"/>
      <c r="EP854" s="424"/>
      <c r="EQ854" s="424"/>
      <c r="ER854" s="424"/>
      <c r="ES854" s="424"/>
      <c r="ET854" s="424"/>
      <c r="EU854" s="424"/>
      <c r="EV854" s="424"/>
      <c r="EW854" s="424"/>
      <c r="EX854" s="424"/>
      <c r="EY854" s="424"/>
      <c r="EZ854" s="424"/>
      <c r="FA854" s="424"/>
      <c r="FB854" s="424"/>
      <c r="FC854" s="424"/>
      <c r="FD854" s="425"/>
      <c r="FE854" s="333"/>
    </row>
    <row r="855" spans="86:161" x14ac:dyDescent="0.25">
      <c r="CH855" s="445"/>
      <c r="CI855" s="300"/>
      <c r="CJ855" s="300"/>
      <c r="CK855" s="300"/>
      <c r="CL855" s="449"/>
      <c r="CM855" s="445"/>
      <c r="DG855" s="445"/>
      <c r="DH855" s="300"/>
      <c r="DI855" s="301"/>
      <c r="DJ855" s="471" t="s">
        <v>157</v>
      </c>
      <c r="DK855" s="471" t="s">
        <v>158</v>
      </c>
      <c r="DL855" s="472" t="s">
        <v>159</v>
      </c>
      <c r="DM855" s="472"/>
      <c r="DN855" s="473" t="s">
        <v>160</v>
      </c>
      <c r="DO855" s="472" t="s">
        <v>135</v>
      </c>
      <c r="DP855" s="302"/>
      <c r="DQ855" s="302"/>
      <c r="DR855" s="364"/>
      <c r="DS855" s="302"/>
      <c r="DU855" s="424"/>
      <c r="DV855" s="424"/>
      <c r="DW855" s="424"/>
      <c r="DX855" s="424"/>
      <c r="DY855" s="424"/>
      <c r="DZ855" s="424"/>
      <c r="EA855" s="424"/>
      <c r="EB855" s="424"/>
      <c r="EC855" s="424"/>
      <c r="ED855" s="424"/>
      <c r="EE855" s="424"/>
      <c r="EF855" s="424"/>
      <c r="EG855" s="424"/>
      <c r="EH855" s="424"/>
      <c r="EI855" s="424"/>
      <c r="EJ855" s="424"/>
      <c r="EK855" s="424"/>
      <c r="EL855" s="424"/>
      <c r="EM855" s="424"/>
      <c r="EN855" s="424"/>
      <c r="EO855" s="424"/>
      <c r="EP855" s="424"/>
      <c r="EQ855" s="424"/>
      <c r="ER855" s="424"/>
      <c r="ES855" s="424"/>
      <c r="ET855" s="424"/>
      <c r="EU855" s="424"/>
      <c r="EV855" s="424"/>
      <c r="EW855" s="424"/>
      <c r="EX855" s="424"/>
      <c r="EY855" s="424"/>
      <c r="EZ855" s="424"/>
      <c r="FA855" s="424"/>
      <c r="FB855" s="424"/>
      <c r="FC855" s="424"/>
      <c r="FD855" s="425"/>
      <c r="FE855" s="333"/>
    </row>
    <row r="856" spans="86:161" x14ac:dyDescent="0.25">
      <c r="CH856" s="445"/>
      <c r="CI856" s="300"/>
      <c r="CJ856" s="300"/>
      <c r="CK856" s="300"/>
      <c r="CL856" s="449"/>
      <c r="CM856" s="445"/>
      <c r="DG856" s="445"/>
      <c r="DH856" s="300"/>
      <c r="DI856" s="395" t="str">
        <f ca="1">DI851</f>
        <v/>
      </c>
      <c r="DJ856" s="478" t="str">
        <f ca="1">IF(OR(DI856="",DP856="",DI856=DP856,COUNTIF(games.an,DI856&amp;DP856)=0),"",CONCATENATE(DI856,DP856))</f>
        <v/>
      </c>
      <c r="DK856" s="360" t="str">
        <f ca="1">IF($DJ856="","",CONCATENATE(VLOOKUP($DJ856,games.a,9,FALSE),VLOOKUP($DJ856,games.a,12,FALSE)))</f>
        <v/>
      </c>
      <c r="DL856" s="354" t="str">
        <f ca="1">IF($DJ856="","",VLOOKUP($DJ856,games.a,10,FALSE))</f>
        <v/>
      </c>
      <c r="DM856" s="354" t="str">
        <f ca="1">IF($DJ856="","",VLOOKUP($DJ856,games.a,13,FALSE))</f>
        <v/>
      </c>
      <c r="DN856" s="361" t="str">
        <f ca="1">IF($DJ856="","",VLOOKUP($DJ856,games.a,6,FALSE))</f>
        <v/>
      </c>
      <c r="DO856" s="362" t="str">
        <f ca="1">IF($DJ856="","",VLOOKUP($DJ856,games.a,7,FALSE))</f>
        <v/>
      </c>
      <c r="DP856" s="479" t="str">
        <f ca="1">DI848</f>
        <v/>
      </c>
      <c r="DQ856" s="302"/>
      <c r="DR856" s="364"/>
      <c r="DS856" s="302"/>
      <c r="DU856" s="424"/>
      <c r="DV856" s="424"/>
      <c r="DW856" s="424"/>
      <c r="DX856" s="424"/>
      <c r="DY856" s="424"/>
      <c r="DZ856" s="424"/>
      <c r="EA856" s="424"/>
      <c r="EB856" s="424"/>
      <c r="EC856" s="424"/>
      <c r="ED856" s="424"/>
      <c r="EE856" s="424"/>
      <c r="EF856" s="424"/>
      <c r="EG856" s="424"/>
      <c r="EH856" s="424"/>
      <c r="EI856" s="424"/>
      <c r="EJ856" s="424"/>
      <c r="EK856" s="424"/>
      <c r="EL856" s="424"/>
      <c r="EM856" s="424"/>
      <c r="EN856" s="424"/>
      <c r="EO856" s="424"/>
      <c r="EP856" s="424"/>
      <c r="EQ856" s="424"/>
      <c r="ER856" s="424"/>
      <c r="ES856" s="424"/>
      <c r="ET856" s="424"/>
      <c r="EU856" s="424"/>
      <c r="EV856" s="424"/>
      <c r="EW856" s="424"/>
      <c r="EX856" s="424"/>
      <c r="EY856" s="424"/>
      <c r="EZ856" s="424"/>
      <c r="FA856" s="424"/>
      <c r="FB856" s="424"/>
      <c r="FC856" s="424"/>
      <c r="FD856" s="425"/>
      <c r="FE856" s="333"/>
    </row>
    <row r="857" spans="86:161" x14ac:dyDescent="0.25">
      <c r="CH857" s="445"/>
      <c r="CI857" s="300"/>
      <c r="CJ857" s="300"/>
      <c r="CK857" s="300"/>
      <c r="CL857" s="449"/>
      <c r="CM857" s="445"/>
      <c r="DG857" s="445"/>
      <c r="DH857" s="300"/>
      <c r="DI857" s="395" t="str">
        <f ca="1">DI852</f>
        <v/>
      </c>
      <c r="DJ857" s="478" t="str">
        <f ca="1">IF(OR(DI857="",DP857="",DI857=DP857,COUNTIF(games.an,DI857&amp;DP857)=0),"",CONCATENATE(DI857,DP857))</f>
        <v/>
      </c>
      <c r="DK857" s="360" t="str">
        <f ca="1">IF($DJ857="","",CONCATENATE(VLOOKUP($DJ857,games.a,9,FALSE),VLOOKUP($DJ857,games.a,12,FALSE)))</f>
        <v/>
      </c>
      <c r="DL857" s="354" t="str">
        <f ca="1">IF($DJ857="","",VLOOKUP($DJ857,games.a,10,FALSE))</f>
        <v/>
      </c>
      <c r="DM857" s="354" t="str">
        <f ca="1">IF($DJ857="","",VLOOKUP($DJ857,games.a,13,FALSE))</f>
        <v/>
      </c>
      <c r="DN857" s="361" t="str">
        <f ca="1">IF($DJ857="","",VLOOKUP($DJ857,games.a,6,FALSE))</f>
        <v/>
      </c>
      <c r="DO857" s="362" t="str">
        <f ca="1">IF($DJ857="","",VLOOKUP($DJ857,games.a,7,FALSE))</f>
        <v/>
      </c>
      <c r="DP857" s="379" t="str">
        <f ca="1">DP856</f>
        <v/>
      </c>
      <c r="DQ857" s="302"/>
      <c r="DR857" s="364"/>
      <c r="DS857" s="302"/>
      <c r="DU857" s="424"/>
      <c r="DV857" s="424"/>
      <c r="DW857" s="424"/>
      <c r="DX857" s="424"/>
      <c r="DY857" s="424"/>
      <c r="DZ857" s="424"/>
      <c r="EA857" s="424"/>
      <c r="EB857" s="424"/>
      <c r="EC857" s="424"/>
      <c r="ED857" s="424"/>
      <c r="EE857" s="424"/>
      <c r="EF857" s="424"/>
      <c r="EG857" s="424"/>
      <c r="EH857" s="424"/>
      <c r="EI857" s="424"/>
      <c r="EJ857" s="424"/>
      <c r="EK857" s="424"/>
      <c r="EL857" s="424"/>
      <c r="EM857" s="424"/>
      <c r="EN857" s="424"/>
      <c r="EO857" s="424"/>
      <c r="EP857" s="424"/>
      <c r="EQ857" s="424"/>
      <c r="ER857" s="424"/>
      <c r="ES857" s="424"/>
      <c r="ET857" s="424"/>
      <c r="EU857" s="424"/>
      <c r="EV857" s="424"/>
      <c r="EW857" s="424"/>
      <c r="EX857" s="424"/>
      <c r="EY857" s="424"/>
      <c r="EZ857" s="424"/>
      <c r="FA857" s="424"/>
      <c r="FB857" s="424"/>
      <c r="FC857" s="424"/>
      <c r="FD857" s="425"/>
      <c r="FE857" s="333"/>
    </row>
    <row r="858" spans="86:161" x14ac:dyDescent="0.25">
      <c r="CH858" s="445"/>
      <c r="CI858" s="300"/>
      <c r="CJ858" s="300"/>
      <c r="CK858" s="300"/>
      <c r="CL858" s="449"/>
      <c r="CM858" s="445"/>
      <c r="DG858" s="445"/>
      <c r="DH858" s="300"/>
      <c r="DI858" s="395" t="str">
        <f ca="1">DI853</f>
        <v/>
      </c>
      <c r="DJ858" s="478" t="str">
        <f ca="1">IF(OR(DI858="",DP858="",DI858=DP858,COUNTIF(games.an,DI858&amp;DP858)=0),"",CONCATENATE(DI858,DP858))</f>
        <v/>
      </c>
      <c r="DK858" s="360" t="str">
        <f ca="1">IF($DJ858="","",CONCATENATE(VLOOKUP($DJ858,games.a,9,FALSE),VLOOKUP($DJ858,games.a,12,FALSE)))</f>
        <v/>
      </c>
      <c r="DL858" s="354" t="str">
        <f ca="1">IF($DJ858="","",VLOOKUP($DJ858,games.a,10,FALSE))</f>
        <v/>
      </c>
      <c r="DM858" s="354" t="str">
        <f ca="1">IF($DJ858="","",VLOOKUP($DJ858,games.a,13,FALSE))</f>
        <v/>
      </c>
      <c r="DN858" s="361" t="str">
        <f ca="1">IF($DJ858="","",VLOOKUP($DJ858,games.a,6,FALSE))</f>
        <v/>
      </c>
      <c r="DO858" s="362" t="str">
        <f ca="1">IF($DJ858="","",VLOOKUP($DJ858,games.a,7,FALSE))</f>
        <v/>
      </c>
      <c r="DP858" s="379" t="str">
        <f ca="1">DP857</f>
        <v/>
      </c>
      <c r="DQ858" s="302"/>
      <c r="DR858" s="364"/>
      <c r="DS858" s="302"/>
      <c r="DU858" s="424"/>
      <c r="DV858" s="424"/>
      <c r="DW858" s="424"/>
      <c r="DX858" s="424"/>
      <c r="DY858" s="424"/>
      <c r="DZ858" s="424"/>
      <c r="EA858" s="424"/>
      <c r="EB858" s="424"/>
      <c r="EC858" s="424"/>
      <c r="ED858" s="424"/>
      <c r="EE858" s="424"/>
      <c r="EF858" s="424"/>
      <c r="EG858" s="424"/>
      <c r="EH858" s="424"/>
      <c r="EI858" s="424"/>
      <c r="EJ858" s="424"/>
      <c r="EK858" s="424"/>
      <c r="EL858" s="424"/>
      <c r="EM858" s="424"/>
      <c r="EN858" s="424"/>
      <c r="EO858" s="424"/>
      <c r="EP858" s="424"/>
      <c r="EQ858" s="424"/>
      <c r="ER858" s="424"/>
      <c r="ES858" s="424"/>
      <c r="ET858" s="424"/>
      <c r="EU858" s="424"/>
      <c r="EV858" s="424"/>
      <c r="EW858" s="424"/>
      <c r="EX858" s="424"/>
      <c r="EY858" s="424"/>
      <c r="EZ858" s="424"/>
      <c r="FA858" s="424"/>
      <c r="FB858" s="424"/>
      <c r="FC858" s="424"/>
      <c r="FD858" s="425"/>
      <c r="FE858" s="333"/>
    </row>
    <row r="859" spans="86:161" x14ac:dyDescent="0.25">
      <c r="CH859" s="445"/>
      <c r="CI859" s="300"/>
      <c r="CJ859" s="300"/>
      <c r="CK859" s="300"/>
      <c r="CL859" s="449"/>
      <c r="CM859" s="445"/>
      <c r="DG859" s="445"/>
      <c r="DH859" s="300"/>
      <c r="DI859" s="395" t="str">
        <f ca="1">DI854</f>
        <v/>
      </c>
      <c r="DJ859" s="478" t="str">
        <f ca="1">IF(OR(DI859="",DP859="",DI859=DP859,COUNTIF(games.an,DI859&amp;DP859)=0),"",CONCATENATE(DI859,DP859))</f>
        <v/>
      </c>
      <c r="DK859" s="360" t="str">
        <f ca="1">IF($DJ859="","",CONCATENATE(VLOOKUP($DJ859,games.a,9,FALSE),VLOOKUP($DJ859,games.a,12,FALSE)))</f>
        <v/>
      </c>
      <c r="DL859" s="354" t="str">
        <f ca="1">IF($DJ859="","",VLOOKUP($DJ859,games.a,10,FALSE))</f>
        <v/>
      </c>
      <c r="DM859" s="354" t="str">
        <f ca="1">IF($DJ859="","",VLOOKUP($DJ859,games.a,13,FALSE))</f>
        <v/>
      </c>
      <c r="DN859" s="361" t="str">
        <f ca="1">IF($DJ859="","",VLOOKUP($DJ859,games.a,6,FALSE))</f>
        <v/>
      </c>
      <c r="DO859" s="362" t="str">
        <f ca="1">IF($DJ859="","",VLOOKUP($DJ859,games.a,7,FALSE))</f>
        <v/>
      </c>
      <c r="DP859" s="379" t="str">
        <f ca="1">DP858</f>
        <v/>
      </c>
      <c r="DQ859" s="302"/>
      <c r="DR859" s="364"/>
      <c r="DS859" s="302"/>
      <c r="DU859" s="424"/>
      <c r="DV859" s="424"/>
      <c r="DW859" s="424"/>
      <c r="DX859" s="424"/>
      <c r="DY859" s="424"/>
      <c r="DZ859" s="424"/>
      <c r="EA859" s="424"/>
      <c r="EB859" s="424"/>
      <c r="EC859" s="424"/>
      <c r="ED859" s="424"/>
      <c r="EE859" s="424"/>
      <c r="EF859" s="424"/>
      <c r="EG859" s="424"/>
      <c r="EH859" s="424"/>
      <c r="EI859" s="424"/>
      <c r="EJ859" s="424"/>
      <c r="EK859" s="424"/>
      <c r="EL859" s="424"/>
      <c r="EM859" s="424"/>
      <c r="EN859" s="424"/>
      <c r="EO859" s="424"/>
      <c r="EP859" s="424"/>
      <c r="EQ859" s="424"/>
      <c r="ER859" s="424"/>
      <c r="ES859" s="424"/>
      <c r="ET859" s="424"/>
      <c r="EU859" s="424"/>
      <c r="EV859" s="424"/>
      <c r="EW859" s="424"/>
      <c r="EX859" s="424"/>
      <c r="EY859" s="424"/>
      <c r="EZ859" s="424"/>
      <c r="FA859" s="424"/>
      <c r="FB859" s="424"/>
      <c r="FC859" s="424"/>
      <c r="FD859" s="425"/>
      <c r="FE859" s="333"/>
    </row>
    <row r="860" spans="86:161" x14ac:dyDescent="0.25">
      <c r="CH860" s="445"/>
      <c r="CI860" s="300"/>
      <c r="CJ860" s="300"/>
      <c r="CK860" s="300"/>
      <c r="CL860" s="449"/>
      <c r="CM860" s="445"/>
      <c r="DG860" s="445"/>
      <c r="DH860" s="300"/>
      <c r="DI860" s="301"/>
      <c r="DJ860" s="471" t="s">
        <v>157</v>
      </c>
      <c r="DK860" s="471" t="s">
        <v>158</v>
      </c>
      <c r="DL860" s="472" t="s">
        <v>159</v>
      </c>
      <c r="DM860" s="472"/>
      <c r="DN860" s="473" t="s">
        <v>160</v>
      </c>
      <c r="DO860" s="472" t="s">
        <v>135</v>
      </c>
      <c r="DP860" s="302"/>
      <c r="DQ860" s="302"/>
      <c r="DR860" s="364"/>
      <c r="DS860" s="302"/>
      <c r="DU860" s="424"/>
      <c r="DV860" s="424"/>
      <c r="DW860" s="424"/>
      <c r="DX860" s="424"/>
      <c r="DY860" s="424"/>
      <c r="DZ860" s="424"/>
      <c r="EA860" s="424"/>
      <c r="EB860" s="424"/>
      <c r="EC860" s="424"/>
      <c r="ED860" s="424"/>
      <c r="EE860" s="424"/>
      <c r="EF860" s="424"/>
      <c r="EG860" s="424"/>
      <c r="EH860" s="424"/>
      <c r="EI860" s="424"/>
      <c r="EJ860" s="424"/>
      <c r="EK860" s="424"/>
      <c r="EL860" s="424"/>
      <c r="EM860" s="424"/>
      <c r="EN860" s="424"/>
      <c r="EO860" s="424"/>
      <c r="EP860" s="424"/>
      <c r="EQ860" s="424"/>
      <c r="ER860" s="424"/>
      <c r="ES860" s="424"/>
      <c r="ET860" s="424"/>
      <c r="EU860" s="424"/>
      <c r="EV860" s="424"/>
      <c r="EW860" s="424"/>
      <c r="EX860" s="424"/>
      <c r="EY860" s="424"/>
      <c r="EZ860" s="424"/>
      <c r="FA860" s="424"/>
      <c r="FB860" s="424"/>
      <c r="FC860" s="424"/>
      <c r="FD860" s="425"/>
      <c r="FE860" s="333"/>
    </row>
    <row r="861" spans="86:161" x14ac:dyDescent="0.25">
      <c r="CH861" s="445"/>
      <c r="CI861" s="300"/>
      <c r="CJ861" s="300"/>
      <c r="CK861" s="300"/>
      <c r="CL861" s="449"/>
      <c r="CM861" s="445"/>
      <c r="DG861" s="445"/>
      <c r="DH861" s="300"/>
      <c r="DI861" s="395" t="str">
        <f ca="1">DI856</f>
        <v/>
      </c>
      <c r="DJ861" s="478" t="str">
        <f ca="1">IF(OR(DI861="",DP861="",DI861=DP861,COUNTIF(games.an,DI861&amp;DP861)=0),"",CONCATENATE(DI861,DP861))</f>
        <v/>
      </c>
      <c r="DK861" s="360" t="str">
        <f ca="1">IF($DJ861="","",CONCATENATE(VLOOKUP($DJ861,games.a,9,FALSE),VLOOKUP($DJ861,games.a,12,FALSE)))</f>
        <v/>
      </c>
      <c r="DL861" s="354" t="str">
        <f ca="1">IF($DJ861="","",VLOOKUP($DJ861,games.a,10,FALSE))</f>
        <v/>
      </c>
      <c r="DM861" s="354" t="str">
        <f ca="1">IF($DJ861="","",VLOOKUP($DJ861,games.a,13,FALSE))</f>
        <v/>
      </c>
      <c r="DN861" s="361" t="str">
        <f ca="1">IF($DJ861="","",VLOOKUP($DJ861,games.a,6,FALSE))</f>
        <v/>
      </c>
      <c r="DO861" s="362" t="str">
        <f ca="1">IF($DJ861="","",VLOOKUP($DJ861,games.a,7,FALSE))</f>
        <v/>
      </c>
      <c r="DP861" s="479" t="str">
        <f ca="1">DI849</f>
        <v/>
      </c>
      <c r="DQ861" s="302"/>
      <c r="DR861" s="364"/>
      <c r="DS861" s="302"/>
      <c r="DU861" s="424"/>
      <c r="DV861" s="424"/>
      <c r="DW861" s="424"/>
      <c r="DX861" s="424"/>
      <c r="DY861" s="424"/>
      <c r="DZ861" s="424"/>
      <c r="EA861" s="424"/>
      <c r="EB861" s="424"/>
      <c r="EC861" s="424"/>
      <c r="ED861" s="424"/>
      <c r="EE861" s="424"/>
      <c r="EF861" s="424"/>
      <c r="EG861" s="424"/>
      <c r="EH861" s="424"/>
      <c r="EI861" s="424"/>
      <c r="EJ861" s="424"/>
      <c r="EK861" s="424"/>
      <c r="EL861" s="424"/>
      <c r="EM861" s="424"/>
      <c r="EN861" s="424"/>
      <c r="EO861" s="424"/>
      <c r="EP861" s="424"/>
      <c r="EQ861" s="424"/>
      <c r="ER861" s="424"/>
      <c r="ES861" s="424"/>
      <c r="ET861" s="424"/>
      <c r="EU861" s="424"/>
      <c r="EV861" s="424"/>
      <c r="EW861" s="424"/>
      <c r="EX861" s="424"/>
      <c r="EY861" s="424"/>
      <c r="EZ861" s="424"/>
      <c r="FA861" s="424"/>
      <c r="FB861" s="424"/>
      <c r="FC861" s="424"/>
      <c r="FD861" s="425"/>
      <c r="FE861" s="333"/>
    </row>
    <row r="862" spans="86:161" x14ac:dyDescent="0.25">
      <c r="CH862" s="445"/>
      <c r="CI862" s="300"/>
      <c r="CJ862" s="300"/>
      <c r="CK862" s="300"/>
      <c r="CL862" s="449"/>
      <c r="CM862" s="445"/>
      <c r="DG862" s="445"/>
      <c r="DH862" s="300"/>
      <c r="DI862" s="395" t="str">
        <f ca="1">DI857</f>
        <v/>
      </c>
      <c r="DJ862" s="478" t="str">
        <f ca="1">IF(OR(DI862="",DP862="",DI862=DP862,COUNTIF(games.an,DI862&amp;DP862)=0),"",CONCATENATE(DI862,DP862))</f>
        <v/>
      </c>
      <c r="DK862" s="360" t="str">
        <f ca="1">IF($DJ862="","",CONCATENATE(VLOOKUP($DJ862,games.a,9,FALSE),VLOOKUP($DJ862,games.a,12,FALSE)))</f>
        <v/>
      </c>
      <c r="DL862" s="354" t="str">
        <f ca="1">IF($DJ862="","",VLOOKUP($DJ862,games.a,10,FALSE))</f>
        <v/>
      </c>
      <c r="DM862" s="354" t="str">
        <f ca="1">IF($DJ862="","",VLOOKUP($DJ862,games.a,13,FALSE))</f>
        <v/>
      </c>
      <c r="DN862" s="361" t="str">
        <f ca="1">IF($DJ862="","",VLOOKUP($DJ862,games.a,6,FALSE))</f>
        <v/>
      </c>
      <c r="DO862" s="362" t="str">
        <f ca="1">IF($DJ862="","",VLOOKUP($DJ862,games.a,7,FALSE))</f>
        <v/>
      </c>
      <c r="DP862" s="379" t="str">
        <f ca="1">DP861</f>
        <v/>
      </c>
      <c r="DQ862" s="302"/>
      <c r="DR862" s="364"/>
      <c r="DS862" s="302"/>
      <c r="DU862" s="424"/>
      <c r="DV862" s="424"/>
      <c r="DW862" s="424"/>
      <c r="DX862" s="424"/>
      <c r="DY862" s="424"/>
      <c r="DZ862" s="424"/>
      <c r="EA862" s="424"/>
      <c r="EB862" s="424"/>
      <c r="EC862" s="424"/>
      <c r="ED862" s="424"/>
      <c r="EE862" s="424"/>
      <c r="EF862" s="424"/>
      <c r="EG862" s="424"/>
      <c r="EH862" s="424"/>
      <c r="EI862" s="424"/>
      <c r="EJ862" s="424"/>
      <c r="EK862" s="424"/>
      <c r="EL862" s="424"/>
      <c r="EM862" s="424"/>
      <c r="EN862" s="424"/>
      <c r="EO862" s="424"/>
      <c r="EP862" s="424"/>
      <c r="EQ862" s="424"/>
      <c r="ER862" s="424"/>
      <c r="ES862" s="424"/>
      <c r="ET862" s="424"/>
      <c r="EU862" s="424"/>
      <c r="EV862" s="424"/>
      <c r="EW862" s="424"/>
      <c r="EX862" s="424"/>
      <c r="EY862" s="424"/>
      <c r="EZ862" s="424"/>
      <c r="FA862" s="424"/>
      <c r="FB862" s="424"/>
      <c r="FC862" s="424"/>
      <c r="FD862" s="425"/>
      <c r="FE862" s="333"/>
    </row>
    <row r="863" spans="86:161" x14ac:dyDescent="0.25">
      <c r="CH863" s="445"/>
      <c r="CI863" s="300"/>
      <c r="CJ863" s="300"/>
      <c r="CK863" s="300"/>
      <c r="CL863" s="449"/>
      <c r="CM863" s="445"/>
      <c r="DG863" s="445"/>
      <c r="DH863" s="300"/>
      <c r="DI863" s="395" t="str">
        <f ca="1">DI858</f>
        <v/>
      </c>
      <c r="DJ863" s="478" t="str">
        <f ca="1">IF(OR(DI863="",DP863="",DI863=DP863,COUNTIF(games.an,DI863&amp;DP863)=0),"",CONCATENATE(DI863,DP863))</f>
        <v/>
      </c>
      <c r="DK863" s="360" t="str">
        <f ca="1">IF($DJ863="","",CONCATENATE(VLOOKUP($DJ863,games.a,9,FALSE),VLOOKUP($DJ863,games.a,12,FALSE)))</f>
        <v/>
      </c>
      <c r="DL863" s="354" t="str">
        <f ca="1">IF($DJ863="","",VLOOKUP($DJ863,games.a,10,FALSE))</f>
        <v/>
      </c>
      <c r="DM863" s="354" t="str">
        <f ca="1">IF($DJ863="","",VLOOKUP($DJ863,games.a,13,FALSE))</f>
        <v/>
      </c>
      <c r="DN863" s="361" t="str">
        <f ca="1">IF($DJ863="","",VLOOKUP($DJ863,games.a,6,FALSE))</f>
        <v/>
      </c>
      <c r="DO863" s="362" t="str">
        <f ca="1">IF($DJ863="","",VLOOKUP($DJ863,games.a,7,FALSE))</f>
        <v/>
      </c>
      <c r="DP863" s="379" t="str">
        <f ca="1">DP862</f>
        <v/>
      </c>
      <c r="DQ863" s="302"/>
      <c r="DR863" s="364"/>
      <c r="DS863" s="302"/>
      <c r="DU863" s="424"/>
      <c r="DV863" s="424"/>
      <c r="DW863" s="424"/>
      <c r="DX863" s="424"/>
      <c r="DY863" s="424"/>
      <c r="DZ863" s="424"/>
      <c r="EA863" s="424"/>
      <c r="EB863" s="424"/>
      <c r="EC863" s="424"/>
      <c r="ED863" s="424"/>
      <c r="EE863" s="424"/>
      <c r="EF863" s="424"/>
      <c r="EG863" s="424"/>
      <c r="EH863" s="424"/>
      <c r="EI863" s="424"/>
      <c r="EJ863" s="424"/>
      <c r="EK863" s="424"/>
      <c r="EL863" s="424"/>
      <c r="EM863" s="424"/>
      <c r="EN863" s="424"/>
      <c r="EO863" s="424"/>
      <c r="EP863" s="424"/>
      <c r="EQ863" s="424"/>
      <c r="ER863" s="424"/>
      <c r="ES863" s="424"/>
      <c r="ET863" s="424"/>
      <c r="EU863" s="424"/>
      <c r="EV863" s="424"/>
      <c r="EW863" s="424"/>
      <c r="EX863" s="424"/>
      <c r="EY863" s="424"/>
      <c r="EZ863" s="424"/>
      <c r="FA863" s="424"/>
      <c r="FB863" s="424"/>
      <c r="FC863" s="424"/>
      <c r="FD863" s="425"/>
      <c r="FE863" s="333"/>
    </row>
    <row r="864" spans="86:161" x14ac:dyDescent="0.25">
      <c r="CH864" s="445"/>
      <c r="CI864" s="300"/>
      <c r="CJ864" s="300"/>
      <c r="CK864" s="300"/>
      <c r="CL864" s="447"/>
      <c r="CM864" s="445"/>
      <c r="DG864" s="445"/>
      <c r="DH864" s="300"/>
      <c r="DI864" s="395" t="str">
        <f ca="1">DI859</f>
        <v/>
      </c>
      <c r="DJ864" s="478" t="str">
        <f ca="1">IF(OR(DI864="",DP864="",DI864=DP864,COUNTIF(games.an,DI864&amp;DP864)=0),"",CONCATENATE(DI864,DP864))</f>
        <v/>
      </c>
      <c r="DK864" s="360" t="str">
        <f ca="1">IF($DJ864="","",CONCATENATE(VLOOKUP($DJ864,games.a,9,FALSE),VLOOKUP($DJ864,games.a,12,FALSE)))</f>
        <v/>
      </c>
      <c r="DL864" s="354" t="str">
        <f ca="1">IF($DJ864="","",VLOOKUP($DJ864,games.a,10,FALSE))</f>
        <v/>
      </c>
      <c r="DM864" s="354" t="str">
        <f ca="1">IF($DJ864="","",VLOOKUP($DJ864,games.a,13,FALSE))</f>
        <v/>
      </c>
      <c r="DN864" s="361" t="str">
        <f ca="1">IF($DJ864="","",VLOOKUP($DJ864,games.a,6,FALSE))</f>
        <v/>
      </c>
      <c r="DO864" s="362" t="str">
        <f ca="1">IF($DJ864="","",VLOOKUP($DJ864,games.a,7,FALSE))</f>
        <v/>
      </c>
      <c r="DP864" s="379" t="str">
        <f ca="1">DP863</f>
        <v/>
      </c>
      <c r="DQ864" s="302"/>
      <c r="DR864" s="364"/>
      <c r="DS864" s="302"/>
      <c r="DU864" s="424"/>
      <c r="DV864" s="424"/>
      <c r="DW864" s="424"/>
      <c r="DX864" s="424"/>
      <c r="DY864" s="424"/>
      <c r="DZ864" s="424"/>
      <c r="EA864" s="424"/>
      <c r="EB864" s="424"/>
      <c r="EC864" s="424"/>
      <c r="ED864" s="424"/>
      <c r="EE864" s="424"/>
      <c r="EF864" s="424"/>
      <c r="EG864" s="424"/>
      <c r="EH864" s="424"/>
      <c r="EI864" s="424"/>
      <c r="EJ864" s="424"/>
      <c r="EK864" s="424"/>
      <c r="EL864" s="424"/>
      <c r="EM864" s="424"/>
      <c r="EN864" s="424"/>
      <c r="EO864" s="424"/>
      <c r="EP864" s="424"/>
      <c r="EQ864" s="424"/>
      <c r="ER864" s="424"/>
      <c r="ES864" s="424"/>
      <c r="ET864" s="424"/>
      <c r="EU864" s="424"/>
      <c r="EV864" s="424"/>
      <c r="EW864" s="424"/>
      <c r="EX864" s="424"/>
      <c r="EY864" s="424"/>
      <c r="EZ864" s="424"/>
      <c r="FA864" s="424"/>
      <c r="FB864" s="424"/>
      <c r="FC864" s="424"/>
      <c r="FD864" s="425"/>
      <c r="FE864" s="333"/>
    </row>
    <row r="865" spans="86:161" x14ac:dyDescent="0.25">
      <c r="CH865" s="445"/>
      <c r="CI865" s="300"/>
      <c r="CJ865" s="300"/>
      <c r="CK865" s="300"/>
      <c r="CL865" s="447"/>
      <c r="CM865" s="445"/>
      <c r="DG865" s="445"/>
      <c r="DH865" s="445"/>
      <c r="DI865" s="301"/>
      <c r="DJ865" s="302"/>
      <c r="DK865" s="302"/>
      <c r="DL865" s="302"/>
      <c r="DM865" s="302"/>
      <c r="DN865" s="302"/>
      <c r="DO865" s="302"/>
      <c r="DP865" s="447"/>
      <c r="DQ865" s="302"/>
      <c r="DR865" s="446" t="s">
        <v>217</v>
      </c>
      <c r="DS865" s="302"/>
      <c r="DU865" s="424"/>
      <c r="DV865" s="424"/>
      <c r="DW865" s="424"/>
      <c r="DX865" s="424"/>
      <c r="DY865" s="424"/>
      <c r="DZ865" s="424"/>
      <c r="EA865" s="424"/>
      <c r="EB865" s="424"/>
      <c r="EC865" s="424"/>
      <c r="ED865" s="424"/>
      <c r="EE865" s="424"/>
      <c r="EF865" s="424"/>
      <c r="EG865" s="424"/>
      <c r="EH865" s="424"/>
      <c r="EI865" s="424"/>
      <c r="EJ865" s="424"/>
      <c r="EK865" s="424"/>
      <c r="EL865" s="424"/>
      <c r="EM865" s="424"/>
      <c r="EN865" s="424"/>
      <c r="EO865" s="424"/>
      <c r="EP865" s="424"/>
      <c r="EQ865" s="424"/>
      <c r="ER865" s="424"/>
      <c r="ES865" s="424"/>
      <c r="ET865" s="424"/>
      <c r="EU865" s="424"/>
      <c r="EV865" s="424"/>
      <c r="EW865" s="424"/>
      <c r="EX865" s="424"/>
      <c r="EY865" s="424"/>
      <c r="EZ865" s="424"/>
      <c r="FA865" s="424"/>
      <c r="FB865" s="424"/>
      <c r="FC865" s="424"/>
      <c r="FD865" s="425"/>
      <c r="FE865" s="333"/>
    </row>
    <row r="866" spans="86:161" x14ac:dyDescent="0.25">
      <c r="CH866" s="445"/>
      <c r="CI866" s="300"/>
      <c r="CJ866" s="300"/>
      <c r="CK866" s="300"/>
      <c r="CL866" s="449"/>
      <c r="CM866" s="445"/>
      <c r="DG866" s="445"/>
      <c r="DH866" s="445"/>
      <c r="DI866" s="301"/>
      <c r="DJ866" s="302"/>
      <c r="DK866" s="302"/>
      <c r="DL866" s="302"/>
      <c r="DM866" s="302"/>
      <c r="DN866" s="302"/>
      <c r="DO866" s="302"/>
      <c r="DP866" s="447"/>
      <c r="DQ866" s="302"/>
      <c r="DR866" s="448" t="s">
        <v>218</v>
      </c>
      <c r="DS866" s="302"/>
      <c r="DU866" s="424"/>
      <c r="DV866" s="424"/>
      <c r="DW866" s="424"/>
      <c r="DX866" s="424"/>
      <c r="DY866" s="424"/>
      <c r="DZ866" s="424"/>
      <c r="EA866" s="424"/>
      <c r="EB866" s="424"/>
      <c r="EC866" s="424"/>
      <c r="ED866" s="424"/>
      <c r="EE866" s="424"/>
      <c r="EF866" s="424"/>
      <c r="EG866" s="424"/>
      <c r="EH866" s="424"/>
      <c r="EI866" s="424"/>
      <c r="EJ866" s="424"/>
      <c r="EK866" s="424"/>
      <c r="EL866" s="424"/>
      <c r="EM866" s="424"/>
      <c r="EN866" s="424"/>
      <c r="EO866" s="424"/>
      <c r="EP866" s="424"/>
      <c r="EQ866" s="424"/>
      <c r="ER866" s="424"/>
      <c r="ES866" s="424"/>
      <c r="ET866" s="424"/>
      <c r="EU866" s="424"/>
      <c r="EV866" s="424"/>
      <c r="EW866" s="424"/>
      <c r="EX866" s="424"/>
      <c r="EY866" s="424"/>
      <c r="EZ866" s="424"/>
      <c r="FA866" s="424"/>
      <c r="FB866" s="424"/>
      <c r="FC866" s="424"/>
      <c r="FD866" s="425"/>
      <c r="FE866" s="333"/>
    </row>
    <row r="867" spans="86:161" x14ac:dyDescent="0.25">
      <c r="CH867" s="445"/>
      <c r="CI867" s="300"/>
      <c r="CJ867" s="300"/>
      <c r="CK867" s="300"/>
      <c r="CL867" s="449"/>
      <c r="CM867" s="445"/>
      <c r="DG867" s="445"/>
      <c r="DH867" s="300"/>
      <c r="DI867" s="323" t="b">
        <f ca="1">OR(NOT($AJ$44),COUNTIF(DN867:DN878,"")=9-(DP867-1)*DP867,COUNTIF(DN867:DN878,"")=9-(DP867-1)*DP867/2)</f>
        <v>1</v>
      </c>
      <c r="DJ867" s="471" t="s">
        <v>157</v>
      </c>
      <c r="DK867" s="471" t="s">
        <v>158</v>
      </c>
      <c r="DL867" s="472" t="s">
        <v>159</v>
      </c>
      <c r="DM867" s="472"/>
      <c r="DN867" s="473" t="s">
        <v>160</v>
      </c>
      <c r="DO867" s="472" t="s">
        <v>135</v>
      </c>
      <c r="DP867" s="323">
        <f ca="1">COUNT(DC644:DC646)</f>
        <v>0</v>
      </c>
      <c r="DQ867" s="302"/>
      <c r="DR867" s="364"/>
      <c r="DS867" s="302"/>
      <c r="DU867" s="424"/>
      <c r="DV867" s="329" t="s">
        <v>229</v>
      </c>
      <c r="DW867" s="365"/>
      <c r="DX867" s="329" t="s">
        <v>152</v>
      </c>
      <c r="DY867" s="329" t="s">
        <v>153</v>
      </c>
      <c r="DZ867" s="329" t="s">
        <v>154</v>
      </c>
      <c r="EA867" s="329" t="s">
        <v>155</v>
      </c>
      <c r="EB867" s="329" t="s">
        <v>125</v>
      </c>
      <c r="EC867" s="329" t="s">
        <v>226</v>
      </c>
      <c r="ED867" s="329" t="s">
        <v>126</v>
      </c>
      <c r="EE867" s="329" t="s">
        <v>227</v>
      </c>
      <c r="EF867" s="424"/>
      <c r="EG867" s="424"/>
      <c r="EH867" s="424"/>
      <c r="EI867" s="329" t="s">
        <v>228</v>
      </c>
      <c r="EJ867" s="329" t="s">
        <v>156</v>
      </c>
      <c r="EK867" s="329" t="s">
        <v>208</v>
      </c>
      <c r="EL867" s="424"/>
      <c r="EM867" s="424"/>
      <c r="EN867" s="424"/>
      <c r="EO867" s="424"/>
      <c r="EP867" s="424"/>
      <c r="EQ867" s="424"/>
      <c r="ER867" s="424"/>
      <c r="ES867" s="424"/>
      <c r="ET867" s="424"/>
      <c r="EU867" s="424"/>
      <c r="EV867" s="424"/>
      <c r="EW867" s="424"/>
      <c r="EX867" s="424"/>
      <c r="EY867" s="424"/>
      <c r="EZ867" s="424"/>
      <c r="FA867" s="424"/>
      <c r="FB867" s="424"/>
      <c r="FC867" s="424"/>
      <c r="FD867" s="425"/>
      <c r="FE867" s="333"/>
    </row>
    <row r="868" spans="86:161" x14ac:dyDescent="0.25">
      <c r="CH868" s="445"/>
      <c r="CI868" s="300"/>
      <c r="CJ868" s="300"/>
      <c r="CK868" s="300"/>
      <c r="CL868" s="449"/>
      <c r="CM868" s="445"/>
      <c r="DG868" s="445"/>
      <c r="DH868" s="300"/>
      <c r="DI868" s="477" t="str">
        <f ca="1">IF(DC644="","",VLOOKUP(DC644,xxx.an1,16,FALSE))</f>
        <v/>
      </c>
      <c r="DJ868" s="478" t="str">
        <f ca="1">IF(OR(DI868="",DP868="",DI868=DP868,COUNTIF(games.an,DI868&amp;DP868)=0),"",CONCATENATE(DI868,DP868))</f>
        <v/>
      </c>
      <c r="DK868" s="360" t="str">
        <f ca="1">IF($DJ868="","",CONCATENATE(VLOOKUP($DJ868,games.a,9,FALSE),VLOOKUP($DJ868,games.a,12,FALSE)))</f>
        <v/>
      </c>
      <c r="DL868" s="354" t="str">
        <f ca="1">IF($DJ868="","",VLOOKUP($DJ868,games.a,10,FALSE))</f>
        <v/>
      </c>
      <c r="DM868" s="354" t="str">
        <f ca="1">IF($DJ868="","",VLOOKUP($DJ868,games.a,13,FALSE))</f>
        <v/>
      </c>
      <c r="DN868" s="361" t="str">
        <f ca="1">IF($DJ868="","",VLOOKUP($DJ868,games.a,6,FALSE))</f>
        <v/>
      </c>
      <c r="DO868" s="362" t="str">
        <f ca="1">IF($DJ868="","",VLOOKUP($DJ868,games.a,7,FALSE))</f>
        <v/>
      </c>
      <c r="DP868" s="479" t="str">
        <f ca="1">DI868</f>
        <v/>
      </c>
      <c r="DQ868" s="302"/>
      <c r="DR868" s="364"/>
      <c r="DS868" s="302"/>
      <c r="DU868" s="424"/>
      <c r="DV868" s="366" t="str">
        <f ca="1">IF(OR(NOT($AJ$44),DI867),DI868,"")</f>
        <v/>
      </c>
      <c r="DW868" s="365"/>
      <c r="DX868" s="366">
        <f ca="1">IF($DV868="",0,COUNTIF(xxgy.an,$DV868))</f>
        <v>0</v>
      </c>
      <c r="DY868" s="366">
        <f ca="1">IF($DV868="",0,COUNTIF(xxd.an,$DV868))</f>
        <v>0</v>
      </c>
      <c r="DZ868" s="366">
        <f ca="1">IF($DV868="",0,1)*(SUMIF(xxo.an,$DV868,xxl.an)+SUMIF(xxi.an,$DV868,xxk.an))</f>
        <v>0</v>
      </c>
      <c r="EA868" s="366">
        <f ca="1">IF($DV868="",0,1)*(SUMIF(xxo.an,$DV868,xxk.an)+SUMIF(xxi.an,$DV868,xxl.an))</f>
        <v>0</v>
      </c>
      <c r="EB868" s="366">
        <f ca="1">DZ868-EA868</f>
        <v>0</v>
      </c>
      <c r="EC868" s="366">
        <f ca="1">IF(EA868=0,0,DZ868/EA868)</f>
        <v>0</v>
      </c>
      <c r="ED868" s="366">
        <f ca="1">$AJ$48*DX868+IF($AJ$44,0,1)*DY868</f>
        <v>0</v>
      </c>
      <c r="EE868" s="396">
        <f ca="1">ED868*1000000+IF($AJ$44,EC868,EB868)*1000*0</f>
        <v>0</v>
      </c>
      <c r="EF868" s="424"/>
      <c r="EG868" s="424"/>
      <c r="EH868" s="424"/>
      <c r="EI868" s="366">
        <f ca="1">IF(OR(ISERR(EE868),ISNA(EE868)),0,EE868)</f>
        <v>0</v>
      </c>
      <c r="EJ868" s="366">
        <f ca="1">IF(EI868=0,0,RANK(EI868,EI868:EI870,1))</f>
        <v>0</v>
      </c>
      <c r="EK868" s="366">
        <f ca="1">EJ868*40000*IF(COUNTIF($FC$644:$FC$667,DV868)&gt;0,0,1)</f>
        <v>0</v>
      </c>
      <c r="EL868" s="424"/>
      <c r="EM868" s="424"/>
      <c r="EN868" s="424"/>
      <c r="EO868" s="424"/>
      <c r="EP868" s="424"/>
      <c r="EQ868" s="424"/>
      <c r="ER868" s="424"/>
      <c r="ES868" s="424"/>
      <c r="ET868" s="424"/>
      <c r="EU868" s="424"/>
      <c r="EV868" s="424"/>
      <c r="EW868" s="424"/>
      <c r="EX868" s="424"/>
      <c r="EY868" s="424"/>
      <c r="EZ868" s="424"/>
      <c r="FA868" s="424"/>
      <c r="FB868" s="424"/>
      <c r="FC868" s="424"/>
      <c r="FD868" s="425"/>
      <c r="FE868" s="333"/>
    </row>
    <row r="869" spans="86:161" x14ac:dyDescent="0.25">
      <c r="CH869" s="445"/>
      <c r="CI869" s="300"/>
      <c r="CJ869" s="300"/>
      <c r="CK869" s="300"/>
      <c r="CL869" s="449"/>
      <c r="CM869" s="445"/>
      <c r="DG869" s="445"/>
      <c r="DH869" s="300"/>
      <c r="DI869" s="477" t="str">
        <f ca="1">IF(DC645="","",VLOOKUP(DC645,xxx.an1,16,FALSE))</f>
        <v/>
      </c>
      <c r="DJ869" s="478" t="str">
        <f ca="1">IF(OR(DI869="",DP869="",DI869=DP869,COUNTIF(games.an,DI869&amp;DP869)=0),"",CONCATENATE(DI869,DP869))</f>
        <v/>
      </c>
      <c r="DK869" s="360" t="str">
        <f ca="1">IF($DJ869="","",CONCATENATE(VLOOKUP($DJ869,games.a,9,FALSE),VLOOKUP($DJ869,games.a,12,FALSE)))</f>
        <v/>
      </c>
      <c r="DL869" s="354" t="str">
        <f ca="1">IF($DJ869="","",VLOOKUP($DJ869,games.a,10,FALSE))</f>
        <v/>
      </c>
      <c r="DM869" s="354" t="str">
        <f ca="1">IF($DJ869="","",VLOOKUP($DJ869,games.a,13,FALSE))</f>
        <v/>
      </c>
      <c r="DN869" s="361" t="str">
        <f ca="1">IF($DJ869="","",VLOOKUP($DJ869,games.a,6,FALSE))</f>
        <v/>
      </c>
      <c r="DO869" s="362" t="str">
        <f ca="1">IF($DJ869="","",VLOOKUP($DJ869,games.a,7,FALSE))</f>
        <v/>
      </c>
      <c r="DP869" s="379" t="str">
        <f ca="1">DP868</f>
        <v/>
      </c>
      <c r="DQ869" s="302"/>
      <c r="DR869" s="364"/>
      <c r="DS869" s="302"/>
      <c r="DU869" s="424"/>
      <c r="DV869" s="366" t="str">
        <f ca="1">IF(OR(NOT($AJ$44),DI867),DI869,"")</f>
        <v/>
      </c>
      <c r="DW869" s="365"/>
      <c r="DX869" s="366">
        <f ca="1">IF($DV869="",0,COUNTIF(xxgy.an,$DV869))</f>
        <v>0</v>
      </c>
      <c r="DY869" s="366">
        <f ca="1">IF($DV869="",0,COUNTIF(xxd.an,$DV869))</f>
        <v>0</v>
      </c>
      <c r="DZ869" s="366">
        <f ca="1">IF($DV869="",0,1)*(SUMIF(xxo.an,$DV869,xxl.an)+SUMIF(xxi.an,$DV869,xxk.an))</f>
        <v>0</v>
      </c>
      <c r="EA869" s="366">
        <f ca="1">IF($DV869="",0,1)*(SUMIF(xxo.an,$DV869,xxk.an)+SUMIF(xxi.an,$DV869,xxl.an))</f>
        <v>0</v>
      </c>
      <c r="EB869" s="366">
        <f ca="1">DZ869-EA869</f>
        <v>0</v>
      </c>
      <c r="EC869" s="366">
        <f ca="1">IF(EA869=0,0,DZ869/EA869)</f>
        <v>0</v>
      </c>
      <c r="ED869" s="366">
        <f ca="1">$AJ$48*DX869+IF($AJ$44,0,1)*DY869</f>
        <v>0</v>
      </c>
      <c r="EE869" s="396">
        <f ca="1">ED869*1000000+IF($AJ$44,EC869,EB869)*1000*0</f>
        <v>0</v>
      </c>
      <c r="EF869" s="424"/>
      <c r="EG869" s="424"/>
      <c r="EH869" s="424"/>
      <c r="EI869" s="366">
        <f ca="1">IF(OR(ISERR(EE869),ISNA(EE869)),0,EE869)</f>
        <v>0</v>
      </c>
      <c r="EJ869" s="366">
        <f ca="1">IF(EI869=0,0,RANK(EI869,EI868:EI870,1))</f>
        <v>0</v>
      </c>
      <c r="EK869" s="366">
        <f ca="1">EJ869*40000*IF(COUNTIF($FC$644:$FC$667,DV869)&gt;0,0,1)</f>
        <v>0</v>
      </c>
      <c r="EL869" s="424"/>
      <c r="EM869" s="424"/>
      <c r="EN869" s="424"/>
      <c r="EO869" s="424"/>
      <c r="EP869" s="424"/>
      <c r="EQ869" s="424"/>
      <c r="ER869" s="424"/>
      <c r="ES869" s="424"/>
      <c r="ET869" s="424"/>
      <c r="EU869" s="424"/>
      <c r="EV869" s="424"/>
      <c r="EW869" s="424"/>
      <c r="EX869" s="424"/>
      <c r="EY869" s="424"/>
      <c r="EZ869" s="424"/>
      <c r="FA869" s="424"/>
      <c r="FB869" s="424"/>
      <c r="FC869" s="424"/>
      <c r="FD869" s="425"/>
      <c r="FE869" s="333"/>
    </row>
    <row r="870" spans="86:161" x14ac:dyDescent="0.25">
      <c r="CH870" s="445"/>
      <c r="CI870" s="300"/>
      <c r="CJ870" s="300"/>
      <c r="CK870" s="300"/>
      <c r="CL870" s="449"/>
      <c r="CM870" s="445"/>
      <c r="DG870" s="445"/>
      <c r="DH870" s="300"/>
      <c r="DI870" s="477" t="str">
        <f ca="1">IF(DC646="","",VLOOKUP(DC646,xxx.an1,16,FALSE))</f>
        <v/>
      </c>
      <c r="DJ870" s="478" t="str">
        <f ca="1">IF(OR(DI870="",DP870="",DI870=DP870,COUNTIF(games.an,DI870&amp;DP870)=0),"",CONCATENATE(DI870,DP870))</f>
        <v/>
      </c>
      <c r="DK870" s="360" t="str">
        <f ca="1">IF($DJ870="","",CONCATENATE(VLOOKUP($DJ870,games.a,9,FALSE),VLOOKUP($DJ870,games.a,12,FALSE)))</f>
        <v/>
      </c>
      <c r="DL870" s="354" t="str">
        <f ca="1">IF($DJ870="","",VLOOKUP($DJ870,games.a,10,FALSE))</f>
        <v/>
      </c>
      <c r="DM870" s="354" t="str">
        <f ca="1">IF($DJ870="","",VLOOKUP($DJ870,games.a,13,FALSE))</f>
        <v/>
      </c>
      <c r="DN870" s="361" t="str">
        <f ca="1">IF($DJ870="","",VLOOKUP($DJ870,games.a,6,FALSE))</f>
        <v/>
      </c>
      <c r="DO870" s="362" t="str">
        <f ca="1">IF($DJ870="","",VLOOKUP($DJ870,games.a,7,FALSE))</f>
        <v/>
      </c>
      <c r="DP870" s="379" t="str">
        <f ca="1">DP869</f>
        <v/>
      </c>
      <c r="DQ870" s="302"/>
      <c r="DR870" s="364"/>
      <c r="DS870" s="302"/>
      <c r="DU870" s="424"/>
      <c r="DV870" s="366" t="str">
        <f ca="1">IF(OR(NOT($AJ$44),DI867),DI870,"")</f>
        <v/>
      </c>
      <c r="DW870" s="365"/>
      <c r="DX870" s="366">
        <f ca="1">IF($DV870="",0,COUNTIF(xxgy.an,$DV870))</f>
        <v>0</v>
      </c>
      <c r="DY870" s="366">
        <f ca="1">IF($DV870="",0,COUNTIF(xxd.an,$DV870))</f>
        <v>0</v>
      </c>
      <c r="DZ870" s="366">
        <f ca="1">IF($DV870="",0,1)*(SUMIF(xxo.an,$DV870,xxl.an)+SUMIF(xxi.an,$DV870,xxk.an))</f>
        <v>0</v>
      </c>
      <c r="EA870" s="366">
        <f ca="1">IF($DV870="",0,1)*(SUMIF(xxo.an,$DV870,xxk.an)+SUMIF(xxi.an,$DV870,xxl.an))</f>
        <v>0</v>
      </c>
      <c r="EB870" s="366">
        <f ca="1">DZ870-EA870</f>
        <v>0</v>
      </c>
      <c r="EC870" s="366">
        <f ca="1">IF(EA870=0,0,DZ870/EA870)</f>
        <v>0</v>
      </c>
      <c r="ED870" s="366">
        <f ca="1">$AJ$48*DX870+IF($AJ$44,0,1)*DY870</f>
        <v>0</v>
      </c>
      <c r="EE870" s="396">
        <f ca="1">ED870*1000000+IF($AJ$44,EC870,EB870)*1000*0</f>
        <v>0</v>
      </c>
      <c r="EF870" s="424"/>
      <c r="EG870" s="424"/>
      <c r="EH870" s="424"/>
      <c r="EI870" s="366">
        <f ca="1">IF(OR(ISERR(EE870),ISNA(EE870)),0,EE870)</f>
        <v>0</v>
      </c>
      <c r="EJ870" s="366">
        <f ca="1">IF(EI870=0,0,RANK(EI870,EI868:EI870,1))</f>
        <v>0</v>
      </c>
      <c r="EK870" s="366">
        <f ca="1">EJ870*40000*IF(COUNTIF($FC$644:$FC$667,DV870)&gt;0,0,1)</f>
        <v>0</v>
      </c>
      <c r="EL870" s="424"/>
      <c r="EM870" s="424"/>
      <c r="EN870" s="424"/>
      <c r="EO870" s="424"/>
      <c r="EP870" s="424"/>
      <c r="EQ870" s="424"/>
      <c r="ER870" s="424"/>
      <c r="ES870" s="424"/>
      <c r="ET870" s="424"/>
      <c r="EU870" s="424"/>
      <c r="EV870" s="424"/>
      <c r="EW870" s="424"/>
      <c r="EX870" s="424"/>
      <c r="EY870" s="424"/>
      <c r="EZ870" s="424"/>
      <c r="FA870" s="424"/>
      <c r="FB870" s="424"/>
      <c r="FC870" s="424"/>
      <c r="FD870" s="425"/>
      <c r="FE870" s="333"/>
    </row>
    <row r="871" spans="86:161" x14ac:dyDescent="0.25">
      <c r="CH871" s="445"/>
      <c r="CI871" s="300"/>
      <c r="CJ871" s="300"/>
      <c r="CK871" s="300"/>
      <c r="CL871" s="449"/>
      <c r="CM871" s="445"/>
      <c r="DG871" s="445"/>
      <c r="DH871" s="300"/>
      <c r="DI871" s="301"/>
      <c r="DJ871" s="471" t="s">
        <v>157</v>
      </c>
      <c r="DK871" s="471" t="s">
        <v>158</v>
      </c>
      <c r="DL871" s="472" t="s">
        <v>159</v>
      </c>
      <c r="DM871" s="472"/>
      <c r="DN871" s="473" t="s">
        <v>160</v>
      </c>
      <c r="DO871" s="472" t="s">
        <v>135</v>
      </c>
      <c r="DP871" s="302"/>
      <c r="DQ871" s="302"/>
      <c r="DR871" s="364"/>
      <c r="DS871" s="302"/>
      <c r="DU871" s="424"/>
      <c r="DV871" s="424"/>
      <c r="DW871" s="424"/>
      <c r="DX871" s="424"/>
      <c r="DY871" s="424"/>
      <c r="DZ871" s="424"/>
      <c r="EA871" s="424"/>
      <c r="EB871" s="424"/>
      <c r="EC871" s="424"/>
      <c r="ED871" s="424"/>
      <c r="EE871" s="424"/>
      <c r="EF871" s="424"/>
      <c r="EG871" s="424"/>
      <c r="EH871" s="424"/>
      <c r="EI871" s="424"/>
      <c r="EJ871" s="424"/>
      <c r="EK871" s="424"/>
      <c r="EL871" s="424"/>
      <c r="EM871" s="424"/>
      <c r="EN871" s="424"/>
      <c r="EO871" s="424"/>
      <c r="EP871" s="424"/>
      <c r="EQ871" s="424"/>
      <c r="ER871" s="424"/>
      <c r="ES871" s="424"/>
      <c r="ET871" s="424"/>
      <c r="EU871" s="424"/>
      <c r="EV871" s="424"/>
      <c r="EW871" s="424"/>
      <c r="EX871" s="424"/>
      <c r="EY871" s="424"/>
      <c r="EZ871" s="424"/>
      <c r="FA871" s="424"/>
      <c r="FB871" s="424"/>
      <c r="FC871" s="424"/>
      <c r="FD871" s="425"/>
      <c r="FE871" s="333"/>
    </row>
    <row r="872" spans="86:161" x14ac:dyDescent="0.25">
      <c r="CH872" s="445"/>
      <c r="CI872" s="300"/>
      <c r="CJ872" s="300"/>
      <c r="CK872" s="300"/>
      <c r="CL872" s="449"/>
      <c r="CM872" s="445"/>
      <c r="DG872" s="445"/>
      <c r="DH872" s="300"/>
      <c r="DI872" s="395" t="str">
        <f ca="1">DI868</f>
        <v/>
      </c>
      <c r="DJ872" s="478" t="str">
        <f ca="1">IF(OR(DI872="",DP872="",DI872=DP872,COUNTIF(games.an,DI872&amp;DP872)=0),"",CONCATENATE(DI872,DP872))</f>
        <v/>
      </c>
      <c r="DK872" s="360" t="str">
        <f ca="1">IF($DJ872="","",CONCATENATE(VLOOKUP($DJ872,games.a,9,FALSE),VLOOKUP($DJ872,games.a,12,FALSE)))</f>
        <v/>
      </c>
      <c r="DL872" s="354" t="str">
        <f ca="1">IF($DJ872="","",VLOOKUP($DJ872,games.a,10,FALSE))</f>
        <v/>
      </c>
      <c r="DM872" s="354" t="str">
        <f ca="1">IF($DJ872="","",VLOOKUP($DJ872,games.a,13,FALSE))</f>
        <v/>
      </c>
      <c r="DN872" s="361" t="str">
        <f ca="1">IF($DJ872="","",VLOOKUP($DJ872,games.a,6,FALSE))</f>
        <v/>
      </c>
      <c r="DO872" s="362" t="str">
        <f ca="1">IF($DJ872="","",VLOOKUP($DJ872,games.a,7,FALSE))</f>
        <v/>
      </c>
      <c r="DP872" s="479" t="str">
        <f ca="1">DI869</f>
        <v/>
      </c>
      <c r="DQ872" s="302"/>
      <c r="DR872" s="364"/>
      <c r="DS872" s="302"/>
      <c r="DU872" s="424"/>
      <c r="DV872" s="424"/>
      <c r="DW872" s="424"/>
      <c r="DX872" s="424"/>
      <c r="DY872" s="424"/>
      <c r="DZ872" s="424"/>
      <c r="EA872" s="424"/>
      <c r="EB872" s="424"/>
      <c r="EC872" s="424"/>
      <c r="ED872" s="424"/>
      <c r="EE872" s="424"/>
      <c r="EF872" s="424"/>
      <c r="EG872" s="424"/>
      <c r="EH872" s="424"/>
      <c r="EI872" s="424"/>
      <c r="EJ872" s="424"/>
      <c r="EK872" s="424"/>
      <c r="EL872" s="424"/>
      <c r="EM872" s="424"/>
      <c r="EN872" s="424"/>
      <c r="EO872" s="424"/>
      <c r="EP872" s="424"/>
      <c r="EQ872" s="424"/>
      <c r="ER872" s="424"/>
      <c r="ES872" s="424"/>
      <c r="ET872" s="424"/>
      <c r="EU872" s="424"/>
      <c r="EV872" s="424"/>
      <c r="EW872" s="424"/>
      <c r="EX872" s="424"/>
      <c r="EY872" s="424"/>
      <c r="EZ872" s="424"/>
      <c r="FA872" s="424"/>
      <c r="FB872" s="424"/>
      <c r="FC872" s="424"/>
      <c r="FD872" s="425"/>
      <c r="FE872" s="333"/>
    </row>
    <row r="873" spans="86:161" x14ac:dyDescent="0.25">
      <c r="CH873" s="445"/>
      <c r="CI873" s="300"/>
      <c r="CJ873" s="300"/>
      <c r="CK873" s="300"/>
      <c r="CL873" s="449"/>
      <c r="CM873" s="445"/>
      <c r="DG873" s="445"/>
      <c r="DH873" s="300"/>
      <c r="DI873" s="395" t="str">
        <f ca="1">DI869</f>
        <v/>
      </c>
      <c r="DJ873" s="478" t="str">
        <f ca="1">IF(OR(DI873="",DP873="",DI873=DP873,COUNTIF(games.an,DI873&amp;DP873)=0),"",CONCATENATE(DI873,DP873))</f>
        <v/>
      </c>
      <c r="DK873" s="360" t="str">
        <f ca="1">IF($DJ873="","",CONCATENATE(VLOOKUP($DJ873,games.a,9,FALSE),VLOOKUP($DJ873,games.a,12,FALSE)))</f>
        <v/>
      </c>
      <c r="DL873" s="354" t="str">
        <f ca="1">IF($DJ873="","",VLOOKUP($DJ873,games.a,10,FALSE))</f>
        <v/>
      </c>
      <c r="DM873" s="354" t="str">
        <f ca="1">IF($DJ873="","",VLOOKUP($DJ873,games.a,13,FALSE))</f>
        <v/>
      </c>
      <c r="DN873" s="361" t="str">
        <f ca="1">IF($DJ873="","",VLOOKUP($DJ873,games.a,6,FALSE))</f>
        <v/>
      </c>
      <c r="DO873" s="362" t="str">
        <f ca="1">IF($DJ873="","",VLOOKUP($DJ873,games.a,7,FALSE))</f>
        <v/>
      </c>
      <c r="DP873" s="379" t="str">
        <f ca="1">DP872</f>
        <v/>
      </c>
      <c r="DQ873" s="302"/>
      <c r="DR873" s="364"/>
      <c r="DS873" s="302"/>
      <c r="DU873" s="424"/>
      <c r="DV873" s="424"/>
      <c r="DW873" s="424"/>
      <c r="DX873" s="424"/>
      <c r="DY873" s="424"/>
      <c r="DZ873" s="424"/>
      <c r="EA873" s="424"/>
      <c r="EB873" s="424"/>
      <c r="EC873" s="424"/>
      <c r="ED873" s="424"/>
      <c r="EE873" s="424"/>
      <c r="EF873" s="424"/>
      <c r="EG873" s="424"/>
      <c r="EH873" s="424"/>
      <c r="EI873" s="424"/>
      <c r="EJ873" s="424"/>
      <c r="EK873" s="424"/>
      <c r="EL873" s="424"/>
      <c r="EM873" s="424"/>
      <c r="EN873" s="424"/>
      <c r="EO873" s="424"/>
      <c r="EP873" s="424"/>
      <c r="EQ873" s="424"/>
      <c r="ER873" s="424"/>
      <c r="ES873" s="424"/>
      <c r="ET873" s="424"/>
      <c r="EU873" s="424"/>
      <c r="EV873" s="424"/>
      <c r="EW873" s="424"/>
      <c r="EX873" s="424"/>
      <c r="EY873" s="424"/>
      <c r="EZ873" s="424"/>
      <c r="FA873" s="424"/>
      <c r="FB873" s="424"/>
      <c r="FC873" s="424"/>
      <c r="FD873" s="425"/>
      <c r="FE873" s="333"/>
    </row>
    <row r="874" spans="86:161" x14ac:dyDescent="0.25">
      <c r="CH874" s="445"/>
      <c r="CI874" s="300"/>
      <c r="CJ874" s="300"/>
      <c r="CK874" s="300"/>
      <c r="CL874" s="449"/>
      <c r="CM874" s="445"/>
      <c r="DG874" s="445"/>
      <c r="DH874" s="300"/>
      <c r="DI874" s="395" t="str">
        <f ca="1">DI870</f>
        <v/>
      </c>
      <c r="DJ874" s="478" t="str">
        <f ca="1">IF(OR(DI874="",DP874="",DI874=DP874,COUNTIF(games.an,DI874&amp;DP874)=0),"",CONCATENATE(DI874,DP874))</f>
        <v/>
      </c>
      <c r="DK874" s="360" t="str">
        <f ca="1">IF($DJ874="","",CONCATENATE(VLOOKUP($DJ874,games.a,9,FALSE),VLOOKUP($DJ874,games.a,12,FALSE)))</f>
        <v/>
      </c>
      <c r="DL874" s="354" t="str">
        <f ca="1">IF($DJ874="","",VLOOKUP($DJ874,games.a,10,FALSE))</f>
        <v/>
      </c>
      <c r="DM874" s="354" t="str">
        <f ca="1">IF($DJ874="","",VLOOKUP($DJ874,games.a,13,FALSE))</f>
        <v/>
      </c>
      <c r="DN874" s="361" t="str">
        <f ca="1">IF($DJ874="","",VLOOKUP($DJ874,games.a,6,FALSE))</f>
        <v/>
      </c>
      <c r="DO874" s="362" t="str">
        <f ca="1">IF($DJ874="","",VLOOKUP($DJ874,games.a,7,FALSE))</f>
        <v/>
      </c>
      <c r="DP874" s="379" t="str">
        <f ca="1">DP873</f>
        <v/>
      </c>
      <c r="DQ874" s="302"/>
      <c r="DR874" s="364"/>
      <c r="DS874" s="302"/>
      <c r="DU874" s="424"/>
      <c r="DV874" s="424"/>
      <c r="DW874" s="424"/>
      <c r="DX874" s="424"/>
      <c r="DY874" s="424"/>
      <c r="DZ874" s="424"/>
      <c r="EA874" s="424"/>
      <c r="EB874" s="424"/>
      <c r="EC874" s="424"/>
      <c r="ED874" s="424"/>
      <c r="EE874" s="424"/>
      <c r="EF874" s="424"/>
      <c r="EG874" s="424"/>
      <c r="EH874" s="424"/>
      <c r="EI874" s="424"/>
      <c r="EJ874" s="424"/>
      <c r="EK874" s="424"/>
      <c r="EL874" s="424"/>
      <c r="EM874" s="424"/>
      <c r="EN874" s="424"/>
      <c r="EO874" s="424"/>
      <c r="EP874" s="424"/>
      <c r="EQ874" s="424"/>
      <c r="ER874" s="424"/>
      <c r="ES874" s="424"/>
      <c r="ET874" s="424"/>
      <c r="EU874" s="424"/>
      <c r="EV874" s="424"/>
      <c r="EW874" s="424"/>
      <c r="EX874" s="424"/>
      <c r="EY874" s="424"/>
      <c r="EZ874" s="424"/>
      <c r="FA874" s="424"/>
      <c r="FB874" s="424"/>
      <c r="FC874" s="424"/>
      <c r="FD874" s="425"/>
      <c r="FE874" s="333"/>
    </row>
    <row r="875" spans="86:161" x14ac:dyDescent="0.25">
      <c r="CH875" s="445"/>
      <c r="CI875" s="300"/>
      <c r="CJ875" s="300"/>
      <c r="CK875" s="300"/>
      <c r="CL875" s="449"/>
      <c r="CM875" s="445"/>
      <c r="DG875" s="445"/>
      <c r="DH875" s="300"/>
      <c r="DI875" s="301"/>
      <c r="DJ875" s="471" t="s">
        <v>157</v>
      </c>
      <c r="DK875" s="471" t="s">
        <v>158</v>
      </c>
      <c r="DL875" s="472" t="s">
        <v>159</v>
      </c>
      <c r="DM875" s="472"/>
      <c r="DN875" s="473" t="s">
        <v>160</v>
      </c>
      <c r="DO875" s="472" t="s">
        <v>135</v>
      </c>
      <c r="DP875" s="302"/>
      <c r="DQ875" s="302"/>
      <c r="DR875" s="364"/>
      <c r="DS875" s="302"/>
      <c r="DU875" s="424"/>
      <c r="DV875" s="424"/>
      <c r="DW875" s="424"/>
      <c r="DX875" s="424"/>
      <c r="DY875" s="424"/>
      <c r="DZ875" s="424"/>
      <c r="EA875" s="424"/>
      <c r="EB875" s="424"/>
      <c r="EC875" s="424"/>
      <c r="ED875" s="424"/>
      <c r="EE875" s="424"/>
      <c r="EF875" s="424"/>
      <c r="EG875" s="424"/>
      <c r="EH875" s="424"/>
      <c r="EI875" s="424"/>
      <c r="EJ875" s="424"/>
      <c r="EK875" s="424"/>
      <c r="EL875" s="424"/>
      <c r="EM875" s="424"/>
      <c r="EN875" s="424"/>
      <c r="EO875" s="424"/>
      <c r="EP875" s="424"/>
      <c r="EQ875" s="424"/>
      <c r="ER875" s="424"/>
      <c r="ES875" s="424"/>
      <c r="ET875" s="424"/>
      <c r="EU875" s="424"/>
      <c r="EV875" s="424"/>
      <c r="EW875" s="424"/>
      <c r="EX875" s="424"/>
      <c r="EY875" s="424"/>
      <c r="EZ875" s="424"/>
      <c r="FA875" s="424"/>
      <c r="FB875" s="424"/>
      <c r="FC875" s="424"/>
      <c r="FD875" s="425"/>
      <c r="FE875" s="333"/>
    </row>
    <row r="876" spans="86:161" x14ac:dyDescent="0.25">
      <c r="CH876" s="445"/>
      <c r="CI876" s="300"/>
      <c r="CJ876" s="300"/>
      <c r="CK876" s="300"/>
      <c r="CL876" s="449"/>
      <c r="CM876" s="445"/>
      <c r="DG876" s="445"/>
      <c r="DH876" s="300"/>
      <c r="DI876" s="395" t="str">
        <f ca="1">DI872</f>
        <v/>
      </c>
      <c r="DJ876" s="478" t="str">
        <f ca="1">IF(OR(DI876="",DP876="",DI876=DP876,COUNTIF(games.an,DI876&amp;DP876)=0),"",CONCATENATE(DI876,DP876))</f>
        <v/>
      </c>
      <c r="DK876" s="360" t="str">
        <f ca="1">IF($DJ876="","",CONCATENATE(VLOOKUP($DJ876,games.a,9,FALSE),VLOOKUP($DJ876,games.a,12,FALSE)))</f>
        <v/>
      </c>
      <c r="DL876" s="354" t="str">
        <f ca="1">IF($DJ876="","",VLOOKUP($DJ876,games.a,10,FALSE))</f>
        <v/>
      </c>
      <c r="DM876" s="354" t="str">
        <f ca="1">IF($DJ876="","",VLOOKUP($DJ876,games.a,13,FALSE))</f>
        <v/>
      </c>
      <c r="DN876" s="361" t="str">
        <f ca="1">IF($DJ876="","",VLOOKUP($DJ876,games.a,6,FALSE))</f>
        <v/>
      </c>
      <c r="DO876" s="362" t="str">
        <f ca="1">IF($DJ876="","",VLOOKUP($DJ876,games.a,7,FALSE))</f>
        <v/>
      </c>
      <c r="DP876" s="479" t="str">
        <f ca="1">DI870</f>
        <v/>
      </c>
      <c r="DQ876" s="302"/>
      <c r="DR876" s="364"/>
      <c r="DS876" s="302"/>
      <c r="DU876" s="424"/>
      <c r="DV876" s="424"/>
      <c r="DW876" s="424"/>
      <c r="DX876" s="424"/>
      <c r="DY876" s="424"/>
      <c r="DZ876" s="424"/>
      <c r="EA876" s="424"/>
      <c r="EB876" s="424"/>
      <c r="EC876" s="424"/>
      <c r="ED876" s="424"/>
      <c r="EE876" s="424"/>
      <c r="EF876" s="424"/>
      <c r="EG876" s="424"/>
      <c r="EH876" s="424"/>
      <c r="EI876" s="424"/>
      <c r="EJ876" s="424"/>
      <c r="EK876" s="424"/>
      <c r="EL876" s="424"/>
      <c r="EM876" s="424"/>
      <c r="EN876" s="424"/>
      <c r="EO876" s="424"/>
      <c r="EP876" s="424"/>
      <c r="EQ876" s="424"/>
      <c r="ER876" s="424"/>
      <c r="ES876" s="424"/>
      <c r="ET876" s="424"/>
      <c r="EU876" s="424"/>
      <c r="EV876" s="424"/>
      <c r="EW876" s="424"/>
      <c r="EX876" s="424"/>
      <c r="EY876" s="424"/>
      <c r="EZ876" s="424"/>
      <c r="FA876" s="424"/>
      <c r="FB876" s="424"/>
      <c r="FC876" s="424"/>
      <c r="FD876" s="425"/>
      <c r="FE876" s="333"/>
    </row>
    <row r="877" spans="86:161" x14ac:dyDescent="0.25">
      <c r="CH877" s="445"/>
      <c r="CI877" s="300"/>
      <c r="CJ877" s="300"/>
      <c r="CK877" s="300"/>
      <c r="CL877" s="449"/>
      <c r="CM877" s="445"/>
      <c r="DG877" s="445"/>
      <c r="DH877" s="300"/>
      <c r="DI877" s="395" t="str">
        <f ca="1">DI873</f>
        <v/>
      </c>
      <c r="DJ877" s="478" t="str">
        <f ca="1">IF(OR(DI877="",DP877="",DI877=DP877,COUNTIF(games.an,DI877&amp;DP877)=0),"",CONCATENATE(DI877,DP877))</f>
        <v/>
      </c>
      <c r="DK877" s="360" t="str">
        <f ca="1">IF($DJ877="","",CONCATENATE(VLOOKUP($DJ877,games.a,9,FALSE),VLOOKUP($DJ877,games.a,12,FALSE)))</f>
        <v/>
      </c>
      <c r="DL877" s="354" t="str">
        <f ca="1">IF($DJ877="","",VLOOKUP($DJ877,games.a,10,FALSE))</f>
        <v/>
      </c>
      <c r="DM877" s="354" t="str">
        <f ca="1">IF($DJ877="","",VLOOKUP($DJ877,games.a,13,FALSE))</f>
        <v/>
      </c>
      <c r="DN877" s="361" t="str">
        <f ca="1">IF($DJ877="","",VLOOKUP($DJ877,games.a,6,FALSE))</f>
        <v/>
      </c>
      <c r="DO877" s="362" t="str">
        <f ca="1">IF($DJ877="","",VLOOKUP($DJ877,games.a,7,FALSE))</f>
        <v/>
      </c>
      <c r="DP877" s="379" t="str">
        <f ca="1">DP876</f>
        <v/>
      </c>
      <c r="DQ877" s="302"/>
      <c r="DR877" s="364"/>
      <c r="DS877" s="302"/>
      <c r="DU877" s="424"/>
      <c r="DV877" s="424"/>
      <c r="DW877" s="424"/>
      <c r="DX877" s="424"/>
      <c r="DY877" s="424"/>
      <c r="DZ877" s="424"/>
      <c r="EA877" s="424"/>
      <c r="EB877" s="424"/>
      <c r="EC877" s="424"/>
      <c r="ED877" s="424"/>
      <c r="EE877" s="424"/>
      <c r="EF877" s="424"/>
      <c r="EG877" s="424"/>
      <c r="EH877" s="424"/>
      <c r="EI877" s="424"/>
      <c r="EJ877" s="424"/>
      <c r="EK877" s="424"/>
      <c r="EL877" s="424"/>
      <c r="EM877" s="424"/>
      <c r="EN877" s="424"/>
      <c r="EO877" s="424"/>
      <c r="EP877" s="424"/>
      <c r="EQ877" s="424"/>
      <c r="ER877" s="424"/>
      <c r="ES877" s="424"/>
      <c r="ET877" s="424"/>
      <c r="EU877" s="424"/>
      <c r="EV877" s="424"/>
      <c r="EW877" s="424"/>
      <c r="EX877" s="424"/>
      <c r="EY877" s="424"/>
      <c r="EZ877" s="424"/>
      <c r="FA877" s="424"/>
      <c r="FB877" s="424"/>
      <c r="FC877" s="424"/>
      <c r="FD877" s="425"/>
      <c r="FE877" s="333"/>
    </row>
    <row r="878" spans="86:161" x14ac:dyDescent="0.25">
      <c r="CH878" s="445"/>
      <c r="CI878" s="300"/>
      <c r="CJ878" s="300"/>
      <c r="CK878" s="300"/>
      <c r="CL878" s="449"/>
      <c r="CM878" s="445"/>
      <c r="DG878" s="445"/>
      <c r="DH878" s="300"/>
      <c r="DI878" s="395" t="str">
        <f ca="1">DI874</f>
        <v/>
      </c>
      <c r="DJ878" s="478" t="str">
        <f ca="1">IF(OR(DI878="",DP878="",DI878=DP878,COUNTIF(games.an,DI878&amp;DP878)=0),"",CONCATENATE(DI878,DP878))</f>
        <v/>
      </c>
      <c r="DK878" s="360" t="str">
        <f ca="1">IF($DJ878="","",CONCATENATE(VLOOKUP($DJ878,games.a,9,FALSE),VLOOKUP($DJ878,games.a,12,FALSE)))</f>
        <v/>
      </c>
      <c r="DL878" s="354" t="str">
        <f ca="1">IF($DJ878="","",VLOOKUP($DJ878,games.a,10,FALSE))</f>
        <v/>
      </c>
      <c r="DM878" s="354" t="str">
        <f ca="1">IF($DJ878="","",VLOOKUP($DJ878,games.a,13,FALSE))</f>
        <v/>
      </c>
      <c r="DN878" s="361" t="str">
        <f ca="1">IF($DJ878="","",VLOOKUP($DJ878,games.a,6,FALSE))</f>
        <v/>
      </c>
      <c r="DO878" s="362" t="str">
        <f ca="1">IF($DJ878="","",VLOOKUP($DJ878,games.a,7,FALSE))</f>
        <v/>
      </c>
      <c r="DP878" s="379" t="str">
        <f ca="1">DP877</f>
        <v/>
      </c>
      <c r="DQ878" s="302"/>
      <c r="DR878" s="364"/>
      <c r="DS878" s="302"/>
      <c r="DU878" s="424"/>
      <c r="DV878" s="424"/>
      <c r="DW878" s="424"/>
      <c r="DX878" s="424"/>
      <c r="DY878" s="424"/>
      <c r="DZ878" s="424"/>
      <c r="EA878" s="424"/>
      <c r="EB878" s="424"/>
      <c r="EC878" s="424"/>
      <c r="ED878" s="424"/>
      <c r="EE878" s="424"/>
      <c r="EF878" s="424"/>
      <c r="EG878" s="424"/>
      <c r="EH878" s="424"/>
      <c r="EI878" s="424"/>
      <c r="EJ878" s="424"/>
      <c r="EK878" s="424"/>
      <c r="EL878" s="424"/>
      <c r="EM878" s="424"/>
      <c r="EN878" s="424"/>
      <c r="EO878" s="424"/>
      <c r="EP878" s="424"/>
      <c r="EQ878" s="424"/>
      <c r="ER878" s="424"/>
      <c r="ES878" s="424"/>
      <c r="ET878" s="424"/>
      <c r="EU878" s="424"/>
      <c r="EV878" s="424"/>
      <c r="EW878" s="424"/>
      <c r="EX878" s="424"/>
      <c r="EY878" s="424"/>
      <c r="EZ878" s="424"/>
      <c r="FA878" s="424"/>
      <c r="FB878" s="424"/>
      <c r="FC878" s="424"/>
      <c r="FD878" s="425"/>
      <c r="FE878" s="333"/>
    </row>
    <row r="879" spans="86:161" x14ac:dyDescent="0.25">
      <c r="CH879" s="445"/>
      <c r="CI879" s="300"/>
      <c r="CJ879" s="300"/>
      <c r="CK879" s="300"/>
      <c r="CL879" s="449"/>
      <c r="CM879" s="445"/>
      <c r="DG879" s="445"/>
      <c r="DH879" s="445"/>
      <c r="DI879" s="301"/>
      <c r="DJ879" s="445"/>
      <c r="DK879" s="302"/>
      <c r="DL879" s="302"/>
      <c r="DM879" s="302"/>
      <c r="DN879" s="302"/>
      <c r="DO879" s="302"/>
      <c r="DP879" s="447"/>
      <c r="DQ879" s="302"/>
      <c r="DR879" s="446" t="s">
        <v>218</v>
      </c>
      <c r="DS879" s="302"/>
      <c r="DU879" s="424"/>
      <c r="DV879" s="424"/>
      <c r="DW879" s="424"/>
      <c r="DX879" s="424"/>
      <c r="DY879" s="424"/>
      <c r="DZ879" s="424"/>
      <c r="EA879" s="424"/>
      <c r="EB879" s="424"/>
      <c r="EC879" s="424"/>
      <c r="ED879" s="424"/>
      <c r="EE879" s="424"/>
      <c r="EF879" s="424"/>
      <c r="EG879" s="424"/>
      <c r="EH879" s="424"/>
      <c r="EI879" s="424"/>
      <c r="EJ879" s="424"/>
      <c r="EK879" s="424"/>
      <c r="EL879" s="424"/>
      <c r="EM879" s="424"/>
      <c r="EN879" s="424"/>
      <c r="EO879" s="424"/>
      <c r="EP879" s="424"/>
      <c r="EQ879" s="424"/>
      <c r="ER879" s="424"/>
      <c r="ES879" s="424"/>
      <c r="ET879" s="424"/>
      <c r="EU879" s="424"/>
      <c r="EV879" s="424"/>
      <c r="EW879" s="424"/>
      <c r="EX879" s="424"/>
      <c r="EY879" s="424"/>
      <c r="EZ879" s="424"/>
      <c r="FA879" s="424"/>
      <c r="FB879" s="424"/>
      <c r="FC879" s="424"/>
      <c r="FD879" s="425"/>
      <c r="FE879" s="333"/>
    </row>
    <row r="880" spans="86:161" x14ac:dyDescent="0.25">
      <c r="CH880" s="445"/>
      <c r="CI880" s="300"/>
      <c r="CJ880" s="300"/>
      <c r="CK880" s="300"/>
      <c r="CL880" s="449"/>
      <c r="CM880" s="445"/>
      <c r="DG880" s="445"/>
      <c r="DH880" s="445"/>
      <c r="DI880" s="301"/>
      <c r="DJ880" s="445"/>
      <c r="DK880" s="302"/>
      <c r="DL880" s="302"/>
      <c r="DM880" s="302"/>
      <c r="DN880" s="302"/>
      <c r="DO880" s="302"/>
      <c r="DP880" s="447"/>
      <c r="DQ880" s="302"/>
      <c r="DR880" s="448" t="s">
        <v>219</v>
      </c>
      <c r="DS880" s="302"/>
      <c r="DU880" s="424"/>
      <c r="DV880" s="424"/>
      <c r="DW880" s="424"/>
      <c r="DX880" s="424"/>
      <c r="DY880" s="424"/>
      <c r="DZ880" s="424"/>
      <c r="EA880" s="424"/>
      <c r="EB880" s="424"/>
      <c r="EC880" s="424"/>
      <c r="ED880" s="424"/>
      <c r="EE880" s="424"/>
      <c r="EF880" s="424"/>
      <c r="EG880" s="424"/>
      <c r="EH880" s="424"/>
      <c r="EI880" s="424"/>
      <c r="EJ880" s="424"/>
      <c r="EK880" s="424"/>
      <c r="EL880" s="424"/>
      <c r="EM880" s="424"/>
      <c r="EN880" s="424"/>
      <c r="EO880" s="424"/>
      <c r="EP880" s="424"/>
      <c r="EQ880" s="424"/>
      <c r="ER880" s="424"/>
      <c r="ES880" s="424"/>
      <c r="ET880" s="424"/>
      <c r="EU880" s="424"/>
      <c r="EV880" s="424"/>
      <c r="EW880" s="424"/>
      <c r="EX880" s="424"/>
      <c r="EY880" s="424"/>
      <c r="EZ880" s="424"/>
      <c r="FA880" s="424"/>
      <c r="FB880" s="424"/>
      <c r="FC880" s="424"/>
      <c r="FD880" s="425"/>
      <c r="FE880" s="333"/>
    </row>
    <row r="881" spans="86:161" x14ac:dyDescent="0.25">
      <c r="CH881" s="445"/>
      <c r="CI881" s="300"/>
      <c r="CJ881" s="300"/>
      <c r="CK881" s="300"/>
      <c r="CL881" s="449"/>
      <c r="CM881" s="445"/>
      <c r="DG881" s="445"/>
      <c r="DH881" s="300"/>
      <c r="DI881" s="323" t="b">
        <f ca="1">OR(NOT($AJ$44),COUNTIF(DN881:DN886,"")=4-(DP881-1)*DP881,COUNTIF(DN881:DN886,"")=4-(DP881-1)*DP881/2)</f>
        <v>1</v>
      </c>
      <c r="DJ881" s="471" t="s">
        <v>157</v>
      </c>
      <c r="DK881" s="471" t="s">
        <v>158</v>
      </c>
      <c r="DL881" s="472" t="s">
        <v>159</v>
      </c>
      <c r="DM881" s="472"/>
      <c r="DN881" s="473" t="s">
        <v>160</v>
      </c>
      <c r="DO881" s="472" t="s">
        <v>135</v>
      </c>
      <c r="DP881" s="323">
        <f ca="1">COUNT(DF644:DF645)</f>
        <v>0</v>
      </c>
      <c r="DQ881" s="302"/>
      <c r="DR881" s="364"/>
      <c r="DS881" s="302"/>
      <c r="DU881" s="424"/>
      <c r="DV881" s="329" t="s">
        <v>229</v>
      </c>
      <c r="DW881" s="365"/>
      <c r="DX881" s="329" t="s">
        <v>152</v>
      </c>
      <c r="DY881" s="329" t="s">
        <v>153</v>
      </c>
      <c r="DZ881" s="329" t="s">
        <v>154</v>
      </c>
      <c r="EA881" s="329" t="s">
        <v>155</v>
      </c>
      <c r="EB881" s="329" t="s">
        <v>125</v>
      </c>
      <c r="EC881" s="329" t="s">
        <v>226</v>
      </c>
      <c r="ED881" s="329" t="s">
        <v>126</v>
      </c>
      <c r="EE881" s="329" t="s">
        <v>227</v>
      </c>
      <c r="EF881" s="424"/>
      <c r="EG881" s="424"/>
      <c r="EH881" s="424"/>
      <c r="EI881" s="329" t="s">
        <v>228</v>
      </c>
      <c r="EJ881" s="329" t="s">
        <v>156</v>
      </c>
      <c r="EK881" s="329" t="s">
        <v>208</v>
      </c>
      <c r="EL881" s="424"/>
      <c r="EM881" s="424"/>
      <c r="EN881" s="424"/>
      <c r="EO881" s="424"/>
      <c r="EP881" s="424"/>
      <c r="EQ881" s="424"/>
      <c r="ER881" s="424"/>
      <c r="ES881" s="424"/>
      <c r="ET881" s="424"/>
      <c r="EU881" s="424"/>
      <c r="EV881" s="424"/>
      <c r="EW881" s="424"/>
      <c r="EX881" s="424"/>
      <c r="EY881" s="424"/>
      <c r="EZ881" s="424"/>
      <c r="FA881" s="424"/>
      <c r="FB881" s="424"/>
      <c r="FC881" s="424"/>
      <c r="FD881" s="425"/>
      <c r="FE881" s="333"/>
    </row>
    <row r="882" spans="86:161" x14ac:dyDescent="0.25">
      <c r="CH882" s="445"/>
      <c r="CI882" s="300"/>
      <c r="CJ882" s="300"/>
      <c r="CK882" s="300"/>
      <c r="CL882" s="449"/>
      <c r="CM882" s="445"/>
      <c r="DG882" s="445"/>
      <c r="DH882" s="300"/>
      <c r="DI882" s="477" t="str">
        <f ca="1">IF(DF644="","",VLOOKUP(DF644,xxx.an1,19,FALSE))</f>
        <v/>
      </c>
      <c r="DJ882" s="478" t="str">
        <f ca="1">IF(OR(DI882="",DP882="",DI882=DP882,COUNTIF(games.an,DI882&amp;DP882)=0),"",CONCATENATE(DI882,DP882))</f>
        <v/>
      </c>
      <c r="DK882" s="360" t="str">
        <f ca="1">IF($DJ882="","",CONCATENATE(VLOOKUP($DJ882,games.a,9,FALSE),VLOOKUP($DJ882,games.a,12,FALSE)))</f>
        <v/>
      </c>
      <c r="DL882" s="354" t="str">
        <f ca="1">IF($DJ882="","",VLOOKUP($DJ882,games.a,10,FALSE))</f>
        <v/>
      </c>
      <c r="DM882" s="354" t="str">
        <f ca="1">IF($DJ882="","",VLOOKUP($DJ882,games.a,13,FALSE))</f>
        <v/>
      </c>
      <c r="DN882" s="361" t="str">
        <f ca="1">IF($DJ882="","",VLOOKUP($DJ882,games.a,6,FALSE))</f>
        <v/>
      </c>
      <c r="DO882" s="362" t="str">
        <f ca="1">IF($DJ882="","",VLOOKUP($DJ882,games.a,7,FALSE))</f>
        <v/>
      </c>
      <c r="DP882" s="479" t="str">
        <f ca="1">DI882</f>
        <v/>
      </c>
      <c r="DQ882" s="302"/>
      <c r="DR882" s="364"/>
      <c r="DS882" s="302"/>
      <c r="DU882" s="424"/>
      <c r="DV882" s="366" t="str">
        <f ca="1">IF(OR(NOT($AJ$44),DI881),DI882,"")</f>
        <v/>
      </c>
      <c r="DW882" s="365"/>
      <c r="DX882" s="366">
        <f ca="1">IF($DV882="",0,COUNTIF(xxgy.an,$DV882))</f>
        <v>0</v>
      </c>
      <c r="DY882" s="366">
        <f ca="1">IF($DV882="",0,COUNTIF(xxd.an,$DV882))</f>
        <v>0</v>
      </c>
      <c r="DZ882" s="366">
        <f ca="1">IF($DV882="",0,1)*(SUMIF(xxo.an,$DV882,xxl.an)+SUMIF(xxi.an,$DV882,xxk.an))</f>
        <v>0</v>
      </c>
      <c r="EA882" s="366">
        <f ca="1">IF($DV882="",0,1)*(SUMIF(xxo.an,$DV882,xxk.an)+SUMIF(xxi.an,$DV882,xxl.an))</f>
        <v>0</v>
      </c>
      <c r="EB882" s="366">
        <f ca="1">DZ882-EA882</f>
        <v>0</v>
      </c>
      <c r="EC882" s="366">
        <f ca="1">IF(EA882=0,0,DZ882/EA882)</f>
        <v>0</v>
      </c>
      <c r="ED882" s="366">
        <f ca="1">$AJ$48*DX882+IF($AJ$44,0,1)*DY882</f>
        <v>0</v>
      </c>
      <c r="EE882" s="396">
        <f ca="1">ED882*1000000+IF($AJ$44,EC882,EB882)*1000*0</f>
        <v>0</v>
      </c>
      <c r="EF882" s="424"/>
      <c r="EG882" s="424"/>
      <c r="EH882" s="424"/>
      <c r="EI882" s="366">
        <f ca="1">IF(OR(ISERR(EE882),ISNA(EE882)),0,EE882)</f>
        <v>0</v>
      </c>
      <c r="EJ882" s="366">
        <f ca="1">IF(EI882=0,0,RANK(EI882,EI882:EI883,1))</f>
        <v>0</v>
      </c>
      <c r="EK882" s="366">
        <f ca="1">EJ882*40000*IF(COUNTIF($FC$644:$FC$667,DV882)&gt;0,0,1)</f>
        <v>0</v>
      </c>
      <c r="EL882" s="424"/>
      <c r="EM882" s="424"/>
      <c r="EN882" s="424"/>
      <c r="EO882" s="424"/>
      <c r="EP882" s="424"/>
      <c r="EQ882" s="424"/>
      <c r="ER882" s="424"/>
      <c r="ES882" s="424"/>
      <c r="ET882" s="424"/>
      <c r="EU882" s="424"/>
      <c r="EV882" s="424"/>
      <c r="EW882" s="424"/>
      <c r="EX882" s="424"/>
      <c r="EY882" s="424"/>
      <c r="EZ882" s="424"/>
      <c r="FA882" s="424"/>
      <c r="FB882" s="424"/>
      <c r="FC882" s="424"/>
      <c r="FD882" s="425"/>
      <c r="FE882" s="333"/>
    </row>
    <row r="883" spans="86:161" x14ac:dyDescent="0.25">
      <c r="CH883" s="445"/>
      <c r="CI883" s="300"/>
      <c r="CJ883" s="300"/>
      <c r="CK883" s="300"/>
      <c r="CL883" s="449"/>
      <c r="CM883" s="445"/>
      <c r="DG883" s="445"/>
      <c r="DH883" s="300"/>
      <c r="DI883" s="477" t="str">
        <f ca="1">IF(DF645="","",VLOOKUP(DF645,xxx.an1,19,FALSE))</f>
        <v/>
      </c>
      <c r="DJ883" s="478" t="str">
        <f ca="1">IF(OR(DI883="",DP883="",DI883=DP883,COUNTIF(games.an,DI883&amp;DP883)=0),"",CONCATENATE(DI883,DP883))</f>
        <v/>
      </c>
      <c r="DK883" s="360" t="str">
        <f ca="1">IF($DJ883="","",CONCATENATE(VLOOKUP($DJ883,games.a,9,FALSE),VLOOKUP($DJ883,games.a,12,FALSE)))</f>
        <v/>
      </c>
      <c r="DL883" s="354" t="str">
        <f ca="1">IF($DJ883="","",VLOOKUP($DJ883,games.a,10,FALSE))</f>
        <v/>
      </c>
      <c r="DM883" s="354" t="str">
        <f ca="1">IF($DJ883="","",VLOOKUP($DJ883,games.a,13,FALSE))</f>
        <v/>
      </c>
      <c r="DN883" s="361" t="str">
        <f ca="1">IF($DJ883="","",VLOOKUP($DJ883,games.a,6,FALSE))</f>
        <v/>
      </c>
      <c r="DO883" s="362" t="str">
        <f ca="1">IF($DJ883="","",VLOOKUP($DJ883,games.a,7,FALSE))</f>
        <v/>
      </c>
      <c r="DP883" s="379" t="str">
        <f ca="1">DP882</f>
        <v/>
      </c>
      <c r="DQ883" s="302"/>
      <c r="DR883" s="364"/>
      <c r="DS883" s="302"/>
      <c r="DU883" s="424"/>
      <c r="DV883" s="366" t="str">
        <f ca="1">IF(OR(NOT($AJ$44),DI881),DI883,"")</f>
        <v/>
      </c>
      <c r="DW883" s="365"/>
      <c r="DX883" s="366">
        <f ca="1">IF($DV883="",0,COUNTIF(xxgy.an,$DV883))</f>
        <v>0</v>
      </c>
      <c r="DY883" s="366">
        <f ca="1">IF($DV883="",0,COUNTIF(xxd.an,$DV883))</f>
        <v>0</v>
      </c>
      <c r="DZ883" s="366">
        <f ca="1">IF($DV883="",0,1)*(SUMIF(xxo.an,$DV883,xxl.an)+SUMIF(xxi.an,$DV883,xxk.an))</f>
        <v>0</v>
      </c>
      <c r="EA883" s="366">
        <f ca="1">IF($DV883="",0,1)*(SUMIF(xxo.an,$DV883,xxk.an)+SUMIF(xxi.an,$DV883,xxl.an))</f>
        <v>0</v>
      </c>
      <c r="EB883" s="366">
        <f ca="1">DZ883-EA883</f>
        <v>0</v>
      </c>
      <c r="EC883" s="366">
        <f ca="1">IF(EA883=0,0,DZ883/EA883)</f>
        <v>0</v>
      </c>
      <c r="ED883" s="366">
        <f ca="1">$AJ$48*DX883+IF($AJ$44,0,1)*DY883</f>
        <v>0</v>
      </c>
      <c r="EE883" s="396">
        <f ca="1">ED883*1000000+IF($AJ$44,EC883,EB883)*1000*0</f>
        <v>0</v>
      </c>
      <c r="EF883" s="424"/>
      <c r="EG883" s="424"/>
      <c r="EH883" s="424"/>
      <c r="EI883" s="366">
        <f ca="1">IF(OR(ISERR(EE883),ISNA(EE883)),0,EE883)</f>
        <v>0</v>
      </c>
      <c r="EJ883" s="366">
        <f ca="1">IF(EI883=0,0,RANK(EI883,EI882:EI883,1))</f>
        <v>0</v>
      </c>
      <c r="EK883" s="366">
        <f ca="1">EJ883*40000*IF(COUNTIF($FC$644:$FC$667,DV883)&gt;0,0,1)</f>
        <v>0</v>
      </c>
      <c r="EL883" s="424"/>
      <c r="EM883" s="424"/>
      <c r="EN883" s="424"/>
      <c r="EO883" s="424"/>
      <c r="EP883" s="424"/>
      <c r="EQ883" s="424"/>
      <c r="ER883" s="424"/>
      <c r="ES883" s="424"/>
      <c r="ET883" s="424"/>
      <c r="EU883" s="424"/>
      <c r="EV883" s="424"/>
      <c r="EW883" s="424"/>
      <c r="EX883" s="424"/>
      <c r="EY883" s="424"/>
      <c r="EZ883" s="424"/>
      <c r="FA883" s="424"/>
      <c r="FB883" s="424"/>
      <c r="FC883" s="424"/>
      <c r="FD883" s="425"/>
      <c r="FE883" s="333"/>
    </row>
    <row r="884" spans="86:161" x14ac:dyDescent="0.25">
      <c r="CH884" s="445"/>
      <c r="CI884" s="300"/>
      <c r="CJ884" s="300"/>
      <c r="CK884" s="300"/>
      <c r="CL884" s="449"/>
      <c r="CM884" s="445"/>
      <c r="DG884" s="445"/>
      <c r="DH884" s="300"/>
      <c r="DI884" s="301"/>
      <c r="DJ884" s="471" t="s">
        <v>157</v>
      </c>
      <c r="DK884" s="471" t="s">
        <v>158</v>
      </c>
      <c r="DL884" s="472" t="s">
        <v>159</v>
      </c>
      <c r="DM884" s="472"/>
      <c r="DN884" s="473" t="s">
        <v>160</v>
      </c>
      <c r="DO884" s="472" t="s">
        <v>135</v>
      </c>
      <c r="DP884" s="302"/>
      <c r="DQ884" s="302"/>
      <c r="DR884" s="364"/>
      <c r="DS884" s="302"/>
      <c r="DU884" s="424"/>
      <c r="DV884" s="424"/>
      <c r="DW884" s="424"/>
      <c r="DX884" s="424"/>
      <c r="DY884" s="424"/>
      <c r="DZ884" s="424"/>
      <c r="EA884" s="424"/>
      <c r="EB884" s="424"/>
      <c r="EC884" s="424"/>
      <c r="ED884" s="424"/>
      <c r="EE884" s="424"/>
      <c r="EF884" s="424"/>
      <c r="EG884" s="424"/>
      <c r="EH884" s="424"/>
      <c r="EI884" s="424"/>
      <c r="EJ884" s="424"/>
      <c r="EK884" s="424"/>
      <c r="EL884" s="424"/>
      <c r="EM884" s="424"/>
      <c r="EN884" s="424"/>
      <c r="EO884" s="424"/>
      <c r="EP884" s="424"/>
      <c r="EQ884" s="424"/>
      <c r="ER884" s="424"/>
      <c r="ES884" s="424"/>
      <c r="ET884" s="424"/>
      <c r="EU884" s="424"/>
      <c r="EV884" s="424"/>
      <c r="EW884" s="424"/>
      <c r="EX884" s="424"/>
      <c r="EY884" s="424"/>
      <c r="EZ884" s="424"/>
      <c r="FA884" s="424"/>
      <c r="FB884" s="424"/>
      <c r="FC884" s="424"/>
      <c r="FD884" s="425"/>
      <c r="FE884" s="333"/>
    </row>
    <row r="885" spans="86:161" x14ac:dyDescent="0.25">
      <c r="CH885" s="445"/>
      <c r="CI885" s="300"/>
      <c r="CJ885" s="300"/>
      <c r="CK885" s="300"/>
      <c r="CL885" s="449"/>
      <c r="CM885" s="445"/>
      <c r="DG885" s="445"/>
      <c r="DH885" s="300"/>
      <c r="DI885" s="395" t="str">
        <f ca="1">DI882</f>
        <v/>
      </c>
      <c r="DJ885" s="478" t="str">
        <f ca="1">IF(OR(DI885="",DP885="",DI885=DP885,COUNTIF(games.an,DI885&amp;DP885)=0),"",CONCATENATE(DI885,DP885))</f>
        <v/>
      </c>
      <c r="DK885" s="360" t="str">
        <f ca="1">IF($DJ885="","",CONCATENATE(VLOOKUP($DJ885,games.a,9,FALSE),VLOOKUP($DJ885,games.a,12,FALSE)))</f>
        <v/>
      </c>
      <c r="DL885" s="354" t="str">
        <f ca="1">IF($DJ885="","",VLOOKUP($DJ885,games.a,10,FALSE))</f>
        <v/>
      </c>
      <c r="DM885" s="354" t="str">
        <f ca="1">IF($DJ885="","",VLOOKUP($DJ885,games.a,13,FALSE))</f>
        <v/>
      </c>
      <c r="DN885" s="361" t="str">
        <f ca="1">IF($DJ885="","",VLOOKUP($DJ885,games.a,6,FALSE))</f>
        <v/>
      </c>
      <c r="DO885" s="362" t="str">
        <f ca="1">IF($DJ885="","",VLOOKUP($DJ885,games.a,7,FALSE))</f>
        <v/>
      </c>
      <c r="DP885" s="479" t="str">
        <f ca="1">DI883</f>
        <v/>
      </c>
      <c r="DQ885" s="302"/>
      <c r="DR885" s="364"/>
      <c r="DS885" s="302"/>
      <c r="DU885" s="424"/>
      <c r="DV885" s="424"/>
      <c r="DW885" s="424"/>
      <c r="DX885" s="424"/>
      <c r="DY885" s="424"/>
      <c r="DZ885" s="424"/>
      <c r="EA885" s="424"/>
      <c r="EB885" s="424"/>
      <c r="EC885" s="424"/>
      <c r="ED885" s="424"/>
      <c r="EE885" s="424"/>
      <c r="EF885" s="424"/>
      <c r="EG885" s="424"/>
      <c r="EH885" s="424"/>
      <c r="EI885" s="424"/>
      <c r="EJ885" s="424"/>
      <c r="EK885" s="424"/>
      <c r="EL885" s="424"/>
      <c r="EM885" s="424"/>
      <c r="EN885" s="424"/>
      <c r="EO885" s="424"/>
      <c r="EP885" s="424"/>
      <c r="EQ885" s="424"/>
      <c r="ER885" s="424"/>
      <c r="ES885" s="424"/>
      <c r="ET885" s="424"/>
      <c r="EU885" s="424"/>
      <c r="EV885" s="424"/>
      <c r="EW885" s="424"/>
      <c r="EX885" s="424"/>
      <c r="EY885" s="424"/>
      <c r="EZ885" s="424"/>
      <c r="FA885" s="424"/>
      <c r="FB885" s="424"/>
      <c r="FC885" s="424"/>
      <c r="FD885" s="425"/>
      <c r="FE885" s="333"/>
    </row>
    <row r="886" spans="86:161" x14ac:dyDescent="0.25">
      <c r="CH886" s="445"/>
      <c r="CI886" s="300"/>
      <c r="CJ886" s="300"/>
      <c r="CK886" s="300"/>
      <c r="CL886" s="447"/>
      <c r="CM886" s="445"/>
      <c r="DG886" s="445"/>
      <c r="DH886" s="300"/>
      <c r="DI886" s="395" t="str">
        <f ca="1">DI883</f>
        <v/>
      </c>
      <c r="DJ886" s="478" t="str">
        <f ca="1">IF(OR(DI886="",DP886="",DI886=DP886,COUNTIF(games.an,DI886&amp;DP886)=0),"",CONCATENATE(DI886,DP886))</f>
        <v/>
      </c>
      <c r="DK886" s="360" t="str">
        <f ca="1">IF($DJ886="","",CONCATENATE(VLOOKUP($DJ886,games.a,9,FALSE),VLOOKUP($DJ886,games.a,12,FALSE)))</f>
        <v/>
      </c>
      <c r="DL886" s="354" t="str">
        <f ca="1">IF($DJ886="","",VLOOKUP($DJ886,games.a,10,FALSE))</f>
        <v/>
      </c>
      <c r="DM886" s="354" t="str">
        <f ca="1">IF($DJ886="","",VLOOKUP($DJ886,games.a,13,FALSE))</f>
        <v/>
      </c>
      <c r="DN886" s="361" t="str">
        <f ca="1">IF($DJ886="","",VLOOKUP($DJ886,games.a,6,FALSE))</f>
        <v/>
      </c>
      <c r="DO886" s="362" t="str">
        <f ca="1">IF($DJ886="","",VLOOKUP($DJ886,games.a,7,FALSE))</f>
        <v/>
      </c>
      <c r="DP886" s="379" t="str">
        <f ca="1">DP885</f>
        <v/>
      </c>
      <c r="DQ886" s="302"/>
      <c r="DR886" s="364"/>
      <c r="DS886" s="302"/>
      <c r="DU886" s="424"/>
      <c r="DV886" s="424"/>
      <c r="DW886" s="424"/>
      <c r="DX886" s="424"/>
      <c r="DY886" s="424"/>
      <c r="DZ886" s="424"/>
      <c r="EA886" s="424"/>
      <c r="EB886" s="424"/>
      <c r="EC886" s="424"/>
      <c r="ED886" s="424"/>
      <c r="EE886" s="424"/>
      <c r="EF886" s="424"/>
      <c r="EG886" s="424"/>
      <c r="EH886" s="424"/>
      <c r="EI886" s="424"/>
      <c r="EJ886" s="424"/>
      <c r="EK886" s="424"/>
      <c r="EL886" s="424"/>
      <c r="EM886" s="424"/>
      <c r="EN886" s="424"/>
      <c r="EO886" s="424"/>
      <c r="EP886" s="424"/>
      <c r="EQ886" s="424"/>
      <c r="ER886" s="424"/>
      <c r="ES886" s="424"/>
      <c r="ET886" s="424"/>
      <c r="EU886" s="424"/>
      <c r="EV886" s="424"/>
      <c r="EW886" s="424"/>
      <c r="EX886" s="424"/>
      <c r="EY886" s="424"/>
      <c r="EZ886" s="424"/>
      <c r="FA886" s="424"/>
      <c r="FB886" s="424"/>
      <c r="FC886" s="424"/>
      <c r="FD886" s="425"/>
      <c r="FE886" s="333"/>
    </row>
    <row r="887" spans="86:161" x14ac:dyDescent="0.25">
      <c r="CH887" s="445"/>
      <c r="CI887" s="300"/>
      <c r="CJ887" s="300"/>
      <c r="CK887" s="300"/>
      <c r="CL887" s="447"/>
      <c r="CM887" s="445"/>
      <c r="DG887" s="445"/>
      <c r="DH887" s="300"/>
      <c r="DI887" s="301"/>
      <c r="DJ887" s="302"/>
      <c r="DK887" s="302"/>
      <c r="DL887" s="302"/>
      <c r="DM887" s="302"/>
      <c r="DN887" s="302"/>
      <c r="DO887" s="302"/>
      <c r="DP887" s="302"/>
      <c r="DQ887" s="302"/>
      <c r="DR887" s="446" t="s">
        <v>219</v>
      </c>
      <c r="DS887" s="302"/>
      <c r="DU887" s="424"/>
      <c r="DV887" s="424"/>
      <c r="DW887" s="424"/>
      <c r="DX887" s="424"/>
      <c r="DY887" s="424"/>
      <c r="DZ887" s="424"/>
      <c r="EA887" s="424"/>
      <c r="EB887" s="424"/>
      <c r="EC887" s="424"/>
      <c r="ED887" s="424"/>
      <c r="EE887" s="424"/>
      <c r="EF887" s="424"/>
      <c r="EG887" s="424"/>
      <c r="EH887" s="424"/>
      <c r="EI887" s="424"/>
      <c r="EJ887" s="424"/>
      <c r="EK887" s="424"/>
      <c r="EL887" s="424"/>
      <c r="EM887" s="424"/>
      <c r="EN887" s="424"/>
      <c r="EO887" s="424"/>
      <c r="EP887" s="424"/>
      <c r="EQ887" s="424"/>
      <c r="ER887" s="424"/>
      <c r="ES887" s="424"/>
      <c r="ET887" s="424"/>
      <c r="EU887" s="424"/>
      <c r="EV887" s="424"/>
      <c r="EW887" s="424"/>
      <c r="EX887" s="424"/>
      <c r="EY887" s="424"/>
      <c r="EZ887" s="424"/>
      <c r="FA887" s="424"/>
      <c r="FB887" s="424"/>
      <c r="FC887" s="424"/>
      <c r="FD887" s="425"/>
      <c r="FE887" s="333"/>
    </row>
    <row r="888" spans="86:161" x14ac:dyDescent="0.25">
      <c r="CH888" s="445"/>
      <c r="CI888" s="300"/>
      <c r="CJ888" s="300"/>
      <c r="CK888" s="300"/>
      <c r="CL888" s="449"/>
      <c r="CM888" s="445"/>
      <c r="DG888" s="445"/>
      <c r="DH888" s="300"/>
      <c r="DI888" s="301"/>
      <c r="DJ888" s="302"/>
      <c r="DK888" s="302"/>
      <c r="DL888" s="302"/>
      <c r="DM888" s="302"/>
      <c r="DN888" s="302"/>
      <c r="DO888" s="302"/>
      <c r="DP888" s="447"/>
      <c r="DQ888" s="302"/>
      <c r="DR888" s="450" t="s">
        <v>220</v>
      </c>
      <c r="DS888" s="302"/>
      <c r="DU888" s="424"/>
      <c r="DV888" s="424"/>
      <c r="DW888" s="424"/>
      <c r="DX888" s="424"/>
      <c r="DY888" s="424"/>
      <c r="DZ888" s="424"/>
      <c r="EA888" s="424"/>
      <c r="EB888" s="424"/>
      <c r="EC888" s="424"/>
      <c r="ED888" s="424"/>
      <c r="EE888" s="424"/>
      <c r="EF888" s="424"/>
      <c r="EG888" s="424"/>
      <c r="EH888" s="424"/>
      <c r="EI888" s="424"/>
      <c r="EJ888" s="424"/>
      <c r="EK888" s="424"/>
      <c r="EL888" s="424"/>
      <c r="EM888" s="424"/>
      <c r="EN888" s="424"/>
      <c r="EO888" s="424"/>
      <c r="EP888" s="424"/>
      <c r="EQ888" s="424"/>
      <c r="ER888" s="424"/>
      <c r="ES888" s="424"/>
      <c r="ET888" s="424"/>
      <c r="EU888" s="424"/>
      <c r="EV888" s="424"/>
      <c r="EW888" s="424"/>
      <c r="EX888" s="424"/>
      <c r="EY888" s="424"/>
      <c r="EZ888" s="424"/>
      <c r="FA888" s="424"/>
      <c r="FB888" s="424"/>
      <c r="FC888" s="424"/>
      <c r="FD888" s="425"/>
      <c r="FE888" s="333"/>
    </row>
    <row r="889" spans="86:161" x14ac:dyDescent="0.25">
      <c r="CH889" s="445"/>
      <c r="CI889" s="300"/>
      <c r="CJ889" s="300"/>
      <c r="CK889" s="300"/>
      <c r="CL889" s="449"/>
      <c r="CM889" s="445"/>
      <c r="DG889" s="445"/>
      <c r="DH889" s="300"/>
      <c r="DI889" s="323" t="b">
        <f ca="1">OR(NOT($AJ$44),COUNTIF(DN889:DN918,"")=25-(DP889-1)*DP889,COUNTIF(DN889:DN918,"")=25-(DP889-1)*DP889/2)</f>
        <v>1</v>
      </c>
      <c r="DJ889" s="471" t="s">
        <v>157</v>
      </c>
      <c r="DK889" s="471" t="s">
        <v>158</v>
      </c>
      <c r="DL889" s="472" t="s">
        <v>159</v>
      </c>
      <c r="DM889" s="472"/>
      <c r="DN889" s="473" t="s">
        <v>160</v>
      </c>
      <c r="DO889" s="472" t="s">
        <v>135</v>
      </c>
      <c r="DP889" s="323">
        <f>COUNT(CQ670:CQ674)</f>
        <v>0</v>
      </c>
      <c r="DQ889" s="302"/>
      <c r="DR889" s="364"/>
      <c r="DS889" s="302"/>
      <c r="DU889" s="424"/>
      <c r="DV889" s="329" t="s">
        <v>223</v>
      </c>
      <c r="DW889" s="329" t="s">
        <v>224</v>
      </c>
      <c r="DX889" s="329" t="s">
        <v>152</v>
      </c>
      <c r="DZ889" s="329" t="s">
        <v>154</v>
      </c>
      <c r="EA889" s="329" t="s">
        <v>155</v>
      </c>
      <c r="EC889" s="329" t="s">
        <v>226</v>
      </c>
      <c r="EE889" s="329" t="s">
        <v>227</v>
      </c>
      <c r="EI889" s="329" t="s">
        <v>228</v>
      </c>
      <c r="EJ889" s="329" t="s">
        <v>156</v>
      </c>
      <c r="EK889" s="329" t="s">
        <v>208</v>
      </c>
      <c r="EM889" s="329" t="s">
        <v>212</v>
      </c>
      <c r="EN889" s="330" t="s">
        <v>227</v>
      </c>
      <c r="EO889" s="329" t="s">
        <v>225</v>
      </c>
      <c r="EP889" s="328"/>
      <c r="EQ889" s="328"/>
      <c r="ER889" s="328"/>
      <c r="ES889" s="331" t="str">
        <f ca="1">IF(ER890=0,"xxx",VLOOKUP(ER890,EM890:EP894,IF($AJ$54,2,3),FALSE))</f>
        <v>xxx</v>
      </c>
      <c r="ET889" s="328"/>
      <c r="EU889" s="328"/>
      <c r="EV889" s="331" t="str">
        <f ca="1">IF(ER891=0,"xxx",VLOOKUP(ER891,EM890:EP894,IF($AJ$54,2,3),FALSE))</f>
        <v>xxx</v>
      </c>
      <c r="EW889" s="328"/>
      <c r="EX889" s="328"/>
      <c r="EY889" s="424"/>
      <c r="EZ889" s="424"/>
      <c r="FA889" s="424"/>
      <c r="FB889" s="424"/>
      <c r="FC889" s="458"/>
      <c r="FD889" s="425"/>
      <c r="FE889" s="333"/>
    </row>
    <row r="890" spans="86:161" x14ac:dyDescent="0.25">
      <c r="CH890" s="445"/>
      <c r="CI890" s="300"/>
      <c r="CJ890" s="300"/>
      <c r="CK890" s="300"/>
      <c r="CL890" s="449"/>
      <c r="CM890" s="445"/>
      <c r="DG890" s="445"/>
      <c r="DI890" s="477" t="str">
        <f>IF(CQ670="","",VLOOKUP(CQ670,xxx.an2,4,FALSE))</f>
        <v/>
      </c>
      <c r="DJ890" s="478" t="str">
        <f ca="1">IF(OR(DI890="",DP890="",DI890=DP890,COUNTIF(games.an,DI890&amp;DP890)=0),"",CONCATENATE(DI890,DP890))</f>
        <v/>
      </c>
      <c r="DK890" s="360" t="str">
        <f ca="1">IF($DJ890="","",CONCATENATE(VLOOKUP($DJ890,games.a,9,FALSE),VLOOKUP($DJ890,games.a,12,FALSE)))</f>
        <v/>
      </c>
      <c r="DL890" s="354" t="str">
        <f ca="1">IF($DJ890="","",VLOOKUP($DJ890,games.a,10,FALSE))</f>
        <v/>
      </c>
      <c r="DM890" s="354" t="str">
        <f ca="1">IF($DJ890="","",VLOOKUP($DJ890,games.a,13,FALSE))</f>
        <v/>
      </c>
      <c r="DN890" s="361" t="str">
        <f ca="1">IF($DJ890="","",VLOOKUP($DJ890,games.a,6,FALSE))</f>
        <v/>
      </c>
      <c r="DO890" s="362" t="str">
        <f ca="1">IF($DJ890="","",VLOOKUP($DJ890,games.a,7,FALSE))</f>
        <v/>
      </c>
      <c r="DP890" s="479" t="str">
        <f>DI890</f>
        <v/>
      </c>
      <c r="DQ890" s="302"/>
      <c r="DR890" s="364"/>
      <c r="DU890" s="424"/>
      <c r="DV890" s="366" t="str">
        <f ca="1">IF(AND($AJ$44,DI889,DP889&lt;&gt;2),DI890,"")</f>
        <v/>
      </c>
      <c r="DW890" s="366">
        <f ca="1">IF(DV890="",-1,COUNTIF(xxgy.an,DV890))</f>
        <v>-1</v>
      </c>
      <c r="DX890" s="366">
        <f ca="1">IF($DV890="",0,COUNTIF(yygy.an,$DV890))</f>
        <v>0</v>
      </c>
      <c r="DZ890" s="366">
        <f ca="1">IF($DV890="",0,1)*(SUMIF(yyo.an,$DV890,yyl.an)+SUMIF(yyi.an,$DV890,yyk.an))</f>
        <v>0</v>
      </c>
      <c r="EA890" s="366">
        <f ca="1">IF($DV890="",0,1)*(SUMIF(yyo.an,$DV890,yyk.an)+SUMIF(yyi.an,$DV890,yyl.an))</f>
        <v>0</v>
      </c>
      <c r="EC890" s="366">
        <f ca="1">IF(EA890=0,0,DZ890/EA890)</f>
        <v>0</v>
      </c>
      <c r="EE890" s="366">
        <f ca="1">DW890*1000000+DX890*1000+EC890</f>
        <v>-1000000</v>
      </c>
      <c r="EI890" s="366">
        <f ca="1">IF(OR(ISERR(EE890),ISNA(EE890),DW890&lt;0),0,EE890)</f>
        <v>0</v>
      </c>
      <c r="EJ890" s="366">
        <f ca="1">IF(EI890=0,0,RANK(EI890,EI890:EI894,1))</f>
        <v>0</v>
      </c>
      <c r="EK890" s="366">
        <f ca="1">EJ890*40000*IF(COUNTIF($FC$890:$FC$899,DV890)&gt;0,0,1)</f>
        <v>0</v>
      </c>
      <c r="EM890" s="367">
        <f ca="1">IF($AJ$54,COUNTIF(EE896:EE900,EN890)*IF(EN890=0,0,1),COUNTIF(DW890:DW894,EO890)*IF(EO890&lt;0,0,1))+EP890/1000</f>
        <v>1E-3</v>
      </c>
      <c r="EN890" s="368">
        <v>0</v>
      </c>
      <c r="EO890" s="369">
        <f ca="1">LARGE(DW890:DW894,EP890)</f>
        <v>-1</v>
      </c>
      <c r="EP890" s="369">
        <v>1</v>
      </c>
      <c r="EQ890" s="365"/>
      <c r="ER890" s="370">
        <f ca="1">IF(LARGE(EM890:EM894,EP890)&lt;1,0,LARGE(EM890:EM894,EP890))</f>
        <v>0</v>
      </c>
      <c r="ES890" s="371" t="str">
        <f ca="1">IF(DW890=ES889,DV890,IF(EE896=ES889,DV896,""))</f>
        <v/>
      </c>
      <c r="ET890" s="369" t="str">
        <f ca="1">IF(ES890="","",EP890)</f>
        <v/>
      </c>
      <c r="EU890" s="372" t="str">
        <f ca="1">IF(ISERR(LARGE(ET890:ET894,EP890)),"",LARGE(ET890:ET894,EP890))</f>
        <v/>
      </c>
      <c r="EV890" s="371" t="str">
        <f ca="1">IF(DW890=EV889,DV890,IF(EE896=EV889,DV896,""))</f>
        <v/>
      </c>
      <c r="EW890" s="369" t="str">
        <f ca="1">IF(EV890="","",EP890)</f>
        <v/>
      </c>
      <c r="EX890" s="372" t="str">
        <f ca="1">IF(ISERR(LARGE(EW890:EW894,EP890)),"",LARGE(EW890:EW894,EP890))</f>
        <v/>
      </c>
      <c r="EY890" s="424"/>
      <c r="EZ890" s="424"/>
      <c r="FA890" s="424"/>
      <c r="FB890" s="424"/>
      <c r="FC890" s="366"/>
      <c r="FD890" s="425"/>
      <c r="FE890" s="333"/>
    </row>
    <row r="891" spans="86:161" x14ac:dyDescent="0.25">
      <c r="CH891" s="445"/>
      <c r="CI891" s="300"/>
      <c r="CJ891" s="300"/>
      <c r="CK891" s="300"/>
      <c r="CL891" s="449"/>
      <c r="CM891" s="445"/>
      <c r="DG891" s="445"/>
      <c r="DH891" s="445"/>
      <c r="DI891" s="477" t="str">
        <f>IF(CQ671="","",VLOOKUP(CQ671,xxx.an2,4,FALSE))</f>
        <v/>
      </c>
      <c r="DJ891" s="478" t="str">
        <f ca="1">IF(OR(DI891="",DP891="",DI891=DP891,COUNTIF(games.an,DI891&amp;DP891)=0),"",CONCATENATE(DI891,DP891))</f>
        <v/>
      </c>
      <c r="DK891" s="360" t="str">
        <f ca="1">IF($DJ891="","",CONCATENATE(VLOOKUP($DJ891,games.a,9,FALSE),VLOOKUP($DJ891,games.a,12,FALSE)))</f>
        <v/>
      </c>
      <c r="DL891" s="354" t="str">
        <f ca="1">IF($DJ891="","",VLOOKUP($DJ891,games.a,10,FALSE))</f>
        <v/>
      </c>
      <c r="DM891" s="354" t="str">
        <f ca="1">IF($DJ891="","",VLOOKUP($DJ891,games.a,13,FALSE))</f>
        <v/>
      </c>
      <c r="DN891" s="361" t="str">
        <f ca="1">IF($DJ891="","",VLOOKUP($DJ891,games.a,6,FALSE))</f>
        <v/>
      </c>
      <c r="DO891" s="362" t="str">
        <f ca="1">IF($DJ891="","",VLOOKUP($DJ891,games.a,7,FALSE))</f>
        <v/>
      </c>
      <c r="DP891" s="379" t="str">
        <f>DP890</f>
        <v/>
      </c>
      <c r="DQ891" s="302"/>
      <c r="DR891" s="364"/>
      <c r="DS891" s="445"/>
      <c r="DU891" s="424"/>
      <c r="DV891" s="366" t="str">
        <f ca="1">IF(AND($AJ$44,DI889,DP889&lt;&gt;2),DI891,"")</f>
        <v/>
      </c>
      <c r="DW891" s="366">
        <f ca="1">IF(DV891="",-1,COUNTIF(xxgy.an,DV891))</f>
        <v>-1</v>
      </c>
      <c r="DX891" s="366">
        <f ca="1">IF($DV891="",0,COUNTIF(yygy.an,$DV891))</f>
        <v>0</v>
      </c>
      <c r="DZ891" s="366">
        <f ca="1">IF($DV891="",0,1)*(SUMIF(yyo.an,$DV891,yyl.an)+SUMIF(yyi.an,$DV891,yyk.an))</f>
        <v>0</v>
      </c>
      <c r="EA891" s="366">
        <f ca="1">IF($DV891="",0,1)*(SUMIF(yyo.an,$DV891,yyk.an)+SUMIF(yyi.an,$DV891,yyl.an))</f>
        <v>0</v>
      </c>
      <c r="EC891" s="366">
        <f ca="1">IF(EA891=0,0,DZ891/EA891)</f>
        <v>0</v>
      </c>
      <c r="EE891" s="366">
        <f ca="1">DW891*1000000+DX891*1000+EC891</f>
        <v>-1000000</v>
      </c>
      <c r="EI891" s="366">
        <f ca="1">IF(OR(ISERR(EE891),ISNA(EE891),DW891&lt;0),0,EE891)</f>
        <v>0</v>
      </c>
      <c r="EJ891" s="366">
        <f ca="1">IF(EI891=0,0,RANK(EI891,EI890:EI894,1))</f>
        <v>0</v>
      </c>
      <c r="EK891" s="366">
        <f t="shared" ref="EK891:EK900" ca="1" si="1183">EJ891*40000*IF(COUNTIF($FC$890:$FC$899,DV891)&gt;0,0,1)</f>
        <v>0</v>
      </c>
      <c r="EM891" s="367">
        <f ca="1">IF($AJ$54,COUNTIF(EE896:EE900,EN890)*IF(OR(EN891=0,EN891=EN890),0,1),COUNTIF(DW890:DW894,EO891)*IF(OR(EO891=EO890,EO891&lt;0),0,1))+EP891/1000</f>
        <v>2E-3</v>
      </c>
      <c r="EN891" s="368">
        <v>0</v>
      </c>
      <c r="EO891" s="369">
        <f ca="1">LARGE(DW890:DW894,EP891)</f>
        <v>-1</v>
      </c>
      <c r="EP891" s="369">
        <v>2</v>
      </c>
      <c r="EQ891" s="365"/>
      <c r="ER891" s="370">
        <f ca="1">IF(LARGE(EM890:EM894,EP891)&lt;1,0,LARGE(EM890:EM894,EP891))</f>
        <v>0</v>
      </c>
      <c r="ES891" s="371" t="str">
        <f ca="1">IF(DW891=ES889,DV891,IF(EE897=ES889,DV897,""))</f>
        <v/>
      </c>
      <c r="ET891" s="369" t="str">
        <f ca="1">IF(ES891="","",EP891)</f>
        <v/>
      </c>
      <c r="EU891" s="372" t="str">
        <f ca="1">IF(ISERR(LARGE(ET890:ET894,EP891)),"",LARGE(ET890:ET894,EP891))</f>
        <v/>
      </c>
      <c r="EV891" s="371" t="str">
        <f ca="1">IF(DW891=EV889,DV891,IF(EE897=EV889,DV897,""))</f>
        <v/>
      </c>
      <c r="EW891" s="369" t="str">
        <f ca="1">IF(EV891="","",EP891)</f>
        <v/>
      </c>
      <c r="EX891" s="388" t="str">
        <f ca="1">IF(ISERR(LARGE(EW756:EW762,EP891)),"",LARGE(EW756:EW762,EP891))</f>
        <v/>
      </c>
      <c r="EY891" s="424"/>
      <c r="EZ891" s="424"/>
      <c r="FA891" s="424"/>
      <c r="FB891" s="424"/>
      <c r="FC891" s="366"/>
      <c r="FD891" s="425"/>
      <c r="FE891" s="333"/>
    </row>
    <row r="892" spans="86:161" x14ac:dyDescent="0.25">
      <c r="CH892" s="445"/>
      <c r="CI892" s="300"/>
      <c r="CJ892" s="300"/>
      <c r="CK892" s="300"/>
      <c r="CL892" s="449"/>
      <c r="CM892" s="445"/>
      <c r="DG892" s="445"/>
      <c r="DH892" s="445"/>
      <c r="DI892" s="477" t="str">
        <f>IF(CQ672="","",VLOOKUP(CQ672,xxx.an2,4,FALSE))</f>
        <v/>
      </c>
      <c r="DJ892" s="478" t="str">
        <f ca="1">IF(OR(DI892="",DP892="",DI892=DP892,COUNTIF(games.an,DI892&amp;DP892)=0),"",CONCATENATE(DI892,DP892))</f>
        <v/>
      </c>
      <c r="DK892" s="360" t="str">
        <f ca="1">IF($DJ892="","",CONCATENATE(VLOOKUP($DJ892,games.a,9,FALSE),VLOOKUP($DJ892,games.a,12,FALSE)))</f>
        <v/>
      </c>
      <c r="DL892" s="354" t="str">
        <f ca="1">IF($DJ892="","",VLOOKUP($DJ892,games.a,10,FALSE))</f>
        <v/>
      </c>
      <c r="DM892" s="354" t="str">
        <f ca="1">IF($DJ892="","",VLOOKUP($DJ892,games.a,13,FALSE))</f>
        <v/>
      </c>
      <c r="DN892" s="361" t="str">
        <f ca="1">IF($DJ892="","",VLOOKUP($DJ892,games.a,6,FALSE))</f>
        <v/>
      </c>
      <c r="DO892" s="362" t="str">
        <f ca="1">IF($DJ892="","",VLOOKUP($DJ892,games.a,7,FALSE))</f>
        <v/>
      </c>
      <c r="DP892" s="379" t="str">
        <f>DP891</f>
        <v/>
      </c>
      <c r="DQ892" s="302"/>
      <c r="DR892" s="364"/>
      <c r="DS892" s="445"/>
      <c r="DU892" s="424"/>
      <c r="DV892" s="366" t="str">
        <f ca="1">IF(AND($AJ$44,DI889,DP889&lt;&gt;2),DI892,"")</f>
        <v/>
      </c>
      <c r="DW892" s="366">
        <f ca="1">IF(DV892="",-1,COUNTIF(xxgy.an,DV892))</f>
        <v>-1</v>
      </c>
      <c r="DX892" s="366">
        <f ca="1">IF($DV892="",0,COUNTIF(yygy.an,$DV892))</f>
        <v>0</v>
      </c>
      <c r="DZ892" s="366">
        <f ca="1">IF($DV892="",0,1)*(SUMIF(yyo.an,$DV892,yyl.an)+SUMIF(yyi.an,$DV892,yyk.an))</f>
        <v>0</v>
      </c>
      <c r="EA892" s="366">
        <f ca="1">IF($DV892="",0,1)*(SUMIF(yyo.an,$DV892,yyk.an)+SUMIF(yyi.an,$DV892,yyl.an))</f>
        <v>0</v>
      </c>
      <c r="EC892" s="366">
        <f ca="1">IF(EA892=0,0,DZ892/EA892)</f>
        <v>0</v>
      </c>
      <c r="EE892" s="366">
        <f ca="1">DW892*1000000+DX892*1000+EC892</f>
        <v>-1000000</v>
      </c>
      <c r="EI892" s="366">
        <f ca="1">IF(OR(ISERR(EE892),ISNA(EE892),DW892&lt;0),0,EE892)</f>
        <v>0</v>
      </c>
      <c r="EJ892" s="366">
        <f ca="1">IF(EI892=0,0,RANK(EI892,EI890:EI894,1))</f>
        <v>0</v>
      </c>
      <c r="EK892" s="366">
        <f t="shared" ca="1" si="1183"/>
        <v>0</v>
      </c>
      <c r="EL892" s="365"/>
      <c r="EM892" s="367">
        <f ca="1">IF($AJ$54,COUNTIF(EE896:EE900,EN891)*IF(OR(EN892=0,EN892=EN891),0,1),COUNTIF(DW890:DW894,EO892)*IF(OR(EO892=EO891,EO892&lt;0),0,1))+EP892/1000</f>
        <v>3.0000000000000001E-3</v>
      </c>
      <c r="EN892" s="368">
        <v>0</v>
      </c>
      <c r="EO892" s="369">
        <f ca="1">LARGE(DW890:DW894,EP892)</f>
        <v>-1</v>
      </c>
      <c r="EP892" s="369">
        <v>3</v>
      </c>
      <c r="EQ892" s="365"/>
      <c r="ER892" s="365"/>
      <c r="ES892" s="371" t="str">
        <f ca="1">IF(DW892=ES889,DV892,IF(EE898=ES889,DV898,""))</f>
        <v/>
      </c>
      <c r="ET892" s="369" t="str">
        <f ca="1">IF(ES892="","",EP892)</f>
        <v/>
      </c>
      <c r="EU892" s="388" t="str">
        <f ca="1">IF(ISERR(LARGE(ET890:ET894,EP892)),"",LARGE(ET890:ET894,EP892))</f>
        <v/>
      </c>
      <c r="EV892" s="371" t="str">
        <f ca="1">IF(DW892=EV889,DV892,IF(EE898=EV889,DV898,""))</f>
        <v/>
      </c>
      <c r="EW892" s="369" t="str">
        <f ca="1">IF(EV892="","",EP892)</f>
        <v/>
      </c>
      <c r="EX892" s="386"/>
      <c r="EY892" s="424"/>
      <c r="EZ892" s="424"/>
      <c r="FA892" s="424"/>
      <c r="FB892" s="424"/>
      <c r="FC892" s="366"/>
      <c r="FD892" s="425"/>
      <c r="FE892" s="333"/>
    </row>
    <row r="893" spans="86:161" x14ac:dyDescent="0.25">
      <c r="CH893" s="445"/>
      <c r="CI893" s="300"/>
      <c r="CJ893" s="300"/>
      <c r="CK893" s="300"/>
      <c r="CL893" s="449"/>
      <c r="CM893" s="445"/>
      <c r="DG893" s="445"/>
      <c r="DH893" s="445"/>
      <c r="DI893" s="477" t="str">
        <f>IF(CQ673="","",VLOOKUP(CQ673,xxx.an2,4,FALSE))</f>
        <v/>
      </c>
      <c r="DJ893" s="478" t="str">
        <f ca="1">IF(OR(DI893="",DP893="",DI893=DP893,COUNTIF(games.an,DI893&amp;DP893)=0),"",CONCATENATE(DI893,DP893))</f>
        <v/>
      </c>
      <c r="DK893" s="360" t="str">
        <f ca="1">IF($DJ893="","",CONCATENATE(VLOOKUP($DJ893,games.a,9,FALSE),VLOOKUP($DJ893,games.a,12,FALSE)))</f>
        <v/>
      </c>
      <c r="DL893" s="354" t="str">
        <f ca="1">IF($DJ893="","",VLOOKUP($DJ893,games.a,10,FALSE))</f>
        <v/>
      </c>
      <c r="DM893" s="354" t="str">
        <f ca="1">IF($DJ893="","",VLOOKUP($DJ893,games.a,13,FALSE))</f>
        <v/>
      </c>
      <c r="DN893" s="361" t="str">
        <f ca="1">IF($DJ893="","",VLOOKUP($DJ893,games.a,6,FALSE))</f>
        <v/>
      </c>
      <c r="DO893" s="362" t="str">
        <f ca="1">IF($DJ893="","",VLOOKUP($DJ893,games.a,7,FALSE))</f>
        <v/>
      </c>
      <c r="DP893" s="379" t="str">
        <f>DP892</f>
        <v/>
      </c>
      <c r="DQ893" s="302"/>
      <c r="DR893" s="364"/>
      <c r="DS893" s="445"/>
      <c r="DU893" s="424"/>
      <c r="DV893" s="366" t="str">
        <f ca="1">IF(AND($AJ$44,DI889,DP889&lt;&gt;2),DI893,"")</f>
        <v/>
      </c>
      <c r="DW893" s="366">
        <f ca="1">IF(DV893="",-1,COUNTIF(xxgy.an,DV893))</f>
        <v>-1</v>
      </c>
      <c r="DX893" s="366">
        <f ca="1">IF($DV893="",0,COUNTIF(yygy.an,$DV893))</f>
        <v>0</v>
      </c>
      <c r="DZ893" s="366">
        <f ca="1">IF($DV893="",0,1)*(SUMIF(yyo.an,$DV893,yyl.an)+SUMIF(yyi.an,$DV893,yyk.an))</f>
        <v>0</v>
      </c>
      <c r="EA893" s="366">
        <f ca="1">IF($DV893="",0,1)*(SUMIF(yyo.an,$DV893,yyk.an)+SUMIF(yyi.an,$DV893,yyl.an))</f>
        <v>0</v>
      </c>
      <c r="EC893" s="366">
        <f ca="1">IF(EA893=0,0,DZ893/EA893)</f>
        <v>0</v>
      </c>
      <c r="EE893" s="366">
        <f ca="1">DW893*1000000+DX893*1000+EC893</f>
        <v>-1000000</v>
      </c>
      <c r="EI893" s="366">
        <f ca="1">IF(OR(ISERR(EE893),ISNA(EE893),DW893&lt;0),0,EE893)</f>
        <v>0</v>
      </c>
      <c r="EJ893" s="366">
        <f ca="1">IF(EI893=0,0,RANK(EI893,EI890:EI894,1))</f>
        <v>0</v>
      </c>
      <c r="EK893" s="366">
        <f t="shared" ca="1" si="1183"/>
        <v>0</v>
      </c>
      <c r="EL893" s="365"/>
      <c r="EM893" s="367">
        <f ca="1">IF($AJ$54,COUNTIF(EE896:EE900,EN892)*IF(OR(EN893=0,EN893=EN892),0,1),COUNTIF(DW890:DW894,EO893)*IF(OR(EO893=EO892,EO893&lt;0),0,1))+EP893/1000</f>
        <v>4.0000000000000001E-3</v>
      </c>
      <c r="EN893" s="368">
        <v>0</v>
      </c>
      <c r="EO893" s="369">
        <f ca="1">LARGE(DW890:DW894,EP893)</f>
        <v>-1</v>
      </c>
      <c r="EP893" s="369">
        <v>4</v>
      </c>
      <c r="EQ893" s="365"/>
      <c r="ER893" s="365"/>
      <c r="ES893" s="371" t="str">
        <f ca="1">IF(DW893=ES889,DV893,IF(EE899=ES889,DV899,""))</f>
        <v/>
      </c>
      <c r="ET893" s="369" t="str">
        <f ca="1">IF(ES893="","",EP893)</f>
        <v/>
      </c>
      <c r="EU893" s="365"/>
      <c r="EV893" s="371" t="str">
        <f ca="1">IF(DW893=EV889,DV893,IF(EE899=EV889,DV899,""))</f>
        <v/>
      </c>
      <c r="EW893" s="369" t="str">
        <f ca="1">IF(EV893="","",EP893)</f>
        <v/>
      </c>
      <c r="EX893" s="386"/>
      <c r="EY893" s="424"/>
      <c r="EZ893" s="424"/>
      <c r="FA893" s="424"/>
      <c r="FB893" s="424"/>
      <c r="FC893" s="366"/>
      <c r="FD893" s="425"/>
      <c r="FE893" s="333"/>
    </row>
    <row r="894" spans="86:161" x14ac:dyDescent="0.25">
      <c r="CH894" s="445"/>
      <c r="CI894" s="300"/>
      <c r="CJ894" s="300"/>
      <c r="CK894" s="300"/>
      <c r="CL894" s="449"/>
      <c r="CM894" s="445"/>
      <c r="DG894" s="445"/>
      <c r="DH894" s="445"/>
      <c r="DI894" s="477" t="str">
        <f>IF(CQ674="","",VLOOKUP(CQ674,xxx.an2,4,FALSE))</f>
        <v/>
      </c>
      <c r="DJ894" s="478" t="str">
        <f ca="1">IF(OR(DI894="",DP894="",DI894=DP894,COUNTIF(games.an,DI894&amp;DP894)=0),"",CONCATENATE(DI894,DP894))</f>
        <v/>
      </c>
      <c r="DK894" s="360" t="str">
        <f ca="1">IF($DJ894="","",CONCATENATE(VLOOKUP($DJ894,games.a,9,FALSE),VLOOKUP($DJ894,games.a,12,FALSE)))</f>
        <v/>
      </c>
      <c r="DL894" s="354" t="str">
        <f ca="1">IF($DJ894="","",VLOOKUP($DJ894,games.a,10,FALSE))</f>
        <v/>
      </c>
      <c r="DM894" s="354" t="str">
        <f ca="1">IF($DJ894="","",VLOOKUP($DJ894,games.a,13,FALSE))</f>
        <v/>
      </c>
      <c r="DN894" s="361" t="str">
        <f ca="1">IF($DJ894="","",VLOOKUP($DJ894,games.a,6,FALSE))</f>
        <v/>
      </c>
      <c r="DO894" s="362" t="str">
        <f ca="1">IF($DJ894="","",VLOOKUP($DJ894,games.a,7,FALSE))</f>
        <v/>
      </c>
      <c r="DP894" s="379" t="str">
        <f>DP893</f>
        <v/>
      </c>
      <c r="DQ894" s="302"/>
      <c r="DR894" s="364"/>
      <c r="DS894" s="445"/>
      <c r="DU894" s="424"/>
      <c r="DV894" s="366" t="str">
        <f ca="1">IF(AND($AJ$44,DI889,DP889&lt;&gt;2),DI894,"")</f>
        <v/>
      </c>
      <c r="DW894" s="366">
        <f ca="1">IF(DV894="",-1,COUNTIF(xxgy.an,DV894))</f>
        <v>-1</v>
      </c>
      <c r="DX894" s="366">
        <f ca="1">IF($DV894="",0,COUNTIF(yygy.an,$DV894))</f>
        <v>0</v>
      </c>
      <c r="DZ894" s="366">
        <f ca="1">IF($DV894="",0,1)*(SUMIF(yyo.an,$DV894,yyl.an)+SUMIF(yyi.an,$DV894,yyk.an))</f>
        <v>0</v>
      </c>
      <c r="EA894" s="366">
        <f ca="1">IF($DV894="",0,1)*(SUMIF(yyo.an,$DV894,yyk.an)+SUMIF(yyi.an,$DV894,yyl.an))</f>
        <v>0</v>
      </c>
      <c r="EC894" s="366">
        <f ca="1">IF(EA894=0,0,DZ894/EA894)</f>
        <v>0</v>
      </c>
      <c r="EE894" s="366">
        <f ca="1">DW894*1000000+DX894*1000+EC894</f>
        <v>-1000000</v>
      </c>
      <c r="EI894" s="366">
        <f ca="1">IF(OR(ISERR(EE894),ISNA(EE894),DW894&lt;0),0,EE894)</f>
        <v>0</v>
      </c>
      <c r="EJ894" s="366">
        <f ca="1">IF(EI894=0,0,RANK(EI894,EI890:EI894,1))</f>
        <v>0</v>
      </c>
      <c r="EK894" s="366">
        <f t="shared" ca="1" si="1183"/>
        <v>0</v>
      </c>
      <c r="EL894" s="365"/>
      <c r="EM894" s="367">
        <f ca="1">IF($AJ$54,COUNTIF(EE896:EE900,EN893)*IF(OR(EN894=0,EN894=EN893),0,1),COUNTIF(DW890:DW894,EO894)*IF(OR(EO894=EO893,EO894&lt;0),0,1))+EP894/1000</f>
        <v>5.0000000000000001E-3</v>
      </c>
      <c r="EN894" s="368">
        <v>0</v>
      </c>
      <c r="EO894" s="369">
        <f ca="1">LARGE(DW890:DW894,EP894)</f>
        <v>-1</v>
      </c>
      <c r="EP894" s="369">
        <v>5</v>
      </c>
      <c r="EQ894" s="365"/>
      <c r="ER894" s="365"/>
      <c r="ES894" s="371" t="str">
        <f ca="1">IF(DW894=ES889,DV894,IF(EE900=ES889,DV900,""))</f>
        <v/>
      </c>
      <c r="ET894" s="369" t="str">
        <f ca="1">IF(ES894="","",EP894)</f>
        <v/>
      </c>
      <c r="EU894" s="451"/>
      <c r="EV894" s="371" t="str">
        <f ca="1">IF(DW894=EV889,DV894,IF(EE900=EV889,DV900,""))</f>
        <v/>
      </c>
      <c r="EW894" s="369" t="str">
        <f ca="1">IF(EV894="","",EP894)</f>
        <v/>
      </c>
      <c r="EX894" s="391"/>
      <c r="EY894" s="424"/>
      <c r="EZ894" s="424"/>
      <c r="FA894" s="424"/>
      <c r="FB894" s="424"/>
      <c r="FC894" s="366"/>
      <c r="FD894" s="425"/>
      <c r="FE894" s="333"/>
    </row>
    <row r="895" spans="86:161" x14ac:dyDescent="0.25">
      <c r="CH895" s="445"/>
      <c r="CI895" s="300"/>
      <c r="CJ895" s="300"/>
      <c r="CK895" s="300"/>
      <c r="CL895" s="449"/>
      <c r="CM895" s="445"/>
      <c r="DG895" s="445"/>
      <c r="DH895" s="445"/>
      <c r="DI895" s="301"/>
      <c r="DJ895" s="471" t="s">
        <v>157</v>
      </c>
      <c r="DK895" s="471" t="s">
        <v>158</v>
      </c>
      <c r="DL895" s="472" t="s">
        <v>159</v>
      </c>
      <c r="DM895" s="472"/>
      <c r="DN895" s="473" t="s">
        <v>160</v>
      </c>
      <c r="DO895" s="472" t="s">
        <v>135</v>
      </c>
      <c r="DP895" s="302"/>
      <c r="DQ895" s="302"/>
      <c r="DR895" s="364"/>
      <c r="DS895" s="445"/>
      <c r="DU895" s="424"/>
      <c r="DV895" s="329" t="s">
        <v>229</v>
      </c>
      <c r="DW895" s="365"/>
      <c r="DX895" s="329" t="s">
        <v>152</v>
      </c>
      <c r="DY895" s="329" t="s">
        <v>153</v>
      </c>
      <c r="DZ895" s="329" t="s">
        <v>154</v>
      </c>
      <c r="EA895" s="329" t="s">
        <v>155</v>
      </c>
      <c r="EB895" s="329" t="s">
        <v>125</v>
      </c>
      <c r="EC895" s="329" t="s">
        <v>226</v>
      </c>
      <c r="ED895" s="329" t="s">
        <v>126</v>
      </c>
      <c r="EE895" s="329" t="s">
        <v>227</v>
      </c>
      <c r="EF895" s="330" t="s">
        <v>154</v>
      </c>
      <c r="EG895" s="330" t="s">
        <v>155</v>
      </c>
      <c r="EH895" s="330" t="s">
        <v>125</v>
      </c>
      <c r="EI895" s="329" t="s">
        <v>228</v>
      </c>
      <c r="EJ895" s="329" t="s">
        <v>156</v>
      </c>
      <c r="EK895" s="329" t="s">
        <v>208</v>
      </c>
      <c r="EL895" s="365"/>
      <c r="EM895" s="365"/>
      <c r="EN895" s="365"/>
      <c r="EO895" s="365"/>
      <c r="EP895" s="365"/>
      <c r="EQ895" s="365"/>
      <c r="ER895" s="365"/>
      <c r="ES895" s="365"/>
      <c r="ET895" s="365"/>
      <c r="EU895" s="365"/>
      <c r="EV895" s="365"/>
      <c r="EW895" s="365"/>
      <c r="EX895" s="365"/>
      <c r="EY895" s="424"/>
      <c r="EZ895" s="424"/>
      <c r="FA895" s="424"/>
      <c r="FB895" s="424"/>
      <c r="FC895" s="366"/>
      <c r="FD895" s="425"/>
      <c r="FE895" s="333"/>
    </row>
    <row r="896" spans="86:161" x14ac:dyDescent="0.25">
      <c r="CH896" s="445"/>
      <c r="CI896" s="300"/>
      <c r="CJ896" s="300"/>
      <c r="CK896" s="300"/>
      <c r="CL896" s="449"/>
      <c r="CM896" s="445"/>
      <c r="DG896" s="445"/>
      <c r="DH896" s="445"/>
      <c r="DI896" s="395" t="str">
        <f>DI890</f>
        <v/>
      </c>
      <c r="DJ896" s="478" t="str">
        <f ca="1">IF(OR(DI896="",DP896="",DI896=DP896,COUNTIF(games.an,DI896&amp;DP896)=0),"",CONCATENATE(DI896,DP896))</f>
        <v/>
      </c>
      <c r="DK896" s="360" t="str">
        <f ca="1">IF($DJ896="","",CONCATENATE(VLOOKUP($DJ896,games.a,9,FALSE),VLOOKUP($DJ896,games.a,12,FALSE)))</f>
        <v/>
      </c>
      <c r="DL896" s="354" t="str">
        <f ca="1">IF($DJ896="","",VLOOKUP($DJ896,games.a,10,FALSE))</f>
        <v/>
      </c>
      <c r="DM896" s="354" t="str">
        <f ca="1">IF($DJ896="","",VLOOKUP($DJ896,games.a,13,FALSE))</f>
        <v/>
      </c>
      <c r="DN896" s="361" t="str">
        <f ca="1">IF($DJ896="","",VLOOKUP($DJ896,games.a,6,FALSE))</f>
        <v/>
      </c>
      <c r="DO896" s="362" t="str">
        <f ca="1">IF($DJ896="","",VLOOKUP($DJ896,games.a,7,FALSE))</f>
        <v/>
      </c>
      <c r="DP896" s="479" t="str">
        <f>DI891</f>
        <v/>
      </c>
      <c r="DQ896" s="302"/>
      <c r="DR896" s="364"/>
      <c r="DS896" s="445"/>
      <c r="DU896" s="424"/>
      <c r="DV896" s="366" t="str">
        <f ca="1">IF(OR(NOT($AJ$44),AND(DI889,DV890="")),DI890,"")</f>
        <v/>
      </c>
      <c r="DW896" s="365"/>
      <c r="DX896" s="366">
        <f ca="1">IF($DV896="",0,COUNTIF(xxgy.an,$DV896))</f>
        <v>0</v>
      </c>
      <c r="DY896" s="366">
        <f ca="1">IF($DV896="",0,COUNTIF(xxd.an,$DV896))</f>
        <v>0</v>
      </c>
      <c r="DZ896" s="366">
        <f ca="1">IF($DV896="",0,1)*(SUMIF(xxo.an,$DV896,xxl.an)+SUMIF(xxi.an,$DV896,xxk.an))</f>
        <v>0</v>
      </c>
      <c r="EA896" s="366">
        <f ca="1">IF($DV896="",0,1)*(SUMIF(xxo.an,$DV896,xxk.an)+SUMIF(xxi.an,$DV896,xxl.an))</f>
        <v>0</v>
      </c>
      <c r="EB896" s="366">
        <f ca="1">DZ896-EA896</f>
        <v>0</v>
      </c>
      <c r="EC896" s="366">
        <f ca="1">IF(EA896=0,0,DZ896/EA896)</f>
        <v>0</v>
      </c>
      <c r="ED896" s="366">
        <f ca="1">$AJ$48*DX896+IF($AJ$44,0,1)*DY896</f>
        <v>0</v>
      </c>
      <c r="EE896" s="396">
        <f ca="1">ED896*1000000+IF($AJ$44,EC896,EB896)*1000*0</f>
        <v>0</v>
      </c>
      <c r="EF896" s="366">
        <f ca="1">IF($DV896="",0,1)*(SUMIF(yyo.an,$DV896,yyl.an)+SUMIF(yyi.an,$DV896,yyk.an))</f>
        <v>0</v>
      </c>
      <c r="EG896" s="366">
        <f ca="1">IF($DV896="",0,1)*(SUMIF(yyo.an,$DV896,yyk.an)+SUMIF(yyi.an,$DV896,yyl.an))</f>
        <v>0</v>
      </c>
      <c r="EH896" s="366">
        <f ca="1">EF896-EG896</f>
        <v>0</v>
      </c>
      <c r="EI896" s="366">
        <f ca="1">IF(OR(ISERR(EE896),ISNA(EE896)),0,EE896)+IF($AJ$54,EH896,0)</f>
        <v>0</v>
      </c>
      <c r="EJ896" s="366">
        <f ca="1">IF(EI896=0,0,RANK(EI896,EI896:EI900,1))</f>
        <v>0</v>
      </c>
      <c r="EK896" s="366">
        <f t="shared" ca="1" si="1183"/>
        <v>0</v>
      </c>
      <c r="EL896" s="365"/>
      <c r="EM896" s="365"/>
      <c r="EN896" s="365"/>
      <c r="EO896" s="365"/>
      <c r="EP896" s="365"/>
      <c r="EQ896" s="365"/>
      <c r="ER896" s="365"/>
      <c r="ES896" s="365"/>
      <c r="ET896" s="365"/>
      <c r="EU896" s="365"/>
      <c r="EV896" s="365"/>
      <c r="EW896" s="365"/>
      <c r="EX896" s="365"/>
      <c r="EY896" s="365"/>
      <c r="EZ896" s="365"/>
      <c r="FA896" s="365"/>
      <c r="FB896" s="424"/>
      <c r="FC896" s="366"/>
      <c r="FD896" s="425"/>
      <c r="FE896" s="333"/>
    </row>
    <row r="897" spans="86:161" x14ac:dyDescent="0.25">
      <c r="CH897" s="445"/>
      <c r="CI897" s="300"/>
      <c r="CJ897" s="300"/>
      <c r="CK897" s="300"/>
      <c r="CL897" s="449"/>
      <c r="CM897" s="445"/>
      <c r="DG897" s="445"/>
      <c r="DH897" s="445"/>
      <c r="DI897" s="395" t="str">
        <f>DI891</f>
        <v/>
      </c>
      <c r="DJ897" s="478" t="str">
        <f ca="1">IF(OR(DI897="",DP897="",DI897=DP897,COUNTIF(games.an,DI897&amp;DP897)=0),"",CONCATENATE(DI897,DP897))</f>
        <v/>
      </c>
      <c r="DK897" s="360" t="str">
        <f ca="1">IF($DJ897="","",CONCATENATE(VLOOKUP($DJ897,games.a,9,FALSE),VLOOKUP($DJ897,games.a,12,FALSE)))</f>
        <v/>
      </c>
      <c r="DL897" s="354" t="str">
        <f ca="1">IF($DJ897="","",VLOOKUP($DJ897,games.a,10,FALSE))</f>
        <v/>
      </c>
      <c r="DM897" s="354" t="str">
        <f ca="1">IF($DJ897="","",VLOOKUP($DJ897,games.a,13,FALSE))</f>
        <v/>
      </c>
      <c r="DN897" s="361" t="str">
        <f ca="1">IF($DJ897="","",VLOOKUP($DJ897,games.a,6,FALSE))</f>
        <v/>
      </c>
      <c r="DO897" s="362" t="str">
        <f ca="1">IF($DJ897="","",VLOOKUP($DJ897,games.a,7,FALSE))</f>
        <v/>
      </c>
      <c r="DP897" s="379" t="str">
        <f>DP896</f>
        <v/>
      </c>
      <c r="DQ897" s="302"/>
      <c r="DR897" s="364"/>
      <c r="DS897" s="445"/>
      <c r="DU897" s="424"/>
      <c r="DV897" s="366" t="str">
        <f ca="1">IF(OR(NOT($AJ$44),AND(DI889,DV891="")),DI891,"")</f>
        <v/>
      </c>
      <c r="DW897" s="365"/>
      <c r="DX897" s="366">
        <f ca="1">IF($DV897="",0,COUNTIF(xxgy.an,$DV897))</f>
        <v>0</v>
      </c>
      <c r="DY897" s="366">
        <f ca="1">IF($DV897="",0,COUNTIF(xxd.an,$DV897))</f>
        <v>0</v>
      </c>
      <c r="DZ897" s="366">
        <f ca="1">IF($DV897="",0,1)*(SUMIF(xxo.an,$DV897,xxl.an)+SUMIF(xxi.an,$DV897,xxk.an))</f>
        <v>0</v>
      </c>
      <c r="EA897" s="366">
        <f ca="1">IF($DV897="",0,1)*(SUMIF(xxo.an,$DV897,xxk.an)+SUMIF(xxi.an,$DV897,xxl.an))</f>
        <v>0</v>
      </c>
      <c r="EB897" s="366">
        <f ca="1">DZ897-EA897</f>
        <v>0</v>
      </c>
      <c r="EC897" s="366">
        <f ca="1">IF(EA897=0,0,DZ897/EA897)</f>
        <v>0</v>
      </c>
      <c r="ED897" s="366">
        <f ca="1">$AJ$48*DX897+IF($AJ$44,0,1)*DY897</f>
        <v>0</v>
      </c>
      <c r="EE897" s="396">
        <f ca="1">ED897*1000000+IF($AJ$44,EC897,EB897)*1000*0</f>
        <v>0</v>
      </c>
      <c r="EF897" s="366">
        <f ca="1">IF($DV897="",0,1)*(SUMIF(yyo.an,$DV897,yyl.an)+SUMIF(yyi.an,$DV897,yyk.an))</f>
        <v>0</v>
      </c>
      <c r="EG897" s="366">
        <f ca="1">IF($DV897="",0,1)*(SUMIF(yyo.an,$DV897,yyk.an)+SUMIF(yyi.an,$DV897,yyl.an))</f>
        <v>0</v>
      </c>
      <c r="EH897" s="366">
        <f ca="1">EF897-EG897</f>
        <v>0</v>
      </c>
      <c r="EI897" s="366">
        <f ca="1">IF(OR(ISERR(EE897),ISNA(EE897)),0,EE897)+IF($AJ$54,EH897,0)</f>
        <v>0</v>
      </c>
      <c r="EJ897" s="366">
        <f ca="1">IF(EI897=0,0,RANK(EI897,EI896:EI900,1))</f>
        <v>0</v>
      </c>
      <c r="EK897" s="366">
        <f t="shared" ca="1" si="1183"/>
        <v>0</v>
      </c>
      <c r="EL897" s="365"/>
      <c r="EM897" s="365"/>
      <c r="EN897" s="365"/>
      <c r="EO897" s="365"/>
      <c r="EP897" s="365"/>
      <c r="EQ897" s="365"/>
      <c r="ER897" s="398"/>
      <c r="ES897" s="329" t="s">
        <v>157</v>
      </c>
      <c r="ET897" s="329" t="s">
        <v>158</v>
      </c>
      <c r="EU897" s="399"/>
      <c r="EV897" s="400"/>
      <c r="EW897" s="401" t="s">
        <v>160</v>
      </c>
      <c r="EX897" s="402" t="s">
        <v>135</v>
      </c>
      <c r="EY897" s="403">
        <f ca="1">COUNT(EU890:EU892)</f>
        <v>0</v>
      </c>
      <c r="EZ897" s="365"/>
      <c r="FA897" s="365"/>
      <c r="FB897" s="424"/>
      <c r="FC897" s="366"/>
      <c r="FD897" s="425"/>
      <c r="FE897" s="333"/>
    </row>
    <row r="898" spans="86:161" x14ac:dyDescent="0.25">
      <c r="CH898" s="445"/>
      <c r="CI898" s="300"/>
      <c r="CJ898" s="300"/>
      <c r="CK898" s="300"/>
      <c r="CL898" s="449"/>
      <c r="CM898" s="445"/>
      <c r="DG898" s="445"/>
      <c r="DH898" s="445"/>
      <c r="DI898" s="395" t="str">
        <f>DI892</f>
        <v/>
      </c>
      <c r="DJ898" s="478" t="str">
        <f ca="1">IF(OR(DI898="",DP898="",DI898=DP898,COUNTIF(games.an,DI898&amp;DP898)=0),"",CONCATENATE(DI898,DP898))</f>
        <v/>
      </c>
      <c r="DK898" s="360" t="str">
        <f ca="1">IF($DJ898="","",CONCATENATE(VLOOKUP($DJ898,games.a,9,FALSE),VLOOKUP($DJ898,games.a,12,FALSE)))</f>
        <v/>
      </c>
      <c r="DL898" s="354" t="str">
        <f ca="1">IF($DJ898="","",VLOOKUP($DJ898,games.a,10,FALSE))</f>
        <v/>
      </c>
      <c r="DM898" s="354" t="str">
        <f ca="1">IF($DJ898="","",VLOOKUP($DJ898,games.a,13,FALSE))</f>
        <v/>
      </c>
      <c r="DN898" s="361" t="str">
        <f ca="1">IF($DJ898="","",VLOOKUP($DJ898,games.a,6,FALSE))</f>
        <v/>
      </c>
      <c r="DO898" s="362" t="str">
        <f ca="1">IF($DJ898="","",VLOOKUP($DJ898,games.a,7,FALSE))</f>
        <v/>
      </c>
      <c r="DP898" s="379" t="str">
        <f>DP897</f>
        <v/>
      </c>
      <c r="DQ898" s="302"/>
      <c r="DR898" s="364"/>
      <c r="DS898" s="445"/>
      <c r="DU898" s="424"/>
      <c r="DV898" s="366" t="str">
        <f ca="1">IF(OR(NOT($AJ$44),AND(DI889,DV892="")),DI892,"")</f>
        <v/>
      </c>
      <c r="DW898" s="365"/>
      <c r="DX898" s="366">
        <f ca="1">IF($DV898="",0,COUNTIF(xxgy.an,$DV898))</f>
        <v>0</v>
      </c>
      <c r="DY898" s="366">
        <f ca="1">IF($DV898="",0,COUNTIF(xxd.an,$DV898))</f>
        <v>0</v>
      </c>
      <c r="DZ898" s="366">
        <f ca="1">IF($DV898="",0,1)*(SUMIF(xxo.an,$DV898,xxl.an)+SUMIF(xxi.an,$DV898,xxk.an))</f>
        <v>0</v>
      </c>
      <c r="EA898" s="366">
        <f ca="1">IF($DV898="",0,1)*(SUMIF(xxo.an,$DV898,xxk.an)+SUMIF(xxi.an,$DV898,xxl.an))</f>
        <v>0</v>
      </c>
      <c r="EB898" s="366">
        <f ca="1">DZ898-EA898</f>
        <v>0</v>
      </c>
      <c r="EC898" s="366">
        <f ca="1">IF(EA898=0,0,DZ898/EA898)</f>
        <v>0</v>
      </c>
      <c r="ED898" s="366">
        <f ca="1">$AJ$48*DX898+IF($AJ$44,0,1)*DY898</f>
        <v>0</v>
      </c>
      <c r="EE898" s="396">
        <f ca="1">ED898*1000000+IF($AJ$44,EC898,EB898)*1000*0</f>
        <v>0</v>
      </c>
      <c r="EF898" s="366">
        <f ca="1">IF($DV898="",0,1)*(SUMIF(yyo.an,$DV898,yyl.an)+SUMIF(yyi.an,$DV898,yyk.an))</f>
        <v>0</v>
      </c>
      <c r="EG898" s="366">
        <f ca="1">IF($DV898="",0,1)*(SUMIF(yyo.an,$DV898,yyk.an)+SUMIF(yyi.an,$DV898,yyl.an))</f>
        <v>0</v>
      </c>
      <c r="EH898" s="366">
        <f ca="1">EF898-EG898</f>
        <v>0</v>
      </c>
      <c r="EI898" s="366">
        <f ca="1">IF(OR(ISERR(EE898),ISNA(EE898)),0,EE898)+IF($AJ$54,EH898,0)</f>
        <v>0</v>
      </c>
      <c r="EJ898" s="366">
        <f ca="1">IF(EI898=0,0,RANK(EI898,EI896:EI900,1))</f>
        <v>0</v>
      </c>
      <c r="EK898" s="366">
        <f t="shared" ca="1" si="1183"/>
        <v>0</v>
      </c>
      <c r="EL898" s="365"/>
      <c r="EM898" s="365"/>
      <c r="EN898" s="365"/>
      <c r="EO898" s="365"/>
      <c r="EP898" s="365"/>
      <c r="EQ898" s="365"/>
      <c r="ER898" s="404" t="str">
        <f ca="1">IF(EU890="","",VLOOKUP(EU890,yyy.an2,4,FALSE))</f>
        <v/>
      </c>
      <c r="ES898" s="371" t="str">
        <f ca="1">IF(OR(ER898="",EY898="",ER898=EY898),"",CONCATENATE(ER898,EY898))</f>
        <v/>
      </c>
      <c r="ET898" s="422" t="str">
        <f ca="1">IF(OR(ES898="",EY897&gt;2),"",CONCATENATE(VLOOKUP(ES898,games.a,9,FALSE),VLOOKUP(ES898,games.a,12,FALSE)))</f>
        <v/>
      </c>
      <c r="EU898" s="406"/>
      <c r="EV898" s="407"/>
      <c r="EW898" s="423" t="str">
        <f ca="1">IF(ES898="","",VLOOKUP(ES898,games.a,6,FALSE))</f>
        <v/>
      </c>
      <c r="EX898" s="409" t="str">
        <f ca="1">IF(ES898="","",VLOOKUP(ES898,games.a,7,FALSE))</f>
        <v/>
      </c>
      <c r="EY898" s="410" t="str">
        <f ca="1">ER898</f>
        <v/>
      </c>
      <c r="EZ898" s="411"/>
      <c r="FA898" s="412"/>
      <c r="FB898" s="424"/>
      <c r="FC898" s="366"/>
      <c r="FD898" s="425"/>
      <c r="FE898" s="333"/>
    </row>
    <row r="899" spans="86:161" x14ac:dyDescent="0.25">
      <c r="CH899" s="445"/>
      <c r="CI899" s="300"/>
      <c r="CJ899" s="300"/>
      <c r="CK899" s="300"/>
      <c r="CL899" s="449"/>
      <c r="CM899" s="445"/>
      <c r="DG899" s="445"/>
      <c r="DH899" s="445"/>
      <c r="DI899" s="395" t="str">
        <f>DI893</f>
        <v/>
      </c>
      <c r="DJ899" s="478" t="str">
        <f ca="1">IF(OR(DI899="",DP899="",DI899=DP899,COUNTIF(games.an,DI899&amp;DP899)=0),"",CONCATENATE(DI899,DP899))</f>
        <v/>
      </c>
      <c r="DK899" s="360" t="str">
        <f ca="1">IF($DJ899="","",CONCATENATE(VLOOKUP($DJ899,games.a,9,FALSE),VLOOKUP($DJ899,games.a,12,FALSE)))</f>
        <v/>
      </c>
      <c r="DL899" s="354" t="str">
        <f ca="1">IF($DJ899="","",VLOOKUP($DJ899,games.a,10,FALSE))</f>
        <v/>
      </c>
      <c r="DM899" s="354" t="str">
        <f ca="1">IF($DJ899="","",VLOOKUP($DJ899,games.a,13,FALSE))</f>
        <v/>
      </c>
      <c r="DN899" s="361" t="str">
        <f ca="1">IF($DJ899="","",VLOOKUP($DJ899,games.a,6,FALSE))</f>
        <v/>
      </c>
      <c r="DO899" s="362" t="str">
        <f ca="1">IF($DJ899="","",VLOOKUP($DJ899,games.a,7,FALSE))</f>
        <v/>
      </c>
      <c r="DP899" s="379" t="str">
        <f>DP898</f>
        <v/>
      </c>
      <c r="DQ899" s="302"/>
      <c r="DR899" s="364"/>
      <c r="DS899" s="445"/>
      <c r="DU899" s="424"/>
      <c r="DV899" s="366" t="str">
        <f ca="1">IF(OR(NOT($AJ$44),AND(DI889,DV893="")),DI893,"")</f>
        <v/>
      </c>
      <c r="DW899" s="365"/>
      <c r="DX899" s="366">
        <f ca="1">IF($DV899="",0,COUNTIF(xxgy.an,$DV899))</f>
        <v>0</v>
      </c>
      <c r="DY899" s="366">
        <f ca="1">IF($DV899="",0,COUNTIF(xxd.an,$DV899))</f>
        <v>0</v>
      </c>
      <c r="DZ899" s="366">
        <f ca="1">IF($DV899="",0,1)*(SUMIF(xxo.an,$DV899,xxl.an)+SUMIF(xxi.an,$DV899,xxk.an))</f>
        <v>0</v>
      </c>
      <c r="EA899" s="366">
        <f ca="1">IF($DV899="",0,1)*(SUMIF(xxo.an,$DV899,xxk.an)+SUMIF(xxi.an,$DV899,xxl.an))</f>
        <v>0</v>
      </c>
      <c r="EB899" s="366">
        <f ca="1">DZ899-EA899</f>
        <v>0</v>
      </c>
      <c r="EC899" s="366">
        <f ca="1">IF(EA899=0,0,DZ899/EA899)</f>
        <v>0</v>
      </c>
      <c r="ED899" s="366">
        <f ca="1">$AJ$48*DX899+IF($AJ$44,0,1)*DY899</f>
        <v>0</v>
      </c>
      <c r="EE899" s="396">
        <f ca="1">ED899*1000000+IF($AJ$44,EC899,EB899)*1000*0</f>
        <v>0</v>
      </c>
      <c r="EF899" s="366">
        <f ca="1">IF($DV899="",0,1)*(SUMIF(yyo.an,$DV899,yyl.an)+SUMIF(yyi.an,$DV899,yyk.an))</f>
        <v>0</v>
      </c>
      <c r="EG899" s="366">
        <f ca="1">IF($DV899="",0,1)*(SUMIF(yyo.an,$DV899,yyk.an)+SUMIF(yyi.an,$DV899,yyl.an))</f>
        <v>0</v>
      </c>
      <c r="EH899" s="366">
        <f ca="1">EF899-EG899</f>
        <v>0</v>
      </c>
      <c r="EI899" s="366">
        <f ca="1">IF(OR(ISERR(EE899),ISNA(EE899)),0,EE899)+IF($AJ$54,EH899,0)</f>
        <v>0</v>
      </c>
      <c r="EJ899" s="366">
        <f ca="1">IF(EI899=0,0,RANK(EI899,EI896:EI900,1))</f>
        <v>0</v>
      </c>
      <c r="EK899" s="366">
        <f t="shared" ca="1" si="1183"/>
        <v>0</v>
      </c>
      <c r="EL899" s="365"/>
      <c r="EM899" s="365"/>
      <c r="EN899" s="365"/>
      <c r="EO899" s="365"/>
      <c r="EP899" s="365"/>
      <c r="EQ899" s="365"/>
      <c r="ER899" s="404" t="str">
        <f ca="1">IF(EU891="","",VLOOKUP(EU891,yyy.an2,4,FALSE))</f>
        <v/>
      </c>
      <c r="ES899" s="371" t="str">
        <f ca="1">IF(OR(ER899="",EY899="",ER899=EY899),"",CONCATENATE(ER899,EY899))</f>
        <v/>
      </c>
      <c r="ET899" s="422" t="str">
        <f ca="1">IF(OR(ES899="",EY897&gt;2),"",CONCATENATE(VLOOKUP(ES899,games.a,9,FALSE),VLOOKUP(ES899,games.a,12,FALSE)))</f>
        <v/>
      </c>
      <c r="EU899" s="413"/>
      <c r="EV899" s="414"/>
      <c r="EW899" s="423" t="str">
        <f ca="1">IF(ES899="","",VLOOKUP(ES899,games.a,6,FALSE))</f>
        <v/>
      </c>
      <c r="EX899" s="409" t="str">
        <f ca="1">IF(ES899="","",VLOOKUP(ES899,games.a,7,FALSE))</f>
        <v/>
      </c>
      <c r="EY899" s="415" t="str">
        <f ca="1">EY898</f>
        <v/>
      </c>
      <c r="EZ899" s="416"/>
      <c r="FA899" s="417"/>
      <c r="FB899" s="424"/>
      <c r="FC899" s="366"/>
      <c r="FD899" s="425"/>
      <c r="FE899" s="333"/>
    </row>
    <row r="900" spans="86:161" x14ac:dyDescent="0.25">
      <c r="CH900" s="445"/>
      <c r="CI900" s="300"/>
      <c r="CJ900" s="300"/>
      <c r="CK900" s="300"/>
      <c r="CL900" s="449"/>
      <c r="CM900" s="445"/>
      <c r="DG900" s="445"/>
      <c r="DH900" s="445"/>
      <c r="DI900" s="395" t="str">
        <f>DI894</f>
        <v/>
      </c>
      <c r="DJ900" s="478" t="str">
        <f ca="1">IF(OR(DI900="",DP900="",DI900=DP900,COUNTIF(games.an,DI900&amp;DP900)=0),"",CONCATENATE(DI900,DP900))</f>
        <v/>
      </c>
      <c r="DK900" s="360" t="str">
        <f ca="1">IF($DJ900="","",CONCATENATE(VLOOKUP($DJ900,games.a,9,FALSE),VLOOKUP($DJ900,games.a,12,FALSE)))</f>
        <v/>
      </c>
      <c r="DL900" s="354" t="str">
        <f ca="1">IF($DJ900="","",VLOOKUP($DJ900,games.a,10,FALSE))</f>
        <v/>
      </c>
      <c r="DM900" s="354" t="str">
        <f ca="1">IF($DJ900="","",VLOOKUP($DJ900,games.a,13,FALSE))</f>
        <v/>
      </c>
      <c r="DN900" s="361" t="str">
        <f ca="1">IF($DJ900="","",VLOOKUP($DJ900,games.a,6,FALSE))</f>
        <v/>
      </c>
      <c r="DO900" s="362" t="str">
        <f ca="1">IF($DJ900="","",VLOOKUP($DJ900,games.a,7,FALSE))</f>
        <v/>
      </c>
      <c r="DP900" s="379" t="str">
        <f>DP899</f>
        <v/>
      </c>
      <c r="DQ900" s="302"/>
      <c r="DR900" s="364"/>
      <c r="DS900" s="445"/>
      <c r="DU900" s="424"/>
      <c r="DV900" s="366" t="str">
        <f ca="1">IF(OR(NOT($AJ$44),AND(DI889,DV894="")),DI894,"")</f>
        <v/>
      </c>
      <c r="DW900" s="365"/>
      <c r="DX900" s="366">
        <f ca="1">IF($DV900="",0,COUNTIF(xxgy.an,$DV900))</f>
        <v>0</v>
      </c>
      <c r="DY900" s="366">
        <f ca="1">IF($DV900="",0,COUNTIF(xxd.an,$DV900))</f>
        <v>0</v>
      </c>
      <c r="DZ900" s="366">
        <f ca="1">IF($DV900="",0,1)*(SUMIF(xxo.an,$DV900,xxl.an)+SUMIF(xxi.an,$DV900,xxk.an))</f>
        <v>0</v>
      </c>
      <c r="EA900" s="366">
        <f ca="1">IF($DV900="",0,1)*(SUMIF(xxo.an,$DV900,xxk.an)+SUMIF(xxi.an,$DV900,xxl.an))</f>
        <v>0</v>
      </c>
      <c r="EB900" s="366">
        <f ca="1">DZ900-EA900</f>
        <v>0</v>
      </c>
      <c r="EC900" s="366">
        <f ca="1">IF(EA900=0,0,DZ900/EA900)</f>
        <v>0</v>
      </c>
      <c r="ED900" s="366">
        <f ca="1">$AJ$48*DX900+IF($AJ$44,0,1)*DY900</f>
        <v>0</v>
      </c>
      <c r="EE900" s="396">
        <f ca="1">ED900*1000000+IF($AJ$44,EC900,EB900)*1000*0</f>
        <v>0</v>
      </c>
      <c r="EF900" s="366">
        <f ca="1">IF($DV900="",0,1)*(SUMIF(yyo.an,$DV900,yyl.an)+SUMIF(yyi.an,$DV900,yyk.an))</f>
        <v>0</v>
      </c>
      <c r="EG900" s="366">
        <f ca="1">IF($DV900="",0,1)*(SUMIF(yyo.an,$DV900,yyk.an)+SUMIF(yyi.an,$DV900,yyl.an))</f>
        <v>0</v>
      </c>
      <c r="EH900" s="366">
        <f ca="1">EF900-EG900</f>
        <v>0</v>
      </c>
      <c r="EI900" s="366">
        <f ca="1">IF(OR(ISERR(EE900),ISNA(EE900)),0,EE900)+IF($AJ$54,EH900,0)</f>
        <v>0</v>
      </c>
      <c r="EJ900" s="366">
        <f ca="1">IF(EI900=0,0,RANK(EI900,EI896:EI900,1))</f>
        <v>0</v>
      </c>
      <c r="EK900" s="366">
        <f t="shared" ca="1" si="1183"/>
        <v>0</v>
      </c>
      <c r="EL900" s="365"/>
      <c r="EM900" s="365"/>
      <c r="EN900" s="365"/>
      <c r="EO900" s="365"/>
      <c r="EP900" s="365"/>
      <c r="EQ900" s="365"/>
      <c r="ER900" s="404" t="str">
        <f ca="1">IF(EU892="","",VLOOKUP(EU892,yyy.an2,4,FALSE))</f>
        <v/>
      </c>
      <c r="ES900" s="371" t="str">
        <f ca="1">IF(OR(ER900="",EY900="",ER900=EY900),"",CONCATENATE(ER900,EY900))</f>
        <v/>
      </c>
      <c r="ET900" s="422" t="str">
        <f ca="1">IF(OR(ES900="",EY897&gt;2),"",CONCATENATE(VLOOKUP(ES900,games.a,9,FALSE),VLOOKUP(ES900,games.a,12,FALSE)))</f>
        <v/>
      </c>
      <c r="EU900" s="413"/>
      <c r="EV900" s="414"/>
      <c r="EW900" s="423" t="str">
        <f ca="1">IF(ES900="","",VLOOKUP(ES900,games.a,6,FALSE))</f>
        <v/>
      </c>
      <c r="EX900" s="409" t="str">
        <f ca="1">IF(ES900="","",VLOOKUP(ES900,games.a,7,FALSE))</f>
        <v/>
      </c>
      <c r="EY900" s="415" t="str">
        <f ca="1">EY899</f>
        <v/>
      </c>
      <c r="EZ900" s="416"/>
      <c r="FA900" s="417"/>
      <c r="FB900" s="424"/>
      <c r="FC900" s="424"/>
      <c r="FD900" s="425"/>
      <c r="FE900" s="333"/>
    </row>
    <row r="901" spans="86:161" x14ac:dyDescent="0.25">
      <c r="CH901" s="445"/>
      <c r="CI901" s="300"/>
      <c r="CJ901" s="300"/>
      <c r="CK901" s="300"/>
      <c r="CL901" s="449"/>
      <c r="CM901" s="445"/>
      <c r="DG901" s="445"/>
      <c r="DH901" s="445"/>
      <c r="DI901" s="301"/>
      <c r="DJ901" s="471" t="s">
        <v>157</v>
      </c>
      <c r="DK901" s="471" t="s">
        <v>158</v>
      </c>
      <c r="DL901" s="472" t="s">
        <v>159</v>
      </c>
      <c r="DM901" s="472"/>
      <c r="DN901" s="473" t="s">
        <v>160</v>
      </c>
      <c r="DO901" s="472" t="s">
        <v>135</v>
      </c>
      <c r="DP901" s="302"/>
      <c r="DQ901" s="302"/>
      <c r="DR901" s="364"/>
      <c r="DS901" s="445"/>
      <c r="DU901" s="424"/>
      <c r="EL901" s="365"/>
      <c r="EO901" s="365"/>
      <c r="EP901" s="365"/>
      <c r="EQ901" s="365"/>
      <c r="ER901" s="398"/>
      <c r="ES901" s="329" t="s">
        <v>157</v>
      </c>
      <c r="ET901" s="329" t="s">
        <v>158</v>
      </c>
      <c r="EU901" s="399"/>
      <c r="EV901" s="400"/>
      <c r="EW901" s="401" t="s">
        <v>160</v>
      </c>
      <c r="EX901" s="402" t="s">
        <v>135</v>
      </c>
      <c r="EY901" s="398"/>
      <c r="EZ901" s="365"/>
      <c r="FA901" s="365"/>
      <c r="FB901" s="424"/>
      <c r="FC901" s="424"/>
      <c r="FD901" s="425"/>
      <c r="FE901" s="333"/>
    </row>
    <row r="902" spans="86:161" x14ac:dyDescent="0.25">
      <c r="CH902" s="445"/>
      <c r="CI902" s="300"/>
      <c r="CJ902" s="300"/>
      <c r="CK902" s="300"/>
      <c r="CL902" s="449"/>
      <c r="CM902" s="445"/>
      <c r="DG902" s="445"/>
      <c r="DH902" s="445"/>
      <c r="DI902" s="395" t="str">
        <f>DI896</f>
        <v/>
      </c>
      <c r="DJ902" s="478" t="str">
        <f ca="1">IF(OR(DI902="",DP902="",DI902=DP902,COUNTIF(games.an,DI902&amp;DP902)=0),"",CONCATENATE(DI902,DP902))</f>
        <v/>
      </c>
      <c r="DK902" s="360" t="str">
        <f ca="1">IF($DJ902="","",CONCATENATE(VLOOKUP($DJ902,games.a,9,FALSE),VLOOKUP($DJ902,games.a,12,FALSE)))</f>
        <v/>
      </c>
      <c r="DL902" s="354" t="str">
        <f ca="1">IF($DJ902="","",VLOOKUP($DJ902,games.a,10,FALSE))</f>
        <v/>
      </c>
      <c r="DM902" s="354" t="str">
        <f ca="1">IF($DJ902="","",VLOOKUP($DJ902,games.a,13,FALSE))</f>
        <v/>
      </c>
      <c r="DN902" s="361" t="str">
        <f ca="1">IF($DJ902="","",VLOOKUP($DJ902,games.a,6,FALSE))</f>
        <v/>
      </c>
      <c r="DO902" s="362" t="str">
        <f ca="1">IF($DJ902="","",VLOOKUP($DJ902,games.a,7,FALSE))</f>
        <v/>
      </c>
      <c r="DP902" s="479" t="str">
        <f>DI892</f>
        <v/>
      </c>
      <c r="DQ902" s="302"/>
      <c r="DR902" s="364"/>
      <c r="DS902" s="445"/>
      <c r="DU902" s="424"/>
      <c r="EL902" s="365"/>
      <c r="EO902" s="365"/>
      <c r="EP902" s="365"/>
      <c r="EQ902" s="365"/>
      <c r="ER902" s="404" t="str">
        <f ca="1">ER898</f>
        <v/>
      </c>
      <c r="ES902" s="371" t="str">
        <f ca="1">IF(OR(ER902="",EY902="",ER902=EY902),"",CONCATENATE(ER902,EY902))</f>
        <v/>
      </c>
      <c r="ET902" s="422" t="str">
        <f ca="1">IF(OR(ES902="",EY897&gt;2),"",CONCATENATE(VLOOKUP(ES902,games.a,9,FALSE),VLOOKUP(ES902,games.a,12,FALSE)))</f>
        <v/>
      </c>
      <c r="EU902" s="406"/>
      <c r="EV902" s="407"/>
      <c r="EW902" s="423" t="str">
        <f ca="1">IF(ES902="","",VLOOKUP(ES902,games.a,6,FALSE))</f>
        <v/>
      </c>
      <c r="EX902" s="409" t="str">
        <f ca="1">IF(ES902="","",VLOOKUP(ES902,games.a,7,FALSE))</f>
        <v/>
      </c>
      <c r="EY902" s="410" t="str">
        <f ca="1">ER899</f>
        <v/>
      </c>
      <c r="EZ902" s="411"/>
      <c r="FA902" s="412"/>
      <c r="FB902" s="424"/>
      <c r="FC902" s="424"/>
      <c r="FD902" s="425"/>
      <c r="FE902" s="333"/>
    </row>
    <row r="903" spans="86:161" x14ac:dyDescent="0.25">
      <c r="CH903" s="445"/>
      <c r="CI903" s="300"/>
      <c r="CJ903" s="300"/>
      <c r="CK903" s="300"/>
      <c r="CL903" s="449"/>
      <c r="CM903" s="445"/>
      <c r="DG903" s="445"/>
      <c r="DH903" s="445"/>
      <c r="DI903" s="395" t="str">
        <f>DI897</f>
        <v/>
      </c>
      <c r="DJ903" s="478" t="str">
        <f ca="1">IF(OR(DI903="",DP903="",DI903=DP903,COUNTIF(games.an,DI903&amp;DP903)=0),"",CONCATENATE(DI903,DP903))</f>
        <v/>
      </c>
      <c r="DK903" s="360" t="str">
        <f ca="1">IF($DJ903="","",CONCATENATE(VLOOKUP($DJ903,games.a,9,FALSE),VLOOKUP($DJ903,games.a,12,FALSE)))</f>
        <v/>
      </c>
      <c r="DL903" s="354" t="str">
        <f ca="1">IF($DJ903="","",VLOOKUP($DJ903,games.a,10,FALSE))</f>
        <v/>
      </c>
      <c r="DM903" s="354" t="str">
        <f ca="1">IF($DJ903="","",VLOOKUP($DJ903,games.a,13,FALSE))</f>
        <v/>
      </c>
      <c r="DN903" s="361" t="str">
        <f ca="1">IF($DJ903="","",VLOOKUP($DJ903,games.a,6,FALSE))</f>
        <v/>
      </c>
      <c r="DO903" s="362" t="str">
        <f ca="1">IF($DJ903="","",VLOOKUP($DJ903,games.a,7,FALSE))</f>
        <v/>
      </c>
      <c r="DP903" s="379" t="str">
        <f>DP902</f>
        <v/>
      </c>
      <c r="DQ903" s="302"/>
      <c r="DR903" s="364"/>
      <c r="DS903" s="445"/>
      <c r="DU903" s="424"/>
      <c r="EL903" s="365"/>
      <c r="EO903" s="365"/>
      <c r="EP903" s="365"/>
      <c r="EQ903" s="365"/>
      <c r="ER903" s="404" t="str">
        <f ca="1">ER899</f>
        <v/>
      </c>
      <c r="ES903" s="371" t="str">
        <f ca="1">IF(OR(ER903="",EY903="",ER903=EY903),"",CONCATENATE(ER903,EY903))</f>
        <v/>
      </c>
      <c r="ET903" s="422" t="str">
        <f ca="1">IF(OR(ES903="",EY897&gt;2),"",CONCATENATE(VLOOKUP(ES903,games.a,9,FALSE),VLOOKUP(ES903,games.a,12,FALSE)))</f>
        <v/>
      </c>
      <c r="EU903" s="413"/>
      <c r="EV903" s="414"/>
      <c r="EW903" s="423" t="str">
        <f ca="1">IF(ES903="","",VLOOKUP(ES903,games.a,6,FALSE))</f>
        <v/>
      </c>
      <c r="EX903" s="409" t="str">
        <f ca="1">IF(ES903="","",VLOOKUP(ES903,games.a,7,FALSE))</f>
        <v/>
      </c>
      <c r="EY903" s="415" t="str">
        <f ca="1">EY902</f>
        <v/>
      </c>
      <c r="EZ903" s="416"/>
      <c r="FA903" s="417"/>
      <c r="FB903" s="424"/>
      <c r="FC903" s="424"/>
      <c r="FD903" s="425"/>
      <c r="FE903" s="333"/>
    </row>
    <row r="904" spans="86:161" x14ac:dyDescent="0.25">
      <c r="CH904" s="445"/>
      <c r="CI904" s="300"/>
      <c r="CJ904" s="300"/>
      <c r="CK904" s="300"/>
      <c r="CL904" s="449"/>
      <c r="CM904" s="445"/>
      <c r="DG904" s="445"/>
      <c r="DH904" s="445"/>
      <c r="DI904" s="395" t="str">
        <f>DI898</f>
        <v/>
      </c>
      <c r="DJ904" s="478" t="str">
        <f ca="1">IF(OR(DI904="",DP904="",DI904=DP904,COUNTIF(games.an,DI904&amp;DP904)=0),"",CONCATENATE(DI904,DP904))</f>
        <v/>
      </c>
      <c r="DK904" s="360" t="str">
        <f ca="1">IF($DJ904="","",CONCATENATE(VLOOKUP($DJ904,games.a,9,FALSE),VLOOKUP($DJ904,games.a,12,FALSE)))</f>
        <v/>
      </c>
      <c r="DL904" s="354" t="str">
        <f ca="1">IF($DJ904="","",VLOOKUP($DJ904,games.a,10,FALSE))</f>
        <v/>
      </c>
      <c r="DM904" s="354" t="str">
        <f ca="1">IF($DJ904="","",VLOOKUP($DJ904,games.a,13,FALSE))</f>
        <v/>
      </c>
      <c r="DN904" s="361" t="str">
        <f ca="1">IF($DJ904="","",VLOOKUP($DJ904,games.a,6,FALSE))</f>
        <v/>
      </c>
      <c r="DO904" s="362" t="str">
        <f ca="1">IF($DJ904="","",VLOOKUP($DJ904,games.a,7,FALSE))</f>
        <v/>
      </c>
      <c r="DP904" s="379" t="str">
        <f>DP903</f>
        <v/>
      </c>
      <c r="DQ904" s="302"/>
      <c r="DR904" s="364"/>
      <c r="DS904" s="445"/>
      <c r="DU904" s="424"/>
      <c r="EL904" s="365"/>
      <c r="EO904" s="365"/>
      <c r="EP904" s="365"/>
      <c r="EQ904" s="365"/>
      <c r="ER904" s="404" t="str">
        <f ca="1">ER900</f>
        <v/>
      </c>
      <c r="ES904" s="371" t="str">
        <f ca="1">IF(OR(ER904="",EY904="",ER904=EY904),"",CONCATENATE(ER904,EY904))</f>
        <v/>
      </c>
      <c r="ET904" s="422" t="str">
        <f ca="1">IF(OR(ES904="",EY897&gt;2),"",CONCATENATE(VLOOKUP(ES904,games.a,9,FALSE),VLOOKUP(ES904,games.a,12,FALSE)))</f>
        <v/>
      </c>
      <c r="EU904" s="413"/>
      <c r="EV904" s="414"/>
      <c r="EW904" s="423" t="str">
        <f ca="1">IF(ES904="","",VLOOKUP(ES904,games.a,6,FALSE))</f>
        <v/>
      </c>
      <c r="EX904" s="409" t="str">
        <f ca="1">IF(ES904="","",VLOOKUP(ES904,games.a,7,FALSE))</f>
        <v/>
      </c>
      <c r="EY904" s="415" t="str">
        <f ca="1">EY903</f>
        <v/>
      </c>
      <c r="EZ904" s="416"/>
      <c r="FA904" s="417"/>
      <c r="FB904" s="424"/>
      <c r="FC904" s="424"/>
      <c r="FD904" s="425"/>
      <c r="FE904" s="333"/>
    </row>
    <row r="905" spans="86:161" x14ac:dyDescent="0.25">
      <c r="CH905" s="445"/>
      <c r="CI905" s="300"/>
      <c r="CJ905" s="300"/>
      <c r="CK905" s="300"/>
      <c r="CL905" s="449"/>
      <c r="CM905" s="445"/>
      <c r="DG905" s="445"/>
      <c r="DH905" s="445"/>
      <c r="DI905" s="395" t="str">
        <f>DI899</f>
        <v/>
      </c>
      <c r="DJ905" s="478" t="str">
        <f ca="1">IF(OR(DI905="",DP905="",DI905=DP905,COUNTIF(games.an,DI905&amp;DP905)=0),"",CONCATENATE(DI905,DP905))</f>
        <v/>
      </c>
      <c r="DK905" s="360" t="str">
        <f ca="1">IF($DJ905="","",CONCATENATE(VLOOKUP($DJ905,games.a,9,FALSE),VLOOKUP($DJ905,games.a,12,FALSE)))</f>
        <v/>
      </c>
      <c r="DL905" s="354" t="str">
        <f ca="1">IF($DJ905="","",VLOOKUP($DJ905,games.a,10,FALSE))</f>
        <v/>
      </c>
      <c r="DM905" s="354" t="str">
        <f ca="1">IF($DJ905="","",VLOOKUP($DJ905,games.a,13,FALSE))</f>
        <v/>
      </c>
      <c r="DN905" s="361" t="str">
        <f ca="1">IF($DJ905="","",VLOOKUP($DJ905,games.a,6,FALSE))</f>
        <v/>
      </c>
      <c r="DO905" s="362" t="str">
        <f ca="1">IF($DJ905="","",VLOOKUP($DJ905,games.a,7,FALSE))</f>
        <v/>
      </c>
      <c r="DP905" s="379" t="str">
        <f>DP904</f>
        <v/>
      </c>
      <c r="DQ905" s="302"/>
      <c r="DR905" s="364"/>
      <c r="DS905" s="445"/>
      <c r="DU905" s="424"/>
      <c r="EL905" s="365"/>
      <c r="EO905" s="365"/>
      <c r="EP905" s="365"/>
      <c r="EQ905" s="365"/>
      <c r="ER905" s="398"/>
      <c r="ES905" s="329" t="s">
        <v>157</v>
      </c>
      <c r="ET905" s="329" t="s">
        <v>158</v>
      </c>
      <c r="EU905" s="399"/>
      <c r="EV905" s="400"/>
      <c r="EW905" s="401" t="s">
        <v>160</v>
      </c>
      <c r="EX905" s="402" t="s">
        <v>135</v>
      </c>
      <c r="EY905" s="398"/>
      <c r="EZ905" s="365"/>
      <c r="FA905" s="365"/>
      <c r="FB905" s="424"/>
      <c r="FC905" s="424"/>
      <c r="FD905" s="425"/>
      <c r="FE905" s="333"/>
    </row>
    <row r="906" spans="86:161" x14ac:dyDescent="0.25">
      <c r="CH906" s="445"/>
      <c r="CI906" s="300"/>
      <c r="CJ906" s="300"/>
      <c r="CK906" s="300"/>
      <c r="CL906" s="449"/>
      <c r="CM906" s="445"/>
      <c r="DG906" s="445"/>
      <c r="DH906" s="445"/>
      <c r="DI906" s="395" t="str">
        <f>DI900</f>
        <v/>
      </c>
      <c r="DJ906" s="478" t="str">
        <f ca="1">IF(OR(DI906="",DP906="",DI906=DP906,COUNTIF(games.an,DI906&amp;DP906)=0),"",CONCATENATE(DI906,DP906))</f>
        <v/>
      </c>
      <c r="DK906" s="360" t="str">
        <f ca="1">IF($DJ906="","",CONCATENATE(VLOOKUP($DJ906,games.a,9,FALSE),VLOOKUP($DJ906,games.a,12,FALSE)))</f>
        <v/>
      </c>
      <c r="DL906" s="354" t="str">
        <f ca="1">IF($DJ906="","",VLOOKUP($DJ906,games.a,10,FALSE))</f>
        <v/>
      </c>
      <c r="DM906" s="354" t="str">
        <f ca="1">IF($DJ906="","",VLOOKUP($DJ906,games.a,13,FALSE))</f>
        <v/>
      </c>
      <c r="DN906" s="361" t="str">
        <f ca="1">IF($DJ906="","",VLOOKUP($DJ906,games.a,6,FALSE))</f>
        <v/>
      </c>
      <c r="DO906" s="362" t="str">
        <f ca="1">IF($DJ906="","",VLOOKUP($DJ906,games.a,7,FALSE))</f>
        <v/>
      </c>
      <c r="DP906" s="379" t="str">
        <f>DP905</f>
        <v/>
      </c>
      <c r="DQ906" s="302"/>
      <c r="DR906" s="364"/>
      <c r="DS906" s="445"/>
      <c r="DU906" s="424"/>
      <c r="EL906" s="365"/>
      <c r="EO906" s="365"/>
      <c r="EP906" s="365"/>
      <c r="EQ906" s="424"/>
      <c r="ER906" s="404" t="str">
        <f ca="1">ER902</f>
        <v/>
      </c>
      <c r="ES906" s="371" t="str">
        <f ca="1">IF(OR(ER906="",EY906="",ER906=EY906),"",CONCATENATE(ER906,EY906))</f>
        <v/>
      </c>
      <c r="ET906" s="422" t="str">
        <f ca="1">IF(OR(ES906="",EY897&gt;2),"",CONCATENATE(VLOOKUP(ES906,games.a,9,FALSE),VLOOKUP(ES906,games.a,12,FALSE)))</f>
        <v/>
      </c>
      <c r="EU906" s="406"/>
      <c r="EV906" s="407"/>
      <c r="EW906" s="423" t="str">
        <f ca="1">IF(ES906="","",VLOOKUP(ES906,games.a,6,FALSE))</f>
        <v/>
      </c>
      <c r="EX906" s="409" t="str">
        <f ca="1">IF(ES906="","",VLOOKUP(ES906,games.a,7,FALSE))</f>
        <v/>
      </c>
      <c r="EY906" s="410" t="str">
        <f ca="1">ER900</f>
        <v/>
      </c>
      <c r="EZ906" s="411"/>
      <c r="FA906" s="412"/>
      <c r="FB906" s="424"/>
      <c r="FC906" s="424"/>
      <c r="FD906" s="425"/>
      <c r="FE906" s="333"/>
    </row>
    <row r="907" spans="86:161" x14ac:dyDescent="0.25">
      <c r="CH907" s="445"/>
      <c r="CI907" s="300"/>
      <c r="CJ907" s="300"/>
      <c r="CK907" s="300"/>
      <c r="CL907" s="449"/>
      <c r="CM907" s="445"/>
      <c r="DG907" s="445"/>
      <c r="DH907" s="445"/>
      <c r="DI907" s="301"/>
      <c r="DJ907" s="471" t="s">
        <v>157</v>
      </c>
      <c r="DK907" s="471" t="s">
        <v>158</v>
      </c>
      <c r="DL907" s="472" t="s">
        <v>159</v>
      </c>
      <c r="DM907" s="472"/>
      <c r="DN907" s="473" t="s">
        <v>160</v>
      </c>
      <c r="DO907" s="472" t="s">
        <v>135</v>
      </c>
      <c r="DP907" s="302"/>
      <c r="DQ907" s="302"/>
      <c r="DR907" s="364"/>
      <c r="DS907" s="445"/>
      <c r="DU907" s="424"/>
      <c r="EL907" s="365"/>
      <c r="EO907" s="365"/>
      <c r="EP907" s="365"/>
      <c r="EQ907" s="424"/>
      <c r="ER907" s="404" t="str">
        <f ca="1">ER903</f>
        <v/>
      </c>
      <c r="ES907" s="371" t="str">
        <f ca="1">IF(OR(ER907="",EY907="",ER907=EY907),"",CONCATENATE(ER907,EY907))</f>
        <v/>
      </c>
      <c r="ET907" s="422" t="str">
        <f ca="1">IF(OR(ES907="",EY897&gt;2),"",CONCATENATE(VLOOKUP(ES907,games.a,9,FALSE),VLOOKUP(ES907,games.a,12,FALSE)))</f>
        <v/>
      </c>
      <c r="EU907" s="413"/>
      <c r="EV907" s="414"/>
      <c r="EW907" s="423" t="str">
        <f ca="1">IF(ES907="","",VLOOKUP(ES907,games.a,6,FALSE))</f>
        <v/>
      </c>
      <c r="EX907" s="409" t="str">
        <f ca="1">IF(ES907="","",VLOOKUP(ES907,games.a,7,FALSE))</f>
        <v/>
      </c>
      <c r="EY907" s="415" t="str">
        <f ca="1">EY906</f>
        <v/>
      </c>
      <c r="EZ907" s="416"/>
      <c r="FA907" s="417"/>
      <c r="FB907" s="424"/>
      <c r="FC907" s="424"/>
      <c r="FD907" s="425"/>
      <c r="FE907" s="333"/>
    </row>
    <row r="908" spans="86:161" x14ac:dyDescent="0.25">
      <c r="CH908" s="445"/>
      <c r="CI908" s="300"/>
      <c r="CJ908" s="300"/>
      <c r="CK908" s="300"/>
      <c r="CL908" s="449"/>
      <c r="CM908" s="445"/>
      <c r="DG908" s="445"/>
      <c r="DH908" s="445"/>
      <c r="DI908" s="395" t="str">
        <f>DI902</f>
        <v/>
      </c>
      <c r="DJ908" s="478" t="str">
        <f ca="1">IF(OR(DI908="",DP908="",DI908=DP908,COUNTIF(games.an,DI908&amp;DP908)=0),"",CONCATENATE(DI908,DP908))</f>
        <v/>
      </c>
      <c r="DK908" s="360" t="str">
        <f ca="1">IF($DJ908="","",CONCATENATE(VLOOKUP($DJ908,games.a,9,FALSE),VLOOKUP($DJ908,games.a,12,FALSE)))</f>
        <v/>
      </c>
      <c r="DL908" s="354" t="str">
        <f ca="1">IF($DJ908="","",VLOOKUP($DJ908,games.a,10,FALSE))</f>
        <v/>
      </c>
      <c r="DM908" s="354" t="str">
        <f ca="1">IF($DJ908="","",VLOOKUP($DJ908,games.a,13,FALSE))</f>
        <v/>
      </c>
      <c r="DN908" s="361" t="str">
        <f ca="1">IF($DJ908="","",VLOOKUP($DJ908,games.a,6,FALSE))</f>
        <v/>
      </c>
      <c r="DO908" s="362" t="str">
        <f ca="1">IF($DJ908="","",VLOOKUP($DJ908,games.a,7,FALSE))</f>
        <v/>
      </c>
      <c r="DP908" s="479" t="str">
        <f>DI893</f>
        <v/>
      </c>
      <c r="DQ908" s="302"/>
      <c r="DR908" s="364"/>
      <c r="DS908" s="445"/>
      <c r="DU908" s="424"/>
      <c r="EL908" s="365"/>
      <c r="EO908" s="365"/>
      <c r="EP908" s="365"/>
      <c r="EQ908" s="424"/>
      <c r="ER908" s="404" t="str">
        <f ca="1">ER904</f>
        <v/>
      </c>
      <c r="ES908" s="371" t="str">
        <f ca="1">IF(OR(ER908="",EY908="",ER908=EY908),"",CONCATENATE(ER908,EY908))</f>
        <v/>
      </c>
      <c r="ET908" s="422" t="str">
        <f ca="1">IF(OR(ES908="",EY897&gt;2),"",CONCATENATE(VLOOKUP(ES908,games.a,9,FALSE),VLOOKUP(ES908,games.a,12,FALSE)))</f>
        <v/>
      </c>
      <c r="EU908" s="413"/>
      <c r="EV908" s="414"/>
      <c r="EW908" s="423" t="str">
        <f ca="1">IF(ES908="","",VLOOKUP(ES908,games.a,6,FALSE))</f>
        <v/>
      </c>
      <c r="EX908" s="409" t="str">
        <f ca="1">IF(ES908="","",VLOOKUP(ES908,games.a,7,FALSE))</f>
        <v/>
      </c>
      <c r="EY908" s="415" t="str">
        <f ca="1">EY907</f>
        <v/>
      </c>
      <c r="EZ908" s="416"/>
      <c r="FA908" s="417"/>
      <c r="FB908" s="424"/>
      <c r="FC908" s="424"/>
      <c r="FD908" s="425"/>
      <c r="FE908" s="333"/>
    </row>
    <row r="909" spans="86:161" x14ac:dyDescent="0.25">
      <c r="CH909" s="445"/>
      <c r="CI909" s="300"/>
      <c r="CJ909" s="300"/>
      <c r="CK909" s="300"/>
      <c r="CL909" s="449"/>
      <c r="CM909" s="445"/>
      <c r="DG909" s="445"/>
      <c r="DH909" s="445"/>
      <c r="DI909" s="395" t="str">
        <f>DI903</f>
        <v/>
      </c>
      <c r="DJ909" s="478" t="str">
        <f ca="1">IF(OR(DI909="",DP909="",DI909=DP909,COUNTIF(games.an,DI909&amp;DP909)=0),"",CONCATENATE(DI909,DP909))</f>
        <v/>
      </c>
      <c r="DK909" s="360" t="str">
        <f ca="1">IF($DJ909="","",CONCATENATE(VLOOKUP($DJ909,games.a,9,FALSE),VLOOKUP($DJ909,games.a,12,FALSE)))</f>
        <v/>
      </c>
      <c r="DL909" s="354" t="str">
        <f ca="1">IF($DJ909="","",VLOOKUP($DJ909,games.a,10,FALSE))</f>
        <v/>
      </c>
      <c r="DM909" s="354" t="str">
        <f ca="1">IF($DJ909="","",VLOOKUP($DJ909,games.a,13,FALSE))</f>
        <v/>
      </c>
      <c r="DN909" s="361" t="str">
        <f ca="1">IF($DJ909="","",VLOOKUP($DJ909,games.a,6,FALSE))</f>
        <v/>
      </c>
      <c r="DO909" s="362" t="str">
        <f ca="1">IF($DJ909="","",VLOOKUP($DJ909,games.a,7,FALSE))</f>
        <v/>
      </c>
      <c r="DP909" s="379" t="str">
        <f>DP908</f>
        <v/>
      </c>
      <c r="DQ909" s="302"/>
      <c r="DR909" s="364"/>
      <c r="DS909" s="445"/>
      <c r="DU909" s="424"/>
      <c r="EL909" s="365"/>
      <c r="EO909" s="365"/>
      <c r="EP909" s="365"/>
      <c r="EQ909" s="424"/>
      <c r="ER909" s="424"/>
      <c r="ES909" s="424"/>
      <c r="ET909" s="424"/>
      <c r="EU909" s="424"/>
      <c r="EV909" s="424"/>
      <c r="EW909" s="424"/>
      <c r="EX909" s="424"/>
      <c r="EY909" s="424"/>
      <c r="EZ909" s="424"/>
      <c r="FA909" s="424"/>
      <c r="FD909" s="425"/>
      <c r="FE909" s="333"/>
    </row>
    <row r="910" spans="86:161" x14ac:dyDescent="0.25">
      <c r="CH910" s="445"/>
      <c r="CI910" s="300"/>
      <c r="CJ910" s="300"/>
      <c r="CK910" s="300"/>
      <c r="CL910" s="449"/>
      <c r="CM910" s="445"/>
      <c r="DG910" s="445"/>
      <c r="DH910" s="445"/>
      <c r="DI910" s="395" t="str">
        <f>DI904</f>
        <v/>
      </c>
      <c r="DJ910" s="478" t="str">
        <f ca="1">IF(OR(DI910="",DP910="",DI910=DP910,COUNTIF(games.an,DI910&amp;DP910)=0),"",CONCATENATE(DI910,DP910))</f>
        <v/>
      </c>
      <c r="DK910" s="360" t="str">
        <f ca="1">IF($DJ910="","",CONCATENATE(VLOOKUP($DJ910,games.a,9,FALSE),VLOOKUP($DJ910,games.a,12,FALSE)))</f>
        <v/>
      </c>
      <c r="DL910" s="354" t="str">
        <f ca="1">IF($DJ910="","",VLOOKUP($DJ910,games.a,10,FALSE))</f>
        <v/>
      </c>
      <c r="DM910" s="354" t="str">
        <f ca="1">IF($DJ910="","",VLOOKUP($DJ910,games.a,13,FALSE))</f>
        <v/>
      </c>
      <c r="DN910" s="361" t="str">
        <f ca="1">IF($DJ910="","",VLOOKUP($DJ910,games.a,6,FALSE))</f>
        <v/>
      </c>
      <c r="DO910" s="362" t="str">
        <f ca="1">IF($DJ910="","",VLOOKUP($DJ910,games.a,7,FALSE))</f>
        <v/>
      </c>
      <c r="DP910" s="379" t="str">
        <f>DP909</f>
        <v/>
      </c>
      <c r="DQ910" s="302"/>
      <c r="DR910" s="364"/>
      <c r="DS910" s="445"/>
      <c r="DU910" s="424"/>
      <c r="EL910" s="365"/>
      <c r="EO910" s="424"/>
      <c r="EP910" s="424"/>
      <c r="EQ910" s="424"/>
      <c r="ER910" s="398"/>
      <c r="ES910" s="329" t="s">
        <v>157</v>
      </c>
      <c r="ET910" s="329" t="s">
        <v>158</v>
      </c>
      <c r="EU910" s="399"/>
      <c r="EV910" s="400"/>
      <c r="EW910" s="401" t="s">
        <v>160</v>
      </c>
      <c r="EX910" s="402" t="s">
        <v>135</v>
      </c>
      <c r="EY910" s="365"/>
      <c r="EZ910" s="365"/>
      <c r="FA910" s="365"/>
      <c r="FD910" s="425"/>
      <c r="FE910" s="333"/>
    </row>
    <row r="911" spans="86:161" x14ac:dyDescent="0.25">
      <c r="CH911" s="445"/>
      <c r="CI911" s="300"/>
      <c r="CJ911" s="300"/>
      <c r="CK911" s="300"/>
      <c r="CL911" s="449"/>
      <c r="CM911" s="445"/>
      <c r="DG911" s="445"/>
      <c r="DH911" s="445"/>
      <c r="DI911" s="395" t="str">
        <f>DI905</f>
        <v/>
      </c>
      <c r="DJ911" s="478" t="str">
        <f ca="1">IF(OR(DI911="",DP911="",DI911=DP911,COUNTIF(games.an,DI911&amp;DP911)=0),"",CONCATENATE(DI911,DP911))</f>
        <v/>
      </c>
      <c r="DK911" s="360" t="str">
        <f ca="1">IF($DJ911="","",CONCATENATE(VLOOKUP($DJ911,games.a,9,FALSE),VLOOKUP($DJ911,games.a,12,FALSE)))</f>
        <v/>
      </c>
      <c r="DL911" s="354" t="str">
        <f ca="1">IF($DJ911="","",VLOOKUP($DJ911,games.a,10,FALSE))</f>
        <v/>
      </c>
      <c r="DM911" s="354" t="str">
        <f ca="1">IF($DJ911="","",VLOOKUP($DJ911,games.a,13,FALSE))</f>
        <v/>
      </c>
      <c r="DN911" s="361" t="str">
        <f ca="1">IF($DJ911="","",VLOOKUP($DJ911,games.a,6,FALSE))</f>
        <v/>
      </c>
      <c r="DO911" s="362" t="str">
        <f ca="1">IF($DJ911="","",VLOOKUP($DJ911,games.a,7,FALSE))</f>
        <v/>
      </c>
      <c r="DP911" s="379" t="str">
        <f>DP910</f>
        <v/>
      </c>
      <c r="DQ911" s="302"/>
      <c r="DR911" s="364"/>
      <c r="DS911" s="445"/>
      <c r="DU911" s="424"/>
      <c r="EL911" s="365"/>
      <c r="EO911" s="424"/>
      <c r="EP911" s="424"/>
      <c r="EQ911" s="424"/>
      <c r="ER911" s="404" t="str">
        <f ca="1">IF(EX890="","",VLOOKUP(EX890,yyy.an2,7,FALSE))</f>
        <v/>
      </c>
      <c r="ES911" s="371" t="str">
        <f ca="1">IF(OR(ER911="",EY911="",ER911=EY911),"",CONCATENATE(ER911,EY911))</f>
        <v/>
      </c>
      <c r="ET911" s="369" t="str">
        <f ca="1">IF(ES911="","",CONCATENATE(VLOOKUP(ES911,games.a,9,FALSE),VLOOKUP(ES911,games.a,12,FALSE)))</f>
        <v/>
      </c>
      <c r="EU911" s="406"/>
      <c r="EV911" s="407"/>
      <c r="EW911" s="423" t="str">
        <f ca="1">IF(ES911="","",VLOOKUP(ES911,games.a,6,FALSE))</f>
        <v/>
      </c>
      <c r="EX911" s="409" t="str">
        <f ca="1">IF(ES911="","",VLOOKUP(ES911,games.a,7,FALSE))</f>
        <v/>
      </c>
      <c r="EY911" s="410" t="str">
        <f ca="1">ER911</f>
        <v/>
      </c>
      <c r="EZ911" s="411"/>
      <c r="FA911" s="412"/>
      <c r="FD911" s="425"/>
      <c r="FE911" s="333"/>
    </row>
    <row r="912" spans="86:161" x14ac:dyDescent="0.25">
      <c r="CH912" s="445"/>
      <c r="CI912" s="300"/>
      <c r="CJ912" s="300"/>
      <c r="CK912" s="300"/>
      <c r="CL912" s="449"/>
      <c r="CM912" s="445"/>
      <c r="CN912" s="300"/>
      <c r="CO912" s="302"/>
      <c r="CP912" s="302"/>
      <c r="CQ912" s="302"/>
      <c r="CR912" s="302"/>
      <c r="CS912" s="302"/>
      <c r="CT912" s="302"/>
      <c r="CU912" s="302"/>
      <c r="CV912" s="302"/>
      <c r="CW912" s="302"/>
      <c r="CX912" s="302"/>
      <c r="CY912" s="302"/>
      <c r="CZ912" s="302"/>
      <c r="DA912" s="302"/>
      <c r="DB912" s="302"/>
      <c r="DC912" s="302"/>
      <c r="DD912" s="302"/>
      <c r="DE912" s="302"/>
      <c r="DF912" s="302"/>
      <c r="DG912" s="445"/>
      <c r="DH912" s="445"/>
      <c r="DI912" s="395" t="str">
        <f>DI906</f>
        <v/>
      </c>
      <c r="DJ912" s="478" t="str">
        <f ca="1">IF(OR(DI912="",DP912="",DI912=DP912,COUNTIF(games.an,DI912&amp;DP912)=0),"",CONCATENATE(DI912,DP912))</f>
        <v/>
      </c>
      <c r="DK912" s="360" t="str">
        <f ca="1">IF($DJ912="","",CONCATENATE(VLOOKUP($DJ912,games.a,9,FALSE),VLOOKUP($DJ912,games.a,12,FALSE)))</f>
        <v/>
      </c>
      <c r="DL912" s="354" t="str">
        <f ca="1">IF($DJ912="","",VLOOKUP($DJ912,games.a,10,FALSE))</f>
        <v/>
      </c>
      <c r="DM912" s="354" t="str">
        <f ca="1">IF($DJ912="","",VLOOKUP($DJ912,games.a,13,FALSE))</f>
        <v/>
      </c>
      <c r="DN912" s="361" t="str">
        <f ca="1">IF($DJ912="","",VLOOKUP($DJ912,games.a,6,FALSE))</f>
        <v/>
      </c>
      <c r="DO912" s="362" t="str">
        <f ca="1">IF($DJ912="","",VLOOKUP($DJ912,games.a,7,FALSE))</f>
        <v/>
      </c>
      <c r="DP912" s="379" t="str">
        <f>DP911</f>
        <v/>
      </c>
      <c r="DQ912" s="302"/>
      <c r="DR912" s="364"/>
      <c r="DS912" s="445"/>
      <c r="DU912" s="424"/>
      <c r="EL912" s="365"/>
      <c r="EM912" s="424"/>
      <c r="EN912" s="424"/>
      <c r="EO912" s="424"/>
      <c r="EP912" s="424"/>
      <c r="EQ912" s="424"/>
      <c r="ER912" s="404" t="str">
        <f ca="1">IF(EX891="","",VLOOKUP(EX891,yyy.an2,7,FALSE))</f>
        <v/>
      </c>
      <c r="ES912" s="371" t="str">
        <f ca="1">IF(OR(ER912="",EY912="",ER912=EY912),"",CONCATENATE(ER912,EY912))</f>
        <v/>
      </c>
      <c r="ET912" s="369" t="str">
        <f ca="1">IF(ES912="","",CONCATENATE(VLOOKUP(ES912,games.a,9,FALSE),VLOOKUP(ES912,games.a,12,FALSE)))</f>
        <v/>
      </c>
      <c r="EU912" s="413"/>
      <c r="EV912" s="414"/>
      <c r="EW912" s="423" t="str">
        <f ca="1">IF(ES912="","",VLOOKUP(ES912,games.a,6,FALSE))</f>
        <v/>
      </c>
      <c r="EX912" s="409" t="str">
        <f ca="1">IF(ES912="","",VLOOKUP(ES912,games.a,7,FALSE))</f>
        <v/>
      </c>
      <c r="EY912" s="415" t="str">
        <f ca="1">EY911</f>
        <v/>
      </c>
      <c r="EZ912" s="416"/>
      <c r="FA912" s="417"/>
      <c r="FD912" s="425"/>
      <c r="FE912" s="333"/>
    </row>
    <row r="913" spans="86:161" x14ac:dyDescent="0.25">
      <c r="CH913" s="445"/>
      <c r="CI913" s="300"/>
      <c r="CJ913" s="300"/>
      <c r="CK913" s="300"/>
      <c r="CL913" s="449"/>
      <c r="CM913" s="445"/>
      <c r="CN913" s="300"/>
      <c r="CO913" s="302"/>
      <c r="CP913" s="302"/>
      <c r="CQ913" s="302"/>
      <c r="CR913" s="302"/>
      <c r="CS913" s="302"/>
      <c r="CT913" s="302"/>
      <c r="CU913" s="302"/>
      <c r="CV913" s="302"/>
      <c r="CW913" s="302"/>
      <c r="CX913" s="302"/>
      <c r="CY913" s="302"/>
      <c r="CZ913" s="302"/>
      <c r="DA913" s="302"/>
      <c r="DB913" s="302"/>
      <c r="DC913" s="302"/>
      <c r="DD913" s="302"/>
      <c r="DE913" s="302"/>
      <c r="DF913" s="302"/>
      <c r="DG913" s="445"/>
      <c r="DH913" s="445"/>
      <c r="DI913" s="301"/>
      <c r="DJ913" s="471" t="s">
        <v>157</v>
      </c>
      <c r="DK913" s="471" t="s">
        <v>158</v>
      </c>
      <c r="DL913" s="472" t="s">
        <v>159</v>
      </c>
      <c r="DM913" s="472"/>
      <c r="DN913" s="473" t="s">
        <v>160</v>
      </c>
      <c r="DO913" s="472" t="s">
        <v>135</v>
      </c>
      <c r="DP913" s="302"/>
      <c r="DQ913" s="302"/>
      <c r="DR913" s="364"/>
      <c r="DS913" s="445"/>
      <c r="DU913" s="424"/>
      <c r="EL913" s="365"/>
      <c r="EM913" s="424"/>
      <c r="EN913" s="424"/>
      <c r="EO913" s="424"/>
      <c r="EP913" s="424"/>
      <c r="EQ913" s="424"/>
      <c r="ER913" s="398"/>
      <c r="ES913" s="329" t="s">
        <v>157</v>
      </c>
      <c r="ET913" s="329" t="s">
        <v>158</v>
      </c>
      <c r="EU913" s="399"/>
      <c r="EV913" s="400"/>
      <c r="EW913" s="401" t="s">
        <v>160</v>
      </c>
      <c r="EX913" s="402" t="s">
        <v>135</v>
      </c>
      <c r="EY913" s="398"/>
      <c r="EZ913" s="365"/>
      <c r="FA913" s="365"/>
      <c r="FD913" s="425"/>
      <c r="FE913" s="333"/>
    </row>
    <row r="914" spans="86:161" x14ac:dyDescent="0.25">
      <c r="CH914" s="445"/>
      <c r="CI914" s="300"/>
      <c r="CJ914" s="300"/>
      <c r="CK914" s="300"/>
      <c r="CL914" s="449"/>
      <c r="CM914" s="445"/>
      <c r="CN914" s="300"/>
      <c r="CO914" s="302"/>
      <c r="CP914" s="302"/>
      <c r="CQ914" s="302"/>
      <c r="CR914" s="302"/>
      <c r="CS914" s="302"/>
      <c r="CT914" s="302"/>
      <c r="CU914" s="302"/>
      <c r="CV914" s="302"/>
      <c r="CW914" s="302"/>
      <c r="CX914" s="302"/>
      <c r="CY914" s="302"/>
      <c r="CZ914" s="302"/>
      <c r="DA914" s="302"/>
      <c r="DB914" s="302"/>
      <c r="DC914" s="302"/>
      <c r="DD914" s="302"/>
      <c r="DE914" s="302"/>
      <c r="DF914" s="302"/>
      <c r="DG914" s="445"/>
      <c r="DH914" s="445"/>
      <c r="DI914" s="395" t="str">
        <f>DI908</f>
        <v/>
      </c>
      <c r="DJ914" s="478" t="str">
        <f ca="1">IF(OR(DI914="",DP914="",DI914=DP914,COUNTIF(games.an,DI914&amp;DP914)=0),"",CONCATENATE(DI914,DP914))</f>
        <v/>
      </c>
      <c r="DK914" s="360" t="str">
        <f ca="1">IF($DJ914="","",CONCATENATE(VLOOKUP($DJ914,games.a,9,FALSE),VLOOKUP($DJ914,games.a,12,FALSE)))</f>
        <v/>
      </c>
      <c r="DL914" s="354" t="str">
        <f ca="1">IF($DJ914="","",VLOOKUP($DJ914,games.a,10,FALSE))</f>
        <v/>
      </c>
      <c r="DM914" s="354" t="str">
        <f ca="1">IF($DJ914="","",VLOOKUP($DJ914,games.a,13,FALSE))</f>
        <v/>
      </c>
      <c r="DN914" s="361" t="str">
        <f ca="1">IF($DJ914="","",VLOOKUP($DJ914,games.a,6,FALSE))</f>
        <v/>
      </c>
      <c r="DO914" s="362" t="str">
        <f ca="1">IF($DJ914="","",VLOOKUP($DJ914,games.a,7,FALSE))</f>
        <v/>
      </c>
      <c r="DP914" s="479" t="str">
        <f>DI894</f>
        <v/>
      </c>
      <c r="DQ914" s="302"/>
      <c r="DR914" s="364"/>
      <c r="DS914" s="445"/>
      <c r="DU914" s="424"/>
      <c r="EL914" s="365"/>
      <c r="EM914" s="424"/>
      <c r="EN914" s="424"/>
      <c r="EO914" s="424"/>
      <c r="EP914" s="424"/>
      <c r="EQ914" s="424"/>
      <c r="ER914" s="404" t="str">
        <f ca="1">ER911</f>
        <v/>
      </c>
      <c r="ES914" s="371" t="str">
        <f ca="1">IF(OR(ER914="",EY914="",ER914=EY914),"",CONCATENATE(ER914,EY914))</f>
        <v/>
      </c>
      <c r="ET914" s="369" t="str">
        <f ca="1">IF(ES914="","",CONCATENATE(VLOOKUP(ES914,games.a,9,FALSE),VLOOKUP(ES914,games.a,12,FALSE)))</f>
        <v/>
      </c>
      <c r="EU914" s="406"/>
      <c r="EV914" s="407"/>
      <c r="EW914" s="423" t="str">
        <f ca="1">IF(ES914="","",VLOOKUP(ES914,games.a,6,FALSE))</f>
        <v/>
      </c>
      <c r="EX914" s="409" t="str">
        <f ca="1">IF(ES914="","",VLOOKUP(ES914,games.a,7,FALSE))</f>
        <v/>
      </c>
      <c r="EY914" s="410" t="str">
        <f ca="1">ER912</f>
        <v/>
      </c>
      <c r="EZ914" s="411"/>
      <c r="FA914" s="412"/>
      <c r="FD914" s="425"/>
      <c r="FE914" s="333"/>
    </row>
    <row r="915" spans="86:161" x14ac:dyDescent="0.25">
      <c r="CH915" s="445"/>
      <c r="CI915" s="300"/>
      <c r="CJ915" s="300"/>
      <c r="CK915" s="300"/>
      <c r="CL915" s="449"/>
      <c r="CM915" s="445"/>
      <c r="CN915" s="300"/>
      <c r="CO915" s="302"/>
      <c r="CP915" s="302"/>
      <c r="CQ915" s="302"/>
      <c r="CR915" s="302"/>
      <c r="CS915" s="302"/>
      <c r="CT915" s="302"/>
      <c r="CU915" s="302"/>
      <c r="CV915" s="302"/>
      <c r="CW915" s="302"/>
      <c r="CX915" s="302"/>
      <c r="CY915" s="302"/>
      <c r="CZ915" s="302"/>
      <c r="DA915" s="302"/>
      <c r="DB915" s="302"/>
      <c r="DC915" s="302"/>
      <c r="DD915" s="302"/>
      <c r="DE915" s="302"/>
      <c r="DF915" s="302"/>
      <c r="DG915" s="445"/>
      <c r="DH915" s="445"/>
      <c r="DI915" s="395" t="str">
        <f>DI909</f>
        <v/>
      </c>
      <c r="DJ915" s="478" t="str">
        <f ca="1">IF(OR(DI915="",DP915="",DI915=DP915,COUNTIF(games.an,DI915&amp;DP915)=0),"",CONCATENATE(DI915,DP915))</f>
        <v/>
      </c>
      <c r="DK915" s="360" t="str">
        <f ca="1">IF($DJ915="","",CONCATENATE(VLOOKUP($DJ915,games.a,9,FALSE),VLOOKUP($DJ915,games.a,12,FALSE)))</f>
        <v/>
      </c>
      <c r="DL915" s="354" t="str">
        <f ca="1">IF($DJ915="","",VLOOKUP($DJ915,games.a,10,FALSE))</f>
        <v/>
      </c>
      <c r="DM915" s="354" t="str">
        <f ca="1">IF($DJ915="","",VLOOKUP($DJ915,games.a,13,FALSE))</f>
        <v/>
      </c>
      <c r="DN915" s="361" t="str">
        <f ca="1">IF($DJ915="","",VLOOKUP($DJ915,games.a,6,FALSE))</f>
        <v/>
      </c>
      <c r="DO915" s="362" t="str">
        <f ca="1">IF($DJ915="","",VLOOKUP($DJ915,games.a,7,FALSE))</f>
        <v/>
      </c>
      <c r="DP915" s="379" t="str">
        <f>DP914</f>
        <v/>
      </c>
      <c r="DQ915" s="302"/>
      <c r="DR915" s="364"/>
      <c r="DS915" s="445"/>
      <c r="DU915" s="424"/>
      <c r="EL915" s="424"/>
      <c r="EM915" s="424"/>
      <c r="EN915" s="424"/>
      <c r="EO915" s="424"/>
      <c r="EP915" s="424"/>
      <c r="EQ915" s="424"/>
      <c r="ER915" s="404" t="str">
        <f ca="1">ER912</f>
        <v/>
      </c>
      <c r="ES915" s="371" t="str">
        <f ca="1">IF(OR(ER915="",EY915="",ER915=EY915),"",CONCATENATE(ER915,EY915))</f>
        <v/>
      </c>
      <c r="ET915" s="369" t="str">
        <f ca="1">IF(ES915="","",CONCATENATE(VLOOKUP(ES915,games.a,9,FALSE),VLOOKUP(ES915,games.a,12,FALSE)))</f>
        <v/>
      </c>
      <c r="EU915" s="420"/>
      <c r="EV915" s="421"/>
      <c r="EW915" s="423" t="str">
        <f ca="1">IF(ES915="","",VLOOKUP(ES915,games.a,6,FALSE))</f>
        <v/>
      </c>
      <c r="EX915" s="409" t="str">
        <f ca="1">IF(ES915="","",VLOOKUP(ES915,games.a,7,FALSE))</f>
        <v/>
      </c>
      <c r="EY915" s="415" t="str">
        <f ca="1">EY914</f>
        <v/>
      </c>
      <c r="EZ915" s="416"/>
      <c r="FA915" s="417"/>
      <c r="FD915" s="425"/>
      <c r="FE915" s="333"/>
    </row>
    <row r="916" spans="86:161" x14ac:dyDescent="0.25">
      <c r="CH916" s="445"/>
      <c r="CI916" s="300"/>
      <c r="CJ916" s="300"/>
      <c r="CK916" s="300"/>
      <c r="CL916" s="449"/>
      <c r="CM916" s="445"/>
      <c r="CN916" s="300"/>
      <c r="CO916" s="302"/>
      <c r="CP916" s="302"/>
      <c r="CQ916" s="302"/>
      <c r="CR916" s="302"/>
      <c r="CS916" s="302"/>
      <c r="CT916" s="302"/>
      <c r="CU916" s="302"/>
      <c r="CV916" s="302"/>
      <c r="CW916" s="302"/>
      <c r="CX916" s="302"/>
      <c r="CY916" s="302"/>
      <c r="CZ916" s="302"/>
      <c r="DA916" s="302"/>
      <c r="DB916" s="302"/>
      <c r="DC916" s="302"/>
      <c r="DD916" s="302"/>
      <c r="DE916" s="302"/>
      <c r="DF916" s="302"/>
      <c r="DG916" s="445"/>
      <c r="DH916" s="445"/>
      <c r="DI916" s="395" t="str">
        <f>DI910</f>
        <v/>
      </c>
      <c r="DJ916" s="478" t="str">
        <f ca="1">IF(OR(DI916="",DP916="",DI916=DP916,COUNTIF(games.an,DI916&amp;DP916)=0),"",CONCATENATE(DI916,DP916))</f>
        <v/>
      </c>
      <c r="DK916" s="360" t="str">
        <f ca="1">IF($DJ916="","",CONCATENATE(VLOOKUP($DJ916,games.a,9,FALSE),VLOOKUP($DJ916,games.a,12,FALSE)))</f>
        <v/>
      </c>
      <c r="DL916" s="354" t="str">
        <f ca="1">IF($DJ916="","",VLOOKUP($DJ916,games.a,10,FALSE))</f>
        <v/>
      </c>
      <c r="DM916" s="354" t="str">
        <f ca="1">IF($DJ916="","",VLOOKUP($DJ916,games.a,13,FALSE))</f>
        <v/>
      </c>
      <c r="DN916" s="361" t="str">
        <f ca="1">IF($DJ916="","",VLOOKUP($DJ916,games.a,6,FALSE))</f>
        <v/>
      </c>
      <c r="DO916" s="362" t="str">
        <f ca="1">IF($DJ916="","",VLOOKUP($DJ916,games.a,7,FALSE))</f>
        <v/>
      </c>
      <c r="DP916" s="379" t="str">
        <f>DP915</f>
        <v/>
      </c>
      <c r="DQ916" s="302"/>
      <c r="DR916" s="364"/>
      <c r="DS916" s="445"/>
      <c r="DU916" s="424"/>
      <c r="EL916" s="424"/>
      <c r="EM916" s="424"/>
      <c r="EN916" s="424"/>
      <c r="EO916" s="424"/>
      <c r="EP916" s="424"/>
      <c r="EQ916" s="424"/>
      <c r="ER916" s="424"/>
      <c r="ES916" s="424"/>
      <c r="ET916" s="424"/>
      <c r="EU916" s="424"/>
      <c r="EV916" s="424"/>
      <c r="EW916" s="424"/>
      <c r="EX916" s="424"/>
      <c r="EY916" s="424"/>
      <c r="EZ916" s="424"/>
      <c r="FA916" s="424"/>
      <c r="FE916" s="333"/>
    </row>
    <row r="917" spans="86:161" x14ac:dyDescent="0.25">
      <c r="CH917" s="445"/>
      <c r="CI917" s="300"/>
      <c r="CJ917" s="300"/>
      <c r="CK917" s="300"/>
      <c r="CL917" s="449"/>
      <c r="CM917" s="445"/>
      <c r="CN917" s="300"/>
      <c r="CO917" s="302"/>
      <c r="CP917" s="302"/>
      <c r="CQ917" s="302"/>
      <c r="CR917" s="302"/>
      <c r="CS917" s="302"/>
      <c r="CT917" s="302"/>
      <c r="CU917" s="302"/>
      <c r="CV917" s="302"/>
      <c r="CW917" s="302"/>
      <c r="CX917" s="302"/>
      <c r="CY917" s="302"/>
      <c r="CZ917" s="302"/>
      <c r="DA917" s="302"/>
      <c r="DB917" s="302"/>
      <c r="DC917" s="302"/>
      <c r="DD917" s="302"/>
      <c r="DE917" s="302"/>
      <c r="DF917" s="302"/>
      <c r="DG917" s="445"/>
      <c r="DH917" s="445"/>
      <c r="DI917" s="395" t="str">
        <f>DI911</f>
        <v/>
      </c>
      <c r="DJ917" s="478" t="str">
        <f ca="1">IF(OR(DI917="",DP917="",DI917=DP917,COUNTIF(games.an,DI917&amp;DP917)=0),"",CONCATENATE(DI917,DP917))</f>
        <v/>
      </c>
      <c r="DK917" s="360" t="str">
        <f ca="1">IF($DJ917="","",CONCATENATE(VLOOKUP($DJ917,games.a,9,FALSE),VLOOKUP($DJ917,games.a,12,FALSE)))</f>
        <v/>
      </c>
      <c r="DL917" s="354" t="str">
        <f ca="1">IF($DJ917="","",VLOOKUP($DJ917,games.a,10,FALSE))</f>
        <v/>
      </c>
      <c r="DM917" s="354" t="str">
        <f ca="1">IF($DJ917="","",VLOOKUP($DJ917,games.a,13,FALSE))</f>
        <v/>
      </c>
      <c r="DN917" s="361" t="str">
        <f ca="1">IF($DJ917="","",VLOOKUP($DJ917,games.a,6,FALSE))</f>
        <v/>
      </c>
      <c r="DO917" s="362" t="str">
        <f ca="1">IF($DJ917="","",VLOOKUP($DJ917,games.a,7,FALSE))</f>
        <v/>
      </c>
      <c r="DP917" s="379" t="str">
        <f>DP916</f>
        <v/>
      </c>
      <c r="DQ917" s="302"/>
      <c r="DR917" s="364"/>
      <c r="DS917" s="445"/>
      <c r="DU917" s="424"/>
      <c r="EL917" s="424"/>
      <c r="EM917" s="424"/>
      <c r="EN917" s="424"/>
      <c r="EO917" s="424"/>
      <c r="EP917" s="424"/>
      <c r="EQ917" s="424"/>
      <c r="ER917" s="424"/>
      <c r="ES917" s="424"/>
      <c r="ET917" s="424"/>
      <c r="EU917" s="424"/>
      <c r="EV917" s="424"/>
      <c r="EW917" s="424"/>
      <c r="EX917" s="424"/>
      <c r="EY917" s="424"/>
      <c r="EZ917" s="424"/>
      <c r="FA917" s="424"/>
      <c r="FE917" s="333"/>
    </row>
    <row r="918" spans="86:161" x14ac:dyDescent="0.25">
      <c r="CH918" s="445"/>
      <c r="CI918" s="300"/>
      <c r="CJ918" s="300"/>
      <c r="CK918" s="300"/>
      <c r="CL918" s="449"/>
      <c r="CM918" s="445"/>
      <c r="CN918" s="300"/>
      <c r="CO918" s="302"/>
      <c r="CP918" s="302"/>
      <c r="CQ918" s="302"/>
      <c r="CR918" s="302"/>
      <c r="CS918" s="302"/>
      <c r="CT918" s="302"/>
      <c r="CU918" s="302"/>
      <c r="CV918" s="302"/>
      <c r="CW918" s="302"/>
      <c r="CX918" s="302"/>
      <c r="CY918" s="302"/>
      <c r="CZ918" s="302"/>
      <c r="DA918" s="302"/>
      <c r="DB918" s="302"/>
      <c r="DC918" s="302"/>
      <c r="DD918" s="302"/>
      <c r="DE918" s="302"/>
      <c r="DF918" s="302"/>
      <c r="DG918" s="445"/>
      <c r="DH918" s="445"/>
      <c r="DI918" s="395" t="str">
        <f>DI912</f>
        <v/>
      </c>
      <c r="DJ918" s="478" t="str">
        <f ca="1">IF(OR(DI918="",DP918="",DI918=DP918,COUNTIF(games.an,DI918&amp;DP918)=0),"",CONCATENATE(DI918,DP918))</f>
        <v/>
      </c>
      <c r="DK918" s="360" t="str">
        <f ca="1">IF($DJ918="","",CONCATENATE(VLOOKUP($DJ918,games.a,9,FALSE),VLOOKUP($DJ918,games.a,12,FALSE)))</f>
        <v/>
      </c>
      <c r="DL918" s="354" t="str">
        <f ca="1">IF($DJ918="","",VLOOKUP($DJ918,games.a,10,FALSE))</f>
        <v/>
      </c>
      <c r="DM918" s="354" t="str">
        <f ca="1">IF($DJ918="","",VLOOKUP($DJ918,games.a,13,FALSE))</f>
        <v/>
      </c>
      <c r="DN918" s="361" t="str">
        <f ca="1">IF($DJ918="","",VLOOKUP($DJ918,games.a,6,FALSE))</f>
        <v/>
      </c>
      <c r="DO918" s="362" t="str">
        <f ca="1">IF($DJ918="","",VLOOKUP($DJ918,games.a,7,FALSE))</f>
        <v/>
      </c>
      <c r="DP918" s="379" t="str">
        <f>DP917</f>
        <v/>
      </c>
      <c r="DQ918" s="302"/>
      <c r="DR918" s="364"/>
      <c r="DS918" s="445"/>
      <c r="DU918" s="424"/>
      <c r="EL918" s="424"/>
      <c r="EM918" s="424"/>
      <c r="EN918" s="424"/>
      <c r="EO918" s="424"/>
      <c r="EP918" s="424"/>
      <c r="EQ918" s="424"/>
      <c r="FE918" s="333"/>
    </row>
    <row r="919" spans="86:161" x14ac:dyDescent="0.25">
      <c r="CH919" s="445"/>
      <c r="CI919" s="300"/>
      <c r="CJ919" s="300"/>
      <c r="CK919" s="300"/>
      <c r="CL919" s="449"/>
      <c r="CM919" s="445"/>
      <c r="CN919" s="300"/>
      <c r="CO919" s="302"/>
      <c r="CP919" s="302"/>
      <c r="CQ919" s="302"/>
      <c r="CR919" s="302"/>
      <c r="CS919" s="302"/>
      <c r="CT919" s="302"/>
      <c r="CU919" s="302"/>
      <c r="CV919" s="302"/>
      <c r="CW919" s="302"/>
      <c r="CX919" s="302"/>
      <c r="CY919" s="302"/>
      <c r="CZ919" s="302"/>
      <c r="DA919" s="302"/>
      <c r="DB919" s="302"/>
      <c r="DC919" s="302"/>
      <c r="DD919" s="302"/>
      <c r="DE919" s="302"/>
      <c r="DF919" s="302"/>
      <c r="DG919" s="445"/>
      <c r="DH919" s="445"/>
      <c r="DI919" s="301"/>
      <c r="DJ919" s="302"/>
      <c r="DK919" s="302"/>
      <c r="DL919" s="302"/>
      <c r="DM919" s="302"/>
      <c r="DN919" s="302"/>
      <c r="DO919" s="302"/>
      <c r="DP919" s="447"/>
      <c r="DQ919" s="302"/>
      <c r="DR919" s="446" t="s">
        <v>220</v>
      </c>
      <c r="DS919" s="445"/>
      <c r="DU919" s="424"/>
      <c r="EL919" s="424"/>
      <c r="EM919" s="424"/>
      <c r="EN919" s="424"/>
      <c r="EO919" s="424"/>
      <c r="EP919" s="424"/>
      <c r="EQ919" s="424"/>
      <c r="FE919" s="333"/>
    </row>
    <row r="920" spans="86:161" x14ac:dyDescent="0.25">
      <c r="DI920" s="301"/>
      <c r="DJ920" s="302"/>
      <c r="DK920" s="302"/>
      <c r="DL920" s="302"/>
      <c r="DM920" s="302"/>
      <c r="DN920" s="302"/>
      <c r="DO920" s="302"/>
      <c r="DP920" s="447"/>
      <c r="DQ920" s="302"/>
      <c r="DR920" s="448" t="s">
        <v>221</v>
      </c>
      <c r="EL920" s="424"/>
      <c r="EM920" s="424"/>
      <c r="EN920" s="424"/>
      <c r="EO920" s="424"/>
      <c r="EP920" s="424"/>
      <c r="EQ920" s="424"/>
    </row>
    <row r="921" spans="86:161" x14ac:dyDescent="0.25">
      <c r="DI921" s="323" t="b">
        <f ca="1">OR(NOT($AJ$44),COUNTIF(DN921:DN932,"")=9-(DP921-1)*DP921,COUNTIF(DN921:DN932,"")=9-(DP921-1)*DP921/2)</f>
        <v>1</v>
      </c>
      <c r="DJ921" s="471" t="s">
        <v>157</v>
      </c>
      <c r="DK921" s="471" t="s">
        <v>158</v>
      </c>
      <c r="DL921" s="472" t="s">
        <v>159</v>
      </c>
      <c r="DM921" s="472"/>
      <c r="DN921" s="473" t="s">
        <v>160</v>
      </c>
      <c r="DO921" s="472" t="s">
        <v>135</v>
      </c>
      <c r="DP921" s="323">
        <f>COUNT(CT670:CT672)</f>
        <v>0</v>
      </c>
      <c r="DQ921" s="302"/>
      <c r="DR921" s="364"/>
      <c r="DV921" s="329" t="s">
        <v>229</v>
      </c>
      <c r="DW921" s="365"/>
      <c r="DX921" s="329" t="s">
        <v>152</v>
      </c>
      <c r="DY921" s="329" t="s">
        <v>153</v>
      </c>
      <c r="DZ921" s="329" t="s">
        <v>154</v>
      </c>
      <c r="EA921" s="329" t="s">
        <v>155</v>
      </c>
      <c r="EB921" s="329" t="s">
        <v>125</v>
      </c>
      <c r="EC921" s="329" t="s">
        <v>226</v>
      </c>
      <c r="ED921" s="329" t="s">
        <v>126</v>
      </c>
      <c r="EE921" s="329" t="s">
        <v>227</v>
      </c>
      <c r="EF921" s="424"/>
      <c r="EG921" s="424"/>
      <c r="EH921" s="424"/>
      <c r="EI921" s="329" t="s">
        <v>228</v>
      </c>
      <c r="EJ921" s="329" t="s">
        <v>156</v>
      </c>
      <c r="EK921" s="329" t="s">
        <v>208</v>
      </c>
      <c r="EL921" s="424"/>
      <c r="EM921" s="424"/>
      <c r="EN921" s="424"/>
      <c r="EO921" s="424"/>
      <c r="EP921" s="424"/>
      <c r="EQ921" s="424"/>
    </row>
    <row r="922" spans="86:161" x14ac:dyDescent="0.25">
      <c r="DI922" s="477" t="str">
        <f>IF(CT670="","",VLOOKUP(CT670,xxx.an2,7,FALSE))</f>
        <v/>
      </c>
      <c r="DJ922" s="478" t="str">
        <f ca="1">IF(OR(DI922="",DP922="",DI922=DP922,COUNTIF(games.an,DI922&amp;DP922)=0),"",CONCATENATE(DI922,DP922))</f>
        <v/>
      </c>
      <c r="DK922" s="360" t="str">
        <f ca="1">IF($DJ922="","",CONCATENATE(VLOOKUP($DJ922,games.a,9,FALSE),VLOOKUP($DJ922,games.a,12,FALSE)))</f>
        <v/>
      </c>
      <c r="DL922" s="354" t="str">
        <f ca="1">IF($DJ922="","",VLOOKUP($DJ922,games.a,10,FALSE))</f>
        <v/>
      </c>
      <c r="DM922" s="354" t="str">
        <f ca="1">IF($DJ922="","",VLOOKUP($DJ922,games.a,13,FALSE))</f>
        <v/>
      </c>
      <c r="DN922" s="361" t="str">
        <f ca="1">IF($DJ922="","",VLOOKUP($DJ922,games.a,6,FALSE))</f>
        <v/>
      </c>
      <c r="DO922" s="362" t="str">
        <f ca="1">IF($DJ922="","",VLOOKUP($DJ922,games.a,7,FALSE))</f>
        <v/>
      </c>
      <c r="DP922" s="479" t="str">
        <f>DI922</f>
        <v/>
      </c>
      <c r="DQ922" s="302"/>
      <c r="DR922" s="364"/>
      <c r="DV922" s="366" t="str">
        <f ca="1">IF(OR(NOT($AJ$44),DI921),DI922,"")</f>
        <v/>
      </c>
      <c r="DW922" s="365"/>
      <c r="DX922" s="366">
        <f ca="1">IF($DV922="",0,COUNTIF(xxgy.an,$DV922))</f>
        <v>0</v>
      </c>
      <c r="DY922" s="366">
        <f ca="1">IF($DV922="",0,COUNTIF(xxd.an,$DV922))</f>
        <v>0</v>
      </c>
      <c r="DZ922" s="366">
        <f ca="1">IF($DV922="",0,1)*(SUMIF(xxo.an,$DV922,xxl.an)+SUMIF(xxi.an,$DV922,xxk.an))</f>
        <v>0</v>
      </c>
      <c r="EA922" s="366">
        <f ca="1">IF($DV922="",0,1)*(SUMIF(xxo.an,$DV922,xxk.an)+SUMIF(xxi.an,$DV922,xxl.an))</f>
        <v>0</v>
      </c>
      <c r="EB922" s="366">
        <f ca="1">DZ922-EA922</f>
        <v>0</v>
      </c>
      <c r="EC922" s="366">
        <f ca="1">IF(EA922=0,0,DZ922/EA922)</f>
        <v>0</v>
      </c>
      <c r="ED922" s="366">
        <f ca="1">$AJ$48*DX922+IF($AJ$44,0,1)*DY922</f>
        <v>0</v>
      </c>
      <c r="EE922" s="396">
        <f ca="1">ED922*1000000+IF($AJ$44,EC922,EB922)*1000*0</f>
        <v>0</v>
      </c>
      <c r="EF922" s="424"/>
      <c r="EG922" s="424"/>
      <c r="EH922" s="424"/>
      <c r="EI922" s="366">
        <f ca="1">IF(OR(ISERR(EE922),ISNA(EE922)),0,EE922)</f>
        <v>0</v>
      </c>
      <c r="EJ922" s="366">
        <f ca="1">IF(EI922=0,0,RANK(EI922,EI922:EI924,1))</f>
        <v>0</v>
      </c>
      <c r="EK922" s="366">
        <f ca="1">EJ922*40000*IF(COUNTIF($FC$890:$FC$899,DV922)&gt;0,0,1)</f>
        <v>0</v>
      </c>
      <c r="EL922" s="424"/>
      <c r="EM922" s="424"/>
      <c r="EN922" s="424"/>
      <c r="EO922" s="424"/>
      <c r="EP922" s="424"/>
      <c r="EQ922" s="424"/>
    </row>
    <row r="923" spans="86:161" x14ac:dyDescent="0.25">
      <c r="DI923" s="477" t="str">
        <f>IF(CT671="","",VLOOKUP(CT671,xxx.an2,7,FALSE))</f>
        <v/>
      </c>
      <c r="DJ923" s="478" t="str">
        <f ca="1">IF(OR(DI923="",DP923="",DI923=DP923,COUNTIF(games.an,DI923&amp;DP923)=0),"",CONCATENATE(DI923,DP923))</f>
        <v/>
      </c>
      <c r="DK923" s="360" t="str">
        <f ca="1">IF($DJ923="","",CONCATENATE(VLOOKUP($DJ923,games.a,9,FALSE),VLOOKUP($DJ923,games.a,12,FALSE)))</f>
        <v/>
      </c>
      <c r="DL923" s="354" t="str">
        <f ca="1">IF($DJ923="","",VLOOKUP($DJ923,games.a,10,FALSE))</f>
        <v/>
      </c>
      <c r="DM923" s="354" t="str">
        <f ca="1">IF($DJ923="","",VLOOKUP($DJ923,games.a,13,FALSE))</f>
        <v/>
      </c>
      <c r="DN923" s="361" t="str">
        <f ca="1">IF($DJ923="","",VLOOKUP($DJ923,games.a,6,FALSE))</f>
        <v/>
      </c>
      <c r="DO923" s="362" t="str">
        <f ca="1">IF($DJ923="","",VLOOKUP($DJ923,games.a,7,FALSE))</f>
        <v/>
      </c>
      <c r="DP923" s="379" t="str">
        <f>DP922</f>
        <v/>
      </c>
      <c r="DQ923" s="302"/>
      <c r="DR923" s="364"/>
      <c r="DV923" s="366" t="str">
        <f ca="1">IF(OR(NOT($AJ$44),DI921),DI923,"")</f>
        <v/>
      </c>
      <c r="DW923" s="365"/>
      <c r="DX923" s="366">
        <f ca="1">IF($DV923="",0,COUNTIF(xxgy.an,$DV923))</f>
        <v>0</v>
      </c>
      <c r="DY923" s="366">
        <f ca="1">IF($DV923="",0,COUNTIF(xxd.an,$DV923))</f>
        <v>0</v>
      </c>
      <c r="DZ923" s="366">
        <f ca="1">IF($DV923="",0,1)*(SUMIF(xxo.an,$DV923,xxl.an)+SUMIF(xxi.an,$DV923,xxk.an))</f>
        <v>0</v>
      </c>
      <c r="EA923" s="366">
        <f ca="1">IF($DV923="",0,1)*(SUMIF(xxo.an,$DV923,xxk.an)+SUMIF(xxi.an,$DV923,xxl.an))</f>
        <v>0</v>
      </c>
      <c r="EB923" s="366">
        <f ca="1">DZ923-EA923</f>
        <v>0</v>
      </c>
      <c r="EC923" s="366">
        <f ca="1">IF(EA923=0,0,DZ923/EA923)</f>
        <v>0</v>
      </c>
      <c r="ED923" s="366">
        <f ca="1">$AJ$48*DX923+IF($AJ$44,0,1)*DY923</f>
        <v>0</v>
      </c>
      <c r="EE923" s="396">
        <f ca="1">ED923*1000000+IF($AJ$44,EC923,EB923)*1000*0</f>
        <v>0</v>
      </c>
      <c r="EF923" s="424"/>
      <c r="EG923" s="424"/>
      <c r="EH923" s="424"/>
      <c r="EI923" s="366">
        <f ca="1">IF(OR(ISERR(EE923),ISNA(EE923)),0,EE923)</f>
        <v>0</v>
      </c>
      <c r="EJ923" s="366">
        <f ca="1">IF(EI923=0,0,RANK(EI923,EI922:EI924,1))</f>
        <v>0</v>
      </c>
      <c r="EK923" s="366">
        <f ca="1">EJ923*40000*IF(COUNTIF($FC$890:$FC$899,DV923)&gt;0,0,1)</f>
        <v>0</v>
      </c>
      <c r="EL923" s="424"/>
      <c r="EM923" s="424"/>
      <c r="EN923" s="424"/>
      <c r="EO923" s="424"/>
      <c r="EP923" s="424"/>
      <c r="EQ923" s="424"/>
    </row>
    <row r="924" spans="86:161" x14ac:dyDescent="0.25">
      <c r="DI924" s="477" t="str">
        <f>IF(CT672="","",VLOOKUP(CT672,xxx.an2,7,FALSE))</f>
        <v/>
      </c>
      <c r="DJ924" s="478" t="str">
        <f ca="1">IF(OR(DI924="",DP924="",DI924=DP924,COUNTIF(games.an,DI924&amp;DP924)=0),"",CONCATENATE(DI924,DP924))</f>
        <v/>
      </c>
      <c r="DK924" s="360" t="str">
        <f ca="1">IF($DJ924="","",CONCATENATE(VLOOKUP($DJ924,games.a,9,FALSE),VLOOKUP($DJ924,games.a,12,FALSE)))</f>
        <v/>
      </c>
      <c r="DL924" s="354" t="str">
        <f ca="1">IF($DJ924="","",VLOOKUP($DJ924,games.a,10,FALSE))</f>
        <v/>
      </c>
      <c r="DM924" s="354" t="str">
        <f ca="1">IF($DJ924="","",VLOOKUP($DJ924,games.a,13,FALSE))</f>
        <v/>
      </c>
      <c r="DN924" s="361" t="str">
        <f ca="1">IF($DJ924="","",VLOOKUP($DJ924,games.a,6,FALSE))</f>
        <v/>
      </c>
      <c r="DO924" s="362" t="str">
        <f ca="1">IF($DJ924="","",VLOOKUP($DJ924,games.a,7,FALSE))</f>
        <v/>
      </c>
      <c r="DP924" s="379" t="str">
        <f>DP923</f>
        <v/>
      </c>
      <c r="DQ924" s="302"/>
      <c r="DR924" s="364"/>
      <c r="DV924" s="366" t="str">
        <f ca="1">IF(OR(NOT($AJ$44),DI921),DI924,"")</f>
        <v/>
      </c>
      <c r="DW924" s="365"/>
      <c r="DX924" s="366">
        <f ca="1">IF($DV924="",0,COUNTIF(xxgy.an,$DV924))</f>
        <v>0</v>
      </c>
      <c r="DY924" s="366">
        <f ca="1">IF($DV924="",0,COUNTIF(xxd.an,$DV924))</f>
        <v>0</v>
      </c>
      <c r="DZ924" s="366">
        <f ca="1">IF($DV924="",0,1)*(SUMIF(xxo.an,$DV924,xxl.an)+SUMIF(xxi.an,$DV924,xxk.an))</f>
        <v>0</v>
      </c>
      <c r="EA924" s="366">
        <f ca="1">IF($DV924="",0,1)*(SUMIF(xxo.an,$DV924,xxk.an)+SUMIF(xxi.an,$DV924,xxl.an))</f>
        <v>0</v>
      </c>
      <c r="EB924" s="366">
        <f ca="1">DZ924-EA924</f>
        <v>0</v>
      </c>
      <c r="EC924" s="366">
        <f ca="1">IF(EA924=0,0,DZ924/EA924)</f>
        <v>0</v>
      </c>
      <c r="ED924" s="366">
        <f ca="1">$AJ$48*DX924+IF($AJ$44,0,1)*DY924</f>
        <v>0</v>
      </c>
      <c r="EE924" s="396">
        <f ca="1">ED924*1000000+IF($AJ$44,EC924,EB924)*1000*0</f>
        <v>0</v>
      </c>
      <c r="EF924" s="424"/>
      <c r="EG924" s="424"/>
      <c r="EH924" s="424"/>
      <c r="EI924" s="366">
        <f ca="1">IF(OR(ISERR(EE924),ISNA(EE924)),0,EE924)</f>
        <v>0</v>
      </c>
      <c r="EJ924" s="366">
        <f ca="1">IF(EI924=0,0,RANK(EI924,EI922:EI924,1))</f>
        <v>0</v>
      </c>
      <c r="EK924" s="366">
        <f ca="1">EJ924*40000*IF(COUNTIF($FC$890:$FC$899,DV924)&gt;0,0,1)</f>
        <v>0</v>
      </c>
      <c r="EL924" s="424"/>
      <c r="EM924" s="424"/>
      <c r="EN924" s="424"/>
      <c r="EO924" s="424"/>
      <c r="EP924" s="424"/>
      <c r="EQ924" s="424"/>
    </row>
    <row r="925" spans="86:161" x14ac:dyDescent="0.25">
      <c r="DI925" s="301"/>
      <c r="DJ925" s="471" t="s">
        <v>157</v>
      </c>
      <c r="DK925" s="471" t="s">
        <v>158</v>
      </c>
      <c r="DL925" s="472" t="s">
        <v>159</v>
      </c>
      <c r="DM925" s="472"/>
      <c r="DN925" s="473" t="s">
        <v>160</v>
      </c>
      <c r="DO925" s="472" t="s">
        <v>135</v>
      </c>
      <c r="DP925" s="302"/>
      <c r="DQ925" s="302"/>
      <c r="DR925" s="364"/>
      <c r="DV925" s="424"/>
      <c r="DW925" s="424"/>
      <c r="DX925" s="424"/>
      <c r="DY925" s="424"/>
      <c r="DZ925" s="424"/>
      <c r="EA925" s="424"/>
      <c r="EB925" s="424"/>
      <c r="EC925" s="424"/>
      <c r="ED925" s="424"/>
      <c r="EE925" s="424"/>
      <c r="EF925" s="424"/>
      <c r="EG925" s="424"/>
      <c r="EH925" s="424"/>
      <c r="EI925" s="424"/>
      <c r="EJ925" s="424"/>
      <c r="EK925" s="424"/>
      <c r="EL925" s="424"/>
      <c r="EM925" s="424"/>
      <c r="EN925" s="424"/>
      <c r="EO925" s="424"/>
      <c r="EP925" s="424"/>
      <c r="EQ925" s="424"/>
    </row>
    <row r="926" spans="86:161" x14ac:dyDescent="0.25">
      <c r="DI926" s="395" t="str">
        <f>DI922</f>
        <v/>
      </c>
      <c r="DJ926" s="478" t="str">
        <f ca="1">IF(OR(DI926="",DP926="",DI926=DP926,COUNTIF(games.an,DI926&amp;DP926)=0),"",CONCATENATE(DI926,DP926))</f>
        <v/>
      </c>
      <c r="DK926" s="360" t="str">
        <f ca="1">IF($DJ926="","",CONCATENATE(VLOOKUP($DJ926,games.a,9,FALSE),VLOOKUP($DJ926,games.a,12,FALSE)))</f>
        <v/>
      </c>
      <c r="DL926" s="354" t="str">
        <f ca="1">IF($DJ926="","",VLOOKUP($DJ926,games.a,10,FALSE))</f>
        <v/>
      </c>
      <c r="DM926" s="354" t="str">
        <f ca="1">IF($DJ926="","",VLOOKUP($DJ926,games.a,13,FALSE))</f>
        <v/>
      </c>
      <c r="DN926" s="361" t="str">
        <f ca="1">IF($DJ926="","",VLOOKUP($DJ926,games.a,6,FALSE))</f>
        <v/>
      </c>
      <c r="DO926" s="362" t="str">
        <f ca="1">IF($DJ926="","",VLOOKUP($DJ926,games.a,7,FALSE))</f>
        <v/>
      </c>
      <c r="DP926" s="479" t="str">
        <f>DI923</f>
        <v/>
      </c>
      <c r="DQ926" s="302"/>
      <c r="DR926" s="364"/>
      <c r="DV926" s="424"/>
      <c r="DW926" s="424"/>
      <c r="DX926" s="424"/>
      <c r="DY926" s="424"/>
      <c r="DZ926" s="424"/>
      <c r="EA926" s="424"/>
      <c r="EB926" s="424"/>
      <c r="EC926" s="424"/>
      <c r="ED926" s="424"/>
      <c r="EE926" s="424"/>
      <c r="EF926" s="424"/>
      <c r="EG926" s="424"/>
      <c r="EH926" s="424"/>
      <c r="EI926" s="424"/>
      <c r="EJ926" s="424"/>
      <c r="EK926" s="424"/>
      <c r="EL926" s="424"/>
      <c r="EM926" s="424"/>
      <c r="EN926" s="424"/>
      <c r="EO926" s="424"/>
      <c r="EP926" s="424"/>
      <c r="EQ926" s="424"/>
    </row>
    <row r="927" spans="86:161" x14ac:dyDescent="0.25">
      <c r="DI927" s="395" t="str">
        <f>DI923</f>
        <v/>
      </c>
      <c r="DJ927" s="478" t="str">
        <f ca="1">IF(OR(DI927="",DP927="",DI927=DP927,COUNTIF(games.an,DI927&amp;DP927)=0),"",CONCATENATE(DI927,DP927))</f>
        <v/>
      </c>
      <c r="DK927" s="360" t="str">
        <f ca="1">IF($DJ927="","",CONCATENATE(VLOOKUP($DJ927,games.a,9,FALSE),VLOOKUP($DJ927,games.a,12,FALSE)))</f>
        <v/>
      </c>
      <c r="DL927" s="354" t="str">
        <f ca="1">IF($DJ927="","",VLOOKUP($DJ927,games.a,10,FALSE))</f>
        <v/>
      </c>
      <c r="DM927" s="354" t="str">
        <f ca="1">IF($DJ927="","",VLOOKUP($DJ927,games.a,13,FALSE))</f>
        <v/>
      </c>
      <c r="DN927" s="361" t="str">
        <f ca="1">IF($DJ927="","",VLOOKUP($DJ927,games.a,6,FALSE))</f>
        <v/>
      </c>
      <c r="DO927" s="362" t="str">
        <f ca="1">IF($DJ927="","",VLOOKUP($DJ927,games.a,7,FALSE))</f>
        <v/>
      </c>
      <c r="DP927" s="379" t="str">
        <f>DP926</f>
        <v/>
      </c>
      <c r="DQ927" s="302"/>
      <c r="DR927" s="364"/>
      <c r="DV927" s="424"/>
      <c r="DW927" s="424"/>
      <c r="DX927" s="424"/>
      <c r="DY927" s="424"/>
      <c r="DZ927" s="424"/>
      <c r="EA927" s="424"/>
      <c r="EB927" s="424"/>
      <c r="EC927" s="424"/>
      <c r="ED927" s="424"/>
      <c r="EE927" s="424"/>
      <c r="EF927" s="424"/>
      <c r="EG927" s="424"/>
      <c r="EH927" s="424"/>
      <c r="EI927" s="424"/>
      <c r="EJ927" s="424"/>
      <c r="EK927" s="424"/>
      <c r="EL927" s="424"/>
      <c r="EM927" s="424"/>
      <c r="EN927" s="424"/>
      <c r="EO927" s="424"/>
      <c r="EP927" s="424"/>
      <c r="EQ927" s="424"/>
    </row>
    <row r="928" spans="86:161" x14ac:dyDescent="0.25">
      <c r="DI928" s="395" t="str">
        <f>DI924</f>
        <v/>
      </c>
      <c r="DJ928" s="478" t="str">
        <f ca="1">IF(OR(DI928="",DP928="",DI928=DP928,COUNTIF(games.an,DI928&amp;DP928)=0),"",CONCATENATE(DI928,DP928))</f>
        <v/>
      </c>
      <c r="DK928" s="360" t="str">
        <f ca="1">IF($DJ928="","",CONCATENATE(VLOOKUP($DJ928,games.a,9,FALSE),VLOOKUP($DJ928,games.a,12,FALSE)))</f>
        <v/>
      </c>
      <c r="DL928" s="354" t="str">
        <f ca="1">IF($DJ928="","",VLOOKUP($DJ928,games.a,10,FALSE))</f>
        <v/>
      </c>
      <c r="DM928" s="354" t="str">
        <f ca="1">IF($DJ928="","",VLOOKUP($DJ928,games.a,13,FALSE))</f>
        <v/>
      </c>
      <c r="DN928" s="361" t="str">
        <f ca="1">IF($DJ928="","",VLOOKUP($DJ928,games.a,6,FALSE))</f>
        <v/>
      </c>
      <c r="DO928" s="362" t="str">
        <f ca="1">IF($DJ928="","",VLOOKUP($DJ928,games.a,7,FALSE))</f>
        <v/>
      </c>
      <c r="DP928" s="379" t="str">
        <f>DP927</f>
        <v/>
      </c>
      <c r="DQ928" s="302"/>
      <c r="DR928" s="364"/>
      <c r="DV928" s="424"/>
      <c r="DW928" s="424"/>
      <c r="DX928" s="424"/>
      <c r="DY928" s="424"/>
      <c r="DZ928" s="424"/>
      <c r="EA928" s="424"/>
      <c r="EB928" s="424"/>
      <c r="EC928" s="424"/>
      <c r="ED928" s="424"/>
      <c r="EE928" s="424"/>
      <c r="EF928" s="424"/>
      <c r="EG928" s="424"/>
      <c r="EH928" s="424"/>
      <c r="EI928" s="424"/>
      <c r="EJ928" s="424"/>
      <c r="EK928" s="424"/>
      <c r="EL928" s="424"/>
      <c r="EM928" s="424"/>
      <c r="EN928" s="424"/>
      <c r="EO928" s="424"/>
      <c r="EP928" s="424"/>
      <c r="EQ928" s="424"/>
    </row>
    <row r="929" spans="113:147" x14ac:dyDescent="0.25">
      <c r="DI929" s="301"/>
      <c r="DJ929" s="471" t="s">
        <v>157</v>
      </c>
      <c r="DK929" s="471" t="s">
        <v>158</v>
      </c>
      <c r="DL929" s="472" t="s">
        <v>159</v>
      </c>
      <c r="DM929" s="472"/>
      <c r="DN929" s="473" t="s">
        <v>160</v>
      </c>
      <c r="DO929" s="472" t="s">
        <v>135</v>
      </c>
      <c r="DP929" s="302"/>
      <c r="DQ929" s="302"/>
      <c r="DR929" s="364"/>
      <c r="DV929" s="424"/>
      <c r="DW929" s="424"/>
      <c r="DX929" s="424"/>
      <c r="DY929" s="424"/>
      <c r="DZ929" s="424"/>
      <c r="EA929" s="424"/>
      <c r="EB929" s="424"/>
      <c r="EC929" s="424"/>
      <c r="ED929" s="424"/>
      <c r="EE929" s="424"/>
      <c r="EF929" s="424"/>
      <c r="EG929" s="424"/>
      <c r="EH929" s="424"/>
      <c r="EI929" s="424"/>
      <c r="EJ929" s="424"/>
      <c r="EK929" s="424"/>
      <c r="EL929" s="424"/>
      <c r="EM929" s="424"/>
      <c r="EN929" s="424"/>
      <c r="EO929" s="424"/>
      <c r="EP929" s="424"/>
      <c r="EQ929" s="424"/>
    </row>
    <row r="930" spans="113:147" x14ac:dyDescent="0.25">
      <c r="DI930" s="395" t="str">
        <f>DI926</f>
        <v/>
      </c>
      <c r="DJ930" s="478" t="str">
        <f ca="1">IF(OR(DI930="",DP930="",DI930=DP930,COUNTIF(games.an,DI930&amp;DP930)=0),"",CONCATENATE(DI930,DP930))</f>
        <v/>
      </c>
      <c r="DK930" s="360" t="str">
        <f ca="1">IF($DJ930="","",CONCATENATE(VLOOKUP($DJ930,games.a,9,FALSE),VLOOKUP($DJ930,games.a,12,FALSE)))</f>
        <v/>
      </c>
      <c r="DL930" s="354" t="str">
        <f ca="1">IF($DJ930="","",VLOOKUP($DJ930,games.a,10,FALSE))</f>
        <v/>
      </c>
      <c r="DM930" s="354" t="str">
        <f ca="1">IF($DJ930="","",VLOOKUP($DJ930,games.a,13,FALSE))</f>
        <v/>
      </c>
      <c r="DN930" s="361" t="str">
        <f ca="1">IF($DJ930="","",VLOOKUP($DJ930,games.a,6,FALSE))</f>
        <v/>
      </c>
      <c r="DO930" s="362" t="str">
        <f ca="1">IF($DJ930="","",VLOOKUP($DJ930,games.a,7,FALSE))</f>
        <v/>
      </c>
      <c r="DP930" s="479" t="str">
        <f>DI924</f>
        <v/>
      </c>
      <c r="DQ930" s="302"/>
      <c r="DR930" s="364"/>
      <c r="DV930" s="424"/>
      <c r="DW930" s="424"/>
      <c r="DX930" s="424"/>
      <c r="DY930" s="424"/>
      <c r="DZ930" s="424"/>
      <c r="EA930" s="424"/>
      <c r="EB930" s="424"/>
      <c r="EC930" s="424"/>
      <c r="ED930" s="424"/>
      <c r="EE930" s="424"/>
      <c r="EF930" s="424"/>
      <c r="EG930" s="424"/>
      <c r="EH930" s="424"/>
      <c r="EI930" s="424"/>
      <c r="EJ930" s="424"/>
      <c r="EK930" s="424"/>
      <c r="EL930" s="424"/>
      <c r="EM930" s="424"/>
      <c r="EN930" s="424"/>
      <c r="EO930" s="424"/>
      <c r="EP930" s="424"/>
      <c r="EQ930" s="424"/>
    </row>
    <row r="931" spans="113:147" x14ac:dyDescent="0.25">
      <c r="DI931" s="395" t="str">
        <f>DI927</f>
        <v/>
      </c>
      <c r="DJ931" s="478" t="str">
        <f ca="1">IF(OR(DI931="",DP931="",DI931=DP931,COUNTIF(games.an,DI931&amp;DP931)=0),"",CONCATENATE(DI931,DP931))</f>
        <v/>
      </c>
      <c r="DK931" s="360" t="str">
        <f ca="1">IF($DJ931="","",CONCATENATE(VLOOKUP($DJ931,games.a,9,FALSE),VLOOKUP($DJ931,games.a,12,FALSE)))</f>
        <v/>
      </c>
      <c r="DL931" s="354" t="str">
        <f ca="1">IF($DJ931="","",VLOOKUP($DJ931,games.a,10,FALSE))</f>
        <v/>
      </c>
      <c r="DM931" s="354" t="str">
        <f ca="1">IF($DJ931="","",VLOOKUP($DJ931,games.a,13,FALSE))</f>
        <v/>
      </c>
      <c r="DN931" s="361" t="str">
        <f ca="1">IF($DJ931="","",VLOOKUP($DJ931,games.a,6,FALSE))</f>
        <v/>
      </c>
      <c r="DO931" s="362" t="str">
        <f ca="1">IF($DJ931="","",VLOOKUP($DJ931,games.a,7,FALSE))</f>
        <v/>
      </c>
      <c r="DP931" s="379" t="str">
        <f>DP930</f>
        <v/>
      </c>
      <c r="DQ931" s="302"/>
      <c r="DR931" s="364"/>
      <c r="DV931" s="424"/>
      <c r="DW931" s="424"/>
      <c r="DX931" s="424"/>
      <c r="DY931" s="424"/>
      <c r="DZ931" s="424"/>
      <c r="EA931" s="424"/>
      <c r="EB931" s="424"/>
      <c r="EC931" s="424"/>
      <c r="ED931" s="424"/>
      <c r="EE931" s="424"/>
      <c r="EF931" s="424"/>
      <c r="EG931" s="424"/>
      <c r="EH931" s="424"/>
      <c r="EI931" s="424"/>
      <c r="EJ931" s="424"/>
      <c r="EK931" s="424"/>
      <c r="EL931" s="424"/>
      <c r="EM931" s="424"/>
      <c r="EN931" s="424"/>
      <c r="EO931" s="424"/>
      <c r="EP931" s="424"/>
      <c r="EQ931" s="424"/>
    </row>
    <row r="932" spans="113:147" x14ac:dyDescent="0.25">
      <c r="DI932" s="395" t="str">
        <f>DI928</f>
        <v/>
      </c>
      <c r="DJ932" s="478" t="str">
        <f ca="1">IF(OR(DI932="",DP932="",DI932=DP932,COUNTIF(games.an,DI932&amp;DP932)=0),"",CONCATENATE(DI932,DP932))</f>
        <v/>
      </c>
      <c r="DK932" s="360" t="str">
        <f ca="1">IF($DJ932="","",CONCATENATE(VLOOKUP($DJ932,games.a,9,FALSE),VLOOKUP($DJ932,games.a,12,FALSE)))</f>
        <v/>
      </c>
      <c r="DL932" s="354" t="str">
        <f ca="1">IF($DJ932="","",VLOOKUP($DJ932,games.a,10,FALSE))</f>
        <v/>
      </c>
      <c r="DM932" s="354" t="str">
        <f ca="1">IF($DJ932="","",VLOOKUP($DJ932,games.a,13,FALSE))</f>
        <v/>
      </c>
      <c r="DN932" s="361" t="str">
        <f ca="1">IF($DJ932="","",VLOOKUP($DJ932,games.a,6,FALSE))</f>
        <v/>
      </c>
      <c r="DO932" s="362" t="str">
        <f ca="1">IF($DJ932="","",VLOOKUP($DJ932,games.a,7,FALSE))</f>
        <v/>
      </c>
      <c r="DP932" s="379" t="str">
        <f>DP931</f>
        <v/>
      </c>
      <c r="DQ932" s="302"/>
      <c r="DR932" s="364"/>
      <c r="DV932" s="424"/>
      <c r="DW932" s="424"/>
      <c r="DX932" s="424"/>
      <c r="DY932" s="424"/>
      <c r="DZ932" s="424"/>
      <c r="EA932" s="424"/>
      <c r="EB932" s="424"/>
      <c r="EC932" s="424"/>
      <c r="ED932" s="424"/>
      <c r="EE932" s="424"/>
      <c r="EF932" s="424"/>
      <c r="EG932" s="424"/>
      <c r="EH932" s="424"/>
      <c r="EI932" s="424"/>
      <c r="EJ932" s="424"/>
      <c r="EK932" s="424"/>
      <c r="EL932" s="424"/>
      <c r="EM932" s="424"/>
      <c r="EN932" s="424"/>
      <c r="EO932" s="424"/>
      <c r="EP932" s="424"/>
      <c r="EQ932" s="424"/>
    </row>
    <row r="933" spans="113:147" x14ac:dyDescent="0.25">
      <c r="DI933" s="301"/>
      <c r="DJ933" s="445"/>
      <c r="DK933" s="302"/>
      <c r="DL933" s="302"/>
      <c r="DM933" s="302"/>
      <c r="DN933" s="302"/>
      <c r="DO933" s="302"/>
      <c r="DP933" s="447"/>
      <c r="DQ933" s="302"/>
      <c r="DR933" s="446" t="s">
        <v>221</v>
      </c>
      <c r="DV933" s="424"/>
      <c r="DW933" s="424"/>
      <c r="DX933" s="424"/>
      <c r="DY933" s="424"/>
      <c r="DZ933" s="424"/>
      <c r="EA933" s="424"/>
      <c r="EB933" s="424"/>
      <c r="EC933" s="424"/>
      <c r="ED933" s="424"/>
      <c r="EE933" s="424"/>
      <c r="EF933" s="424"/>
      <c r="EG933" s="424"/>
      <c r="EH933" s="424"/>
      <c r="EI933" s="424"/>
      <c r="EJ933" s="424"/>
      <c r="EK933" s="424"/>
      <c r="EL933" s="424"/>
      <c r="EM933" s="424"/>
      <c r="EN933" s="424"/>
      <c r="EO933" s="424"/>
      <c r="EP933" s="424"/>
      <c r="EQ933" s="424"/>
    </row>
    <row r="934" spans="113:147" x14ac:dyDescent="0.25">
      <c r="DI934" s="301"/>
      <c r="DJ934" s="445"/>
      <c r="DK934" s="302"/>
      <c r="DL934" s="302"/>
      <c r="DM934" s="302"/>
      <c r="DN934" s="302"/>
      <c r="DO934" s="302"/>
      <c r="DP934" s="447"/>
      <c r="DQ934" s="302"/>
      <c r="DR934" s="448" t="s">
        <v>222</v>
      </c>
      <c r="DV934" s="424"/>
      <c r="DW934" s="424"/>
      <c r="DX934" s="424"/>
      <c r="DY934" s="424"/>
      <c r="DZ934" s="424"/>
      <c r="EA934" s="424"/>
      <c r="EB934" s="424"/>
      <c r="EC934" s="424"/>
      <c r="ED934" s="424"/>
      <c r="EE934" s="424"/>
      <c r="EF934" s="424"/>
      <c r="EG934" s="424"/>
      <c r="EH934" s="424"/>
      <c r="EI934" s="424"/>
      <c r="EJ934" s="424"/>
      <c r="EK934" s="424"/>
      <c r="EL934" s="424"/>
      <c r="EM934" s="424"/>
      <c r="EN934" s="424"/>
      <c r="EO934" s="424"/>
      <c r="EP934" s="424"/>
      <c r="EQ934" s="424"/>
    </row>
    <row r="935" spans="113:147" x14ac:dyDescent="0.25">
      <c r="DI935" s="323" t="b">
        <f ca="1">OR(NOT($AJ$44),COUNTIF(DN935:DN940,"")=4-(DP935-1)*DP935,COUNTIF(DN935:DN940,"")=4-(DP935-1)*DP935/2)</f>
        <v>1</v>
      </c>
      <c r="DJ935" s="471" t="s">
        <v>157</v>
      </c>
      <c r="DK935" s="471" t="s">
        <v>158</v>
      </c>
      <c r="DL935" s="472" t="s">
        <v>159</v>
      </c>
      <c r="DM935" s="472"/>
      <c r="DN935" s="473" t="s">
        <v>160</v>
      </c>
      <c r="DO935" s="472" t="s">
        <v>135</v>
      </c>
      <c r="DP935" s="323">
        <f>COUNT(CW670:CW671)</f>
        <v>0</v>
      </c>
      <c r="DQ935" s="302"/>
      <c r="DR935" s="364"/>
      <c r="DV935" s="329" t="s">
        <v>229</v>
      </c>
      <c r="DW935" s="365"/>
      <c r="DX935" s="329" t="s">
        <v>152</v>
      </c>
      <c r="DY935" s="329" t="s">
        <v>153</v>
      </c>
      <c r="DZ935" s="329" t="s">
        <v>154</v>
      </c>
      <c r="EA935" s="329" t="s">
        <v>155</v>
      </c>
      <c r="EB935" s="329" t="s">
        <v>125</v>
      </c>
      <c r="EC935" s="329" t="s">
        <v>226</v>
      </c>
      <c r="ED935" s="329" t="s">
        <v>126</v>
      </c>
      <c r="EE935" s="329" t="s">
        <v>227</v>
      </c>
      <c r="EF935" s="424"/>
      <c r="EG935" s="424"/>
      <c r="EH935" s="424"/>
      <c r="EI935" s="329" t="s">
        <v>228</v>
      </c>
      <c r="EJ935" s="329" t="s">
        <v>156</v>
      </c>
      <c r="EK935" s="329" t="s">
        <v>208</v>
      </c>
      <c r="EL935" s="424"/>
      <c r="EM935" s="424"/>
      <c r="EN935" s="424"/>
      <c r="EO935" s="424"/>
      <c r="EP935" s="424"/>
      <c r="EQ935" s="424"/>
    </row>
    <row r="936" spans="113:147" x14ac:dyDescent="0.25">
      <c r="DI936" s="477" t="str">
        <f>IF(CW670="","",VLOOKUP(CW670,xxx.an2,10,FALSE))</f>
        <v/>
      </c>
      <c r="DJ936" s="478" t="str">
        <f ca="1">IF(OR(DI936="",DP936="",DI936=DP936,COUNTIF(games.an,DI936&amp;DP936)=0),"",CONCATENATE(DI936,DP936))</f>
        <v/>
      </c>
      <c r="DK936" s="360" t="str">
        <f ca="1">IF($DJ936="","",CONCATENATE(VLOOKUP($DJ936,games.a,9,FALSE),VLOOKUP($DJ936,games.a,12,FALSE)))</f>
        <v/>
      </c>
      <c r="DL936" s="354" t="str">
        <f ca="1">IF($DJ936="","",VLOOKUP($DJ936,games.a,10,FALSE))</f>
        <v/>
      </c>
      <c r="DM936" s="354" t="str">
        <f ca="1">IF($DJ936="","",VLOOKUP($DJ936,games.a,13,FALSE))</f>
        <v/>
      </c>
      <c r="DN936" s="361" t="str">
        <f ca="1">IF($DJ936="","",VLOOKUP($DJ936,games.a,6,FALSE))</f>
        <v/>
      </c>
      <c r="DO936" s="362" t="str">
        <f ca="1">IF($DJ936="","",VLOOKUP($DJ936,games.a,7,FALSE))</f>
        <v/>
      </c>
      <c r="DP936" s="479" t="str">
        <f>DI936</f>
        <v/>
      </c>
      <c r="DQ936" s="302"/>
      <c r="DR936" s="364"/>
      <c r="DV936" s="366" t="str">
        <f ca="1">IF(OR(NOT($AJ$44),DI935),DI936,"")</f>
        <v/>
      </c>
      <c r="DW936" s="365"/>
      <c r="DX936" s="366">
        <f ca="1">IF($DV936="",0,COUNTIF(xxgy.an,$DV936))</f>
        <v>0</v>
      </c>
      <c r="DY936" s="366">
        <f ca="1">IF($DV936="",0,COUNTIF(xxd.an,$DV936))</f>
        <v>0</v>
      </c>
      <c r="DZ936" s="366">
        <f ca="1">IF($DV936="",0,1)*(SUMIF(xxo.an,$DV936,xxl.an)+SUMIF(xxi.an,$DV936,xxk.an))</f>
        <v>0</v>
      </c>
      <c r="EA936" s="366">
        <f ca="1">IF($DV936="",0,1)*(SUMIF(xxo.an,$DV936,xxk.an)+SUMIF(xxi.an,$DV936,xxl.an))</f>
        <v>0</v>
      </c>
      <c r="EB936" s="366">
        <f ca="1">DZ936-EA936</f>
        <v>0</v>
      </c>
      <c r="EC936" s="366">
        <f ca="1">IF(EA936=0,0,DZ936/EA936)</f>
        <v>0</v>
      </c>
      <c r="ED936" s="366">
        <f ca="1">$AJ$48*DX936+IF($AJ$44,0,1)*DY936</f>
        <v>0</v>
      </c>
      <c r="EE936" s="396">
        <f ca="1">ED936*1000000+IF($AJ$44,EC936,EB936)*1000*0</f>
        <v>0</v>
      </c>
      <c r="EF936" s="424"/>
      <c r="EG936" s="424"/>
      <c r="EH936" s="424"/>
      <c r="EI936" s="366">
        <f ca="1">IF(OR(ISERR(EE936),ISNA(EE936)),0,EE936)</f>
        <v>0</v>
      </c>
      <c r="EJ936" s="366">
        <f ca="1">IF(EI936=0,0,RANK(EI936,EI936:EI937,1))</f>
        <v>0</v>
      </c>
      <c r="EK936" s="366">
        <f ca="1">EJ936*40000*IF(COUNTIF($FC$890:$FC$899,DV936)&gt;0,0,1)</f>
        <v>0</v>
      </c>
      <c r="EL936" s="424"/>
      <c r="EM936" s="424"/>
      <c r="EN936" s="424"/>
      <c r="EO936" s="424"/>
      <c r="EP936" s="424"/>
      <c r="EQ936" s="424"/>
    </row>
    <row r="937" spans="113:147" x14ac:dyDescent="0.25">
      <c r="DI937" s="477" t="str">
        <f>IF(CW671="","",VLOOKUP(CW671,xxx.an2,10,FALSE))</f>
        <v/>
      </c>
      <c r="DJ937" s="478" t="str">
        <f ca="1">IF(OR(DI937="",DP937="",DI937=DP937,COUNTIF(games.an,DI937&amp;DP937)=0),"",CONCATENATE(DI937,DP937))</f>
        <v/>
      </c>
      <c r="DK937" s="360" t="str">
        <f ca="1">IF($DJ937="","",CONCATENATE(VLOOKUP($DJ937,games.a,9,FALSE),VLOOKUP($DJ937,games.a,12,FALSE)))</f>
        <v/>
      </c>
      <c r="DL937" s="354" t="str">
        <f ca="1">IF($DJ937="","",VLOOKUP($DJ937,games.a,10,FALSE))</f>
        <v/>
      </c>
      <c r="DM937" s="354" t="str">
        <f ca="1">IF($DJ937="","",VLOOKUP($DJ937,games.a,13,FALSE))</f>
        <v/>
      </c>
      <c r="DN937" s="361" t="str">
        <f ca="1">IF($DJ937="","",VLOOKUP($DJ937,games.a,6,FALSE))</f>
        <v/>
      </c>
      <c r="DO937" s="362" t="str">
        <f ca="1">IF($DJ937="","",VLOOKUP($DJ937,games.a,7,FALSE))</f>
        <v/>
      </c>
      <c r="DP937" s="379" t="str">
        <f>DP936</f>
        <v/>
      </c>
      <c r="DQ937" s="302"/>
      <c r="DR937" s="364"/>
      <c r="DV937" s="366" t="str">
        <f ca="1">IF(OR(NOT($AJ$44),DI935),DI937,"")</f>
        <v/>
      </c>
      <c r="DW937" s="365"/>
      <c r="DX937" s="366">
        <f ca="1">IF($DV937="",0,COUNTIF(xxgy.an,$DV937))</f>
        <v>0</v>
      </c>
      <c r="DY937" s="366">
        <f ca="1">IF($DV937="",0,COUNTIF(xxd.an,$DV937))</f>
        <v>0</v>
      </c>
      <c r="DZ937" s="366">
        <f ca="1">IF($DV937="",0,1)*(SUMIF(xxo.an,$DV937,xxl.an)+SUMIF(xxi.an,$DV937,xxk.an))</f>
        <v>0</v>
      </c>
      <c r="EA937" s="366">
        <f ca="1">IF($DV937="",0,1)*(SUMIF(xxo.an,$DV937,xxk.an)+SUMIF(xxi.an,$DV937,xxl.an))</f>
        <v>0</v>
      </c>
      <c r="EB937" s="366">
        <f ca="1">DZ937-EA937</f>
        <v>0</v>
      </c>
      <c r="EC937" s="366">
        <f ca="1">IF(EA937=0,0,DZ937/EA937)</f>
        <v>0</v>
      </c>
      <c r="ED937" s="366">
        <f ca="1">$AJ$48*DX937+IF($AJ$44,0,1)*DY937</f>
        <v>0</v>
      </c>
      <c r="EE937" s="396">
        <f ca="1">ED937*1000000+IF($AJ$44,EC937,EB937)*1000*0</f>
        <v>0</v>
      </c>
      <c r="EF937" s="424"/>
      <c r="EG937" s="424"/>
      <c r="EH937" s="424"/>
      <c r="EI937" s="366">
        <f ca="1">IF(OR(ISERR(EE937),ISNA(EE937)),0,EE937)</f>
        <v>0</v>
      </c>
      <c r="EJ937" s="366">
        <f ca="1">IF(EI937=0,0,RANK(EI937,EI936:EI937,1))</f>
        <v>0</v>
      </c>
      <c r="EK937" s="366">
        <f ca="1">EJ937*40000*IF(COUNTIF($FC$890:$FC$899,DV937)&gt;0,0,1)</f>
        <v>0</v>
      </c>
      <c r="EL937" s="424"/>
      <c r="EM937" s="424"/>
      <c r="EN937" s="424"/>
      <c r="EO937" s="424"/>
      <c r="EP937" s="424"/>
      <c r="EQ937" s="424"/>
    </row>
    <row r="938" spans="113:147" x14ac:dyDescent="0.25">
      <c r="DI938" s="301"/>
      <c r="DJ938" s="471" t="s">
        <v>157</v>
      </c>
      <c r="DK938" s="471" t="s">
        <v>158</v>
      </c>
      <c r="DL938" s="472" t="s">
        <v>159</v>
      </c>
      <c r="DM938" s="472"/>
      <c r="DN938" s="473" t="s">
        <v>160</v>
      </c>
      <c r="DO938" s="472" t="s">
        <v>135</v>
      </c>
      <c r="DP938" s="302"/>
      <c r="DQ938" s="302"/>
      <c r="DR938" s="364"/>
      <c r="DV938" s="424"/>
      <c r="DW938" s="424"/>
      <c r="DX938" s="424"/>
      <c r="DY938" s="424"/>
      <c r="DZ938" s="424"/>
      <c r="EA938" s="424"/>
      <c r="EB938" s="424"/>
      <c r="EC938" s="424"/>
      <c r="ED938" s="424"/>
      <c r="EE938" s="424"/>
      <c r="EF938" s="424"/>
      <c r="EG938" s="424"/>
      <c r="EH938" s="424"/>
      <c r="EI938" s="424"/>
      <c r="EJ938" s="424"/>
      <c r="EK938" s="424"/>
      <c r="EL938" s="424"/>
      <c r="EM938" s="424"/>
      <c r="EN938" s="424"/>
      <c r="EO938" s="424"/>
      <c r="EP938" s="424"/>
      <c r="EQ938" s="424"/>
    </row>
    <row r="939" spans="113:147" x14ac:dyDescent="0.25">
      <c r="DI939" s="395" t="str">
        <f>DI936</f>
        <v/>
      </c>
      <c r="DJ939" s="478" t="str">
        <f ca="1">IF(OR(DI939="",DP939="",DI939=DP939,COUNTIF(games.an,DI939&amp;DP939)=0),"",CONCATENATE(DI939,DP939))</f>
        <v/>
      </c>
      <c r="DK939" s="360" t="str">
        <f ca="1">IF($DJ939="","",CONCATENATE(VLOOKUP($DJ939,games.a,9,FALSE),VLOOKUP($DJ939,games.a,12,FALSE)))</f>
        <v/>
      </c>
      <c r="DL939" s="354" t="str">
        <f ca="1">IF($DJ939="","",VLOOKUP($DJ939,games.a,10,FALSE))</f>
        <v/>
      </c>
      <c r="DM939" s="354" t="str">
        <f ca="1">IF($DJ939="","",VLOOKUP($DJ939,games.a,13,FALSE))</f>
        <v/>
      </c>
      <c r="DN939" s="361" t="str">
        <f ca="1">IF($DJ939="","",VLOOKUP($DJ939,games.a,6,FALSE))</f>
        <v/>
      </c>
      <c r="DO939" s="362" t="str">
        <f ca="1">IF($DJ939="","",VLOOKUP($DJ939,games.a,7,FALSE))</f>
        <v/>
      </c>
      <c r="DP939" s="479" t="str">
        <f>DI937</f>
        <v/>
      </c>
      <c r="DQ939" s="302"/>
      <c r="DR939" s="364"/>
      <c r="DV939" s="424"/>
      <c r="DW939" s="424"/>
      <c r="DX939" s="424"/>
      <c r="DY939" s="424"/>
      <c r="DZ939" s="424"/>
      <c r="EA939" s="424"/>
      <c r="EB939" s="424"/>
      <c r="EC939" s="424"/>
      <c r="ED939" s="424"/>
      <c r="EE939" s="424"/>
      <c r="EF939" s="424"/>
      <c r="EG939" s="424"/>
      <c r="EH939" s="424"/>
      <c r="EI939" s="424"/>
      <c r="EJ939" s="424"/>
      <c r="EK939" s="424"/>
      <c r="EL939" s="424"/>
      <c r="EM939" s="424"/>
      <c r="EN939" s="424"/>
      <c r="EO939" s="424"/>
      <c r="EP939" s="424"/>
      <c r="EQ939" s="424"/>
    </row>
    <row r="940" spans="113:147" x14ac:dyDescent="0.25">
      <c r="DI940" s="395" t="str">
        <f>DI937</f>
        <v/>
      </c>
      <c r="DJ940" s="478" t="str">
        <f ca="1">IF(OR(DI940="",DP940="",DI940=DP940,COUNTIF(games.an,DI940&amp;DP940)=0),"",CONCATENATE(DI940,DP940))</f>
        <v/>
      </c>
      <c r="DK940" s="360" t="str">
        <f ca="1">IF($DJ940="","",CONCATENATE(VLOOKUP($DJ940,games.a,9,FALSE),VLOOKUP($DJ940,games.a,12,FALSE)))</f>
        <v/>
      </c>
      <c r="DL940" s="354" t="str">
        <f ca="1">IF($DJ940="","",VLOOKUP($DJ940,games.a,10,FALSE))</f>
        <v/>
      </c>
      <c r="DM940" s="354" t="str">
        <f ca="1">IF($DJ940="","",VLOOKUP($DJ940,games.a,13,FALSE))</f>
        <v/>
      </c>
      <c r="DN940" s="361" t="str">
        <f ca="1">IF($DJ940="","",VLOOKUP($DJ940,games.a,6,FALSE))</f>
        <v/>
      </c>
      <c r="DO940" s="362" t="str">
        <f ca="1">IF($DJ940="","",VLOOKUP($DJ940,games.a,7,FALSE))</f>
        <v/>
      </c>
      <c r="DP940" s="379" t="str">
        <f>DP939</f>
        <v/>
      </c>
      <c r="DQ940" s="302"/>
      <c r="DR940" s="364"/>
      <c r="DV940" s="424"/>
      <c r="DW940" s="424"/>
      <c r="DX940" s="424"/>
      <c r="DY940" s="424"/>
      <c r="DZ940" s="424"/>
      <c r="EA940" s="424"/>
      <c r="EB940" s="424"/>
      <c r="EC940" s="424"/>
      <c r="ED940" s="424"/>
      <c r="EE940" s="424"/>
      <c r="EF940" s="424"/>
      <c r="EG940" s="424"/>
      <c r="EH940" s="424"/>
      <c r="EI940" s="424"/>
      <c r="EJ940" s="424"/>
      <c r="EK940" s="424"/>
      <c r="EL940" s="424"/>
      <c r="EM940" s="424"/>
      <c r="EN940" s="424"/>
      <c r="EO940" s="424"/>
      <c r="EP940" s="424"/>
      <c r="EQ940" s="424"/>
    </row>
    <row r="941" spans="113:147" x14ac:dyDescent="0.25">
      <c r="DI941" s="301"/>
      <c r="DJ941" s="302"/>
      <c r="DK941" s="302"/>
      <c r="DL941" s="302"/>
      <c r="DM941" s="302"/>
      <c r="DN941" s="302"/>
      <c r="DO941" s="302"/>
      <c r="DP941" s="302"/>
      <c r="DQ941" s="302"/>
      <c r="DR941" s="446" t="s">
        <v>222</v>
      </c>
      <c r="DV941" s="424"/>
      <c r="DW941" s="424"/>
      <c r="DX941" s="424"/>
      <c r="DY941" s="424"/>
      <c r="DZ941" s="424"/>
      <c r="EA941" s="424"/>
      <c r="EB941" s="424"/>
      <c r="EC941" s="424"/>
      <c r="ED941" s="424"/>
      <c r="EE941" s="424"/>
      <c r="EF941" s="424"/>
      <c r="EG941" s="424"/>
      <c r="EH941" s="424"/>
      <c r="EI941" s="424"/>
      <c r="EJ941" s="424"/>
      <c r="EK941" s="424"/>
      <c r="EL941" s="424"/>
      <c r="EM941" s="424"/>
      <c r="EN941" s="424"/>
      <c r="EO941" s="424"/>
      <c r="EP941" s="424"/>
      <c r="EQ941" s="424"/>
    </row>
    <row r="942" spans="113:147" x14ac:dyDescent="0.25">
      <c r="DV942" s="424"/>
      <c r="DW942" s="424"/>
      <c r="DX942" s="424"/>
      <c r="DY942" s="424"/>
      <c r="DZ942" s="424"/>
      <c r="EA942" s="424"/>
      <c r="EB942" s="424"/>
      <c r="EC942" s="424"/>
      <c r="ED942" s="424"/>
      <c r="EE942" s="424"/>
      <c r="EF942" s="424"/>
      <c r="EG942" s="424"/>
      <c r="EH942" s="424"/>
      <c r="EI942" s="424"/>
      <c r="EJ942" s="424"/>
      <c r="EK942" s="424"/>
      <c r="EL942" s="424"/>
      <c r="EM942" s="424"/>
      <c r="EN942" s="424"/>
      <c r="EO942" s="424"/>
      <c r="EP942" s="424"/>
    </row>
  </sheetData>
  <sheetProtection password="CE76" sheet="1" objects="1" scenarios="1"/>
  <mergeCells count="17">
    <mergeCell ref="P59:R59"/>
    <mergeCell ref="P67:R67"/>
    <mergeCell ref="G54:M54"/>
    <mergeCell ref="O41:R41"/>
    <mergeCell ref="O42:O44"/>
    <mergeCell ref="P45:R45"/>
    <mergeCell ref="O46:R48"/>
    <mergeCell ref="O52:R54"/>
    <mergeCell ref="P69:R69"/>
    <mergeCell ref="P60:R60"/>
    <mergeCell ref="P61:R61"/>
    <mergeCell ref="P62:R62"/>
    <mergeCell ref="P63:R63"/>
    <mergeCell ref="P64:R64"/>
    <mergeCell ref="P65:R65"/>
    <mergeCell ref="P68:R68"/>
    <mergeCell ref="P66:R66"/>
  </mergeCells>
  <phoneticPr fontId="0" type="noConversion"/>
  <conditionalFormatting sqref="DP41 DP319 DP153 DP211 DP243 DP265 DP279 DP287 DP333 DP755 DP620 DP813 DP845 DP867 DP881 DP889 DP935 DP634 DP643 DP921 DP454 DP512 DP544 DP566 DP580 DP588 DP342">
    <cfRule type="expression" dxfId="85" priority="1" stopIfTrue="1">
      <formula>DI41</formula>
    </cfRule>
  </conditionalFormatting>
  <conditionalFormatting sqref="C42:C52">
    <cfRule type="expression" dxfId="84" priority="2" stopIfTrue="1">
      <formula>$D42="▲"</formula>
    </cfRule>
    <cfRule type="expression" dxfId="83" priority="3" stopIfTrue="1">
      <formula>$D42="▼"</formula>
    </cfRule>
  </conditionalFormatting>
  <conditionalFormatting sqref="DI287 DI279 DI41 DI319 DI153 DI211 DI243 DI265 DI333 DI643 DI921 DI755 DI620 DI813 DI845 DI867 DI935 DI634 DI889 DI881 DI342 DI454 DI512 DI544 DI566 DI588 DI580">
    <cfRule type="expression" dxfId="82" priority="4" stopIfTrue="1">
      <formula>DI41</formula>
    </cfRule>
  </conditionalFormatting>
  <conditionalFormatting sqref="D42:D52">
    <cfRule type="cellIs" dxfId="81" priority="5" stopIfTrue="1" operator="equal">
      <formula>"▲"</formula>
    </cfRule>
    <cfRule type="cellIs" dxfId="80" priority="6" stopIfTrue="1" operator="equal">
      <formula>"▼"</formula>
    </cfRule>
  </conditionalFormatting>
  <dataValidations count="7">
    <dataValidation type="whole" allowBlank="1" showInputMessage="1" showErrorMessage="1" error="Érvénytelen adat" sqref="R43">
      <formula1>P43</formula1>
      <formula2>$AJ$65</formula2>
    </dataValidation>
    <dataValidation type="whole" allowBlank="1" showInputMessage="1" showErrorMessage="1" error="Érvénytelen adat" sqref="P43">
      <formula1>$AJ$62</formula1>
      <formula2>R43</formula2>
    </dataValidation>
    <dataValidation type="whole" allowBlank="1" showInputMessage="1" showErrorMessage="1" error="Érvénytelen adat" sqref="S48:T48">
      <formula1>R43</formula1>
      <formula2>38</formula2>
    </dataValidation>
    <dataValidation type="list" allowBlank="1" showInputMessage="1" showErrorMessage="1" sqref="F54">
      <formula1>gdays.a</formula1>
    </dataValidation>
    <dataValidation type="list" allowBlank="1" showInputMessage="1" showErrorMessage="1" sqref="FK81 FK92 FK70 FK56 FK42 X71 AJ52:AJ54 AJ43:AJ45">
      <formula1>$AC$79:$AC$80</formula1>
    </dataValidation>
    <dataValidation type="list" allowBlank="1" showInputMessage="1" showErrorMessage="1" sqref="O60:O69">
      <formula1>teams.a</formula1>
    </dataValidation>
    <dataValidation type="whole" allowBlank="1" showInputMessage="1" showErrorMessage="1" sqref="P60:R69">
      <formula1>1</formula1>
      <formula2>100</formula2>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rowBreaks count="1" manualBreakCount="1">
    <brk id="72" max="18" man="1"/>
  </rowBreaks>
  <drawing r:id="rId2"/>
  <legacyDrawing r:id="rId3"/>
  <picture r:id="rId4"/>
  <mc:AlternateContent xmlns:mc="http://schemas.openxmlformats.org/markup-compatibility/2006">
    <mc:Choice Requires="x14">
      <controls>
        <mc:AlternateContent xmlns:mc="http://schemas.openxmlformats.org/markup-compatibility/2006">
          <mc:Choice Requires="x14">
            <control shapeId="2506" r:id="rId5" name="Group Box 458">
              <controlPr defaultSize="0" autoFill="0" autoPict="0">
                <anchor moveWithCells="1" sizeWithCells="1">
                  <from>
                    <xdr:col>14</xdr:col>
                    <xdr:colOff>57150</xdr:colOff>
                    <xdr:row>54</xdr:row>
                    <xdr:rowOff>28575</xdr:rowOff>
                  </from>
                  <to>
                    <xdr:col>17</xdr:col>
                    <xdr:colOff>190500</xdr:colOff>
                    <xdr:row>57</xdr:row>
                    <xdr:rowOff>85725</xdr:rowOff>
                  </to>
                </anchor>
              </controlPr>
            </control>
          </mc:Choice>
        </mc:AlternateContent>
        <mc:AlternateContent xmlns:mc="http://schemas.openxmlformats.org/markup-compatibility/2006">
          <mc:Choice Requires="x14">
            <control shapeId="2507" r:id="rId6" name="Option Button 459">
              <controlPr defaultSize="0" autoFill="0" autoLine="0" autoPict="0">
                <anchor moveWithCells="1" sizeWithCells="1">
                  <from>
                    <xdr:col>14</xdr:col>
                    <xdr:colOff>152400</xdr:colOff>
                    <xdr:row>56</xdr:row>
                    <xdr:rowOff>38100</xdr:rowOff>
                  </from>
                  <to>
                    <xdr:col>14</xdr:col>
                    <xdr:colOff>447675</xdr:colOff>
                    <xdr:row>57</xdr:row>
                    <xdr:rowOff>47625</xdr:rowOff>
                  </to>
                </anchor>
              </controlPr>
            </control>
          </mc:Choice>
        </mc:AlternateContent>
        <mc:AlternateContent xmlns:mc="http://schemas.openxmlformats.org/markup-compatibility/2006">
          <mc:Choice Requires="x14">
            <control shapeId="2508" r:id="rId7" name="Option Button 460">
              <controlPr defaultSize="0" autoFill="0" autoLine="0" autoPict="0">
                <anchor moveWithCells="1" sizeWithCells="1">
                  <from>
                    <xdr:col>14</xdr:col>
                    <xdr:colOff>152400</xdr:colOff>
                    <xdr:row>54</xdr:row>
                    <xdr:rowOff>57150</xdr:rowOff>
                  </from>
                  <to>
                    <xdr:col>14</xdr:col>
                    <xdr:colOff>447675</xdr:colOff>
                    <xdr:row>55</xdr:row>
                    <xdr:rowOff>66675</xdr:rowOff>
                  </to>
                </anchor>
              </controlPr>
            </control>
          </mc:Choice>
        </mc:AlternateContent>
        <mc:AlternateContent xmlns:mc="http://schemas.openxmlformats.org/markup-compatibility/2006">
          <mc:Choice Requires="x14">
            <control shapeId="2509" r:id="rId8" name="Option Button 461">
              <controlPr defaultSize="0" autoFill="0" autoLine="0" autoPict="0">
                <anchor moveWithCells="1" sizeWithCells="1">
                  <from>
                    <xdr:col>14</xdr:col>
                    <xdr:colOff>152400</xdr:colOff>
                    <xdr:row>55</xdr:row>
                    <xdr:rowOff>47625</xdr:rowOff>
                  </from>
                  <to>
                    <xdr:col>14</xdr:col>
                    <xdr:colOff>447675</xdr:colOff>
                    <xdr:row>56</xdr:row>
                    <xdr:rowOff>57150</xdr:rowOff>
                  </to>
                </anchor>
              </controlPr>
            </control>
          </mc:Choice>
        </mc:AlternateContent>
        <mc:AlternateContent xmlns:mc="http://schemas.openxmlformats.org/markup-compatibility/2006">
          <mc:Choice Requires="x14">
            <control shapeId="2489" r:id="rId9" name="Group Box 441">
              <controlPr defaultSize="0" autoFill="0" autoPict="0">
                <anchor moveWithCells="1" sizeWithCells="1">
                  <from>
                    <xdr:col>14</xdr:col>
                    <xdr:colOff>57150</xdr:colOff>
                    <xdr:row>48</xdr:row>
                    <xdr:rowOff>19050</xdr:rowOff>
                  </from>
                  <to>
                    <xdr:col>17</xdr:col>
                    <xdr:colOff>190500</xdr:colOff>
                    <xdr:row>51</xdr:row>
                    <xdr:rowOff>76200</xdr:rowOff>
                  </to>
                </anchor>
              </controlPr>
            </control>
          </mc:Choice>
        </mc:AlternateContent>
        <mc:AlternateContent xmlns:mc="http://schemas.openxmlformats.org/markup-compatibility/2006">
          <mc:Choice Requires="x14">
            <control shapeId="2490" r:id="rId10" name="Option Button 442">
              <controlPr defaultSize="0" autoFill="0" autoLine="0" autoPict="0">
                <anchor moveWithCells="1" sizeWithCells="1">
                  <from>
                    <xdr:col>14</xdr:col>
                    <xdr:colOff>152400</xdr:colOff>
                    <xdr:row>50</xdr:row>
                    <xdr:rowOff>28575</xdr:rowOff>
                  </from>
                  <to>
                    <xdr:col>14</xdr:col>
                    <xdr:colOff>447675</xdr:colOff>
                    <xdr:row>51</xdr:row>
                    <xdr:rowOff>38100</xdr:rowOff>
                  </to>
                </anchor>
              </controlPr>
            </control>
          </mc:Choice>
        </mc:AlternateContent>
        <mc:AlternateContent xmlns:mc="http://schemas.openxmlformats.org/markup-compatibility/2006">
          <mc:Choice Requires="x14">
            <control shapeId="2491" r:id="rId11" name="Option Button 443">
              <controlPr defaultSize="0" autoFill="0" autoLine="0" autoPict="0">
                <anchor moveWithCells="1" sizeWithCells="1">
                  <from>
                    <xdr:col>14</xdr:col>
                    <xdr:colOff>152400</xdr:colOff>
                    <xdr:row>48</xdr:row>
                    <xdr:rowOff>47625</xdr:rowOff>
                  </from>
                  <to>
                    <xdr:col>14</xdr:col>
                    <xdr:colOff>447675</xdr:colOff>
                    <xdr:row>49</xdr:row>
                    <xdr:rowOff>57150</xdr:rowOff>
                  </to>
                </anchor>
              </controlPr>
            </control>
          </mc:Choice>
        </mc:AlternateContent>
        <mc:AlternateContent xmlns:mc="http://schemas.openxmlformats.org/markup-compatibility/2006">
          <mc:Choice Requires="x14">
            <control shapeId="2492" r:id="rId12" name="Option Button 444">
              <controlPr defaultSize="0" autoFill="0" autoLine="0" autoPict="0">
                <anchor moveWithCells="1" sizeWithCells="1">
                  <from>
                    <xdr:col>14</xdr:col>
                    <xdr:colOff>152400</xdr:colOff>
                    <xdr:row>49</xdr:row>
                    <xdr:rowOff>38100</xdr:rowOff>
                  </from>
                  <to>
                    <xdr:col>14</xdr:col>
                    <xdr:colOff>447675</xdr:colOff>
                    <xdr:row>50</xdr:row>
                    <xdr:rowOff>47625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3">
    <pageSetUpPr autoPageBreaks="0"/>
  </sheetPr>
  <dimension ref="A1:BQ93"/>
  <sheetViews>
    <sheetView showGridLines="0" showRowColHeaders="0" zoomScaleNormal="100" workbookViewId="0">
      <pane ySplit="39" topLeftCell="A40" activePane="bottomLeft" state="frozen"/>
      <selection pane="bottomLeft"/>
    </sheetView>
  </sheetViews>
  <sheetFormatPr defaultColWidth="9.140625" defaultRowHeight="9" x14ac:dyDescent="0.15"/>
  <cols>
    <col min="1" max="1" width="1.7109375" style="590" customWidth="1"/>
    <col min="2" max="2" width="6" style="591" customWidth="1"/>
    <col min="3" max="3" width="31.42578125" style="592" customWidth="1"/>
    <col min="4" max="8" width="4" style="602" hidden="1" customWidth="1"/>
    <col min="9" max="9" width="7.140625" style="593" customWidth="1"/>
    <col min="10" max="14" width="4" style="602" hidden="1" customWidth="1"/>
    <col min="15" max="15" width="7.140625" style="593" customWidth="1"/>
    <col min="16" max="20" width="4" style="602" hidden="1" customWidth="1"/>
    <col min="21" max="21" width="7.140625" style="593" customWidth="1"/>
    <col min="22" max="26" width="4" style="602" hidden="1" customWidth="1"/>
    <col min="27" max="27" width="7.140625" style="593" customWidth="1"/>
    <col min="28" max="32" width="4" style="602" hidden="1" customWidth="1"/>
    <col min="33" max="33" width="7.140625" style="593" customWidth="1"/>
    <col min="34" max="38" width="4" style="602" hidden="1" customWidth="1"/>
    <col min="39" max="39" width="7.140625" style="593" customWidth="1"/>
    <col min="40" max="44" width="4" style="602" hidden="1" customWidth="1"/>
    <col min="45" max="45" width="7.140625" style="593" customWidth="1"/>
    <col min="46" max="50" width="4" style="602" hidden="1" customWidth="1"/>
    <col min="51" max="51" width="7.140625" style="593" customWidth="1"/>
    <col min="52" max="56" width="4" style="602" hidden="1" customWidth="1"/>
    <col min="57" max="57" width="7.140625" style="593" customWidth="1"/>
    <col min="58" max="62" width="4" style="602" hidden="1" customWidth="1"/>
    <col min="63" max="63" width="7.140625" style="593" customWidth="1"/>
    <col min="64" max="68" width="4" style="602" hidden="1" customWidth="1"/>
    <col min="69" max="69" width="7.140625" style="593" customWidth="1"/>
    <col min="70" max="71" width="9.140625" style="591"/>
    <col min="72" max="72" width="7.5703125" style="591" customWidth="1"/>
    <col min="73" max="16384" width="9.140625" style="591"/>
  </cols>
  <sheetData>
    <row r="1" spans="4:6" s="257" customFormat="1" ht="1.5" customHeight="1" x14ac:dyDescent="0.2">
      <c r="D1" s="258"/>
      <c r="E1" s="258"/>
      <c r="F1" s="258"/>
    </row>
    <row r="2" spans="4:6" s="257" customFormat="1" ht="0.75" customHeight="1" x14ac:dyDescent="0.2">
      <c r="D2" s="259"/>
      <c r="E2" s="260"/>
      <c r="F2" s="260"/>
    </row>
    <row r="3" spans="4:6" s="257" customFormat="1" ht="1.5" hidden="1" customHeight="1" x14ac:dyDescent="0.2">
      <c r="D3" s="261"/>
      <c r="E3" s="262"/>
      <c r="F3" s="263"/>
    </row>
    <row r="4" spans="4:6" s="257" customFormat="1" ht="0.75" hidden="1" customHeight="1" x14ac:dyDescent="0.2">
      <c r="D4" s="261"/>
      <c r="E4" s="262"/>
      <c r="F4" s="263"/>
    </row>
    <row r="5" spans="4:6" s="257" customFormat="1" ht="1.5" hidden="1" customHeight="1" x14ac:dyDescent="0.2">
      <c r="D5" s="261"/>
      <c r="E5" s="262"/>
      <c r="F5" s="263"/>
    </row>
    <row r="6" spans="4:6" s="257" customFormat="1" ht="0.75" hidden="1" customHeight="1" x14ac:dyDescent="0.2">
      <c r="D6" s="261"/>
      <c r="E6" s="262"/>
      <c r="F6" s="263"/>
    </row>
    <row r="7" spans="4:6" s="257" customFormat="1" ht="1.5" customHeight="1" x14ac:dyDescent="0.2">
      <c r="D7" s="261"/>
      <c r="E7" s="262"/>
      <c r="F7" s="263"/>
    </row>
    <row r="8" spans="4:6" s="257" customFormat="1" ht="0.75" customHeight="1" x14ac:dyDescent="0.2">
      <c r="D8" s="261"/>
      <c r="E8" s="262"/>
      <c r="F8" s="263"/>
    </row>
    <row r="9" spans="4:6" s="257" customFormat="1" ht="1.5" customHeight="1" x14ac:dyDescent="0.2">
      <c r="D9" s="261"/>
      <c r="E9" s="262"/>
      <c r="F9" s="263"/>
    </row>
    <row r="10" spans="4:6" s="257" customFormat="1" ht="0.75" customHeight="1" x14ac:dyDescent="0.2">
      <c r="D10" s="261"/>
      <c r="E10" s="262"/>
      <c r="F10" s="263"/>
    </row>
    <row r="11" spans="4:6" s="257" customFormat="1" ht="1.5" customHeight="1" x14ac:dyDescent="0.2">
      <c r="D11" s="261"/>
      <c r="E11" s="262"/>
      <c r="F11" s="263"/>
    </row>
    <row r="12" spans="4:6" s="257" customFormat="1" ht="0.75" customHeight="1" x14ac:dyDescent="0.2">
      <c r="D12" s="261"/>
      <c r="E12" s="262"/>
      <c r="F12" s="263"/>
    </row>
    <row r="13" spans="4:6" s="257" customFormat="1" ht="1.5" customHeight="1" x14ac:dyDescent="0.2">
      <c r="D13" s="261"/>
      <c r="E13" s="262"/>
      <c r="F13" s="263"/>
    </row>
    <row r="14" spans="4:6" s="257" customFormat="1" ht="0.75" customHeight="1" x14ac:dyDescent="0.2">
      <c r="D14" s="261"/>
      <c r="E14" s="262"/>
      <c r="F14" s="263"/>
    </row>
    <row r="15" spans="4:6" s="257" customFormat="1" ht="1.5" customHeight="1" x14ac:dyDescent="0.2">
      <c r="D15" s="261"/>
      <c r="E15" s="262"/>
      <c r="F15" s="263"/>
    </row>
    <row r="16" spans="4:6" s="257" customFormat="1" ht="0.75" customHeight="1" x14ac:dyDescent="0.2">
      <c r="D16" s="261"/>
      <c r="E16" s="262"/>
      <c r="F16" s="263"/>
    </row>
    <row r="17" spans="4:6" s="257" customFormat="1" ht="1.5" customHeight="1" x14ac:dyDescent="0.2">
      <c r="D17" s="261"/>
      <c r="E17" s="262"/>
      <c r="F17" s="263"/>
    </row>
    <row r="18" spans="4:6" s="257" customFormat="1" ht="0.75" customHeight="1" x14ac:dyDescent="0.2">
      <c r="D18" s="261"/>
      <c r="E18" s="262"/>
      <c r="F18" s="263"/>
    </row>
    <row r="19" spans="4:6" s="257" customFormat="1" ht="1.5" customHeight="1" x14ac:dyDescent="0.2">
      <c r="D19" s="261"/>
      <c r="E19" s="262"/>
      <c r="F19" s="263"/>
    </row>
    <row r="20" spans="4:6" s="257" customFormat="1" ht="0.75" customHeight="1" x14ac:dyDescent="0.2">
      <c r="D20" s="261"/>
      <c r="E20" s="262"/>
      <c r="F20" s="263"/>
    </row>
    <row r="21" spans="4:6" s="257" customFormat="1" ht="1.5" customHeight="1" x14ac:dyDescent="0.2">
      <c r="D21" s="261"/>
      <c r="E21" s="262"/>
      <c r="F21" s="263"/>
    </row>
    <row r="22" spans="4:6" s="257" customFormat="1" ht="0.75" customHeight="1" x14ac:dyDescent="0.2">
      <c r="D22" s="261"/>
      <c r="E22" s="262"/>
      <c r="F22" s="263"/>
    </row>
    <row r="23" spans="4:6" s="257" customFormat="1" ht="1.5" customHeight="1" x14ac:dyDescent="0.2">
      <c r="D23" s="261"/>
      <c r="E23" s="262"/>
      <c r="F23" s="263"/>
    </row>
    <row r="24" spans="4:6" s="257" customFormat="1" ht="0.75" customHeight="1" x14ac:dyDescent="0.2">
      <c r="D24" s="261"/>
      <c r="E24" s="262"/>
      <c r="F24" s="263"/>
    </row>
    <row r="25" spans="4:6" s="257" customFormat="1" ht="1.5" customHeight="1" x14ac:dyDescent="0.2">
      <c r="D25" s="261"/>
      <c r="E25" s="262"/>
      <c r="F25" s="263"/>
    </row>
    <row r="26" spans="4:6" s="257" customFormat="1" ht="0.75" customHeight="1" x14ac:dyDescent="0.2">
      <c r="D26" s="261"/>
      <c r="E26" s="262"/>
      <c r="F26" s="263"/>
    </row>
    <row r="27" spans="4:6" s="257" customFormat="1" ht="1.5" customHeight="1" x14ac:dyDescent="0.2">
      <c r="D27" s="261"/>
      <c r="E27" s="262"/>
      <c r="F27" s="263"/>
    </row>
    <row r="28" spans="4:6" s="257" customFormat="1" ht="0.75" customHeight="1" x14ac:dyDescent="0.2">
      <c r="D28" s="261"/>
      <c r="E28" s="262"/>
      <c r="F28" s="263"/>
    </row>
    <row r="29" spans="4:6" s="257" customFormat="1" ht="1.5" customHeight="1" x14ac:dyDescent="0.2">
      <c r="D29" s="261"/>
      <c r="E29" s="262"/>
      <c r="F29" s="263"/>
    </row>
    <row r="30" spans="4:6" s="257" customFormat="1" ht="0.75" customHeight="1" x14ac:dyDescent="0.2">
      <c r="D30" s="261"/>
      <c r="E30" s="262"/>
      <c r="F30" s="263"/>
    </row>
    <row r="31" spans="4:6" s="257" customFormat="1" ht="1.5" customHeight="1" x14ac:dyDescent="0.2">
      <c r="D31" s="261"/>
      <c r="E31" s="262"/>
      <c r="F31" s="263"/>
    </row>
    <row r="32" spans="4:6" s="257" customFormat="1" ht="0.75" customHeight="1" x14ac:dyDescent="0.2">
      <c r="D32" s="261"/>
      <c r="E32" s="262"/>
      <c r="F32" s="263"/>
    </row>
    <row r="33" spans="2:69" s="257" customFormat="1" ht="1.5" customHeight="1" x14ac:dyDescent="0.2">
      <c r="D33" s="261"/>
      <c r="E33" s="262"/>
      <c r="F33" s="263"/>
    </row>
    <row r="34" spans="2:69" s="257" customFormat="1" ht="0.75" customHeight="1" x14ac:dyDescent="0.2">
      <c r="D34" s="261"/>
      <c r="E34" s="262"/>
      <c r="F34" s="263"/>
    </row>
    <row r="35" spans="2:69" s="257" customFormat="1" ht="1.5" customHeight="1" x14ac:dyDescent="0.2">
      <c r="D35" s="261"/>
      <c r="E35" s="262"/>
      <c r="F35" s="263"/>
    </row>
    <row r="36" spans="2:69" s="257" customFormat="1" ht="0.75" customHeight="1" x14ac:dyDescent="0.2">
      <c r="D36" s="261"/>
      <c r="E36" s="262"/>
      <c r="F36" s="263"/>
    </row>
    <row r="37" spans="2:69" s="257" customFormat="1" ht="1.5" customHeight="1" x14ac:dyDescent="0.2">
      <c r="D37" s="261"/>
      <c r="E37" s="262"/>
      <c r="F37" s="263"/>
    </row>
    <row r="38" spans="2:69" s="257" customFormat="1" ht="0.75" customHeight="1" x14ac:dyDescent="0.2">
      <c r="D38" s="261"/>
      <c r="E38" s="262"/>
      <c r="F38" s="263"/>
    </row>
    <row r="39" spans="2:69" s="164" customFormat="1" ht="12" customHeight="1" x14ac:dyDescent="0.2">
      <c r="B39" s="256" t="s">
        <v>456</v>
      </c>
      <c r="C39" s="165"/>
      <c r="D39" s="166"/>
      <c r="E39" s="167"/>
      <c r="F39" s="168"/>
    </row>
    <row r="40" spans="2:69" ht="28.5" customHeight="1" x14ac:dyDescent="0.15">
      <c r="D40" s="593"/>
      <c r="E40" s="593"/>
      <c r="F40" s="593"/>
      <c r="G40" s="593"/>
      <c r="H40" s="593"/>
      <c r="J40" s="593"/>
      <c r="K40" s="593"/>
      <c r="L40" s="593"/>
      <c r="M40" s="593"/>
      <c r="N40" s="593"/>
      <c r="P40" s="593"/>
      <c r="Q40" s="593"/>
      <c r="R40" s="593"/>
      <c r="S40" s="593"/>
      <c r="T40" s="593"/>
      <c r="V40" s="593"/>
      <c r="W40" s="593"/>
      <c r="X40" s="593"/>
      <c r="Y40" s="593"/>
      <c r="Z40" s="593"/>
      <c r="AB40" s="593"/>
      <c r="AC40" s="593"/>
      <c r="AD40" s="593"/>
      <c r="AE40" s="593"/>
      <c r="AF40" s="593"/>
      <c r="AH40" s="593"/>
      <c r="AI40" s="593"/>
      <c r="AJ40" s="593"/>
      <c r="AK40" s="593"/>
      <c r="AL40" s="593"/>
      <c r="AN40" s="593"/>
      <c r="AO40" s="593"/>
      <c r="AP40" s="593"/>
      <c r="AQ40" s="593"/>
      <c r="AR40" s="593"/>
      <c r="AT40" s="593"/>
      <c r="AU40" s="593"/>
      <c r="AV40" s="593"/>
      <c r="AW40" s="593"/>
      <c r="AX40" s="593"/>
      <c r="AZ40" s="593"/>
      <c r="BA40" s="593"/>
      <c r="BB40" s="593"/>
      <c r="BC40" s="593"/>
      <c r="BD40" s="593"/>
      <c r="BF40" s="593"/>
      <c r="BG40" s="593"/>
      <c r="BH40" s="593"/>
      <c r="BI40" s="593"/>
      <c r="BJ40" s="593"/>
      <c r="BL40" s="593"/>
      <c r="BM40" s="593"/>
      <c r="BN40" s="593"/>
      <c r="BO40" s="593"/>
      <c r="BP40" s="593"/>
    </row>
    <row r="41" spans="2:69" ht="68.25" customHeight="1" x14ac:dyDescent="0.15">
      <c r="C41" s="594"/>
      <c r="D41" s="595"/>
      <c r="E41" s="596">
        <f ca="1">IF(G41=1000,100000,VLOOKUP(G41,ASZ!$AQ$59:$AS$104,2,FALSE))</f>
        <v>100000</v>
      </c>
      <c r="F41" s="597">
        <v>1</v>
      </c>
      <c r="G41" s="596">
        <f ca="1">ASZ!$AS$105</f>
        <v>1000</v>
      </c>
      <c r="H41" s="598"/>
      <c r="I41" s="599" t="str">
        <f>C42</f>
        <v>Bakafogó-Honvéd-Sashegy SE</v>
      </c>
      <c r="J41" s="595"/>
      <c r="K41" s="595"/>
      <c r="L41" s="595"/>
      <c r="M41" s="595"/>
      <c r="N41" s="595"/>
      <c r="O41" s="599" t="str">
        <f>C43</f>
        <v>BBK</v>
      </c>
      <c r="P41" s="595"/>
      <c r="Q41" s="595"/>
      <c r="R41" s="595"/>
      <c r="S41" s="595"/>
      <c r="T41" s="595"/>
      <c r="U41" s="599" t="str">
        <f>C44</f>
        <v>BHD</v>
      </c>
      <c r="V41" s="595"/>
      <c r="W41" s="595"/>
      <c r="X41" s="595"/>
      <c r="Y41" s="595"/>
      <c r="Z41" s="595"/>
      <c r="AA41" s="599" t="str">
        <f>C45</f>
        <v>Bőrdíszmű</v>
      </c>
      <c r="AB41" s="595"/>
      <c r="AC41" s="595"/>
      <c r="AD41" s="595"/>
      <c r="AE41" s="595"/>
      <c r="AF41" s="595"/>
      <c r="AG41" s="599" t="str">
        <f>C46</f>
        <v>Carbonász</v>
      </c>
      <c r="AH41" s="595"/>
      <c r="AI41" s="595"/>
      <c r="AJ41" s="595"/>
      <c r="AK41" s="595"/>
      <c r="AL41" s="595"/>
      <c r="AM41" s="599" t="str">
        <f>C47</f>
        <v>Élelmesek</v>
      </c>
      <c r="AN41" s="595"/>
      <c r="AO41" s="595"/>
      <c r="AP41" s="595"/>
      <c r="AQ41" s="595"/>
      <c r="AR41" s="595"/>
      <c r="AS41" s="599" t="str">
        <f>C48</f>
        <v>Hercules-Ludovika</v>
      </c>
      <c r="AT41" s="595"/>
      <c r="AU41" s="595"/>
      <c r="AV41" s="595"/>
      <c r="AW41" s="595"/>
      <c r="AX41" s="595"/>
      <c r="AY41" s="599" t="str">
        <f>C49</f>
        <v>K&amp;H</v>
      </c>
      <c r="AZ41" s="595"/>
      <c r="BA41" s="595"/>
      <c r="BB41" s="595"/>
      <c r="BC41" s="595"/>
      <c r="BD41" s="595"/>
      <c r="BE41" s="599" t="str">
        <f>C50</f>
        <v>Royal Guard's</v>
      </c>
      <c r="BF41" s="595"/>
      <c r="BG41" s="595"/>
      <c r="BH41" s="595"/>
      <c r="BI41" s="595"/>
      <c r="BJ41" s="595"/>
      <c r="BK41" s="599" t="str">
        <f>C51</f>
        <v>Vakana</v>
      </c>
      <c r="BL41" s="595"/>
      <c r="BM41" s="595"/>
      <c r="BN41" s="595"/>
      <c r="BO41" s="595"/>
      <c r="BP41" s="595"/>
      <c r="BQ41" s="600" t="str">
        <f>C52</f>
        <v>Zrínyigyöngye</v>
      </c>
    </row>
    <row r="42" spans="2:69" ht="19.5" customHeight="1" x14ac:dyDescent="0.2">
      <c r="C42" s="619" t="str">
        <f>IF(Adatok!A1="","–",Adatok!A1)</f>
        <v>Bakafogó-Honvéd-Sashegy SE</v>
      </c>
      <c r="D42" s="602" t="str">
        <f>CONCATENATE($C42,I$41)</f>
        <v>Bakafogó-Honvéd-Sashegy SEBakafogó-Honvéd-Sashegy SE</v>
      </c>
      <c r="E42" s="602" t="str">
        <f t="shared" ref="E42:E52" si="0">IF(ISNA(VLOOKUP(D42,games.a,15,FALSE)),"",VLOOKUP(D42,games.a,15,FALSE))</f>
        <v/>
      </c>
      <c r="F42" s="603" t="str">
        <f t="shared" ref="F42:F52" si="1">IF(ISNA(VLOOKUP(D42,games.a,3,FALSE)),"",VLOOKUP(D42,games.a,3,FALSE))</f>
        <v/>
      </c>
      <c r="G42" s="602" t="e">
        <f t="shared" ref="G42:G52" si="2">IF(VLOOKUP(D42,games.a,2,FALSE),VLOOKUP(D42,games.a,6,FALSE),"")</f>
        <v>#N/A</v>
      </c>
      <c r="H42" s="595" t="e">
        <f t="shared" ref="H42:H52" si="3">IF(VLOOKUP(D42,games.a,2,FALSE),VLOOKUP(D42,games.a,7,FALSE),"")</f>
        <v>#N/A</v>
      </c>
      <c r="I42" s="604"/>
      <c r="J42" s="605" t="str">
        <f>CONCATENATE($C42,O$41)</f>
        <v>Bakafogó-Honvéd-Sashegy SEBBK</v>
      </c>
      <c r="K42" s="605">
        <f t="shared" ref="K42:K52" si="4">IF(ISNA(VLOOKUP(J42,games.a,15,FALSE)),"",VLOOKUP(J42,games.a,15,FALSE))</f>
        <v>42270</v>
      </c>
      <c r="L42" s="606">
        <f t="shared" ref="L42:L52" si="5">IF(ISNA(VLOOKUP(J42,games.a,3,FALSE)),"",VLOOKUP(J42,games.a,3,FALSE))</f>
        <v>19</v>
      </c>
      <c r="M42" s="605">
        <f t="shared" ref="M42:M52" si="6">IF(VLOOKUP(J42,games.a,2,FALSE),VLOOKUP(J42,games.a,6,FALSE),"")</f>
        <v>0</v>
      </c>
      <c r="N42" s="607">
        <f t="shared" ref="N42:N52" si="7">IF(VLOOKUP(J42,games.a,2,FALSE),VLOOKUP(J42,games.a,7,FALSE),"")</f>
        <v>1</v>
      </c>
      <c r="O42" s="622" t="str">
        <f>IF(L42="","",IF($F$41=1,IF(N42&lt;&gt;"",CONCATENATE(M42,"–",N42),K42),IF($F$41=2,CONCATENATE(L42,"."),K42)))</f>
        <v>0–1</v>
      </c>
      <c r="P42" s="605" t="str">
        <f>CONCATENATE($C42,U$41)</f>
        <v>Bakafogó-Honvéd-Sashegy SEBHD</v>
      </c>
      <c r="Q42" s="605">
        <f t="shared" ref="Q42:Q52" si="8">IF(ISNA(VLOOKUP(P42,games.a,15,FALSE)),"",VLOOKUP(P42,games.a,15,FALSE))</f>
        <v>42284</v>
      </c>
      <c r="R42" s="606">
        <f t="shared" ref="R42:R52" si="9">IF(ISNA(VLOOKUP(P42,games.a,3,FALSE)),"",VLOOKUP(P42,games.a,3,FALSE))</f>
        <v>21</v>
      </c>
      <c r="S42" s="605">
        <f t="shared" ref="S42:S52" si="10">IF(VLOOKUP(P42,games.a,2,FALSE),VLOOKUP(P42,games.a,6,FALSE),"")</f>
        <v>0</v>
      </c>
      <c r="T42" s="607">
        <f t="shared" ref="T42:T52" si="11">IF(VLOOKUP(P42,games.a,2,FALSE),VLOOKUP(P42,games.a,7,FALSE),"")</f>
        <v>3</v>
      </c>
      <c r="U42" s="622" t="str">
        <f>IF(R42="","",IF($F$41=1,IF(T42&lt;&gt;"",CONCATENATE(S42,"–",T42),Q42),IF($F$41=2,CONCATENATE(R42,"."),Q42)))</f>
        <v>0–3</v>
      </c>
      <c r="V42" s="605" t="str">
        <f>CONCATENATE($C42,AA$41)</f>
        <v>Bakafogó-Honvéd-Sashegy SEBőrdíszmű</v>
      </c>
      <c r="W42" s="605">
        <f t="shared" ref="W42:W52" si="12">IF(ISNA(VLOOKUP(V42,games.a,15,FALSE)),"",VLOOKUP(V42,games.a,15,FALSE))</f>
        <v>42165</v>
      </c>
      <c r="X42" s="606">
        <f t="shared" ref="X42:X52" si="13">IF(ISNA(VLOOKUP(V42,games.a,3,FALSE)),"",VLOOKUP(V42,games.a,3,FALSE))</f>
        <v>12</v>
      </c>
      <c r="Y42" s="605">
        <f t="shared" ref="Y42:Y52" si="14">IF(VLOOKUP(V42,games.a,2,FALSE),VLOOKUP(V42,games.a,6,FALSE),"")</f>
        <v>1</v>
      </c>
      <c r="Z42" s="607">
        <f t="shared" ref="Z42:Z52" si="15">IF(VLOOKUP(V42,games.a,2,FALSE),VLOOKUP(V42,games.a,7,FALSE),"")</f>
        <v>2</v>
      </c>
      <c r="AA42" s="622" t="str">
        <f>IF(X42="","",IF($F$41=1,IF(Z42&lt;&gt;"",CONCATENATE(Y42,"–",Z42),W42),IF($F$41=2,CONCATENATE(X42,"."),W42)))</f>
        <v>1–2</v>
      </c>
      <c r="AB42" s="605" t="str">
        <f>CONCATENATE($C42,AG$41)</f>
        <v>Bakafogó-Honvéd-Sashegy SECarbonász</v>
      </c>
      <c r="AC42" s="605">
        <f t="shared" ref="AC42:AC52" si="16">IF(ISNA(VLOOKUP(AB42,games.a,15,FALSE)),"",VLOOKUP(AB42,games.a,15,FALSE))</f>
        <v>42130</v>
      </c>
      <c r="AD42" s="606">
        <f t="shared" ref="AD42:AD52" si="17">IF(ISNA(VLOOKUP(AB42,games.a,3,FALSE)),"",VLOOKUP(AB42,games.a,3,FALSE))</f>
        <v>7</v>
      </c>
      <c r="AE42" s="605">
        <f t="shared" ref="AE42:AE52" si="18">IF(VLOOKUP(AB42,games.a,2,FALSE),VLOOKUP(AB42,games.a,6,FALSE),"")</f>
        <v>3</v>
      </c>
      <c r="AF42" s="607">
        <f t="shared" ref="AF42:AF52" si="19">IF(VLOOKUP(AB42,games.a,2,FALSE),VLOOKUP(AB42,games.a,7,FALSE),"")</f>
        <v>0</v>
      </c>
      <c r="AG42" s="622" t="str">
        <f>IF(AD42="","",IF($F$41=1,IF(AF42&lt;&gt;"",CONCATENATE(AE42,"–",AF42),AC42),IF($F$41=2,CONCATENATE(AD42,"."),AC42)))</f>
        <v>3–0</v>
      </c>
      <c r="AH42" s="605" t="str">
        <f>CONCATENATE($C42,AM$41)</f>
        <v>Bakafogó-Honvéd-Sashegy SEÉlelmesek</v>
      </c>
      <c r="AI42" s="605">
        <f t="shared" ref="AI42:AI52" si="20">IF(ISNA(VLOOKUP(AH42,games.a,15,FALSE)),"",VLOOKUP(AH42,games.a,15,FALSE))</f>
        <v>42172</v>
      </c>
      <c r="AJ42" s="606">
        <f t="shared" ref="AJ42:AJ52" si="21">IF(ISNA(VLOOKUP(AH42,games.a,3,FALSE)),"",VLOOKUP(AH42,games.a,3,FALSE))</f>
        <v>13</v>
      </c>
      <c r="AK42" s="605">
        <f t="shared" ref="AK42:AK52" si="22">IF(VLOOKUP(AH42,games.a,2,FALSE),VLOOKUP(AH42,games.a,6,FALSE),"")</f>
        <v>1</v>
      </c>
      <c r="AL42" s="607">
        <f t="shared" ref="AL42:AL52" si="23">IF(VLOOKUP(AH42,games.a,2,FALSE),VLOOKUP(AH42,games.a,7,FALSE),"")</f>
        <v>1</v>
      </c>
      <c r="AM42" s="622" t="str">
        <f>IF(AJ42="","",IF($F$41=1,IF(AL42&lt;&gt;"",CONCATENATE(AK42,"–",AL42),AI42),IF($F$41=2,CONCATENATE(AJ42,"."),AI42)))</f>
        <v>1–1</v>
      </c>
      <c r="AN42" s="605" t="str">
        <f>CONCATENATE($C42,AS$41)</f>
        <v>Bakafogó-Honvéd-Sashegy SEHercules-Ludovika</v>
      </c>
      <c r="AO42" s="605">
        <f t="shared" ref="AO42:AO52" si="24">IF(ISNA(VLOOKUP(AN42,games.a,15,FALSE)),"",VLOOKUP(AN42,games.a,15,FALSE))</f>
        <v>42277</v>
      </c>
      <c r="AP42" s="606">
        <f t="shared" ref="AP42:AP52" si="25">IF(ISNA(VLOOKUP(AN42,games.a,3,FALSE)),"",VLOOKUP(AN42,games.a,3,FALSE))</f>
        <v>14</v>
      </c>
      <c r="AQ42" s="605">
        <f t="shared" ref="AQ42:AQ52" si="26">IF(VLOOKUP(AN42,games.a,2,FALSE),VLOOKUP(AN42,games.a,6,FALSE),"")</f>
        <v>7</v>
      </c>
      <c r="AR42" s="607">
        <f t="shared" ref="AR42:AR52" si="27">IF(VLOOKUP(AN42,games.a,2,FALSE),VLOOKUP(AN42,games.a,7,FALSE),"")</f>
        <v>2</v>
      </c>
      <c r="AS42" s="622" t="str">
        <f t="shared" ref="AS42:AS47" si="28">IF(AP42="","",IF($F$41=1,IF(AR42&lt;&gt;"",CONCATENATE(AQ42,"–",AR42),AO42),IF($F$41=2,CONCATENATE(AP42,"."),AO42)))</f>
        <v>7–2</v>
      </c>
      <c r="AT42" s="605" t="str">
        <f>CONCATENATE($C42,AY$41)</f>
        <v>Bakafogó-Honvéd-Sashegy SEK&amp;H</v>
      </c>
      <c r="AU42" s="605">
        <f t="shared" ref="AU42:AU52" si="29">IF(ISNA(VLOOKUP(AT42,games.a,15,FALSE)),"",VLOOKUP(AT42,games.a,15,FALSE))</f>
        <v>42242</v>
      </c>
      <c r="AV42" s="606">
        <f t="shared" ref="AV42:AV52" si="30">IF(ISNA(VLOOKUP(AT42,games.a,3,FALSE)),"",VLOOKUP(AT42,games.a,3,FALSE))</f>
        <v>15</v>
      </c>
      <c r="AW42" s="605">
        <f t="shared" ref="AW42:AW52" si="31">IF(VLOOKUP(AT42,games.a,2,FALSE),VLOOKUP(AT42,games.a,6,FALSE),"")</f>
        <v>0</v>
      </c>
      <c r="AX42" s="607">
        <f t="shared" ref="AX42:AX52" si="32">IF(VLOOKUP(AT42,games.a,2,FALSE),VLOOKUP(AT42,games.a,7,FALSE),"")</f>
        <v>7</v>
      </c>
      <c r="AY42" s="622" t="str">
        <f t="shared" ref="AY42:AY48" si="33">IF(AV42="","",IF($F$41=1,IF(AX42&lt;&gt;"",CONCATENATE(AW42,"–",AX42),AU42),IF($F$41=2,CONCATENATE(AV42,"."),AU42)))</f>
        <v>0–7</v>
      </c>
      <c r="AZ42" s="605" t="str">
        <f>CONCATENATE($C42,BE$41)</f>
        <v>Bakafogó-Honvéd-Sashegy SERoyal Guard's</v>
      </c>
      <c r="BA42" s="605">
        <f t="shared" ref="BA42:BA52" si="34">IF(ISNA(VLOOKUP(AZ42,games.a,15,FALSE)),"",VLOOKUP(AZ42,games.a,15,FALSE))</f>
        <v>42158</v>
      </c>
      <c r="BB42" s="606">
        <f t="shared" ref="BB42:BB52" si="35">IF(ISNA(VLOOKUP(AZ42,games.a,3,FALSE)),"",VLOOKUP(AZ42,games.a,3,FALSE))</f>
        <v>11</v>
      </c>
      <c r="BC42" s="605">
        <f t="shared" ref="BC42:BC52" si="36">IF(VLOOKUP(AZ42,games.a,2,FALSE),VLOOKUP(AZ42,games.a,6,FALSE),"")</f>
        <v>4</v>
      </c>
      <c r="BD42" s="607">
        <f t="shared" ref="BD42:BD52" si="37">IF(VLOOKUP(AZ42,games.a,2,FALSE),VLOOKUP(AZ42,games.a,7,FALSE),"")</f>
        <v>2</v>
      </c>
      <c r="BE42" s="622" t="str">
        <f t="shared" ref="BE42:BE49" si="38">IF(BB42="","",IF($F$41=1,IF(BD42&lt;&gt;"",CONCATENATE(BC42,"–",BD42),BA42),IF($F$41=2,CONCATENATE(BB42,"."),BA42)))</f>
        <v>4–2</v>
      </c>
      <c r="BF42" s="605" t="str">
        <f>CONCATENATE($C42,BK$41)</f>
        <v>Bakafogó-Honvéd-Sashegy SEVakana</v>
      </c>
      <c r="BG42" s="605">
        <f t="shared" ref="BG42:BG52" si="39">IF(ISNA(VLOOKUP(BF42,games.a,15,FALSE)),"",VLOOKUP(BF42,games.a,15,FALSE))</f>
        <v>42256</v>
      </c>
      <c r="BH42" s="606">
        <f t="shared" ref="BH42:BH52" si="40">IF(ISNA(VLOOKUP(BF42,games.a,3,FALSE)),"",VLOOKUP(BF42,games.a,3,FALSE))</f>
        <v>17</v>
      </c>
      <c r="BI42" s="605">
        <f t="shared" ref="BI42:BI52" si="41">IF(VLOOKUP(BF42,games.a,2,FALSE),VLOOKUP(BF42,games.a,6,FALSE),"")</f>
        <v>4</v>
      </c>
      <c r="BJ42" s="607">
        <f t="shared" ref="BJ42:BJ52" si="42">IF(VLOOKUP(BF42,games.a,2,FALSE),VLOOKUP(BF42,games.a,7,FALSE),"")</f>
        <v>4</v>
      </c>
      <c r="BK42" s="622" t="str">
        <f t="shared" ref="BK42:BK50" si="43">IF(BH42="","",IF($F$41=1,IF(BJ42&lt;&gt;"",CONCATENATE(BI42,"–",BJ42),BG42),IF($F$41=2,CONCATENATE(BH42,"."),BG42)))</f>
        <v>4–4</v>
      </c>
      <c r="BL42" s="605" t="str">
        <f>CONCATENATE($C42,BQ$41)</f>
        <v>Bakafogó-Honvéd-Sashegy SEZrínyigyöngye</v>
      </c>
      <c r="BM42" s="605">
        <f t="shared" ref="BM42:BM52" si="44">IF(ISNA(VLOOKUP(BL42,games.a,15,FALSE)),"",VLOOKUP(BL42,games.a,15,FALSE))</f>
        <v>42249</v>
      </c>
      <c r="BN42" s="606">
        <f t="shared" ref="BN42:BN52" si="45">IF(ISNA(VLOOKUP(BL42,games.a,3,FALSE)),"",VLOOKUP(BL42,games.a,3,FALSE))</f>
        <v>16</v>
      </c>
      <c r="BO42" s="605">
        <f t="shared" ref="BO42:BO52" si="46">IF(VLOOKUP(BL42,games.a,2,FALSE),VLOOKUP(BL42,games.a,6,FALSE),"")</f>
        <v>1</v>
      </c>
      <c r="BP42" s="607">
        <f t="shared" ref="BP42:BP52" si="47">IF(VLOOKUP(BL42,games.a,2,FALSE),VLOOKUP(BL42,games.a,7,FALSE),"")</f>
        <v>9</v>
      </c>
      <c r="BQ42" s="622" t="str">
        <f t="shared" ref="BQ42:BQ51" si="48">IF(BN42="","",IF($F$41=1,IF(BP42&lt;&gt;"",CONCATENATE(BO42,"–",BP42),BM42),IF($F$41=2,CONCATENATE(BN42,"."),BM42)))</f>
        <v>1–9</v>
      </c>
    </row>
    <row r="43" spans="2:69" ht="19.5" customHeight="1" x14ac:dyDescent="0.2">
      <c r="C43" s="620" t="str">
        <f>IF(Adatok!A2="","–",Adatok!A2)</f>
        <v>BBK</v>
      </c>
      <c r="D43" s="602" t="str">
        <f t="shared" ref="D43:D52" si="49">CONCATENATE($C43,I$41)</f>
        <v>BBKBakafogó-Honvéd-Sashegy SE</v>
      </c>
      <c r="E43" s="602">
        <f t="shared" si="0"/>
        <v>42137</v>
      </c>
      <c r="F43" s="603">
        <f t="shared" si="1"/>
        <v>8</v>
      </c>
      <c r="G43" s="602">
        <f t="shared" si="2"/>
        <v>3</v>
      </c>
      <c r="H43" s="595">
        <f t="shared" si="3"/>
        <v>1</v>
      </c>
      <c r="I43" s="622" t="str">
        <f>IF(F43="","",IF($F$41=1,IF(H43&lt;&gt;"",CONCATENATE(G43,"–",H43),E43),IF($F$41=2,CONCATENATE(F43,"."),E43)))</f>
        <v>3–1</v>
      </c>
      <c r="J43" s="605" t="str">
        <f t="shared" ref="J43:J52" si="50">CONCATENATE($C43,O$41)</f>
        <v>BBKBBK</v>
      </c>
      <c r="K43" s="605" t="str">
        <f t="shared" si="4"/>
        <v/>
      </c>
      <c r="L43" s="606" t="str">
        <f t="shared" si="5"/>
        <v/>
      </c>
      <c r="M43" s="605" t="e">
        <f t="shared" si="6"/>
        <v>#N/A</v>
      </c>
      <c r="N43" s="607" t="e">
        <f t="shared" si="7"/>
        <v>#N/A</v>
      </c>
      <c r="O43" s="623"/>
      <c r="P43" s="605" t="str">
        <f t="shared" ref="P43:P52" si="51">CONCATENATE($C43,U$41)</f>
        <v>BBKBHD</v>
      </c>
      <c r="Q43" s="605">
        <f t="shared" si="8"/>
        <v>42088</v>
      </c>
      <c r="R43" s="606">
        <f t="shared" si="9"/>
        <v>1</v>
      </c>
      <c r="S43" s="605">
        <f t="shared" si="10"/>
        <v>2</v>
      </c>
      <c r="T43" s="607">
        <f t="shared" si="11"/>
        <v>4</v>
      </c>
      <c r="U43" s="622" t="str">
        <f>IF(R43="","",IF($F$41=1,IF(T43&lt;&gt;"",CONCATENATE(S43,"–",T43),Q43),IF($F$41=2,CONCATENATE(R43,"."),Q43)))</f>
        <v>2–4</v>
      </c>
      <c r="V43" s="605" t="str">
        <f t="shared" ref="V43:V52" si="52">CONCATENATE($C43,AA$41)</f>
        <v>BBKBőrdíszmű</v>
      </c>
      <c r="W43" s="605">
        <f t="shared" si="12"/>
        <v>42291</v>
      </c>
      <c r="X43" s="606">
        <f t="shared" si="13"/>
        <v>22</v>
      </c>
      <c r="Y43" s="605">
        <f t="shared" si="14"/>
        <v>0</v>
      </c>
      <c r="Z43" s="607">
        <f t="shared" si="15"/>
        <v>2</v>
      </c>
      <c r="AA43" s="622" t="str">
        <f>IF(X43="","",IF($F$41=1,IF(Z43&lt;&gt;"",CONCATENATE(Y43,"–",Z43),W43),IF($F$41=2,CONCATENATE(X43,"."),W43)))</f>
        <v>0–2</v>
      </c>
      <c r="AB43" s="605" t="str">
        <f t="shared" ref="AB43:AB52" si="53">CONCATENATE($C43,AG$41)</f>
        <v>BBKCarbonász</v>
      </c>
      <c r="AC43" s="605">
        <f t="shared" si="16"/>
        <v>42123</v>
      </c>
      <c r="AD43" s="606">
        <f t="shared" si="17"/>
        <v>6</v>
      </c>
      <c r="AE43" s="605">
        <f t="shared" si="18"/>
        <v>12</v>
      </c>
      <c r="AF43" s="607">
        <f t="shared" si="19"/>
        <v>2</v>
      </c>
      <c r="AG43" s="622" t="str">
        <f>IF(AD43="","",IF($F$41=1,IF(AF43&lt;&gt;"",CONCATENATE(AE43,"–",AF43),AC43),IF($F$41=2,CONCATENATE(AD43,"."),AC43)))</f>
        <v>12–2</v>
      </c>
      <c r="AH43" s="605" t="str">
        <f t="shared" ref="AH43:AH52" si="54">CONCATENATE($C43,AM$41)</f>
        <v>BBKÉlelmesek</v>
      </c>
      <c r="AI43" s="605">
        <f t="shared" si="20"/>
        <v>42277</v>
      </c>
      <c r="AJ43" s="606">
        <f t="shared" si="21"/>
        <v>20</v>
      </c>
      <c r="AK43" s="605">
        <f t="shared" si="22"/>
        <v>4</v>
      </c>
      <c r="AL43" s="607">
        <f t="shared" si="23"/>
        <v>2</v>
      </c>
      <c r="AM43" s="622" t="str">
        <f>IF(AJ43="","",IF($F$41=1,IF(AL43&lt;&gt;"",CONCATENATE(AK43,"–",AL43),AI43),IF($F$41=2,CONCATENATE(AJ43,"."),AI43)))</f>
        <v>4–2</v>
      </c>
      <c r="AN43" s="605" t="str">
        <f t="shared" ref="AN43:AN52" si="55">CONCATENATE($C43,AS$41)</f>
        <v>BBKHercules-Ludovika</v>
      </c>
      <c r="AO43" s="605">
        <f t="shared" si="24"/>
        <v>42151</v>
      </c>
      <c r="AP43" s="606">
        <f t="shared" si="25"/>
        <v>10</v>
      </c>
      <c r="AQ43" s="605">
        <f t="shared" si="26"/>
        <v>3</v>
      </c>
      <c r="AR43" s="607">
        <f t="shared" si="27"/>
        <v>1</v>
      </c>
      <c r="AS43" s="622" t="str">
        <f t="shared" si="28"/>
        <v>3–1</v>
      </c>
      <c r="AT43" s="605" t="str">
        <f t="shared" ref="AT43:AT52" si="56">CONCATENATE($C43,AY$41)</f>
        <v>BBKK&amp;H</v>
      </c>
      <c r="AU43" s="605">
        <f t="shared" si="29"/>
        <v>42263</v>
      </c>
      <c r="AV43" s="606">
        <f t="shared" si="30"/>
        <v>18</v>
      </c>
      <c r="AW43" s="605">
        <f t="shared" si="31"/>
        <v>3</v>
      </c>
      <c r="AX43" s="607">
        <f t="shared" si="32"/>
        <v>2</v>
      </c>
      <c r="AY43" s="622" t="str">
        <f t="shared" si="33"/>
        <v>3–2</v>
      </c>
      <c r="AZ43" s="605" t="str">
        <f t="shared" ref="AZ43:AZ52" si="57">CONCATENATE($C43,BE$41)</f>
        <v>BBKRoyal Guard's</v>
      </c>
      <c r="BA43" s="605">
        <f t="shared" si="34"/>
        <v>42095</v>
      </c>
      <c r="BB43" s="606">
        <f t="shared" si="35"/>
        <v>2</v>
      </c>
      <c r="BC43" s="605">
        <f t="shared" si="36"/>
        <v>3</v>
      </c>
      <c r="BD43" s="607">
        <f t="shared" si="37"/>
        <v>0</v>
      </c>
      <c r="BE43" s="622" t="str">
        <f t="shared" si="38"/>
        <v>3–0</v>
      </c>
      <c r="BF43" s="605" t="str">
        <f t="shared" ref="BF43:BF52" si="58">CONCATENATE($C43,BK$41)</f>
        <v>BBKVakana</v>
      </c>
      <c r="BG43" s="605">
        <f t="shared" si="39"/>
        <v>42249</v>
      </c>
      <c r="BH43" s="606">
        <f t="shared" si="40"/>
        <v>16</v>
      </c>
      <c r="BI43" s="605">
        <f t="shared" si="41"/>
        <v>3</v>
      </c>
      <c r="BJ43" s="607">
        <f t="shared" si="42"/>
        <v>0</v>
      </c>
      <c r="BK43" s="622" t="str">
        <f t="shared" si="43"/>
        <v>3–0</v>
      </c>
      <c r="BL43" s="605" t="str">
        <f t="shared" ref="BL43:BL52" si="59">CONCATENATE($C43,BQ$41)</f>
        <v>BBKZrínyigyöngye</v>
      </c>
      <c r="BM43" s="605">
        <f t="shared" si="44"/>
        <v>42179</v>
      </c>
      <c r="BN43" s="606">
        <f t="shared" si="45"/>
        <v>14</v>
      </c>
      <c r="BO43" s="605">
        <f t="shared" si="46"/>
        <v>2</v>
      </c>
      <c r="BP43" s="607">
        <f t="shared" si="47"/>
        <v>2</v>
      </c>
      <c r="BQ43" s="622" t="str">
        <f t="shared" si="48"/>
        <v>2–2</v>
      </c>
    </row>
    <row r="44" spans="2:69" ht="19.5" customHeight="1" x14ac:dyDescent="0.2">
      <c r="C44" s="620" t="str">
        <f>IF(Adatok!A3="","–",Adatok!A3)</f>
        <v>BHD</v>
      </c>
      <c r="D44" s="602" t="str">
        <f t="shared" si="49"/>
        <v>BHDBakafogó-Honvéd-Sashegy SE</v>
      </c>
      <c r="E44" s="602">
        <f t="shared" si="0"/>
        <v>42151</v>
      </c>
      <c r="F44" s="603">
        <f t="shared" si="1"/>
        <v>10</v>
      </c>
      <c r="G44" s="602">
        <f t="shared" si="2"/>
        <v>5</v>
      </c>
      <c r="H44" s="595">
        <f t="shared" si="3"/>
        <v>3</v>
      </c>
      <c r="I44" s="622" t="str">
        <f t="shared" ref="I44:I52" si="60">IF(F44="","",IF($F$41=1,IF(H44&lt;&gt;"",CONCATENATE(G44,"–",H44),E44),IF($F$41=2,CONCATENATE(F44,"."),E44)))</f>
        <v>5–3</v>
      </c>
      <c r="J44" s="605" t="str">
        <f t="shared" si="50"/>
        <v>BHDBBK</v>
      </c>
      <c r="K44" s="605">
        <f t="shared" si="4"/>
        <v>42165</v>
      </c>
      <c r="L44" s="606">
        <f t="shared" si="5"/>
        <v>12</v>
      </c>
      <c r="M44" s="605">
        <f t="shared" si="6"/>
        <v>2</v>
      </c>
      <c r="N44" s="607">
        <f t="shared" si="7"/>
        <v>4</v>
      </c>
      <c r="O44" s="622" t="str">
        <f t="shared" ref="O44:O52" si="61">IF(L44="","",IF($F$41=1,IF(N44&lt;&gt;"",CONCATENATE(M44,"–",N44),K44),IF($F$41=2,CONCATENATE(L44,"."),K44)))</f>
        <v>2–4</v>
      </c>
      <c r="P44" s="605" t="str">
        <f t="shared" si="51"/>
        <v>BHDBHD</v>
      </c>
      <c r="Q44" s="605" t="str">
        <f t="shared" si="8"/>
        <v/>
      </c>
      <c r="R44" s="606" t="str">
        <f t="shared" si="9"/>
        <v/>
      </c>
      <c r="S44" s="605" t="e">
        <f t="shared" si="10"/>
        <v>#N/A</v>
      </c>
      <c r="T44" s="607" t="e">
        <f t="shared" si="11"/>
        <v>#N/A</v>
      </c>
      <c r="U44" s="623"/>
      <c r="V44" s="605" t="str">
        <f t="shared" si="52"/>
        <v>BHDBőrdíszmű</v>
      </c>
      <c r="W44" s="605">
        <f t="shared" si="12"/>
        <v>42277</v>
      </c>
      <c r="X44" s="606">
        <f t="shared" si="13"/>
        <v>20</v>
      </c>
      <c r="Y44" s="605">
        <f t="shared" si="14"/>
        <v>5</v>
      </c>
      <c r="Z44" s="607">
        <f t="shared" si="15"/>
        <v>2</v>
      </c>
      <c r="AA44" s="622" t="str">
        <f>IF(X44="","",IF($F$41=1,IF(Z44&lt;&gt;"",CONCATENATE(Y44,"–",Z44),W44),IF($F$41=2,CONCATENATE(X44,"."),W44)))</f>
        <v>5–2</v>
      </c>
      <c r="AB44" s="605" t="str">
        <f t="shared" si="53"/>
        <v>BHDCarbonász</v>
      </c>
      <c r="AC44" s="605">
        <f t="shared" si="16"/>
        <v>42137</v>
      </c>
      <c r="AD44" s="606">
        <f t="shared" si="17"/>
        <v>8</v>
      </c>
      <c r="AE44" s="605">
        <f t="shared" si="18"/>
        <v>10</v>
      </c>
      <c r="AF44" s="607">
        <f t="shared" si="19"/>
        <v>1</v>
      </c>
      <c r="AG44" s="622" t="str">
        <f>IF(AD44="","",IF($F$41=1,IF(AF44&lt;&gt;"",CONCATENATE(AE44,"–",AF44),AC44),IF($F$41=2,CONCATENATE(AD44,"."),AC44)))</f>
        <v>10–1</v>
      </c>
      <c r="AH44" s="605" t="str">
        <f t="shared" si="54"/>
        <v>BHDÉlelmesek</v>
      </c>
      <c r="AI44" s="605">
        <f t="shared" si="20"/>
        <v>42263</v>
      </c>
      <c r="AJ44" s="606">
        <f t="shared" si="21"/>
        <v>18</v>
      </c>
      <c r="AK44" s="605">
        <f t="shared" si="22"/>
        <v>4</v>
      </c>
      <c r="AL44" s="607">
        <f t="shared" si="23"/>
        <v>0</v>
      </c>
      <c r="AM44" s="622" t="str">
        <f>IF(AJ44="","",IF($F$41=1,IF(AL44&lt;&gt;"",CONCATENATE(AK44,"–",AL44),AI44),IF($F$41=2,CONCATENATE(AJ44,"."),AI44)))</f>
        <v>4–0</v>
      </c>
      <c r="AN44" s="605" t="str">
        <f t="shared" si="55"/>
        <v>BHDHercules-Ludovika</v>
      </c>
      <c r="AO44" s="605">
        <f t="shared" si="24"/>
        <v>42291</v>
      </c>
      <c r="AP44" s="606">
        <f t="shared" si="25"/>
        <v>22</v>
      </c>
      <c r="AQ44" s="605">
        <f t="shared" si="26"/>
        <v>3</v>
      </c>
      <c r="AR44" s="607">
        <f t="shared" si="27"/>
        <v>0</v>
      </c>
      <c r="AS44" s="622" t="str">
        <f t="shared" si="28"/>
        <v>3–0</v>
      </c>
      <c r="AT44" s="605" t="str">
        <f t="shared" si="56"/>
        <v>BHDK&amp;H</v>
      </c>
      <c r="AU44" s="605">
        <f t="shared" si="29"/>
        <v>42249</v>
      </c>
      <c r="AV44" s="606">
        <f t="shared" si="30"/>
        <v>16</v>
      </c>
      <c r="AW44" s="605">
        <f t="shared" si="31"/>
        <v>2</v>
      </c>
      <c r="AX44" s="607">
        <f t="shared" si="32"/>
        <v>7</v>
      </c>
      <c r="AY44" s="622" t="str">
        <f t="shared" si="33"/>
        <v>2–7</v>
      </c>
      <c r="AZ44" s="605" t="str">
        <f t="shared" si="57"/>
        <v>BHDRoyal Guard's</v>
      </c>
      <c r="BA44" s="605">
        <f t="shared" si="34"/>
        <v>42123</v>
      </c>
      <c r="BB44" s="606">
        <f t="shared" si="35"/>
        <v>4</v>
      </c>
      <c r="BC44" s="605">
        <f t="shared" si="36"/>
        <v>4</v>
      </c>
      <c r="BD44" s="607">
        <f t="shared" si="37"/>
        <v>2</v>
      </c>
      <c r="BE44" s="622" t="str">
        <f t="shared" si="38"/>
        <v>4–2</v>
      </c>
      <c r="BF44" s="605" t="str">
        <f t="shared" si="58"/>
        <v>BHDVakana</v>
      </c>
      <c r="BG44" s="605">
        <f t="shared" si="39"/>
        <v>42179</v>
      </c>
      <c r="BH44" s="606">
        <f t="shared" si="40"/>
        <v>14</v>
      </c>
      <c r="BI44" s="605">
        <f t="shared" si="41"/>
        <v>5</v>
      </c>
      <c r="BJ44" s="607">
        <f t="shared" si="42"/>
        <v>1</v>
      </c>
      <c r="BK44" s="622" t="str">
        <f t="shared" si="43"/>
        <v>5–1</v>
      </c>
      <c r="BL44" s="605" t="str">
        <f t="shared" si="59"/>
        <v>BHDZrínyigyöngye</v>
      </c>
      <c r="BM44" s="605">
        <f t="shared" si="44"/>
        <v>42256</v>
      </c>
      <c r="BN44" s="606">
        <f t="shared" si="45"/>
        <v>13</v>
      </c>
      <c r="BO44" s="605">
        <f t="shared" si="46"/>
        <v>2</v>
      </c>
      <c r="BP44" s="607">
        <f t="shared" si="47"/>
        <v>1</v>
      </c>
      <c r="BQ44" s="622" t="str">
        <f t="shared" si="48"/>
        <v>2–1</v>
      </c>
    </row>
    <row r="45" spans="2:69" ht="19.5" customHeight="1" x14ac:dyDescent="0.2">
      <c r="C45" s="620" t="str">
        <f>IF(Adatok!A4="","–",Adatok!A4)</f>
        <v>Bőrdíszmű</v>
      </c>
      <c r="D45" s="602" t="str">
        <f t="shared" si="49"/>
        <v>BőrdíszműBakafogó-Honvéd-Sashegy SE</v>
      </c>
      <c r="E45" s="602">
        <f t="shared" si="0"/>
        <v>42088</v>
      </c>
      <c r="F45" s="603">
        <f t="shared" si="1"/>
        <v>1</v>
      </c>
      <c r="G45" s="602">
        <f t="shared" si="2"/>
        <v>3</v>
      </c>
      <c r="H45" s="595">
        <f t="shared" si="3"/>
        <v>5</v>
      </c>
      <c r="I45" s="622" t="str">
        <f t="shared" si="60"/>
        <v>3–5</v>
      </c>
      <c r="J45" s="605" t="str">
        <f t="shared" si="50"/>
        <v>BőrdíszműBBK</v>
      </c>
      <c r="K45" s="605">
        <f t="shared" si="4"/>
        <v>42158</v>
      </c>
      <c r="L45" s="606">
        <f t="shared" si="5"/>
        <v>11</v>
      </c>
      <c r="M45" s="605">
        <f t="shared" si="6"/>
        <v>0</v>
      </c>
      <c r="N45" s="607">
        <f t="shared" si="7"/>
        <v>8</v>
      </c>
      <c r="O45" s="622" t="str">
        <f t="shared" si="61"/>
        <v>0–8</v>
      </c>
      <c r="P45" s="605" t="str">
        <f t="shared" si="51"/>
        <v>BőrdíszműBHD</v>
      </c>
      <c r="Q45" s="605">
        <f t="shared" si="8"/>
        <v>42144</v>
      </c>
      <c r="R45" s="606">
        <f t="shared" si="9"/>
        <v>9</v>
      </c>
      <c r="S45" s="605">
        <f t="shared" si="10"/>
        <v>1</v>
      </c>
      <c r="T45" s="607">
        <f t="shared" si="11"/>
        <v>6</v>
      </c>
      <c r="U45" s="622" t="str">
        <f t="shared" ref="U45:U52" si="62">IF(R45="","",IF($F$41=1,IF(T45&lt;&gt;"",CONCATENATE(S45,"–",T45),Q45),IF($F$41=2,CONCATENATE(R45,"."),Q45)))</f>
        <v>1–6</v>
      </c>
      <c r="V45" s="605" t="str">
        <f t="shared" si="52"/>
        <v>BőrdíszműBőrdíszmű</v>
      </c>
      <c r="W45" s="605" t="str">
        <f t="shared" si="12"/>
        <v/>
      </c>
      <c r="X45" s="606" t="str">
        <f t="shared" si="13"/>
        <v/>
      </c>
      <c r="Y45" s="605" t="e">
        <f t="shared" si="14"/>
        <v>#N/A</v>
      </c>
      <c r="Z45" s="607" t="e">
        <f t="shared" si="15"/>
        <v>#N/A</v>
      </c>
      <c r="AA45" s="623"/>
      <c r="AB45" s="605" t="str">
        <f t="shared" si="53"/>
        <v>BőrdíszműCarbonász</v>
      </c>
      <c r="AC45" s="605">
        <f t="shared" si="16"/>
        <v>42102</v>
      </c>
      <c r="AD45" s="606">
        <f t="shared" si="17"/>
        <v>3</v>
      </c>
      <c r="AE45" s="605">
        <f t="shared" si="18"/>
        <v>3</v>
      </c>
      <c r="AF45" s="607">
        <f t="shared" si="19"/>
        <v>3</v>
      </c>
      <c r="AG45" s="622" t="str">
        <f>IF(AD45="","",IF($F$41=1,IF(AF45&lt;&gt;"",CONCATENATE(AE45,"–",AF45),AC45),IF($F$41=2,CONCATENATE(AD45,"."),AC45)))</f>
        <v>3–3</v>
      </c>
      <c r="AH45" s="605" t="str">
        <f t="shared" si="54"/>
        <v>BőrdíszműÉlelmesek</v>
      </c>
      <c r="AI45" s="605">
        <f t="shared" si="20"/>
        <v>42256</v>
      </c>
      <c r="AJ45" s="606">
        <f t="shared" si="21"/>
        <v>17</v>
      </c>
      <c r="AK45" s="605">
        <f t="shared" si="22"/>
        <v>1</v>
      </c>
      <c r="AL45" s="607">
        <f t="shared" si="23"/>
        <v>10</v>
      </c>
      <c r="AM45" s="622" t="str">
        <f>IF(AJ45="","",IF($F$41=1,IF(AL45&lt;&gt;"",CONCATENATE(AK45,"–",AL45),AI45),IF($F$41=2,CONCATENATE(AJ45,"."),AI45)))</f>
        <v>1–10</v>
      </c>
      <c r="AN45" s="605" t="str">
        <f t="shared" si="55"/>
        <v>BőrdíszműHercules-Ludovika</v>
      </c>
      <c r="AO45" s="605">
        <f t="shared" si="24"/>
        <v>42095</v>
      </c>
      <c r="AP45" s="606">
        <f t="shared" si="25"/>
        <v>2</v>
      </c>
      <c r="AQ45" s="605">
        <f t="shared" si="26"/>
        <v>0</v>
      </c>
      <c r="AR45" s="607">
        <f t="shared" si="27"/>
        <v>1</v>
      </c>
      <c r="AS45" s="622" t="str">
        <f t="shared" si="28"/>
        <v>0–1</v>
      </c>
      <c r="AT45" s="605" t="str">
        <f t="shared" si="56"/>
        <v>BőrdíszműK&amp;H</v>
      </c>
      <c r="AU45" s="605">
        <f t="shared" si="29"/>
        <v>42270</v>
      </c>
      <c r="AV45" s="606">
        <f t="shared" si="30"/>
        <v>19</v>
      </c>
      <c r="AW45" s="605">
        <f t="shared" si="31"/>
        <v>0</v>
      </c>
      <c r="AX45" s="607">
        <f t="shared" si="32"/>
        <v>6</v>
      </c>
      <c r="AY45" s="622" t="str">
        <f t="shared" si="33"/>
        <v>0–6</v>
      </c>
      <c r="AZ45" s="605" t="str">
        <f t="shared" si="57"/>
        <v>BőrdíszműRoyal Guard's</v>
      </c>
      <c r="BA45" s="605">
        <f t="shared" si="34"/>
        <v>42130</v>
      </c>
      <c r="BB45" s="606">
        <f t="shared" si="35"/>
        <v>7</v>
      </c>
      <c r="BC45" s="605">
        <f t="shared" si="36"/>
        <v>2</v>
      </c>
      <c r="BD45" s="607">
        <f t="shared" si="37"/>
        <v>3</v>
      </c>
      <c r="BE45" s="622" t="str">
        <f t="shared" si="38"/>
        <v>2–3</v>
      </c>
      <c r="BF45" s="605" t="str">
        <f t="shared" si="58"/>
        <v>BőrdíszműVakana</v>
      </c>
      <c r="BG45" s="605">
        <f t="shared" si="39"/>
        <v>42284</v>
      </c>
      <c r="BH45" s="606">
        <f t="shared" si="40"/>
        <v>21</v>
      </c>
      <c r="BI45" s="605">
        <f t="shared" si="41"/>
        <v>0</v>
      </c>
      <c r="BJ45" s="607">
        <f t="shared" si="42"/>
        <v>2</v>
      </c>
      <c r="BK45" s="622" t="str">
        <f t="shared" si="43"/>
        <v>0–2</v>
      </c>
      <c r="BL45" s="605" t="str">
        <f t="shared" si="59"/>
        <v>BőrdíszműZrínyigyöngye</v>
      </c>
      <c r="BM45" s="605">
        <f t="shared" si="44"/>
        <v>42242</v>
      </c>
      <c r="BN45" s="606">
        <f t="shared" si="45"/>
        <v>15</v>
      </c>
      <c r="BO45" s="605">
        <f t="shared" si="46"/>
        <v>1</v>
      </c>
      <c r="BP45" s="607">
        <f t="shared" si="47"/>
        <v>6</v>
      </c>
      <c r="BQ45" s="622" t="str">
        <f t="shared" si="48"/>
        <v>1–6</v>
      </c>
    </row>
    <row r="46" spans="2:69" ht="19.5" customHeight="1" x14ac:dyDescent="0.2">
      <c r="C46" s="620" t="str">
        <f>IF(Adatok!A5="","–",Adatok!A5)</f>
        <v>Carbonász</v>
      </c>
      <c r="D46" s="602" t="str">
        <f t="shared" si="49"/>
        <v>CarbonászBakafogó-Honvéd-Sashegy SE</v>
      </c>
      <c r="E46" s="602">
        <f t="shared" si="0"/>
        <v>42263</v>
      </c>
      <c r="F46" s="603">
        <f t="shared" si="1"/>
        <v>18</v>
      </c>
      <c r="G46" s="602">
        <f t="shared" si="2"/>
        <v>3</v>
      </c>
      <c r="H46" s="595">
        <f t="shared" si="3"/>
        <v>4</v>
      </c>
      <c r="I46" s="622" t="str">
        <f t="shared" si="60"/>
        <v>3–4</v>
      </c>
      <c r="J46" s="605" t="str">
        <f t="shared" si="50"/>
        <v>CarbonászBBK</v>
      </c>
      <c r="K46" s="605">
        <f t="shared" si="4"/>
        <v>42256</v>
      </c>
      <c r="L46" s="606">
        <f t="shared" si="5"/>
        <v>17</v>
      </c>
      <c r="M46" s="605">
        <f t="shared" si="6"/>
        <v>2</v>
      </c>
      <c r="N46" s="607">
        <f t="shared" si="7"/>
        <v>9</v>
      </c>
      <c r="O46" s="622" t="str">
        <f t="shared" si="61"/>
        <v>2–9</v>
      </c>
      <c r="P46" s="605" t="str">
        <f t="shared" si="51"/>
        <v>CarbonászBHD</v>
      </c>
      <c r="Q46" s="605">
        <f t="shared" si="8"/>
        <v>42270</v>
      </c>
      <c r="R46" s="606">
        <f t="shared" si="9"/>
        <v>19</v>
      </c>
      <c r="S46" s="605">
        <f t="shared" si="10"/>
        <v>2</v>
      </c>
      <c r="T46" s="607">
        <f t="shared" si="11"/>
        <v>4</v>
      </c>
      <c r="U46" s="622" t="str">
        <f t="shared" si="62"/>
        <v>2–4</v>
      </c>
      <c r="V46" s="605" t="str">
        <f t="shared" si="52"/>
        <v>CarbonászBőrdíszmű</v>
      </c>
      <c r="W46" s="605">
        <f t="shared" si="12"/>
        <v>42179</v>
      </c>
      <c r="X46" s="606">
        <f t="shared" si="13"/>
        <v>14</v>
      </c>
      <c r="Y46" s="605">
        <f t="shared" si="14"/>
        <v>4</v>
      </c>
      <c r="Z46" s="607">
        <f t="shared" si="15"/>
        <v>1</v>
      </c>
      <c r="AA46" s="622" t="str">
        <f t="shared" ref="AA46:AA52" si="63">IF(X46="","",IF($F$41=1,IF(Z46&lt;&gt;"",CONCATENATE(Y46,"–",Z46),W46),IF($F$41=2,CONCATENATE(X46,"."),W46)))</f>
        <v>4–1</v>
      </c>
      <c r="AB46" s="605" t="str">
        <f t="shared" si="53"/>
        <v>CarbonászCarbonász</v>
      </c>
      <c r="AC46" s="605" t="str">
        <f t="shared" si="16"/>
        <v/>
      </c>
      <c r="AD46" s="606" t="str">
        <f t="shared" si="17"/>
        <v/>
      </c>
      <c r="AE46" s="605" t="e">
        <f t="shared" si="18"/>
        <v>#N/A</v>
      </c>
      <c r="AF46" s="607" t="e">
        <f t="shared" si="19"/>
        <v>#N/A</v>
      </c>
      <c r="AG46" s="623"/>
      <c r="AH46" s="605" t="str">
        <f t="shared" si="54"/>
        <v>CarbonászÉlelmesek</v>
      </c>
      <c r="AI46" s="605">
        <f t="shared" si="20"/>
        <v>42165</v>
      </c>
      <c r="AJ46" s="606">
        <f t="shared" si="21"/>
        <v>12</v>
      </c>
      <c r="AK46" s="605">
        <f t="shared" si="22"/>
        <v>0</v>
      </c>
      <c r="AL46" s="607">
        <f t="shared" si="23"/>
        <v>6</v>
      </c>
      <c r="AM46" s="622" t="str">
        <f>IF(AJ46="","",IF($F$41=1,IF(AL46&lt;&gt;"",CONCATENATE(AK46,"–",AL46),AI46),IF($F$41=2,CONCATENATE(AJ46,"."),AI46)))</f>
        <v>0–6</v>
      </c>
      <c r="AN46" s="605" t="str">
        <f t="shared" si="55"/>
        <v>CarbonászHercules-Ludovika</v>
      </c>
      <c r="AO46" s="605">
        <f t="shared" si="24"/>
        <v>42249</v>
      </c>
      <c r="AP46" s="606">
        <f t="shared" si="25"/>
        <v>16</v>
      </c>
      <c r="AQ46" s="605">
        <f t="shared" si="26"/>
        <v>4</v>
      </c>
      <c r="AR46" s="607">
        <f t="shared" si="27"/>
        <v>3</v>
      </c>
      <c r="AS46" s="622" t="str">
        <f t="shared" si="28"/>
        <v>4–3</v>
      </c>
      <c r="AT46" s="605" t="str">
        <f t="shared" si="56"/>
        <v>CarbonászK&amp;H</v>
      </c>
      <c r="AU46" s="605">
        <f t="shared" si="29"/>
        <v>42172</v>
      </c>
      <c r="AV46" s="606">
        <f t="shared" si="30"/>
        <v>13</v>
      </c>
      <c r="AW46" s="605">
        <f t="shared" si="31"/>
        <v>1</v>
      </c>
      <c r="AX46" s="607">
        <f t="shared" si="32"/>
        <v>12</v>
      </c>
      <c r="AY46" s="622" t="str">
        <f t="shared" si="33"/>
        <v>1–12</v>
      </c>
      <c r="AZ46" s="605" t="str">
        <f t="shared" si="57"/>
        <v>CarbonászRoyal Guard's</v>
      </c>
      <c r="BA46" s="605">
        <f t="shared" si="34"/>
        <v>42284</v>
      </c>
      <c r="BB46" s="606">
        <f t="shared" si="35"/>
        <v>21</v>
      </c>
      <c r="BC46" s="605">
        <f t="shared" si="36"/>
        <v>5</v>
      </c>
      <c r="BD46" s="607">
        <f t="shared" si="37"/>
        <v>2</v>
      </c>
      <c r="BE46" s="622" t="str">
        <f t="shared" si="38"/>
        <v>5–2</v>
      </c>
      <c r="BF46" s="605" t="str">
        <f t="shared" si="58"/>
        <v>CarbonászVakana</v>
      </c>
      <c r="BG46" s="605">
        <f t="shared" si="39"/>
        <v>42242</v>
      </c>
      <c r="BH46" s="606">
        <f t="shared" si="40"/>
        <v>15</v>
      </c>
      <c r="BI46" s="605">
        <f t="shared" si="41"/>
        <v>3</v>
      </c>
      <c r="BJ46" s="607">
        <f t="shared" si="42"/>
        <v>7</v>
      </c>
      <c r="BK46" s="622" t="str">
        <f t="shared" si="43"/>
        <v>3–7</v>
      </c>
      <c r="BL46" s="605" t="str">
        <f t="shared" si="59"/>
        <v>CarbonászZrínyigyöngye</v>
      </c>
      <c r="BM46" s="605">
        <f t="shared" si="44"/>
        <v>42277</v>
      </c>
      <c r="BN46" s="606">
        <f t="shared" si="45"/>
        <v>20</v>
      </c>
      <c r="BO46" s="605">
        <f t="shared" si="46"/>
        <v>0</v>
      </c>
      <c r="BP46" s="607">
        <f t="shared" si="47"/>
        <v>3</v>
      </c>
      <c r="BQ46" s="622" t="str">
        <f t="shared" si="48"/>
        <v>0–3</v>
      </c>
    </row>
    <row r="47" spans="2:69" ht="19.5" customHeight="1" x14ac:dyDescent="0.2">
      <c r="C47" s="620" t="str">
        <f>IF(Adatok!A6="","–",Adatok!A6)</f>
        <v>Élelmesek</v>
      </c>
      <c r="D47" s="602" t="str">
        <f t="shared" si="49"/>
        <v>ÉlelmesekBakafogó-Honvéd-Sashegy SE</v>
      </c>
      <c r="E47" s="602">
        <f t="shared" si="0"/>
        <v>42095</v>
      </c>
      <c r="F47" s="603">
        <f t="shared" si="1"/>
        <v>2</v>
      </c>
      <c r="G47" s="602">
        <f t="shared" si="2"/>
        <v>4</v>
      </c>
      <c r="H47" s="595">
        <f t="shared" si="3"/>
        <v>1</v>
      </c>
      <c r="I47" s="622" t="str">
        <f t="shared" si="60"/>
        <v>4–1</v>
      </c>
      <c r="J47" s="605" t="str">
        <f t="shared" si="50"/>
        <v>ÉlelmesekBBK</v>
      </c>
      <c r="K47" s="605">
        <f t="shared" si="4"/>
        <v>42144</v>
      </c>
      <c r="L47" s="606">
        <f t="shared" si="5"/>
        <v>9</v>
      </c>
      <c r="M47" s="605">
        <f t="shared" si="6"/>
        <v>3</v>
      </c>
      <c r="N47" s="607">
        <f t="shared" si="7"/>
        <v>6</v>
      </c>
      <c r="O47" s="622" t="str">
        <f t="shared" si="61"/>
        <v>3–6</v>
      </c>
      <c r="P47" s="605" t="str">
        <f t="shared" si="51"/>
        <v>ÉlelmesekBHD</v>
      </c>
      <c r="Q47" s="605">
        <f t="shared" si="8"/>
        <v>42130</v>
      </c>
      <c r="R47" s="606">
        <f t="shared" si="9"/>
        <v>7</v>
      </c>
      <c r="S47" s="605">
        <f t="shared" si="10"/>
        <v>1</v>
      </c>
      <c r="T47" s="607">
        <f t="shared" si="11"/>
        <v>1</v>
      </c>
      <c r="U47" s="622" t="str">
        <f t="shared" si="62"/>
        <v>1–1</v>
      </c>
      <c r="V47" s="605" t="str">
        <f t="shared" si="52"/>
        <v>ÉlelmesekBőrdíszmű</v>
      </c>
      <c r="W47" s="605">
        <f t="shared" si="12"/>
        <v>42123</v>
      </c>
      <c r="X47" s="606">
        <f t="shared" si="13"/>
        <v>6</v>
      </c>
      <c r="Y47" s="605">
        <f t="shared" si="14"/>
        <v>2</v>
      </c>
      <c r="Z47" s="607">
        <f t="shared" si="15"/>
        <v>3</v>
      </c>
      <c r="AA47" s="622" t="str">
        <f t="shared" si="63"/>
        <v>2–3</v>
      </c>
      <c r="AB47" s="605" t="str">
        <f t="shared" si="53"/>
        <v>ÉlelmesekCarbonász</v>
      </c>
      <c r="AC47" s="605">
        <f t="shared" si="16"/>
        <v>42088</v>
      </c>
      <c r="AD47" s="606">
        <f t="shared" si="17"/>
        <v>1</v>
      </c>
      <c r="AE47" s="605">
        <f t="shared" si="18"/>
        <v>5</v>
      </c>
      <c r="AF47" s="607">
        <f t="shared" si="19"/>
        <v>1</v>
      </c>
      <c r="AG47" s="622" t="str">
        <f t="shared" ref="AG47:AG52" si="64">IF(AD47="","",IF($F$41=1,IF(AF47&lt;&gt;"",CONCATENATE(AE47,"–",AF47),AC47),IF($F$41=2,CONCATENATE(AD47,"."),AC47)))</f>
        <v>5–1</v>
      </c>
      <c r="AH47" s="605" t="str">
        <f t="shared" si="54"/>
        <v>ÉlelmesekÉlelmesek</v>
      </c>
      <c r="AI47" s="605" t="str">
        <f t="shared" si="20"/>
        <v/>
      </c>
      <c r="AJ47" s="606" t="str">
        <f t="shared" si="21"/>
        <v/>
      </c>
      <c r="AK47" s="605" t="e">
        <f t="shared" si="22"/>
        <v>#N/A</v>
      </c>
      <c r="AL47" s="607" t="e">
        <f t="shared" si="23"/>
        <v>#N/A</v>
      </c>
      <c r="AM47" s="623"/>
      <c r="AN47" s="605" t="str">
        <f t="shared" si="55"/>
        <v>ÉlelmesekHercules-Ludovika</v>
      </c>
      <c r="AO47" s="605">
        <f t="shared" si="24"/>
        <v>42109</v>
      </c>
      <c r="AP47" s="606">
        <f t="shared" si="25"/>
        <v>4</v>
      </c>
      <c r="AQ47" s="605">
        <f t="shared" si="26"/>
        <v>1</v>
      </c>
      <c r="AR47" s="607">
        <f t="shared" si="27"/>
        <v>1</v>
      </c>
      <c r="AS47" s="622" t="str">
        <f t="shared" si="28"/>
        <v>1–1</v>
      </c>
      <c r="AT47" s="605" t="str">
        <f t="shared" si="56"/>
        <v>ÉlelmesekK&amp;H</v>
      </c>
      <c r="AU47" s="605">
        <f t="shared" si="29"/>
        <v>42284</v>
      </c>
      <c r="AV47" s="606">
        <f t="shared" si="30"/>
        <v>21</v>
      </c>
      <c r="AW47" s="605">
        <f t="shared" si="31"/>
        <v>2</v>
      </c>
      <c r="AX47" s="607">
        <f t="shared" si="32"/>
        <v>4</v>
      </c>
      <c r="AY47" s="622" t="str">
        <f t="shared" si="33"/>
        <v>2–4</v>
      </c>
      <c r="AZ47" s="605" t="str">
        <f t="shared" si="57"/>
        <v>ÉlelmesekRoyal Guard's</v>
      </c>
      <c r="BA47" s="605">
        <f t="shared" si="34"/>
        <v>42116</v>
      </c>
      <c r="BB47" s="606">
        <f t="shared" si="35"/>
        <v>5</v>
      </c>
      <c r="BC47" s="605">
        <f t="shared" si="36"/>
        <v>1</v>
      </c>
      <c r="BD47" s="607">
        <f t="shared" si="37"/>
        <v>1</v>
      </c>
      <c r="BE47" s="622" t="str">
        <f t="shared" si="38"/>
        <v>1–1</v>
      </c>
      <c r="BF47" s="605" t="str">
        <f t="shared" si="58"/>
        <v>ÉlelmesekVakana</v>
      </c>
      <c r="BG47" s="605">
        <f t="shared" si="39"/>
        <v>42158</v>
      </c>
      <c r="BH47" s="606">
        <f t="shared" si="40"/>
        <v>11</v>
      </c>
      <c r="BI47" s="605">
        <f t="shared" si="41"/>
        <v>6</v>
      </c>
      <c r="BJ47" s="607">
        <f t="shared" si="42"/>
        <v>1</v>
      </c>
      <c r="BK47" s="622" t="str">
        <f t="shared" si="43"/>
        <v>6–1</v>
      </c>
      <c r="BL47" s="605" t="str">
        <f t="shared" si="59"/>
        <v>ÉlelmesekZrínyigyöngye</v>
      </c>
      <c r="BM47" s="605">
        <f t="shared" si="44"/>
        <v>42270</v>
      </c>
      <c r="BN47" s="606">
        <f t="shared" si="45"/>
        <v>19</v>
      </c>
      <c r="BO47" s="605">
        <f t="shared" si="46"/>
        <v>2</v>
      </c>
      <c r="BP47" s="607">
        <f t="shared" si="47"/>
        <v>5</v>
      </c>
      <c r="BQ47" s="622" t="str">
        <f t="shared" si="48"/>
        <v>2–5</v>
      </c>
    </row>
    <row r="48" spans="2:69" ht="19.5" customHeight="1" x14ac:dyDescent="0.2">
      <c r="C48" s="620" t="str">
        <f>IF(Adatok!A7="","–",Adatok!A7)</f>
        <v>Hercules-Ludovika</v>
      </c>
      <c r="D48" s="602" t="str">
        <f t="shared" si="49"/>
        <v>Hercules-LudovikaBakafogó-Honvéd-Sashegy SE</v>
      </c>
      <c r="E48" s="602">
        <f t="shared" si="0"/>
        <v>42102</v>
      </c>
      <c r="F48" s="603">
        <f t="shared" si="1"/>
        <v>3</v>
      </c>
      <c r="G48" s="602">
        <f t="shared" si="2"/>
        <v>1</v>
      </c>
      <c r="H48" s="595">
        <f t="shared" si="3"/>
        <v>0</v>
      </c>
      <c r="I48" s="622" t="str">
        <f t="shared" si="60"/>
        <v>1–0</v>
      </c>
      <c r="J48" s="605" t="str">
        <f t="shared" si="50"/>
        <v>Hercules-LudovikaBBK</v>
      </c>
      <c r="K48" s="605">
        <f t="shared" si="4"/>
        <v>42284</v>
      </c>
      <c r="L48" s="606">
        <f t="shared" si="5"/>
        <v>21</v>
      </c>
      <c r="M48" s="605">
        <f t="shared" si="6"/>
        <v>2</v>
      </c>
      <c r="N48" s="607">
        <f t="shared" si="7"/>
        <v>5</v>
      </c>
      <c r="O48" s="622" t="str">
        <f t="shared" si="61"/>
        <v>2–5</v>
      </c>
      <c r="P48" s="605" t="str">
        <f t="shared" si="51"/>
        <v>Hercules-LudovikaBHD</v>
      </c>
      <c r="Q48" s="605">
        <f t="shared" si="8"/>
        <v>42158</v>
      </c>
      <c r="R48" s="606">
        <f t="shared" si="9"/>
        <v>11</v>
      </c>
      <c r="S48" s="605">
        <f t="shared" si="10"/>
        <v>2</v>
      </c>
      <c r="T48" s="607">
        <f t="shared" si="11"/>
        <v>1</v>
      </c>
      <c r="U48" s="622" t="str">
        <f t="shared" si="62"/>
        <v>2–1</v>
      </c>
      <c r="V48" s="605" t="str">
        <f t="shared" si="52"/>
        <v>Hercules-LudovikaBőrdíszmű</v>
      </c>
      <c r="W48" s="605">
        <f t="shared" si="12"/>
        <v>42172</v>
      </c>
      <c r="X48" s="606">
        <f t="shared" si="13"/>
        <v>13</v>
      </c>
      <c r="Y48" s="605">
        <f t="shared" si="14"/>
        <v>5</v>
      </c>
      <c r="Z48" s="607">
        <f t="shared" si="15"/>
        <v>0</v>
      </c>
      <c r="AA48" s="622" t="str">
        <f t="shared" si="63"/>
        <v>5–0</v>
      </c>
      <c r="AB48" s="605" t="str">
        <f t="shared" si="53"/>
        <v>Hercules-LudovikaCarbonász</v>
      </c>
      <c r="AC48" s="605">
        <f t="shared" si="16"/>
        <v>42116</v>
      </c>
      <c r="AD48" s="606">
        <f t="shared" si="17"/>
        <v>5</v>
      </c>
      <c r="AE48" s="605">
        <f t="shared" si="18"/>
        <v>7</v>
      </c>
      <c r="AF48" s="607">
        <f t="shared" si="19"/>
        <v>4</v>
      </c>
      <c r="AG48" s="622" t="str">
        <f t="shared" si="64"/>
        <v>7–4</v>
      </c>
      <c r="AH48" s="605" t="str">
        <f t="shared" si="54"/>
        <v>Hercules-LudovikaÉlelmesek</v>
      </c>
      <c r="AI48" s="605">
        <f t="shared" si="20"/>
        <v>42242</v>
      </c>
      <c r="AJ48" s="606">
        <f t="shared" si="21"/>
        <v>15</v>
      </c>
      <c r="AK48" s="605">
        <f t="shared" si="22"/>
        <v>1</v>
      </c>
      <c r="AL48" s="607">
        <f t="shared" si="23"/>
        <v>3</v>
      </c>
      <c r="AM48" s="622" t="str">
        <f>IF(AJ48="","",IF($F$41=1,IF(AL48&lt;&gt;"",CONCATENATE(AK48,"–",AL48),AI48),IF($F$41=2,CONCATENATE(AJ48,"."),AI48)))</f>
        <v>1–3</v>
      </c>
      <c r="AN48" s="605" t="str">
        <f t="shared" si="55"/>
        <v>Hercules-LudovikaHercules-Ludovika</v>
      </c>
      <c r="AO48" s="605" t="str">
        <f t="shared" si="24"/>
        <v/>
      </c>
      <c r="AP48" s="606" t="str">
        <f t="shared" si="25"/>
        <v/>
      </c>
      <c r="AQ48" s="605" t="e">
        <f t="shared" si="26"/>
        <v>#N/A</v>
      </c>
      <c r="AR48" s="607" t="e">
        <f t="shared" si="27"/>
        <v>#N/A</v>
      </c>
      <c r="AS48" s="623"/>
      <c r="AT48" s="605" t="str">
        <f t="shared" si="56"/>
        <v>Hercules-LudovikaK&amp;H</v>
      </c>
      <c r="AU48" s="605">
        <f t="shared" si="29"/>
        <v>42256</v>
      </c>
      <c r="AV48" s="606">
        <f t="shared" si="30"/>
        <v>17</v>
      </c>
      <c r="AW48" s="605">
        <f t="shared" si="31"/>
        <v>0</v>
      </c>
      <c r="AX48" s="607">
        <f t="shared" si="32"/>
        <v>7</v>
      </c>
      <c r="AY48" s="622" t="str">
        <f t="shared" si="33"/>
        <v>0–7</v>
      </c>
      <c r="AZ48" s="605" t="str">
        <f t="shared" si="57"/>
        <v>Hercules-LudovikaRoyal Guard's</v>
      </c>
      <c r="BA48" s="605">
        <f t="shared" si="34"/>
        <v>42158</v>
      </c>
      <c r="BB48" s="606">
        <f t="shared" si="35"/>
        <v>9</v>
      </c>
      <c r="BC48" s="605">
        <f t="shared" si="36"/>
        <v>10</v>
      </c>
      <c r="BD48" s="607">
        <f t="shared" si="37"/>
        <v>0</v>
      </c>
      <c r="BE48" s="622" t="str">
        <f t="shared" si="38"/>
        <v>10–0</v>
      </c>
      <c r="BF48" s="605" t="str">
        <f t="shared" si="58"/>
        <v>Hercules-LudovikaVakana</v>
      </c>
      <c r="BG48" s="605">
        <f t="shared" si="39"/>
        <v>42270</v>
      </c>
      <c r="BH48" s="606">
        <f t="shared" si="40"/>
        <v>19</v>
      </c>
      <c r="BI48" s="605">
        <f t="shared" si="41"/>
        <v>2</v>
      </c>
      <c r="BJ48" s="607">
        <f t="shared" si="42"/>
        <v>3</v>
      </c>
      <c r="BK48" s="622" t="str">
        <f t="shared" si="43"/>
        <v>2–3</v>
      </c>
      <c r="BL48" s="605" t="str">
        <f t="shared" si="59"/>
        <v>Hercules-LudovikaZrínyigyöngye</v>
      </c>
      <c r="BM48" s="605">
        <f t="shared" si="44"/>
        <v>42165</v>
      </c>
      <c r="BN48" s="606">
        <f t="shared" si="45"/>
        <v>12</v>
      </c>
      <c r="BO48" s="605">
        <f t="shared" si="46"/>
        <v>4</v>
      </c>
      <c r="BP48" s="607">
        <f t="shared" si="47"/>
        <v>2</v>
      </c>
      <c r="BQ48" s="622" t="str">
        <f t="shared" si="48"/>
        <v>4–2</v>
      </c>
    </row>
    <row r="49" spans="3:69" ht="19.5" customHeight="1" x14ac:dyDescent="0.2">
      <c r="C49" s="620" t="str">
        <f>IF(Adatok!A8="","–",Adatok!A8)</f>
        <v>K&amp;H</v>
      </c>
      <c r="D49" s="602" t="str">
        <f t="shared" si="49"/>
        <v>K&amp;HBakafogó-Honvéd-Sashegy SE</v>
      </c>
      <c r="E49" s="602">
        <f t="shared" si="0"/>
        <v>42109</v>
      </c>
      <c r="F49" s="603">
        <f t="shared" si="1"/>
        <v>4</v>
      </c>
      <c r="G49" s="602">
        <f t="shared" si="2"/>
        <v>7</v>
      </c>
      <c r="H49" s="595">
        <f t="shared" si="3"/>
        <v>0</v>
      </c>
      <c r="I49" s="622" t="str">
        <f t="shared" si="60"/>
        <v>7–0</v>
      </c>
      <c r="J49" s="605" t="str">
        <f t="shared" si="50"/>
        <v>K&amp;HBBK</v>
      </c>
      <c r="K49" s="605">
        <f t="shared" si="4"/>
        <v>42130</v>
      </c>
      <c r="L49" s="606">
        <f t="shared" si="5"/>
        <v>7</v>
      </c>
      <c r="M49" s="605">
        <f t="shared" si="6"/>
        <v>2</v>
      </c>
      <c r="N49" s="607">
        <f t="shared" si="7"/>
        <v>4</v>
      </c>
      <c r="O49" s="622" t="str">
        <f t="shared" si="61"/>
        <v>2–4</v>
      </c>
      <c r="P49" s="605" t="str">
        <f t="shared" si="51"/>
        <v>K&amp;HBHD</v>
      </c>
      <c r="Q49" s="605">
        <f t="shared" si="8"/>
        <v>42116</v>
      </c>
      <c r="R49" s="606">
        <f t="shared" si="9"/>
        <v>5</v>
      </c>
      <c r="S49" s="605">
        <f t="shared" si="10"/>
        <v>2</v>
      </c>
      <c r="T49" s="607">
        <f t="shared" si="11"/>
        <v>2</v>
      </c>
      <c r="U49" s="622" t="str">
        <f t="shared" si="62"/>
        <v>2–2</v>
      </c>
      <c r="V49" s="605" t="str">
        <f t="shared" si="52"/>
        <v>K&amp;HBőrdíszmű</v>
      </c>
      <c r="W49" s="605">
        <f t="shared" si="12"/>
        <v>42137</v>
      </c>
      <c r="X49" s="606">
        <f t="shared" si="13"/>
        <v>8</v>
      </c>
      <c r="Y49" s="605">
        <f t="shared" si="14"/>
        <v>5</v>
      </c>
      <c r="Z49" s="607">
        <f t="shared" si="15"/>
        <v>2</v>
      </c>
      <c r="AA49" s="622" t="str">
        <f t="shared" si="63"/>
        <v>5–2</v>
      </c>
      <c r="AB49" s="605" t="str">
        <f t="shared" si="53"/>
        <v>K&amp;HCarbonász</v>
      </c>
      <c r="AC49" s="605">
        <f t="shared" si="16"/>
        <v>42095</v>
      </c>
      <c r="AD49" s="606">
        <f t="shared" si="17"/>
        <v>2</v>
      </c>
      <c r="AE49" s="605">
        <f t="shared" si="18"/>
        <v>2</v>
      </c>
      <c r="AF49" s="607">
        <f t="shared" si="19"/>
        <v>1</v>
      </c>
      <c r="AG49" s="622" t="str">
        <f t="shared" si="64"/>
        <v>2–1</v>
      </c>
      <c r="AH49" s="605" t="str">
        <f t="shared" si="54"/>
        <v>K&amp;HÉlelmesek</v>
      </c>
      <c r="AI49" s="605">
        <f t="shared" si="20"/>
        <v>42151</v>
      </c>
      <c r="AJ49" s="606">
        <f t="shared" si="21"/>
        <v>10</v>
      </c>
      <c r="AK49" s="605">
        <f t="shared" si="22"/>
        <v>4</v>
      </c>
      <c r="AL49" s="607">
        <f t="shared" si="23"/>
        <v>1</v>
      </c>
      <c r="AM49" s="622" t="str">
        <f>IF(AJ49="","",IF($F$41=1,IF(AL49&lt;&gt;"",CONCATENATE(AK49,"–",AL49),AI49),IF($F$41=2,CONCATENATE(AJ49,"."),AI49)))</f>
        <v>4–1</v>
      </c>
      <c r="AN49" s="605" t="str">
        <f t="shared" si="55"/>
        <v>K&amp;HHercules-Ludovika</v>
      </c>
      <c r="AO49" s="605">
        <f t="shared" si="24"/>
        <v>42123</v>
      </c>
      <c r="AP49" s="606">
        <f t="shared" si="25"/>
        <v>6</v>
      </c>
      <c r="AQ49" s="605">
        <f t="shared" si="26"/>
        <v>8</v>
      </c>
      <c r="AR49" s="607">
        <f t="shared" si="27"/>
        <v>1</v>
      </c>
      <c r="AS49" s="622" t="str">
        <f>IF(AP49="","",IF($F$41=1,IF(AR49&lt;&gt;"",CONCATENATE(AQ49,"–",AR49),AO49),IF($F$41=2,CONCATENATE(AP49,"."),AO49)))</f>
        <v>8–1</v>
      </c>
      <c r="AT49" s="605" t="str">
        <f t="shared" si="56"/>
        <v>K&amp;HK&amp;H</v>
      </c>
      <c r="AU49" s="605" t="str">
        <f t="shared" si="29"/>
        <v/>
      </c>
      <c r="AV49" s="606" t="str">
        <f t="shared" si="30"/>
        <v/>
      </c>
      <c r="AW49" s="605" t="e">
        <f t="shared" si="31"/>
        <v>#N/A</v>
      </c>
      <c r="AX49" s="607" t="e">
        <f t="shared" si="32"/>
        <v>#N/A</v>
      </c>
      <c r="AY49" s="623"/>
      <c r="AZ49" s="605" t="str">
        <f t="shared" si="57"/>
        <v>K&amp;HRoyal Guard's</v>
      </c>
      <c r="BA49" s="605">
        <f t="shared" si="34"/>
        <v>42088</v>
      </c>
      <c r="BB49" s="606">
        <f t="shared" si="35"/>
        <v>3</v>
      </c>
      <c r="BC49" s="605">
        <f t="shared" si="36"/>
        <v>10</v>
      </c>
      <c r="BD49" s="607">
        <f t="shared" si="37"/>
        <v>0</v>
      </c>
      <c r="BE49" s="622" t="str">
        <f t="shared" si="38"/>
        <v>10–0</v>
      </c>
      <c r="BF49" s="605" t="str">
        <f t="shared" si="58"/>
        <v>K&amp;HVakana</v>
      </c>
      <c r="BG49" s="605">
        <f t="shared" si="39"/>
        <v>42144</v>
      </c>
      <c r="BH49" s="606">
        <f t="shared" si="40"/>
        <v>9</v>
      </c>
      <c r="BI49" s="605">
        <f t="shared" si="41"/>
        <v>3</v>
      </c>
      <c r="BJ49" s="607">
        <f t="shared" si="42"/>
        <v>1</v>
      </c>
      <c r="BK49" s="622" t="str">
        <f t="shared" si="43"/>
        <v>3–1</v>
      </c>
      <c r="BL49" s="605" t="str">
        <f t="shared" si="59"/>
        <v>K&amp;HZrínyigyöngye</v>
      </c>
      <c r="BM49" s="605">
        <f t="shared" si="44"/>
        <v>42158</v>
      </c>
      <c r="BN49" s="606">
        <f t="shared" si="45"/>
        <v>11</v>
      </c>
      <c r="BO49" s="605">
        <f t="shared" si="46"/>
        <v>8</v>
      </c>
      <c r="BP49" s="607">
        <f t="shared" si="47"/>
        <v>3</v>
      </c>
      <c r="BQ49" s="622" t="str">
        <f t="shared" si="48"/>
        <v>8–3</v>
      </c>
    </row>
    <row r="50" spans="3:69" ht="19.5" customHeight="1" x14ac:dyDescent="0.2">
      <c r="C50" s="620" t="str">
        <f>IF(Adatok!A9="","–",Adatok!A9)</f>
        <v>Royal Guard's</v>
      </c>
      <c r="D50" s="602" t="str">
        <f t="shared" si="49"/>
        <v>Royal Guard'sBakafogó-Honvéd-Sashegy SE</v>
      </c>
      <c r="E50" s="602">
        <f t="shared" si="0"/>
        <v>42291</v>
      </c>
      <c r="F50" s="603">
        <f t="shared" si="1"/>
        <v>22</v>
      </c>
      <c r="G50" s="602">
        <f t="shared" si="2"/>
        <v>3</v>
      </c>
      <c r="H50" s="595">
        <f t="shared" si="3"/>
        <v>1</v>
      </c>
      <c r="I50" s="622" t="str">
        <f t="shared" si="60"/>
        <v>3–1</v>
      </c>
      <c r="J50" s="605" t="str">
        <f t="shared" si="50"/>
        <v>Royal Guard'sBBK</v>
      </c>
      <c r="K50" s="605">
        <f t="shared" si="4"/>
        <v>42242</v>
      </c>
      <c r="L50" s="606">
        <f t="shared" si="5"/>
        <v>13</v>
      </c>
      <c r="M50" s="605">
        <f t="shared" si="6"/>
        <v>1</v>
      </c>
      <c r="N50" s="607">
        <f t="shared" si="7"/>
        <v>4</v>
      </c>
      <c r="O50" s="622" t="str">
        <f t="shared" si="61"/>
        <v>1–4</v>
      </c>
      <c r="P50" s="605" t="str">
        <f t="shared" si="51"/>
        <v>Royal Guard'sBHD</v>
      </c>
      <c r="Q50" s="605">
        <f t="shared" si="8"/>
        <v>42242</v>
      </c>
      <c r="R50" s="606">
        <f t="shared" si="9"/>
        <v>15</v>
      </c>
      <c r="S50" s="605">
        <f t="shared" si="10"/>
        <v>0</v>
      </c>
      <c r="T50" s="607">
        <f t="shared" si="11"/>
        <v>3</v>
      </c>
      <c r="U50" s="622" t="str">
        <f t="shared" si="62"/>
        <v>0–3</v>
      </c>
      <c r="V50" s="605" t="str">
        <f t="shared" si="52"/>
        <v>Royal Guard'sBőrdíszmű</v>
      </c>
      <c r="W50" s="605">
        <f t="shared" si="12"/>
        <v>42263</v>
      </c>
      <c r="X50" s="606">
        <f t="shared" si="13"/>
        <v>18</v>
      </c>
      <c r="Y50" s="605">
        <f t="shared" si="14"/>
        <v>2</v>
      </c>
      <c r="Z50" s="607">
        <f t="shared" si="15"/>
        <v>3</v>
      </c>
      <c r="AA50" s="622" t="str">
        <f t="shared" si="63"/>
        <v>2–3</v>
      </c>
      <c r="AB50" s="605" t="str">
        <f t="shared" si="53"/>
        <v>Royal Guard'sCarbonász</v>
      </c>
      <c r="AC50" s="605">
        <f t="shared" si="16"/>
        <v>42151</v>
      </c>
      <c r="AD50" s="606">
        <f t="shared" si="17"/>
        <v>10</v>
      </c>
      <c r="AE50" s="605">
        <f t="shared" si="18"/>
        <v>3</v>
      </c>
      <c r="AF50" s="607">
        <f t="shared" si="19"/>
        <v>3</v>
      </c>
      <c r="AG50" s="622" t="str">
        <f t="shared" si="64"/>
        <v>3–3</v>
      </c>
      <c r="AH50" s="605" t="str">
        <f t="shared" si="54"/>
        <v>Royal Guard'sÉlelmesek</v>
      </c>
      <c r="AI50" s="605">
        <f t="shared" si="20"/>
        <v>42249</v>
      </c>
      <c r="AJ50" s="606">
        <f t="shared" si="21"/>
        <v>16</v>
      </c>
      <c r="AK50" s="605">
        <f t="shared" si="22"/>
        <v>1</v>
      </c>
      <c r="AL50" s="607">
        <f t="shared" si="23"/>
        <v>3</v>
      </c>
      <c r="AM50" s="622" t="str">
        <f>IF(AJ50="","",IF($F$41=1,IF(AL50&lt;&gt;"",CONCATENATE(AK50,"–",AL50),AI50),IF($F$41=2,CONCATENATE(AJ50,"."),AI50)))</f>
        <v>1–3</v>
      </c>
      <c r="AN50" s="605" t="str">
        <f t="shared" si="55"/>
        <v>Royal Guard'sHercules-Ludovika</v>
      </c>
      <c r="AO50" s="605">
        <f t="shared" si="24"/>
        <v>42277</v>
      </c>
      <c r="AP50" s="606">
        <f t="shared" si="25"/>
        <v>20</v>
      </c>
      <c r="AQ50" s="605">
        <f t="shared" si="26"/>
        <v>3</v>
      </c>
      <c r="AR50" s="607">
        <f t="shared" si="27"/>
        <v>2</v>
      </c>
      <c r="AS50" s="622" t="str">
        <f>IF(AP50="","",IF($F$41=1,IF(AR50&lt;&gt;"",CONCATENATE(AQ50,"–",AR50),AO50),IF($F$41=2,CONCATENATE(AP50,"."),AO50)))</f>
        <v>3–2</v>
      </c>
      <c r="AT50" s="605" t="str">
        <f t="shared" si="56"/>
        <v>Royal Guard'sK&amp;H</v>
      </c>
      <c r="AU50" s="605">
        <f t="shared" si="29"/>
        <v>42270</v>
      </c>
      <c r="AV50" s="606">
        <f t="shared" si="30"/>
        <v>14</v>
      </c>
      <c r="AW50" s="605">
        <f t="shared" si="31"/>
        <v>0</v>
      </c>
      <c r="AX50" s="607">
        <f t="shared" si="32"/>
        <v>3</v>
      </c>
      <c r="AY50" s="622" t="str">
        <f>IF(AV50="","",IF($F$41=1,IF(AX50&lt;&gt;"",CONCATENATE(AW50,"–",AX50),AU50),IF($F$41=2,CONCATENATE(AV50,"."),AU50)))</f>
        <v>0–3</v>
      </c>
      <c r="AZ50" s="605" t="str">
        <f t="shared" si="57"/>
        <v>Royal Guard'sRoyal Guard's</v>
      </c>
      <c r="BA50" s="605" t="str">
        <f t="shared" si="34"/>
        <v/>
      </c>
      <c r="BB50" s="606" t="str">
        <f t="shared" si="35"/>
        <v/>
      </c>
      <c r="BC50" s="605" t="e">
        <f t="shared" si="36"/>
        <v>#N/A</v>
      </c>
      <c r="BD50" s="607" t="e">
        <f t="shared" si="37"/>
        <v>#N/A</v>
      </c>
      <c r="BE50" s="623"/>
      <c r="BF50" s="605" t="str">
        <f t="shared" si="58"/>
        <v>Royal Guard'sVakana</v>
      </c>
      <c r="BG50" s="605">
        <f t="shared" si="39"/>
        <v>42165</v>
      </c>
      <c r="BH50" s="606">
        <f t="shared" si="40"/>
        <v>12</v>
      </c>
      <c r="BI50" s="605">
        <f t="shared" si="41"/>
        <v>1</v>
      </c>
      <c r="BJ50" s="607">
        <f t="shared" si="42"/>
        <v>1</v>
      </c>
      <c r="BK50" s="622" t="str">
        <f t="shared" si="43"/>
        <v>1–1</v>
      </c>
      <c r="BL50" s="605" t="str">
        <f t="shared" si="59"/>
        <v>Royal Guard'sZrínyigyöngye</v>
      </c>
      <c r="BM50" s="605">
        <f t="shared" si="44"/>
        <v>42256</v>
      </c>
      <c r="BN50" s="606">
        <f t="shared" si="45"/>
        <v>17</v>
      </c>
      <c r="BO50" s="605">
        <f t="shared" si="46"/>
        <v>1</v>
      </c>
      <c r="BP50" s="607">
        <f t="shared" si="47"/>
        <v>3</v>
      </c>
      <c r="BQ50" s="622" t="str">
        <f t="shared" si="48"/>
        <v>1–3</v>
      </c>
    </row>
    <row r="51" spans="3:69" ht="19.5" customHeight="1" x14ac:dyDescent="0.2">
      <c r="C51" s="620" t="str">
        <f>IF(Adatok!A10="","–",Adatok!A10)</f>
        <v>Vakana</v>
      </c>
      <c r="D51" s="602" t="str">
        <f t="shared" si="49"/>
        <v>VakanaBakafogó-Honvéd-Sashegy SE</v>
      </c>
      <c r="E51" s="602">
        <f t="shared" si="0"/>
        <v>42123</v>
      </c>
      <c r="F51" s="603">
        <f t="shared" si="1"/>
        <v>6</v>
      </c>
      <c r="G51" s="602">
        <f t="shared" si="2"/>
        <v>0</v>
      </c>
      <c r="H51" s="595">
        <f t="shared" si="3"/>
        <v>1</v>
      </c>
      <c r="I51" s="622" t="str">
        <f t="shared" si="60"/>
        <v>0–1</v>
      </c>
      <c r="J51" s="605" t="str">
        <f t="shared" si="50"/>
        <v>VakanaBBK</v>
      </c>
      <c r="K51" s="605">
        <f t="shared" si="4"/>
        <v>42116</v>
      </c>
      <c r="L51" s="606">
        <f t="shared" si="5"/>
        <v>5</v>
      </c>
      <c r="M51" s="605">
        <f t="shared" si="6"/>
        <v>1</v>
      </c>
      <c r="N51" s="607">
        <f t="shared" si="7"/>
        <v>7</v>
      </c>
      <c r="O51" s="622" t="str">
        <f t="shared" si="61"/>
        <v>1–7</v>
      </c>
      <c r="P51" s="605" t="str">
        <f t="shared" si="51"/>
        <v>VakanaBHD</v>
      </c>
      <c r="Q51" s="605">
        <f t="shared" si="8"/>
        <v>42102</v>
      </c>
      <c r="R51" s="606">
        <f t="shared" si="9"/>
        <v>3</v>
      </c>
      <c r="S51" s="605">
        <f t="shared" si="10"/>
        <v>0</v>
      </c>
      <c r="T51" s="607">
        <f t="shared" si="11"/>
        <v>3</v>
      </c>
      <c r="U51" s="622" t="str">
        <f t="shared" si="62"/>
        <v>0–3</v>
      </c>
      <c r="V51" s="605" t="str">
        <f t="shared" si="52"/>
        <v>VakanaBőrdíszmű</v>
      </c>
      <c r="W51" s="605">
        <f t="shared" si="12"/>
        <v>42151</v>
      </c>
      <c r="X51" s="606">
        <f t="shared" si="13"/>
        <v>10</v>
      </c>
      <c r="Y51" s="605">
        <f t="shared" si="14"/>
        <v>4</v>
      </c>
      <c r="Z51" s="607">
        <f t="shared" si="15"/>
        <v>0</v>
      </c>
      <c r="AA51" s="622" t="str">
        <f t="shared" si="63"/>
        <v>4–0</v>
      </c>
      <c r="AB51" s="605" t="str">
        <f t="shared" si="53"/>
        <v>VakanaCarbonász</v>
      </c>
      <c r="AC51" s="605">
        <f t="shared" si="16"/>
        <v>42109</v>
      </c>
      <c r="AD51" s="606">
        <f t="shared" si="17"/>
        <v>4</v>
      </c>
      <c r="AE51" s="605">
        <f t="shared" si="18"/>
        <v>1</v>
      </c>
      <c r="AF51" s="607">
        <f t="shared" si="19"/>
        <v>2</v>
      </c>
      <c r="AG51" s="622" t="str">
        <f t="shared" si="64"/>
        <v>1–2</v>
      </c>
      <c r="AH51" s="605" t="str">
        <f t="shared" si="54"/>
        <v>VakanaÉlelmesek</v>
      </c>
      <c r="AI51" s="605">
        <f t="shared" si="20"/>
        <v>42291</v>
      </c>
      <c r="AJ51" s="606">
        <f t="shared" si="21"/>
        <v>22</v>
      </c>
      <c r="AK51" s="605">
        <f t="shared" si="22"/>
        <v>3</v>
      </c>
      <c r="AL51" s="607">
        <f t="shared" si="23"/>
        <v>1</v>
      </c>
      <c r="AM51" s="622" t="str">
        <f>IF(AJ51="","",IF($F$41=1,IF(AL51&lt;&gt;"",CONCATENATE(AK51,"–",AL51),AI51),IF($F$41=2,CONCATENATE(AJ51,"."),AI51)))</f>
        <v>3–1</v>
      </c>
      <c r="AN51" s="605" t="str">
        <f t="shared" si="55"/>
        <v>VakanaHercules-Ludovika</v>
      </c>
      <c r="AO51" s="605">
        <f t="shared" si="24"/>
        <v>42137</v>
      </c>
      <c r="AP51" s="606">
        <f t="shared" si="25"/>
        <v>8</v>
      </c>
      <c r="AQ51" s="605">
        <f t="shared" si="26"/>
        <v>1</v>
      </c>
      <c r="AR51" s="607">
        <f t="shared" si="27"/>
        <v>11</v>
      </c>
      <c r="AS51" s="622" t="str">
        <f>IF(AP51="","",IF($F$41=1,IF(AR51&lt;&gt;"",CONCATENATE(AQ51,"–",AR51),AO51),IF($F$41=2,CONCATENATE(AP51,"."),AO51)))</f>
        <v>1–11</v>
      </c>
      <c r="AT51" s="605" t="str">
        <f t="shared" si="56"/>
        <v>VakanaK&amp;H</v>
      </c>
      <c r="AU51" s="605">
        <f t="shared" si="29"/>
        <v>42277</v>
      </c>
      <c r="AV51" s="606">
        <f t="shared" si="30"/>
        <v>20</v>
      </c>
      <c r="AW51" s="605">
        <f t="shared" si="31"/>
        <v>0</v>
      </c>
      <c r="AX51" s="607">
        <f t="shared" si="32"/>
        <v>3</v>
      </c>
      <c r="AY51" s="622" t="str">
        <f>IF(AV51="","",IF($F$41=1,IF(AX51&lt;&gt;"",CONCATENATE(AW51,"–",AX51),AU51),IF($F$41=2,CONCATENATE(AV51,"."),AU51)))</f>
        <v>0–3</v>
      </c>
      <c r="AZ51" s="605" t="str">
        <f t="shared" si="57"/>
        <v>VakanaRoyal Guard's</v>
      </c>
      <c r="BA51" s="605">
        <f t="shared" si="34"/>
        <v>42088</v>
      </c>
      <c r="BB51" s="606">
        <f t="shared" si="35"/>
        <v>1</v>
      </c>
      <c r="BC51" s="605">
        <f t="shared" si="36"/>
        <v>3</v>
      </c>
      <c r="BD51" s="607">
        <f t="shared" si="37"/>
        <v>1</v>
      </c>
      <c r="BE51" s="622" t="str">
        <f>IF(BB51="","",IF($F$41=1,IF(BD51&lt;&gt;"",CONCATENATE(BC51,"–",BD51),BA51),IF($F$41=2,CONCATENATE(BB51,"."),BA51)))</f>
        <v>3–1</v>
      </c>
      <c r="BF51" s="605" t="str">
        <f t="shared" si="58"/>
        <v>VakanaVakana</v>
      </c>
      <c r="BG51" s="605" t="str">
        <f t="shared" si="39"/>
        <v/>
      </c>
      <c r="BH51" s="606" t="str">
        <f t="shared" si="40"/>
        <v/>
      </c>
      <c r="BI51" s="605" t="e">
        <f t="shared" si="41"/>
        <v>#N/A</v>
      </c>
      <c r="BJ51" s="607" t="e">
        <f t="shared" si="42"/>
        <v>#N/A</v>
      </c>
      <c r="BK51" s="623"/>
      <c r="BL51" s="605" t="str">
        <f t="shared" si="59"/>
        <v>VakanaZrínyigyöngye</v>
      </c>
      <c r="BM51" s="605">
        <f t="shared" si="44"/>
        <v>42263</v>
      </c>
      <c r="BN51" s="606">
        <f t="shared" si="45"/>
        <v>18</v>
      </c>
      <c r="BO51" s="605">
        <f t="shared" si="46"/>
        <v>1</v>
      </c>
      <c r="BP51" s="607">
        <f t="shared" si="47"/>
        <v>5</v>
      </c>
      <c r="BQ51" s="622" t="str">
        <f t="shared" si="48"/>
        <v>1–5</v>
      </c>
    </row>
    <row r="52" spans="3:69" ht="19.5" customHeight="1" x14ac:dyDescent="0.2">
      <c r="C52" s="621" t="str">
        <f>IF(Adatok!A11="","–",Adatok!A11)</f>
        <v>Zrínyigyöngye</v>
      </c>
      <c r="D52" s="602" t="str">
        <f t="shared" si="49"/>
        <v>ZrínyigyöngyeBakafogó-Honvéd-Sashegy SE</v>
      </c>
      <c r="E52" s="602">
        <f t="shared" si="0"/>
        <v>42116</v>
      </c>
      <c r="F52" s="603">
        <f t="shared" si="1"/>
        <v>5</v>
      </c>
      <c r="G52" s="602">
        <f t="shared" si="2"/>
        <v>5</v>
      </c>
      <c r="H52" s="595">
        <f t="shared" si="3"/>
        <v>4</v>
      </c>
      <c r="I52" s="622" t="str">
        <f t="shared" si="60"/>
        <v>5–4</v>
      </c>
      <c r="J52" s="605" t="str">
        <f t="shared" si="50"/>
        <v>ZrínyigyöngyeBBK</v>
      </c>
      <c r="K52" s="605">
        <f t="shared" si="4"/>
        <v>42102</v>
      </c>
      <c r="L52" s="606">
        <f t="shared" si="5"/>
        <v>3</v>
      </c>
      <c r="M52" s="605">
        <f t="shared" si="6"/>
        <v>1</v>
      </c>
      <c r="N52" s="607">
        <f t="shared" si="7"/>
        <v>3</v>
      </c>
      <c r="O52" s="622" t="str">
        <f t="shared" si="61"/>
        <v>1–3</v>
      </c>
      <c r="P52" s="605" t="str">
        <f t="shared" si="51"/>
        <v>ZrínyigyöngyeBHD</v>
      </c>
      <c r="Q52" s="605">
        <f t="shared" si="8"/>
        <v>42095</v>
      </c>
      <c r="R52" s="606">
        <f t="shared" si="9"/>
        <v>2</v>
      </c>
      <c r="S52" s="605">
        <f t="shared" si="10"/>
        <v>1</v>
      </c>
      <c r="T52" s="607">
        <f t="shared" si="11"/>
        <v>1</v>
      </c>
      <c r="U52" s="622" t="str">
        <f t="shared" si="62"/>
        <v>1–1</v>
      </c>
      <c r="V52" s="605" t="str">
        <f t="shared" si="52"/>
        <v>ZrínyigyöngyeBőrdíszmű</v>
      </c>
      <c r="W52" s="605">
        <f t="shared" si="12"/>
        <v>42109</v>
      </c>
      <c r="X52" s="606">
        <f t="shared" si="13"/>
        <v>4</v>
      </c>
      <c r="Y52" s="605">
        <f t="shared" si="14"/>
        <v>6</v>
      </c>
      <c r="Z52" s="607">
        <f t="shared" si="15"/>
        <v>1</v>
      </c>
      <c r="AA52" s="622" t="str">
        <f t="shared" si="63"/>
        <v>6–1</v>
      </c>
      <c r="AB52" s="605" t="str">
        <f t="shared" si="53"/>
        <v>ZrínyigyöngyeCarbonász</v>
      </c>
      <c r="AC52" s="605">
        <f t="shared" si="16"/>
        <v>42144</v>
      </c>
      <c r="AD52" s="606">
        <f t="shared" si="17"/>
        <v>9</v>
      </c>
      <c r="AE52" s="605">
        <f t="shared" si="18"/>
        <v>4</v>
      </c>
      <c r="AF52" s="607">
        <f t="shared" si="19"/>
        <v>3</v>
      </c>
      <c r="AG52" s="622" t="str">
        <f t="shared" si="64"/>
        <v>4–3</v>
      </c>
      <c r="AH52" s="605" t="str">
        <f t="shared" si="54"/>
        <v>ZrínyigyöngyeÉlelmesek</v>
      </c>
      <c r="AI52" s="605">
        <f t="shared" si="20"/>
        <v>42137</v>
      </c>
      <c r="AJ52" s="606">
        <f t="shared" si="21"/>
        <v>8</v>
      </c>
      <c r="AK52" s="605">
        <f t="shared" si="22"/>
        <v>3</v>
      </c>
      <c r="AL52" s="607">
        <f t="shared" si="23"/>
        <v>1</v>
      </c>
      <c r="AM52" s="622" t="str">
        <f>IF(AJ52="","",IF($F$41=1,IF(AL52&lt;&gt;"",CONCATENATE(AK52,"–",AL52),AI52),IF($F$41=2,CONCATENATE(AJ52,"."),AI52)))</f>
        <v>3–1</v>
      </c>
      <c r="AN52" s="605" t="str">
        <f t="shared" si="55"/>
        <v>ZrínyigyöngyeHercules-Ludovika</v>
      </c>
      <c r="AO52" s="605">
        <f t="shared" si="24"/>
        <v>42088</v>
      </c>
      <c r="AP52" s="606">
        <f t="shared" si="25"/>
        <v>1</v>
      </c>
      <c r="AQ52" s="605">
        <f t="shared" si="26"/>
        <v>4</v>
      </c>
      <c r="AR52" s="607">
        <f t="shared" si="27"/>
        <v>0</v>
      </c>
      <c r="AS52" s="622" t="str">
        <f>IF(AP52="","",IF($F$41=1,IF(AR52&lt;&gt;"",CONCATENATE(AQ52,"–",AR52),AO52),IF($F$41=2,CONCATENATE(AP52,"."),AO52)))</f>
        <v>4–0</v>
      </c>
      <c r="AT52" s="605" t="str">
        <f t="shared" si="56"/>
        <v>ZrínyigyöngyeK&amp;H</v>
      </c>
      <c r="AU52" s="605">
        <f t="shared" si="29"/>
        <v>42291</v>
      </c>
      <c r="AV52" s="606">
        <f t="shared" si="30"/>
        <v>22</v>
      </c>
      <c r="AW52" s="605">
        <f t="shared" si="31"/>
        <v>1</v>
      </c>
      <c r="AX52" s="607">
        <f t="shared" si="32"/>
        <v>5</v>
      </c>
      <c r="AY52" s="622" t="str">
        <f>IF(AV52="","",IF($F$41=1,IF(AX52&lt;&gt;"",CONCATENATE(AW52,"–",AX52),AU52),IF($F$41=2,CONCATENATE(AV52,"."),AU52)))</f>
        <v>1–5</v>
      </c>
      <c r="AZ52" s="605" t="str">
        <f t="shared" si="57"/>
        <v>ZrínyigyöngyeRoyal Guard's</v>
      </c>
      <c r="BA52" s="605">
        <f t="shared" si="34"/>
        <v>42123</v>
      </c>
      <c r="BB52" s="606">
        <f t="shared" si="35"/>
        <v>6</v>
      </c>
      <c r="BC52" s="605">
        <f t="shared" si="36"/>
        <v>5</v>
      </c>
      <c r="BD52" s="607">
        <f t="shared" si="37"/>
        <v>1</v>
      </c>
      <c r="BE52" s="622" t="str">
        <f>IF(BB52="","",IF($F$41=1,IF(BD52&lt;&gt;"",CONCATENATE(BC52,"–",BD52),BA52),IF($F$41=2,CONCATENATE(BB52,"."),BA52)))</f>
        <v>5–1</v>
      </c>
      <c r="BF52" s="605" t="str">
        <f t="shared" si="58"/>
        <v>ZrínyigyöngyeVakana</v>
      </c>
      <c r="BG52" s="605">
        <f t="shared" si="39"/>
        <v>42130</v>
      </c>
      <c r="BH52" s="606">
        <f t="shared" si="40"/>
        <v>7</v>
      </c>
      <c r="BI52" s="605">
        <f t="shared" si="41"/>
        <v>4</v>
      </c>
      <c r="BJ52" s="607">
        <f t="shared" si="42"/>
        <v>0</v>
      </c>
      <c r="BK52" s="622" t="str">
        <f>IF(BH52="","",IF($F$41=1,IF(BJ52&lt;&gt;"",CONCATENATE(BI52,"–",BJ52),BG52),IF($F$41=2,CONCATENATE(BH52,"."),BG52)))</f>
        <v>4–0</v>
      </c>
      <c r="BL52" s="605" t="str">
        <f t="shared" si="59"/>
        <v>ZrínyigyöngyeZrínyigyöngye</v>
      </c>
      <c r="BM52" s="605" t="str">
        <f t="shared" si="44"/>
        <v/>
      </c>
      <c r="BN52" s="606" t="str">
        <f t="shared" si="45"/>
        <v/>
      </c>
      <c r="BO52" s="605" t="e">
        <f t="shared" si="46"/>
        <v>#N/A</v>
      </c>
      <c r="BP52" s="607" t="e">
        <f t="shared" si="47"/>
        <v>#N/A</v>
      </c>
      <c r="BQ52" s="610"/>
    </row>
    <row r="53" spans="3:69" ht="15" customHeight="1" x14ac:dyDescent="0.15"/>
    <row r="54" spans="3:69" ht="15" customHeight="1" x14ac:dyDescent="0.15"/>
    <row r="55" spans="3:69" ht="68.25" hidden="1" customHeight="1" x14ac:dyDescent="0.15">
      <c r="C55" s="594"/>
      <c r="D55" s="595"/>
      <c r="E55" s="595"/>
      <c r="H55" s="598"/>
      <c r="I55" s="599" t="str">
        <f>C56</f>
        <v>–</v>
      </c>
      <c r="J55" s="595"/>
      <c r="K55" s="595"/>
      <c r="N55" s="598"/>
      <c r="O55" s="599" t="str">
        <f>C57</f>
        <v>–</v>
      </c>
      <c r="P55" s="595"/>
      <c r="Q55" s="595"/>
      <c r="T55" s="598"/>
      <c r="U55" s="599" t="str">
        <f>C58</f>
        <v>–</v>
      </c>
      <c r="V55" s="595"/>
      <c r="W55" s="595"/>
      <c r="Z55" s="598"/>
      <c r="AA55" s="599" t="str">
        <f>C59</f>
        <v>–</v>
      </c>
      <c r="AB55" s="595"/>
      <c r="AC55" s="595"/>
      <c r="AF55" s="598"/>
      <c r="AG55" s="599" t="str">
        <f>C60</f>
        <v>–</v>
      </c>
      <c r="AH55" s="595"/>
      <c r="AI55" s="595"/>
      <c r="AL55" s="598"/>
      <c r="AM55" s="599" t="str">
        <f>C61</f>
        <v>–</v>
      </c>
      <c r="AN55" s="595"/>
      <c r="AO55" s="595"/>
      <c r="AR55" s="598"/>
      <c r="AS55" s="599" t="str">
        <f>C62</f>
        <v>–</v>
      </c>
      <c r="AT55" s="595"/>
      <c r="AU55" s="595"/>
      <c r="AX55" s="598"/>
      <c r="AY55" s="599" t="str">
        <f>C63</f>
        <v>–</v>
      </c>
      <c r="AZ55" s="595"/>
      <c r="BA55" s="595"/>
      <c r="BD55" s="598"/>
      <c r="BE55" s="599" t="str">
        <f>C64</f>
        <v>–</v>
      </c>
      <c r="BF55" s="595"/>
      <c r="BG55" s="595"/>
      <c r="BJ55" s="598"/>
      <c r="BK55" s="600" t="str">
        <f>C65</f>
        <v>–</v>
      </c>
      <c r="BQ55" s="591"/>
    </row>
    <row r="56" spans="3:69" ht="15" hidden="1" customHeight="1" x14ac:dyDescent="0.2">
      <c r="C56" s="601" t="str">
        <f>IF(Adatok!B1="","–",Adatok!B1)</f>
        <v>–</v>
      </c>
      <c r="D56" s="602" t="str">
        <f>CONCATENATE($C56,I$55)</f>
        <v>––</v>
      </c>
      <c r="E56" s="602" t="str">
        <f t="shared" ref="E56:E65" si="65">IF(ISNA(VLOOKUP(D56,games.a,15,FALSE)),"",VLOOKUP(D56,games.a,15,FALSE))</f>
        <v/>
      </c>
      <c r="F56" s="603" t="str">
        <f t="shared" ref="F56:F65" si="66">IF(ISNA(VLOOKUP(D56,games.a,3,FALSE)),"",VLOOKUP(D56,games.a,3,FALSE))</f>
        <v/>
      </c>
      <c r="G56" s="602" t="e">
        <f t="shared" ref="G56:G62" si="67">IF(VLOOKUP(D56,games.a,2,FALSE),VLOOKUP(D56,games.a,6,FALSE),"")</f>
        <v>#N/A</v>
      </c>
      <c r="H56" s="595" t="e">
        <f t="shared" ref="H56:H62" si="68">IF(VLOOKUP(D56,games.a,2,FALSE),VLOOKUP(D56,games.a,7,FALSE),"")</f>
        <v>#N/A</v>
      </c>
      <c r="I56" s="612"/>
      <c r="J56" s="605" t="str">
        <f>CONCATENATE($C56,O$55)</f>
        <v>––</v>
      </c>
      <c r="K56" s="605" t="str">
        <f t="shared" ref="K56:K65" si="69">IF(ISNA(VLOOKUP(J56,games.a,15,FALSE)),"",VLOOKUP(J56,games.a,15,FALSE))</f>
        <v/>
      </c>
      <c r="L56" s="606" t="str">
        <f t="shared" ref="L56:L65" si="70">IF(ISNA(VLOOKUP(J56,games.a,3,FALSE)),"",VLOOKUP(J56,games.a,3,FALSE))</f>
        <v/>
      </c>
      <c r="M56" s="605" t="e">
        <f t="shared" ref="M56:M62" si="71">IF(VLOOKUP(J56,games.a,2,FALSE),VLOOKUP(J56,games.a,6,FALSE),"")</f>
        <v>#N/A</v>
      </c>
      <c r="N56" s="607" t="e">
        <f t="shared" ref="N56:N62" si="72">IF(VLOOKUP(J56,games.a,2,FALSE),VLOOKUP(J56,games.a,7,FALSE),"")</f>
        <v>#N/A</v>
      </c>
      <c r="O56" s="608" t="str">
        <f>IF(L56="","",IF($F$41=1,IF(N56&lt;&gt;"",CONCATENATE(M56,"–",N56),K56),IF($F$41=2,CONCATENATE(L56,"."),K56)))</f>
        <v/>
      </c>
      <c r="P56" s="605" t="str">
        <f>CONCATENATE($C56,U$55)</f>
        <v>––</v>
      </c>
      <c r="Q56" s="605" t="str">
        <f t="shared" ref="Q56:Q65" si="73">IF(ISNA(VLOOKUP(P56,games.a,15,FALSE)),"",VLOOKUP(P56,games.a,15,FALSE))</f>
        <v/>
      </c>
      <c r="R56" s="606" t="str">
        <f t="shared" ref="R56:R65" si="74">IF(ISNA(VLOOKUP(P56,games.a,3,FALSE)),"",VLOOKUP(P56,games.a,3,FALSE))</f>
        <v/>
      </c>
      <c r="S56" s="605" t="e">
        <f t="shared" ref="S56:S62" si="75">IF(VLOOKUP(P56,games.a,2,FALSE),VLOOKUP(P56,games.a,6,FALSE),"")</f>
        <v>#N/A</v>
      </c>
      <c r="T56" s="607" t="e">
        <f t="shared" ref="T56:T62" si="76">IF(VLOOKUP(P56,games.a,2,FALSE),VLOOKUP(P56,games.a,7,FALSE),"")</f>
        <v>#N/A</v>
      </c>
      <c r="U56" s="608" t="str">
        <f>IF(R56="","",IF($F$41=1,IF(T56&lt;&gt;"",CONCATENATE(S56,"–",T56),Q56),IF($F$41=2,CONCATENATE(R56,"."),Q56)))</f>
        <v/>
      </c>
      <c r="V56" s="605" t="str">
        <f>CONCATENATE($C56,AA$55)</f>
        <v>––</v>
      </c>
      <c r="W56" s="605" t="str">
        <f t="shared" ref="W56:W65" si="77">IF(ISNA(VLOOKUP(V56,games.a,15,FALSE)),"",VLOOKUP(V56,games.a,15,FALSE))</f>
        <v/>
      </c>
      <c r="X56" s="606" t="str">
        <f t="shared" ref="X56:X65" si="78">IF(ISNA(VLOOKUP(V56,games.a,3,FALSE)),"",VLOOKUP(V56,games.a,3,FALSE))</f>
        <v/>
      </c>
      <c r="Y56" s="605" t="e">
        <f t="shared" ref="Y56:Y62" si="79">IF(VLOOKUP(V56,games.a,2,FALSE),VLOOKUP(V56,games.a,6,FALSE),"")</f>
        <v>#N/A</v>
      </c>
      <c r="Z56" s="607" t="e">
        <f t="shared" ref="Z56:Z62" si="80">IF(VLOOKUP(V56,games.a,2,FALSE),VLOOKUP(V56,games.a,7,FALSE),"")</f>
        <v>#N/A</v>
      </c>
      <c r="AA56" s="608" t="str">
        <f>IF(X56="","",IF($F$41=1,IF(Z56&lt;&gt;"",CONCATENATE(Y56,"–",Z56),W56),IF($F$41=2,CONCATENATE(X56,"."),W56)))</f>
        <v/>
      </c>
      <c r="AB56" s="605" t="str">
        <f>CONCATENATE($C56,AG$55)</f>
        <v>––</v>
      </c>
      <c r="AC56" s="605" t="str">
        <f t="shared" ref="AC56:AC65" si="81">IF(ISNA(VLOOKUP(AB56,games.a,15,FALSE)),"",VLOOKUP(AB56,games.a,15,FALSE))</f>
        <v/>
      </c>
      <c r="AD56" s="606" t="str">
        <f t="shared" ref="AD56:AD65" si="82">IF(ISNA(VLOOKUP(AB56,games.a,3,FALSE)),"",VLOOKUP(AB56,games.a,3,FALSE))</f>
        <v/>
      </c>
      <c r="AE56" s="605" t="e">
        <f t="shared" ref="AE56:AE62" si="83">IF(VLOOKUP(AB56,games.a,2,FALSE),VLOOKUP(AB56,games.a,6,FALSE),"")</f>
        <v>#N/A</v>
      </c>
      <c r="AF56" s="607" t="e">
        <f t="shared" ref="AF56:AF62" si="84">IF(VLOOKUP(AB56,games.a,2,FALSE),VLOOKUP(AB56,games.a,7,FALSE),"")</f>
        <v>#N/A</v>
      </c>
      <c r="AG56" s="608" t="str">
        <f>IF(AD56="","",IF($F$41=1,IF(AF56&lt;&gt;"",CONCATENATE(AE56,"–",AF56),AC56),IF($F$41=2,CONCATENATE(AD56,"."),AC56)))</f>
        <v/>
      </c>
      <c r="AH56" s="605" t="str">
        <f>CONCATENATE($C56,AM$55)</f>
        <v>––</v>
      </c>
      <c r="AI56" s="605" t="str">
        <f t="shared" ref="AI56:AI65" si="85">IF(ISNA(VLOOKUP(AH56,games.a,15,FALSE)),"",VLOOKUP(AH56,games.a,15,FALSE))</f>
        <v/>
      </c>
      <c r="AJ56" s="606" t="str">
        <f t="shared" ref="AJ56:AJ65" si="86">IF(ISNA(VLOOKUP(AH56,games.a,3,FALSE)),"",VLOOKUP(AH56,games.a,3,FALSE))</f>
        <v/>
      </c>
      <c r="AK56" s="605" t="e">
        <f t="shared" ref="AK56:AK62" si="87">IF(VLOOKUP(AH56,games.a,2,FALSE),VLOOKUP(AH56,games.a,6,FALSE),"")</f>
        <v>#N/A</v>
      </c>
      <c r="AL56" s="607" t="e">
        <f t="shared" ref="AL56:AL62" si="88">IF(VLOOKUP(AH56,games.a,2,FALSE),VLOOKUP(AH56,games.a,7,FALSE),"")</f>
        <v>#N/A</v>
      </c>
      <c r="AM56" s="608" t="str">
        <f>IF(AJ56="","",IF($F$41=1,IF(AL56&lt;&gt;"",CONCATENATE(AK56,"–",AL56),AI56),IF($F$41=2,CONCATENATE(AJ56,"."),AI56)))</f>
        <v/>
      </c>
      <c r="AN56" s="605" t="str">
        <f>CONCATENATE($C56,AS$55)</f>
        <v>––</v>
      </c>
      <c r="AO56" s="605" t="str">
        <f t="shared" ref="AO56:AO65" si="89">IF(ISNA(VLOOKUP(AN56,games.a,15,FALSE)),"",VLOOKUP(AN56,games.a,15,FALSE))</f>
        <v/>
      </c>
      <c r="AP56" s="606" t="str">
        <f t="shared" ref="AP56:AP65" si="90">IF(ISNA(VLOOKUP(AN56,games.a,3,FALSE)),"",VLOOKUP(AN56,games.a,3,FALSE))</f>
        <v/>
      </c>
      <c r="AQ56" s="605" t="e">
        <f t="shared" ref="AQ56:AQ62" si="91">IF(VLOOKUP(AN56,games.a,2,FALSE),VLOOKUP(AN56,games.a,6,FALSE),"")</f>
        <v>#N/A</v>
      </c>
      <c r="AR56" s="607" t="e">
        <f t="shared" ref="AR56:AR62" si="92">IF(VLOOKUP(AN56,games.a,2,FALSE),VLOOKUP(AN56,games.a,7,FALSE),"")</f>
        <v>#N/A</v>
      </c>
      <c r="AS56" s="608" t="str">
        <f t="shared" ref="AS56:AS61" si="93">IF(AP56="","",IF($F$41=1,IF(AR56&lt;&gt;"",CONCATENATE(AQ56,"–",AR56),AO56),IF($F$41=2,CONCATENATE(AP56,"."),AO56)))</f>
        <v/>
      </c>
      <c r="AT56" s="605" t="str">
        <f>CONCATENATE($C56,AY$55)</f>
        <v>––</v>
      </c>
      <c r="AU56" s="605" t="str">
        <f t="shared" ref="AU56:AU65" si="94">IF(ISNA(VLOOKUP(AT56,games.a,15,FALSE)),"",VLOOKUP(AT56,games.a,15,FALSE))</f>
        <v/>
      </c>
      <c r="AV56" s="606" t="str">
        <f t="shared" ref="AV56:AV65" si="95">IF(ISNA(VLOOKUP(AT56,games.a,3,FALSE)),"",VLOOKUP(AT56,games.a,3,FALSE))</f>
        <v/>
      </c>
      <c r="AW56" s="605" t="e">
        <f t="shared" ref="AW56:AW62" si="96">IF(VLOOKUP(AT56,games.a,2,FALSE),VLOOKUP(AT56,games.a,6,FALSE),"")</f>
        <v>#N/A</v>
      </c>
      <c r="AX56" s="607" t="e">
        <f t="shared" ref="AX56:AX62" si="97">IF(VLOOKUP(AT56,games.a,2,FALSE),VLOOKUP(AT56,games.a,7,FALSE),"")</f>
        <v>#N/A</v>
      </c>
      <c r="AY56" s="608" t="str">
        <f t="shared" ref="AY56:AY62" si="98">IF(AV56="","",IF($F$41=1,IF(AX56&lt;&gt;"",CONCATENATE(AW56,"–",AX56),AU56),IF($F$41=2,CONCATENATE(AV56,"."),AU56)))</f>
        <v/>
      </c>
      <c r="AZ56" s="605" t="str">
        <f>CONCATENATE($C56,BE$55)</f>
        <v>––</v>
      </c>
      <c r="BA56" s="605" t="str">
        <f t="shared" ref="BA56:BA65" si="99">IF(ISNA(VLOOKUP(AZ56,games.a,15,FALSE)),"",VLOOKUP(AZ56,games.a,15,FALSE))</f>
        <v/>
      </c>
      <c r="BB56" s="606" t="str">
        <f t="shared" ref="BB56:BB65" si="100">IF(ISNA(VLOOKUP(AZ56,games.a,3,FALSE)),"",VLOOKUP(AZ56,games.a,3,FALSE))</f>
        <v/>
      </c>
      <c r="BC56" s="605" t="e">
        <f t="shared" ref="BC56:BC62" si="101">IF(VLOOKUP(AZ56,games.a,2,FALSE),VLOOKUP(AZ56,games.a,6,FALSE),"")</f>
        <v>#N/A</v>
      </c>
      <c r="BD56" s="607" t="e">
        <f t="shared" ref="BD56:BD62" si="102">IF(VLOOKUP(AZ56,games.a,2,FALSE),VLOOKUP(AZ56,games.a,7,FALSE),"")</f>
        <v>#N/A</v>
      </c>
      <c r="BE56" s="608" t="str">
        <f t="shared" ref="BE56:BE63" si="103">IF(BB56="","",IF($F$41=1,IF(BD56&lt;&gt;"",CONCATENATE(BC56,"–",BD56),BA56),IF($F$41=2,CONCATENATE(BB56,"."),BA56)))</f>
        <v/>
      </c>
      <c r="BF56" s="605" t="str">
        <f>CONCATENATE($C56,BK$55)</f>
        <v>––</v>
      </c>
      <c r="BG56" s="605" t="str">
        <f t="shared" ref="BG56:BG65" si="104">IF(ISNA(VLOOKUP(BF56,games.a,15,FALSE)),"",VLOOKUP(BF56,games.a,15,FALSE))</f>
        <v/>
      </c>
      <c r="BH56" s="606" t="str">
        <f t="shared" ref="BH56:BH65" si="105">IF(ISNA(VLOOKUP(BF56,games.a,3,FALSE)),"",VLOOKUP(BF56,games.a,3,FALSE))</f>
        <v/>
      </c>
      <c r="BI56" s="605" t="e">
        <f t="shared" ref="BI56:BI62" si="106">IF(VLOOKUP(BF56,games.a,2,FALSE),VLOOKUP(BF56,games.a,6,FALSE),"")</f>
        <v>#N/A</v>
      </c>
      <c r="BJ56" s="607" t="e">
        <f t="shared" ref="BJ56:BJ62" si="107">IF(VLOOKUP(BF56,games.a,2,FALSE),VLOOKUP(BF56,games.a,7,FALSE),"")</f>
        <v>#N/A</v>
      </c>
      <c r="BK56" s="608" t="str">
        <f t="shared" ref="BK56:BK64" si="108">IF(BH56="","",IF($F$41=1,IF(BJ56&lt;&gt;"",CONCATENATE(BI56,"–",BJ56),BG56),IF($F$41=2,CONCATENATE(BH56,"."),BG56)))</f>
        <v/>
      </c>
    </row>
    <row r="57" spans="3:69" ht="15" hidden="1" customHeight="1" x14ac:dyDescent="0.2">
      <c r="C57" s="609" t="str">
        <f>IF(Adatok!B2="","–",Adatok!B2)</f>
        <v>–</v>
      </c>
      <c r="D57" s="602" t="str">
        <f t="shared" ref="D57:D62" si="109">CONCATENATE($C57,I$55)</f>
        <v>––</v>
      </c>
      <c r="E57" s="602" t="str">
        <f t="shared" si="65"/>
        <v/>
      </c>
      <c r="F57" s="603" t="str">
        <f t="shared" si="66"/>
        <v/>
      </c>
      <c r="G57" s="602" t="e">
        <f t="shared" si="67"/>
        <v>#N/A</v>
      </c>
      <c r="H57" s="595" t="e">
        <f t="shared" si="68"/>
        <v>#N/A</v>
      </c>
      <c r="I57" s="608" t="str">
        <f t="shared" ref="I57:I65" si="110">IF(F57="","",IF($F$41=1,IF(H57&lt;&gt;"",CONCATENATE(G57,"–",H57),E57),IF($F$41=2,CONCATENATE(F57,"."),E57)))</f>
        <v/>
      </c>
      <c r="J57" s="605" t="str">
        <f t="shared" ref="J57:J62" si="111">CONCATENATE($C57,O$55)</f>
        <v>––</v>
      </c>
      <c r="K57" s="605" t="str">
        <f t="shared" si="69"/>
        <v/>
      </c>
      <c r="L57" s="606" t="str">
        <f t="shared" si="70"/>
        <v/>
      </c>
      <c r="M57" s="605" t="e">
        <f t="shared" si="71"/>
        <v>#N/A</v>
      </c>
      <c r="N57" s="607" t="e">
        <f t="shared" si="72"/>
        <v>#N/A</v>
      </c>
      <c r="O57" s="610"/>
      <c r="P57" s="605" t="str">
        <f t="shared" ref="P57:P62" si="112">CONCATENATE($C57,U$55)</f>
        <v>––</v>
      </c>
      <c r="Q57" s="605" t="str">
        <f t="shared" si="73"/>
        <v/>
      </c>
      <c r="R57" s="606" t="str">
        <f t="shared" si="74"/>
        <v/>
      </c>
      <c r="S57" s="605" t="e">
        <f t="shared" si="75"/>
        <v>#N/A</v>
      </c>
      <c r="T57" s="607" t="e">
        <f t="shared" si="76"/>
        <v>#N/A</v>
      </c>
      <c r="U57" s="608" t="str">
        <f>IF(R57="","",IF($F$41=1,IF(T57&lt;&gt;"",CONCATENATE(S57,"–",T57),Q57),IF($F$41=2,CONCATENATE(R57,"."),Q57)))</f>
        <v/>
      </c>
      <c r="V57" s="605" t="str">
        <f t="shared" ref="V57:V62" si="113">CONCATENATE($C57,AA$55)</f>
        <v>––</v>
      </c>
      <c r="W57" s="605" t="str">
        <f t="shared" si="77"/>
        <v/>
      </c>
      <c r="X57" s="606" t="str">
        <f t="shared" si="78"/>
        <v/>
      </c>
      <c r="Y57" s="605" t="e">
        <f t="shared" si="79"/>
        <v>#N/A</v>
      </c>
      <c r="Z57" s="607" t="e">
        <f t="shared" si="80"/>
        <v>#N/A</v>
      </c>
      <c r="AA57" s="608" t="str">
        <f>IF(X57="","",IF($F$41=1,IF(Z57&lt;&gt;"",CONCATENATE(Y57,"–",Z57),W57),IF($F$41=2,CONCATENATE(X57,"."),W57)))</f>
        <v/>
      </c>
      <c r="AB57" s="605" t="str">
        <f t="shared" ref="AB57:AB62" si="114">CONCATENATE($C57,AG$55)</f>
        <v>––</v>
      </c>
      <c r="AC57" s="605" t="str">
        <f t="shared" si="81"/>
        <v/>
      </c>
      <c r="AD57" s="606" t="str">
        <f t="shared" si="82"/>
        <v/>
      </c>
      <c r="AE57" s="605" t="e">
        <f t="shared" si="83"/>
        <v>#N/A</v>
      </c>
      <c r="AF57" s="607" t="e">
        <f t="shared" si="84"/>
        <v>#N/A</v>
      </c>
      <c r="AG57" s="608" t="str">
        <f>IF(AD57="","",IF($F$41=1,IF(AF57&lt;&gt;"",CONCATENATE(AE57,"–",AF57),AC57),IF($F$41=2,CONCATENATE(AD57,"."),AC57)))</f>
        <v/>
      </c>
      <c r="AH57" s="605" t="str">
        <f t="shared" ref="AH57:AH62" si="115">CONCATENATE($C57,AM$55)</f>
        <v>––</v>
      </c>
      <c r="AI57" s="605" t="str">
        <f t="shared" si="85"/>
        <v/>
      </c>
      <c r="AJ57" s="606" t="str">
        <f t="shared" si="86"/>
        <v/>
      </c>
      <c r="AK57" s="605" t="e">
        <f t="shared" si="87"/>
        <v>#N/A</v>
      </c>
      <c r="AL57" s="607" t="e">
        <f t="shared" si="88"/>
        <v>#N/A</v>
      </c>
      <c r="AM57" s="608" t="str">
        <f>IF(AJ57="","",IF($F$41=1,IF(AL57&lt;&gt;"",CONCATENATE(AK57,"–",AL57),AI57),IF($F$41=2,CONCATENATE(AJ57,"."),AI57)))</f>
        <v/>
      </c>
      <c r="AN57" s="605" t="str">
        <f t="shared" ref="AN57:AN62" si="116">CONCATENATE($C57,AS$55)</f>
        <v>––</v>
      </c>
      <c r="AO57" s="605" t="str">
        <f t="shared" si="89"/>
        <v/>
      </c>
      <c r="AP57" s="606" t="str">
        <f t="shared" si="90"/>
        <v/>
      </c>
      <c r="AQ57" s="605" t="e">
        <f t="shared" si="91"/>
        <v>#N/A</v>
      </c>
      <c r="AR57" s="607" t="e">
        <f t="shared" si="92"/>
        <v>#N/A</v>
      </c>
      <c r="AS57" s="608" t="str">
        <f t="shared" si="93"/>
        <v/>
      </c>
      <c r="AT57" s="605" t="str">
        <f t="shared" ref="AT57:AT62" si="117">CONCATENATE($C57,AY$55)</f>
        <v>––</v>
      </c>
      <c r="AU57" s="605" t="str">
        <f t="shared" si="94"/>
        <v/>
      </c>
      <c r="AV57" s="606" t="str">
        <f t="shared" si="95"/>
        <v/>
      </c>
      <c r="AW57" s="605" t="e">
        <f t="shared" si="96"/>
        <v>#N/A</v>
      </c>
      <c r="AX57" s="607" t="e">
        <f t="shared" si="97"/>
        <v>#N/A</v>
      </c>
      <c r="AY57" s="608" t="str">
        <f t="shared" si="98"/>
        <v/>
      </c>
      <c r="AZ57" s="605" t="str">
        <f t="shared" ref="AZ57:AZ62" si="118">CONCATENATE($C57,BE$55)</f>
        <v>––</v>
      </c>
      <c r="BA57" s="605" t="str">
        <f t="shared" si="99"/>
        <v/>
      </c>
      <c r="BB57" s="606" t="str">
        <f t="shared" si="100"/>
        <v/>
      </c>
      <c r="BC57" s="605" t="e">
        <f t="shared" si="101"/>
        <v>#N/A</v>
      </c>
      <c r="BD57" s="607" t="e">
        <f t="shared" si="102"/>
        <v>#N/A</v>
      </c>
      <c r="BE57" s="608" t="str">
        <f t="shared" si="103"/>
        <v/>
      </c>
      <c r="BF57" s="605" t="str">
        <f t="shared" ref="BF57:BF62" si="119">CONCATENATE($C57,BK$55)</f>
        <v>––</v>
      </c>
      <c r="BG57" s="605" t="str">
        <f t="shared" si="104"/>
        <v/>
      </c>
      <c r="BH57" s="606" t="str">
        <f t="shared" si="105"/>
        <v/>
      </c>
      <c r="BI57" s="605" t="e">
        <f t="shared" si="106"/>
        <v>#N/A</v>
      </c>
      <c r="BJ57" s="607" t="e">
        <f t="shared" si="107"/>
        <v>#N/A</v>
      </c>
      <c r="BK57" s="608" t="str">
        <f t="shared" si="108"/>
        <v/>
      </c>
    </row>
    <row r="58" spans="3:69" ht="15" hidden="1" customHeight="1" x14ac:dyDescent="0.2">
      <c r="C58" s="609" t="str">
        <f>IF(Adatok!B3="","–",Adatok!B3)</f>
        <v>–</v>
      </c>
      <c r="D58" s="602" t="str">
        <f t="shared" si="109"/>
        <v>––</v>
      </c>
      <c r="E58" s="602" t="str">
        <f t="shared" si="65"/>
        <v/>
      </c>
      <c r="F58" s="603" t="str">
        <f t="shared" si="66"/>
        <v/>
      </c>
      <c r="G58" s="602" t="e">
        <f t="shared" si="67"/>
        <v>#N/A</v>
      </c>
      <c r="H58" s="595" t="e">
        <f t="shared" si="68"/>
        <v>#N/A</v>
      </c>
      <c r="I58" s="608" t="str">
        <f t="shared" si="110"/>
        <v/>
      </c>
      <c r="J58" s="605" t="str">
        <f t="shared" si="111"/>
        <v>––</v>
      </c>
      <c r="K58" s="605" t="str">
        <f t="shared" si="69"/>
        <v/>
      </c>
      <c r="L58" s="606" t="str">
        <f t="shared" si="70"/>
        <v/>
      </c>
      <c r="M58" s="605" t="e">
        <f t="shared" si="71"/>
        <v>#N/A</v>
      </c>
      <c r="N58" s="607" t="e">
        <f t="shared" si="72"/>
        <v>#N/A</v>
      </c>
      <c r="O58" s="608" t="str">
        <f t="shared" ref="O58:O65" si="120">IF(L58="","",IF($F$41=1,IF(N58&lt;&gt;"",CONCATENATE(M58,"–",N58),K58),IF($F$41=2,CONCATENATE(L58,"."),K58)))</f>
        <v/>
      </c>
      <c r="P58" s="605" t="str">
        <f t="shared" si="112"/>
        <v>––</v>
      </c>
      <c r="Q58" s="605" t="str">
        <f t="shared" si="73"/>
        <v/>
      </c>
      <c r="R58" s="606" t="str">
        <f t="shared" si="74"/>
        <v/>
      </c>
      <c r="S58" s="605" t="e">
        <f t="shared" si="75"/>
        <v>#N/A</v>
      </c>
      <c r="T58" s="607" t="e">
        <f t="shared" si="76"/>
        <v>#N/A</v>
      </c>
      <c r="U58" s="610"/>
      <c r="V58" s="605" t="str">
        <f t="shared" si="113"/>
        <v>––</v>
      </c>
      <c r="W58" s="605" t="str">
        <f t="shared" si="77"/>
        <v/>
      </c>
      <c r="X58" s="606" t="str">
        <f t="shared" si="78"/>
        <v/>
      </c>
      <c r="Y58" s="605" t="e">
        <f t="shared" si="79"/>
        <v>#N/A</v>
      </c>
      <c r="Z58" s="607" t="e">
        <f t="shared" si="80"/>
        <v>#N/A</v>
      </c>
      <c r="AA58" s="608" t="str">
        <f>IF(X58="","",IF($F$41=1,IF(Z58&lt;&gt;"",CONCATENATE(Y58,"–",Z58),W58),IF($F$41=2,CONCATENATE(X58,"."),W58)))</f>
        <v/>
      </c>
      <c r="AB58" s="605" t="str">
        <f t="shared" si="114"/>
        <v>––</v>
      </c>
      <c r="AC58" s="605" t="str">
        <f t="shared" si="81"/>
        <v/>
      </c>
      <c r="AD58" s="606" t="str">
        <f t="shared" si="82"/>
        <v/>
      </c>
      <c r="AE58" s="605" t="e">
        <f t="shared" si="83"/>
        <v>#N/A</v>
      </c>
      <c r="AF58" s="607" t="e">
        <f t="shared" si="84"/>
        <v>#N/A</v>
      </c>
      <c r="AG58" s="608" t="str">
        <f>IF(AD58="","",IF($F$41=1,IF(AF58&lt;&gt;"",CONCATENATE(AE58,"–",AF58),AC58),IF($F$41=2,CONCATENATE(AD58,"."),AC58)))</f>
        <v/>
      </c>
      <c r="AH58" s="605" t="str">
        <f t="shared" si="115"/>
        <v>––</v>
      </c>
      <c r="AI58" s="605" t="str">
        <f t="shared" si="85"/>
        <v/>
      </c>
      <c r="AJ58" s="606" t="str">
        <f t="shared" si="86"/>
        <v/>
      </c>
      <c r="AK58" s="605" t="e">
        <f t="shared" si="87"/>
        <v>#N/A</v>
      </c>
      <c r="AL58" s="607" t="e">
        <f t="shared" si="88"/>
        <v>#N/A</v>
      </c>
      <c r="AM58" s="608" t="str">
        <f>IF(AJ58="","",IF($F$41=1,IF(AL58&lt;&gt;"",CONCATENATE(AK58,"–",AL58),AI58),IF($F$41=2,CONCATENATE(AJ58,"."),AI58)))</f>
        <v/>
      </c>
      <c r="AN58" s="605" t="str">
        <f t="shared" si="116"/>
        <v>––</v>
      </c>
      <c r="AO58" s="605" t="str">
        <f t="shared" si="89"/>
        <v/>
      </c>
      <c r="AP58" s="606" t="str">
        <f t="shared" si="90"/>
        <v/>
      </c>
      <c r="AQ58" s="605" t="e">
        <f t="shared" si="91"/>
        <v>#N/A</v>
      </c>
      <c r="AR58" s="607" t="e">
        <f t="shared" si="92"/>
        <v>#N/A</v>
      </c>
      <c r="AS58" s="608" t="str">
        <f t="shared" si="93"/>
        <v/>
      </c>
      <c r="AT58" s="605" t="str">
        <f t="shared" si="117"/>
        <v>––</v>
      </c>
      <c r="AU58" s="605" t="str">
        <f t="shared" si="94"/>
        <v/>
      </c>
      <c r="AV58" s="606" t="str">
        <f t="shared" si="95"/>
        <v/>
      </c>
      <c r="AW58" s="605" t="e">
        <f t="shared" si="96"/>
        <v>#N/A</v>
      </c>
      <c r="AX58" s="607" t="e">
        <f t="shared" si="97"/>
        <v>#N/A</v>
      </c>
      <c r="AY58" s="608" t="str">
        <f t="shared" si="98"/>
        <v/>
      </c>
      <c r="AZ58" s="605" t="str">
        <f t="shared" si="118"/>
        <v>––</v>
      </c>
      <c r="BA58" s="605" t="str">
        <f t="shared" si="99"/>
        <v/>
      </c>
      <c r="BB58" s="606" t="str">
        <f t="shared" si="100"/>
        <v/>
      </c>
      <c r="BC58" s="605" t="e">
        <f t="shared" si="101"/>
        <v>#N/A</v>
      </c>
      <c r="BD58" s="607" t="e">
        <f t="shared" si="102"/>
        <v>#N/A</v>
      </c>
      <c r="BE58" s="608" t="str">
        <f t="shared" si="103"/>
        <v/>
      </c>
      <c r="BF58" s="605" t="str">
        <f t="shared" si="119"/>
        <v>––</v>
      </c>
      <c r="BG58" s="605" t="str">
        <f t="shared" si="104"/>
        <v/>
      </c>
      <c r="BH58" s="606" t="str">
        <f t="shared" si="105"/>
        <v/>
      </c>
      <c r="BI58" s="605" t="e">
        <f t="shared" si="106"/>
        <v>#N/A</v>
      </c>
      <c r="BJ58" s="607" t="e">
        <f t="shared" si="107"/>
        <v>#N/A</v>
      </c>
      <c r="BK58" s="608" t="str">
        <f t="shared" si="108"/>
        <v/>
      </c>
    </row>
    <row r="59" spans="3:69" ht="15" hidden="1" customHeight="1" x14ac:dyDescent="0.2">
      <c r="C59" s="609" t="str">
        <f>IF(Adatok!B4="","–",Adatok!B4)</f>
        <v>–</v>
      </c>
      <c r="D59" s="602" t="str">
        <f t="shared" si="109"/>
        <v>––</v>
      </c>
      <c r="E59" s="602" t="str">
        <f t="shared" si="65"/>
        <v/>
      </c>
      <c r="F59" s="603" t="str">
        <f t="shared" si="66"/>
        <v/>
      </c>
      <c r="G59" s="602" t="e">
        <f t="shared" si="67"/>
        <v>#N/A</v>
      </c>
      <c r="H59" s="595" t="e">
        <f t="shared" si="68"/>
        <v>#N/A</v>
      </c>
      <c r="I59" s="608" t="str">
        <f t="shared" si="110"/>
        <v/>
      </c>
      <c r="J59" s="605" t="str">
        <f t="shared" si="111"/>
        <v>––</v>
      </c>
      <c r="K59" s="605" t="str">
        <f t="shared" si="69"/>
        <v/>
      </c>
      <c r="L59" s="606" t="str">
        <f t="shared" si="70"/>
        <v/>
      </c>
      <c r="M59" s="605" t="e">
        <f t="shared" si="71"/>
        <v>#N/A</v>
      </c>
      <c r="N59" s="607" t="e">
        <f t="shared" si="72"/>
        <v>#N/A</v>
      </c>
      <c r="O59" s="608" t="str">
        <f t="shared" si="120"/>
        <v/>
      </c>
      <c r="P59" s="605" t="str">
        <f t="shared" si="112"/>
        <v>––</v>
      </c>
      <c r="Q59" s="605" t="str">
        <f t="shared" si="73"/>
        <v/>
      </c>
      <c r="R59" s="606" t="str">
        <f t="shared" si="74"/>
        <v/>
      </c>
      <c r="S59" s="605" t="e">
        <f t="shared" si="75"/>
        <v>#N/A</v>
      </c>
      <c r="T59" s="607" t="e">
        <f t="shared" si="76"/>
        <v>#N/A</v>
      </c>
      <c r="U59" s="608" t="str">
        <f t="shared" ref="U59:U65" si="121">IF(R59="","",IF($F$41=1,IF(T59&lt;&gt;"",CONCATENATE(S59,"–",T59),Q59),IF($F$41=2,CONCATENATE(R59,"."),Q59)))</f>
        <v/>
      </c>
      <c r="V59" s="605" t="str">
        <f t="shared" si="113"/>
        <v>––</v>
      </c>
      <c r="W59" s="605" t="str">
        <f t="shared" si="77"/>
        <v/>
      </c>
      <c r="X59" s="606" t="str">
        <f t="shared" si="78"/>
        <v/>
      </c>
      <c r="Y59" s="605" t="e">
        <f t="shared" si="79"/>
        <v>#N/A</v>
      </c>
      <c r="Z59" s="607" t="e">
        <f t="shared" si="80"/>
        <v>#N/A</v>
      </c>
      <c r="AA59" s="610"/>
      <c r="AB59" s="605" t="str">
        <f t="shared" si="114"/>
        <v>––</v>
      </c>
      <c r="AC59" s="605" t="str">
        <f t="shared" si="81"/>
        <v/>
      </c>
      <c r="AD59" s="606" t="str">
        <f t="shared" si="82"/>
        <v/>
      </c>
      <c r="AE59" s="605" t="e">
        <f t="shared" si="83"/>
        <v>#N/A</v>
      </c>
      <c r="AF59" s="607" t="e">
        <f t="shared" si="84"/>
        <v>#N/A</v>
      </c>
      <c r="AG59" s="608" t="str">
        <f>IF(AD59="","",IF($F$41=1,IF(AF59&lt;&gt;"",CONCATENATE(AE59,"–",AF59),AC59),IF($F$41=2,CONCATENATE(AD59,"."),AC59)))</f>
        <v/>
      </c>
      <c r="AH59" s="605" t="str">
        <f t="shared" si="115"/>
        <v>––</v>
      </c>
      <c r="AI59" s="605" t="str">
        <f t="shared" si="85"/>
        <v/>
      </c>
      <c r="AJ59" s="606" t="str">
        <f t="shared" si="86"/>
        <v/>
      </c>
      <c r="AK59" s="605" t="e">
        <f t="shared" si="87"/>
        <v>#N/A</v>
      </c>
      <c r="AL59" s="607" t="e">
        <f t="shared" si="88"/>
        <v>#N/A</v>
      </c>
      <c r="AM59" s="608" t="str">
        <f>IF(AJ59="","",IF($F$41=1,IF(AL59&lt;&gt;"",CONCATENATE(AK59,"–",AL59),AI59),IF($F$41=2,CONCATENATE(AJ59,"."),AI59)))</f>
        <v/>
      </c>
      <c r="AN59" s="605" t="str">
        <f t="shared" si="116"/>
        <v>––</v>
      </c>
      <c r="AO59" s="605" t="str">
        <f t="shared" si="89"/>
        <v/>
      </c>
      <c r="AP59" s="606" t="str">
        <f t="shared" si="90"/>
        <v/>
      </c>
      <c r="AQ59" s="605" t="e">
        <f t="shared" si="91"/>
        <v>#N/A</v>
      </c>
      <c r="AR59" s="607" t="e">
        <f t="shared" si="92"/>
        <v>#N/A</v>
      </c>
      <c r="AS59" s="608" t="str">
        <f t="shared" si="93"/>
        <v/>
      </c>
      <c r="AT59" s="605" t="str">
        <f t="shared" si="117"/>
        <v>––</v>
      </c>
      <c r="AU59" s="605" t="str">
        <f t="shared" si="94"/>
        <v/>
      </c>
      <c r="AV59" s="606" t="str">
        <f t="shared" si="95"/>
        <v/>
      </c>
      <c r="AW59" s="605" t="e">
        <f t="shared" si="96"/>
        <v>#N/A</v>
      </c>
      <c r="AX59" s="607" t="e">
        <f t="shared" si="97"/>
        <v>#N/A</v>
      </c>
      <c r="AY59" s="608" t="str">
        <f t="shared" si="98"/>
        <v/>
      </c>
      <c r="AZ59" s="605" t="str">
        <f t="shared" si="118"/>
        <v>––</v>
      </c>
      <c r="BA59" s="605" t="str">
        <f t="shared" si="99"/>
        <v/>
      </c>
      <c r="BB59" s="606" t="str">
        <f t="shared" si="100"/>
        <v/>
      </c>
      <c r="BC59" s="605" t="e">
        <f t="shared" si="101"/>
        <v>#N/A</v>
      </c>
      <c r="BD59" s="607" t="e">
        <f t="shared" si="102"/>
        <v>#N/A</v>
      </c>
      <c r="BE59" s="608" t="str">
        <f t="shared" si="103"/>
        <v/>
      </c>
      <c r="BF59" s="605" t="str">
        <f t="shared" si="119"/>
        <v>––</v>
      </c>
      <c r="BG59" s="605" t="str">
        <f t="shared" si="104"/>
        <v/>
      </c>
      <c r="BH59" s="606" t="str">
        <f t="shared" si="105"/>
        <v/>
      </c>
      <c r="BI59" s="605" t="e">
        <f t="shared" si="106"/>
        <v>#N/A</v>
      </c>
      <c r="BJ59" s="607" t="e">
        <f t="shared" si="107"/>
        <v>#N/A</v>
      </c>
      <c r="BK59" s="608" t="str">
        <f t="shared" si="108"/>
        <v/>
      </c>
    </row>
    <row r="60" spans="3:69" ht="15" hidden="1" customHeight="1" x14ac:dyDescent="0.2">
      <c r="C60" s="609" t="str">
        <f>IF(Adatok!B5="","–",Adatok!B5)</f>
        <v>–</v>
      </c>
      <c r="D60" s="602" t="str">
        <f t="shared" si="109"/>
        <v>––</v>
      </c>
      <c r="E60" s="602" t="str">
        <f t="shared" si="65"/>
        <v/>
      </c>
      <c r="F60" s="603" t="str">
        <f t="shared" si="66"/>
        <v/>
      </c>
      <c r="G60" s="602" t="e">
        <f t="shared" si="67"/>
        <v>#N/A</v>
      </c>
      <c r="H60" s="595" t="e">
        <f t="shared" si="68"/>
        <v>#N/A</v>
      </c>
      <c r="I60" s="608" t="str">
        <f t="shared" si="110"/>
        <v/>
      </c>
      <c r="J60" s="605" t="str">
        <f t="shared" si="111"/>
        <v>––</v>
      </c>
      <c r="K60" s="605" t="str">
        <f t="shared" si="69"/>
        <v/>
      </c>
      <c r="L60" s="606" t="str">
        <f t="shared" si="70"/>
        <v/>
      </c>
      <c r="M60" s="605" t="e">
        <f t="shared" si="71"/>
        <v>#N/A</v>
      </c>
      <c r="N60" s="607" t="e">
        <f t="shared" si="72"/>
        <v>#N/A</v>
      </c>
      <c r="O60" s="608" t="str">
        <f t="shared" si="120"/>
        <v/>
      </c>
      <c r="P60" s="605" t="str">
        <f t="shared" si="112"/>
        <v>––</v>
      </c>
      <c r="Q60" s="605" t="str">
        <f t="shared" si="73"/>
        <v/>
      </c>
      <c r="R60" s="606" t="str">
        <f t="shared" si="74"/>
        <v/>
      </c>
      <c r="S60" s="605" t="e">
        <f t="shared" si="75"/>
        <v>#N/A</v>
      </c>
      <c r="T60" s="607" t="e">
        <f t="shared" si="76"/>
        <v>#N/A</v>
      </c>
      <c r="U60" s="608" t="str">
        <f t="shared" si="121"/>
        <v/>
      </c>
      <c r="V60" s="605" t="str">
        <f t="shared" si="113"/>
        <v>––</v>
      </c>
      <c r="W60" s="605" t="str">
        <f t="shared" si="77"/>
        <v/>
      </c>
      <c r="X60" s="606" t="str">
        <f t="shared" si="78"/>
        <v/>
      </c>
      <c r="Y60" s="605" t="e">
        <f t="shared" si="79"/>
        <v>#N/A</v>
      </c>
      <c r="Z60" s="607" t="e">
        <f t="shared" si="80"/>
        <v>#N/A</v>
      </c>
      <c r="AA60" s="608" t="str">
        <f t="shared" ref="AA60:AA65" si="122">IF(X60="","",IF($F$41=1,IF(Z60&lt;&gt;"",CONCATENATE(Y60,"–",Z60),W60),IF($F$41=2,CONCATENATE(X60,"."),W60)))</f>
        <v/>
      </c>
      <c r="AB60" s="605" t="str">
        <f t="shared" si="114"/>
        <v>––</v>
      </c>
      <c r="AC60" s="605" t="str">
        <f t="shared" si="81"/>
        <v/>
      </c>
      <c r="AD60" s="606" t="str">
        <f t="shared" si="82"/>
        <v/>
      </c>
      <c r="AE60" s="605" t="e">
        <f t="shared" si="83"/>
        <v>#N/A</v>
      </c>
      <c r="AF60" s="607" t="e">
        <f t="shared" si="84"/>
        <v>#N/A</v>
      </c>
      <c r="AG60" s="610"/>
      <c r="AH60" s="605" t="str">
        <f t="shared" si="115"/>
        <v>––</v>
      </c>
      <c r="AI60" s="605" t="str">
        <f t="shared" si="85"/>
        <v/>
      </c>
      <c r="AJ60" s="606" t="str">
        <f t="shared" si="86"/>
        <v/>
      </c>
      <c r="AK60" s="605" t="e">
        <f t="shared" si="87"/>
        <v>#N/A</v>
      </c>
      <c r="AL60" s="607" t="e">
        <f t="shared" si="88"/>
        <v>#N/A</v>
      </c>
      <c r="AM60" s="608" t="str">
        <f>IF(AJ60="","",IF($F$41=1,IF(AL60&lt;&gt;"",CONCATENATE(AK60,"–",AL60),AI60),IF($F$41=2,CONCATENATE(AJ60,"."),AI60)))</f>
        <v/>
      </c>
      <c r="AN60" s="605" t="str">
        <f t="shared" si="116"/>
        <v>––</v>
      </c>
      <c r="AO60" s="605" t="str">
        <f t="shared" si="89"/>
        <v/>
      </c>
      <c r="AP60" s="606" t="str">
        <f t="shared" si="90"/>
        <v/>
      </c>
      <c r="AQ60" s="605" t="e">
        <f t="shared" si="91"/>
        <v>#N/A</v>
      </c>
      <c r="AR60" s="607" t="e">
        <f t="shared" si="92"/>
        <v>#N/A</v>
      </c>
      <c r="AS60" s="608" t="str">
        <f t="shared" si="93"/>
        <v/>
      </c>
      <c r="AT60" s="605" t="str">
        <f t="shared" si="117"/>
        <v>––</v>
      </c>
      <c r="AU60" s="605" t="str">
        <f t="shared" si="94"/>
        <v/>
      </c>
      <c r="AV60" s="606" t="str">
        <f t="shared" si="95"/>
        <v/>
      </c>
      <c r="AW60" s="605" t="e">
        <f t="shared" si="96"/>
        <v>#N/A</v>
      </c>
      <c r="AX60" s="607" t="e">
        <f t="shared" si="97"/>
        <v>#N/A</v>
      </c>
      <c r="AY60" s="608" t="str">
        <f t="shared" si="98"/>
        <v/>
      </c>
      <c r="AZ60" s="605" t="str">
        <f t="shared" si="118"/>
        <v>––</v>
      </c>
      <c r="BA60" s="605" t="str">
        <f t="shared" si="99"/>
        <v/>
      </c>
      <c r="BB60" s="606" t="str">
        <f t="shared" si="100"/>
        <v/>
      </c>
      <c r="BC60" s="605" t="e">
        <f t="shared" si="101"/>
        <v>#N/A</v>
      </c>
      <c r="BD60" s="607" t="e">
        <f t="shared" si="102"/>
        <v>#N/A</v>
      </c>
      <c r="BE60" s="608" t="str">
        <f t="shared" si="103"/>
        <v/>
      </c>
      <c r="BF60" s="605" t="str">
        <f t="shared" si="119"/>
        <v>––</v>
      </c>
      <c r="BG60" s="605" t="str">
        <f t="shared" si="104"/>
        <v/>
      </c>
      <c r="BH60" s="606" t="str">
        <f t="shared" si="105"/>
        <v/>
      </c>
      <c r="BI60" s="605" t="e">
        <f t="shared" si="106"/>
        <v>#N/A</v>
      </c>
      <c r="BJ60" s="607" t="e">
        <f t="shared" si="107"/>
        <v>#N/A</v>
      </c>
      <c r="BK60" s="608" t="str">
        <f t="shared" si="108"/>
        <v/>
      </c>
    </row>
    <row r="61" spans="3:69" ht="15" hidden="1" customHeight="1" x14ac:dyDescent="0.2">
      <c r="C61" s="609" t="str">
        <f>IF(Adatok!B6="","–",Adatok!B6)</f>
        <v>–</v>
      </c>
      <c r="D61" s="602" t="str">
        <f t="shared" si="109"/>
        <v>––</v>
      </c>
      <c r="E61" s="602" t="str">
        <f t="shared" si="65"/>
        <v/>
      </c>
      <c r="F61" s="603" t="str">
        <f t="shared" si="66"/>
        <v/>
      </c>
      <c r="G61" s="602" t="e">
        <f t="shared" si="67"/>
        <v>#N/A</v>
      </c>
      <c r="H61" s="595" t="e">
        <f t="shared" si="68"/>
        <v>#N/A</v>
      </c>
      <c r="I61" s="608" t="str">
        <f t="shared" si="110"/>
        <v/>
      </c>
      <c r="J61" s="605" t="str">
        <f t="shared" si="111"/>
        <v>––</v>
      </c>
      <c r="K61" s="605" t="str">
        <f t="shared" si="69"/>
        <v/>
      </c>
      <c r="L61" s="606" t="str">
        <f t="shared" si="70"/>
        <v/>
      </c>
      <c r="M61" s="605" t="e">
        <f t="shared" si="71"/>
        <v>#N/A</v>
      </c>
      <c r="N61" s="607" t="e">
        <f t="shared" si="72"/>
        <v>#N/A</v>
      </c>
      <c r="O61" s="608" t="str">
        <f t="shared" si="120"/>
        <v/>
      </c>
      <c r="P61" s="605" t="str">
        <f t="shared" si="112"/>
        <v>––</v>
      </c>
      <c r="Q61" s="605" t="str">
        <f t="shared" si="73"/>
        <v/>
      </c>
      <c r="R61" s="606" t="str">
        <f t="shared" si="74"/>
        <v/>
      </c>
      <c r="S61" s="605" t="e">
        <f t="shared" si="75"/>
        <v>#N/A</v>
      </c>
      <c r="T61" s="607" t="e">
        <f t="shared" si="76"/>
        <v>#N/A</v>
      </c>
      <c r="U61" s="608" t="str">
        <f t="shared" si="121"/>
        <v/>
      </c>
      <c r="V61" s="605" t="str">
        <f t="shared" si="113"/>
        <v>––</v>
      </c>
      <c r="W61" s="605" t="str">
        <f t="shared" si="77"/>
        <v/>
      </c>
      <c r="X61" s="606" t="str">
        <f t="shared" si="78"/>
        <v/>
      </c>
      <c r="Y61" s="605" t="e">
        <f t="shared" si="79"/>
        <v>#N/A</v>
      </c>
      <c r="Z61" s="607" t="e">
        <f t="shared" si="80"/>
        <v>#N/A</v>
      </c>
      <c r="AA61" s="608" t="str">
        <f t="shared" si="122"/>
        <v/>
      </c>
      <c r="AB61" s="605" t="str">
        <f t="shared" si="114"/>
        <v>––</v>
      </c>
      <c r="AC61" s="605" t="str">
        <f t="shared" si="81"/>
        <v/>
      </c>
      <c r="AD61" s="606" t="str">
        <f t="shared" si="82"/>
        <v/>
      </c>
      <c r="AE61" s="605" t="e">
        <f t="shared" si="83"/>
        <v>#N/A</v>
      </c>
      <c r="AF61" s="607" t="e">
        <f t="shared" si="84"/>
        <v>#N/A</v>
      </c>
      <c r="AG61" s="608" t="str">
        <f>IF(AD61="","",IF($F$41=1,IF(AF61&lt;&gt;"",CONCATENATE(AE61,"–",AF61),AC61),IF($F$41=2,CONCATENATE(AD61,"."),AC61)))</f>
        <v/>
      </c>
      <c r="AH61" s="605" t="str">
        <f t="shared" si="115"/>
        <v>––</v>
      </c>
      <c r="AI61" s="605" t="str">
        <f t="shared" si="85"/>
        <v/>
      </c>
      <c r="AJ61" s="606" t="str">
        <f t="shared" si="86"/>
        <v/>
      </c>
      <c r="AK61" s="605" t="e">
        <f t="shared" si="87"/>
        <v>#N/A</v>
      </c>
      <c r="AL61" s="607" t="e">
        <f t="shared" si="88"/>
        <v>#N/A</v>
      </c>
      <c r="AM61" s="610"/>
      <c r="AN61" s="605" t="str">
        <f t="shared" si="116"/>
        <v>––</v>
      </c>
      <c r="AO61" s="605" t="str">
        <f t="shared" si="89"/>
        <v/>
      </c>
      <c r="AP61" s="606" t="str">
        <f t="shared" si="90"/>
        <v/>
      </c>
      <c r="AQ61" s="605" t="e">
        <f t="shared" si="91"/>
        <v>#N/A</v>
      </c>
      <c r="AR61" s="607" t="e">
        <f t="shared" si="92"/>
        <v>#N/A</v>
      </c>
      <c r="AS61" s="608" t="str">
        <f t="shared" si="93"/>
        <v/>
      </c>
      <c r="AT61" s="605" t="str">
        <f t="shared" si="117"/>
        <v>––</v>
      </c>
      <c r="AU61" s="605" t="str">
        <f t="shared" si="94"/>
        <v/>
      </c>
      <c r="AV61" s="606" t="str">
        <f t="shared" si="95"/>
        <v/>
      </c>
      <c r="AW61" s="605" t="e">
        <f t="shared" si="96"/>
        <v>#N/A</v>
      </c>
      <c r="AX61" s="607" t="e">
        <f t="shared" si="97"/>
        <v>#N/A</v>
      </c>
      <c r="AY61" s="608" t="str">
        <f t="shared" si="98"/>
        <v/>
      </c>
      <c r="AZ61" s="605" t="str">
        <f t="shared" si="118"/>
        <v>––</v>
      </c>
      <c r="BA61" s="605" t="str">
        <f t="shared" si="99"/>
        <v/>
      </c>
      <c r="BB61" s="606" t="str">
        <f t="shared" si="100"/>
        <v/>
      </c>
      <c r="BC61" s="605" t="e">
        <f t="shared" si="101"/>
        <v>#N/A</v>
      </c>
      <c r="BD61" s="607" t="e">
        <f t="shared" si="102"/>
        <v>#N/A</v>
      </c>
      <c r="BE61" s="608" t="str">
        <f t="shared" si="103"/>
        <v/>
      </c>
      <c r="BF61" s="605" t="str">
        <f t="shared" si="119"/>
        <v>––</v>
      </c>
      <c r="BG61" s="605" t="str">
        <f t="shared" si="104"/>
        <v/>
      </c>
      <c r="BH61" s="606" t="str">
        <f t="shared" si="105"/>
        <v/>
      </c>
      <c r="BI61" s="605" t="e">
        <f t="shared" si="106"/>
        <v>#N/A</v>
      </c>
      <c r="BJ61" s="607" t="e">
        <f t="shared" si="107"/>
        <v>#N/A</v>
      </c>
      <c r="BK61" s="608" t="str">
        <f t="shared" si="108"/>
        <v/>
      </c>
    </row>
    <row r="62" spans="3:69" ht="15" hidden="1" customHeight="1" x14ac:dyDescent="0.2">
      <c r="C62" s="609" t="str">
        <f>IF(Adatok!B7="","–",Adatok!B7)</f>
        <v>–</v>
      </c>
      <c r="D62" s="602" t="str">
        <f t="shared" si="109"/>
        <v>––</v>
      </c>
      <c r="E62" s="602" t="str">
        <f t="shared" si="65"/>
        <v/>
      </c>
      <c r="F62" s="603" t="str">
        <f t="shared" si="66"/>
        <v/>
      </c>
      <c r="G62" s="602" t="e">
        <f t="shared" si="67"/>
        <v>#N/A</v>
      </c>
      <c r="H62" s="595" t="e">
        <f t="shared" si="68"/>
        <v>#N/A</v>
      </c>
      <c r="I62" s="608" t="str">
        <f t="shared" si="110"/>
        <v/>
      </c>
      <c r="J62" s="605" t="str">
        <f t="shared" si="111"/>
        <v>––</v>
      </c>
      <c r="K62" s="605" t="str">
        <f t="shared" si="69"/>
        <v/>
      </c>
      <c r="L62" s="606" t="str">
        <f t="shared" si="70"/>
        <v/>
      </c>
      <c r="M62" s="605" t="e">
        <f t="shared" si="71"/>
        <v>#N/A</v>
      </c>
      <c r="N62" s="607" t="e">
        <f t="shared" si="72"/>
        <v>#N/A</v>
      </c>
      <c r="O62" s="608" t="str">
        <f t="shared" si="120"/>
        <v/>
      </c>
      <c r="P62" s="605" t="str">
        <f t="shared" si="112"/>
        <v>––</v>
      </c>
      <c r="Q62" s="605" t="str">
        <f t="shared" si="73"/>
        <v/>
      </c>
      <c r="R62" s="606" t="str">
        <f t="shared" si="74"/>
        <v/>
      </c>
      <c r="S62" s="605" t="e">
        <f t="shared" si="75"/>
        <v>#N/A</v>
      </c>
      <c r="T62" s="607" t="e">
        <f t="shared" si="76"/>
        <v>#N/A</v>
      </c>
      <c r="U62" s="608" t="str">
        <f t="shared" si="121"/>
        <v/>
      </c>
      <c r="V62" s="605" t="str">
        <f t="shared" si="113"/>
        <v>––</v>
      </c>
      <c r="W62" s="605" t="str">
        <f t="shared" si="77"/>
        <v/>
      </c>
      <c r="X62" s="606" t="str">
        <f t="shared" si="78"/>
        <v/>
      </c>
      <c r="Y62" s="605" t="e">
        <f t="shared" si="79"/>
        <v>#N/A</v>
      </c>
      <c r="Z62" s="607" t="e">
        <f t="shared" si="80"/>
        <v>#N/A</v>
      </c>
      <c r="AA62" s="608" t="str">
        <f t="shared" si="122"/>
        <v/>
      </c>
      <c r="AB62" s="605" t="str">
        <f t="shared" si="114"/>
        <v>––</v>
      </c>
      <c r="AC62" s="605" t="str">
        <f t="shared" si="81"/>
        <v/>
      </c>
      <c r="AD62" s="606" t="str">
        <f t="shared" si="82"/>
        <v/>
      </c>
      <c r="AE62" s="605" t="e">
        <f t="shared" si="83"/>
        <v>#N/A</v>
      </c>
      <c r="AF62" s="607" t="e">
        <f t="shared" si="84"/>
        <v>#N/A</v>
      </c>
      <c r="AG62" s="608" t="str">
        <f>IF(AD62="","",IF($F$41=1,IF(AF62&lt;&gt;"",CONCATENATE(AE62,"–",AF62),AC62),IF($F$41=2,CONCATENATE(AD62,"."),AC62)))</f>
        <v/>
      </c>
      <c r="AH62" s="605" t="str">
        <f t="shared" si="115"/>
        <v>––</v>
      </c>
      <c r="AI62" s="605" t="str">
        <f t="shared" si="85"/>
        <v/>
      </c>
      <c r="AJ62" s="606" t="str">
        <f t="shared" si="86"/>
        <v/>
      </c>
      <c r="AK62" s="605" t="e">
        <f t="shared" si="87"/>
        <v>#N/A</v>
      </c>
      <c r="AL62" s="607" t="e">
        <f t="shared" si="88"/>
        <v>#N/A</v>
      </c>
      <c r="AM62" s="608" t="str">
        <f>IF(AJ62="","",IF($F$41=1,IF(AL62&lt;&gt;"",CONCATENATE(AK62,"–",AL62),AI62),IF($F$41=2,CONCATENATE(AJ62,"."),AI62)))</f>
        <v/>
      </c>
      <c r="AN62" s="605" t="str">
        <f t="shared" si="116"/>
        <v>––</v>
      </c>
      <c r="AO62" s="605" t="str">
        <f t="shared" si="89"/>
        <v/>
      </c>
      <c r="AP62" s="606" t="str">
        <f t="shared" si="90"/>
        <v/>
      </c>
      <c r="AQ62" s="605" t="e">
        <f t="shared" si="91"/>
        <v>#N/A</v>
      </c>
      <c r="AR62" s="607" t="e">
        <f t="shared" si="92"/>
        <v>#N/A</v>
      </c>
      <c r="AS62" s="610"/>
      <c r="AT62" s="605" t="str">
        <f t="shared" si="117"/>
        <v>––</v>
      </c>
      <c r="AU62" s="605" t="str">
        <f t="shared" si="94"/>
        <v/>
      </c>
      <c r="AV62" s="606" t="str">
        <f t="shared" si="95"/>
        <v/>
      </c>
      <c r="AW62" s="605" t="e">
        <f t="shared" si="96"/>
        <v>#N/A</v>
      </c>
      <c r="AX62" s="607" t="e">
        <f t="shared" si="97"/>
        <v>#N/A</v>
      </c>
      <c r="AY62" s="608" t="str">
        <f t="shared" si="98"/>
        <v/>
      </c>
      <c r="AZ62" s="605" t="str">
        <f t="shared" si="118"/>
        <v>––</v>
      </c>
      <c r="BA62" s="605" t="str">
        <f t="shared" si="99"/>
        <v/>
      </c>
      <c r="BB62" s="606" t="str">
        <f t="shared" si="100"/>
        <v/>
      </c>
      <c r="BC62" s="605" t="e">
        <f t="shared" si="101"/>
        <v>#N/A</v>
      </c>
      <c r="BD62" s="607" t="e">
        <f t="shared" si="102"/>
        <v>#N/A</v>
      </c>
      <c r="BE62" s="608" t="str">
        <f t="shared" si="103"/>
        <v/>
      </c>
      <c r="BF62" s="605" t="str">
        <f t="shared" si="119"/>
        <v>––</v>
      </c>
      <c r="BG62" s="605" t="str">
        <f t="shared" si="104"/>
        <v/>
      </c>
      <c r="BH62" s="606" t="str">
        <f t="shared" si="105"/>
        <v/>
      </c>
      <c r="BI62" s="605" t="e">
        <f t="shared" si="106"/>
        <v>#N/A</v>
      </c>
      <c r="BJ62" s="607" t="e">
        <f t="shared" si="107"/>
        <v>#N/A</v>
      </c>
      <c r="BK62" s="608" t="str">
        <f t="shared" si="108"/>
        <v/>
      </c>
    </row>
    <row r="63" spans="3:69" ht="15" hidden="1" customHeight="1" x14ac:dyDescent="0.2">
      <c r="C63" s="609" t="str">
        <f>IF(Adatok!B8="","–",Adatok!B8)</f>
        <v>–</v>
      </c>
      <c r="D63" s="602" t="str">
        <f>CONCATENATE($C63,I$55)</f>
        <v>––</v>
      </c>
      <c r="E63" s="602" t="str">
        <f t="shared" si="65"/>
        <v/>
      </c>
      <c r="F63" s="603" t="str">
        <f t="shared" si="66"/>
        <v/>
      </c>
      <c r="G63" s="602" t="e">
        <f>IF(VLOOKUP(D63,games.a,2,FALSE),VLOOKUP(D63,games.a,6,FALSE),"")</f>
        <v>#N/A</v>
      </c>
      <c r="H63" s="595" t="e">
        <f>IF(VLOOKUP(D63,games.a,2,FALSE),VLOOKUP(D63,games.a,7,FALSE),"")</f>
        <v>#N/A</v>
      </c>
      <c r="I63" s="608" t="str">
        <f t="shared" si="110"/>
        <v/>
      </c>
      <c r="J63" s="605" t="str">
        <f>CONCATENATE($C63,O$55)</f>
        <v>––</v>
      </c>
      <c r="K63" s="605" t="str">
        <f t="shared" si="69"/>
        <v/>
      </c>
      <c r="L63" s="606" t="str">
        <f t="shared" si="70"/>
        <v/>
      </c>
      <c r="M63" s="605" t="e">
        <f>IF(VLOOKUP(J63,games.a,2,FALSE),VLOOKUP(J63,games.a,6,FALSE),"")</f>
        <v>#N/A</v>
      </c>
      <c r="N63" s="607" t="e">
        <f>IF(VLOOKUP(J63,games.a,2,FALSE),VLOOKUP(J63,games.a,7,FALSE),"")</f>
        <v>#N/A</v>
      </c>
      <c r="O63" s="608" t="str">
        <f t="shared" si="120"/>
        <v/>
      </c>
      <c r="P63" s="605" t="str">
        <f>CONCATENATE($C63,U$55)</f>
        <v>––</v>
      </c>
      <c r="Q63" s="605" t="str">
        <f t="shared" si="73"/>
        <v/>
      </c>
      <c r="R63" s="606" t="str">
        <f t="shared" si="74"/>
        <v/>
      </c>
      <c r="S63" s="605" t="e">
        <f>IF(VLOOKUP(P63,games.a,2,FALSE),VLOOKUP(P63,games.a,6,FALSE),"")</f>
        <v>#N/A</v>
      </c>
      <c r="T63" s="607" t="e">
        <f>IF(VLOOKUP(P63,games.a,2,FALSE),VLOOKUP(P63,games.a,7,FALSE),"")</f>
        <v>#N/A</v>
      </c>
      <c r="U63" s="608" t="str">
        <f t="shared" si="121"/>
        <v/>
      </c>
      <c r="V63" s="605" t="str">
        <f>CONCATENATE($C63,AA$55)</f>
        <v>––</v>
      </c>
      <c r="W63" s="605" t="str">
        <f t="shared" si="77"/>
        <v/>
      </c>
      <c r="X63" s="606" t="str">
        <f t="shared" si="78"/>
        <v/>
      </c>
      <c r="Y63" s="605" t="e">
        <f>IF(VLOOKUP(V63,games.a,2,FALSE),VLOOKUP(V63,games.a,6,FALSE),"")</f>
        <v>#N/A</v>
      </c>
      <c r="Z63" s="607" t="e">
        <f>IF(VLOOKUP(V63,games.a,2,FALSE),VLOOKUP(V63,games.a,7,FALSE),"")</f>
        <v>#N/A</v>
      </c>
      <c r="AA63" s="608" t="str">
        <f t="shared" si="122"/>
        <v/>
      </c>
      <c r="AB63" s="605" t="str">
        <f>CONCATENATE($C63,AG$55)</f>
        <v>––</v>
      </c>
      <c r="AC63" s="605" t="str">
        <f t="shared" si="81"/>
        <v/>
      </c>
      <c r="AD63" s="606" t="str">
        <f t="shared" si="82"/>
        <v/>
      </c>
      <c r="AE63" s="605" t="e">
        <f>IF(VLOOKUP(AB63,games.a,2,FALSE),VLOOKUP(AB63,games.a,6,FALSE),"")</f>
        <v>#N/A</v>
      </c>
      <c r="AF63" s="607" t="e">
        <f>IF(VLOOKUP(AB63,games.a,2,FALSE),VLOOKUP(AB63,games.a,7,FALSE),"")</f>
        <v>#N/A</v>
      </c>
      <c r="AG63" s="608" t="str">
        <f>IF(AD63="","",IF($F$41=1,IF(AF63&lt;&gt;"",CONCATENATE(AE63,"–",AF63),AC63),IF($F$41=2,CONCATENATE(AD63,"."),AC63)))</f>
        <v/>
      </c>
      <c r="AH63" s="605" t="str">
        <f>CONCATENATE($C63,AM$55)</f>
        <v>––</v>
      </c>
      <c r="AI63" s="605" t="str">
        <f t="shared" si="85"/>
        <v/>
      </c>
      <c r="AJ63" s="606" t="str">
        <f t="shared" si="86"/>
        <v/>
      </c>
      <c r="AK63" s="605" t="e">
        <f>IF(VLOOKUP(AH63,games.a,2,FALSE),VLOOKUP(AH63,games.a,6,FALSE),"")</f>
        <v>#N/A</v>
      </c>
      <c r="AL63" s="607" t="e">
        <f>IF(VLOOKUP(AH63,games.a,2,FALSE),VLOOKUP(AH63,games.a,7,FALSE),"")</f>
        <v>#N/A</v>
      </c>
      <c r="AM63" s="608" t="str">
        <f>IF(AJ63="","",IF($F$41=1,IF(AL63&lt;&gt;"",CONCATENATE(AK63,"–",AL63),AI63),IF($F$41=2,CONCATENATE(AJ63,"."),AI63)))</f>
        <v/>
      </c>
      <c r="AN63" s="605" t="str">
        <f>CONCATENATE($C63,AS$55)</f>
        <v>––</v>
      </c>
      <c r="AO63" s="605" t="str">
        <f t="shared" si="89"/>
        <v/>
      </c>
      <c r="AP63" s="606" t="str">
        <f t="shared" si="90"/>
        <v/>
      </c>
      <c r="AQ63" s="605" t="e">
        <f>IF(VLOOKUP(AN63,games.a,2,FALSE),VLOOKUP(AN63,games.a,6,FALSE),"")</f>
        <v>#N/A</v>
      </c>
      <c r="AR63" s="607" t="e">
        <f>IF(VLOOKUP(AN63,games.a,2,FALSE),VLOOKUP(AN63,games.a,7,FALSE),"")</f>
        <v>#N/A</v>
      </c>
      <c r="AS63" s="608" t="str">
        <f>IF(AP63="","",IF($F$41=1,IF(AR63&lt;&gt;"",CONCATENATE(AQ63,"–",AR63),AO63),IF($F$41=2,CONCATENATE(AP63,"."),AO63)))</f>
        <v/>
      </c>
      <c r="AT63" s="605" t="str">
        <f>CONCATENATE($C63,AY$55)</f>
        <v>––</v>
      </c>
      <c r="AU63" s="605" t="str">
        <f t="shared" si="94"/>
        <v/>
      </c>
      <c r="AV63" s="606" t="str">
        <f t="shared" si="95"/>
        <v/>
      </c>
      <c r="AW63" s="605" t="e">
        <f>IF(VLOOKUP(AT63,games.a,2,FALSE),VLOOKUP(AT63,games.a,6,FALSE),"")</f>
        <v>#N/A</v>
      </c>
      <c r="AX63" s="607" t="e">
        <f>IF(VLOOKUP(AT63,games.a,2,FALSE),VLOOKUP(AT63,games.a,7,FALSE),"")</f>
        <v>#N/A</v>
      </c>
      <c r="AY63" s="610"/>
      <c r="AZ63" s="605" t="str">
        <f>CONCATENATE($C63,BE$55)</f>
        <v>––</v>
      </c>
      <c r="BA63" s="605" t="str">
        <f t="shared" si="99"/>
        <v/>
      </c>
      <c r="BB63" s="606" t="str">
        <f t="shared" si="100"/>
        <v/>
      </c>
      <c r="BC63" s="605" t="e">
        <f>IF(VLOOKUP(AZ63,games.a,2,FALSE),VLOOKUP(AZ63,games.a,6,FALSE),"")</f>
        <v>#N/A</v>
      </c>
      <c r="BD63" s="607" t="e">
        <f>IF(VLOOKUP(AZ63,games.a,2,FALSE),VLOOKUP(AZ63,games.a,7,FALSE),"")</f>
        <v>#N/A</v>
      </c>
      <c r="BE63" s="608" t="str">
        <f t="shared" si="103"/>
        <v/>
      </c>
      <c r="BF63" s="605" t="str">
        <f>CONCATENATE($C63,BK$55)</f>
        <v>––</v>
      </c>
      <c r="BG63" s="605" t="str">
        <f t="shared" si="104"/>
        <v/>
      </c>
      <c r="BH63" s="606" t="str">
        <f t="shared" si="105"/>
        <v/>
      </c>
      <c r="BI63" s="605" t="e">
        <f>IF(VLOOKUP(BF63,games.a,2,FALSE),VLOOKUP(BF63,games.a,6,FALSE),"")</f>
        <v>#N/A</v>
      </c>
      <c r="BJ63" s="607" t="e">
        <f>IF(VLOOKUP(BF63,games.a,2,FALSE),VLOOKUP(BF63,games.a,7,FALSE),"")</f>
        <v>#N/A</v>
      </c>
      <c r="BK63" s="608" t="str">
        <f t="shared" si="108"/>
        <v/>
      </c>
    </row>
    <row r="64" spans="3:69" ht="15" hidden="1" customHeight="1" x14ac:dyDescent="0.2">
      <c r="C64" s="609" t="str">
        <f>IF(Adatok!B9="","–",Adatok!B9)</f>
        <v>–</v>
      </c>
      <c r="D64" s="602" t="str">
        <f>CONCATENATE($C64,I$55)</f>
        <v>––</v>
      </c>
      <c r="E64" s="602" t="str">
        <f t="shared" si="65"/>
        <v/>
      </c>
      <c r="F64" s="603" t="str">
        <f t="shared" si="66"/>
        <v/>
      </c>
      <c r="G64" s="602" t="e">
        <f>IF(VLOOKUP(D64,games.a,2,FALSE),VLOOKUP(D64,games.a,6,FALSE),"")</f>
        <v>#N/A</v>
      </c>
      <c r="H64" s="595" t="e">
        <f>IF(VLOOKUP(D64,games.a,2,FALSE),VLOOKUP(D64,games.a,7,FALSE),"")</f>
        <v>#N/A</v>
      </c>
      <c r="I64" s="608" t="str">
        <f t="shared" si="110"/>
        <v/>
      </c>
      <c r="J64" s="605" t="str">
        <f>CONCATENATE($C64,O$55)</f>
        <v>––</v>
      </c>
      <c r="K64" s="605" t="str">
        <f t="shared" si="69"/>
        <v/>
      </c>
      <c r="L64" s="606" t="str">
        <f t="shared" si="70"/>
        <v/>
      </c>
      <c r="M64" s="605" t="e">
        <f>IF(VLOOKUP(J64,games.a,2,FALSE),VLOOKUP(J64,games.a,6,FALSE),"")</f>
        <v>#N/A</v>
      </c>
      <c r="N64" s="607" t="e">
        <f>IF(VLOOKUP(J64,games.a,2,FALSE),VLOOKUP(J64,games.a,7,FALSE),"")</f>
        <v>#N/A</v>
      </c>
      <c r="O64" s="608" t="str">
        <f t="shared" si="120"/>
        <v/>
      </c>
      <c r="P64" s="605" t="str">
        <f>CONCATENATE($C64,U$55)</f>
        <v>––</v>
      </c>
      <c r="Q64" s="605" t="str">
        <f t="shared" si="73"/>
        <v/>
      </c>
      <c r="R64" s="606" t="str">
        <f t="shared" si="74"/>
        <v/>
      </c>
      <c r="S64" s="605" t="e">
        <f>IF(VLOOKUP(P64,games.a,2,FALSE),VLOOKUP(P64,games.a,6,FALSE),"")</f>
        <v>#N/A</v>
      </c>
      <c r="T64" s="607" t="e">
        <f>IF(VLOOKUP(P64,games.a,2,FALSE),VLOOKUP(P64,games.a,7,FALSE),"")</f>
        <v>#N/A</v>
      </c>
      <c r="U64" s="608" t="str">
        <f t="shared" si="121"/>
        <v/>
      </c>
      <c r="V64" s="605" t="str">
        <f>CONCATENATE($C64,AA$55)</f>
        <v>––</v>
      </c>
      <c r="W64" s="605" t="str">
        <f t="shared" si="77"/>
        <v/>
      </c>
      <c r="X64" s="606" t="str">
        <f t="shared" si="78"/>
        <v/>
      </c>
      <c r="Y64" s="605" t="e">
        <f>IF(VLOOKUP(V64,games.a,2,FALSE),VLOOKUP(V64,games.a,6,FALSE),"")</f>
        <v>#N/A</v>
      </c>
      <c r="Z64" s="607" t="e">
        <f>IF(VLOOKUP(V64,games.a,2,FALSE),VLOOKUP(V64,games.a,7,FALSE),"")</f>
        <v>#N/A</v>
      </c>
      <c r="AA64" s="608" t="str">
        <f t="shared" si="122"/>
        <v/>
      </c>
      <c r="AB64" s="605" t="str">
        <f>CONCATENATE($C64,AG$55)</f>
        <v>––</v>
      </c>
      <c r="AC64" s="605" t="str">
        <f t="shared" si="81"/>
        <v/>
      </c>
      <c r="AD64" s="606" t="str">
        <f t="shared" si="82"/>
        <v/>
      </c>
      <c r="AE64" s="605" t="e">
        <f>IF(VLOOKUP(AB64,games.a,2,FALSE),VLOOKUP(AB64,games.a,6,FALSE),"")</f>
        <v>#N/A</v>
      </c>
      <c r="AF64" s="607" t="e">
        <f>IF(VLOOKUP(AB64,games.a,2,FALSE),VLOOKUP(AB64,games.a,7,FALSE),"")</f>
        <v>#N/A</v>
      </c>
      <c r="AG64" s="608" t="str">
        <f>IF(AD64="","",IF($F$41=1,IF(AF64&lt;&gt;"",CONCATENATE(AE64,"–",AF64),AC64),IF($F$41=2,CONCATENATE(AD64,"."),AC64)))</f>
        <v/>
      </c>
      <c r="AH64" s="605" t="str">
        <f>CONCATENATE($C64,AM$55)</f>
        <v>––</v>
      </c>
      <c r="AI64" s="605" t="str">
        <f t="shared" si="85"/>
        <v/>
      </c>
      <c r="AJ64" s="606" t="str">
        <f t="shared" si="86"/>
        <v/>
      </c>
      <c r="AK64" s="605" t="e">
        <f>IF(VLOOKUP(AH64,games.a,2,FALSE),VLOOKUP(AH64,games.a,6,FALSE),"")</f>
        <v>#N/A</v>
      </c>
      <c r="AL64" s="607" t="e">
        <f>IF(VLOOKUP(AH64,games.a,2,FALSE),VLOOKUP(AH64,games.a,7,FALSE),"")</f>
        <v>#N/A</v>
      </c>
      <c r="AM64" s="608" t="str">
        <f>IF(AJ64="","",IF($F$41=1,IF(AL64&lt;&gt;"",CONCATENATE(AK64,"–",AL64),AI64),IF($F$41=2,CONCATENATE(AJ64,"."),AI64)))</f>
        <v/>
      </c>
      <c r="AN64" s="605" t="str">
        <f>CONCATENATE($C64,AS$55)</f>
        <v>––</v>
      </c>
      <c r="AO64" s="605" t="str">
        <f t="shared" si="89"/>
        <v/>
      </c>
      <c r="AP64" s="606" t="str">
        <f t="shared" si="90"/>
        <v/>
      </c>
      <c r="AQ64" s="605" t="e">
        <f>IF(VLOOKUP(AN64,games.a,2,FALSE),VLOOKUP(AN64,games.a,6,FALSE),"")</f>
        <v>#N/A</v>
      </c>
      <c r="AR64" s="607" t="e">
        <f>IF(VLOOKUP(AN64,games.a,2,FALSE),VLOOKUP(AN64,games.a,7,FALSE),"")</f>
        <v>#N/A</v>
      </c>
      <c r="AS64" s="608" t="str">
        <f>IF(AP64="","",IF($F$41=1,IF(AR64&lt;&gt;"",CONCATENATE(AQ64,"–",AR64),AO64),IF($F$41=2,CONCATENATE(AP64,"."),AO64)))</f>
        <v/>
      </c>
      <c r="AT64" s="605" t="str">
        <f>CONCATENATE($C64,AY$55)</f>
        <v>––</v>
      </c>
      <c r="AU64" s="605" t="str">
        <f t="shared" si="94"/>
        <v/>
      </c>
      <c r="AV64" s="606" t="str">
        <f t="shared" si="95"/>
        <v/>
      </c>
      <c r="AW64" s="605" t="e">
        <f>IF(VLOOKUP(AT64,games.a,2,FALSE),VLOOKUP(AT64,games.a,6,FALSE),"")</f>
        <v>#N/A</v>
      </c>
      <c r="AX64" s="607" t="e">
        <f>IF(VLOOKUP(AT64,games.a,2,FALSE),VLOOKUP(AT64,games.a,7,FALSE),"")</f>
        <v>#N/A</v>
      </c>
      <c r="AY64" s="608" t="str">
        <f>IF(AV64="","",IF($F$41=1,IF(AX64&lt;&gt;"",CONCATENATE(AW64,"–",AX64),AU64),IF($F$41=2,CONCATENATE(AV64,"."),AU64)))</f>
        <v/>
      </c>
      <c r="AZ64" s="605" t="str">
        <f>CONCATENATE($C64,BE$55)</f>
        <v>––</v>
      </c>
      <c r="BA64" s="605" t="str">
        <f t="shared" si="99"/>
        <v/>
      </c>
      <c r="BB64" s="606" t="str">
        <f t="shared" si="100"/>
        <v/>
      </c>
      <c r="BC64" s="605" t="e">
        <f>IF(VLOOKUP(AZ64,games.a,2,FALSE),VLOOKUP(AZ64,games.a,6,FALSE),"")</f>
        <v>#N/A</v>
      </c>
      <c r="BD64" s="607" t="e">
        <f>IF(VLOOKUP(AZ64,games.a,2,FALSE),VLOOKUP(AZ64,games.a,7,FALSE),"")</f>
        <v>#N/A</v>
      </c>
      <c r="BE64" s="610"/>
      <c r="BF64" s="605" t="str">
        <f>CONCATENATE($C64,BK$55)</f>
        <v>––</v>
      </c>
      <c r="BG64" s="605" t="str">
        <f t="shared" si="104"/>
        <v/>
      </c>
      <c r="BH64" s="606" t="str">
        <f t="shared" si="105"/>
        <v/>
      </c>
      <c r="BI64" s="605" t="e">
        <f>IF(VLOOKUP(BF64,games.a,2,FALSE),VLOOKUP(BF64,games.a,6,FALSE),"")</f>
        <v>#N/A</v>
      </c>
      <c r="BJ64" s="607" t="e">
        <f>IF(VLOOKUP(BF64,games.a,2,FALSE),VLOOKUP(BF64,games.a,7,FALSE),"")</f>
        <v>#N/A</v>
      </c>
      <c r="BK64" s="608" t="str">
        <f t="shared" si="108"/>
        <v/>
      </c>
    </row>
    <row r="65" spans="3:63" ht="15" hidden="1" customHeight="1" x14ac:dyDescent="0.2">
      <c r="C65" s="611" t="str">
        <f>IF(Adatok!B10="","–",Adatok!B10)</f>
        <v>–</v>
      </c>
      <c r="D65" s="602" t="str">
        <f>CONCATENATE($C65,I$55)</f>
        <v>––</v>
      </c>
      <c r="E65" s="602" t="str">
        <f t="shared" si="65"/>
        <v/>
      </c>
      <c r="F65" s="603" t="str">
        <f t="shared" si="66"/>
        <v/>
      </c>
      <c r="G65" s="602" t="e">
        <f>IF(VLOOKUP(D65,games.a,2,FALSE),VLOOKUP(D65,games.a,6,FALSE),"")</f>
        <v>#N/A</v>
      </c>
      <c r="H65" s="595" t="e">
        <f>IF(VLOOKUP(D65,games.a,2,FALSE),VLOOKUP(D65,games.a,7,FALSE),"")</f>
        <v>#N/A</v>
      </c>
      <c r="I65" s="608" t="str">
        <f t="shared" si="110"/>
        <v/>
      </c>
      <c r="J65" s="605" t="str">
        <f>CONCATENATE($C65,O$55)</f>
        <v>––</v>
      </c>
      <c r="K65" s="605" t="str">
        <f t="shared" si="69"/>
        <v/>
      </c>
      <c r="L65" s="606" t="str">
        <f t="shared" si="70"/>
        <v/>
      </c>
      <c r="M65" s="605" t="e">
        <f>IF(VLOOKUP(J65,games.a,2,FALSE),VLOOKUP(J65,games.a,6,FALSE),"")</f>
        <v>#N/A</v>
      </c>
      <c r="N65" s="607" t="e">
        <f>IF(VLOOKUP(J65,games.a,2,FALSE),VLOOKUP(J65,games.a,7,FALSE),"")</f>
        <v>#N/A</v>
      </c>
      <c r="O65" s="608" t="str">
        <f t="shared" si="120"/>
        <v/>
      </c>
      <c r="P65" s="605" t="str">
        <f>CONCATENATE($C65,U$55)</f>
        <v>––</v>
      </c>
      <c r="Q65" s="605" t="str">
        <f t="shared" si="73"/>
        <v/>
      </c>
      <c r="R65" s="606" t="str">
        <f t="shared" si="74"/>
        <v/>
      </c>
      <c r="S65" s="605" t="e">
        <f>IF(VLOOKUP(P65,games.a,2,FALSE),VLOOKUP(P65,games.a,6,FALSE),"")</f>
        <v>#N/A</v>
      </c>
      <c r="T65" s="607" t="e">
        <f>IF(VLOOKUP(P65,games.a,2,FALSE),VLOOKUP(P65,games.a,7,FALSE),"")</f>
        <v>#N/A</v>
      </c>
      <c r="U65" s="608" t="str">
        <f t="shared" si="121"/>
        <v/>
      </c>
      <c r="V65" s="605" t="str">
        <f>CONCATENATE($C65,AA$55)</f>
        <v>––</v>
      </c>
      <c r="W65" s="605" t="str">
        <f t="shared" si="77"/>
        <v/>
      </c>
      <c r="X65" s="606" t="str">
        <f t="shared" si="78"/>
        <v/>
      </c>
      <c r="Y65" s="605" t="e">
        <f>IF(VLOOKUP(V65,games.a,2,FALSE),VLOOKUP(V65,games.a,6,FALSE),"")</f>
        <v>#N/A</v>
      </c>
      <c r="Z65" s="607" t="e">
        <f>IF(VLOOKUP(V65,games.a,2,FALSE),VLOOKUP(V65,games.a,7,FALSE),"")</f>
        <v>#N/A</v>
      </c>
      <c r="AA65" s="608" t="str">
        <f t="shared" si="122"/>
        <v/>
      </c>
      <c r="AB65" s="605" t="str">
        <f>CONCATENATE($C65,AG$55)</f>
        <v>––</v>
      </c>
      <c r="AC65" s="605" t="str">
        <f t="shared" si="81"/>
        <v/>
      </c>
      <c r="AD65" s="606" t="str">
        <f t="shared" si="82"/>
        <v/>
      </c>
      <c r="AE65" s="605" t="e">
        <f>IF(VLOOKUP(AB65,games.a,2,FALSE),VLOOKUP(AB65,games.a,6,FALSE),"")</f>
        <v>#N/A</v>
      </c>
      <c r="AF65" s="607" t="e">
        <f>IF(VLOOKUP(AB65,games.a,2,FALSE),VLOOKUP(AB65,games.a,7,FALSE),"")</f>
        <v>#N/A</v>
      </c>
      <c r="AG65" s="608" t="str">
        <f>IF(AD65="","",IF($F$41=1,IF(AF65&lt;&gt;"",CONCATENATE(AE65,"–",AF65),AC65),IF($F$41=2,CONCATENATE(AD65,"."),AC65)))</f>
        <v/>
      </c>
      <c r="AH65" s="605" t="str">
        <f>CONCATENATE($C65,AM$55)</f>
        <v>––</v>
      </c>
      <c r="AI65" s="605" t="str">
        <f t="shared" si="85"/>
        <v/>
      </c>
      <c r="AJ65" s="606" t="str">
        <f t="shared" si="86"/>
        <v/>
      </c>
      <c r="AK65" s="605" t="e">
        <f>IF(VLOOKUP(AH65,games.a,2,FALSE),VLOOKUP(AH65,games.a,6,FALSE),"")</f>
        <v>#N/A</v>
      </c>
      <c r="AL65" s="607" t="e">
        <f>IF(VLOOKUP(AH65,games.a,2,FALSE),VLOOKUP(AH65,games.a,7,FALSE),"")</f>
        <v>#N/A</v>
      </c>
      <c r="AM65" s="608" t="str">
        <f>IF(AJ65="","",IF($F$41=1,IF(AL65&lt;&gt;"",CONCATENATE(AK65,"–",AL65),AI65),IF($F$41=2,CONCATENATE(AJ65,"."),AI65)))</f>
        <v/>
      </c>
      <c r="AN65" s="605" t="str">
        <f>CONCATENATE($C65,AS$55)</f>
        <v>––</v>
      </c>
      <c r="AO65" s="605" t="str">
        <f t="shared" si="89"/>
        <v/>
      </c>
      <c r="AP65" s="606" t="str">
        <f t="shared" si="90"/>
        <v/>
      </c>
      <c r="AQ65" s="605" t="e">
        <f>IF(VLOOKUP(AN65,games.a,2,FALSE),VLOOKUP(AN65,games.a,6,FALSE),"")</f>
        <v>#N/A</v>
      </c>
      <c r="AR65" s="607" t="e">
        <f>IF(VLOOKUP(AN65,games.a,2,FALSE),VLOOKUP(AN65,games.a,7,FALSE),"")</f>
        <v>#N/A</v>
      </c>
      <c r="AS65" s="608" t="str">
        <f>IF(AP65="","",IF($F$41=1,IF(AR65&lt;&gt;"",CONCATENATE(AQ65,"–",AR65),AO65),IF($F$41=2,CONCATENATE(AP65,"."),AO65)))</f>
        <v/>
      </c>
      <c r="AT65" s="605" t="str">
        <f>CONCATENATE($C65,AY$55)</f>
        <v>––</v>
      </c>
      <c r="AU65" s="605" t="str">
        <f t="shared" si="94"/>
        <v/>
      </c>
      <c r="AV65" s="606" t="str">
        <f t="shared" si="95"/>
        <v/>
      </c>
      <c r="AW65" s="605" t="e">
        <f>IF(VLOOKUP(AT65,games.a,2,FALSE),VLOOKUP(AT65,games.a,6,FALSE),"")</f>
        <v>#N/A</v>
      </c>
      <c r="AX65" s="607" t="e">
        <f>IF(VLOOKUP(AT65,games.a,2,FALSE),VLOOKUP(AT65,games.a,7,FALSE),"")</f>
        <v>#N/A</v>
      </c>
      <c r="AY65" s="608" t="str">
        <f>IF(AV65="","",IF($F$41=1,IF(AX65&lt;&gt;"",CONCATENATE(AW65,"–",AX65),AU65),IF($F$41=2,CONCATENATE(AV65,"."),AU65)))</f>
        <v/>
      </c>
      <c r="AZ65" s="605" t="str">
        <f>CONCATENATE($C65,BE$55)</f>
        <v>––</v>
      </c>
      <c r="BA65" s="605" t="str">
        <f t="shared" si="99"/>
        <v/>
      </c>
      <c r="BB65" s="606" t="str">
        <f t="shared" si="100"/>
        <v/>
      </c>
      <c r="BC65" s="605" t="e">
        <f>IF(VLOOKUP(AZ65,games.a,2,FALSE),VLOOKUP(AZ65,games.a,6,FALSE),"")</f>
        <v>#N/A</v>
      </c>
      <c r="BD65" s="607" t="e">
        <f>IF(VLOOKUP(AZ65,games.a,2,FALSE),VLOOKUP(AZ65,games.a,7,FALSE),"")</f>
        <v>#N/A</v>
      </c>
      <c r="BE65" s="608" t="str">
        <f>IF(BB65="","",IF($F$41=1,IF(BD65&lt;&gt;"",CONCATENATE(BC65,"–",BD65),BA65),IF($F$41=2,CONCATENATE(BB65,"."),BA65)))</f>
        <v/>
      </c>
      <c r="BF65" s="605" t="str">
        <f>CONCATENATE($C65,BK$55)</f>
        <v>––</v>
      </c>
      <c r="BG65" s="605" t="str">
        <f t="shared" si="104"/>
        <v/>
      </c>
      <c r="BH65" s="606" t="str">
        <f t="shared" si="105"/>
        <v/>
      </c>
      <c r="BI65" s="605" t="e">
        <f>IF(VLOOKUP(BF65,games.a,2,FALSE),VLOOKUP(BF65,games.a,6,FALSE),"")</f>
        <v>#N/A</v>
      </c>
      <c r="BJ65" s="607" t="e">
        <f>IF(VLOOKUP(BF65,games.a,2,FALSE),VLOOKUP(BF65,games.a,7,FALSE),"")</f>
        <v>#N/A</v>
      </c>
      <c r="BK65" s="610"/>
    </row>
    <row r="66" spans="3:63" ht="15" customHeight="1" x14ac:dyDescent="0.15"/>
    <row r="67" spans="3:63" ht="15" customHeight="1" x14ac:dyDescent="0.15"/>
    <row r="68" spans="3:63" ht="15" customHeight="1" x14ac:dyDescent="0.15"/>
    <row r="69" spans="3:63" ht="15" customHeight="1" x14ac:dyDescent="0.15"/>
    <row r="70" spans="3:63" ht="15" customHeight="1" x14ac:dyDescent="0.15"/>
    <row r="71" spans="3:63" ht="15" customHeight="1" x14ac:dyDescent="0.15"/>
    <row r="72" spans="3:63" ht="15" customHeight="1" x14ac:dyDescent="0.15"/>
    <row r="73" spans="3:63" ht="15" customHeight="1" x14ac:dyDescent="0.15"/>
    <row r="74" spans="3:63" ht="15" customHeight="1" x14ac:dyDescent="0.15"/>
    <row r="75" spans="3:63" ht="15" customHeight="1" x14ac:dyDescent="0.15"/>
    <row r="76" spans="3:63" ht="15" customHeight="1" x14ac:dyDescent="0.15"/>
    <row r="77" spans="3:63" ht="15" customHeight="1" x14ac:dyDescent="0.15"/>
    <row r="78" spans="3:63" ht="15" customHeight="1" x14ac:dyDescent="0.15"/>
    <row r="79" spans="3:63" ht="15" customHeight="1" x14ac:dyDescent="0.15"/>
    <row r="80" spans="3:63" ht="15" customHeight="1" x14ac:dyDescent="0.15"/>
    <row r="81" ht="15" customHeight="1" x14ac:dyDescent="0.15"/>
    <row r="82" ht="15" customHeight="1" x14ac:dyDescent="0.15"/>
    <row r="83" ht="15" customHeight="1" x14ac:dyDescent="0.15"/>
    <row r="84" ht="15" customHeight="1" x14ac:dyDescent="0.15"/>
    <row r="85" ht="15" customHeight="1" x14ac:dyDescent="0.15"/>
    <row r="86" ht="15" customHeight="1" x14ac:dyDescent="0.15"/>
    <row r="87" ht="15" customHeight="1" x14ac:dyDescent="0.15"/>
    <row r="88" ht="15" customHeight="1" x14ac:dyDescent="0.15"/>
    <row r="89" ht="15" customHeight="1" x14ac:dyDescent="0.15"/>
    <row r="90" ht="15" customHeight="1" x14ac:dyDescent="0.15"/>
    <row r="91" ht="15" customHeight="1" x14ac:dyDescent="0.15"/>
    <row r="92" ht="15" customHeight="1" x14ac:dyDescent="0.15"/>
    <row r="93" ht="15" customHeight="1" x14ac:dyDescent="0.15"/>
  </sheetData>
  <sheetProtection password="CE76" sheet="1" objects="1" scenarios="1"/>
  <phoneticPr fontId="0" type="noConversion"/>
  <conditionalFormatting sqref="O43 U44 AA45 AG46 AM47 AS48 AY49 BE50 BK51 BQ52 O57 U58 AA59 AG60 AM61 AS62 BK65 AY63 BE64">
    <cfRule type="expression" dxfId="79" priority="1" stopIfTrue="1">
      <formula>N43&lt;&gt;""</formula>
    </cfRule>
    <cfRule type="expression" dxfId="78" priority="2" stopIfTrue="1">
      <formula>AND(ISNUMBER(O43),L43&lt;=M$41)</formula>
    </cfRule>
  </conditionalFormatting>
  <conditionalFormatting sqref="BQ42:BQ51 BK42:BK50 BE42:BE49 AY42:AY48 AS42:AS47 AM42:AM46 AG42:AG45 AA42:AA44 U42:U43 O42 I57:I65 O58:O65 U59:U65 AA60:AA65 AG61:AG65 AM62:AM65 AS63:AS65 AY64:AY65 BE65 BK56:BK64 BE56:BE63 AY56:AY62 AS56:AS61 AM56:AM60 AG56:AG59 AA56:AA58 U56:U57 O56 I43:I52 O44:O52 U45:U52 AA46:AA52 AG47:AG52 AM48:AM52 AS49:AS52 AY50:AY52 BE51:BE52 BK52">
    <cfRule type="expression" dxfId="77" priority="3" stopIfTrue="1">
      <formula>H42&lt;&gt;""</formula>
    </cfRule>
    <cfRule type="expression" dxfId="76" priority="4" stopIfTrue="1">
      <formula>E42&lt;=TODAY()</formula>
    </cfRule>
    <cfRule type="expression" dxfId="75" priority="5" stopIfTrue="1">
      <formula>E42&lt;=$E$41+2</formula>
    </cfRule>
  </conditionalFormatting>
  <pageMargins left="0.31496062992125984" right="0.31496062992125984" top="0.51181102362204722" bottom="0.51181102362204722" header="0.51181102362204722" footer="0.51181102362204722"/>
  <pageSetup paperSize="9" orientation="landscape" r:id="rId1"/>
  <headerFooter alignWithMargins="0"/>
  <drawing r:id="rId2"/>
  <legacyDrawing r:id="rId3"/>
  <picture r:id="rId4"/>
  <mc:AlternateContent xmlns:mc="http://schemas.openxmlformats.org/markup-compatibility/2006">
    <mc:Choice Requires="x14">
      <controls>
        <mc:AlternateContent xmlns:mc="http://schemas.openxmlformats.org/markup-compatibility/2006">
          <mc:Choice Requires="x14">
            <control shapeId="1027" r:id="rId5" name="Option Button 3">
              <controlPr locked="0" defaultSize="0" autoFill="0" autoLine="0" autoPict="0">
                <anchor moveWithCells="1" sizeWithCells="1">
                  <from>
                    <xdr:col>2</xdr:col>
                    <xdr:colOff>85725</xdr:colOff>
                    <xdr:row>40</xdr:row>
                    <xdr:rowOff>209550</xdr:rowOff>
                  </from>
                  <to>
                    <xdr:col>2</xdr:col>
                    <xdr:colOff>323850</xdr:colOff>
                    <xdr:row>40</xdr:row>
                    <xdr:rowOff>466725</xdr:rowOff>
                  </to>
                </anchor>
              </controlPr>
            </control>
          </mc:Choice>
        </mc:AlternateContent>
        <mc:AlternateContent xmlns:mc="http://schemas.openxmlformats.org/markup-compatibility/2006">
          <mc:Choice Requires="x14">
            <control shapeId="1028" r:id="rId6" name="Option Button 4">
              <controlPr locked="0" defaultSize="0" autoFill="0" autoLine="0" autoPict="0">
                <anchor moveWithCells="1" sizeWithCells="1">
                  <from>
                    <xdr:col>2</xdr:col>
                    <xdr:colOff>85725</xdr:colOff>
                    <xdr:row>40</xdr:row>
                    <xdr:rowOff>419100</xdr:rowOff>
                  </from>
                  <to>
                    <xdr:col>2</xdr:col>
                    <xdr:colOff>323850</xdr:colOff>
                    <xdr:row>40</xdr:row>
                    <xdr:rowOff>647700</xdr:rowOff>
                  </to>
                </anchor>
              </controlPr>
            </control>
          </mc:Choice>
        </mc:AlternateContent>
        <mc:AlternateContent xmlns:mc="http://schemas.openxmlformats.org/markup-compatibility/2006">
          <mc:Choice Requires="x14">
            <control shapeId="1577" r:id="rId7" name="Option Button 553">
              <controlPr locked="0" defaultSize="0" autoFill="0" autoLine="0" autoPict="0">
                <anchor moveWithCells="1" sizeWithCells="1">
                  <from>
                    <xdr:col>2</xdr:col>
                    <xdr:colOff>85725</xdr:colOff>
                    <xdr:row>40</xdr:row>
                    <xdr:rowOff>619125</xdr:rowOff>
                  </from>
                  <to>
                    <xdr:col>2</xdr:col>
                    <xdr:colOff>323850</xdr:colOff>
                    <xdr:row>40</xdr:row>
                    <xdr:rowOff>847725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4">
    <pageSetUpPr autoPageBreaks="0"/>
  </sheetPr>
  <dimension ref="A1:BR414"/>
  <sheetViews>
    <sheetView showGridLines="0" showRowColHeaders="0" zoomScaleNormal="100" workbookViewId="0">
      <pane ySplit="53" topLeftCell="A116" activePane="bottomLeft" state="frozen"/>
      <selection pane="bottomLeft"/>
    </sheetView>
  </sheetViews>
  <sheetFormatPr defaultColWidth="9.140625" defaultRowHeight="11.25" customHeight="1" x14ac:dyDescent="0.2"/>
  <cols>
    <col min="1" max="1" width="1.7109375" style="257" customWidth="1"/>
    <col min="2" max="2" width="2.5703125" style="169" customWidth="1"/>
    <col min="3" max="3" width="3" style="169" customWidth="1"/>
    <col min="4" max="4" width="1.140625" style="169" customWidth="1"/>
    <col min="5" max="5" width="3" style="169" customWidth="1"/>
    <col min="6" max="6" width="1.42578125" style="169" customWidth="1"/>
    <col min="7" max="8" width="12.85546875" style="169" customWidth="1"/>
    <col min="9" max="9" width="28.5703125" style="198" customWidth="1"/>
    <col min="10" max="10" width="4.28515625" style="199" customWidth="1"/>
    <col min="11" max="11" width="1.140625" style="200" customWidth="1"/>
    <col min="12" max="12" width="4.28515625" style="201" customWidth="1"/>
    <col min="13" max="13" width="28.5703125" style="202" customWidth="1"/>
    <col min="14" max="14" width="3.140625" style="203" customWidth="1"/>
    <col min="15" max="15" width="33.140625" style="173" customWidth="1"/>
    <col min="16" max="16" width="2.28515625" style="173" customWidth="1"/>
    <col min="17" max="17" width="1.28515625" style="173" customWidth="1"/>
    <col min="18" max="18" width="4.28515625" style="173" customWidth="1"/>
    <col min="19" max="19" width="4.5703125" style="173" customWidth="1"/>
    <col min="20" max="23" width="4.5703125" style="174" customWidth="1"/>
    <col min="24" max="24" width="2.85546875" style="175" hidden="1" customWidth="1"/>
    <col min="25" max="25" width="10.85546875" style="176" hidden="1" customWidth="1"/>
    <col min="26" max="26" width="3.7109375" style="177" hidden="1" customWidth="1"/>
    <col min="27" max="27" width="3" style="177" hidden="1" customWidth="1"/>
    <col min="28" max="29" width="9" style="177" hidden="1" customWidth="1"/>
    <col min="30" max="30" width="3" style="178" hidden="1" customWidth="1"/>
    <col min="31" max="31" width="3" style="179" hidden="1" customWidth="1"/>
    <col min="32" max="32" width="3.7109375" style="180" hidden="1" customWidth="1"/>
    <col min="33" max="34" width="8.7109375" style="181" hidden="1" customWidth="1"/>
    <col min="35" max="35" width="8.7109375" style="182" hidden="1" customWidth="1"/>
    <col min="36" max="37" width="8.7109375" style="181" hidden="1" customWidth="1"/>
    <col min="38" max="39" width="8.7109375" style="182" hidden="1" customWidth="1"/>
    <col min="40" max="40" width="3.42578125" style="175" hidden="1" customWidth="1"/>
    <col min="41" max="41" width="6.42578125" style="185" hidden="1" customWidth="1"/>
    <col min="42" max="50" width="5.85546875" style="185" hidden="1" customWidth="1"/>
    <col min="51" max="51" width="3.140625" style="186" hidden="1" customWidth="1"/>
    <col min="52" max="52" width="3.5703125" style="185" hidden="1" customWidth="1"/>
    <col min="53" max="54" width="3.5703125" style="541" hidden="1" customWidth="1"/>
    <col min="55" max="55" width="7.5703125" style="542" hidden="1" customWidth="1"/>
    <col min="56" max="56" width="3.5703125" style="541" hidden="1" customWidth="1"/>
    <col min="57" max="57" width="20" style="542" hidden="1" customWidth="1"/>
    <col min="58" max="58" width="4.5703125" style="542" hidden="1" customWidth="1"/>
    <col min="59" max="59" width="16.5703125" style="542" hidden="1" customWidth="1"/>
    <col min="60" max="60" width="3.5703125" style="541" hidden="1" customWidth="1"/>
    <col min="61" max="61" width="3" style="542" hidden="1" customWidth="1"/>
    <col min="62" max="62" width="17.7109375" style="185" hidden="1" customWidth="1"/>
    <col min="63" max="63" width="3.5703125" style="185" hidden="1" customWidth="1"/>
    <col min="64" max="64" width="3.140625" style="186" hidden="1" customWidth="1"/>
    <col min="65" max="69" width="3.5703125" style="185" hidden="1" customWidth="1"/>
    <col min="70" max="70" width="3.140625" style="186" hidden="1" customWidth="1"/>
    <col min="71" max="16384" width="9.140625" style="169"/>
  </cols>
  <sheetData>
    <row r="1" spans="4:6" s="257" customFormat="1" ht="1.5" customHeight="1" x14ac:dyDescent="0.2">
      <c r="D1" s="258"/>
      <c r="E1" s="258"/>
      <c r="F1" s="258"/>
    </row>
    <row r="2" spans="4:6" s="257" customFormat="1" ht="0.75" customHeight="1" x14ac:dyDescent="0.2">
      <c r="D2" s="259"/>
      <c r="E2" s="260"/>
      <c r="F2" s="260"/>
    </row>
    <row r="3" spans="4:6" s="257" customFormat="1" ht="1.5" hidden="1" customHeight="1" x14ac:dyDescent="0.2">
      <c r="D3" s="261"/>
      <c r="E3" s="262"/>
      <c r="F3" s="263"/>
    </row>
    <row r="4" spans="4:6" s="257" customFormat="1" ht="0.75" hidden="1" customHeight="1" x14ac:dyDescent="0.2">
      <c r="D4" s="261"/>
      <c r="E4" s="262"/>
      <c r="F4" s="263"/>
    </row>
    <row r="5" spans="4:6" s="257" customFormat="1" ht="1.5" hidden="1" customHeight="1" x14ac:dyDescent="0.2">
      <c r="D5" s="261"/>
      <c r="E5" s="262"/>
      <c r="F5" s="263"/>
    </row>
    <row r="6" spans="4:6" s="257" customFormat="1" ht="0.75" hidden="1" customHeight="1" x14ac:dyDescent="0.2">
      <c r="D6" s="261"/>
      <c r="E6" s="262"/>
      <c r="F6" s="263"/>
    </row>
    <row r="7" spans="4:6" s="257" customFormat="1" ht="1.5" customHeight="1" x14ac:dyDescent="0.2">
      <c r="D7" s="261"/>
      <c r="E7" s="262"/>
      <c r="F7" s="263"/>
    </row>
    <row r="8" spans="4:6" s="257" customFormat="1" ht="0.75" customHeight="1" x14ac:dyDescent="0.2">
      <c r="D8" s="261"/>
      <c r="E8" s="262"/>
      <c r="F8" s="263"/>
    </row>
    <row r="9" spans="4:6" s="257" customFormat="1" ht="1.5" customHeight="1" x14ac:dyDescent="0.2">
      <c r="D9" s="261"/>
      <c r="E9" s="262"/>
      <c r="F9" s="263"/>
    </row>
    <row r="10" spans="4:6" s="257" customFormat="1" ht="0.75" customHeight="1" x14ac:dyDescent="0.2">
      <c r="D10" s="261"/>
      <c r="E10" s="262"/>
      <c r="F10" s="263"/>
    </row>
    <row r="11" spans="4:6" s="257" customFormat="1" ht="1.5" customHeight="1" x14ac:dyDescent="0.2">
      <c r="D11" s="261"/>
      <c r="E11" s="262"/>
      <c r="F11" s="263"/>
    </row>
    <row r="12" spans="4:6" s="257" customFormat="1" ht="0.75" customHeight="1" x14ac:dyDescent="0.2">
      <c r="D12" s="261"/>
      <c r="E12" s="262"/>
      <c r="F12" s="263"/>
    </row>
    <row r="13" spans="4:6" s="257" customFormat="1" ht="1.5" customHeight="1" x14ac:dyDescent="0.2">
      <c r="D13" s="261"/>
      <c r="E13" s="262"/>
      <c r="F13" s="263"/>
    </row>
    <row r="14" spans="4:6" s="257" customFormat="1" ht="0.75" customHeight="1" x14ac:dyDescent="0.2">
      <c r="D14" s="261"/>
      <c r="E14" s="262"/>
      <c r="F14" s="263"/>
    </row>
    <row r="15" spans="4:6" s="257" customFormat="1" ht="1.5" customHeight="1" x14ac:dyDescent="0.2">
      <c r="D15" s="261"/>
      <c r="E15" s="262"/>
      <c r="F15" s="263"/>
    </row>
    <row r="16" spans="4:6" s="257" customFormat="1" ht="0.75" customHeight="1" x14ac:dyDescent="0.2">
      <c r="D16" s="261"/>
      <c r="E16" s="262"/>
      <c r="F16" s="263"/>
    </row>
    <row r="17" spans="4:6" s="257" customFormat="1" ht="1.5" customHeight="1" x14ac:dyDescent="0.2">
      <c r="D17" s="261"/>
      <c r="E17" s="262"/>
      <c r="F17" s="263"/>
    </row>
    <row r="18" spans="4:6" s="257" customFormat="1" ht="0.75" customHeight="1" x14ac:dyDescent="0.2">
      <c r="D18" s="261"/>
      <c r="E18" s="262"/>
      <c r="F18" s="263"/>
    </row>
    <row r="19" spans="4:6" s="257" customFormat="1" ht="1.5" customHeight="1" x14ac:dyDescent="0.2">
      <c r="D19" s="261"/>
      <c r="E19" s="262"/>
      <c r="F19" s="263"/>
    </row>
    <row r="20" spans="4:6" s="257" customFormat="1" ht="0.75" customHeight="1" x14ac:dyDescent="0.2">
      <c r="D20" s="261"/>
      <c r="E20" s="262"/>
      <c r="F20" s="263"/>
    </row>
    <row r="21" spans="4:6" s="257" customFormat="1" ht="1.5" customHeight="1" x14ac:dyDescent="0.2">
      <c r="D21" s="261"/>
      <c r="E21" s="262"/>
      <c r="F21" s="263"/>
    </row>
    <row r="22" spans="4:6" s="257" customFormat="1" ht="0.75" customHeight="1" x14ac:dyDescent="0.2">
      <c r="D22" s="261"/>
      <c r="E22" s="262"/>
      <c r="F22" s="263"/>
    </row>
    <row r="23" spans="4:6" s="257" customFormat="1" ht="1.5" customHeight="1" x14ac:dyDescent="0.2">
      <c r="D23" s="261"/>
      <c r="E23" s="262"/>
      <c r="F23" s="263"/>
    </row>
    <row r="24" spans="4:6" s="257" customFormat="1" ht="0.75" customHeight="1" x14ac:dyDescent="0.2">
      <c r="D24" s="261"/>
      <c r="E24" s="262"/>
      <c r="F24" s="263"/>
    </row>
    <row r="25" spans="4:6" s="257" customFormat="1" ht="1.5" customHeight="1" x14ac:dyDescent="0.2">
      <c r="D25" s="261"/>
      <c r="E25" s="262"/>
      <c r="F25" s="263"/>
    </row>
    <row r="26" spans="4:6" s="257" customFormat="1" ht="0.75" customHeight="1" x14ac:dyDescent="0.2">
      <c r="D26" s="261"/>
      <c r="E26" s="262"/>
      <c r="F26" s="263"/>
    </row>
    <row r="27" spans="4:6" s="257" customFormat="1" ht="1.5" customHeight="1" x14ac:dyDescent="0.2">
      <c r="D27" s="261"/>
      <c r="E27" s="262"/>
      <c r="F27" s="263"/>
    </row>
    <row r="28" spans="4:6" s="257" customFormat="1" ht="0.75" customHeight="1" x14ac:dyDescent="0.2">
      <c r="D28" s="261"/>
      <c r="E28" s="262"/>
      <c r="F28" s="263"/>
    </row>
    <row r="29" spans="4:6" s="257" customFormat="1" ht="1.5" customHeight="1" x14ac:dyDescent="0.2">
      <c r="D29" s="261"/>
      <c r="E29" s="262"/>
      <c r="F29" s="263"/>
    </row>
    <row r="30" spans="4:6" s="257" customFormat="1" ht="0.75" customHeight="1" x14ac:dyDescent="0.2">
      <c r="D30" s="261"/>
      <c r="E30" s="262"/>
      <c r="F30" s="263"/>
    </row>
    <row r="31" spans="4:6" s="257" customFormat="1" ht="1.5" customHeight="1" x14ac:dyDescent="0.2">
      <c r="D31" s="261"/>
      <c r="E31" s="262"/>
      <c r="F31" s="263"/>
    </row>
    <row r="32" spans="4:6" s="257" customFormat="1" ht="0.75" customHeight="1" x14ac:dyDescent="0.2">
      <c r="D32" s="261"/>
      <c r="E32" s="262"/>
      <c r="F32" s="263"/>
    </row>
    <row r="33" spans="1:15" s="257" customFormat="1" ht="1.5" customHeight="1" x14ac:dyDescent="0.2">
      <c r="D33" s="261"/>
      <c r="E33" s="262"/>
      <c r="F33" s="263"/>
    </row>
    <row r="34" spans="1:15" s="257" customFormat="1" ht="0.75" customHeight="1" x14ac:dyDescent="0.2">
      <c r="D34" s="261"/>
      <c r="E34" s="262"/>
      <c r="F34" s="263"/>
    </row>
    <row r="35" spans="1:15" s="257" customFormat="1" ht="1.5" customHeight="1" x14ac:dyDescent="0.2">
      <c r="D35" s="261"/>
      <c r="E35" s="262"/>
      <c r="F35" s="263"/>
    </row>
    <row r="36" spans="1:15" s="257" customFormat="1" ht="0.75" customHeight="1" x14ac:dyDescent="0.2">
      <c r="D36" s="261"/>
      <c r="E36" s="262"/>
      <c r="F36" s="263"/>
    </row>
    <row r="37" spans="1:15" s="257" customFormat="1" ht="1.5" customHeight="1" x14ac:dyDescent="0.2">
      <c r="D37" s="261"/>
      <c r="E37" s="262"/>
      <c r="F37" s="263"/>
    </row>
    <row r="38" spans="1:15" s="257" customFormat="1" ht="0.75" customHeight="1" x14ac:dyDescent="0.2">
      <c r="D38" s="261"/>
      <c r="E38" s="262"/>
      <c r="F38" s="263"/>
    </row>
    <row r="39" spans="1:15" s="164" customFormat="1" ht="12" customHeight="1" x14ac:dyDescent="0.2">
      <c r="A39" s="613"/>
      <c r="B39" s="256" t="s">
        <v>459</v>
      </c>
      <c r="C39" s="165"/>
      <c r="D39" s="166"/>
      <c r="E39" s="167"/>
      <c r="F39" s="168"/>
    </row>
    <row r="40" spans="1:15" ht="3.75" customHeight="1" x14ac:dyDescent="0.2">
      <c r="A40" s="614"/>
      <c r="I40" s="170"/>
      <c r="J40" s="171"/>
      <c r="K40" s="171"/>
      <c r="L40" s="171"/>
      <c r="M40" s="170"/>
      <c r="N40" s="172"/>
    </row>
    <row r="41" spans="1:15" ht="12" customHeight="1" x14ac:dyDescent="0.2">
      <c r="A41" s="614"/>
      <c r="C41" s="585" t="s">
        <v>396</v>
      </c>
      <c r="D41" s="565"/>
      <c r="E41" s="565"/>
      <c r="F41" s="565"/>
      <c r="G41" s="565"/>
      <c r="H41" s="565"/>
      <c r="I41" s="586" t="s">
        <v>509</v>
      </c>
      <c r="J41" s="587"/>
      <c r="K41" s="585" t="s">
        <v>510</v>
      </c>
      <c r="L41" s="565"/>
      <c r="M41" s="565"/>
      <c r="N41" s="543"/>
      <c r="O41" s="543"/>
    </row>
    <row r="42" spans="1:15" ht="12" customHeight="1" x14ac:dyDescent="0.2">
      <c r="A42" s="614"/>
      <c r="C42" s="203"/>
      <c r="D42" s="203"/>
      <c r="E42" s="203"/>
      <c r="F42" s="203"/>
      <c r="H42" s="588">
        <f t="shared" ref="H42:H47" si="0">BD57</f>
        <v>1</v>
      </c>
      <c r="I42" s="589" t="str">
        <f ca="1">IF(BE57=0,"",UPPER(BE57))</f>
        <v>BBK</v>
      </c>
      <c r="J42" s="588">
        <f t="shared" ref="J42:J51" si="1">BD69</f>
        <v>11</v>
      </c>
      <c r="K42" s="589" t="str">
        <f ca="1">IF(BE69=0,"",UPPER(BE69))</f>
        <v>BAKAFOGÓ-HONVÉD-SASHEGY SE</v>
      </c>
      <c r="L42" s="547"/>
      <c r="M42" s="548"/>
      <c r="N42" s="545"/>
      <c r="O42" s="546"/>
    </row>
    <row r="43" spans="1:15" ht="12" customHeight="1" x14ac:dyDescent="0.2">
      <c r="A43" s="614"/>
      <c r="C43" s="203"/>
      <c r="D43" s="203"/>
      <c r="E43" s="203"/>
      <c r="F43" s="203"/>
      <c r="H43" s="588">
        <f t="shared" si="0"/>
        <v>2</v>
      </c>
      <c r="I43" s="589" t="str">
        <f t="shared" ref="I43:I51" ca="1" si="2">IF(BE58=0,"",UPPER(BE58))</f>
        <v>K&amp;H</v>
      </c>
      <c r="J43" s="588">
        <f t="shared" si="1"/>
        <v>12</v>
      </c>
      <c r="K43" s="589" t="str">
        <f t="shared" ref="K43:K51" ca="1" si="3">IF(BE70=0,"",UPPER(BE70))</f>
        <v>VAKANA</v>
      </c>
      <c r="L43" s="547"/>
      <c r="M43" s="548"/>
      <c r="N43" s="545"/>
      <c r="O43" s="546"/>
    </row>
    <row r="44" spans="1:15" ht="12" customHeight="1" x14ac:dyDescent="0.2">
      <c r="A44" s="614"/>
      <c r="C44" s="203"/>
      <c r="D44" s="203"/>
      <c r="E44" s="203"/>
      <c r="F44" s="203"/>
      <c r="H44" s="588">
        <f t="shared" si="0"/>
        <v>3</v>
      </c>
      <c r="I44" s="589" t="str">
        <f t="shared" ca="1" si="2"/>
        <v>BHD</v>
      </c>
      <c r="J44" s="588">
        <f t="shared" si="1"/>
        <v>13</v>
      </c>
      <c r="K44" s="589" t="str">
        <f t="shared" ca="1" si="3"/>
        <v>CARBONÁSZ</v>
      </c>
      <c r="L44" s="547"/>
      <c r="M44" s="548"/>
      <c r="N44" s="545"/>
      <c r="O44" s="546"/>
    </row>
    <row r="45" spans="1:15" ht="12" customHeight="1" x14ac:dyDescent="0.2">
      <c r="A45" s="614"/>
      <c r="C45" s="203"/>
      <c r="D45" s="203"/>
      <c r="E45" s="203"/>
      <c r="F45" s="203"/>
      <c r="H45" s="588">
        <f t="shared" si="0"/>
        <v>4</v>
      </c>
      <c r="I45" s="589" t="str">
        <f t="shared" ca="1" si="2"/>
        <v>ZRÍNYIGYÖNGYE</v>
      </c>
      <c r="J45" s="588">
        <f t="shared" si="1"/>
        <v>14</v>
      </c>
      <c r="K45" s="589" t="str">
        <f t="shared" ca="1" si="3"/>
        <v>BŐRDÍSZMŰ</v>
      </c>
      <c r="L45" s="547"/>
      <c r="M45" s="548"/>
      <c r="N45" s="545"/>
      <c r="O45" s="546"/>
    </row>
    <row r="46" spans="1:15" ht="12" customHeight="1" x14ac:dyDescent="0.2">
      <c r="A46" s="614"/>
      <c r="C46" s="203"/>
      <c r="D46" s="203"/>
      <c r="E46" s="203"/>
      <c r="F46" s="203"/>
      <c r="H46" s="588">
        <f t="shared" si="0"/>
        <v>5</v>
      </c>
      <c r="I46" s="589" t="str">
        <f t="shared" ca="1" si="2"/>
        <v>ÉLELMESEK</v>
      </c>
      <c r="J46" s="588">
        <f t="shared" si="1"/>
        <v>15</v>
      </c>
      <c r="K46" s="589" t="str">
        <f t="shared" ca="1" si="3"/>
        <v>ROYAL GUARD'S</v>
      </c>
      <c r="L46" s="547"/>
      <c r="M46" s="548"/>
      <c r="N46" s="545"/>
      <c r="O46" s="546"/>
    </row>
    <row r="47" spans="1:15" ht="12" customHeight="1" x14ac:dyDescent="0.2">
      <c r="A47" s="614"/>
      <c r="C47" s="203"/>
      <c r="D47" s="203"/>
      <c r="E47" s="203"/>
      <c r="F47" s="203"/>
      <c r="H47" s="588">
        <f t="shared" si="0"/>
        <v>6</v>
      </c>
      <c r="I47" s="589" t="str">
        <f t="shared" ca="1" si="2"/>
        <v>HERCULES-LUDOVIKA</v>
      </c>
      <c r="J47" s="588"/>
      <c r="K47" s="589"/>
      <c r="L47" s="547"/>
      <c r="M47" s="548"/>
      <c r="N47" s="545"/>
      <c r="O47" s="546"/>
    </row>
    <row r="48" spans="1:15" ht="12" hidden="1" customHeight="1" x14ac:dyDescent="0.2">
      <c r="A48" s="614"/>
      <c r="G48" s="545">
        <f>BD63</f>
        <v>7</v>
      </c>
      <c r="H48" s="545"/>
      <c r="I48" s="546" t="str">
        <f t="shared" ca="1" si="2"/>
        <v/>
      </c>
      <c r="J48" s="545">
        <f t="shared" si="1"/>
        <v>17</v>
      </c>
      <c r="K48" s="546" t="str">
        <f t="shared" ca="1" si="3"/>
        <v/>
      </c>
      <c r="L48" s="547"/>
      <c r="M48" s="548"/>
      <c r="N48" s="545"/>
      <c r="O48" s="546"/>
    </row>
    <row r="49" spans="1:68" ht="12" hidden="1" customHeight="1" x14ac:dyDescent="0.2">
      <c r="A49" s="614"/>
      <c r="G49" s="545">
        <f>BD64</f>
        <v>8</v>
      </c>
      <c r="H49" s="545"/>
      <c r="I49" s="546" t="str">
        <f t="shared" ca="1" si="2"/>
        <v/>
      </c>
      <c r="J49" s="545">
        <f t="shared" si="1"/>
        <v>18</v>
      </c>
      <c r="K49" s="546" t="str">
        <f t="shared" ca="1" si="3"/>
        <v/>
      </c>
      <c r="L49" s="547"/>
      <c r="M49" s="548"/>
      <c r="N49" s="545"/>
      <c r="O49" s="546"/>
    </row>
    <row r="50" spans="1:68" ht="12" hidden="1" customHeight="1" x14ac:dyDescent="0.2">
      <c r="A50" s="614"/>
      <c r="G50" s="545">
        <f>BD65</f>
        <v>9</v>
      </c>
      <c r="H50" s="545"/>
      <c r="I50" s="546" t="str">
        <f t="shared" ca="1" si="2"/>
        <v/>
      </c>
      <c r="J50" s="545">
        <f t="shared" si="1"/>
        <v>19</v>
      </c>
      <c r="K50" s="546" t="str">
        <f t="shared" ca="1" si="3"/>
        <v/>
      </c>
      <c r="L50" s="547"/>
      <c r="M50" s="548"/>
      <c r="N50" s="545"/>
      <c r="O50" s="546"/>
    </row>
    <row r="51" spans="1:68" ht="12" hidden="1" customHeight="1" x14ac:dyDescent="0.2">
      <c r="A51" s="614"/>
      <c r="G51" s="545">
        <f>BD66</f>
        <v>10</v>
      </c>
      <c r="H51" s="545"/>
      <c r="I51" s="546" t="str">
        <f t="shared" ca="1" si="2"/>
        <v/>
      </c>
      <c r="J51" s="545">
        <f t="shared" si="1"/>
        <v>20</v>
      </c>
      <c r="K51" s="546" t="str">
        <f t="shared" ca="1" si="3"/>
        <v/>
      </c>
      <c r="L51" s="547"/>
      <c r="M51" s="548"/>
      <c r="N51" s="545"/>
      <c r="O51" s="546"/>
    </row>
    <row r="52" spans="1:68" ht="3.75" customHeight="1" thickBot="1" x14ac:dyDescent="0.25">
      <c r="I52" s="170"/>
      <c r="J52" s="171"/>
      <c r="K52" s="171"/>
      <c r="L52" s="549"/>
      <c r="M52" s="550"/>
      <c r="N52" s="172"/>
    </row>
    <row r="53" spans="1:68" s="551" customFormat="1" ht="3" customHeight="1" x14ac:dyDescent="0.2">
      <c r="I53" s="552"/>
      <c r="J53" s="553"/>
      <c r="K53" s="553"/>
      <c r="L53" s="554"/>
      <c r="M53" s="555"/>
      <c r="N53" s="556"/>
      <c r="O53" s="557"/>
      <c r="P53" s="557"/>
      <c r="Q53" s="557"/>
      <c r="R53" s="557"/>
      <c r="S53" s="557"/>
      <c r="T53" s="558"/>
      <c r="U53" s="558"/>
      <c r="V53" s="558"/>
      <c r="W53" s="558"/>
      <c r="Y53" s="558"/>
      <c r="Z53" s="558"/>
      <c r="AA53" s="558"/>
      <c r="AB53" s="558"/>
      <c r="AC53" s="558"/>
      <c r="AD53" s="559"/>
      <c r="AE53" s="560"/>
      <c r="AF53" s="561"/>
      <c r="AG53" s="560"/>
      <c r="AH53" s="560"/>
      <c r="AI53" s="559"/>
      <c r="AJ53" s="560"/>
      <c r="AK53" s="560"/>
      <c r="AL53" s="559"/>
      <c r="AM53" s="559"/>
      <c r="BA53" s="562"/>
      <c r="BB53" s="562"/>
      <c r="BC53" s="563"/>
      <c r="BD53" s="562"/>
      <c r="BE53" s="563"/>
      <c r="BF53" s="563"/>
      <c r="BG53" s="563"/>
      <c r="BH53" s="562"/>
      <c r="BI53" s="563"/>
    </row>
    <row r="54" spans="1:68" ht="13.5" customHeight="1" x14ac:dyDescent="0.2">
      <c r="A54" s="842"/>
      <c r="I54" s="170"/>
      <c r="J54" s="171"/>
      <c r="K54" s="171"/>
      <c r="L54" s="171"/>
      <c r="M54" s="170"/>
      <c r="N54" s="172"/>
    </row>
    <row r="55" spans="1:68" ht="13.5" customHeight="1" x14ac:dyDescent="0.2">
      <c r="A55" s="842"/>
      <c r="C55" s="480" t="str">
        <f>CONCATENATE(" ",AF57,"."," FORDULÓ")</f>
        <v xml:space="preserve"> 23. FORDULÓ</v>
      </c>
      <c r="D55" s="544"/>
      <c r="E55" s="544"/>
      <c r="F55" s="544"/>
      <c r="G55" s="544"/>
      <c r="H55" s="544"/>
      <c r="I55" s="843">
        <f>VLOOKUP(AF57,$AP$71:$AR$116,2,FALSE)</f>
        <v>42298</v>
      </c>
      <c r="J55" s="843"/>
      <c r="K55" s="843"/>
      <c r="L55" s="843"/>
      <c r="M55" s="624" t="str">
        <f>CONCATENATE(IF($AV$72,"pont: ","gól: "),SUM(J57:L70)," / átlag: ",TEXT(IF(COUNT(J57:L70)=0,"-",SUM(J57:L70)/COUNT(J57:L70)*2),"0,00"))</f>
        <v>gól: 26 / átlag: 5,20</v>
      </c>
      <c r="N55" s="565"/>
      <c r="O55" s="271" t="s">
        <v>285</v>
      </c>
      <c r="P55" s="169"/>
      <c r="Q55" s="169"/>
      <c r="R55" s="169"/>
      <c r="S55" s="169"/>
      <c r="Y55" s="193" t="s">
        <v>145</v>
      </c>
      <c r="Z55" s="194" t="s">
        <v>137</v>
      </c>
      <c r="AA55" s="194" t="s">
        <v>144</v>
      </c>
      <c r="AB55" s="194" t="s">
        <v>138</v>
      </c>
      <c r="AC55" s="194" t="s">
        <v>139</v>
      </c>
      <c r="AD55" s="195" t="s">
        <v>135</v>
      </c>
      <c r="AE55" s="196" t="s">
        <v>136</v>
      </c>
      <c r="AG55" s="194" t="s">
        <v>128</v>
      </c>
      <c r="AH55" s="194" t="s">
        <v>130</v>
      </c>
      <c r="AI55" s="194" t="s">
        <v>132</v>
      </c>
      <c r="AJ55" s="194" t="s">
        <v>129</v>
      </c>
      <c r="AK55" s="194" t="s">
        <v>131</v>
      </c>
      <c r="AL55" s="194" t="s">
        <v>133</v>
      </c>
      <c r="AM55" s="194"/>
      <c r="AO55" s="221" t="s">
        <v>128</v>
      </c>
      <c r="AP55" s="221" t="s">
        <v>130</v>
      </c>
      <c r="AQ55" s="221" t="s">
        <v>132</v>
      </c>
      <c r="AR55" s="221" t="s">
        <v>129</v>
      </c>
      <c r="AS55" s="221" t="s">
        <v>131</v>
      </c>
      <c r="AT55" s="221" t="s">
        <v>133</v>
      </c>
      <c r="AU55" s="221" t="s">
        <v>138</v>
      </c>
      <c r="AV55" s="221" t="s">
        <v>139</v>
      </c>
      <c r="AW55" s="221" t="s">
        <v>141</v>
      </c>
      <c r="AX55" s="221" t="s">
        <v>257</v>
      </c>
      <c r="BA55" s="221" t="s">
        <v>127</v>
      </c>
      <c r="BB55" s="221" t="s">
        <v>252</v>
      </c>
      <c r="BC55" s="221" t="s">
        <v>253</v>
      </c>
      <c r="BD55" s="221" t="s">
        <v>255</v>
      </c>
      <c r="BE55" s="221" t="s">
        <v>251</v>
      </c>
      <c r="BG55" s="860" t="s">
        <v>397</v>
      </c>
      <c r="BH55" s="861"/>
      <c r="BJ55" s="221" t="s">
        <v>256</v>
      </c>
    </row>
    <row r="56" spans="1:68" ht="21" customHeight="1" x14ac:dyDescent="0.25">
      <c r="A56" s="842"/>
      <c r="I56" s="567"/>
      <c r="K56" s="627" t="s">
        <v>509</v>
      </c>
      <c r="O56" s="169"/>
      <c r="P56" s="169"/>
      <c r="Q56" s="169"/>
      <c r="R56" s="169"/>
      <c r="S56" s="169"/>
    </row>
    <row r="57" spans="1:68" ht="13.5" customHeight="1" x14ac:dyDescent="0.2">
      <c r="A57" s="842"/>
      <c r="C57" s="615">
        <v>1</v>
      </c>
      <c r="D57" s="616" t="s">
        <v>247</v>
      </c>
      <c r="E57" s="617">
        <v>6</v>
      </c>
      <c r="G57" s="255">
        <v>42298</v>
      </c>
      <c r="H57" s="255" t="s">
        <v>497</v>
      </c>
      <c r="I57" s="265" t="str">
        <f ca="1">IF(OR(C57="",NOT($BJ$57)),"",VLOOKUP(C57,rsors,2,FALSE))</f>
        <v>BBK</v>
      </c>
      <c r="J57" s="272">
        <v>3</v>
      </c>
      <c r="K57" s="200" t="s">
        <v>247</v>
      </c>
      <c r="L57" s="273">
        <v>0</v>
      </c>
      <c r="M57" s="266" t="str">
        <f ca="1">IF(OR(E57="",NOT($BJ$57)),"",VLOOKUP(E57,rsors,2,FALSE))</f>
        <v>Hercules-Ludovika</v>
      </c>
      <c r="N57" s="207"/>
      <c r="O57" s="267" t="s">
        <v>727</v>
      </c>
      <c r="P57" s="169"/>
      <c r="Q57" s="169"/>
      <c r="R57" s="169"/>
      <c r="S57" s="169"/>
      <c r="T57" s="209"/>
      <c r="U57" s="209"/>
      <c r="V57" s="209"/>
      <c r="W57" s="209"/>
      <c r="Y57" s="210" t="str">
        <f ca="1">AB57&amp;AC57</f>
        <v>BBKHercules-Ludovika</v>
      </c>
      <c r="Z57" s="211" t="b">
        <f>AND(J57&lt;&gt;"",L57&lt;&gt;"")</f>
        <v>1</v>
      </c>
      <c r="AA57" s="210">
        <f>AF57</f>
        <v>23</v>
      </c>
      <c r="AB57" s="210" t="str">
        <f ca="1">I57</f>
        <v>BBK</v>
      </c>
      <c r="AC57" s="210" t="str">
        <f ca="1">M57</f>
        <v>Hercules-Ludovika</v>
      </c>
      <c r="AD57" s="212">
        <f>IF(Z57,J57,"")</f>
        <v>3</v>
      </c>
      <c r="AE57" s="210">
        <f>IF(Z57,L57,"")</f>
        <v>0</v>
      </c>
      <c r="AF57" s="213">
        <f>RTAB!AD62</f>
        <v>23</v>
      </c>
      <c r="AG57" s="214" t="str">
        <f ca="1">IF(AD57&gt;AE57,AB57,"")</f>
        <v>BBK</v>
      </c>
      <c r="AH57" s="214" t="str">
        <f>IF(AE57="","",IF(AD57=AE57,AB57,""))</f>
        <v/>
      </c>
      <c r="AI57" s="215" t="str">
        <f>IF(AND($AV$72,AD57=0,AE57=20),AB57&amp;"ooo",IF(AD57&lt;AE57,AB57,""))</f>
        <v/>
      </c>
      <c r="AJ57" s="214" t="str">
        <f>IF(AE57&gt;AD57,AC57,"")</f>
        <v/>
      </c>
      <c r="AK57" s="214" t="str">
        <f>IF(AE57="","",IF(AD57=AE57,AC57,""))</f>
        <v/>
      </c>
      <c r="AL57" s="215" t="str">
        <f ca="1">IF(AND($AV$72,AD57=20,AE57=0),AC57&amp;"ooo",IF(AD57&gt;AE57,AC57,""))</f>
        <v>Hercules-Ludovika</v>
      </c>
      <c r="AM57" s="216">
        <f>G57</f>
        <v>42298</v>
      </c>
      <c r="AO57" s="222">
        <f>MATCH(RTAB!$P$43,index.r,0)</f>
        <v>1</v>
      </c>
      <c r="AP57" s="222">
        <f>MATCH(RTAB!$P$43,index.r,0)</f>
        <v>1</v>
      </c>
      <c r="AQ57" s="222">
        <f>MATCH(RTAB!$P$43,index.r,0)</f>
        <v>1</v>
      </c>
      <c r="AR57" s="222">
        <f>MATCH(RTAB!$P$43,index.r,0)</f>
        <v>1</v>
      </c>
      <c r="AS57" s="222">
        <f>MATCH(RTAB!$P$43,index.r,0)</f>
        <v>1</v>
      </c>
      <c r="AT57" s="222">
        <f>MATCH(RTAB!$P$43,index.r,0)</f>
        <v>1</v>
      </c>
      <c r="AU57" s="222">
        <f>MATCH(RTAB!$P$43,index.r,0)</f>
        <v>1</v>
      </c>
      <c r="AV57" s="222">
        <f>MATCH(RTAB!$P$43,index.r,0)</f>
        <v>1</v>
      </c>
      <c r="AW57" s="222">
        <f>MATCH(RTAB!$P$43,index.r,0)</f>
        <v>1</v>
      </c>
      <c r="AX57" s="222">
        <f>MATCH(RTAB!$P$43,index.r,0)</f>
        <v>1</v>
      </c>
      <c r="BA57" s="572">
        <v>1</v>
      </c>
      <c r="BB57" s="572">
        <v>1</v>
      </c>
      <c r="BC57" s="573" t="str">
        <f>CONCATENATE("rank.a",BB57)</f>
        <v>rank.a1</v>
      </c>
      <c r="BD57" s="574">
        <v>1</v>
      </c>
      <c r="BE57" s="573" t="str">
        <f ca="1">IF(OR(BA57="",BB57="",NOT($BJ$57)),0,VLOOKUP(BA57,INDIRECT(BC57),2,FALSE))</f>
        <v>BBK</v>
      </c>
      <c r="BG57" s="573" t="str">
        <f>CONCATENATE(ADDRESS(ROW(BH57),COLUMN(BH57)),":",ADDRESS(ROW(BH57)+10-1-COUNTIF(BH57:BH66,"–"),COLUMN(BH57)))</f>
        <v>$BH$57:$BH$62</v>
      </c>
      <c r="BH57" s="575">
        <f>IF(BA57="","–",BD57)</f>
        <v>1</v>
      </c>
      <c r="BJ57" s="389" t="b">
        <f ca="1">AND(RTAB!AD42,OR(RTAB!AD43,RTAB!AD44))</f>
        <v>1</v>
      </c>
      <c r="BN57" s="625" t="str">
        <f>G57&amp;H57</f>
        <v>4229819:00 – A pálya</v>
      </c>
      <c r="BO57" s="284">
        <f>COUNTIF($BN$57:$BN$142,BN57)</f>
        <v>1</v>
      </c>
      <c r="BP57" s="512" t="str">
        <f ca="1">Y57</f>
        <v>BBKHercules-Ludovika</v>
      </c>
    </row>
    <row r="58" spans="1:68" ht="13.5" customHeight="1" x14ac:dyDescent="0.2">
      <c r="A58" s="842"/>
      <c r="C58" s="615">
        <v>2</v>
      </c>
      <c r="D58" s="616" t="s">
        <v>247</v>
      </c>
      <c r="E58" s="617">
        <v>5</v>
      </c>
      <c r="G58" s="255">
        <v>42298</v>
      </c>
      <c r="H58" s="255" t="s">
        <v>498</v>
      </c>
      <c r="I58" s="265" t="str">
        <f ca="1">IF(OR(C58="",NOT($BJ$57)),"",VLOOKUP(C58,rsors,2,FALSE))</f>
        <v>K&amp;H</v>
      </c>
      <c r="J58" s="272">
        <v>5</v>
      </c>
      <c r="K58" s="200" t="s">
        <v>247</v>
      </c>
      <c r="L58" s="273">
        <v>2</v>
      </c>
      <c r="M58" s="266" t="str">
        <f ca="1">IF(OR(E58="",NOT($BJ$57)),"",VLOOKUP(E58,rsors,2,FALSE))</f>
        <v>Élelmesek</v>
      </c>
      <c r="N58" s="207"/>
      <c r="O58" s="268"/>
      <c r="P58" s="169"/>
      <c r="Q58" s="169"/>
      <c r="R58" s="169"/>
      <c r="S58" s="169"/>
      <c r="T58" s="209"/>
      <c r="U58" s="209"/>
      <c r="V58" s="209"/>
      <c r="W58" s="209"/>
      <c r="Y58" s="210" t="str">
        <f ca="1">AB58&amp;AC58</f>
        <v>K&amp;HÉlelmesek</v>
      </c>
      <c r="Z58" s="211" t="b">
        <f>AND(J58&lt;&gt;"",L58&lt;&gt;"")</f>
        <v>1</v>
      </c>
      <c r="AA58" s="210">
        <f>AA57</f>
        <v>23</v>
      </c>
      <c r="AB58" s="210" t="str">
        <f t="shared" ref="AB58:AB70" ca="1" si="4">I58</f>
        <v>K&amp;H</v>
      </c>
      <c r="AC58" s="210" t="str">
        <f t="shared" ref="AC58:AC70" ca="1" si="5">M58</f>
        <v>Élelmesek</v>
      </c>
      <c r="AD58" s="212">
        <f>IF(Z58,J58,"")</f>
        <v>5</v>
      </c>
      <c r="AE58" s="210">
        <f>IF(Z58,L58,"")</f>
        <v>2</v>
      </c>
      <c r="AF58" s="213"/>
      <c r="AG58" s="214" t="str">
        <f ca="1">IF(AD58&gt;AE58,AB58,"")</f>
        <v>K&amp;H</v>
      </c>
      <c r="AH58" s="214" t="str">
        <f>IF(AE58="","",IF(AD58=AE58,AB58,""))</f>
        <v/>
      </c>
      <c r="AI58" s="215" t="str">
        <f>IF(AND($AV$72,AD58=0,AE58=20),AB58&amp;"ooo",IF(AD58&lt;AE58,AB58,""))</f>
        <v/>
      </c>
      <c r="AJ58" s="214" t="str">
        <f>IF(AE58&gt;AD58,AC58,"")</f>
        <v/>
      </c>
      <c r="AK58" s="214" t="str">
        <f>IF(AE58="","",IF(AD58=AE58,AC58,""))</f>
        <v/>
      </c>
      <c r="AL58" s="215" t="str">
        <f ca="1">IF(AND($AV$72,AD58=20,AE58=0),AC58&amp;"ooo",IF(AD58&gt;AE58,AC58,""))</f>
        <v>Élelmesek</v>
      </c>
      <c r="AM58" s="216">
        <f>G58</f>
        <v>42298</v>
      </c>
      <c r="AO58" s="222">
        <f t="shared" ref="AO58:AT58" si="6">MATCH(AO55,$AG$55:$AL$55,0)</f>
        <v>1</v>
      </c>
      <c r="AP58" s="222">
        <f t="shared" si="6"/>
        <v>2</v>
      </c>
      <c r="AQ58" s="222">
        <f t="shared" si="6"/>
        <v>3</v>
      </c>
      <c r="AR58" s="222">
        <f t="shared" si="6"/>
        <v>4</v>
      </c>
      <c r="AS58" s="222">
        <f t="shared" si="6"/>
        <v>5</v>
      </c>
      <c r="AT58" s="222">
        <f t="shared" si="6"/>
        <v>6</v>
      </c>
      <c r="AU58" s="222">
        <v>-4</v>
      </c>
      <c r="AV58" s="222">
        <v>-3</v>
      </c>
      <c r="AW58" s="222">
        <v>-2</v>
      </c>
      <c r="AX58" s="222">
        <v>-1</v>
      </c>
      <c r="BA58" s="572">
        <v>2</v>
      </c>
      <c r="BB58" s="572">
        <v>1</v>
      </c>
      <c r="BC58" s="573" t="str">
        <f t="shared" ref="BC58:BC66" si="7">CONCATENATE("rank.a",BB58)</f>
        <v>rank.a1</v>
      </c>
      <c r="BD58" s="574">
        <v>2</v>
      </c>
      <c r="BE58" s="573" t="str">
        <f t="shared" ref="BE58:BE66" ca="1" si="8">IF(OR(BA58="",BB58="",NOT($BJ$57)),0,VLOOKUP(BA58,INDIRECT(BC58),2,FALSE))</f>
        <v>K&amp;H</v>
      </c>
      <c r="BH58" s="575">
        <f t="shared" ref="BH58:BH66" si="9">IF(BA58="","–",BD58)</f>
        <v>2</v>
      </c>
      <c r="BN58" s="625" t="str">
        <f>G58&amp;H58</f>
        <v>4229819:45 – A pálya</v>
      </c>
      <c r="BO58" s="284">
        <f>COUNTIF($BN$57:$BN$142,BN58)</f>
        <v>1</v>
      </c>
      <c r="BP58" s="512" t="str">
        <f ca="1">Y58</f>
        <v>K&amp;HÉlelmesek</v>
      </c>
    </row>
    <row r="59" spans="1:68" ht="13.5" customHeight="1" x14ac:dyDescent="0.2">
      <c r="A59" s="842"/>
      <c r="C59" s="615">
        <v>3</v>
      </c>
      <c r="D59" s="616" t="s">
        <v>247</v>
      </c>
      <c r="E59" s="617">
        <v>4</v>
      </c>
      <c r="G59" s="255">
        <v>42298</v>
      </c>
      <c r="H59" s="255" t="s">
        <v>499</v>
      </c>
      <c r="I59" s="265" t="str">
        <f ca="1">IF(OR(C59="",NOT($BJ$57)),"",VLOOKUP(C59,rsors,2,FALSE))</f>
        <v>BHD</v>
      </c>
      <c r="J59" s="272">
        <v>4</v>
      </c>
      <c r="K59" s="200" t="s">
        <v>247</v>
      </c>
      <c r="L59" s="273">
        <v>3</v>
      </c>
      <c r="M59" s="266" t="str">
        <f ca="1">IF(OR(E59="",NOT($BJ$57)),"",VLOOKUP(E59,rsors,2,FALSE))</f>
        <v>Zrínyigyöngye</v>
      </c>
      <c r="N59" s="207"/>
      <c r="O59" s="268"/>
      <c r="P59" s="169"/>
      <c r="Q59" s="169"/>
      <c r="R59" s="169"/>
      <c r="S59" s="169"/>
      <c r="T59" s="209"/>
      <c r="U59" s="209"/>
      <c r="V59" s="209"/>
      <c r="W59" s="209"/>
      <c r="Y59" s="210" t="str">
        <f ca="1">AB59&amp;AC59</f>
        <v>BHDZrínyigyöngye</v>
      </c>
      <c r="Z59" s="211" t="b">
        <f>AND(J59&lt;&gt;"",L59&lt;&gt;"")</f>
        <v>1</v>
      </c>
      <c r="AA59" s="210">
        <f t="shared" ref="AA59:AA70" si="10">AA58</f>
        <v>23</v>
      </c>
      <c r="AB59" s="210" t="str">
        <f t="shared" ca="1" si="4"/>
        <v>BHD</v>
      </c>
      <c r="AC59" s="210" t="str">
        <f t="shared" ca="1" si="5"/>
        <v>Zrínyigyöngye</v>
      </c>
      <c r="AD59" s="212">
        <f>IF(Z59,J59,"")</f>
        <v>4</v>
      </c>
      <c r="AE59" s="210">
        <f>IF(Z59,L59,"")</f>
        <v>3</v>
      </c>
      <c r="AF59" s="213"/>
      <c r="AG59" s="214" t="str">
        <f ca="1">IF(AD59&gt;AE59,AB59,"")</f>
        <v>BHD</v>
      </c>
      <c r="AH59" s="214" t="str">
        <f>IF(AE59="","",IF(AD59=AE59,AB59,""))</f>
        <v/>
      </c>
      <c r="AI59" s="215" t="str">
        <f>IF(AND($AV$72,AD59=0,AE59=20),AB59&amp;"ooo",IF(AD59&lt;AE59,AB59,""))</f>
        <v/>
      </c>
      <c r="AJ59" s="214" t="str">
        <f>IF(AE59&gt;AD59,AC59,"")</f>
        <v/>
      </c>
      <c r="AK59" s="214" t="str">
        <f>IF(AE59="","",IF(AD59=AE59,AC59,""))</f>
        <v/>
      </c>
      <c r="AL59" s="215" t="str">
        <f ca="1">IF(AND($AV$72,AD59=20,AE59=0),AC59&amp;"ooo",IF(AD59&gt;AE59,AC59,""))</f>
        <v>Zrínyigyöngye</v>
      </c>
      <c r="AM59" s="216">
        <f>G59</f>
        <v>42298</v>
      </c>
      <c r="AO59" s="222">
        <f>MATCH(RTAB!$R$43,index.r,0)+14-AO57</f>
        <v>86</v>
      </c>
      <c r="AP59" s="222">
        <f>MATCH(RTAB!$R$43,index.r,0)+14-AP57</f>
        <v>86</v>
      </c>
      <c r="AQ59" s="222">
        <f>MATCH(RTAB!$R$43,index.r,0)+14-AQ57</f>
        <v>86</v>
      </c>
      <c r="AR59" s="222">
        <f>MATCH(RTAB!$R$43,index.r,0)+14-AR57</f>
        <v>86</v>
      </c>
      <c r="AS59" s="222">
        <f>MATCH(RTAB!$R$43,index.r,0)+14-AS57</f>
        <v>86</v>
      </c>
      <c r="AT59" s="222">
        <f>MATCH(RTAB!$R$43,index.r,0)+14-AT57</f>
        <v>86</v>
      </c>
      <c r="AU59" s="222">
        <f>MATCH(RTAB!$R$43,index.r,0)+14-AU57</f>
        <v>86</v>
      </c>
      <c r="AV59" s="222">
        <f>MATCH(RTAB!$R$43,index.r,0)+14-AV57</f>
        <v>86</v>
      </c>
      <c r="AW59" s="222">
        <f>MATCH(RTAB!$R$43,index.r,0)+14-AW57</f>
        <v>86</v>
      </c>
      <c r="AX59" s="222">
        <f>MATCH(RTAB!$R$43,index.r,0)+14-AX57</f>
        <v>86</v>
      </c>
      <c r="BA59" s="572">
        <v>3</v>
      </c>
      <c r="BB59" s="572">
        <v>1</v>
      </c>
      <c r="BC59" s="573" t="str">
        <f t="shared" si="7"/>
        <v>rank.a1</v>
      </c>
      <c r="BD59" s="574">
        <v>3</v>
      </c>
      <c r="BE59" s="573" t="str">
        <f t="shared" ca="1" si="8"/>
        <v>BHD</v>
      </c>
      <c r="BH59" s="575">
        <f t="shared" si="9"/>
        <v>3</v>
      </c>
      <c r="BJ59" s="245"/>
      <c r="BN59" s="625" t="str">
        <f>G59&amp;H59</f>
        <v>4229820:30 – A pálya</v>
      </c>
      <c r="BO59" s="284">
        <f>COUNTIF($BN$57:$BN$142,BN59)</f>
        <v>1</v>
      </c>
      <c r="BP59" s="512" t="str">
        <f ca="1">Y59</f>
        <v>BHDZrínyigyöngye</v>
      </c>
    </row>
    <row r="60" spans="1:68" ht="13.5" hidden="1" customHeight="1" x14ac:dyDescent="0.2">
      <c r="A60" s="842"/>
      <c r="C60" s="615"/>
      <c r="D60" s="616"/>
      <c r="E60" s="617"/>
      <c r="G60" s="255"/>
      <c r="H60" s="204"/>
      <c r="I60" s="265" t="str">
        <f ca="1">IF(OR(C60="",NOT($BJ$57)),"",VLOOKUP(C60,rsors,2,FALSE))</f>
        <v/>
      </c>
      <c r="J60" s="272"/>
      <c r="K60" s="200" t="s">
        <v>247</v>
      </c>
      <c r="L60" s="273"/>
      <c r="M60" s="266" t="str">
        <f ca="1">IF(OR(E60="",NOT($BJ$57)),"",VLOOKUP(E60,rsors,2,FALSE))</f>
        <v/>
      </c>
      <c r="N60" s="207"/>
      <c r="O60" s="268"/>
      <c r="P60" s="169"/>
      <c r="Q60" s="169"/>
      <c r="R60" s="169"/>
      <c r="S60" s="169"/>
      <c r="T60" s="209"/>
      <c r="U60" s="209"/>
      <c r="Y60" s="210" t="str">
        <f ca="1">AB60&amp;AC60</f>
        <v/>
      </c>
      <c r="Z60" s="211" t="b">
        <f>AND(J60&lt;&gt;"",L60&lt;&gt;"")</f>
        <v>0</v>
      </c>
      <c r="AA60" s="210">
        <f t="shared" si="10"/>
        <v>23</v>
      </c>
      <c r="AB60" s="210" t="str">
        <f t="shared" ca="1" si="4"/>
        <v/>
      </c>
      <c r="AC60" s="210" t="str">
        <f t="shared" ca="1" si="5"/>
        <v/>
      </c>
      <c r="AD60" s="212" t="str">
        <f>IF(Z60,J60,"")</f>
        <v/>
      </c>
      <c r="AE60" s="210" t="str">
        <f>IF(Z60,L60,"")</f>
        <v/>
      </c>
      <c r="AF60" s="213"/>
      <c r="AG60" s="214" t="str">
        <f>IF(AD60&gt;AE60,AB60,"")</f>
        <v/>
      </c>
      <c r="AH60" s="214" t="str">
        <f>IF(AE60="","",IF(AD60=AE60,AB60,""))</f>
        <v/>
      </c>
      <c r="AI60" s="215" t="str">
        <f>IF(AND($AV$72,AD60=0,AE60=20),AB60&amp;"ooo",IF(AD60&lt;AE60,AB60,""))</f>
        <v/>
      </c>
      <c r="AJ60" s="214" t="str">
        <f>IF(AE60&gt;AD60,AC60,"")</f>
        <v/>
      </c>
      <c r="AK60" s="214" t="str">
        <f>IF(AE60="","",IF(AD60=AE60,AC60,""))</f>
        <v/>
      </c>
      <c r="AL60" s="215" t="str">
        <f>IF(AND($AV$72,AD60=20,AE60=0),AC60&amp;"ooo",IF(AD60&gt;AE60,AC60,""))</f>
        <v/>
      </c>
      <c r="AM60" s="216">
        <f>G60</f>
        <v>0</v>
      </c>
      <c r="AO60" s="222">
        <v>1</v>
      </c>
      <c r="AP60" s="222">
        <v>1</v>
      </c>
      <c r="AQ60" s="222">
        <v>1</v>
      </c>
      <c r="AR60" s="222">
        <v>1</v>
      </c>
      <c r="AS60" s="222">
        <v>1</v>
      </c>
      <c r="AT60" s="222">
        <v>1</v>
      </c>
      <c r="AU60" s="222">
        <v>1</v>
      </c>
      <c r="AV60" s="222">
        <v>1</v>
      </c>
      <c r="AW60" s="222">
        <v>1</v>
      </c>
      <c r="AX60" s="222">
        <v>1</v>
      </c>
      <c r="BA60" s="572">
        <v>4</v>
      </c>
      <c r="BB60" s="572">
        <v>1</v>
      </c>
      <c r="BC60" s="573" t="str">
        <f t="shared" si="7"/>
        <v>rank.a1</v>
      </c>
      <c r="BD60" s="574">
        <v>4</v>
      </c>
      <c r="BE60" s="573" t="str">
        <f t="shared" ca="1" si="8"/>
        <v>Zrínyigyöngye</v>
      </c>
      <c r="BH60" s="575">
        <f t="shared" si="9"/>
        <v>4</v>
      </c>
      <c r="BJ60" s="245"/>
    </row>
    <row r="61" spans="1:68" ht="21" customHeight="1" x14ac:dyDescent="0.25">
      <c r="A61" s="842"/>
      <c r="C61" s="618"/>
      <c r="D61" s="618"/>
      <c r="E61" s="618"/>
      <c r="G61" s="576"/>
      <c r="H61" s="576"/>
      <c r="I61" s="567"/>
      <c r="K61" s="627" t="s">
        <v>510</v>
      </c>
      <c r="N61" s="223"/>
      <c r="O61" s="169"/>
      <c r="P61" s="169"/>
      <c r="Q61" s="169"/>
      <c r="R61" s="169"/>
      <c r="S61" s="169"/>
      <c r="T61" s="209"/>
      <c r="U61" s="209"/>
      <c r="V61" s="209"/>
      <c r="W61" s="209"/>
      <c r="Y61" s="229"/>
      <c r="Z61" s="230"/>
      <c r="AA61" s="231"/>
      <c r="AB61" s="231"/>
      <c r="AC61" s="231"/>
      <c r="AD61" s="232"/>
      <c r="AE61" s="231"/>
      <c r="AG61" s="233"/>
      <c r="AH61" s="233"/>
      <c r="AI61" s="234"/>
      <c r="AJ61" s="233"/>
      <c r="AK61" s="233"/>
      <c r="AL61" s="234"/>
      <c r="AM61" s="234"/>
      <c r="AO61" s="219" t="s">
        <v>249</v>
      </c>
      <c r="BA61" s="572">
        <v>5</v>
      </c>
      <c r="BB61" s="572">
        <v>1</v>
      </c>
      <c r="BC61" s="573" t="str">
        <f t="shared" si="7"/>
        <v>rank.a1</v>
      </c>
      <c r="BD61" s="574">
        <v>5</v>
      </c>
      <c r="BE61" s="573" t="str">
        <f t="shared" ca="1" si="8"/>
        <v>Élelmesek</v>
      </c>
      <c r="BH61" s="575">
        <f t="shared" si="9"/>
        <v>5</v>
      </c>
      <c r="BJ61" s="245"/>
    </row>
    <row r="62" spans="1:68" ht="13.5" customHeight="1" x14ac:dyDescent="0.2">
      <c r="A62" s="842"/>
      <c r="C62" s="615">
        <v>13</v>
      </c>
      <c r="D62" s="616" t="s">
        <v>247</v>
      </c>
      <c r="E62" s="617">
        <v>14</v>
      </c>
      <c r="G62" s="204">
        <v>42298</v>
      </c>
      <c r="H62" s="255" t="s">
        <v>500</v>
      </c>
      <c r="I62" s="265" t="str">
        <f ca="1">IF(OR(C62="",NOT($BJ$57)),"",VLOOKUP(C62,rsors,2,FALSE))</f>
        <v>Carbonász</v>
      </c>
      <c r="J62" s="272">
        <v>1</v>
      </c>
      <c r="K62" s="200" t="s">
        <v>247</v>
      </c>
      <c r="L62" s="273">
        <v>4</v>
      </c>
      <c r="M62" s="266" t="str">
        <f ca="1">IF(OR(E62="",NOT($BJ$57)),"",VLOOKUP(E62,rsors,2,FALSE))</f>
        <v>Bőrdíszmű</v>
      </c>
      <c r="N62" s="207"/>
      <c r="O62" s="267"/>
      <c r="P62" s="169"/>
      <c r="Q62" s="169"/>
      <c r="R62" s="169"/>
      <c r="S62" s="169"/>
      <c r="Y62" s="210" t="str">
        <f ca="1">AB62&amp;AC62</f>
        <v>CarbonászBőrdíszmű</v>
      </c>
      <c r="Z62" s="211" t="b">
        <f>AND(J62&lt;&gt;"",L62&lt;&gt;"")</f>
        <v>1</v>
      </c>
      <c r="AA62" s="210">
        <f>AA60</f>
        <v>23</v>
      </c>
      <c r="AB62" s="210" t="str">
        <f t="shared" ca="1" si="4"/>
        <v>Carbonász</v>
      </c>
      <c r="AC62" s="210" t="str">
        <f t="shared" ca="1" si="5"/>
        <v>Bőrdíszmű</v>
      </c>
      <c r="AD62" s="212">
        <f>IF(Z62,J62,"")</f>
        <v>1</v>
      </c>
      <c r="AE62" s="210">
        <f>IF(Z62,L62,"")</f>
        <v>4</v>
      </c>
      <c r="AG62" s="214" t="str">
        <f>IF(AD62&gt;AE62,AB62,"")</f>
        <v/>
      </c>
      <c r="AH62" s="214" t="str">
        <f>IF(AE62="","",IF(AD62=AE62,AB62,""))</f>
        <v/>
      </c>
      <c r="AI62" s="215" t="str">
        <f ca="1">IF(AND($AV$72,AD62=0,AE62=20),AB62&amp;"ooo",IF(AD62&lt;AE62,AB62,""))</f>
        <v>Carbonász</v>
      </c>
      <c r="AJ62" s="214" t="str">
        <f ca="1">IF(AE62&gt;AD62,AC62,"")</f>
        <v>Bőrdíszmű</v>
      </c>
      <c r="AK62" s="214" t="str">
        <f>IF(AE62="","",IF(AD62=AE62,AC62,""))</f>
        <v/>
      </c>
      <c r="AL62" s="215" t="str">
        <f>IF(AND($AV$72,AD62=20,AE62=0),AC62&amp;"ooo",IF(AD62&gt;AE62,AC62,""))</f>
        <v/>
      </c>
      <c r="AM62" s="216">
        <f>G62</f>
        <v>42298</v>
      </c>
      <c r="AO62" s="219" t="s">
        <v>250</v>
      </c>
      <c r="BA62" s="572">
        <v>6</v>
      </c>
      <c r="BB62" s="572">
        <v>1</v>
      </c>
      <c r="BC62" s="573" t="str">
        <f t="shared" si="7"/>
        <v>rank.a1</v>
      </c>
      <c r="BD62" s="574">
        <v>6</v>
      </c>
      <c r="BE62" s="573" t="str">
        <f t="shared" ca="1" si="8"/>
        <v>Hercules-Ludovika</v>
      </c>
      <c r="BH62" s="575">
        <f t="shared" si="9"/>
        <v>6</v>
      </c>
      <c r="BJ62" s="245"/>
      <c r="BN62" s="625" t="str">
        <f>G62&amp;H62</f>
        <v>4229819:00 – B pálya</v>
      </c>
      <c r="BO62" s="284">
        <f>COUNTIF($BN$57:$BN$142,BN62)</f>
        <v>1</v>
      </c>
      <c r="BP62" s="512" t="str">
        <f ca="1">Y62</f>
        <v>CarbonászBőrdíszmű</v>
      </c>
    </row>
    <row r="63" spans="1:68" ht="13.5" customHeight="1" x14ac:dyDescent="0.2">
      <c r="A63" s="842"/>
      <c r="C63" s="615">
        <v>12</v>
      </c>
      <c r="D63" s="616" t="s">
        <v>247</v>
      </c>
      <c r="E63" s="617">
        <v>15</v>
      </c>
      <c r="G63" s="204">
        <v>42298</v>
      </c>
      <c r="H63" s="255" t="s">
        <v>501</v>
      </c>
      <c r="I63" s="265" t="str">
        <f ca="1">IF(OR(C63="",NOT($BJ$57)),"",VLOOKUP(C63,rsors,2,FALSE))</f>
        <v>Vakana</v>
      </c>
      <c r="J63" s="272">
        <v>2</v>
      </c>
      <c r="K63" s="200" t="s">
        <v>247</v>
      </c>
      <c r="L63" s="273">
        <v>2</v>
      </c>
      <c r="M63" s="266" t="str">
        <f ca="1">IF(OR(E63="",NOT($BJ$57)),"",VLOOKUP(E63,rsors,2,FALSE))</f>
        <v>Royal Guard's</v>
      </c>
      <c r="N63" s="207"/>
      <c r="O63" s="268"/>
      <c r="P63" s="169"/>
      <c r="Q63" s="169"/>
      <c r="R63" s="169"/>
      <c r="S63" s="169"/>
      <c r="Y63" s="210" t="str">
        <f ca="1">AB63&amp;AC63</f>
        <v>VakanaRoyal Guard's</v>
      </c>
      <c r="Z63" s="211" t="b">
        <f>AND(J63&lt;&gt;"",L63&lt;&gt;"")</f>
        <v>1</v>
      </c>
      <c r="AA63" s="210">
        <f t="shared" si="10"/>
        <v>23</v>
      </c>
      <c r="AB63" s="210" t="str">
        <f t="shared" ca="1" si="4"/>
        <v>Vakana</v>
      </c>
      <c r="AC63" s="210" t="str">
        <f t="shared" ca="1" si="5"/>
        <v>Royal Guard's</v>
      </c>
      <c r="AD63" s="212">
        <f>IF(Z63,J63,"")</f>
        <v>2</v>
      </c>
      <c r="AE63" s="210">
        <f>IF(Z63,L63,"")</f>
        <v>2</v>
      </c>
      <c r="AG63" s="214" t="str">
        <f>IF(AD63&gt;AE63,AB63,"")</f>
        <v/>
      </c>
      <c r="AH63" s="214" t="str">
        <f ca="1">IF(AE63="","",IF(AD63=AE63,AB63,""))</f>
        <v>Vakana</v>
      </c>
      <c r="AI63" s="215" t="str">
        <f>IF(AND($AV$72,AD63=0,AE63=20),AB63&amp;"ooo",IF(AD63&lt;AE63,AB63,""))</f>
        <v/>
      </c>
      <c r="AJ63" s="214" t="str">
        <f>IF(AE63&gt;AD63,AC63,"")</f>
        <v/>
      </c>
      <c r="AK63" s="214" t="str">
        <f ca="1">IF(AE63="","",IF(AD63=AE63,AC63,""))</f>
        <v>Royal Guard's</v>
      </c>
      <c r="AL63" s="215" t="str">
        <f>IF(AND($AV$72,AD63=20,AE63=0),AC63&amp;"ooo",IF(AD63&gt;AE63,AC63,""))</f>
        <v/>
      </c>
      <c r="AM63" s="216">
        <f>G63</f>
        <v>42298</v>
      </c>
      <c r="AO63" s="221" t="s">
        <v>128</v>
      </c>
      <c r="AP63" s="221" t="s">
        <v>130</v>
      </c>
      <c r="AQ63" s="221" t="s">
        <v>132</v>
      </c>
      <c r="AR63" s="221" t="s">
        <v>129</v>
      </c>
      <c r="AS63" s="221" t="s">
        <v>131</v>
      </c>
      <c r="AT63" s="221" t="s">
        <v>133</v>
      </c>
      <c r="AU63" s="221" t="s">
        <v>138</v>
      </c>
      <c r="AV63" s="221" t="s">
        <v>139</v>
      </c>
      <c r="AW63" s="221" t="s">
        <v>141</v>
      </c>
      <c r="AX63" s="221" t="s">
        <v>257</v>
      </c>
      <c r="BA63" s="572"/>
      <c r="BB63" s="572"/>
      <c r="BC63" s="573" t="str">
        <f t="shared" si="7"/>
        <v>rank.a</v>
      </c>
      <c r="BD63" s="574">
        <v>7</v>
      </c>
      <c r="BE63" s="573">
        <f t="shared" ca="1" si="8"/>
        <v>0</v>
      </c>
      <c r="BH63" s="575" t="str">
        <f t="shared" si="9"/>
        <v>–</v>
      </c>
      <c r="BJ63" s="245"/>
      <c r="BN63" s="625" t="str">
        <f>G63&amp;H63</f>
        <v>4229819:45 – B pálya</v>
      </c>
      <c r="BO63" s="284">
        <f>COUNTIF($BN$57:$BN$142,BN63)</f>
        <v>1</v>
      </c>
      <c r="BP63" s="512" t="str">
        <f ca="1">Y63</f>
        <v>VakanaRoyal Guard's</v>
      </c>
    </row>
    <row r="64" spans="1:68" ht="13.5" customHeight="1" x14ac:dyDescent="0.25">
      <c r="A64" s="842"/>
      <c r="C64" s="615">
        <v>11</v>
      </c>
      <c r="D64" s="616" t="s">
        <v>247</v>
      </c>
      <c r="E64" s="617"/>
      <c r="G64" s="576"/>
      <c r="H64" s="576"/>
      <c r="I64" s="275" t="str">
        <f ca="1">IF(OR(C64="",NOT($BJ$57)),"",VLOOKUP(C64,rsors,2,FALSE))</f>
        <v>Bakafogó-Honvéd-Sashegy SE</v>
      </c>
      <c r="J64" s="628"/>
      <c r="K64" s="577"/>
      <c r="L64" s="628"/>
      <c r="M64" s="277" t="str">
        <f ca="1">IF(I64="","","szabadnapos")</f>
        <v>szabadnapos</v>
      </c>
      <c r="N64" s="207"/>
      <c r="O64" s="268"/>
      <c r="P64" s="169"/>
      <c r="Q64" s="169"/>
      <c r="R64" s="169"/>
      <c r="S64" s="169"/>
      <c r="Y64" s="210" t="str">
        <f ca="1">AB64&amp;AC64</f>
        <v>Bakafogó-Honvéd-Sashegy SEszabadnapos</v>
      </c>
      <c r="Z64" s="211" t="b">
        <f>AND(J64&lt;&gt;"",L64&lt;&gt;"")</f>
        <v>0</v>
      </c>
      <c r="AA64" s="210">
        <f t="shared" si="10"/>
        <v>23</v>
      </c>
      <c r="AB64" s="210" t="str">
        <f t="shared" ca="1" si="4"/>
        <v>Bakafogó-Honvéd-Sashegy SE</v>
      </c>
      <c r="AC64" s="210" t="str">
        <f t="shared" ca="1" si="5"/>
        <v>szabadnapos</v>
      </c>
      <c r="AD64" s="212" t="str">
        <f>IF(Z64,J64,"")</f>
        <v/>
      </c>
      <c r="AE64" s="210" t="str">
        <f>IF(Z64,L64,"")</f>
        <v/>
      </c>
      <c r="AG64" s="214" t="str">
        <f>IF(AD64&gt;AE64,AB64,"")</f>
        <v/>
      </c>
      <c r="AH64" s="214" t="str">
        <f>IF(AE64="","",IF(AD64=AE64,AB64,""))</f>
        <v/>
      </c>
      <c r="AI64" s="215" t="str">
        <f>IF(AND($AV$72,AD64=0,AE64=20),AB64&amp;"ooo",IF(AD64&lt;AE64,AB64,""))</f>
        <v/>
      </c>
      <c r="AJ64" s="214" t="str">
        <f>IF(AE64&gt;AD64,AC64,"")</f>
        <v/>
      </c>
      <c r="AK64" s="214" t="str">
        <f>IF(AE64="","",IF(AD64=AE64,AC64,""))</f>
        <v/>
      </c>
      <c r="AL64" s="215" t="str">
        <f>IF(AND($AV$72,AD64=20,AE64=0),AC64&amp;"ooo",IF(AD64&gt;AE64,AC64,""))</f>
        <v/>
      </c>
      <c r="AM64" s="750">
        <f>AM57</f>
        <v>42298</v>
      </c>
      <c r="AO64" s="222">
        <f>MATCH(RTAB!$AD$62,index.r,0)</f>
        <v>1</v>
      </c>
      <c r="AP64" s="222">
        <f>MATCH(RTAB!$AD$62,index.r,0)</f>
        <v>1</v>
      </c>
      <c r="AQ64" s="222">
        <f>MATCH(RTAB!$AD$62,index.r,0)</f>
        <v>1</v>
      </c>
      <c r="AR64" s="222">
        <f>MATCH(RTAB!$AD$62,index.r,0)</f>
        <v>1</v>
      </c>
      <c r="AS64" s="222">
        <f>MATCH(RTAB!$AD$62,index.r,0)</f>
        <v>1</v>
      </c>
      <c r="AT64" s="222">
        <f>MATCH(RTAB!$AD$62,index.r,0)</f>
        <v>1</v>
      </c>
      <c r="AU64" s="222">
        <f>MATCH(RTAB!$AD$62,index.r,0)</f>
        <v>1</v>
      </c>
      <c r="AV64" s="222">
        <f>MATCH(RTAB!$AD$62,index.r,0)</f>
        <v>1</v>
      </c>
      <c r="AW64" s="222">
        <f>MATCH(RTAB!$AD$62,index.r,0)</f>
        <v>1</v>
      </c>
      <c r="AX64" s="222">
        <f>MATCH(RTAB!$AD$62,index.r,0)</f>
        <v>1</v>
      </c>
      <c r="BA64" s="572"/>
      <c r="BB64" s="572"/>
      <c r="BC64" s="573" t="str">
        <f t="shared" si="7"/>
        <v>rank.a</v>
      </c>
      <c r="BD64" s="574">
        <v>8</v>
      </c>
      <c r="BE64" s="573">
        <f t="shared" ca="1" si="8"/>
        <v>0</v>
      </c>
      <c r="BH64" s="575" t="str">
        <f t="shared" si="9"/>
        <v>–</v>
      </c>
      <c r="BJ64" s="245"/>
    </row>
    <row r="65" spans="1:69" ht="13.5" hidden="1" customHeight="1" x14ac:dyDescent="0.2">
      <c r="A65" s="842"/>
      <c r="C65" s="615"/>
      <c r="D65" s="616"/>
      <c r="E65" s="617"/>
      <c r="G65" s="204"/>
      <c r="H65" s="204"/>
      <c r="I65" s="265"/>
      <c r="J65" s="272"/>
      <c r="L65" s="273"/>
      <c r="M65" s="266"/>
      <c r="N65" s="207"/>
      <c r="O65" s="268"/>
      <c r="P65" s="169"/>
      <c r="Q65" s="169"/>
      <c r="R65" s="169"/>
      <c r="S65" s="169"/>
      <c r="Y65" s="210" t="str">
        <f>AB65&amp;AC65</f>
        <v>00</v>
      </c>
      <c r="Z65" s="211" t="b">
        <f>AND(J65&lt;&gt;"",L65&lt;&gt;"")</f>
        <v>0</v>
      </c>
      <c r="AA65" s="210">
        <f t="shared" si="10"/>
        <v>23</v>
      </c>
      <c r="AB65" s="210">
        <f t="shared" si="4"/>
        <v>0</v>
      </c>
      <c r="AC65" s="210">
        <f t="shared" si="5"/>
        <v>0</v>
      </c>
      <c r="AD65" s="212" t="str">
        <f>IF(Z65,J65,"")</f>
        <v/>
      </c>
      <c r="AE65" s="210" t="str">
        <f>IF(Z65,L65,"")</f>
        <v/>
      </c>
      <c r="AG65" s="214" t="str">
        <f>IF(AD65&gt;AE65,AB65,"")</f>
        <v/>
      </c>
      <c r="AH65" s="214" t="str">
        <f>IF(AE65="","",IF(AD65=AE65,AB65,""))</f>
        <v/>
      </c>
      <c r="AI65" s="215" t="str">
        <f>IF(AND($AV$72,AD65=0,AE65=20),AB65&amp;"ooo",IF(AD65&lt;AE65,AB65,""))</f>
        <v/>
      </c>
      <c r="AJ65" s="214" t="str">
        <f>IF(AE65&gt;AD65,AC65,"")</f>
        <v/>
      </c>
      <c r="AK65" s="214" t="str">
        <f>IF(AE65="","",IF(AD65=AE65,AC65,""))</f>
        <v/>
      </c>
      <c r="AL65" s="215" t="str">
        <f>IF(AND($AV$72,AD65=20,AE65=0),AC65&amp;"ooo",IF(AD65&gt;AE65,AC65,""))</f>
        <v/>
      </c>
      <c r="AM65" s="216">
        <f>G65</f>
        <v>0</v>
      </c>
      <c r="AO65" s="222">
        <f t="shared" ref="AO65:AT65" si="11">MATCH(AO63,$AG$55:$AL$55,0)</f>
        <v>1</v>
      </c>
      <c r="AP65" s="222">
        <f t="shared" si="11"/>
        <v>2</v>
      </c>
      <c r="AQ65" s="222">
        <f t="shared" si="11"/>
        <v>3</v>
      </c>
      <c r="AR65" s="222">
        <f t="shared" si="11"/>
        <v>4</v>
      </c>
      <c r="AS65" s="222">
        <f t="shared" si="11"/>
        <v>5</v>
      </c>
      <c r="AT65" s="222">
        <f t="shared" si="11"/>
        <v>6</v>
      </c>
      <c r="AU65" s="222">
        <v>-4</v>
      </c>
      <c r="AV65" s="222">
        <v>-3</v>
      </c>
      <c r="AW65" s="222">
        <v>-2</v>
      </c>
      <c r="AX65" s="222">
        <v>-1</v>
      </c>
      <c r="BA65" s="572"/>
      <c r="BB65" s="572"/>
      <c r="BC65" s="573" t="str">
        <f t="shared" si="7"/>
        <v>rank.a</v>
      </c>
      <c r="BD65" s="574">
        <v>9</v>
      </c>
      <c r="BE65" s="573">
        <f t="shared" ca="1" si="8"/>
        <v>0</v>
      </c>
      <c r="BH65" s="575" t="str">
        <f t="shared" si="9"/>
        <v>–</v>
      </c>
      <c r="BJ65" s="245"/>
    </row>
    <row r="66" spans="1:69" ht="21" hidden="1" customHeight="1" x14ac:dyDescent="0.2">
      <c r="A66" s="842"/>
      <c r="C66" s="618"/>
      <c r="D66" s="618"/>
      <c r="E66" s="618"/>
      <c r="G66" s="576"/>
      <c r="H66" s="576"/>
      <c r="I66" s="567"/>
      <c r="K66" s="568"/>
      <c r="N66" s="169"/>
      <c r="O66" s="169"/>
      <c r="P66" s="169"/>
      <c r="Q66" s="169"/>
      <c r="R66" s="169"/>
      <c r="S66" s="169"/>
      <c r="Y66" s="229"/>
      <c r="Z66" s="230"/>
      <c r="AA66" s="231"/>
      <c r="AB66" s="231"/>
      <c r="AC66" s="231"/>
      <c r="AD66" s="232"/>
      <c r="AE66" s="231"/>
      <c r="AG66" s="233"/>
      <c r="AH66" s="233"/>
      <c r="AI66" s="234"/>
      <c r="AJ66" s="233"/>
      <c r="AK66" s="233"/>
      <c r="AL66" s="234"/>
      <c r="AM66" s="234"/>
      <c r="AO66" s="222">
        <f>MATCH(MAX(RTAB!$AD$65:'RTAB'!$AD$67),index.r,0)+14-AO64</f>
        <v>86</v>
      </c>
      <c r="AP66" s="222">
        <f>MATCH(MAX(RTAB!$AD$65:'RTAB'!$AD$67),index.r,0)+14-AP64</f>
        <v>86</v>
      </c>
      <c r="AQ66" s="222">
        <f>MATCH(MAX(RTAB!$AD$65:'RTAB'!$AD$67),index.r,0)+14-AQ64</f>
        <v>86</v>
      </c>
      <c r="AR66" s="222">
        <f>MATCH(MAX(RTAB!$AD$65:'RTAB'!$AD$67),index.r,0)+14-AR64</f>
        <v>86</v>
      </c>
      <c r="AS66" s="222">
        <f>MATCH(MAX(RTAB!$AD$65:'RTAB'!$AD$67),index.r,0)+14-AS64</f>
        <v>86</v>
      </c>
      <c r="AT66" s="222">
        <f>MATCH(MAX(RTAB!$AD$65:'RTAB'!$AD$67),index.r,0)+14-AT64</f>
        <v>86</v>
      </c>
      <c r="AU66" s="222">
        <f>MATCH(MAX(RTAB!$AD$65:'RTAB'!$AD$67),index.r,0)+14-AU64</f>
        <v>86</v>
      </c>
      <c r="AV66" s="222">
        <f>MATCH(MAX(RTAB!$AD$65:'RTAB'!$AD$67),index.r,0)+14-AV64</f>
        <v>86</v>
      </c>
      <c r="AW66" s="222">
        <f>MATCH(MAX(RTAB!$AD$65:'RTAB'!$AD$67),index.r,0)+14-AW64</f>
        <v>86</v>
      </c>
      <c r="AX66" s="222">
        <f>MATCH(MAX(RTAB!$AD$65:'RTAB'!$AD$67),index.r,0)+14-AX64</f>
        <v>86</v>
      </c>
      <c r="BA66" s="572"/>
      <c r="BB66" s="572"/>
      <c r="BC66" s="573" t="str">
        <f t="shared" si="7"/>
        <v>rank.a</v>
      </c>
      <c r="BD66" s="574">
        <v>10</v>
      </c>
      <c r="BE66" s="573">
        <f t="shared" ca="1" si="8"/>
        <v>0</v>
      </c>
      <c r="BH66" s="575" t="str">
        <f t="shared" si="9"/>
        <v>–</v>
      </c>
      <c r="BJ66" s="245"/>
    </row>
    <row r="67" spans="1:69" ht="13.5" hidden="1" customHeight="1" x14ac:dyDescent="0.2">
      <c r="A67" s="842"/>
      <c r="C67" s="615"/>
      <c r="D67" s="616"/>
      <c r="E67" s="617"/>
      <c r="G67" s="204"/>
      <c r="H67" s="204"/>
      <c r="I67" s="199"/>
      <c r="J67" s="205"/>
      <c r="L67" s="206"/>
      <c r="M67" s="201"/>
      <c r="N67" s="207"/>
      <c r="O67" s="208"/>
      <c r="P67" s="169"/>
      <c r="Q67" s="169"/>
      <c r="R67" s="169"/>
      <c r="S67" s="169"/>
      <c r="Y67" s="210" t="str">
        <f>AB67&amp;AC67</f>
        <v>00</v>
      </c>
      <c r="Z67" s="211" t="b">
        <f>AND(J67&lt;&gt;"",L67&lt;&gt;"")</f>
        <v>0</v>
      </c>
      <c r="AA67" s="210">
        <f>AA65</f>
        <v>23</v>
      </c>
      <c r="AB67" s="210">
        <f t="shared" si="4"/>
        <v>0</v>
      </c>
      <c r="AC67" s="210">
        <f t="shared" si="5"/>
        <v>0</v>
      </c>
      <c r="AD67" s="212" t="str">
        <f>IF(Z67,J67,"")</f>
        <v/>
      </c>
      <c r="AE67" s="210" t="str">
        <f>IF(Z67,L67,"")</f>
        <v/>
      </c>
      <c r="AG67" s="214" t="str">
        <f>IF(AD67&gt;AE67,AB67,"")</f>
        <v/>
      </c>
      <c r="AH67" s="214" t="str">
        <f>IF(AE67="","",IF(AD67=AE67,AB67,""))</f>
        <v/>
      </c>
      <c r="AI67" s="215" t="str">
        <f>IF(AND($AV$72,AD67=0,AE67=20),AB67&amp;"ooo",IF(AD67&lt;AE67,AB67,""))</f>
        <v/>
      </c>
      <c r="AJ67" s="214" t="str">
        <f>IF(AE67&gt;AD67,AC67,"")</f>
        <v/>
      </c>
      <c r="AK67" s="214" t="str">
        <f>IF(AE67="","",IF(AD67=AE67,AC67,""))</f>
        <v/>
      </c>
      <c r="AL67" s="215" t="str">
        <f>IF(AND($AV$72,AD67=20,AE67=0),AC67&amp;"ooo",IF(AD67&gt;AE67,AC67,""))</f>
        <v/>
      </c>
      <c r="AM67" s="216">
        <f>G67</f>
        <v>0</v>
      </c>
      <c r="AO67" s="222">
        <v>1</v>
      </c>
      <c r="AP67" s="222">
        <v>1</v>
      </c>
      <c r="AQ67" s="222">
        <v>1</v>
      </c>
      <c r="AR67" s="222">
        <v>1</v>
      </c>
      <c r="AS67" s="222">
        <v>1</v>
      </c>
      <c r="AT67" s="222">
        <v>1</v>
      </c>
      <c r="AU67" s="222">
        <v>1</v>
      </c>
      <c r="AV67" s="222">
        <v>1</v>
      </c>
      <c r="AW67" s="222">
        <v>1</v>
      </c>
      <c r="AX67" s="222">
        <v>1</v>
      </c>
      <c r="BH67" s="542"/>
      <c r="BJ67" s="245"/>
    </row>
    <row r="68" spans="1:69" ht="13.5" hidden="1" customHeight="1" x14ac:dyDescent="0.2">
      <c r="A68" s="842"/>
      <c r="C68" s="615"/>
      <c r="D68" s="616"/>
      <c r="E68" s="617"/>
      <c r="G68" s="204"/>
      <c r="H68" s="204"/>
      <c r="I68" s="199"/>
      <c r="J68" s="205"/>
      <c r="L68" s="206"/>
      <c r="M68" s="201"/>
      <c r="N68" s="207"/>
      <c r="O68" s="220"/>
      <c r="P68" s="169"/>
      <c r="Q68" s="169"/>
      <c r="R68" s="169"/>
      <c r="S68" s="169"/>
      <c r="Y68" s="210" t="str">
        <f>AB68&amp;AC68</f>
        <v>00</v>
      </c>
      <c r="Z68" s="211" t="b">
        <f>AND(J68&lt;&gt;"",L68&lt;&gt;"")</f>
        <v>0</v>
      </c>
      <c r="AA68" s="210">
        <f t="shared" si="10"/>
        <v>23</v>
      </c>
      <c r="AB68" s="210">
        <f t="shared" si="4"/>
        <v>0</v>
      </c>
      <c r="AC68" s="210">
        <f t="shared" si="5"/>
        <v>0</v>
      </c>
      <c r="AD68" s="212" t="str">
        <f>IF(Z68,J68,"")</f>
        <v/>
      </c>
      <c r="AE68" s="210" t="str">
        <f>IF(Z68,L68,"")</f>
        <v/>
      </c>
      <c r="AG68" s="214" t="str">
        <f>IF(AD68&gt;AE68,AB68,"")</f>
        <v/>
      </c>
      <c r="AH68" s="214" t="str">
        <f>IF(AE68="","",IF(AD68=AE68,AB68,""))</f>
        <v/>
      </c>
      <c r="AI68" s="215" t="str">
        <f>IF(AND($AV$72,AD68=0,AE68=20),AB68&amp;"ooo",IF(AD68&lt;AE68,AB68,""))</f>
        <v/>
      </c>
      <c r="AJ68" s="214" t="str">
        <f>IF(AE68&gt;AD68,AC68,"")</f>
        <v/>
      </c>
      <c r="AK68" s="214" t="str">
        <f>IF(AE68="","",IF(AD68=AE68,AC68,""))</f>
        <v/>
      </c>
      <c r="AL68" s="215" t="str">
        <f>IF(AND($AV$72,AD68=20,AE68=0),AC68&amp;"ooo",IF(AD68&gt;AE68,AC68,""))</f>
        <v/>
      </c>
      <c r="AM68" s="216">
        <f>G68</f>
        <v>0</v>
      </c>
      <c r="BA68" s="221" t="s">
        <v>127</v>
      </c>
      <c r="BB68" s="221" t="s">
        <v>252</v>
      </c>
      <c r="BC68" s="221" t="s">
        <v>253</v>
      </c>
      <c r="BD68" s="221" t="s">
        <v>255</v>
      </c>
      <c r="BE68" s="221" t="s">
        <v>254</v>
      </c>
      <c r="BH68" s="542"/>
      <c r="BJ68" s="245"/>
    </row>
    <row r="69" spans="1:69" ht="13.5" hidden="1" customHeight="1" x14ac:dyDescent="0.2">
      <c r="A69" s="842"/>
      <c r="C69" s="615"/>
      <c r="D69" s="616"/>
      <c r="E69" s="617"/>
      <c r="G69" s="204"/>
      <c r="H69" s="204"/>
      <c r="I69" s="199"/>
      <c r="J69" s="205"/>
      <c r="L69" s="206"/>
      <c r="M69" s="201"/>
      <c r="N69" s="207"/>
      <c r="O69" s="220"/>
      <c r="P69" s="169"/>
      <c r="Q69" s="169"/>
      <c r="R69" s="169"/>
      <c r="S69" s="169"/>
      <c r="Y69" s="210" t="str">
        <f>AB69&amp;AC69</f>
        <v>00</v>
      </c>
      <c r="Z69" s="211" t="b">
        <f>AND(J69&lt;&gt;"",L69&lt;&gt;"")</f>
        <v>0</v>
      </c>
      <c r="AA69" s="210">
        <f t="shared" si="10"/>
        <v>23</v>
      </c>
      <c r="AB69" s="210">
        <f t="shared" si="4"/>
        <v>0</v>
      </c>
      <c r="AC69" s="210">
        <f t="shared" si="5"/>
        <v>0</v>
      </c>
      <c r="AD69" s="212" t="str">
        <f>IF(Z69,J69,"")</f>
        <v/>
      </c>
      <c r="AE69" s="210" t="str">
        <f>IF(Z69,L69,"")</f>
        <v/>
      </c>
      <c r="AG69" s="214" t="str">
        <f>IF(AD69&gt;AE69,AB69,"")</f>
        <v/>
      </c>
      <c r="AH69" s="214" t="str">
        <f>IF(AE69="","",IF(AD69=AE69,AB69,""))</f>
        <v/>
      </c>
      <c r="AI69" s="215" t="str">
        <f>IF(AND($AV$72,AD69=0,AE69=20),AB69&amp;"ooo",IF(AD69&lt;AE69,AB69,""))</f>
        <v/>
      </c>
      <c r="AJ69" s="214" t="str">
        <f>IF(AE69&gt;AD69,AC69,"")</f>
        <v/>
      </c>
      <c r="AK69" s="214" t="str">
        <f>IF(AE69="","",IF(AD69=AE69,AC69,""))</f>
        <v/>
      </c>
      <c r="AL69" s="215" t="str">
        <f>IF(AND($AV$72,AD69=20,AE69=0),AC69&amp;"ooo",IF(AD69&gt;AE69,AC69,""))</f>
        <v/>
      </c>
      <c r="AM69" s="216">
        <f>G69</f>
        <v>0</v>
      </c>
      <c r="AO69" s="239"/>
      <c r="AP69" s="239"/>
      <c r="AQ69" s="239"/>
      <c r="AR69" s="239"/>
      <c r="AS69" s="239"/>
      <c r="AT69" s="239"/>
      <c r="AU69" s="239"/>
      <c r="AV69" s="239"/>
      <c r="AW69" s="239"/>
      <c r="AX69" s="239"/>
      <c r="BA69" s="572">
        <v>7</v>
      </c>
      <c r="BB69" s="572">
        <v>1</v>
      </c>
      <c r="BC69" s="573" t="str">
        <f>CONCATENATE("rank.a",BB69)</f>
        <v>rank.a1</v>
      </c>
      <c r="BD69" s="284">
        <v>11</v>
      </c>
      <c r="BE69" s="573" t="str">
        <f ca="1">IF(OR(BA69="",BB69="",NOT($BJ$57)),0,VLOOKUP(BA69,INDIRECT(BC69),2,FALSE))</f>
        <v>Bakafogó-Honvéd-Sashegy SE</v>
      </c>
      <c r="BG69" s="573" t="str">
        <f>CONCATENATE(ADDRESS(ROW(BH69),COLUMN(BH69)),":",ADDRESS(ROW(BH69)+10-1-COUNTIF(BH69:BH78,"–"),COLUMN(BH69)))</f>
        <v>$BH$69:$BH$73</v>
      </c>
      <c r="BH69" s="575">
        <f>IF(BA69="","–",BD69)</f>
        <v>11</v>
      </c>
      <c r="BJ69" s="245"/>
    </row>
    <row r="70" spans="1:69" ht="13.5" hidden="1" customHeight="1" x14ac:dyDescent="0.2">
      <c r="A70" s="842"/>
      <c r="C70" s="615"/>
      <c r="D70" s="616"/>
      <c r="E70" s="617"/>
      <c r="G70" s="204"/>
      <c r="H70" s="204"/>
      <c r="I70" s="199"/>
      <c r="J70" s="205"/>
      <c r="L70" s="206"/>
      <c r="M70" s="201"/>
      <c r="N70" s="207"/>
      <c r="O70" s="220"/>
      <c r="P70" s="169"/>
      <c r="Q70" s="169"/>
      <c r="R70" s="169"/>
      <c r="S70" s="169"/>
      <c r="Y70" s="210" t="str">
        <f>AB70&amp;AC70</f>
        <v>00</v>
      </c>
      <c r="Z70" s="211" t="b">
        <f>AND(J70&lt;&gt;"",L70&lt;&gt;"")</f>
        <v>0</v>
      </c>
      <c r="AA70" s="210">
        <f t="shared" si="10"/>
        <v>23</v>
      </c>
      <c r="AB70" s="210">
        <f t="shared" si="4"/>
        <v>0</v>
      </c>
      <c r="AC70" s="210">
        <f t="shared" si="5"/>
        <v>0</v>
      </c>
      <c r="AD70" s="212" t="str">
        <f>IF(Z70,J70,"")</f>
        <v/>
      </c>
      <c r="AE70" s="210" t="str">
        <f>IF(Z70,L70,"")</f>
        <v/>
      </c>
      <c r="AG70" s="214" t="str">
        <f>IF(AD70&gt;AE70,AB70,"")</f>
        <v/>
      </c>
      <c r="AH70" s="214" t="str">
        <f>IF(AE70="","",IF(AD70=AE70,AB70,""))</f>
        <v/>
      </c>
      <c r="AI70" s="215" t="str">
        <f>IF(AND($AV$72,AD70=0,AE70=20),AB70&amp;"ooo",IF(AD70&lt;AE70,AB70,""))</f>
        <v/>
      </c>
      <c r="AJ70" s="214" t="str">
        <f>IF(AE70&gt;AD70,AC70,"")</f>
        <v/>
      </c>
      <c r="AK70" s="214" t="str">
        <f>IF(AE70="","",IF(AD70=AE70,AC70,""))</f>
        <v/>
      </c>
      <c r="AL70" s="215" t="str">
        <f>IF(AND($AV$72,AD70=20,AE70=0),AC70&amp;"ooo",IF(AD70&gt;AE70,AC70,""))</f>
        <v/>
      </c>
      <c r="AM70" s="216">
        <f>G70</f>
        <v>0</v>
      </c>
      <c r="AO70" s="239"/>
      <c r="AP70" s="235"/>
      <c r="AQ70" s="236" t="s">
        <v>142</v>
      </c>
      <c r="AR70" s="237"/>
      <c r="AS70" s="578" t="s">
        <v>388</v>
      </c>
      <c r="AU70" s="243" t="s">
        <v>176</v>
      </c>
      <c r="AV70" s="244" t="b">
        <f>ASZ!AW59</f>
        <v>1</v>
      </c>
      <c r="AW70" s="239"/>
      <c r="AX70" s="239"/>
      <c r="BA70" s="572">
        <v>8</v>
      </c>
      <c r="BB70" s="572">
        <v>1</v>
      </c>
      <c r="BC70" s="573" t="str">
        <f t="shared" ref="BC70:BC78" si="12">CONCATENATE("rank.a",BB70)</f>
        <v>rank.a1</v>
      </c>
      <c r="BD70" s="284">
        <v>12</v>
      </c>
      <c r="BE70" s="573" t="str">
        <f t="shared" ref="BE70:BE78" ca="1" si="13">IF(OR(BA70="",BB70="",NOT($BJ$57)),0,VLOOKUP(BA70,INDIRECT(BC70),2,FALSE))</f>
        <v>Vakana</v>
      </c>
      <c r="BH70" s="575">
        <f t="shared" ref="BH70:BH78" si="14">IF(BA70="","–",BD70)</f>
        <v>12</v>
      </c>
      <c r="BJ70" s="245"/>
    </row>
    <row r="71" spans="1:69" ht="13.5" customHeight="1" x14ac:dyDescent="0.2">
      <c r="A71" s="842"/>
      <c r="I71" s="169"/>
      <c r="J71" s="169"/>
      <c r="K71" s="169"/>
      <c r="L71" s="169"/>
      <c r="M71" s="169"/>
      <c r="N71" s="169"/>
      <c r="O71" s="169"/>
      <c r="P71" s="169"/>
      <c r="Q71" s="169"/>
      <c r="R71" s="169"/>
      <c r="S71" s="169"/>
      <c r="Y71" s="229"/>
      <c r="Z71" s="230"/>
      <c r="AA71" s="231"/>
      <c r="AB71" s="231"/>
      <c r="AC71" s="231"/>
      <c r="AD71" s="232"/>
      <c r="AE71" s="231"/>
      <c r="AG71" s="233"/>
      <c r="AH71" s="233"/>
      <c r="AI71" s="234"/>
      <c r="AJ71" s="233"/>
      <c r="AK71" s="233"/>
      <c r="AL71" s="234"/>
      <c r="AM71" s="234"/>
      <c r="AO71" s="239"/>
      <c r="AP71" s="240">
        <f>RTAB!AD62</f>
        <v>23</v>
      </c>
      <c r="AQ71" s="241">
        <v>42298</v>
      </c>
      <c r="AR71" s="252">
        <f ca="1">IF(ASZ!$AS$105&lt;1000,0,IF(AQ71&lt;TODAY(),1000,AP71))</f>
        <v>1000</v>
      </c>
      <c r="AS71" s="240">
        <f ca="1">IF(COUNT(OFFSET($AF$56,MATCH(AP71,index.r,0),-2,14,2))&gt;=4,AP71,-1000)</f>
        <v>23</v>
      </c>
      <c r="AU71" s="243" t="s">
        <v>177</v>
      </c>
      <c r="AV71" s="244" t="b">
        <f>ASZ!AW60</f>
        <v>0</v>
      </c>
      <c r="AW71" s="239"/>
      <c r="AX71" s="239"/>
      <c r="BA71" s="572">
        <v>9</v>
      </c>
      <c r="BB71" s="572">
        <v>1</v>
      </c>
      <c r="BC71" s="573" t="str">
        <f t="shared" si="12"/>
        <v>rank.a1</v>
      </c>
      <c r="BD71" s="284">
        <v>13</v>
      </c>
      <c r="BE71" s="573" t="str">
        <f t="shared" ca="1" si="13"/>
        <v>Carbonász</v>
      </c>
      <c r="BH71" s="575">
        <f t="shared" si="14"/>
        <v>13</v>
      </c>
      <c r="BJ71" s="245"/>
    </row>
    <row r="72" spans="1:69" ht="13.5" customHeight="1" x14ac:dyDescent="0.2">
      <c r="A72" s="842"/>
      <c r="I72" s="170"/>
      <c r="J72" s="171"/>
      <c r="K72" s="171"/>
      <c r="L72" s="171"/>
      <c r="M72" s="170"/>
      <c r="N72" s="172"/>
      <c r="Y72" s="229"/>
      <c r="Z72" s="230"/>
      <c r="AA72" s="231"/>
      <c r="AB72" s="231"/>
      <c r="AC72" s="231"/>
      <c r="AD72" s="232"/>
      <c r="AE72" s="231"/>
      <c r="AG72" s="233"/>
      <c r="AH72" s="233"/>
      <c r="AI72" s="234"/>
      <c r="AJ72" s="233"/>
      <c r="AK72" s="233"/>
      <c r="AL72" s="234"/>
      <c r="AM72" s="234"/>
      <c r="AO72" s="245"/>
      <c r="AP72" s="240">
        <f>AP71+1</f>
        <v>24</v>
      </c>
      <c r="AQ72" s="241">
        <v>42305</v>
      </c>
      <c r="AR72" s="242">
        <f ca="1">IF(AQ72&lt;TODAY(),1000,AP72)</f>
        <v>1000</v>
      </c>
      <c r="AS72" s="240">
        <f ca="1">IF(COUNT(OFFSET($AF$56,MATCH(AP72,index.r,0),-2,14,2))&gt;=4,AP72,-1000)</f>
        <v>24</v>
      </c>
      <c r="AU72" s="243" t="s">
        <v>178</v>
      </c>
      <c r="AV72" s="244" t="b">
        <f>ASZ!AW61</f>
        <v>0</v>
      </c>
      <c r="AW72" s="245"/>
      <c r="AX72" s="245"/>
      <c r="BA72" s="572">
        <v>10</v>
      </c>
      <c r="BB72" s="572">
        <v>1</v>
      </c>
      <c r="BC72" s="573" t="str">
        <f t="shared" si="12"/>
        <v>rank.a1</v>
      </c>
      <c r="BD72" s="284">
        <v>14</v>
      </c>
      <c r="BE72" s="573" t="str">
        <f t="shared" ca="1" si="13"/>
        <v>Bőrdíszmű</v>
      </c>
      <c r="BH72" s="575">
        <f t="shared" si="14"/>
        <v>14</v>
      </c>
      <c r="BJ72" s="245"/>
    </row>
    <row r="73" spans="1:69" ht="13.5" customHeight="1" x14ac:dyDescent="0.2">
      <c r="A73" s="842"/>
      <c r="C73" s="480" t="str">
        <f>CONCATENATE(" ",AF75,"."," FORDULÓ")</f>
        <v xml:space="preserve"> 24. FORDULÓ</v>
      </c>
      <c r="D73" s="544"/>
      <c r="E73" s="544"/>
      <c r="F73" s="544"/>
      <c r="G73" s="544"/>
      <c r="H73" s="544"/>
      <c r="I73" s="843">
        <f>VLOOKUP(AF75,$AP$71:$AR$116,2,FALSE)</f>
        <v>42305</v>
      </c>
      <c r="J73" s="843"/>
      <c r="K73" s="843"/>
      <c r="L73" s="843"/>
      <c r="M73" s="624" t="str">
        <f>CONCATENATE(IF($AV$72,"pont: ","gól: "),SUM(J75:L88)," / átlag: ",TEXT(IF(COUNT(J75:L88)=0,"-",SUM(J75:L88)/COUNT(J75:L88)*2),"0,00"))</f>
        <v>gól: 26 / átlag: 5,20</v>
      </c>
      <c r="N73" s="565"/>
      <c r="O73" s="271" t="s">
        <v>285</v>
      </c>
      <c r="P73" s="169"/>
      <c r="Q73" s="169"/>
      <c r="R73" s="169"/>
      <c r="S73" s="169"/>
      <c r="AA73" s="231"/>
      <c r="AP73" s="240">
        <f>AP72+1</f>
        <v>25</v>
      </c>
      <c r="AQ73" s="241">
        <v>42312</v>
      </c>
      <c r="AR73" s="242">
        <f ca="1">IF(AQ73&lt;TODAY(),1000,AP73)</f>
        <v>1000</v>
      </c>
      <c r="AS73" s="240">
        <f ca="1">IF(COUNT(OFFSET($AF$56,MATCH(AP73,index.r,0),-2,14,2))&gt;=4,AP73,-1000)</f>
        <v>25</v>
      </c>
      <c r="AU73" s="243" t="s">
        <v>179</v>
      </c>
      <c r="AV73" s="244" t="b">
        <f>ASZ!AW62</f>
        <v>0</v>
      </c>
      <c r="AZ73" s="245"/>
      <c r="BA73" s="572">
        <v>11</v>
      </c>
      <c r="BB73" s="572">
        <v>1</v>
      </c>
      <c r="BC73" s="573" t="str">
        <f t="shared" si="12"/>
        <v>rank.a1</v>
      </c>
      <c r="BD73" s="284">
        <v>15</v>
      </c>
      <c r="BE73" s="573" t="str">
        <f t="shared" ca="1" si="13"/>
        <v>Royal Guard's</v>
      </c>
      <c r="BH73" s="575">
        <f t="shared" si="14"/>
        <v>15</v>
      </c>
      <c r="BJ73" s="245"/>
      <c r="BK73" s="245"/>
      <c r="BM73" s="245"/>
      <c r="BN73" s="245"/>
      <c r="BO73" s="245"/>
      <c r="BP73" s="245"/>
      <c r="BQ73" s="245"/>
    </row>
    <row r="74" spans="1:69" ht="21" customHeight="1" x14ac:dyDescent="0.25">
      <c r="A74" s="842"/>
      <c r="I74" s="567"/>
      <c r="K74" s="627" t="s">
        <v>509</v>
      </c>
      <c r="O74" s="169"/>
      <c r="P74" s="169"/>
      <c r="Q74" s="169"/>
      <c r="R74" s="169"/>
      <c r="S74" s="169"/>
      <c r="AA74" s="231"/>
      <c r="AP74" s="240">
        <f>AP73+1</f>
        <v>26</v>
      </c>
      <c r="AQ74" s="241">
        <v>42319</v>
      </c>
      <c r="AR74" s="242">
        <f ca="1">IF(AQ74&lt;TODAY(),1000,AP74)</f>
        <v>1000</v>
      </c>
      <c r="AS74" s="240">
        <f ca="1">IF(COUNT(OFFSET($AF$56,MATCH(AP74,index.r,0),-2,14,2))&gt;=4,AP74,-1000)</f>
        <v>26</v>
      </c>
      <c r="AZ74" s="245"/>
      <c r="BA74" s="572"/>
      <c r="BB74" s="572"/>
      <c r="BC74" s="573" t="str">
        <f t="shared" si="12"/>
        <v>rank.a</v>
      </c>
      <c r="BD74" s="284">
        <v>16</v>
      </c>
      <c r="BE74" s="573">
        <f t="shared" ca="1" si="13"/>
        <v>0</v>
      </c>
      <c r="BH74" s="575" t="str">
        <f t="shared" si="14"/>
        <v>–</v>
      </c>
      <c r="BJ74" s="245"/>
      <c r="BK74" s="245"/>
      <c r="BM74" s="245"/>
      <c r="BN74" s="245"/>
      <c r="BO74" s="245"/>
      <c r="BP74" s="245"/>
      <c r="BQ74" s="245"/>
    </row>
    <row r="75" spans="1:69" ht="13.5" customHeight="1" x14ac:dyDescent="0.2">
      <c r="A75" s="842"/>
      <c r="C75" s="615">
        <v>1</v>
      </c>
      <c r="D75" s="616" t="s">
        <v>247</v>
      </c>
      <c r="E75" s="617">
        <v>5</v>
      </c>
      <c r="G75" s="255">
        <v>42305</v>
      </c>
      <c r="H75" s="255" t="s">
        <v>497</v>
      </c>
      <c r="I75" s="265" t="str">
        <f ca="1">IF(OR(C75="",NOT($BJ$57)),"",VLOOKUP(C75,rsors,2,FALSE))</f>
        <v>BBK</v>
      </c>
      <c r="J75" s="272">
        <v>7</v>
      </c>
      <c r="K75" s="200" t="s">
        <v>247</v>
      </c>
      <c r="L75" s="273">
        <v>2</v>
      </c>
      <c r="M75" s="266" t="str">
        <f ca="1">IF(OR(E75="",NOT($BJ$57)),"",VLOOKUP(E75,rsors,2,FALSE))</f>
        <v>Élelmesek</v>
      </c>
      <c r="N75" s="207"/>
      <c r="O75" s="267"/>
      <c r="P75" s="169"/>
      <c r="Q75" s="169"/>
      <c r="R75" s="169"/>
      <c r="S75" s="169"/>
      <c r="T75" s="209"/>
      <c r="U75" s="209"/>
      <c r="V75" s="209"/>
      <c r="W75" s="209"/>
      <c r="Y75" s="210" t="str">
        <f ca="1">AB75&amp;AC75</f>
        <v>BBKÉlelmesek</v>
      </c>
      <c r="Z75" s="211" t="b">
        <f>AND(J75&lt;&gt;"",L75&lt;&gt;"")</f>
        <v>1</v>
      </c>
      <c r="AA75" s="210">
        <f>AF75</f>
        <v>24</v>
      </c>
      <c r="AB75" s="210" t="str">
        <f ca="1">I75</f>
        <v>BBK</v>
      </c>
      <c r="AC75" s="210" t="str">
        <f ca="1">M75</f>
        <v>Élelmesek</v>
      </c>
      <c r="AD75" s="212">
        <f>IF(Z75,J75,"")</f>
        <v>7</v>
      </c>
      <c r="AE75" s="210">
        <f>IF(Z75,L75,"")</f>
        <v>2</v>
      </c>
      <c r="AF75" s="213">
        <f>AF57+1</f>
        <v>24</v>
      </c>
      <c r="AG75" s="214" t="str">
        <f ca="1">IF(AD75&gt;AE75,AB75,"")</f>
        <v>BBK</v>
      </c>
      <c r="AH75" s="214" t="str">
        <f>IF(AE75="","",IF(AD75=AE75,AB75,""))</f>
        <v/>
      </c>
      <c r="AI75" s="215" t="str">
        <f>IF(AND($AV$72,AD75=0,AE75=20),AB75&amp;"ooo",IF(AD75&lt;AE75,AB75,""))</f>
        <v/>
      </c>
      <c r="AJ75" s="214" t="str">
        <f>IF(AE75&gt;AD75,AC75,"")</f>
        <v/>
      </c>
      <c r="AK75" s="214" t="str">
        <f>IF(AE75="","",IF(AD75=AE75,AC75,""))</f>
        <v/>
      </c>
      <c r="AL75" s="215" t="str">
        <f ca="1">IF(AND($AV$72,AD75=20,AE75=0),AC75&amp;"ooo",IF(AD75&gt;AE75,AC75,""))</f>
        <v>Élelmesek</v>
      </c>
      <c r="AM75" s="216">
        <f>G75</f>
        <v>42305</v>
      </c>
      <c r="AP75" s="240">
        <f>AP74+1</f>
        <v>27</v>
      </c>
      <c r="AQ75" s="241">
        <v>42326</v>
      </c>
      <c r="AR75" s="242">
        <f ca="1">IF(AQ75&lt;TODAY(),1000,AP75)</f>
        <v>1000</v>
      </c>
      <c r="AS75" s="240">
        <f ca="1">IF(COUNT(OFFSET($AF$56,MATCH(AP75,index.r,0),-2,14,2))&gt;=4,AP75,-1000)</f>
        <v>27</v>
      </c>
      <c r="AV75" s="246" t="s">
        <v>383</v>
      </c>
      <c r="BA75" s="572"/>
      <c r="BB75" s="572"/>
      <c r="BC75" s="573" t="str">
        <f t="shared" si="12"/>
        <v>rank.a</v>
      </c>
      <c r="BD75" s="284">
        <v>17</v>
      </c>
      <c r="BE75" s="573">
        <f t="shared" ca="1" si="13"/>
        <v>0</v>
      </c>
      <c r="BH75" s="575" t="str">
        <f t="shared" si="14"/>
        <v>–</v>
      </c>
      <c r="BJ75" s="245"/>
      <c r="BN75" s="625" t="str">
        <f>G75&amp;H75</f>
        <v>4230519:00 – A pálya</v>
      </c>
      <c r="BO75" s="284">
        <f>COUNTIF($BN$57:$BN$142,BN75)</f>
        <v>1</v>
      </c>
      <c r="BP75" s="512" t="str">
        <f ca="1">Y75</f>
        <v>BBKÉlelmesek</v>
      </c>
    </row>
    <row r="76" spans="1:69" ht="13.5" customHeight="1" x14ac:dyDescent="0.2">
      <c r="A76" s="842"/>
      <c r="C76" s="615">
        <v>2</v>
      </c>
      <c r="D76" s="616" t="s">
        <v>247</v>
      </c>
      <c r="E76" s="617">
        <v>4</v>
      </c>
      <c r="G76" s="255">
        <v>42305</v>
      </c>
      <c r="H76" s="255" t="s">
        <v>498</v>
      </c>
      <c r="I76" s="265" t="str">
        <f ca="1">IF(OR(C76="",NOT($BJ$57)),"",VLOOKUP(C76,rsors,2,FALSE))</f>
        <v>K&amp;H</v>
      </c>
      <c r="J76" s="272">
        <v>1</v>
      </c>
      <c r="K76" s="200" t="s">
        <v>247</v>
      </c>
      <c r="L76" s="273">
        <v>5</v>
      </c>
      <c r="M76" s="266" t="str">
        <f ca="1">IF(OR(E76="",NOT($BJ$57)),"",VLOOKUP(E76,rsors,2,FALSE))</f>
        <v>Zrínyigyöngye</v>
      </c>
      <c r="N76" s="207"/>
      <c r="O76" s="268"/>
      <c r="P76" s="169"/>
      <c r="Q76" s="169"/>
      <c r="R76" s="169"/>
      <c r="S76" s="169"/>
      <c r="T76" s="209"/>
      <c r="U76" s="209"/>
      <c r="V76" s="209"/>
      <c r="W76" s="209"/>
      <c r="Y76" s="210" t="str">
        <f ca="1">AB76&amp;AC76</f>
        <v>K&amp;HZrínyigyöngye</v>
      </c>
      <c r="Z76" s="211" t="b">
        <f>AND(J76&lt;&gt;"",L76&lt;&gt;"")</f>
        <v>1</v>
      </c>
      <c r="AA76" s="210">
        <f>AA75</f>
        <v>24</v>
      </c>
      <c r="AB76" s="210" t="str">
        <f ca="1">I76</f>
        <v>K&amp;H</v>
      </c>
      <c r="AC76" s="210" t="str">
        <f ca="1">M76</f>
        <v>Zrínyigyöngye</v>
      </c>
      <c r="AD76" s="212">
        <f>IF(Z76,J76,"")</f>
        <v>1</v>
      </c>
      <c r="AE76" s="210">
        <f>IF(Z76,L76,"")</f>
        <v>5</v>
      </c>
      <c r="AF76" s="213"/>
      <c r="AG76" s="214" t="str">
        <f>IF(AD76&gt;AE76,AB76,"")</f>
        <v/>
      </c>
      <c r="AH76" s="214" t="str">
        <f>IF(AE76="","",IF(AD76=AE76,AB76,""))</f>
        <v/>
      </c>
      <c r="AI76" s="215" t="str">
        <f ca="1">IF(AND($AV$72,AD76=0,AE76=20),AB76&amp;"ooo",IF(AD76&lt;AE76,AB76,""))</f>
        <v>K&amp;H</v>
      </c>
      <c r="AJ76" s="214" t="str">
        <f ca="1">IF(AE76&gt;AD76,AC76,"")</f>
        <v>Zrínyigyöngye</v>
      </c>
      <c r="AK76" s="214" t="str">
        <f>IF(AE76="","",IF(AD76=AE76,AC76,""))</f>
        <v/>
      </c>
      <c r="AL76" s="215" t="str">
        <f>IF(AND($AV$72,AD76=20,AE76=0),AC76&amp;"ooo",IF(AD76&gt;AE76,AC76,""))</f>
        <v/>
      </c>
      <c r="AM76" s="216">
        <f>G76</f>
        <v>42305</v>
      </c>
      <c r="AO76" s="245"/>
      <c r="AP76" s="240"/>
      <c r="AQ76" s="241"/>
      <c r="AR76" s="242"/>
      <c r="AS76" s="240"/>
      <c r="AT76" s="245"/>
      <c r="AU76" s="245"/>
      <c r="AV76" s="221" t="s">
        <v>404</v>
      </c>
      <c r="AW76" s="221" t="s">
        <v>443</v>
      </c>
      <c r="AX76" s="221" t="s">
        <v>444</v>
      </c>
      <c r="BA76" s="572"/>
      <c r="BB76" s="572"/>
      <c r="BC76" s="573" t="str">
        <f t="shared" si="12"/>
        <v>rank.a</v>
      </c>
      <c r="BD76" s="284">
        <v>18</v>
      </c>
      <c r="BE76" s="573">
        <f t="shared" ca="1" si="13"/>
        <v>0</v>
      </c>
      <c r="BH76" s="575" t="str">
        <f t="shared" si="14"/>
        <v>–</v>
      </c>
      <c r="BJ76" s="245"/>
      <c r="BN76" s="625" t="str">
        <f>G76&amp;H76</f>
        <v>4230519:45 – A pálya</v>
      </c>
      <c r="BO76" s="284">
        <f>COUNTIF($BN$57:$BN$142,BN76)</f>
        <v>1</v>
      </c>
      <c r="BP76" s="512" t="str">
        <f ca="1">Y76</f>
        <v>K&amp;HZrínyigyöngye</v>
      </c>
    </row>
    <row r="77" spans="1:69" ht="13.5" customHeight="1" x14ac:dyDescent="0.2">
      <c r="A77" s="842"/>
      <c r="C77" s="615">
        <v>3</v>
      </c>
      <c r="D77" s="616" t="s">
        <v>247</v>
      </c>
      <c r="E77" s="617">
        <v>6</v>
      </c>
      <c r="G77" s="255">
        <v>42305</v>
      </c>
      <c r="H77" s="255" t="s">
        <v>499</v>
      </c>
      <c r="I77" s="265" t="str">
        <f ca="1">IF(OR(C77="",NOT($BJ$57)),"",VLOOKUP(C77,rsors,2,FALSE))</f>
        <v>BHD</v>
      </c>
      <c r="J77" s="272">
        <v>3</v>
      </c>
      <c r="K77" s="200" t="s">
        <v>247</v>
      </c>
      <c r="L77" s="273">
        <v>0</v>
      </c>
      <c r="M77" s="266" t="str">
        <f ca="1">IF(OR(E77="",NOT($BJ$57)),"",VLOOKUP(E77,rsors,2,FALSE))</f>
        <v>Hercules-Ludovika</v>
      </c>
      <c r="N77" s="207"/>
      <c r="O77" s="268"/>
      <c r="P77" s="169"/>
      <c r="Q77" s="169"/>
      <c r="R77" s="169"/>
      <c r="S77" s="169"/>
      <c r="T77" s="209"/>
      <c r="U77" s="209"/>
      <c r="V77" s="209"/>
      <c r="W77" s="209"/>
      <c r="Y77" s="210" t="str">
        <f ca="1">AB77&amp;AC77</f>
        <v>BHDHercules-Ludovika</v>
      </c>
      <c r="Z77" s="211" t="b">
        <f>AND(J77&lt;&gt;"",L77&lt;&gt;"")</f>
        <v>1</v>
      </c>
      <c r="AA77" s="210">
        <f>AA76</f>
        <v>24</v>
      </c>
      <c r="AB77" s="210" t="str">
        <f ca="1">I77</f>
        <v>BHD</v>
      </c>
      <c r="AC77" s="210" t="str">
        <f ca="1">M77</f>
        <v>Hercules-Ludovika</v>
      </c>
      <c r="AD77" s="212">
        <f>IF(Z77,J77,"")</f>
        <v>3</v>
      </c>
      <c r="AE77" s="210">
        <f>IF(Z77,L77,"")</f>
        <v>0</v>
      </c>
      <c r="AF77" s="213"/>
      <c r="AG77" s="214" t="str">
        <f ca="1">IF(AD77&gt;AE77,AB77,"")</f>
        <v>BHD</v>
      </c>
      <c r="AH77" s="214" t="str">
        <f>IF(AE77="","",IF(AD77=AE77,AB77,""))</f>
        <v/>
      </c>
      <c r="AI77" s="215" t="str">
        <f>IF(AND($AV$72,AD77=0,AE77=20),AB77&amp;"ooo",IF(AD77&lt;AE77,AB77,""))</f>
        <v/>
      </c>
      <c r="AJ77" s="214" t="str">
        <f>IF(AE77&gt;AD77,AC77,"")</f>
        <v/>
      </c>
      <c r="AK77" s="214" t="str">
        <f>IF(AE77="","",IF(AD77=AE77,AC77,""))</f>
        <v/>
      </c>
      <c r="AL77" s="215" t="str">
        <f ca="1">IF(AND($AV$72,AD77=20,AE77=0),AC77&amp;"ooo",IF(AD77&gt;AE77,AC77,""))</f>
        <v>Hercules-Ludovika</v>
      </c>
      <c r="AM77" s="216">
        <f>G77</f>
        <v>42305</v>
      </c>
      <c r="AO77" s="245"/>
      <c r="AP77" s="240"/>
      <c r="AQ77" s="241"/>
      <c r="AR77" s="242"/>
      <c r="AS77" s="240"/>
      <c r="AT77" s="245"/>
      <c r="AU77" s="245"/>
      <c r="AV77" s="222">
        <f ca="1">MATCH($AS$118,index.r,0)</f>
        <v>73</v>
      </c>
      <c r="AW77" s="222">
        <f>MATCH(RTAB!$P$43,index.r,0)</f>
        <v>1</v>
      </c>
      <c r="AX77" s="222">
        <f>MATCH(RTAB!$AD$62,index.r,0)</f>
        <v>1</v>
      </c>
      <c r="BA77" s="572"/>
      <c r="BB77" s="572"/>
      <c r="BC77" s="573" t="str">
        <f t="shared" si="12"/>
        <v>rank.a</v>
      </c>
      <c r="BD77" s="284">
        <v>19</v>
      </c>
      <c r="BE77" s="573">
        <f t="shared" ca="1" si="13"/>
        <v>0</v>
      </c>
      <c r="BF77" s="239"/>
      <c r="BG77" s="239"/>
      <c r="BH77" s="575" t="str">
        <f t="shared" si="14"/>
        <v>–</v>
      </c>
      <c r="BI77" s="239"/>
      <c r="BJ77" s="245"/>
      <c r="BN77" s="625" t="str">
        <f>G77&amp;H77</f>
        <v>4230520:30 – A pálya</v>
      </c>
      <c r="BO77" s="284">
        <f>COUNTIF($BN$57:$BN$142,BN77)</f>
        <v>1</v>
      </c>
      <c r="BP77" s="512" t="str">
        <f ca="1">Y77</f>
        <v>BHDHercules-Ludovika</v>
      </c>
    </row>
    <row r="78" spans="1:69" ht="13.5" hidden="1" customHeight="1" x14ac:dyDescent="0.2">
      <c r="A78" s="842"/>
      <c r="C78" s="615"/>
      <c r="D78" s="616"/>
      <c r="E78" s="617"/>
      <c r="G78" s="255"/>
      <c r="H78" s="204"/>
      <c r="I78" s="265"/>
      <c r="J78" s="272"/>
      <c r="L78" s="273"/>
      <c r="M78" s="266"/>
      <c r="N78" s="207"/>
      <c r="O78" s="268"/>
      <c r="P78" s="169"/>
      <c r="Q78" s="169"/>
      <c r="R78" s="169"/>
      <c r="S78" s="169"/>
      <c r="T78" s="209"/>
      <c r="U78" s="209"/>
      <c r="Y78" s="210" t="str">
        <f>AB78&amp;AC78</f>
        <v>00</v>
      </c>
      <c r="Z78" s="211" t="b">
        <f>AND(J78&lt;&gt;"",L78&lt;&gt;"")</f>
        <v>0</v>
      </c>
      <c r="AA78" s="210">
        <f>AA77</f>
        <v>24</v>
      </c>
      <c r="AB78" s="210">
        <f>I78</f>
        <v>0</v>
      </c>
      <c r="AC78" s="210">
        <f>M78</f>
        <v>0</v>
      </c>
      <c r="AD78" s="212" t="str">
        <f>IF(Z78,J78,"")</f>
        <v/>
      </c>
      <c r="AE78" s="210" t="str">
        <f>IF(Z78,L78,"")</f>
        <v/>
      </c>
      <c r="AF78" s="213"/>
      <c r="AG78" s="214" t="str">
        <f>IF(AD78&gt;AE78,AB78,"")</f>
        <v/>
      </c>
      <c r="AH78" s="214" t="str">
        <f>IF(AE78="","",IF(AD78=AE78,AB78,""))</f>
        <v/>
      </c>
      <c r="AI78" s="215" t="str">
        <f>IF(AND($AV$72,AD78=0,AE78=20),AB78&amp;"ooo",IF(AD78&lt;AE78,AB78,""))</f>
        <v/>
      </c>
      <c r="AJ78" s="214" t="str">
        <f>IF(AE78&gt;AD78,AC78,"")</f>
        <v/>
      </c>
      <c r="AK78" s="214" t="str">
        <f>IF(AE78="","",IF(AD78=AE78,AC78,""))</f>
        <v/>
      </c>
      <c r="AL78" s="215" t="str">
        <f>IF(AND($AV$72,AD78=20,AE78=0),AC78&amp;"ooo",IF(AD78&gt;AE78,AC78,""))</f>
        <v/>
      </c>
      <c r="AM78" s="216">
        <f>G78</f>
        <v>0</v>
      </c>
      <c r="AO78" s="245"/>
      <c r="AP78" s="240"/>
      <c r="AQ78" s="241"/>
      <c r="AR78" s="242"/>
      <c r="AS78" s="240"/>
      <c r="AT78" s="245"/>
      <c r="AU78" s="245"/>
      <c r="AV78" s="222">
        <v>-7</v>
      </c>
      <c r="AW78" s="222">
        <v>-7</v>
      </c>
      <c r="AX78" s="222">
        <v>-7</v>
      </c>
      <c r="AZ78" s="245"/>
      <c r="BA78" s="572"/>
      <c r="BB78" s="572"/>
      <c r="BC78" s="573" t="str">
        <f t="shared" si="12"/>
        <v>rank.a</v>
      </c>
      <c r="BD78" s="284">
        <v>20</v>
      </c>
      <c r="BE78" s="573">
        <f t="shared" ca="1" si="13"/>
        <v>0</v>
      </c>
      <c r="BF78" s="239"/>
      <c r="BG78" s="239"/>
      <c r="BH78" s="575" t="str">
        <f t="shared" si="14"/>
        <v>–</v>
      </c>
      <c r="BI78" s="239"/>
      <c r="BJ78" s="245"/>
      <c r="BK78" s="245"/>
      <c r="BM78" s="245"/>
      <c r="BQ78" s="245"/>
    </row>
    <row r="79" spans="1:69" ht="21" customHeight="1" x14ac:dyDescent="0.25">
      <c r="A79" s="842"/>
      <c r="C79" s="618"/>
      <c r="D79" s="618"/>
      <c r="E79" s="618"/>
      <c r="G79" s="576"/>
      <c r="H79" s="576"/>
      <c r="I79" s="567"/>
      <c r="K79" s="627" t="s">
        <v>510</v>
      </c>
      <c r="N79" s="223"/>
      <c r="O79" s="169"/>
      <c r="P79" s="169"/>
      <c r="Q79" s="169"/>
      <c r="R79" s="169"/>
      <c r="S79" s="169"/>
      <c r="T79" s="209"/>
      <c r="U79" s="209"/>
      <c r="V79" s="209"/>
      <c r="W79" s="209"/>
      <c r="Y79" s="229"/>
      <c r="Z79" s="230"/>
      <c r="AA79" s="231"/>
      <c r="AB79" s="231"/>
      <c r="AC79" s="231"/>
      <c r="AD79" s="232"/>
      <c r="AE79" s="231"/>
      <c r="AG79" s="233"/>
      <c r="AH79" s="233"/>
      <c r="AI79" s="234"/>
      <c r="AJ79" s="233"/>
      <c r="AK79" s="233"/>
      <c r="AL79" s="234"/>
      <c r="AM79" s="234"/>
      <c r="AO79" s="245"/>
      <c r="AP79" s="240"/>
      <c r="AQ79" s="241"/>
      <c r="AR79" s="242"/>
      <c r="AS79" s="240"/>
      <c r="AT79" s="245"/>
      <c r="AU79" s="245"/>
      <c r="AV79" s="222">
        <v>14</v>
      </c>
      <c r="AW79" s="222">
        <f>MATCH(RTAB!$R$43,index.r,0)+14-AW77</f>
        <v>86</v>
      </c>
      <c r="AX79" s="222">
        <f>MATCH(RTAB!$R$43-1,index.r,0)+14-AX77</f>
        <v>68</v>
      </c>
      <c r="AZ79" s="245"/>
      <c r="BA79" s="283"/>
      <c r="BB79" s="283"/>
      <c r="BC79" s="239"/>
      <c r="BD79" s="283"/>
      <c r="BE79" s="239"/>
      <c r="BF79" s="239"/>
      <c r="BG79" s="239"/>
      <c r="BH79" s="283"/>
      <c r="BI79" s="239"/>
      <c r="BJ79" s="245"/>
      <c r="BK79" s="245"/>
      <c r="BM79" s="245"/>
      <c r="BQ79" s="245"/>
    </row>
    <row r="80" spans="1:69" ht="13.5" customHeight="1" x14ac:dyDescent="0.2">
      <c r="A80" s="842"/>
      <c r="C80" s="615">
        <v>11</v>
      </c>
      <c r="D80" s="616" t="s">
        <v>247</v>
      </c>
      <c r="E80" s="617">
        <v>15</v>
      </c>
      <c r="G80" s="204">
        <v>42305</v>
      </c>
      <c r="H80" s="255" t="s">
        <v>500</v>
      </c>
      <c r="I80" s="265" t="str">
        <f ca="1">IF(OR(C80="",NOT($BJ$57)),"",VLOOKUP(C80,rsors,2,FALSE))</f>
        <v>Bakafogó-Honvéd-Sashegy SE</v>
      </c>
      <c r="J80" s="272">
        <v>2</v>
      </c>
      <c r="K80" s="200" t="s">
        <v>247</v>
      </c>
      <c r="L80" s="273">
        <v>2</v>
      </c>
      <c r="M80" s="266" t="str">
        <f ca="1">IF(OR(E80="",NOT($BJ$57)),"",VLOOKUP(E80,rsors,2,FALSE))</f>
        <v>Royal Guard's</v>
      </c>
      <c r="N80" s="207"/>
      <c r="O80" s="267"/>
      <c r="P80" s="169"/>
      <c r="Q80" s="169"/>
      <c r="R80" s="169"/>
      <c r="S80" s="169"/>
      <c r="Y80" s="210" t="str">
        <f ca="1">AB80&amp;AC80</f>
        <v>Bakafogó-Honvéd-Sashegy SERoyal Guard's</v>
      </c>
      <c r="Z80" s="211" t="b">
        <f>AND(J80&lt;&gt;"",L80&lt;&gt;"")</f>
        <v>1</v>
      </c>
      <c r="AA80" s="210">
        <f>AA78</f>
        <v>24</v>
      </c>
      <c r="AB80" s="210" t="str">
        <f ca="1">I80</f>
        <v>Bakafogó-Honvéd-Sashegy SE</v>
      </c>
      <c r="AC80" s="210" t="str">
        <f ca="1">M80</f>
        <v>Royal Guard's</v>
      </c>
      <c r="AD80" s="212">
        <f>IF(Z80,J80,"")</f>
        <v>2</v>
      </c>
      <c r="AE80" s="210">
        <f>IF(Z80,L80,"")</f>
        <v>2</v>
      </c>
      <c r="AG80" s="214" t="str">
        <f>IF(AD80&gt;AE80,AB80,"")</f>
        <v/>
      </c>
      <c r="AH80" s="214" t="str">
        <f ca="1">IF(AE80="","",IF(AD80=AE80,AB80,""))</f>
        <v>Bakafogó-Honvéd-Sashegy SE</v>
      </c>
      <c r="AI80" s="215" t="str">
        <f>IF(AND($AV$72,AD80=0,AE80=20),AB80&amp;"ooo",IF(AD80&lt;AE80,AB80,""))</f>
        <v/>
      </c>
      <c r="AJ80" s="214" t="str">
        <f>IF(AE80&gt;AD80,AC80,"")</f>
        <v/>
      </c>
      <c r="AK80" s="214" t="str">
        <f ca="1">IF(AE80="","",IF(AD80=AE80,AC80,""))</f>
        <v>Royal Guard's</v>
      </c>
      <c r="AL80" s="215" t="str">
        <f>IF(AND($AV$72,AD80=20,AE80=0),AC80&amp;"ooo",IF(AD80&gt;AE80,AC80,""))</f>
        <v/>
      </c>
      <c r="AM80" s="216">
        <f>G80</f>
        <v>42305</v>
      </c>
      <c r="AO80" s="245"/>
      <c r="AP80" s="240"/>
      <c r="AQ80" s="241"/>
      <c r="AR80" s="242"/>
      <c r="AS80" s="240"/>
      <c r="AT80" s="245"/>
      <c r="AU80" s="245"/>
      <c r="AV80" s="222">
        <v>14</v>
      </c>
      <c r="AW80" s="222">
        <v>1</v>
      </c>
      <c r="AX80" s="222">
        <v>1</v>
      </c>
      <c r="AZ80" s="245"/>
      <c r="BA80" s="221" t="s">
        <v>127</v>
      </c>
      <c r="BB80" s="221" t="s">
        <v>252</v>
      </c>
      <c r="BC80" s="221" t="s">
        <v>253</v>
      </c>
      <c r="BD80" s="221" t="s">
        <v>255</v>
      </c>
      <c r="BE80" s="221" t="s">
        <v>360</v>
      </c>
      <c r="BF80" s="239"/>
      <c r="BG80" s="239"/>
      <c r="BH80" s="283"/>
      <c r="BI80" s="239"/>
      <c r="BJ80" s="245"/>
      <c r="BK80" s="245"/>
      <c r="BM80" s="245"/>
      <c r="BN80" s="625" t="str">
        <f>G80&amp;H80</f>
        <v>4230519:00 – B pálya</v>
      </c>
      <c r="BO80" s="284">
        <f>COUNTIF($BN$57:$BN$142,BN80)</f>
        <v>1</v>
      </c>
      <c r="BP80" s="512" t="str">
        <f ca="1">Y80</f>
        <v>Bakafogó-Honvéd-Sashegy SERoyal Guard's</v>
      </c>
      <c r="BQ80" s="245"/>
    </row>
    <row r="81" spans="1:69" ht="13.5" customHeight="1" x14ac:dyDescent="0.2">
      <c r="A81" s="842"/>
      <c r="C81" s="615">
        <v>12</v>
      </c>
      <c r="D81" s="616" t="s">
        <v>247</v>
      </c>
      <c r="E81" s="617">
        <v>14</v>
      </c>
      <c r="G81" s="204">
        <v>42305</v>
      </c>
      <c r="H81" s="255" t="s">
        <v>501</v>
      </c>
      <c r="I81" s="265" t="str">
        <f ca="1">IF(OR(C81="",NOT($BJ$57)),"",VLOOKUP(C81,rsors,2,FALSE))</f>
        <v>Vakana</v>
      </c>
      <c r="J81" s="272">
        <v>3</v>
      </c>
      <c r="K81" s="200" t="s">
        <v>247</v>
      </c>
      <c r="L81" s="273">
        <v>1</v>
      </c>
      <c r="M81" s="266" t="str">
        <f ca="1">IF(OR(E81="",NOT($BJ$57)),"",VLOOKUP(E81,rsors,2,FALSE))</f>
        <v>Bőrdíszmű</v>
      </c>
      <c r="N81" s="207"/>
      <c r="O81" s="268"/>
      <c r="P81" s="169"/>
      <c r="Q81" s="169"/>
      <c r="R81" s="169"/>
      <c r="S81" s="169"/>
      <c r="Y81" s="210" t="str">
        <f ca="1">AB81&amp;AC81</f>
        <v>VakanaBőrdíszmű</v>
      </c>
      <c r="Z81" s="211" t="b">
        <f>AND(J81&lt;&gt;"",L81&lt;&gt;"")</f>
        <v>1</v>
      </c>
      <c r="AA81" s="210">
        <f>AA80</f>
        <v>24</v>
      </c>
      <c r="AB81" s="210" t="str">
        <f ca="1">I81</f>
        <v>Vakana</v>
      </c>
      <c r="AC81" s="210" t="str">
        <f ca="1">M81</f>
        <v>Bőrdíszmű</v>
      </c>
      <c r="AD81" s="212">
        <f>IF(Z81,J81,"")</f>
        <v>3</v>
      </c>
      <c r="AE81" s="210">
        <f>IF(Z81,L81,"")</f>
        <v>1</v>
      </c>
      <c r="AG81" s="214" t="str">
        <f ca="1">IF(AD81&gt;AE81,AB81,"")</f>
        <v>Vakana</v>
      </c>
      <c r="AH81" s="214" t="str">
        <f>IF(AE81="","",IF(AD81=AE81,AB81,""))</f>
        <v/>
      </c>
      <c r="AI81" s="215" t="str">
        <f>IF(AND($AV$72,AD81=0,AE81=20),AB81&amp;"ooo",IF(AD81&lt;AE81,AB81,""))</f>
        <v/>
      </c>
      <c r="AJ81" s="214" t="str">
        <f>IF(AE81&gt;AD81,AC81,"")</f>
        <v/>
      </c>
      <c r="AK81" s="214" t="str">
        <f>IF(AE81="","",IF(AD81=AE81,AC81,""))</f>
        <v/>
      </c>
      <c r="AL81" s="215" t="str">
        <f ca="1">IF(AND($AV$72,AD81=20,AE81=0),AC81&amp;"ooo",IF(AD81&gt;AE81,AC81,""))</f>
        <v>Bőrdíszmű</v>
      </c>
      <c r="AM81" s="216">
        <f>G81</f>
        <v>42305</v>
      </c>
      <c r="AO81" s="245"/>
      <c r="AP81" s="240"/>
      <c r="AQ81" s="241"/>
      <c r="AR81" s="242"/>
      <c r="AS81" s="240"/>
      <c r="AT81" s="245"/>
      <c r="AU81" s="245"/>
      <c r="AV81" s="245"/>
      <c r="AW81" s="245"/>
      <c r="AX81" s="245"/>
      <c r="AZ81" s="245"/>
      <c r="BA81" s="572"/>
      <c r="BB81" s="572"/>
      <c r="BC81" s="573" t="str">
        <f>CONCATENATE("rank.a",BB81)</f>
        <v>rank.a</v>
      </c>
      <c r="BD81" s="284">
        <v>21</v>
      </c>
      <c r="BE81" s="573">
        <f ca="1">IF(OR(BA81="",BB81="",NOT($BJ$57)),0,VLOOKUP(BA81,INDIRECT(BC81),2,FALSE))</f>
        <v>0</v>
      </c>
      <c r="BF81" s="239"/>
      <c r="BG81" s="285" t="str">
        <f>CONCATENATE(ADDRESS(ROW(BH81),COLUMN(BH81)),":",ADDRESS(ROW(BH81)+10-1-COUNTIF(BH81:BH90,"–"),COLUMN(BH81)))</f>
        <v>$BH$81:$BH$80</v>
      </c>
      <c r="BH81" s="575" t="str">
        <f>IF(BA81="","–",BD81)</f>
        <v>–</v>
      </c>
      <c r="BI81" s="239"/>
      <c r="BJ81" s="245"/>
      <c r="BK81" s="245"/>
      <c r="BM81" s="245"/>
      <c r="BN81" s="625" t="str">
        <f>G81&amp;H81</f>
        <v>4230519:45 – B pálya</v>
      </c>
      <c r="BO81" s="284">
        <f>COUNTIF($BN$57:$BN$142,BN81)</f>
        <v>1</v>
      </c>
      <c r="BP81" s="512" t="str">
        <f ca="1">Y81</f>
        <v>VakanaBőrdíszmű</v>
      </c>
      <c r="BQ81" s="245"/>
    </row>
    <row r="82" spans="1:69" ht="13.5" customHeight="1" x14ac:dyDescent="0.25">
      <c r="A82" s="842"/>
      <c r="C82" s="615">
        <v>13</v>
      </c>
      <c r="D82" s="616" t="s">
        <v>247</v>
      </c>
      <c r="E82" s="617"/>
      <c r="G82" s="576"/>
      <c r="H82" s="576"/>
      <c r="I82" s="275" t="str">
        <f ca="1">IF(OR(C82="",NOT($BJ$57)),"",VLOOKUP(C82,rsors,2,FALSE))</f>
        <v>Carbonász</v>
      </c>
      <c r="J82" s="628"/>
      <c r="K82" s="577"/>
      <c r="L82" s="628"/>
      <c r="M82" s="277" t="str">
        <f ca="1">IF(I82="","","szabadnapos")</f>
        <v>szabadnapos</v>
      </c>
      <c r="N82" s="207"/>
      <c r="O82" s="268"/>
      <c r="P82" s="169"/>
      <c r="Q82" s="169"/>
      <c r="R82" s="169"/>
      <c r="S82" s="169"/>
      <c r="Y82" s="210" t="str">
        <f ca="1">AB82&amp;AC82</f>
        <v>Carbonászszabadnapos</v>
      </c>
      <c r="Z82" s="211" t="b">
        <f>AND(J82&lt;&gt;"",L82&lt;&gt;"")</f>
        <v>0</v>
      </c>
      <c r="AA82" s="210">
        <f>AA81</f>
        <v>24</v>
      </c>
      <c r="AB82" s="210" t="str">
        <f ca="1">I82</f>
        <v>Carbonász</v>
      </c>
      <c r="AC82" s="210" t="str">
        <f ca="1">M82</f>
        <v>szabadnapos</v>
      </c>
      <c r="AD82" s="212" t="str">
        <f>IF(Z82,J82,"")</f>
        <v/>
      </c>
      <c r="AE82" s="210" t="str">
        <f>IF(Z82,L82,"")</f>
        <v/>
      </c>
      <c r="AG82" s="214" t="str">
        <f>IF(AD82&gt;AE82,AB82,"")</f>
        <v/>
      </c>
      <c r="AH82" s="214" t="str">
        <f>IF(AE82="","",IF(AD82=AE82,AB82,""))</f>
        <v/>
      </c>
      <c r="AI82" s="215" t="str">
        <f>IF(AND($AV$72,AD82=0,AE82=20),AB82&amp;"ooo",IF(AD82&lt;AE82,AB82,""))</f>
        <v/>
      </c>
      <c r="AJ82" s="214" t="str">
        <f>IF(AE82&gt;AD82,AC82,"")</f>
        <v/>
      </c>
      <c r="AK82" s="214" t="str">
        <f>IF(AE82="","",IF(AD82=AE82,AC82,""))</f>
        <v/>
      </c>
      <c r="AL82" s="215" t="str">
        <f>IF(AND($AV$72,AD82=20,AE82=0),AC82&amp;"ooo",IF(AD82&gt;AE82,AC82,""))</f>
        <v/>
      </c>
      <c r="AM82" s="750">
        <f>AM75</f>
        <v>42305</v>
      </c>
      <c r="AO82" s="245"/>
      <c r="AP82" s="240"/>
      <c r="AQ82" s="241"/>
      <c r="AR82" s="242"/>
      <c r="AS82" s="240"/>
      <c r="AT82" s="245"/>
      <c r="AU82" s="245"/>
      <c r="AV82" s="245"/>
      <c r="AW82" s="245"/>
      <c r="AX82" s="245"/>
      <c r="AZ82" s="245"/>
      <c r="BA82" s="572"/>
      <c r="BB82" s="572"/>
      <c r="BC82" s="573" t="str">
        <f t="shared" ref="BC82:BC90" si="15">CONCATENATE("rank.a",BB82)</f>
        <v>rank.a</v>
      </c>
      <c r="BD82" s="284">
        <v>22</v>
      </c>
      <c r="BE82" s="573">
        <f t="shared" ref="BE82:BE90" ca="1" si="16">IF(OR(BA82="",BB82="",NOT($BJ$57)),0,VLOOKUP(BA82,INDIRECT(BC82),2,FALSE))</f>
        <v>0</v>
      </c>
      <c r="BF82" s="239"/>
      <c r="BH82" s="575" t="str">
        <f t="shared" ref="BH82:BH90" si="17">IF(BA82="","–",BD82)</f>
        <v>–</v>
      </c>
      <c r="BI82" s="239"/>
      <c r="BJ82" s="245"/>
      <c r="BK82" s="245"/>
      <c r="BM82" s="245"/>
      <c r="BN82" s="245"/>
      <c r="BO82" s="245"/>
      <c r="BP82" s="245"/>
      <c r="BQ82" s="245"/>
    </row>
    <row r="83" spans="1:69" ht="13.5" hidden="1" customHeight="1" x14ac:dyDescent="0.2">
      <c r="A83" s="842"/>
      <c r="C83" s="615"/>
      <c r="D83" s="616"/>
      <c r="E83" s="617"/>
      <c r="G83" s="204"/>
      <c r="H83" s="204"/>
      <c r="I83" s="265"/>
      <c r="J83" s="272"/>
      <c r="L83" s="273"/>
      <c r="M83" s="266"/>
      <c r="N83" s="207"/>
      <c r="O83" s="268"/>
      <c r="P83" s="169"/>
      <c r="Q83" s="169"/>
      <c r="R83" s="169"/>
      <c r="S83" s="169"/>
      <c r="Y83" s="210" t="str">
        <f>AB83&amp;AC83</f>
        <v>00</v>
      </c>
      <c r="Z83" s="211" t="b">
        <f>AND(J83&lt;&gt;"",L83&lt;&gt;"")</f>
        <v>0</v>
      </c>
      <c r="AA83" s="210">
        <f>AA82</f>
        <v>24</v>
      </c>
      <c r="AB83" s="210">
        <f>I83</f>
        <v>0</v>
      </c>
      <c r="AC83" s="210">
        <f>M83</f>
        <v>0</v>
      </c>
      <c r="AD83" s="212" t="str">
        <f>IF(Z83,J83,"")</f>
        <v/>
      </c>
      <c r="AE83" s="210" t="str">
        <f>IF(Z83,L83,"")</f>
        <v/>
      </c>
      <c r="AG83" s="214" t="str">
        <f>IF(AD83&gt;AE83,AB83,"")</f>
        <v/>
      </c>
      <c r="AH83" s="214" t="str">
        <f>IF(AE83="","",IF(AD83=AE83,AB83,""))</f>
        <v/>
      </c>
      <c r="AI83" s="215" t="str">
        <f>IF(AND($AV$72,AD83=0,AE83=20),AB83&amp;"ooo",IF(AD83&lt;AE83,AB83,""))</f>
        <v/>
      </c>
      <c r="AJ83" s="214" t="str">
        <f>IF(AE83&gt;AD83,AC83,"")</f>
        <v/>
      </c>
      <c r="AK83" s="214" t="str">
        <f>IF(AE83="","",IF(AD83=AE83,AC83,""))</f>
        <v/>
      </c>
      <c r="AL83" s="215" t="str">
        <f>IF(AND($AV$72,AD83=20,AE83=0),AC83&amp;"ooo",IF(AD83&gt;AE83,AC83,""))</f>
        <v/>
      </c>
      <c r="AM83" s="216">
        <f>G83</f>
        <v>0</v>
      </c>
      <c r="AO83" s="245"/>
      <c r="AP83" s="240"/>
      <c r="AQ83" s="241"/>
      <c r="AR83" s="242"/>
      <c r="AS83" s="240"/>
      <c r="AT83" s="245"/>
      <c r="AU83" s="245"/>
      <c r="AV83" s="245"/>
      <c r="AW83" s="245"/>
      <c r="AX83" s="245"/>
      <c r="AZ83" s="245"/>
      <c r="BA83" s="572"/>
      <c r="BB83" s="572"/>
      <c r="BC83" s="573" t="str">
        <f t="shared" si="15"/>
        <v>rank.a</v>
      </c>
      <c r="BD83" s="284">
        <v>23</v>
      </c>
      <c r="BE83" s="573">
        <f t="shared" ca="1" si="16"/>
        <v>0</v>
      </c>
      <c r="BF83" s="239"/>
      <c r="BH83" s="575" t="str">
        <f t="shared" si="17"/>
        <v>–</v>
      </c>
      <c r="BI83" s="239"/>
      <c r="BJ83" s="245"/>
      <c r="BK83" s="245"/>
      <c r="BM83" s="245"/>
      <c r="BN83" s="245"/>
      <c r="BO83" s="245"/>
      <c r="BP83" s="245"/>
      <c r="BQ83" s="245"/>
    </row>
    <row r="84" spans="1:69" ht="21" hidden="1" customHeight="1" x14ac:dyDescent="0.2">
      <c r="A84" s="842"/>
      <c r="G84" s="576"/>
      <c r="H84" s="576"/>
      <c r="I84" s="567"/>
      <c r="K84" s="568"/>
      <c r="N84" s="169"/>
      <c r="O84" s="169"/>
      <c r="P84" s="169"/>
      <c r="Q84" s="169"/>
      <c r="R84" s="169"/>
      <c r="S84" s="169"/>
      <c r="Y84" s="229"/>
      <c r="Z84" s="230"/>
      <c r="AA84" s="231"/>
      <c r="AB84" s="231"/>
      <c r="AC84" s="231"/>
      <c r="AD84" s="232"/>
      <c r="AE84" s="231"/>
      <c r="AG84" s="233"/>
      <c r="AH84" s="233"/>
      <c r="AI84" s="234"/>
      <c r="AJ84" s="233"/>
      <c r="AK84" s="233"/>
      <c r="AL84" s="234"/>
      <c r="AM84" s="234"/>
      <c r="AO84" s="245"/>
      <c r="AP84" s="240"/>
      <c r="AQ84" s="241"/>
      <c r="AR84" s="242"/>
      <c r="AS84" s="240"/>
      <c r="AT84" s="245"/>
      <c r="AU84" s="245"/>
      <c r="AV84" s="245"/>
      <c r="AW84" s="245"/>
      <c r="AX84" s="245"/>
      <c r="AZ84" s="245"/>
      <c r="BA84" s="572"/>
      <c r="BB84" s="572"/>
      <c r="BC84" s="573" t="str">
        <f t="shared" si="15"/>
        <v>rank.a</v>
      </c>
      <c r="BD84" s="284">
        <v>24</v>
      </c>
      <c r="BE84" s="573">
        <f t="shared" ca="1" si="16"/>
        <v>0</v>
      </c>
      <c r="BF84" s="239"/>
      <c r="BH84" s="575" t="str">
        <f t="shared" si="17"/>
        <v>–</v>
      </c>
      <c r="BI84" s="239"/>
      <c r="BJ84" s="245"/>
      <c r="BK84" s="245"/>
      <c r="BM84" s="245"/>
      <c r="BN84" s="245"/>
      <c r="BO84" s="245"/>
      <c r="BP84" s="245"/>
      <c r="BQ84" s="245"/>
    </row>
    <row r="85" spans="1:69" ht="13.5" hidden="1" customHeight="1" x14ac:dyDescent="0.2">
      <c r="A85" s="842"/>
      <c r="C85" s="569"/>
      <c r="D85" s="570"/>
      <c r="E85" s="571"/>
      <c r="G85" s="204"/>
      <c r="H85" s="204"/>
      <c r="I85" s="199"/>
      <c r="J85" s="205"/>
      <c r="L85" s="206"/>
      <c r="M85" s="201"/>
      <c r="N85" s="207"/>
      <c r="O85" s="208"/>
      <c r="P85" s="169"/>
      <c r="Q85" s="169"/>
      <c r="R85" s="169"/>
      <c r="S85" s="169"/>
      <c r="Y85" s="210" t="str">
        <f>AB85&amp;AC85</f>
        <v>00</v>
      </c>
      <c r="Z85" s="211" t="b">
        <f>AND(J85&lt;&gt;"",L85&lt;&gt;"")</f>
        <v>0</v>
      </c>
      <c r="AA85" s="210">
        <f>AA83</f>
        <v>24</v>
      </c>
      <c r="AB85" s="210">
        <f>I85</f>
        <v>0</v>
      </c>
      <c r="AC85" s="210">
        <f>M85</f>
        <v>0</v>
      </c>
      <c r="AD85" s="212" t="str">
        <f>IF(Z85,J85,"")</f>
        <v/>
      </c>
      <c r="AE85" s="210" t="str">
        <f>IF(Z85,L85,"")</f>
        <v/>
      </c>
      <c r="AG85" s="214" t="str">
        <f>IF(AD85&gt;AE85,AB85,"")</f>
        <v/>
      </c>
      <c r="AH85" s="214" t="str">
        <f>IF(AE85="","",IF(AD85=AE85,AB85,""))</f>
        <v/>
      </c>
      <c r="AI85" s="215" t="str">
        <f>IF(AND($AV$72,AD85=0,AE85=20),AB85&amp;"ooo",IF(AD85&lt;AE85,AB85,""))</f>
        <v/>
      </c>
      <c r="AJ85" s="214" t="str">
        <f>IF(AE85&gt;AD85,AC85,"")</f>
        <v/>
      </c>
      <c r="AK85" s="214" t="str">
        <f>IF(AE85="","",IF(AD85=AE85,AC85,""))</f>
        <v/>
      </c>
      <c r="AL85" s="215" t="str">
        <f>IF(AND($AV$72,AD85=20,AE85=0),AC85&amp;"ooo",IF(AD85&gt;AE85,AC85,""))</f>
        <v/>
      </c>
      <c r="AM85" s="216">
        <f>G85</f>
        <v>0</v>
      </c>
      <c r="AP85" s="240"/>
      <c r="AQ85" s="241"/>
      <c r="AR85" s="242"/>
      <c r="AS85" s="240"/>
      <c r="AZ85" s="245"/>
      <c r="BA85" s="572"/>
      <c r="BB85" s="572"/>
      <c r="BC85" s="573" t="str">
        <f t="shared" si="15"/>
        <v>rank.a</v>
      </c>
      <c r="BD85" s="284">
        <v>25</v>
      </c>
      <c r="BE85" s="573">
        <f t="shared" ca="1" si="16"/>
        <v>0</v>
      </c>
      <c r="BF85" s="239"/>
      <c r="BG85" s="239"/>
      <c r="BH85" s="575" t="str">
        <f t="shared" si="17"/>
        <v>–</v>
      </c>
      <c r="BI85" s="239"/>
      <c r="BJ85" s="245"/>
      <c r="BK85" s="245"/>
      <c r="BM85" s="245"/>
      <c r="BN85" s="245"/>
      <c r="BO85" s="245"/>
      <c r="BP85" s="245"/>
      <c r="BQ85" s="245"/>
    </row>
    <row r="86" spans="1:69" ht="13.5" hidden="1" customHeight="1" x14ac:dyDescent="0.2">
      <c r="A86" s="842"/>
      <c r="C86" s="569"/>
      <c r="D86" s="570"/>
      <c r="E86" s="571"/>
      <c r="G86" s="204"/>
      <c r="H86" s="204"/>
      <c r="I86" s="199"/>
      <c r="J86" s="205"/>
      <c r="L86" s="206"/>
      <c r="M86" s="201"/>
      <c r="N86" s="207"/>
      <c r="O86" s="220"/>
      <c r="P86" s="169"/>
      <c r="Q86" s="169"/>
      <c r="R86" s="169"/>
      <c r="S86" s="169"/>
      <c r="Y86" s="210" t="str">
        <f>AB86&amp;AC86</f>
        <v>00</v>
      </c>
      <c r="Z86" s="211" t="b">
        <f>AND(J86&lt;&gt;"",L86&lt;&gt;"")</f>
        <v>0</v>
      </c>
      <c r="AA86" s="210">
        <f>AA85</f>
        <v>24</v>
      </c>
      <c r="AB86" s="210">
        <f>I86</f>
        <v>0</v>
      </c>
      <c r="AC86" s="210">
        <f>M86</f>
        <v>0</v>
      </c>
      <c r="AD86" s="212" t="str">
        <f>IF(Z86,J86,"")</f>
        <v/>
      </c>
      <c r="AE86" s="210" t="str">
        <f>IF(Z86,L86,"")</f>
        <v/>
      </c>
      <c r="AG86" s="214" t="str">
        <f>IF(AD86&gt;AE86,AB86,"")</f>
        <v/>
      </c>
      <c r="AH86" s="214" t="str">
        <f>IF(AE86="","",IF(AD86=AE86,AB86,""))</f>
        <v/>
      </c>
      <c r="AI86" s="215" t="str">
        <f>IF(AND($AV$72,AD86=0,AE86=20),AB86&amp;"ooo",IF(AD86&lt;AE86,AB86,""))</f>
        <v/>
      </c>
      <c r="AJ86" s="214" t="str">
        <f>IF(AE86&gt;AD86,AC86,"")</f>
        <v/>
      </c>
      <c r="AK86" s="214" t="str">
        <f>IF(AE86="","",IF(AD86=AE86,AC86,""))</f>
        <v/>
      </c>
      <c r="AL86" s="215" t="str">
        <f>IF(AND($AV$72,AD86=20,AE86=0),AC86&amp;"ooo",IF(AD86&gt;AE86,AC86,""))</f>
        <v/>
      </c>
      <c r="AM86" s="216">
        <f>G86</f>
        <v>0</v>
      </c>
      <c r="AP86" s="240"/>
      <c r="AQ86" s="241"/>
      <c r="AR86" s="242"/>
      <c r="AS86" s="240"/>
      <c r="AZ86" s="245"/>
      <c r="BA86" s="572"/>
      <c r="BB86" s="572"/>
      <c r="BC86" s="573" t="str">
        <f t="shared" si="15"/>
        <v>rank.a</v>
      </c>
      <c r="BD86" s="284">
        <v>26</v>
      </c>
      <c r="BE86" s="573">
        <f t="shared" ca="1" si="16"/>
        <v>0</v>
      </c>
      <c r="BF86" s="239"/>
      <c r="BH86" s="575" t="str">
        <f t="shared" si="17"/>
        <v>–</v>
      </c>
      <c r="BI86" s="239"/>
      <c r="BJ86" s="245"/>
      <c r="BK86" s="245"/>
      <c r="BM86" s="245"/>
      <c r="BN86" s="245"/>
      <c r="BO86" s="245"/>
      <c r="BP86" s="245"/>
      <c r="BQ86" s="245"/>
    </row>
    <row r="87" spans="1:69" ht="13.5" hidden="1" customHeight="1" x14ac:dyDescent="0.2">
      <c r="A87" s="842"/>
      <c r="C87" s="569"/>
      <c r="D87" s="570"/>
      <c r="E87" s="571"/>
      <c r="G87" s="204"/>
      <c r="H87" s="204"/>
      <c r="I87" s="199"/>
      <c r="J87" s="205"/>
      <c r="L87" s="206"/>
      <c r="M87" s="201"/>
      <c r="N87" s="207"/>
      <c r="O87" s="220"/>
      <c r="P87" s="169"/>
      <c r="Q87" s="169"/>
      <c r="R87" s="169"/>
      <c r="S87" s="169"/>
      <c r="Y87" s="210" t="str">
        <f>AB87&amp;AC87</f>
        <v>00</v>
      </c>
      <c r="Z87" s="211" t="b">
        <f>AND(J87&lt;&gt;"",L87&lt;&gt;"")</f>
        <v>0</v>
      </c>
      <c r="AA87" s="210">
        <f>AA86</f>
        <v>24</v>
      </c>
      <c r="AB87" s="210">
        <f>I87</f>
        <v>0</v>
      </c>
      <c r="AC87" s="210">
        <f>M87</f>
        <v>0</v>
      </c>
      <c r="AD87" s="212" t="str">
        <f>IF(Z87,J87,"")</f>
        <v/>
      </c>
      <c r="AE87" s="210" t="str">
        <f>IF(Z87,L87,"")</f>
        <v/>
      </c>
      <c r="AG87" s="214" t="str">
        <f>IF(AD87&gt;AE87,AB87,"")</f>
        <v/>
      </c>
      <c r="AH87" s="214" t="str">
        <f>IF(AE87="","",IF(AD87=AE87,AB87,""))</f>
        <v/>
      </c>
      <c r="AI87" s="215" t="str">
        <f>IF(AND($AV$72,AD87=0,AE87=20),AB87&amp;"ooo",IF(AD87&lt;AE87,AB87,""))</f>
        <v/>
      </c>
      <c r="AJ87" s="214" t="str">
        <f>IF(AE87&gt;AD87,AC87,"")</f>
        <v/>
      </c>
      <c r="AK87" s="214" t="str">
        <f>IF(AE87="","",IF(AD87=AE87,AC87,""))</f>
        <v/>
      </c>
      <c r="AL87" s="215" t="str">
        <f>IF(AND($AV$72,AD87=20,AE87=0),AC87&amp;"ooo",IF(AD87&gt;AE87,AC87,""))</f>
        <v/>
      </c>
      <c r="AM87" s="216">
        <f>G87</f>
        <v>0</v>
      </c>
      <c r="AP87" s="240"/>
      <c r="AQ87" s="241"/>
      <c r="AR87" s="242"/>
      <c r="AS87" s="240"/>
      <c r="AZ87" s="245"/>
      <c r="BA87" s="572"/>
      <c r="BB87" s="572"/>
      <c r="BC87" s="573" t="str">
        <f t="shared" si="15"/>
        <v>rank.a</v>
      </c>
      <c r="BD87" s="284">
        <v>27</v>
      </c>
      <c r="BE87" s="573">
        <f t="shared" ca="1" si="16"/>
        <v>0</v>
      </c>
      <c r="BF87" s="239"/>
      <c r="BH87" s="575" t="str">
        <f t="shared" si="17"/>
        <v>–</v>
      </c>
      <c r="BI87" s="239"/>
      <c r="BJ87" s="245"/>
      <c r="BK87" s="245"/>
      <c r="BM87" s="245"/>
      <c r="BN87" s="245"/>
      <c r="BO87" s="245"/>
      <c r="BP87" s="245"/>
      <c r="BQ87" s="245"/>
    </row>
    <row r="88" spans="1:69" ht="13.5" hidden="1" customHeight="1" x14ac:dyDescent="0.2">
      <c r="A88" s="842"/>
      <c r="C88" s="569"/>
      <c r="D88" s="570"/>
      <c r="E88" s="571"/>
      <c r="G88" s="204"/>
      <c r="H88" s="204"/>
      <c r="I88" s="199"/>
      <c r="J88" s="205"/>
      <c r="L88" s="206"/>
      <c r="M88" s="201"/>
      <c r="N88" s="207"/>
      <c r="O88" s="220"/>
      <c r="P88" s="169"/>
      <c r="Q88" s="169"/>
      <c r="R88" s="169"/>
      <c r="S88" s="169"/>
      <c r="Y88" s="210" t="str">
        <f>AB88&amp;AC88</f>
        <v>00</v>
      </c>
      <c r="Z88" s="211" t="b">
        <f>AND(J88&lt;&gt;"",L88&lt;&gt;"")</f>
        <v>0</v>
      </c>
      <c r="AA88" s="210">
        <f>AA87</f>
        <v>24</v>
      </c>
      <c r="AB88" s="210">
        <f>I88</f>
        <v>0</v>
      </c>
      <c r="AC88" s="210">
        <f>M88</f>
        <v>0</v>
      </c>
      <c r="AD88" s="212" t="str">
        <f>IF(Z88,J88,"")</f>
        <v/>
      </c>
      <c r="AE88" s="210" t="str">
        <f>IF(Z88,L88,"")</f>
        <v/>
      </c>
      <c r="AG88" s="214" t="str">
        <f>IF(AD88&gt;AE88,AB88,"")</f>
        <v/>
      </c>
      <c r="AH88" s="214" t="str">
        <f>IF(AE88="","",IF(AD88=AE88,AB88,""))</f>
        <v/>
      </c>
      <c r="AI88" s="215" t="str">
        <f>IF(AND($AV$72,AD88=0,AE88=20),AB88&amp;"ooo",IF(AD88&lt;AE88,AB88,""))</f>
        <v/>
      </c>
      <c r="AJ88" s="214" t="str">
        <f>IF(AE88&gt;AD88,AC88,"")</f>
        <v/>
      </c>
      <c r="AK88" s="214" t="str">
        <f>IF(AE88="","",IF(AD88=AE88,AC88,""))</f>
        <v/>
      </c>
      <c r="AL88" s="215" t="str">
        <f>IF(AND($AV$72,AD88=20,AE88=0),AC88&amp;"ooo",IF(AD88&gt;AE88,AC88,""))</f>
        <v/>
      </c>
      <c r="AM88" s="216">
        <f>G88</f>
        <v>0</v>
      </c>
      <c r="AP88" s="240"/>
      <c r="AQ88" s="241"/>
      <c r="AR88" s="242"/>
      <c r="AS88" s="240"/>
      <c r="AZ88" s="245"/>
      <c r="BA88" s="572"/>
      <c r="BB88" s="572"/>
      <c r="BC88" s="573" t="str">
        <f t="shared" si="15"/>
        <v>rank.a</v>
      </c>
      <c r="BD88" s="284">
        <v>28</v>
      </c>
      <c r="BE88" s="573">
        <f t="shared" ca="1" si="16"/>
        <v>0</v>
      </c>
      <c r="BF88" s="239"/>
      <c r="BH88" s="575" t="str">
        <f t="shared" si="17"/>
        <v>–</v>
      </c>
      <c r="BI88" s="239"/>
      <c r="BJ88" s="245"/>
      <c r="BK88" s="245"/>
      <c r="BM88" s="245"/>
      <c r="BN88" s="245"/>
      <c r="BO88" s="245"/>
      <c r="BP88" s="245"/>
      <c r="BQ88" s="245"/>
    </row>
    <row r="89" spans="1:69" ht="13.5" customHeight="1" x14ac:dyDescent="0.2">
      <c r="A89" s="842"/>
      <c r="I89" s="169"/>
      <c r="J89" s="169"/>
      <c r="K89" s="169"/>
      <c r="L89" s="169"/>
      <c r="M89" s="169"/>
      <c r="N89" s="169"/>
      <c r="O89" s="169"/>
      <c r="P89" s="169"/>
      <c r="Q89" s="169"/>
      <c r="R89" s="169"/>
      <c r="S89" s="169"/>
      <c r="Y89" s="229"/>
      <c r="Z89" s="230"/>
      <c r="AG89" s="233"/>
      <c r="AH89" s="233"/>
      <c r="AI89" s="234"/>
      <c r="AJ89" s="233"/>
      <c r="AK89" s="233"/>
      <c r="AL89" s="234"/>
      <c r="AM89" s="234"/>
      <c r="AP89" s="240"/>
      <c r="AQ89" s="241"/>
      <c r="AR89" s="242"/>
      <c r="AS89" s="240"/>
      <c r="AZ89" s="245"/>
      <c r="BA89" s="572"/>
      <c r="BB89" s="572"/>
      <c r="BC89" s="573" t="str">
        <f t="shared" si="15"/>
        <v>rank.a</v>
      </c>
      <c r="BD89" s="284">
        <v>29</v>
      </c>
      <c r="BE89" s="573">
        <f t="shared" ca="1" si="16"/>
        <v>0</v>
      </c>
      <c r="BF89" s="239"/>
      <c r="BG89" s="239"/>
      <c r="BH89" s="575" t="str">
        <f t="shared" si="17"/>
        <v>–</v>
      </c>
      <c r="BI89" s="239"/>
      <c r="BJ89" s="245"/>
      <c r="BK89" s="245"/>
      <c r="BM89" s="245"/>
      <c r="BN89" s="245"/>
      <c r="BO89" s="245"/>
      <c r="BP89" s="245"/>
      <c r="BQ89" s="245"/>
    </row>
    <row r="90" spans="1:69" ht="13.5" customHeight="1" x14ac:dyDescent="0.2">
      <c r="A90" s="842"/>
      <c r="I90" s="170"/>
      <c r="J90" s="171"/>
      <c r="K90" s="171"/>
      <c r="L90" s="171"/>
      <c r="M90" s="170"/>
      <c r="N90" s="172"/>
      <c r="Y90" s="229"/>
      <c r="Z90" s="230"/>
      <c r="AA90" s="231"/>
      <c r="AB90" s="231"/>
      <c r="AC90" s="231"/>
      <c r="AD90" s="232"/>
      <c r="AE90" s="231"/>
      <c r="AG90" s="233"/>
      <c r="AH90" s="233"/>
      <c r="AI90" s="234"/>
      <c r="AJ90" s="233"/>
      <c r="AK90" s="233"/>
      <c r="AL90" s="234"/>
      <c r="AM90" s="234"/>
      <c r="AO90" s="245"/>
      <c r="AP90" s="240"/>
      <c r="AQ90" s="241"/>
      <c r="AR90" s="242"/>
      <c r="AS90" s="240"/>
      <c r="AX90" s="245"/>
      <c r="BA90" s="572"/>
      <c r="BB90" s="572"/>
      <c r="BC90" s="573" t="str">
        <f t="shared" si="15"/>
        <v>rank.a</v>
      </c>
      <c r="BD90" s="284">
        <v>30</v>
      </c>
      <c r="BE90" s="573">
        <f t="shared" ca="1" si="16"/>
        <v>0</v>
      </c>
      <c r="BH90" s="575" t="str">
        <f t="shared" si="17"/>
        <v>–</v>
      </c>
      <c r="BJ90" s="245"/>
    </row>
    <row r="91" spans="1:69" ht="13.5" customHeight="1" x14ac:dyDescent="0.2">
      <c r="A91" s="842"/>
      <c r="C91" s="480" t="str">
        <f>CONCATENATE(" ",AF93,"."," FORDULÓ")</f>
        <v xml:space="preserve"> 25. FORDULÓ</v>
      </c>
      <c r="D91" s="544"/>
      <c r="E91" s="544"/>
      <c r="F91" s="544"/>
      <c r="G91" s="544"/>
      <c r="H91" s="544"/>
      <c r="I91" s="843">
        <f>VLOOKUP(AF93,$AP$71:$AR$116,2,FALSE)</f>
        <v>42312</v>
      </c>
      <c r="J91" s="843"/>
      <c r="K91" s="843"/>
      <c r="L91" s="843"/>
      <c r="M91" s="624" t="str">
        <f>CONCATENATE(IF($AV$72,"pont: ","gól: "),SUM(J93:L106)," / átlag: ",TEXT(IF(COUNT(J93:L106)=0,"-",SUM(J93:L106)/COUNT(J93:L106)*2),"0,00"))</f>
        <v>gól: 36 / átlag: 7,20</v>
      </c>
      <c r="N91" s="565"/>
      <c r="O91" s="271" t="s">
        <v>285</v>
      </c>
      <c r="P91" s="169"/>
      <c r="Q91" s="169"/>
      <c r="R91" s="169"/>
      <c r="S91" s="169"/>
      <c r="AA91" s="231"/>
      <c r="AP91" s="240"/>
      <c r="AQ91" s="241"/>
      <c r="AR91" s="242"/>
      <c r="AS91" s="240"/>
      <c r="AU91" s="243"/>
      <c r="AZ91" s="245"/>
      <c r="BA91" s="283"/>
      <c r="BB91" s="283"/>
      <c r="BC91" s="239"/>
      <c r="BD91" s="283"/>
      <c r="BE91" s="239"/>
      <c r="BF91" s="239"/>
      <c r="BG91" s="239"/>
      <c r="BJ91" s="245"/>
      <c r="BK91" s="245"/>
      <c r="BM91" s="245"/>
      <c r="BN91" s="245"/>
      <c r="BO91" s="245"/>
      <c r="BP91" s="245"/>
      <c r="BQ91" s="245"/>
    </row>
    <row r="92" spans="1:69" ht="21" customHeight="1" x14ac:dyDescent="0.25">
      <c r="A92" s="842"/>
      <c r="I92" s="567"/>
      <c r="K92" s="627" t="s">
        <v>509</v>
      </c>
      <c r="O92" s="169"/>
      <c r="P92" s="169"/>
      <c r="Q92" s="169"/>
      <c r="R92" s="169"/>
      <c r="S92" s="169"/>
      <c r="AA92" s="231"/>
      <c r="AP92" s="240"/>
      <c r="AQ92" s="241"/>
      <c r="AR92" s="242"/>
      <c r="AS92" s="579"/>
      <c r="AZ92" s="245"/>
      <c r="BA92" s="283"/>
      <c r="BB92" s="283"/>
      <c r="BC92" s="239"/>
      <c r="BD92" s="283"/>
      <c r="BE92" s="239"/>
      <c r="BF92" s="239"/>
      <c r="BG92" s="239"/>
      <c r="BJ92" s="245"/>
      <c r="BK92" s="245"/>
      <c r="BM92" s="245"/>
      <c r="BN92" s="245"/>
      <c r="BO92" s="245"/>
      <c r="BP92" s="245"/>
      <c r="BQ92" s="245"/>
    </row>
    <row r="93" spans="1:69" ht="13.5" customHeight="1" x14ac:dyDescent="0.2">
      <c r="A93" s="842"/>
      <c r="C93" s="615">
        <v>1</v>
      </c>
      <c r="D93" s="616" t="s">
        <v>247</v>
      </c>
      <c r="E93" s="617">
        <v>4</v>
      </c>
      <c r="G93" s="255">
        <v>42312</v>
      </c>
      <c r="H93" s="255" t="s">
        <v>497</v>
      </c>
      <c r="I93" s="265" t="str">
        <f ca="1">IF(OR(C93="",NOT($BJ$57)),"",VLOOKUP(C93,rsors,2,FALSE))</f>
        <v>BBK</v>
      </c>
      <c r="J93" s="272">
        <v>6</v>
      </c>
      <c r="K93" s="200" t="s">
        <v>247</v>
      </c>
      <c r="L93" s="273">
        <v>0</v>
      </c>
      <c r="M93" s="266" t="str">
        <f ca="1">IF(OR(E93="",NOT($BJ$57)),"",VLOOKUP(E93,rsors,2,FALSE))</f>
        <v>Zrínyigyöngye</v>
      </c>
      <c r="N93" s="207"/>
      <c r="O93" s="267"/>
      <c r="P93" s="169"/>
      <c r="Q93" s="169"/>
      <c r="R93" s="169"/>
      <c r="S93" s="169"/>
      <c r="T93" s="209"/>
      <c r="U93" s="209"/>
      <c r="V93" s="209"/>
      <c r="W93" s="209"/>
      <c r="Y93" s="210" t="str">
        <f ca="1">AB93&amp;AC93</f>
        <v>BBKZrínyigyöngye</v>
      </c>
      <c r="Z93" s="211" t="b">
        <f>AND(J93&lt;&gt;"",L93&lt;&gt;"")</f>
        <v>1</v>
      </c>
      <c r="AA93" s="210">
        <f>AF93</f>
        <v>25</v>
      </c>
      <c r="AB93" s="210" t="str">
        <f ca="1">I93</f>
        <v>BBK</v>
      </c>
      <c r="AC93" s="210" t="str">
        <f ca="1">M93</f>
        <v>Zrínyigyöngye</v>
      </c>
      <c r="AD93" s="212">
        <f>IF(Z93,J93,"")</f>
        <v>6</v>
      </c>
      <c r="AE93" s="210">
        <f>IF(Z93,L93,"")</f>
        <v>0</v>
      </c>
      <c r="AF93" s="213">
        <f>AF75+1</f>
        <v>25</v>
      </c>
      <c r="AG93" s="214" t="str">
        <f ca="1">IF(AD93&gt;AE93,AB93,"")</f>
        <v>BBK</v>
      </c>
      <c r="AH93" s="214" t="str">
        <f>IF(AE93="","",IF(AD93=AE93,AB93,""))</f>
        <v/>
      </c>
      <c r="AI93" s="215" t="str">
        <f>IF(AND($AV$72,AD93=0,AE93=20),AB93&amp;"ooo",IF(AD93&lt;AE93,AB93,""))</f>
        <v/>
      </c>
      <c r="AJ93" s="214" t="str">
        <f>IF(AE93&gt;AD93,AC93,"")</f>
        <v/>
      </c>
      <c r="AK93" s="214" t="str">
        <f>IF(AE93="","",IF(AD93=AE93,AC93,""))</f>
        <v/>
      </c>
      <c r="AL93" s="215" t="str">
        <f ca="1">IF(AND($AV$72,AD93=20,AE93=0),AC93&amp;"ooo",IF(AD93&gt;AE93,AC93,""))</f>
        <v>Zrínyigyöngye</v>
      </c>
      <c r="AM93" s="216">
        <f>G93</f>
        <v>42312</v>
      </c>
      <c r="AP93" s="240"/>
      <c r="AQ93" s="241"/>
      <c r="AR93" s="242"/>
      <c r="AS93" s="579"/>
      <c r="BA93" s="283"/>
      <c r="BB93" s="283"/>
      <c r="BC93" s="239"/>
      <c r="BD93" s="283"/>
      <c r="BE93" s="239"/>
      <c r="BF93" s="239"/>
      <c r="BG93" s="239"/>
      <c r="BJ93" s="245"/>
      <c r="BN93" s="625" t="str">
        <f>G93&amp;H93</f>
        <v>4231219:00 – A pálya</v>
      </c>
      <c r="BO93" s="284">
        <f>COUNTIF($BN$57:$BN$142,BN93)</f>
        <v>1</v>
      </c>
      <c r="BP93" s="512" t="str">
        <f ca="1">Y93</f>
        <v>BBKZrínyigyöngye</v>
      </c>
    </row>
    <row r="94" spans="1:69" ht="13.5" customHeight="1" x14ac:dyDescent="0.2">
      <c r="A94" s="842"/>
      <c r="C94" s="615">
        <v>2</v>
      </c>
      <c r="D94" s="616" t="s">
        <v>247</v>
      </c>
      <c r="E94" s="617">
        <v>3</v>
      </c>
      <c r="G94" s="255">
        <v>42312</v>
      </c>
      <c r="H94" s="255" t="s">
        <v>498</v>
      </c>
      <c r="I94" s="265" t="str">
        <f ca="1">IF(OR(C94="",NOT($BJ$57)),"",VLOOKUP(C94,rsors,2,FALSE))</f>
        <v>K&amp;H</v>
      </c>
      <c r="J94" s="272">
        <v>0</v>
      </c>
      <c r="K94" s="200" t="s">
        <v>247</v>
      </c>
      <c r="L94" s="273">
        <v>2</v>
      </c>
      <c r="M94" s="266" t="str">
        <f ca="1">IF(OR(E94="",NOT($BJ$57)),"",VLOOKUP(E94,rsors,2,FALSE))</f>
        <v>BHD</v>
      </c>
      <c r="N94" s="207"/>
      <c r="O94" s="268"/>
      <c r="P94" s="169"/>
      <c r="Q94" s="169"/>
      <c r="R94" s="169"/>
      <c r="S94" s="169"/>
      <c r="T94" s="209"/>
      <c r="U94" s="209"/>
      <c r="V94" s="209"/>
      <c r="W94" s="209"/>
      <c r="Y94" s="210" t="str">
        <f ca="1">AB94&amp;AC94</f>
        <v>K&amp;HBHD</v>
      </c>
      <c r="Z94" s="211" t="b">
        <f>AND(J94&lt;&gt;"",L94&lt;&gt;"")</f>
        <v>1</v>
      </c>
      <c r="AA94" s="210">
        <f>AA93</f>
        <v>25</v>
      </c>
      <c r="AB94" s="210" t="str">
        <f ca="1">I94</f>
        <v>K&amp;H</v>
      </c>
      <c r="AC94" s="210" t="str">
        <f ca="1">M94</f>
        <v>BHD</v>
      </c>
      <c r="AD94" s="212">
        <f>IF(Z94,J94,"")</f>
        <v>0</v>
      </c>
      <c r="AE94" s="210">
        <f>IF(Z94,L94,"")</f>
        <v>2</v>
      </c>
      <c r="AF94" s="213"/>
      <c r="AG94" s="214" t="str">
        <f>IF(AD94&gt;AE94,AB94,"")</f>
        <v/>
      </c>
      <c r="AH94" s="214" t="str">
        <f>IF(AE94="","",IF(AD94=AE94,AB94,""))</f>
        <v/>
      </c>
      <c r="AI94" s="215" t="str">
        <f ca="1">IF(AND($AV$72,AD94=0,AE94=20),AB94&amp;"ooo",IF(AD94&lt;AE94,AB94,""))</f>
        <v>K&amp;H</v>
      </c>
      <c r="AJ94" s="214" t="str">
        <f ca="1">IF(AE94&gt;AD94,AC94,"")</f>
        <v>BHD</v>
      </c>
      <c r="AK94" s="214" t="str">
        <f>IF(AE94="","",IF(AD94=AE94,AC94,""))</f>
        <v/>
      </c>
      <c r="AL94" s="215" t="str">
        <f>IF(AND($AV$72,AD94=20,AE94=0),AC94&amp;"ooo",IF(AD94&gt;AE94,AC94,""))</f>
        <v/>
      </c>
      <c r="AM94" s="216">
        <f>G94</f>
        <v>42312</v>
      </c>
      <c r="AO94" s="245"/>
      <c r="AP94" s="240"/>
      <c r="AQ94" s="241"/>
      <c r="AR94" s="242"/>
      <c r="AS94" s="579"/>
      <c r="AX94" s="245"/>
      <c r="BA94" s="283"/>
      <c r="BB94" s="283"/>
      <c r="BC94" s="239"/>
      <c r="BD94" s="283"/>
      <c r="BE94" s="239"/>
      <c r="BF94" s="239"/>
      <c r="BG94" s="239"/>
      <c r="BJ94" s="245"/>
      <c r="BN94" s="625" t="str">
        <f>G94&amp;H94</f>
        <v>4231219:45 – A pálya</v>
      </c>
      <c r="BO94" s="284">
        <f>COUNTIF($BN$57:$BN$142,BN94)</f>
        <v>1</v>
      </c>
      <c r="BP94" s="512" t="str">
        <f ca="1">Y94</f>
        <v>K&amp;HBHD</v>
      </c>
    </row>
    <row r="95" spans="1:69" ht="13.5" customHeight="1" x14ac:dyDescent="0.2">
      <c r="A95" s="842"/>
      <c r="C95" s="615">
        <v>5</v>
      </c>
      <c r="D95" s="616" t="s">
        <v>247</v>
      </c>
      <c r="E95" s="617">
        <v>6</v>
      </c>
      <c r="G95" s="255">
        <v>42312</v>
      </c>
      <c r="H95" s="255" t="s">
        <v>499</v>
      </c>
      <c r="I95" s="265" t="str">
        <f ca="1">IF(OR(C95="",NOT($BJ$57)),"",VLOOKUP(C95,rsors,2,FALSE))</f>
        <v>Élelmesek</v>
      </c>
      <c r="J95" s="272">
        <v>3</v>
      </c>
      <c r="K95" s="200" t="s">
        <v>247</v>
      </c>
      <c r="L95" s="273">
        <v>7</v>
      </c>
      <c r="M95" s="266" t="str">
        <f ca="1">IF(OR(E95="",NOT($BJ$57)),"",VLOOKUP(E95,rsors,2,FALSE))</f>
        <v>Hercules-Ludovika</v>
      </c>
      <c r="N95" s="207"/>
      <c r="O95" s="268"/>
      <c r="P95" s="169"/>
      <c r="Q95" s="169"/>
      <c r="R95" s="169"/>
      <c r="S95" s="169"/>
      <c r="T95" s="209"/>
      <c r="U95" s="209"/>
      <c r="V95" s="209"/>
      <c r="W95" s="209"/>
      <c r="Y95" s="210" t="str">
        <f ca="1">AB95&amp;AC95</f>
        <v>ÉlelmesekHercules-Ludovika</v>
      </c>
      <c r="Z95" s="211" t="b">
        <f>AND(J95&lt;&gt;"",L95&lt;&gt;"")</f>
        <v>1</v>
      </c>
      <c r="AA95" s="210">
        <f>AA94</f>
        <v>25</v>
      </c>
      <c r="AB95" s="210" t="str">
        <f ca="1">I95</f>
        <v>Élelmesek</v>
      </c>
      <c r="AC95" s="210" t="str">
        <f ca="1">M95</f>
        <v>Hercules-Ludovika</v>
      </c>
      <c r="AD95" s="212">
        <f>IF(Z95,J95,"")</f>
        <v>3</v>
      </c>
      <c r="AE95" s="210">
        <f>IF(Z95,L95,"")</f>
        <v>7</v>
      </c>
      <c r="AF95" s="213"/>
      <c r="AG95" s="214" t="str">
        <f>IF(AD95&gt;AE95,AB95,"")</f>
        <v/>
      </c>
      <c r="AH95" s="214" t="str">
        <f>IF(AE95="","",IF(AD95=AE95,AB95,""))</f>
        <v/>
      </c>
      <c r="AI95" s="215" t="str">
        <f ca="1">IF(AND($AV$72,AD95=0,AE95=20),AB95&amp;"ooo",IF(AD95&lt;AE95,AB95,""))</f>
        <v>Élelmesek</v>
      </c>
      <c r="AJ95" s="214" t="str">
        <f ca="1">IF(AE95&gt;AD95,AC95,"")</f>
        <v>Hercules-Ludovika</v>
      </c>
      <c r="AK95" s="214" t="str">
        <f>IF(AE95="","",IF(AD95=AE95,AC95,""))</f>
        <v/>
      </c>
      <c r="AL95" s="215" t="str">
        <f>IF(AND($AV$72,AD95=20,AE95=0),AC95&amp;"ooo",IF(AD95&gt;AE95,AC95,""))</f>
        <v/>
      </c>
      <c r="AM95" s="216">
        <f>G95</f>
        <v>42312</v>
      </c>
      <c r="AO95" s="245"/>
      <c r="AP95" s="240"/>
      <c r="AQ95" s="241"/>
      <c r="AR95" s="242"/>
      <c r="AS95" s="579"/>
      <c r="AT95" s="245"/>
      <c r="AU95" s="245"/>
      <c r="AV95" s="245"/>
      <c r="AW95" s="245"/>
      <c r="AX95" s="245"/>
      <c r="BA95" s="283"/>
      <c r="BB95" s="283"/>
      <c r="BC95" s="239"/>
      <c r="BD95" s="283"/>
      <c r="BE95" s="239"/>
      <c r="BF95" s="239"/>
      <c r="BG95" s="239"/>
      <c r="BJ95" s="245"/>
      <c r="BN95" s="625" t="str">
        <f>G95&amp;H95</f>
        <v>4231220:30 – A pálya</v>
      </c>
      <c r="BO95" s="284">
        <f>COUNTIF($BN$57:$BN$142,BN95)</f>
        <v>1</v>
      </c>
      <c r="BP95" s="512" t="str">
        <f ca="1">Y95</f>
        <v>ÉlelmesekHercules-Ludovika</v>
      </c>
    </row>
    <row r="96" spans="1:69" ht="13.5" hidden="1" customHeight="1" x14ac:dyDescent="0.2">
      <c r="A96" s="842"/>
      <c r="C96" s="615"/>
      <c r="D96" s="616"/>
      <c r="E96" s="617"/>
      <c r="G96" s="255"/>
      <c r="H96" s="204"/>
      <c r="I96" s="265"/>
      <c r="J96" s="272"/>
      <c r="L96" s="273"/>
      <c r="M96" s="266"/>
      <c r="N96" s="207"/>
      <c r="O96" s="268"/>
      <c r="P96" s="169"/>
      <c r="Q96" s="169"/>
      <c r="R96" s="169"/>
      <c r="S96" s="169"/>
      <c r="T96" s="209"/>
      <c r="U96" s="209"/>
      <c r="Y96" s="210" t="str">
        <f>AB96&amp;AC96</f>
        <v>00</v>
      </c>
      <c r="Z96" s="211" t="b">
        <f>AND(J96&lt;&gt;"",L96&lt;&gt;"")</f>
        <v>0</v>
      </c>
      <c r="AA96" s="210">
        <f>AA95</f>
        <v>25</v>
      </c>
      <c r="AB96" s="210">
        <f>I96</f>
        <v>0</v>
      </c>
      <c r="AC96" s="210">
        <f>M96</f>
        <v>0</v>
      </c>
      <c r="AD96" s="212" t="str">
        <f>IF(Z96,J96,"")</f>
        <v/>
      </c>
      <c r="AE96" s="210" t="str">
        <f>IF(Z96,L96,"")</f>
        <v/>
      </c>
      <c r="AF96" s="213"/>
      <c r="AG96" s="214" t="str">
        <f>IF(AD96&gt;AE96,AB96,"")</f>
        <v/>
      </c>
      <c r="AH96" s="214" t="str">
        <f>IF(AE96="","",IF(AD96=AE96,AB96,""))</f>
        <v/>
      </c>
      <c r="AI96" s="215" t="str">
        <f>IF(AND($AV$72,AD96=0,AE96=20),AB96&amp;"ooo",IF(AD96&lt;AE96,AB96,""))</f>
        <v/>
      </c>
      <c r="AJ96" s="214" t="str">
        <f>IF(AE96&gt;AD96,AC96,"")</f>
        <v/>
      </c>
      <c r="AK96" s="214" t="str">
        <f>IF(AE96="","",IF(AD96=AE96,AC96,""))</f>
        <v/>
      </c>
      <c r="AL96" s="215" t="str">
        <f>IF(AND($AV$72,AD96=20,AE96=0),AC96&amp;"ooo",IF(AD96&gt;AE96,AC96,""))</f>
        <v/>
      </c>
      <c r="AM96" s="216">
        <f>G96</f>
        <v>0</v>
      </c>
      <c r="AO96" s="245"/>
      <c r="AP96" s="240"/>
      <c r="AQ96" s="241"/>
      <c r="AR96" s="242"/>
      <c r="AS96" s="579"/>
      <c r="AT96" s="245"/>
      <c r="AU96" s="245"/>
      <c r="AV96" s="245"/>
      <c r="AW96" s="245"/>
      <c r="AX96" s="245"/>
      <c r="AZ96" s="245"/>
      <c r="BA96" s="283"/>
      <c r="BB96" s="283"/>
      <c r="BC96" s="239"/>
      <c r="BD96" s="283"/>
      <c r="BE96" s="239"/>
      <c r="BF96" s="239"/>
      <c r="BG96" s="239"/>
      <c r="BJ96" s="245"/>
      <c r="BK96" s="245"/>
      <c r="BM96" s="245"/>
      <c r="BQ96" s="245"/>
    </row>
    <row r="97" spans="1:69" ht="21" customHeight="1" x14ac:dyDescent="0.25">
      <c r="A97" s="842"/>
      <c r="C97" s="618"/>
      <c r="D97" s="618"/>
      <c r="E97" s="618"/>
      <c r="G97" s="576"/>
      <c r="H97" s="576"/>
      <c r="I97" s="567"/>
      <c r="K97" s="627" t="s">
        <v>510</v>
      </c>
      <c r="N97" s="223"/>
      <c r="O97" s="169"/>
      <c r="P97" s="169"/>
      <c r="Q97" s="169"/>
      <c r="R97" s="169"/>
      <c r="S97" s="169"/>
      <c r="T97" s="209"/>
      <c r="U97" s="209"/>
      <c r="V97" s="209"/>
      <c r="W97" s="209"/>
      <c r="Y97" s="229"/>
      <c r="Z97" s="230"/>
      <c r="AA97" s="231"/>
      <c r="AB97" s="231"/>
      <c r="AC97" s="231"/>
      <c r="AD97" s="232"/>
      <c r="AE97" s="231"/>
      <c r="AG97" s="233"/>
      <c r="AH97" s="233"/>
      <c r="AI97" s="234"/>
      <c r="AJ97" s="233"/>
      <c r="AK97" s="233"/>
      <c r="AL97" s="234"/>
      <c r="AM97" s="234"/>
      <c r="AO97" s="245"/>
      <c r="AP97" s="240"/>
      <c r="AQ97" s="241"/>
      <c r="AR97" s="242"/>
      <c r="AS97" s="579"/>
      <c r="AT97" s="245"/>
      <c r="AU97" s="245"/>
      <c r="AV97" s="245"/>
      <c r="AW97" s="245"/>
      <c r="AX97" s="245"/>
      <c r="AZ97" s="245"/>
      <c r="BA97" s="283"/>
      <c r="BB97" s="283"/>
      <c r="BC97" s="239"/>
      <c r="BD97" s="283"/>
      <c r="BE97" s="239"/>
      <c r="BF97" s="239"/>
      <c r="BG97" s="239"/>
      <c r="BJ97" s="245"/>
      <c r="BK97" s="245"/>
      <c r="BM97" s="245"/>
      <c r="BQ97" s="245"/>
    </row>
    <row r="98" spans="1:69" ht="13.5" customHeight="1" x14ac:dyDescent="0.2">
      <c r="A98" s="842"/>
      <c r="C98" s="615">
        <v>11</v>
      </c>
      <c r="D98" s="616" t="s">
        <v>247</v>
      </c>
      <c r="E98" s="617">
        <v>14</v>
      </c>
      <c r="G98" s="204">
        <v>42312</v>
      </c>
      <c r="H98" s="255" t="s">
        <v>500</v>
      </c>
      <c r="I98" s="265" t="str">
        <f ca="1">IF(OR(C98="",NOT($BJ$57)),"",VLOOKUP(C98,rsors,2,FALSE))</f>
        <v>Bakafogó-Honvéd-Sashegy SE</v>
      </c>
      <c r="J98" s="272">
        <v>9</v>
      </c>
      <c r="K98" s="200" t="s">
        <v>247</v>
      </c>
      <c r="L98" s="273">
        <v>2</v>
      </c>
      <c r="M98" s="266" t="str">
        <f ca="1">IF(OR(E98="",NOT($BJ$57)),"",VLOOKUP(E98,rsors,2,FALSE))</f>
        <v>Bőrdíszmű</v>
      </c>
      <c r="N98" s="207"/>
      <c r="O98" s="267"/>
      <c r="P98" s="169"/>
      <c r="Q98" s="169"/>
      <c r="R98" s="169"/>
      <c r="S98" s="169"/>
      <c r="Y98" s="210" t="str">
        <f ca="1">AB98&amp;AC98</f>
        <v>Bakafogó-Honvéd-Sashegy SEBőrdíszmű</v>
      </c>
      <c r="Z98" s="211" t="b">
        <f>AND(J98&lt;&gt;"",L98&lt;&gt;"")</f>
        <v>1</v>
      </c>
      <c r="AA98" s="210">
        <f>AA96</f>
        <v>25</v>
      </c>
      <c r="AB98" s="210" t="str">
        <f ca="1">I98</f>
        <v>Bakafogó-Honvéd-Sashegy SE</v>
      </c>
      <c r="AC98" s="210" t="str">
        <f ca="1">M98</f>
        <v>Bőrdíszmű</v>
      </c>
      <c r="AD98" s="212">
        <f>IF(Z98,J98,"")</f>
        <v>9</v>
      </c>
      <c r="AE98" s="210">
        <f>IF(Z98,L98,"")</f>
        <v>2</v>
      </c>
      <c r="AG98" s="214" t="str">
        <f ca="1">IF(AD98&gt;AE98,AB98,"")</f>
        <v>Bakafogó-Honvéd-Sashegy SE</v>
      </c>
      <c r="AH98" s="214" t="str">
        <f>IF(AE98="","",IF(AD98=AE98,AB98,""))</f>
        <v/>
      </c>
      <c r="AI98" s="215" t="str">
        <f>IF(AND($AV$72,AD98=0,AE98=20),AB98&amp;"ooo",IF(AD98&lt;AE98,AB98,""))</f>
        <v/>
      </c>
      <c r="AJ98" s="214" t="str">
        <f>IF(AE98&gt;AD98,AC98,"")</f>
        <v/>
      </c>
      <c r="AK98" s="214" t="str">
        <f>IF(AE98="","",IF(AD98=AE98,AC98,""))</f>
        <v/>
      </c>
      <c r="AL98" s="215" t="str">
        <f ca="1">IF(AND($AV$72,AD98=20,AE98=0),AC98&amp;"ooo",IF(AD98&gt;AE98,AC98,""))</f>
        <v>Bőrdíszmű</v>
      </c>
      <c r="AM98" s="216">
        <f>G98</f>
        <v>42312</v>
      </c>
      <c r="AO98" s="245"/>
      <c r="AP98" s="240"/>
      <c r="AQ98" s="241"/>
      <c r="AR98" s="242"/>
      <c r="AS98" s="579"/>
      <c r="AT98" s="245"/>
      <c r="AU98" s="245"/>
      <c r="AV98" s="245"/>
      <c r="AW98" s="245"/>
      <c r="AX98" s="245"/>
      <c r="AZ98" s="245"/>
      <c r="BA98" s="283"/>
      <c r="BB98" s="283"/>
      <c r="BC98" s="239"/>
      <c r="BD98" s="283"/>
      <c r="BE98" s="239"/>
      <c r="BF98" s="239"/>
      <c r="BG98" s="239"/>
      <c r="BJ98" s="245"/>
      <c r="BK98" s="245"/>
      <c r="BM98" s="245"/>
      <c r="BN98" s="625" t="str">
        <f>G98&amp;H98</f>
        <v>4231219:00 – B pálya</v>
      </c>
      <c r="BO98" s="284">
        <f>COUNTIF($BN$57:$BN$142,BN98)</f>
        <v>1</v>
      </c>
      <c r="BP98" s="512" t="str">
        <f ca="1">Y98</f>
        <v>Bakafogó-Honvéd-Sashegy SEBőrdíszmű</v>
      </c>
      <c r="BQ98" s="245"/>
    </row>
    <row r="99" spans="1:69" ht="13.5" customHeight="1" x14ac:dyDescent="0.2">
      <c r="A99" s="842"/>
      <c r="C99" s="615">
        <v>12</v>
      </c>
      <c r="D99" s="616" t="s">
        <v>247</v>
      </c>
      <c r="E99" s="617">
        <v>13</v>
      </c>
      <c r="G99" s="204">
        <v>42312</v>
      </c>
      <c r="H99" s="255" t="s">
        <v>501</v>
      </c>
      <c r="I99" s="265" t="str">
        <f ca="1">IF(OR(C99="",NOT($BJ$57)),"",VLOOKUP(C99,rsors,2,FALSE))</f>
        <v>Vakana</v>
      </c>
      <c r="J99" s="272">
        <v>5</v>
      </c>
      <c r="K99" s="200" t="s">
        <v>247</v>
      </c>
      <c r="L99" s="273">
        <v>2</v>
      </c>
      <c r="M99" s="266" t="str">
        <f ca="1">IF(OR(E99="",NOT($BJ$57)),"",VLOOKUP(E99,rsors,2,FALSE))</f>
        <v>Carbonász</v>
      </c>
      <c r="N99" s="207"/>
      <c r="O99" s="268"/>
      <c r="P99" s="169"/>
      <c r="Q99" s="169"/>
      <c r="R99" s="169"/>
      <c r="S99" s="169"/>
      <c r="Y99" s="210" t="str">
        <f ca="1">AB99&amp;AC99</f>
        <v>VakanaCarbonász</v>
      </c>
      <c r="Z99" s="211" t="b">
        <f>AND(J99&lt;&gt;"",L99&lt;&gt;"")</f>
        <v>1</v>
      </c>
      <c r="AA99" s="210">
        <f>AA98</f>
        <v>25</v>
      </c>
      <c r="AB99" s="210" t="str">
        <f ca="1">I99</f>
        <v>Vakana</v>
      </c>
      <c r="AC99" s="210" t="str">
        <f ca="1">M99</f>
        <v>Carbonász</v>
      </c>
      <c r="AD99" s="212">
        <f>IF(Z99,J99,"")</f>
        <v>5</v>
      </c>
      <c r="AE99" s="210">
        <f>IF(Z99,L99,"")</f>
        <v>2</v>
      </c>
      <c r="AG99" s="214" t="str">
        <f ca="1">IF(AD99&gt;AE99,AB99,"")</f>
        <v>Vakana</v>
      </c>
      <c r="AH99" s="214" t="str">
        <f>IF(AE99="","",IF(AD99=AE99,AB99,""))</f>
        <v/>
      </c>
      <c r="AI99" s="215" t="str">
        <f>IF(AND($AV$72,AD99=0,AE99=20),AB99&amp;"ooo",IF(AD99&lt;AE99,AB99,""))</f>
        <v/>
      </c>
      <c r="AJ99" s="214" t="str">
        <f>IF(AE99&gt;AD99,AC99,"")</f>
        <v/>
      </c>
      <c r="AK99" s="214" t="str">
        <f>IF(AE99="","",IF(AD99=AE99,AC99,""))</f>
        <v/>
      </c>
      <c r="AL99" s="215" t="str">
        <f ca="1">IF(AND($AV$72,AD99=20,AE99=0),AC99&amp;"ooo",IF(AD99&gt;AE99,AC99,""))</f>
        <v>Carbonász</v>
      </c>
      <c r="AM99" s="216">
        <f>G99</f>
        <v>42312</v>
      </c>
      <c r="AO99" s="245"/>
      <c r="AP99" s="240"/>
      <c r="AQ99" s="241"/>
      <c r="AR99" s="242"/>
      <c r="AS99" s="579"/>
      <c r="AT99" s="245"/>
      <c r="AU99" s="245"/>
      <c r="AV99" s="245"/>
      <c r="AW99" s="245"/>
      <c r="AX99" s="245"/>
      <c r="AZ99" s="245"/>
      <c r="BA99" s="283"/>
      <c r="BB99" s="283"/>
      <c r="BC99" s="239"/>
      <c r="BD99" s="283"/>
      <c r="BE99" s="239"/>
      <c r="BF99" s="239"/>
      <c r="BG99" s="239"/>
      <c r="BJ99" s="245"/>
      <c r="BK99" s="245"/>
      <c r="BM99" s="245"/>
      <c r="BN99" s="625" t="str">
        <f>G99&amp;H99</f>
        <v>4231219:45 – B pálya</v>
      </c>
      <c r="BO99" s="284">
        <f>COUNTIF($BN$57:$BN$142,BN99)</f>
        <v>1</v>
      </c>
      <c r="BP99" s="512" t="str">
        <f ca="1">Y99</f>
        <v>VakanaCarbonász</v>
      </c>
      <c r="BQ99" s="245"/>
    </row>
    <row r="100" spans="1:69" ht="13.5" customHeight="1" x14ac:dyDescent="0.25">
      <c r="A100" s="842"/>
      <c r="C100" s="615">
        <v>15</v>
      </c>
      <c r="D100" s="616" t="s">
        <v>247</v>
      </c>
      <c r="E100" s="617"/>
      <c r="G100" s="576"/>
      <c r="H100" s="576"/>
      <c r="I100" s="275" t="str">
        <f ca="1">IF(OR(C100="",NOT($BJ$57)),"",VLOOKUP(C100,rsors,2,FALSE))</f>
        <v>Royal Guard's</v>
      </c>
      <c r="J100" s="628"/>
      <c r="K100" s="577"/>
      <c r="L100" s="628"/>
      <c r="M100" s="277" t="str">
        <f ca="1">IF(I100="","","szabadnapos")</f>
        <v>szabadnapos</v>
      </c>
      <c r="N100" s="207"/>
      <c r="O100" s="268"/>
      <c r="P100" s="169"/>
      <c r="Q100" s="169"/>
      <c r="R100" s="169"/>
      <c r="S100" s="169"/>
      <c r="Y100" s="210" t="str">
        <f ca="1">AB100&amp;AC100</f>
        <v>Royal Guard'sszabadnapos</v>
      </c>
      <c r="Z100" s="211" t="b">
        <f>AND(J100&lt;&gt;"",L100&lt;&gt;"")</f>
        <v>0</v>
      </c>
      <c r="AA100" s="210">
        <f>AA99</f>
        <v>25</v>
      </c>
      <c r="AB100" s="210" t="str">
        <f ca="1">I100</f>
        <v>Royal Guard's</v>
      </c>
      <c r="AC100" s="210" t="str">
        <f ca="1">M100</f>
        <v>szabadnapos</v>
      </c>
      <c r="AD100" s="212" t="str">
        <f>IF(Z100,J100,"")</f>
        <v/>
      </c>
      <c r="AE100" s="210" t="str">
        <f>IF(Z100,L100,"")</f>
        <v/>
      </c>
      <c r="AG100" s="214" t="str">
        <f>IF(AD100&gt;AE100,AB100,"")</f>
        <v/>
      </c>
      <c r="AH100" s="214" t="str">
        <f>IF(AE100="","",IF(AD100=AE100,AB100,""))</f>
        <v/>
      </c>
      <c r="AI100" s="215" t="str">
        <f>IF(AND($AV$72,AD100=0,AE100=20),AB100&amp;"ooo",IF(AD100&lt;AE100,AB100,""))</f>
        <v/>
      </c>
      <c r="AJ100" s="214" t="str">
        <f>IF(AE100&gt;AD100,AC100,"")</f>
        <v/>
      </c>
      <c r="AK100" s="214" t="str">
        <f>IF(AE100="","",IF(AD100=AE100,AC100,""))</f>
        <v/>
      </c>
      <c r="AL100" s="215" t="str">
        <f>IF(AND($AV$72,AD100=20,AE100=0),AC100&amp;"ooo",IF(AD100&gt;AE100,AC100,""))</f>
        <v/>
      </c>
      <c r="AM100" s="750">
        <f>AM93</f>
        <v>42312</v>
      </c>
      <c r="AO100" s="245"/>
      <c r="AP100" s="240"/>
      <c r="AQ100" s="241"/>
      <c r="AR100" s="242"/>
      <c r="AS100" s="579"/>
      <c r="AT100" s="245"/>
      <c r="AU100" s="245"/>
      <c r="AV100" s="245"/>
      <c r="AW100" s="245"/>
      <c r="AX100" s="245"/>
      <c r="AZ100" s="245"/>
      <c r="BA100" s="283"/>
      <c r="BB100" s="283"/>
      <c r="BC100" s="239"/>
      <c r="BD100" s="283"/>
      <c r="BE100" s="239"/>
      <c r="BF100" s="239"/>
      <c r="BG100" s="239"/>
      <c r="BJ100" s="245"/>
      <c r="BK100" s="245"/>
      <c r="BM100" s="245"/>
      <c r="BN100" s="245"/>
      <c r="BO100" s="245"/>
      <c r="BP100" s="245"/>
      <c r="BQ100" s="245"/>
    </row>
    <row r="101" spans="1:69" ht="13.5" hidden="1" customHeight="1" x14ac:dyDescent="0.2">
      <c r="A101" s="842"/>
      <c r="C101" s="615"/>
      <c r="D101" s="616"/>
      <c r="E101" s="617"/>
      <c r="G101" s="204"/>
      <c r="H101" s="204"/>
      <c r="I101" s="265"/>
      <c r="J101" s="272"/>
      <c r="L101" s="273"/>
      <c r="M101" s="266"/>
      <c r="N101" s="207"/>
      <c r="O101" s="268"/>
      <c r="P101" s="169"/>
      <c r="Q101" s="169"/>
      <c r="R101" s="169"/>
      <c r="S101" s="169"/>
      <c r="Y101" s="210" t="str">
        <f>AB101&amp;AC101</f>
        <v>00</v>
      </c>
      <c r="Z101" s="211" t="b">
        <f>AND(J101&lt;&gt;"",L101&lt;&gt;"")</f>
        <v>0</v>
      </c>
      <c r="AA101" s="210">
        <f>AA100</f>
        <v>25</v>
      </c>
      <c r="AB101" s="210">
        <f>I101</f>
        <v>0</v>
      </c>
      <c r="AC101" s="210">
        <f>M101</f>
        <v>0</v>
      </c>
      <c r="AD101" s="212" t="str">
        <f>IF(Z101,J101,"")</f>
        <v/>
      </c>
      <c r="AE101" s="210" t="str">
        <f>IF(Z101,L101,"")</f>
        <v/>
      </c>
      <c r="AG101" s="214" t="str">
        <f>IF(AD101&gt;AE101,AB101,"")</f>
        <v/>
      </c>
      <c r="AH101" s="214" t="str">
        <f>IF(AE101="","",IF(AD101=AE101,AB101,""))</f>
        <v/>
      </c>
      <c r="AI101" s="215" t="str">
        <f>IF(AND($AV$72,AD101=0,AE101=20),AB101&amp;"ooo",IF(AD101&lt;AE101,AB101,""))</f>
        <v/>
      </c>
      <c r="AJ101" s="214" t="str">
        <f>IF(AE101&gt;AD101,AC101,"")</f>
        <v/>
      </c>
      <c r="AK101" s="214" t="str">
        <f>IF(AE101="","",IF(AD101=AE101,AC101,""))</f>
        <v/>
      </c>
      <c r="AL101" s="215" t="str">
        <f>IF(AND($AV$72,AD101=20,AE101=0),AC101&amp;"ooo",IF(AD101&gt;AE101,AC101,""))</f>
        <v/>
      </c>
      <c r="AM101" s="216">
        <f>G101</f>
        <v>0</v>
      </c>
      <c r="AO101" s="245"/>
      <c r="AP101" s="240"/>
      <c r="AQ101" s="241"/>
      <c r="AR101" s="242"/>
      <c r="AS101" s="579"/>
      <c r="AT101" s="245"/>
      <c r="AU101" s="245"/>
      <c r="AV101" s="245"/>
      <c r="AW101" s="245"/>
      <c r="AX101" s="245"/>
      <c r="AZ101" s="245"/>
      <c r="BA101" s="283"/>
      <c r="BB101" s="283"/>
      <c r="BC101" s="239"/>
      <c r="BD101" s="283"/>
      <c r="BE101" s="239"/>
      <c r="BF101" s="239"/>
      <c r="BG101" s="239"/>
      <c r="BJ101" s="245"/>
      <c r="BK101" s="245"/>
      <c r="BM101" s="245"/>
      <c r="BN101" s="245"/>
      <c r="BO101" s="245"/>
      <c r="BP101" s="245"/>
      <c r="BQ101" s="245"/>
    </row>
    <row r="102" spans="1:69" ht="21" hidden="1" customHeight="1" x14ac:dyDescent="0.2">
      <c r="A102" s="842"/>
      <c r="G102" s="576"/>
      <c r="H102" s="576"/>
      <c r="I102" s="567"/>
      <c r="K102" s="568"/>
      <c r="N102" s="169"/>
      <c r="O102" s="169"/>
      <c r="P102" s="169"/>
      <c r="Q102" s="169"/>
      <c r="R102" s="169"/>
      <c r="S102" s="169"/>
      <c r="Y102" s="229"/>
      <c r="Z102" s="230"/>
      <c r="AA102" s="231"/>
      <c r="AB102" s="231"/>
      <c r="AC102" s="231"/>
      <c r="AD102" s="232"/>
      <c r="AE102" s="231"/>
      <c r="AG102" s="233"/>
      <c r="AH102" s="233"/>
      <c r="AI102" s="234"/>
      <c r="AJ102" s="233"/>
      <c r="AK102" s="233"/>
      <c r="AL102" s="234"/>
      <c r="AM102" s="234"/>
      <c r="AO102" s="245"/>
      <c r="AP102" s="240"/>
      <c r="AQ102" s="241"/>
      <c r="AR102" s="242"/>
      <c r="AS102" s="579"/>
      <c r="AT102" s="245"/>
      <c r="AU102" s="245"/>
      <c r="AV102" s="245"/>
      <c r="AW102" s="245"/>
      <c r="AX102" s="245"/>
      <c r="AZ102" s="245"/>
      <c r="BA102" s="283"/>
      <c r="BB102" s="283"/>
      <c r="BC102" s="239"/>
      <c r="BD102" s="283"/>
      <c r="BE102" s="239"/>
      <c r="BF102" s="239"/>
      <c r="BG102" s="239"/>
      <c r="BJ102" s="245"/>
      <c r="BK102" s="245"/>
      <c r="BM102" s="245"/>
      <c r="BN102" s="245"/>
      <c r="BO102" s="245"/>
      <c r="BP102" s="245"/>
      <c r="BQ102" s="245"/>
    </row>
    <row r="103" spans="1:69" ht="13.5" hidden="1" customHeight="1" x14ac:dyDescent="0.2">
      <c r="A103" s="842"/>
      <c r="C103" s="569"/>
      <c r="D103" s="570"/>
      <c r="E103" s="571"/>
      <c r="G103" s="204"/>
      <c r="H103" s="204"/>
      <c r="I103" s="199"/>
      <c r="J103" s="205"/>
      <c r="L103" s="206"/>
      <c r="M103" s="201"/>
      <c r="N103" s="207"/>
      <c r="O103" s="208"/>
      <c r="P103" s="169"/>
      <c r="Q103" s="169"/>
      <c r="R103" s="169"/>
      <c r="S103" s="169"/>
      <c r="Y103" s="210" t="str">
        <f>AB103&amp;AC103</f>
        <v>00</v>
      </c>
      <c r="Z103" s="211" t="b">
        <f>AND(J103&lt;&gt;"",L103&lt;&gt;"")</f>
        <v>0</v>
      </c>
      <c r="AA103" s="210">
        <f>AA101</f>
        <v>25</v>
      </c>
      <c r="AB103" s="210">
        <f>I103</f>
        <v>0</v>
      </c>
      <c r="AC103" s="210">
        <f>M103</f>
        <v>0</v>
      </c>
      <c r="AD103" s="212" t="str">
        <f>IF(Z103,J103,"")</f>
        <v/>
      </c>
      <c r="AE103" s="210" t="str">
        <f>IF(Z103,L103,"")</f>
        <v/>
      </c>
      <c r="AG103" s="214" t="str">
        <f>IF(AD103&gt;AE103,AB103,"")</f>
        <v/>
      </c>
      <c r="AH103" s="214" t="str">
        <f>IF(AE103="","",IF(AD103=AE103,AB103,""))</f>
        <v/>
      </c>
      <c r="AI103" s="215" t="str">
        <f>IF(AND($AV$72,AD103=0,AE103=20),AB103&amp;"ooo",IF(AD103&lt;AE103,AB103,""))</f>
        <v/>
      </c>
      <c r="AJ103" s="214" t="str">
        <f>IF(AE103&gt;AD103,AC103,"")</f>
        <v/>
      </c>
      <c r="AK103" s="214" t="str">
        <f>IF(AE103="","",IF(AD103=AE103,AC103,""))</f>
        <v/>
      </c>
      <c r="AL103" s="215" t="str">
        <f>IF(AND($AV$72,AD103=20,AE103=0),AC103&amp;"ooo",IF(AD103&gt;AE103,AC103,""))</f>
        <v/>
      </c>
      <c r="AM103" s="216">
        <f>G103</f>
        <v>0</v>
      </c>
      <c r="AP103" s="240"/>
      <c r="AQ103" s="241"/>
      <c r="AR103" s="242"/>
      <c r="AS103" s="579"/>
      <c r="AZ103" s="245"/>
      <c r="BA103" s="283"/>
      <c r="BB103" s="283"/>
      <c r="BC103" s="239"/>
      <c r="BD103" s="283"/>
      <c r="BE103" s="239"/>
      <c r="BF103" s="239"/>
      <c r="BG103" s="239"/>
      <c r="BJ103" s="245"/>
      <c r="BK103" s="245"/>
      <c r="BM103" s="245"/>
      <c r="BN103" s="245"/>
      <c r="BO103" s="245"/>
      <c r="BP103" s="245"/>
      <c r="BQ103" s="245"/>
    </row>
    <row r="104" spans="1:69" ht="13.5" hidden="1" customHeight="1" x14ac:dyDescent="0.2">
      <c r="A104" s="842"/>
      <c r="C104" s="569"/>
      <c r="D104" s="570"/>
      <c r="E104" s="571"/>
      <c r="G104" s="204"/>
      <c r="H104" s="204"/>
      <c r="I104" s="199"/>
      <c r="J104" s="205"/>
      <c r="L104" s="206"/>
      <c r="M104" s="201"/>
      <c r="N104" s="207"/>
      <c r="O104" s="220"/>
      <c r="P104" s="169"/>
      <c r="Q104" s="169"/>
      <c r="R104" s="169"/>
      <c r="S104" s="169"/>
      <c r="Y104" s="210" t="str">
        <f>AB104&amp;AC104</f>
        <v>00</v>
      </c>
      <c r="Z104" s="211" t="b">
        <f>AND(J104&lt;&gt;"",L104&lt;&gt;"")</f>
        <v>0</v>
      </c>
      <c r="AA104" s="210">
        <f>AA103</f>
        <v>25</v>
      </c>
      <c r="AB104" s="210">
        <f>I104</f>
        <v>0</v>
      </c>
      <c r="AC104" s="210">
        <f>M104</f>
        <v>0</v>
      </c>
      <c r="AD104" s="212" t="str">
        <f>IF(Z104,J104,"")</f>
        <v/>
      </c>
      <c r="AE104" s="210" t="str">
        <f>IF(Z104,L104,"")</f>
        <v/>
      </c>
      <c r="AG104" s="214" t="str">
        <f>IF(AD104&gt;AE104,AB104,"")</f>
        <v/>
      </c>
      <c r="AH104" s="214" t="str">
        <f>IF(AE104="","",IF(AD104=AE104,AB104,""))</f>
        <v/>
      </c>
      <c r="AI104" s="215" t="str">
        <f>IF(AND($AV$72,AD104=0,AE104=20),AB104&amp;"ooo",IF(AD104&lt;AE104,AB104,""))</f>
        <v/>
      </c>
      <c r="AJ104" s="214" t="str">
        <f>IF(AE104&gt;AD104,AC104,"")</f>
        <v/>
      </c>
      <c r="AK104" s="214" t="str">
        <f>IF(AE104="","",IF(AD104=AE104,AC104,""))</f>
        <v/>
      </c>
      <c r="AL104" s="215" t="str">
        <f>IF(AND($AV$72,AD104=20,AE104=0),AC104&amp;"ooo",IF(AD104&gt;AE104,AC104,""))</f>
        <v/>
      </c>
      <c r="AM104" s="216">
        <f>G104</f>
        <v>0</v>
      </c>
      <c r="AP104" s="240"/>
      <c r="AQ104" s="241"/>
      <c r="AR104" s="242"/>
      <c r="AS104" s="579"/>
      <c r="AZ104" s="245"/>
      <c r="BA104" s="283"/>
      <c r="BB104" s="283"/>
      <c r="BC104" s="239"/>
      <c r="BD104" s="283"/>
      <c r="BE104" s="239"/>
      <c r="BF104" s="239"/>
      <c r="BG104" s="239"/>
      <c r="BJ104" s="245"/>
      <c r="BK104" s="245"/>
      <c r="BM104" s="245"/>
      <c r="BN104" s="245"/>
      <c r="BO104" s="245"/>
      <c r="BP104" s="245"/>
      <c r="BQ104" s="245"/>
    </row>
    <row r="105" spans="1:69" ht="13.5" hidden="1" customHeight="1" x14ac:dyDescent="0.2">
      <c r="A105" s="842"/>
      <c r="C105" s="569"/>
      <c r="D105" s="570"/>
      <c r="E105" s="571"/>
      <c r="G105" s="204"/>
      <c r="H105" s="204"/>
      <c r="I105" s="199"/>
      <c r="J105" s="205"/>
      <c r="L105" s="206"/>
      <c r="M105" s="201"/>
      <c r="N105" s="207"/>
      <c r="O105" s="220"/>
      <c r="P105" s="169"/>
      <c r="Q105" s="169"/>
      <c r="R105" s="169"/>
      <c r="S105" s="169"/>
      <c r="Y105" s="210" t="str">
        <f>AB105&amp;AC105</f>
        <v>00</v>
      </c>
      <c r="Z105" s="211" t="b">
        <f>AND(J105&lt;&gt;"",L105&lt;&gt;"")</f>
        <v>0</v>
      </c>
      <c r="AA105" s="210">
        <f>AA104</f>
        <v>25</v>
      </c>
      <c r="AB105" s="210">
        <f>I105</f>
        <v>0</v>
      </c>
      <c r="AC105" s="210">
        <f>M105</f>
        <v>0</v>
      </c>
      <c r="AD105" s="212" t="str">
        <f>IF(Z105,J105,"")</f>
        <v/>
      </c>
      <c r="AE105" s="210" t="str">
        <f>IF(Z105,L105,"")</f>
        <v/>
      </c>
      <c r="AG105" s="214" t="str">
        <f>IF(AD105&gt;AE105,AB105,"")</f>
        <v/>
      </c>
      <c r="AH105" s="214" t="str">
        <f>IF(AE105="","",IF(AD105=AE105,AB105,""))</f>
        <v/>
      </c>
      <c r="AI105" s="215" t="str">
        <f>IF(AND($AV$72,AD105=0,AE105=20),AB105&amp;"ooo",IF(AD105&lt;AE105,AB105,""))</f>
        <v/>
      </c>
      <c r="AJ105" s="214" t="str">
        <f>IF(AE105&gt;AD105,AC105,"")</f>
        <v/>
      </c>
      <c r="AK105" s="214" t="str">
        <f>IF(AE105="","",IF(AD105=AE105,AC105,""))</f>
        <v/>
      </c>
      <c r="AL105" s="215" t="str">
        <f>IF(AND($AV$72,AD105=20,AE105=0),AC105&amp;"ooo",IF(AD105&gt;AE105,AC105,""))</f>
        <v/>
      </c>
      <c r="AM105" s="216">
        <f>G105</f>
        <v>0</v>
      </c>
      <c r="AP105" s="240"/>
      <c r="AQ105" s="241"/>
      <c r="AR105" s="242"/>
      <c r="AS105" s="579"/>
      <c r="AZ105" s="245"/>
      <c r="BA105" s="283"/>
      <c r="BB105" s="283"/>
      <c r="BC105" s="239"/>
      <c r="BD105" s="283"/>
      <c r="BE105" s="239"/>
      <c r="BF105" s="239"/>
      <c r="BG105" s="239"/>
      <c r="BJ105" s="245"/>
      <c r="BK105" s="245"/>
      <c r="BM105" s="245"/>
      <c r="BN105" s="245"/>
      <c r="BO105" s="245"/>
      <c r="BP105" s="245"/>
      <c r="BQ105" s="245"/>
    </row>
    <row r="106" spans="1:69" ht="13.5" hidden="1" customHeight="1" x14ac:dyDescent="0.2">
      <c r="A106" s="842"/>
      <c r="C106" s="569"/>
      <c r="D106" s="570"/>
      <c r="E106" s="571"/>
      <c r="G106" s="204"/>
      <c r="H106" s="204"/>
      <c r="I106" s="199"/>
      <c r="J106" s="205"/>
      <c r="L106" s="206"/>
      <c r="M106" s="201"/>
      <c r="N106" s="207"/>
      <c r="O106" s="220"/>
      <c r="P106" s="169"/>
      <c r="Q106" s="169"/>
      <c r="R106" s="169"/>
      <c r="S106" s="169"/>
      <c r="Y106" s="210" t="str">
        <f>AB106&amp;AC106</f>
        <v>00</v>
      </c>
      <c r="Z106" s="211" t="b">
        <f>AND(J106&lt;&gt;"",L106&lt;&gt;"")</f>
        <v>0</v>
      </c>
      <c r="AA106" s="210">
        <f>AA105</f>
        <v>25</v>
      </c>
      <c r="AB106" s="210">
        <f>I106</f>
        <v>0</v>
      </c>
      <c r="AC106" s="210">
        <f>M106</f>
        <v>0</v>
      </c>
      <c r="AD106" s="212" t="str">
        <f>IF(Z106,J106,"")</f>
        <v/>
      </c>
      <c r="AE106" s="210" t="str">
        <f>IF(Z106,L106,"")</f>
        <v/>
      </c>
      <c r="AG106" s="214" t="str">
        <f>IF(AD106&gt;AE106,AB106,"")</f>
        <v/>
      </c>
      <c r="AH106" s="214" t="str">
        <f>IF(AE106="","",IF(AD106=AE106,AB106,""))</f>
        <v/>
      </c>
      <c r="AI106" s="215" t="str">
        <f>IF(AND($AV$72,AD106=0,AE106=20),AB106&amp;"ooo",IF(AD106&lt;AE106,AB106,""))</f>
        <v/>
      </c>
      <c r="AJ106" s="214" t="str">
        <f>IF(AE106&gt;AD106,AC106,"")</f>
        <v/>
      </c>
      <c r="AK106" s="214" t="str">
        <f>IF(AE106="","",IF(AD106=AE106,AC106,""))</f>
        <v/>
      </c>
      <c r="AL106" s="215" t="str">
        <f>IF(AND($AV$72,AD106=20,AE106=0),AC106&amp;"ooo",IF(AD106&gt;AE106,AC106,""))</f>
        <v/>
      </c>
      <c r="AM106" s="216">
        <f>G106</f>
        <v>0</v>
      </c>
      <c r="AP106" s="240"/>
      <c r="AQ106" s="241"/>
      <c r="AR106" s="242"/>
      <c r="AS106" s="579"/>
      <c r="AZ106" s="245"/>
      <c r="BA106" s="283"/>
      <c r="BB106" s="283"/>
      <c r="BC106" s="239"/>
      <c r="BD106" s="283"/>
      <c r="BE106" s="239"/>
      <c r="BF106" s="239"/>
      <c r="BG106" s="239"/>
      <c r="BJ106" s="245"/>
      <c r="BK106" s="245"/>
      <c r="BM106" s="245"/>
      <c r="BN106" s="245"/>
      <c r="BO106" s="245"/>
      <c r="BP106" s="245"/>
      <c r="BQ106" s="245"/>
    </row>
    <row r="107" spans="1:69" ht="13.5" customHeight="1" x14ac:dyDescent="0.2">
      <c r="A107" s="842"/>
      <c r="I107" s="169"/>
      <c r="J107" s="169"/>
      <c r="K107" s="169"/>
      <c r="L107" s="169"/>
      <c r="M107" s="169"/>
      <c r="N107" s="169"/>
      <c r="O107" s="169"/>
      <c r="P107" s="169"/>
      <c r="Q107" s="169"/>
      <c r="R107" s="169"/>
      <c r="S107" s="169"/>
      <c r="Y107" s="229"/>
      <c r="Z107" s="230"/>
      <c r="AG107" s="233"/>
      <c r="AH107" s="233"/>
      <c r="AI107" s="234"/>
      <c r="AJ107" s="233"/>
      <c r="AK107" s="233"/>
      <c r="AL107" s="234"/>
      <c r="AM107" s="234"/>
      <c r="AP107" s="240"/>
      <c r="AQ107" s="241"/>
      <c r="AR107" s="242"/>
      <c r="AS107" s="579"/>
      <c r="AZ107" s="245"/>
      <c r="BA107" s="283"/>
      <c r="BB107" s="283"/>
      <c r="BC107" s="239"/>
      <c r="BD107" s="283"/>
      <c r="BE107" s="239"/>
      <c r="BF107" s="239"/>
      <c r="BG107" s="239"/>
      <c r="BJ107" s="245"/>
      <c r="BK107" s="245"/>
      <c r="BM107" s="245"/>
      <c r="BN107" s="245"/>
      <c r="BO107" s="245"/>
      <c r="BP107" s="245"/>
      <c r="BQ107" s="245"/>
    </row>
    <row r="108" spans="1:69" ht="13.5" customHeight="1" x14ac:dyDescent="0.2">
      <c r="A108" s="842"/>
      <c r="I108" s="170"/>
      <c r="J108" s="171"/>
      <c r="K108" s="171"/>
      <c r="L108" s="171"/>
      <c r="M108" s="170"/>
      <c r="N108" s="172"/>
      <c r="Y108" s="229"/>
      <c r="Z108" s="230"/>
      <c r="AA108" s="231"/>
      <c r="AB108" s="231"/>
      <c r="AC108" s="231"/>
      <c r="AD108" s="232"/>
      <c r="AE108" s="231"/>
      <c r="AG108" s="233"/>
      <c r="AH108" s="233"/>
      <c r="AI108" s="234"/>
      <c r="AJ108" s="233"/>
      <c r="AK108" s="233"/>
      <c r="AL108" s="234"/>
      <c r="AM108" s="234"/>
      <c r="AO108" s="245"/>
      <c r="AP108" s="240"/>
      <c r="AQ108" s="241"/>
      <c r="AR108" s="242"/>
      <c r="AS108" s="579"/>
      <c r="AZ108" s="245"/>
      <c r="BA108" s="283"/>
      <c r="BB108" s="283"/>
      <c r="BC108" s="239"/>
      <c r="BD108" s="283"/>
      <c r="BE108" s="239"/>
      <c r="BF108" s="239"/>
      <c r="BG108" s="239"/>
      <c r="BJ108" s="245"/>
      <c r="BK108" s="245"/>
      <c r="BM108" s="245"/>
      <c r="BN108" s="245"/>
      <c r="BO108" s="245"/>
      <c r="BP108" s="245"/>
      <c r="BQ108" s="245"/>
    </row>
    <row r="109" spans="1:69" ht="13.5" customHeight="1" x14ac:dyDescent="0.2">
      <c r="A109" s="842"/>
      <c r="C109" s="480" t="str">
        <f>CONCATENATE(" ",AF111,"."," FORDULÓ")</f>
        <v xml:space="preserve"> 26. FORDULÓ</v>
      </c>
      <c r="D109" s="544"/>
      <c r="E109" s="544"/>
      <c r="F109" s="544"/>
      <c r="G109" s="544"/>
      <c r="H109" s="544"/>
      <c r="I109" s="843">
        <f>VLOOKUP(AF111,$AP$71:$AR$116,2,FALSE)</f>
        <v>42319</v>
      </c>
      <c r="J109" s="843"/>
      <c r="K109" s="843"/>
      <c r="L109" s="843"/>
      <c r="M109" s="624" t="str">
        <f>CONCATENATE(IF($AV$72,"pont: ","gól: "),SUM(J111:L124)," / átlag: ",TEXT(IF(COUNT(J111:L124)=0,"-",SUM(J111:L124)/COUNT(J111:L124)*2),"0,00"))</f>
        <v>gól: 14 / átlag: 2,80</v>
      </c>
      <c r="N109" s="565"/>
      <c r="O109" s="271" t="s">
        <v>285</v>
      </c>
      <c r="P109" s="169"/>
      <c r="Q109" s="169"/>
      <c r="R109" s="169"/>
      <c r="S109" s="169"/>
      <c r="AA109" s="231"/>
      <c r="AP109" s="240"/>
      <c r="AQ109" s="241"/>
      <c r="AR109" s="242"/>
      <c r="AS109" s="240"/>
      <c r="AU109" s="243"/>
      <c r="AZ109" s="245"/>
      <c r="BA109" s="283"/>
      <c r="BB109" s="283"/>
      <c r="BC109" s="239"/>
      <c r="BD109" s="283"/>
      <c r="BE109" s="239"/>
      <c r="BF109" s="239"/>
      <c r="BG109" s="239"/>
      <c r="BJ109" s="245"/>
      <c r="BK109" s="245"/>
      <c r="BM109" s="245"/>
      <c r="BN109" s="245"/>
      <c r="BO109" s="245"/>
      <c r="BP109" s="245"/>
      <c r="BQ109" s="245"/>
    </row>
    <row r="110" spans="1:69" ht="21" customHeight="1" x14ac:dyDescent="0.25">
      <c r="A110" s="842"/>
      <c r="I110" s="567"/>
      <c r="K110" s="627" t="s">
        <v>509</v>
      </c>
      <c r="O110" s="169"/>
      <c r="P110" s="169"/>
      <c r="Q110" s="169"/>
      <c r="R110" s="169"/>
      <c r="S110" s="169"/>
      <c r="AA110" s="231"/>
      <c r="AP110" s="240"/>
      <c r="AQ110" s="241"/>
      <c r="AR110" s="242"/>
      <c r="AS110" s="579"/>
      <c r="AZ110" s="245"/>
      <c r="BA110" s="283"/>
      <c r="BB110" s="283"/>
      <c r="BC110" s="239"/>
      <c r="BD110" s="283"/>
      <c r="BE110" s="239"/>
      <c r="BF110" s="239"/>
      <c r="BG110" s="239"/>
      <c r="BJ110" s="245"/>
      <c r="BK110" s="245"/>
      <c r="BM110" s="245"/>
      <c r="BN110" s="245"/>
      <c r="BO110" s="245"/>
      <c r="BP110" s="245"/>
      <c r="BQ110" s="245"/>
    </row>
    <row r="111" spans="1:69" ht="13.5" customHeight="1" x14ac:dyDescent="0.2">
      <c r="A111" s="842"/>
      <c r="C111" s="615">
        <v>1</v>
      </c>
      <c r="D111" s="616" t="s">
        <v>247</v>
      </c>
      <c r="E111" s="617">
        <v>3</v>
      </c>
      <c r="G111" s="255">
        <v>42319</v>
      </c>
      <c r="H111" s="255" t="s">
        <v>497</v>
      </c>
      <c r="I111" s="265" t="str">
        <f ca="1">IF(OR(C111="",NOT($BJ$57)),"",VLOOKUP(C111,rsors,2,FALSE))</f>
        <v>BBK</v>
      </c>
      <c r="J111" s="272">
        <v>0</v>
      </c>
      <c r="K111" s="200" t="s">
        <v>247</v>
      </c>
      <c r="L111" s="273">
        <v>1</v>
      </c>
      <c r="M111" s="266" t="str">
        <f ca="1">IF(OR(E111="",NOT($BJ$57)),"",VLOOKUP(E111,rsors,2,FALSE))</f>
        <v>BHD</v>
      </c>
      <c r="N111" s="207"/>
      <c r="O111" s="267"/>
      <c r="P111" s="169"/>
      <c r="Q111" s="169"/>
      <c r="R111" s="169"/>
      <c r="S111" s="169"/>
      <c r="T111" s="209"/>
      <c r="U111" s="209"/>
      <c r="V111" s="209"/>
      <c r="W111" s="209"/>
      <c r="Y111" s="210" t="str">
        <f ca="1">AB111&amp;AC111</f>
        <v>BBKBHD</v>
      </c>
      <c r="Z111" s="211" t="b">
        <f>AND(J111&lt;&gt;"",L111&lt;&gt;"")</f>
        <v>1</v>
      </c>
      <c r="AA111" s="210">
        <f>AF111</f>
        <v>26</v>
      </c>
      <c r="AB111" s="210" t="str">
        <f ca="1">I111</f>
        <v>BBK</v>
      </c>
      <c r="AC111" s="210" t="str">
        <f ca="1">M111</f>
        <v>BHD</v>
      </c>
      <c r="AD111" s="212">
        <f>IF(Z111,J111,"")</f>
        <v>0</v>
      </c>
      <c r="AE111" s="210">
        <f>IF(Z111,L111,"")</f>
        <v>1</v>
      </c>
      <c r="AF111" s="213">
        <f>AF93+1</f>
        <v>26</v>
      </c>
      <c r="AG111" s="214" t="str">
        <f>IF(AD111&gt;AE111,AB111,"")</f>
        <v/>
      </c>
      <c r="AH111" s="214" t="str">
        <f>IF(AE111="","",IF(AD111=AE111,AB111,""))</f>
        <v/>
      </c>
      <c r="AI111" s="215" t="str">
        <f ca="1">IF(AND($AV$72,AD111=0,AE111=20),AB111&amp;"ooo",IF(AD111&lt;AE111,AB111,""))</f>
        <v>BBK</v>
      </c>
      <c r="AJ111" s="214" t="str">
        <f ca="1">IF(AE111&gt;AD111,AC111,"")</f>
        <v>BHD</v>
      </c>
      <c r="AK111" s="214" t="str">
        <f>IF(AE111="","",IF(AD111=AE111,AC111,""))</f>
        <v/>
      </c>
      <c r="AL111" s="215" t="str">
        <f>IF(AND($AV$72,AD111=20,AE111=0),AC111&amp;"ooo",IF(AD111&gt;AE111,AC111,""))</f>
        <v/>
      </c>
      <c r="AM111" s="216">
        <f>G111</f>
        <v>42319</v>
      </c>
      <c r="AP111" s="240"/>
      <c r="AQ111" s="241"/>
      <c r="AR111" s="242"/>
      <c r="AS111" s="579"/>
      <c r="AZ111" s="245"/>
      <c r="BA111" s="283"/>
      <c r="BB111" s="283"/>
      <c r="BC111" s="239"/>
      <c r="BD111" s="283"/>
      <c r="BE111" s="239"/>
      <c r="BF111" s="239"/>
      <c r="BG111" s="239"/>
      <c r="BJ111" s="245"/>
      <c r="BK111" s="245"/>
      <c r="BM111" s="245"/>
      <c r="BN111" s="625" t="str">
        <f>G111&amp;H111</f>
        <v>4231919:00 – A pálya</v>
      </c>
      <c r="BO111" s="284">
        <f>COUNTIF($BN$57:$BN$142,BN111)</f>
        <v>1</v>
      </c>
      <c r="BP111" s="512" t="str">
        <f ca="1">Y111</f>
        <v>BBKBHD</v>
      </c>
      <c r="BQ111" s="245"/>
    </row>
    <row r="112" spans="1:69" ht="13.5" customHeight="1" x14ac:dyDescent="0.2">
      <c r="A112" s="842"/>
      <c r="C112" s="615">
        <v>2</v>
      </c>
      <c r="D112" s="616" t="s">
        <v>247</v>
      </c>
      <c r="E112" s="617">
        <v>6</v>
      </c>
      <c r="G112" s="255">
        <v>42319</v>
      </c>
      <c r="H112" s="255" t="s">
        <v>498</v>
      </c>
      <c r="I112" s="265" t="str">
        <f ca="1">IF(OR(C112="",NOT($BJ$57)),"",VLOOKUP(C112,rsors,2,FALSE))</f>
        <v>K&amp;H</v>
      </c>
      <c r="J112" s="272">
        <v>1</v>
      </c>
      <c r="K112" s="200" t="s">
        <v>247</v>
      </c>
      <c r="L112" s="273">
        <v>0</v>
      </c>
      <c r="M112" s="266" t="str">
        <f ca="1">IF(OR(E112="",NOT($BJ$57)),"",VLOOKUP(E112,rsors,2,FALSE))</f>
        <v>Hercules-Ludovika</v>
      </c>
      <c r="N112" s="207"/>
      <c r="O112" s="268"/>
      <c r="P112" s="169"/>
      <c r="Q112" s="169"/>
      <c r="R112" s="169"/>
      <c r="S112" s="169"/>
      <c r="T112" s="209"/>
      <c r="U112" s="209"/>
      <c r="V112" s="209"/>
      <c r="W112" s="209"/>
      <c r="Y112" s="210" t="str">
        <f ca="1">AB112&amp;AC112</f>
        <v>K&amp;HHercules-Ludovika</v>
      </c>
      <c r="Z112" s="211" t="b">
        <f>AND(J112&lt;&gt;"",L112&lt;&gt;"")</f>
        <v>1</v>
      </c>
      <c r="AA112" s="210">
        <f>AA111</f>
        <v>26</v>
      </c>
      <c r="AB112" s="210" t="str">
        <f ca="1">I112</f>
        <v>K&amp;H</v>
      </c>
      <c r="AC112" s="210" t="str">
        <f ca="1">M112</f>
        <v>Hercules-Ludovika</v>
      </c>
      <c r="AD112" s="212">
        <f>IF(Z112,J112,"")</f>
        <v>1</v>
      </c>
      <c r="AE112" s="210">
        <f>IF(Z112,L112,"")</f>
        <v>0</v>
      </c>
      <c r="AF112" s="213"/>
      <c r="AG112" s="214" t="str">
        <f ca="1">IF(AD112&gt;AE112,AB112,"")</f>
        <v>K&amp;H</v>
      </c>
      <c r="AH112" s="214" t="str">
        <f>IF(AE112="","",IF(AD112=AE112,AB112,""))</f>
        <v/>
      </c>
      <c r="AI112" s="215" t="str">
        <f>IF(AND($AV$72,AD112=0,AE112=20),AB112&amp;"ooo",IF(AD112&lt;AE112,AB112,""))</f>
        <v/>
      </c>
      <c r="AJ112" s="214" t="str">
        <f>IF(AE112&gt;AD112,AC112,"")</f>
        <v/>
      </c>
      <c r="AK112" s="214" t="str">
        <f>IF(AE112="","",IF(AD112=AE112,AC112,""))</f>
        <v/>
      </c>
      <c r="AL112" s="215" t="str">
        <f ca="1">IF(AND($AV$72,AD112=20,AE112=0),AC112&amp;"ooo",IF(AD112&gt;AE112,AC112,""))</f>
        <v>Hercules-Ludovika</v>
      </c>
      <c r="AM112" s="216">
        <f>G112</f>
        <v>42319</v>
      </c>
      <c r="AO112" s="245"/>
      <c r="AP112" s="240"/>
      <c r="AQ112" s="241"/>
      <c r="AR112" s="242"/>
      <c r="AS112" s="579"/>
      <c r="AZ112" s="245"/>
      <c r="BA112" s="283"/>
      <c r="BB112" s="283"/>
      <c r="BC112" s="239"/>
      <c r="BD112" s="283"/>
      <c r="BE112" s="239"/>
      <c r="BF112" s="239"/>
      <c r="BG112" s="239"/>
      <c r="BJ112" s="245"/>
      <c r="BK112" s="245"/>
      <c r="BM112" s="245"/>
      <c r="BN112" s="625" t="str">
        <f>G112&amp;H112</f>
        <v>4231919:45 – A pálya</v>
      </c>
      <c r="BO112" s="284">
        <f>COUNTIF($BN$57:$BN$142,BN112)</f>
        <v>1</v>
      </c>
      <c r="BP112" s="512" t="str">
        <f ca="1">Y112</f>
        <v>K&amp;HHercules-Ludovika</v>
      </c>
      <c r="BQ112" s="245"/>
    </row>
    <row r="113" spans="1:69" ht="13.5" customHeight="1" x14ac:dyDescent="0.2">
      <c r="A113" s="842"/>
      <c r="C113" s="615">
        <v>4</v>
      </c>
      <c r="D113" s="616" t="s">
        <v>247</v>
      </c>
      <c r="E113" s="617">
        <v>5</v>
      </c>
      <c r="G113" s="255">
        <v>42319</v>
      </c>
      <c r="H113" s="255" t="s">
        <v>499</v>
      </c>
      <c r="I113" s="265" t="str">
        <f ca="1">IF(OR(C113="",NOT($BJ$57)),"",VLOOKUP(C113,rsors,2,FALSE))</f>
        <v>Zrínyigyöngye</v>
      </c>
      <c r="J113" s="272">
        <v>3</v>
      </c>
      <c r="K113" s="200" t="s">
        <v>247</v>
      </c>
      <c r="L113" s="273">
        <v>2</v>
      </c>
      <c r="M113" s="266" t="str">
        <f ca="1">IF(OR(E113="",NOT($BJ$57)),"",VLOOKUP(E113,rsors,2,FALSE))</f>
        <v>Élelmesek</v>
      </c>
      <c r="N113" s="207"/>
      <c r="O113" s="268"/>
      <c r="P113" s="169"/>
      <c r="Q113" s="169"/>
      <c r="R113" s="169"/>
      <c r="S113" s="169"/>
      <c r="T113" s="209"/>
      <c r="U113" s="209"/>
      <c r="V113" s="209"/>
      <c r="W113" s="209"/>
      <c r="Y113" s="210" t="str">
        <f ca="1">AB113&amp;AC113</f>
        <v>ZrínyigyöngyeÉlelmesek</v>
      </c>
      <c r="Z113" s="211" t="b">
        <f>AND(J113&lt;&gt;"",L113&lt;&gt;"")</f>
        <v>1</v>
      </c>
      <c r="AA113" s="210">
        <f>AA112</f>
        <v>26</v>
      </c>
      <c r="AB113" s="210" t="str">
        <f ca="1">I113</f>
        <v>Zrínyigyöngye</v>
      </c>
      <c r="AC113" s="210" t="str">
        <f ca="1">M113</f>
        <v>Élelmesek</v>
      </c>
      <c r="AD113" s="212">
        <f>IF(Z113,J113,"")</f>
        <v>3</v>
      </c>
      <c r="AE113" s="210">
        <f>IF(Z113,L113,"")</f>
        <v>2</v>
      </c>
      <c r="AF113" s="213"/>
      <c r="AG113" s="214" t="str">
        <f ca="1">IF(AD113&gt;AE113,AB113,"")</f>
        <v>Zrínyigyöngye</v>
      </c>
      <c r="AH113" s="214" t="str">
        <f>IF(AE113="","",IF(AD113=AE113,AB113,""))</f>
        <v/>
      </c>
      <c r="AI113" s="215" t="str">
        <f>IF(AND($AV$72,AD113=0,AE113=20),AB113&amp;"ooo",IF(AD113&lt;AE113,AB113,""))</f>
        <v/>
      </c>
      <c r="AJ113" s="214" t="str">
        <f>IF(AE113&gt;AD113,AC113,"")</f>
        <v/>
      </c>
      <c r="AK113" s="214" t="str">
        <f>IF(AE113="","",IF(AD113=AE113,AC113,""))</f>
        <v/>
      </c>
      <c r="AL113" s="215" t="str">
        <f ca="1">IF(AND($AV$72,AD113=20,AE113=0),AC113&amp;"ooo",IF(AD113&gt;AE113,AC113,""))</f>
        <v>Élelmesek</v>
      </c>
      <c r="AM113" s="216">
        <f>G113</f>
        <v>42319</v>
      </c>
      <c r="AO113" s="245"/>
      <c r="AP113" s="240"/>
      <c r="AQ113" s="241"/>
      <c r="AR113" s="242"/>
      <c r="AS113" s="579"/>
      <c r="AT113" s="245"/>
      <c r="AU113" s="245"/>
      <c r="AV113" s="245"/>
      <c r="AW113" s="245"/>
      <c r="AX113" s="245"/>
      <c r="BA113" s="283"/>
      <c r="BB113" s="283"/>
      <c r="BC113" s="239"/>
      <c r="BD113" s="283"/>
      <c r="BE113" s="239"/>
      <c r="BF113" s="239"/>
      <c r="BG113" s="239"/>
      <c r="BJ113" s="245"/>
      <c r="BN113" s="625" t="str">
        <f>G113&amp;H113</f>
        <v>4231920:30 – A pálya</v>
      </c>
      <c r="BO113" s="284">
        <f>COUNTIF($BN$57:$BN$142,BN113)</f>
        <v>1</v>
      </c>
      <c r="BP113" s="512" t="str">
        <f ca="1">Y113</f>
        <v>ZrínyigyöngyeÉlelmesek</v>
      </c>
    </row>
    <row r="114" spans="1:69" ht="13.5" hidden="1" customHeight="1" x14ac:dyDescent="0.2">
      <c r="A114" s="842"/>
      <c r="C114" s="615"/>
      <c r="D114" s="616"/>
      <c r="E114" s="617"/>
      <c r="G114" s="255"/>
      <c r="H114" s="204"/>
      <c r="I114" s="265"/>
      <c r="J114" s="272"/>
      <c r="L114" s="273"/>
      <c r="M114" s="266"/>
      <c r="N114" s="207"/>
      <c r="O114" s="268"/>
      <c r="P114" s="169"/>
      <c r="Q114" s="169"/>
      <c r="R114" s="169"/>
      <c r="S114" s="169"/>
      <c r="T114" s="209"/>
      <c r="U114" s="209"/>
      <c r="Y114" s="210" t="str">
        <f>AB114&amp;AC114</f>
        <v>00</v>
      </c>
      <c r="Z114" s="211" t="b">
        <f>AND(J114&lt;&gt;"",L114&lt;&gt;"")</f>
        <v>0</v>
      </c>
      <c r="AA114" s="210">
        <f>AA113</f>
        <v>26</v>
      </c>
      <c r="AB114" s="210">
        <f>I114</f>
        <v>0</v>
      </c>
      <c r="AC114" s="210">
        <f>M114</f>
        <v>0</v>
      </c>
      <c r="AD114" s="212" t="str">
        <f>IF(Z114,J114,"")</f>
        <v/>
      </c>
      <c r="AE114" s="210" t="str">
        <f>IF(Z114,L114,"")</f>
        <v/>
      </c>
      <c r="AF114" s="213"/>
      <c r="AG114" s="214" t="str">
        <f>IF(AD114&gt;AE114,AB114,"")</f>
        <v/>
      </c>
      <c r="AH114" s="214" t="str">
        <f>IF(AE114="","",IF(AD114=AE114,AB114,""))</f>
        <v/>
      </c>
      <c r="AI114" s="215" t="str">
        <f>IF(AND($AV$72,AD114=0,AE114=20),AB114&amp;"ooo",IF(AD114&lt;AE114,AB114,""))</f>
        <v/>
      </c>
      <c r="AJ114" s="214" t="str">
        <f>IF(AE114&gt;AD114,AC114,"")</f>
        <v/>
      </c>
      <c r="AK114" s="214" t="str">
        <f>IF(AE114="","",IF(AD114=AE114,AC114,""))</f>
        <v/>
      </c>
      <c r="AL114" s="215" t="str">
        <f>IF(AND($AV$72,AD114=20,AE114=0),AC114&amp;"ooo",IF(AD114&gt;AE114,AC114,""))</f>
        <v/>
      </c>
      <c r="AM114" s="216">
        <f>G114</f>
        <v>0</v>
      </c>
      <c r="AO114" s="245"/>
      <c r="AP114" s="240"/>
      <c r="AQ114" s="241"/>
      <c r="AR114" s="242"/>
      <c r="AS114" s="579"/>
      <c r="AT114" s="245"/>
      <c r="AU114" s="245"/>
      <c r="AV114" s="245"/>
      <c r="AW114" s="245"/>
      <c r="AX114" s="245"/>
      <c r="AZ114" s="245"/>
      <c r="BA114" s="283"/>
      <c r="BB114" s="283"/>
      <c r="BC114" s="239"/>
      <c r="BD114" s="283"/>
      <c r="BE114" s="239"/>
      <c r="BF114" s="239"/>
      <c r="BG114" s="239"/>
      <c r="BJ114" s="245"/>
      <c r="BK114" s="245"/>
      <c r="BM114" s="245"/>
      <c r="BQ114" s="245"/>
    </row>
    <row r="115" spans="1:69" ht="21" customHeight="1" x14ac:dyDescent="0.25">
      <c r="A115" s="842"/>
      <c r="C115" s="618"/>
      <c r="D115" s="618"/>
      <c r="E115" s="618"/>
      <c r="G115" s="576"/>
      <c r="H115" s="576"/>
      <c r="I115" s="567"/>
      <c r="K115" s="627" t="s">
        <v>510</v>
      </c>
      <c r="N115" s="223"/>
      <c r="O115" s="169"/>
      <c r="P115" s="169"/>
      <c r="Q115" s="169"/>
      <c r="R115" s="169"/>
      <c r="S115" s="169"/>
      <c r="T115" s="209"/>
      <c r="U115" s="209"/>
      <c r="V115" s="209"/>
      <c r="W115" s="209"/>
      <c r="Y115" s="229"/>
      <c r="Z115" s="230"/>
      <c r="AA115" s="231"/>
      <c r="AB115" s="231"/>
      <c r="AC115" s="231"/>
      <c r="AD115" s="232"/>
      <c r="AE115" s="231"/>
      <c r="AG115" s="233"/>
      <c r="AH115" s="233"/>
      <c r="AI115" s="234"/>
      <c r="AJ115" s="233"/>
      <c r="AK115" s="233"/>
      <c r="AL115" s="234"/>
      <c r="AM115" s="234"/>
      <c r="AO115" s="245"/>
      <c r="AP115" s="240"/>
      <c r="AQ115" s="241"/>
      <c r="AR115" s="242"/>
      <c r="AS115" s="579"/>
      <c r="AT115" s="245"/>
      <c r="AU115" s="245"/>
      <c r="AV115" s="245"/>
      <c r="AW115" s="245"/>
      <c r="AX115" s="245"/>
      <c r="AZ115" s="245"/>
      <c r="BA115" s="283"/>
      <c r="BB115" s="283"/>
      <c r="BC115" s="239"/>
      <c r="BD115" s="283"/>
      <c r="BE115" s="239"/>
      <c r="BF115" s="239"/>
      <c r="BG115" s="239"/>
      <c r="BJ115" s="245"/>
      <c r="BK115" s="245"/>
      <c r="BM115" s="245"/>
      <c r="BQ115" s="245"/>
    </row>
    <row r="116" spans="1:69" ht="13.5" customHeight="1" x14ac:dyDescent="0.2">
      <c r="A116" s="842"/>
      <c r="C116" s="615">
        <v>11</v>
      </c>
      <c r="D116" s="616" t="s">
        <v>247</v>
      </c>
      <c r="E116" s="617">
        <v>13</v>
      </c>
      <c r="G116" s="204">
        <v>42319</v>
      </c>
      <c r="H116" s="255" t="s">
        <v>500</v>
      </c>
      <c r="I116" s="265" t="str">
        <f ca="1">IF(OR(C116="",NOT($BJ$57)),"",VLOOKUP(C116,rsors,2,FALSE))</f>
        <v>Bakafogó-Honvéd-Sashegy SE</v>
      </c>
      <c r="J116" s="272">
        <v>1</v>
      </c>
      <c r="K116" s="200" t="s">
        <v>247</v>
      </c>
      <c r="L116" s="273">
        <v>1</v>
      </c>
      <c r="M116" s="266" t="str">
        <f ca="1">IF(OR(E116="",NOT($BJ$57)),"",VLOOKUP(E116,rsors,2,FALSE))</f>
        <v>Carbonász</v>
      </c>
      <c r="N116" s="207"/>
      <c r="O116" s="267"/>
      <c r="P116" s="169"/>
      <c r="Q116" s="169"/>
      <c r="R116" s="169"/>
      <c r="S116" s="169"/>
      <c r="Y116" s="210" t="str">
        <f ca="1">AB116&amp;AC116</f>
        <v>Bakafogó-Honvéd-Sashegy SECarbonász</v>
      </c>
      <c r="Z116" s="211" t="b">
        <f>AND(J116&lt;&gt;"",L116&lt;&gt;"")</f>
        <v>1</v>
      </c>
      <c r="AA116" s="210">
        <f>AA114</f>
        <v>26</v>
      </c>
      <c r="AB116" s="210" t="str">
        <f ca="1">I116</f>
        <v>Bakafogó-Honvéd-Sashegy SE</v>
      </c>
      <c r="AC116" s="210" t="str">
        <f ca="1">M116</f>
        <v>Carbonász</v>
      </c>
      <c r="AD116" s="212">
        <f>IF(Z116,J116,"")</f>
        <v>1</v>
      </c>
      <c r="AE116" s="210">
        <f>IF(Z116,L116,"")</f>
        <v>1</v>
      </c>
      <c r="AG116" s="214" t="str">
        <f>IF(AD116&gt;AE116,AB116,"")</f>
        <v/>
      </c>
      <c r="AH116" s="214" t="str">
        <f ca="1">IF(AE116="","",IF(AD116=AE116,AB116,""))</f>
        <v>Bakafogó-Honvéd-Sashegy SE</v>
      </c>
      <c r="AI116" s="215" t="str">
        <f>IF(AND($AV$72,AD116=0,AE116=20),AB116&amp;"ooo",IF(AD116&lt;AE116,AB116,""))</f>
        <v/>
      </c>
      <c r="AJ116" s="214" t="str">
        <f>IF(AE116&gt;AD116,AC116,"")</f>
        <v/>
      </c>
      <c r="AK116" s="214" t="str">
        <f ca="1">IF(AE116="","",IF(AD116=AE116,AC116,""))</f>
        <v>Carbonász</v>
      </c>
      <c r="AL116" s="215" t="str">
        <f>IF(AND($AV$72,AD116=20,AE116=0),AC116&amp;"ooo",IF(AD116&gt;AE116,AC116,""))</f>
        <v/>
      </c>
      <c r="AM116" s="216">
        <f>G116</f>
        <v>42319</v>
      </c>
      <c r="AO116" s="245"/>
      <c r="AP116" s="240"/>
      <c r="AQ116" s="241"/>
      <c r="AR116" s="242"/>
      <c r="AS116" s="579"/>
      <c r="AT116" s="245"/>
      <c r="AU116" s="245"/>
      <c r="AV116" s="245"/>
      <c r="AW116" s="245"/>
      <c r="AX116" s="245"/>
      <c r="AZ116" s="245"/>
      <c r="BA116" s="283"/>
      <c r="BB116" s="283"/>
      <c r="BC116" s="239"/>
      <c r="BD116" s="283"/>
      <c r="BE116" s="239"/>
      <c r="BF116" s="239"/>
      <c r="BG116" s="239"/>
      <c r="BJ116" s="245"/>
      <c r="BK116" s="245"/>
      <c r="BM116" s="245"/>
      <c r="BN116" s="625" t="str">
        <f>G116&amp;H116</f>
        <v>4231919:00 – B pálya</v>
      </c>
      <c r="BO116" s="284">
        <f>COUNTIF($BN$57:$BN$142,BN116)</f>
        <v>1</v>
      </c>
      <c r="BP116" s="512" t="str">
        <f ca="1">Y116</f>
        <v>Bakafogó-Honvéd-Sashegy SECarbonász</v>
      </c>
      <c r="BQ116" s="245"/>
    </row>
    <row r="117" spans="1:69" ht="13.5" customHeight="1" x14ac:dyDescent="0.2">
      <c r="A117" s="842"/>
      <c r="C117" s="615">
        <v>14</v>
      </c>
      <c r="D117" s="616" t="s">
        <v>247</v>
      </c>
      <c r="E117" s="617">
        <v>15</v>
      </c>
      <c r="G117" s="204">
        <v>42319</v>
      </c>
      <c r="H117" s="255" t="s">
        <v>501</v>
      </c>
      <c r="I117" s="265" t="str">
        <f ca="1">IF(OR(C117="",NOT($BJ$57)),"",VLOOKUP(C117,rsors,2,FALSE))</f>
        <v>Bőrdíszmű</v>
      </c>
      <c r="J117" s="272">
        <v>3</v>
      </c>
      <c r="K117" s="200" t="s">
        <v>247</v>
      </c>
      <c r="L117" s="273">
        <v>2</v>
      </c>
      <c r="M117" s="266" t="str">
        <f ca="1">IF(OR(E117="",NOT($BJ$57)),"",VLOOKUP(E117,rsors,2,FALSE))</f>
        <v>Royal Guard's</v>
      </c>
      <c r="N117" s="207"/>
      <c r="O117" s="268"/>
      <c r="P117" s="169"/>
      <c r="Q117" s="169"/>
      <c r="R117" s="169"/>
      <c r="S117" s="169"/>
      <c r="Y117" s="210" t="str">
        <f ca="1">AB117&amp;AC117</f>
        <v>BőrdíszműRoyal Guard's</v>
      </c>
      <c r="Z117" s="211" t="b">
        <f>AND(J117&lt;&gt;"",L117&lt;&gt;"")</f>
        <v>1</v>
      </c>
      <c r="AA117" s="210">
        <f>AA116</f>
        <v>26</v>
      </c>
      <c r="AB117" s="210" t="str">
        <f ca="1">I117</f>
        <v>Bőrdíszmű</v>
      </c>
      <c r="AC117" s="210" t="str">
        <f ca="1">M117</f>
        <v>Royal Guard's</v>
      </c>
      <c r="AD117" s="212">
        <f>IF(Z117,J117,"")</f>
        <v>3</v>
      </c>
      <c r="AE117" s="210">
        <f>IF(Z117,L117,"")</f>
        <v>2</v>
      </c>
      <c r="AG117" s="214" t="str">
        <f ca="1">IF(AD117&gt;AE117,AB117,"")</f>
        <v>Bőrdíszmű</v>
      </c>
      <c r="AH117" s="214" t="str">
        <f>IF(AE117="","",IF(AD117=AE117,AB117,""))</f>
        <v/>
      </c>
      <c r="AI117" s="215" t="str">
        <f>IF(AND($AV$72,AD117=0,AE117=20),AB117&amp;"ooo",IF(AD117&lt;AE117,AB117,""))</f>
        <v/>
      </c>
      <c r="AJ117" s="214" t="str">
        <f>IF(AE117&gt;AD117,AC117,"")</f>
        <v/>
      </c>
      <c r="AK117" s="214" t="str">
        <f>IF(AE117="","",IF(AD117=AE117,AC117,""))</f>
        <v/>
      </c>
      <c r="AL117" s="215" t="str">
        <f ca="1">IF(AND($AV$72,AD117=20,AE117=0),AC117&amp;"ooo",IF(AD117&gt;AE117,AC117,""))</f>
        <v>Royal Guard's</v>
      </c>
      <c r="AM117" s="216">
        <f>G117</f>
        <v>42319</v>
      </c>
      <c r="AO117" s="245"/>
      <c r="AP117" s="580" t="s">
        <v>143</v>
      </c>
      <c r="AQ117" s="581"/>
      <c r="AR117" s="582">
        <f ca="1">MIN(AR71:AR108)</f>
        <v>1000</v>
      </c>
      <c r="AS117" s="583">
        <f ca="1">MAX(AS71:AS116)</f>
        <v>27</v>
      </c>
      <c r="AT117" s="245"/>
      <c r="AU117" s="245"/>
      <c r="AV117" s="245"/>
      <c r="AW117" s="245"/>
      <c r="AX117" s="245"/>
      <c r="AZ117" s="245"/>
      <c r="BA117" s="283"/>
      <c r="BB117" s="283"/>
      <c r="BC117" s="239"/>
      <c r="BD117" s="283"/>
      <c r="BE117" s="239"/>
      <c r="BF117" s="239"/>
      <c r="BG117" s="239"/>
      <c r="BJ117" s="245"/>
      <c r="BK117" s="245"/>
      <c r="BM117" s="245"/>
      <c r="BN117" s="625" t="str">
        <f>G117&amp;H117</f>
        <v>4231919:45 – B pálya</v>
      </c>
      <c r="BO117" s="284">
        <f>COUNTIF($BN$57:$BN$142,BN117)</f>
        <v>1</v>
      </c>
      <c r="BP117" s="512" t="str">
        <f ca="1">Y117</f>
        <v>BőrdíszműRoyal Guard's</v>
      </c>
      <c r="BQ117" s="245"/>
    </row>
    <row r="118" spans="1:69" ht="13.5" customHeight="1" x14ac:dyDescent="0.25">
      <c r="A118" s="842"/>
      <c r="C118" s="615">
        <v>12</v>
      </c>
      <c r="D118" s="616" t="s">
        <v>247</v>
      </c>
      <c r="E118" s="617"/>
      <c r="G118" s="576"/>
      <c r="H118" s="576"/>
      <c r="I118" s="275" t="str">
        <f ca="1">IF(OR(C118="",NOT($BJ$57)),"",VLOOKUP(C118,rsors,2,FALSE))</f>
        <v>Vakana</v>
      </c>
      <c r="J118" s="628"/>
      <c r="K118" s="577"/>
      <c r="L118" s="628"/>
      <c r="M118" s="277" t="str">
        <f ca="1">IF(I118="","","szabadnapos")</f>
        <v>szabadnapos</v>
      </c>
      <c r="N118" s="207"/>
      <c r="O118" s="268"/>
      <c r="P118" s="169"/>
      <c r="Q118" s="169"/>
      <c r="R118" s="169"/>
      <c r="S118" s="169"/>
      <c r="Y118" s="210" t="str">
        <f ca="1">AB118&amp;AC118</f>
        <v>Vakanaszabadnapos</v>
      </c>
      <c r="Z118" s="211" t="b">
        <f>AND(J118&lt;&gt;"",L118&lt;&gt;"")</f>
        <v>0</v>
      </c>
      <c r="AA118" s="210">
        <f>AA117</f>
        <v>26</v>
      </c>
      <c r="AB118" s="210" t="str">
        <f ca="1">I118</f>
        <v>Vakana</v>
      </c>
      <c r="AC118" s="210" t="str">
        <f ca="1">M118</f>
        <v>szabadnapos</v>
      </c>
      <c r="AD118" s="212" t="str">
        <f>IF(Z118,J118,"")</f>
        <v/>
      </c>
      <c r="AE118" s="210" t="str">
        <f>IF(Z118,L118,"")</f>
        <v/>
      </c>
      <c r="AG118" s="214" t="str">
        <f>IF(AD118&gt;AE118,AB118,"")</f>
        <v/>
      </c>
      <c r="AH118" s="214" t="str">
        <f>IF(AE118="","",IF(AD118=AE118,AB118,""))</f>
        <v/>
      </c>
      <c r="AI118" s="215" t="str">
        <f>IF(AND($AV$72,AD118=0,AE118=20),AB118&amp;"ooo",IF(AD118&lt;AE118,AB118,""))</f>
        <v/>
      </c>
      <c r="AJ118" s="214" t="str">
        <f>IF(AE118&gt;AD118,AC118,"")</f>
        <v/>
      </c>
      <c r="AK118" s="214" t="str">
        <f>IF(AE118="","",IF(AD118=AE118,AC118,""))</f>
        <v/>
      </c>
      <c r="AL118" s="215" t="str">
        <f>IF(AND($AV$72,AD118=20,AE118=0),AC118&amp;"ooo",IF(AD118&gt;AE118,AC118,""))</f>
        <v/>
      </c>
      <c r="AM118" s="750">
        <f>AM111</f>
        <v>42319</v>
      </c>
      <c r="AO118" s="245"/>
      <c r="AP118" s="245"/>
      <c r="AQ118" s="245"/>
      <c r="AR118" s="253" t="s">
        <v>389</v>
      </c>
      <c r="AS118" s="584">
        <f ca="1">IF(RTAB!$R$43&lt;AS117,RTAB!$R$43,AS117)</f>
        <v>27</v>
      </c>
      <c r="AT118" s="245"/>
      <c r="AU118" s="245"/>
      <c r="AV118" s="245"/>
      <c r="AW118" s="245"/>
      <c r="AX118" s="245"/>
      <c r="AZ118" s="245"/>
      <c r="BA118" s="283"/>
      <c r="BB118" s="283"/>
      <c r="BC118" s="239"/>
      <c r="BD118" s="283"/>
      <c r="BE118" s="239"/>
      <c r="BF118" s="239"/>
      <c r="BG118" s="239"/>
      <c r="BJ118" s="245"/>
      <c r="BK118" s="245"/>
      <c r="BM118" s="245"/>
      <c r="BN118" s="245"/>
      <c r="BO118" s="245"/>
      <c r="BP118" s="245"/>
      <c r="BQ118" s="245"/>
    </row>
    <row r="119" spans="1:69" ht="13.5" hidden="1" customHeight="1" x14ac:dyDescent="0.2">
      <c r="A119" s="842"/>
      <c r="C119" s="615"/>
      <c r="D119" s="616"/>
      <c r="E119" s="617"/>
      <c r="G119" s="204"/>
      <c r="H119" s="204"/>
      <c r="I119" s="265"/>
      <c r="J119" s="272"/>
      <c r="L119" s="273"/>
      <c r="M119" s="266"/>
      <c r="N119" s="207"/>
      <c r="O119" s="268"/>
      <c r="P119" s="169"/>
      <c r="Q119" s="169"/>
      <c r="R119" s="169"/>
      <c r="S119" s="169"/>
      <c r="Y119" s="210" t="str">
        <f>AB119&amp;AC119</f>
        <v>00</v>
      </c>
      <c r="Z119" s="211" t="b">
        <f>AND(J119&lt;&gt;"",L119&lt;&gt;"")</f>
        <v>0</v>
      </c>
      <c r="AA119" s="210">
        <f>AA118</f>
        <v>26</v>
      </c>
      <c r="AB119" s="210">
        <f>I119</f>
        <v>0</v>
      </c>
      <c r="AC119" s="210">
        <f>M119</f>
        <v>0</v>
      </c>
      <c r="AD119" s="212" t="str">
        <f>IF(Z119,J119,"")</f>
        <v/>
      </c>
      <c r="AE119" s="210" t="str">
        <f>IF(Z119,L119,"")</f>
        <v/>
      </c>
      <c r="AG119" s="214" t="str">
        <f>IF(AD119&gt;AE119,AB119,"")</f>
        <v/>
      </c>
      <c r="AH119" s="214" t="str">
        <f>IF(AE119="","",IF(AD119=AE119,AB119,""))</f>
        <v/>
      </c>
      <c r="AI119" s="215" t="str">
        <f>IF(AND($AV$72,AD119=0,AE119=20),AB119&amp;"ooo",IF(AD119&lt;AE119,AB119,""))</f>
        <v/>
      </c>
      <c r="AJ119" s="214" t="str">
        <f>IF(AE119&gt;AD119,AC119,"")</f>
        <v/>
      </c>
      <c r="AK119" s="214" t="str">
        <f>IF(AE119="","",IF(AD119=AE119,AC119,""))</f>
        <v/>
      </c>
      <c r="AL119" s="215" t="str">
        <f>IF(AND($AV$72,AD119=20,AE119=0),AC119&amp;"ooo",IF(AD119&gt;AE119,AC119,""))</f>
        <v/>
      </c>
      <c r="AM119" s="216">
        <f>G119</f>
        <v>0</v>
      </c>
      <c r="AO119" s="245"/>
      <c r="AP119" s="245"/>
      <c r="AQ119" s="245"/>
      <c r="AR119" s="245"/>
      <c r="AS119" s="245"/>
      <c r="AT119" s="245"/>
      <c r="AU119" s="245"/>
      <c r="AV119" s="245"/>
      <c r="AW119" s="245"/>
      <c r="AX119" s="245"/>
      <c r="AZ119" s="245"/>
      <c r="BA119" s="283"/>
      <c r="BB119" s="283"/>
      <c r="BC119" s="239"/>
      <c r="BD119" s="283"/>
      <c r="BE119" s="239"/>
      <c r="BF119" s="239"/>
      <c r="BG119" s="239"/>
      <c r="BJ119" s="245"/>
      <c r="BK119" s="245"/>
      <c r="BM119" s="245"/>
      <c r="BN119" s="245"/>
      <c r="BO119" s="245"/>
      <c r="BP119" s="245"/>
      <c r="BQ119" s="245"/>
    </row>
    <row r="120" spans="1:69" ht="21" hidden="1" customHeight="1" x14ac:dyDescent="0.2">
      <c r="A120" s="842"/>
      <c r="G120" s="576"/>
      <c r="H120" s="576"/>
      <c r="I120" s="567"/>
      <c r="K120" s="568"/>
      <c r="N120" s="169"/>
      <c r="O120" s="169"/>
      <c r="P120" s="169"/>
      <c r="Q120" s="169"/>
      <c r="R120" s="169"/>
      <c r="S120" s="169"/>
      <c r="Y120" s="229"/>
      <c r="Z120" s="230"/>
      <c r="AA120" s="231"/>
      <c r="AB120" s="231"/>
      <c r="AC120" s="231"/>
      <c r="AD120" s="232"/>
      <c r="AE120" s="231"/>
      <c r="AG120" s="233"/>
      <c r="AH120" s="233"/>
      <c r="AI120" s="234"/>
      <c r="AJ120" s="233"/>
      <c r="AK120" s="233"/>
      <c r="AL120" s="234"/>
      <c r="AM120" s="234"/>
      <c r="AO120" s="245"/>
      <c r="AP120" s="245"/>
      <c r="AQ120" s="245"/>
      <c r="AR120" s="245"/>
      <c r="AS120" s="245"/>
      <c r="AT120" s="245"/>
      <c r="AU120" s="245"/>
      <c r="AV120" s="245"/>
      <c r="AW120" s="245"/>
      <c r="AX120" s="245"/>
      <c r="AZ120" s="245"/>
      <c r="BA120" s="283"/>
      <c r="BB120" s="283"/>
      <c r="BC120" s="239"/>
      <c r="BD120" s="283"/>
      <c r="BE120" s="239"/>
      <c r="BF120" s="239"/>
      <c r="BG120" s="239"/>
      <c r="BJ120" s="245"/>
      <c r="BK120" s="245"/>
      <c r="BM120" s="245"/>
      <c r="BN120" s="245"/>
      <c r="BO120" s="245"/>
      <c r="BP120" s="245"/>
      <c r="BQ120" s="245"/>
    </row>
    <row r="121" spans="1:69" ht="13.5" hidden="1" customHeight="1" x14ac:dyDescent="0.2">
      <c r="A121" s="842"/>
      <c r="C121" s="569"/>
      <c r="D121" s="570"/>
      <c r="E121" s="571"/>
      <c r="G121" s="204"/>
      <c r="H121" s="204"/>
      <c r="I121" s="199"/>
      <c r="J121" s="205"/>
      <c r="L121" s="206"/>
      <c r="M121" s="201"/>
      <c r="N121" s="207"/>
      <c r="O121" s="208"/>
      <c r="P121" s="169"/>
      <c r="Q121" s="169"/>
      <c r="R121" s="169"/>
      <c r="S121" s="169"/>
      <c r="Y121" s="210" t="str">
        <f>AB121&amp;AC121</f>
        <v>00</v>
      </c>
      <c r="Z121" s="211" t="b">
        <f>AND(J121&lt;&gt;"",L121&lt;&gt;"")</f>
        <v>0</v>
      </c>
      <c r="AA121" s="210">
        <f>AA119</f>
        <v>26</v>
      </c>
      <c r="AB121" s="210">
        <f>I121</f>
        <v>0</v>
      </c>
      <c r="AC121" s="210">
        <f>M121</f>
        <v>0</v>
      </c>
      <c r="AD121" s="212" t="str">
        <f>IF(Z121,J121,"")</f>
        <v/>
      </c>
      <c r="AE121" s="210" t="str">
        <f>IF(Z121,L121,"")</f>
        <v/>
      </c>
      <c r="AG121" s="214" t="str">
        <f>IF(AD121&gt;AE121,AB121,"")</f>
        <v/>
      </c>
      <c r="AH121" s="214" t="str">
        <f>IF(AE121="","",IF(AD121=AE121,AB121,""))</f>
        <v/>
      </c>
      <c r="AI121" s="215" t="str">
        <f>IF(AND($AV$72,AD121=0,AE121=20),AB121&amp;"ooo",IF(AD121&lt;AE121,AB121,""))</f>
        <v/>
      </c>
      <c r="AJ121" s="214" t="str">
        <f>IF(AE121&gt;AD121,AC121,"")</f>
        <v/>
      </c>
      <c r="AK121" s="214" t="str">
        <f>IF(AE121="","",IF(AD121=AE121,AC121,""))</f>
        <v/>
      </c>
      <c r="AL121" s="215" t="str">
        <f>IF(AND($AV$72,AD121=20,AE121=0),AC121&amp;"ooo",IF(AD121&gt;AE121,AC121,""))</f>
        <v/>
      </c>
      <c r="AM121" s="216">
        <f>G121</f>
        <v>0</v>
      </c>
      <c r="AO121" s="245"/>
      <c r="AP121" s="245"/>
      <c r="AQ121" s="245"/>
      <c r="AR121" s="245"/>
      <c r="AS121" s="245"/>
      <c r="AT121" s="245"/>
      <c r="AU121" s="245"/>
      <c r="AV121" s="245"/>
      <c r="AW121" s="245"/>
      <c r="AX121" s="245"/>
      <c r="AZ121" s="245"/>
      <c r="BA121" s="283"/>
      <c r="BB121" s="283"/>
      <c r="BC121" s="239"/>
      <c r="BD121" s="283"/>
      <c r="BE121" s="239"/>
      <c r="BF121" s="239"/>
      <c r="BG121" s="239"/>
      <c r="BJ121" s="245"/>
      <c r="BK121" s="245"/>
      <c r="BM121" s="245"/>
      <c r="BN121" s="245"/>
      <c r="BO121" s="245"/>
      <c r="BP121" s="245"/>
      <c r="BQ121" s="245"/>
    </row>
    <row r="122" spans="1:69" ht="13.5" hidden="1" customHeight="1" x14ac:dyDescent="0.2">
      <c r="A122" s="842"/>
      <c r="C122" s="569"/>
      <c r="D122" s="570"/>
      <c r="E122" s="571"/>
      <c r="G122" s="204"/>
      <c r="H122" s="204"/>
      <c r="I122" s="199"/>
      <c r="J122" s="205"/>
      <c r="L122" s="206"/>
      <c r="M122" s="201"/>
      <c r="N122" s="207"/>
      <c r="O122" s="220"/>
      <c r="P122" s="169"/>
      <c r="Q122" s="169"/>
      <c r="R122" s="169"/>
      <c r="S122" s="169"/>
      <c r="Y122" s="210" t="str">
        <f>AB122&amp;AC122</f>
        <v>00</v>
      </c>
      <c r="Z122" s="211" t="b">
        <f>AND(J122&lt;&gt;"",L122&lt;&gt;"")</f>
        <v>0</v>
      </c>
      <c r="AA122" s="210">
        <f>AA121</f>
        <v>26</v>
      </c>
      <c r="AB122" s="210">
        <f>I122</f>
        <v>0</v>
      </c>
      <c r="AC122" s="210">
        <f>M122</f>
        <v>0</v>
      </c>
      <c r="AD122" s="212" t="str">
        <f>IF(Z122,J122,"")</f>
        <v/>
      </c>
      <c r="AE122" s="210" t="str">
        <f>IF(Z122,L122,"")</f>
        <v/>
      </c>
      <c r="AG122" s="214" t="str">
        <f>IF(AD122&gt;AE122,AB122,"")</f>
        <v/>
      </c>
      <c r="AH122" s="214" t="str">
        <f>IF(AE122="","",IF(AD122=AE122,AB122,""))</f>
        <v/>
      </c>
      <c r="AI122" s="215" t="str">
        <f>IF(AND($AV$72,AD122=0,AE122=20),AB122&amp;"ooo",IF(AD122&lt;AE122,AB122,""))</f>
        <v/>
      </c>
      <c r="AJ122" s="214" t="str">
        <f>IF(AE122&gt;AD122,AC122,"")</f>
        <v/>
      </c>
      <c r="AK122" s="214" t="str">
        <f>IF(AE122="","",IF(AD122=AE122,AC122,""))</f>
        <v/>
      </c>
      <c r="AL122" s="215" t="str">
        <f>IF(AND($AV$72,AD122=20,AE122=0),AC122&amp;"ooo",IF(AD122&gt;AE122,AC122,""))</f>
        <v/>
      </c>
      <c r="AM122" s="216">
        <f>G122</f>
        <v>0</v>
      </c>
      <c r="AO122" s="245"/>
      <c r="AP122" s="245"/>
      <c r="AQ122" s="245"/>
      <c r="AR122" s="245"/>
      <c r="AS122" s="245"/>
      <c r="AT122" s="245"/>
      <c r="AU122" s="245"/>
      <c r="AV122" s="245"/>
      <c r="AW122" s="245"/>
      <c r="AX122" s="245"/>
      <c r="AZ122" s="245"/>
      <c r="BA122" s="283"/>
      <c r="BB122" s="283"/>
      <c r="BC122" s="239"/>
      <c r="BD122" s="283"/>
      <c r="BE122" s="239"/>
      <c r="BF122" s="239"/>
      <c r="BG122" s="239"/>
      <c r="BJ122" s="245"/>
      <c r="BK122" s="245"/>
      <c r="BM122" s="245"/>
      <c r="BN122" s="245"/>
      <c r="BO122" s="245"/>
      <c r="BP122" s="245"/>
      <c r="BQ122" s="245"/>
    </row>
    <row r="123" spans="1:69" ht="13.5" hidden="1" customHeight="1" x14ac:dyDescent="0.2">
      <c r="A123" s="842"/>
      <c r="C123" s="569"/>
      <c r="D123" s="570"/>
      <c r="E123" s="571"/>
      <c r="G123" s="204"/>
      <c r="H123" s="204"/>
      <c r="I123" s="199"/>
      <c r="J123" s="205"/>
      <c r="L123" s="206"/>
      <c r="M123" s="201"/>
      <c r="N123" s="207"/>
      <c r="O123" s="220"/>
      <c r="P123" s="169"/>
      <c r="Q123" s="169"/>
      <c r="R123" s="169"/>
      <c r="S123" s="169"/>
      <c r="Y123" s="210" t="str">
        <f>AB123&amp;AC123</f>
        <v>00</v>
      </c>
      <c r="Z123" s="211" t="b">
        <f>AND(J123&lt;&gt;"",L123&lt;&gt;"")</f>
        <v>0</v>
      </c>
      <c r="AA123" s="210">
        <f>AA122</f>
        <v>26</v>
      </c>
      <c r="AB123" s="210">
        <f>I123</f>
        <v>0</v>
      </c>
      <c r="AC123" s="210">
        <f>M123</f>
        <v>0</v>
      </c>
      <c r="AD123" s="212" t="str">
        <f>IF(Z123,J123,"")</f>
        <v/>
      </c>
      <c r="AE123" s="210" t="str">
        <f>IF(Z123,L123,"")</f>
        <v/>
      </c>
      <c r="AG123" s="214" t="str">
        <f>IF(AD123&gt;AE123,AB123,"")</f>
        <v/>
      </c>
      <c r="AH123" s="214" t="str">
        <f>IF(AE123="","",IF(AD123=AE123,AB123,""))</f>
        <v/>
      </c>
      <c r="AI123" s="215" t="str">
        <f>IF(AND($AV$72,AD123=0,AE123=20),AB123&amp;"ooo",IF(AD123&lt;AE123,AB123,""))</f>
        <v/>
      </c>
      <c r="AJ123" s="214" t="str">
        <f>IF(AE123&gt;AD123,AC123,"")</f>
        <v/>
      </c>
      <c r="AK123" s="214" t="str">
        <f>IF(AE123="","",IF(AD123=AE123,AC123,""))</f>
        <v/>
      </c>
      <c r="AL123" s="215" t="str">
        <f>IF(AND($AV$72,AD123=20,AE123=0),AC123&amp;"ooo",IF(AD123&gt;AE123,AC123,""))</f>
        <v/>
      </c>
      <c r="AM123" s="216">
        <f>G123</f>
        <v>0</v>
      </c>
      <c r="AO123" s="245"/>
      <c r="AP123" s="245"/>
      <c r="AQ123" s="245"/>
      <c r="AR123" s="245"/>
      <c r="AS123" s="245"/>
      <c r="AT123" s="245"/>
      <c r="AU123" s="245"/>
      <c r="AV123" s="245"/>
      <c r="AW123" s="245"/>
      <c r="AX123" s="245"/>
      <c r="AZ123" s="245"/>
      <c r="BA123" s="283"/>
      <c r="BB123" s="283"/>
      <c r="BC123" s="239"/>
      <c r="BD123" s="283"/>
      <c r="BE123" s="239"/>
      <c r="BF123" s="239"/>
      <c r="BG123" s="239"/>
      <c r="BJ123" s="245"/>
      <c r="BK123" s="245"/>
      <c r="BM123" s="245"/>
      <c r="BN123" s="245"/>
      <c r="BO123" s="245"/>
      <c r="BP123" s="245"/>
      <c r="BQ123" s="245"/>
    </row>
    <row r="124" spans="1:69" ht="13.5" hidden="1" customHeight="1" x14ac:dyDescent="0.2">
      <c r="A124" s="842"/>
      <c r="C124" s="569"/>
      <c r="D124" s="570"/>
      <c r="E124" s="571"/>
      <c r="G124" s="204"/>
      <c r="H124" s="204"/>
      <c r="I124" s="199"/>
      <c r="J124" s="205"/>
      <c r="L124" s="206"/>
      <c r="M124" s="201"/>
      <c r="N124" s="207"/>
      <c r="O124" s="220"/>
      <c r="P124" s="169"/>
      <c r="Q124" s="169"/>
      <c r="R124" s="169"/>
      <c r="S124" s="169"/>
      <c r="Y124" s="210" t="str">
        <f>AB124&amp;AC124</f>
        <v>00</v>
      </c>
      <c r="Z124" s="211" t="b">
        <f>AND(J124&lt;&gt;"",L124&lt;&gt;"")</f>
        <v>0</v>
      </c>
      <c r="AA124" s="210">
        <f>AA123</f>
        <v>26</v>
      </c>
      <c r="AB124" s="210">
        <f>I124</f>
        <v>0</v>
      </c>
      <c r="AC124" s="210">
        <f>M124</f>
        <v>0</v>
      </c>
      <c r="AD124" s="212" t="str">
        <f>IF(Z124,J124,"")</f>
        <v/>
      </c>
      <c r="AE124" s="210" t="str">
        <f>IF(Z124,L124,"")</f>
        <v/>
      </c>
      <c r="AG124" s="214" t="str">
        <f>IF(AD124&gt;AE124,AB124,"")</f>
        <v/>
      </c>
      <c r="AH124" s="214" t="str">
        <f>IF(AE124="","",IF(AD124=AE124,AB124,""))</f>
        <v/>
      </c>
      <c r="AI124" s="215" t="str">
        <f>IF(AND($AV$72,AD124=0,AE124=20),AB124&amp;"ooo",IF(AD124&lt;AE124,AB124,""))</f>
        <v/>
      </c>
      <c r="AJ124" s="214" t="str">
        <f>IF(AE124&gt;AD124,AC124,"")</f>
        <v/>
      </c>
      <c r="AK124" s="214" t="str">
        <f>IF(AE124="","",IF(AD124=AE124,AC124,""))</f>
        <v/>
      </c>
      <c r="AL124" s="215" t="str">
        <f>IF(AND($AV$72,AD124=20,AE124=0),AC124&amp;"ooo",IF(AD124&gt;AE124,AC124,""))</f>
        <v/>
      </c>
      <c r="AM124" s="216">
        <f>G124</f>
        <v>0</v>
      </c>
      <c r="AO124" s="245"/>
      <c r="AP124" s="245"/>
      <c r="AQ124" s="245"/>
      <c r="AR124" s="245"/>
      <c r="AS124" s="245"/>
      <c r="AT124" s="245"/>
      <c r="AU124" s="245"/>
      <c r="AV124" s="245"/>
      <c r="AW124" s="245"/>
      <c r="AX124" s="245"/>
      <c r="AZ124" s="245"/>
      <c r="BA124" s="283"/>
      <c r="BB124" s="283"/>
      <c r="BC124" s="239"/>
      <c r="BD124" s="283"/>
      <c r="BE124" s="239"/>
      <c r="BF124" s="239"/>
      <c r="BG124" s="239"/>
      <c r="BJ124" s="245"/>
      <c r="BK124" s="245"/>
      <c r="BM124" s="245"/>
      <c r="BN124" s="245"/>
      <c r="BO124" s="245"/>
      <c r="BP124" s="245"/>
      <c r="BQ124" s="245"/>
    </row>
    <row r="125" spans="1:69" ht="13.5" customHeight="1" x14ac:dyDescent="0.2">
      <c r="A125" s="842"/>
      <c r="I125" s="169"/>
      <c r="J125" s="169"/>
      <c r="K125" s="169"/>
      <c r="L125" s="169"/>
      <c r="M125" s="169"/>
      <c r="N125" s="169"/>
      <c r="O125" s="169"/>
      <c r="P125" s="169"/>
      <c r="Q125" s="169"/>
      <c r="R125" s="169"/>
      <c r="S125" s="169"/>
      <c r="Y125" s="229"/>
      <c r="Z125" s="230"/>
      <c r="AG125" s="233"/>
      <c r="AH125" s="233"/>
      <c r="AI125" s="234"/>
      <c r="AJ125" s="233"/>
      <c r="AK125" s="233"/>
      <c r="AL125" s="234"/>
      <c r="AM125" s="234"/>
      <c r="AO125" s="245"/>
      <c r="AP125" s="245"/>
      <c r="AQ125" s="245"/>
      <c r="AR125" s="245"/>
      <c r="AS125" s="245"/>
      <c r="AT125" s="245"/>
      <c r="AU125" s="245"/>
      <c r="AV125" s="245"/>
      <c r="AW125" s="245"/>
      <c r="AX125" s="245"/>
      <c r="AZ125" s="245"/>
      <c r="BA125" s="283"/>
      <c r="BB125" s="283"/>
      <c r="BC125" s="239"/>
      <c r="BD125" s="283"/>
      <c r="BE125" s="239"/>
      <c r="BF125" s="239"/>
      <c r="BG125" s="239"/>
      <c r="BJ125" s="245"/>
      <c r="BK125" s="245"/>
      <c r="BM125" s="245"/>
      <c r="BN125" s="245"/>
      <c r="BO125" s="245"/>
      <c r="BP125" s="245"/>
      <c r="BQ125" s="245"/>
    </row>
    <row r="126" spans="1:69" ht="13.5" customHeight="1" x14ac:dyDescent="0.2">
      <c r="A126" s="842"/>
      <c r="I126" s="170"/>
      <c r="J126" s="171"/>
      <c r="K126" s="171"/>
      <c r="L126" s="171"/>
      <c r="M126" s="170"/>
      <c r="N126" s="172"/>
      <c r="Y126" s="229"/>
      <c r="Z126" s="230"/>
      <c r="AA126" s="231"/>
      <c r="AB126" s="231"/>
      <c r="AC126" s="231"/>
      <c r="AD126" s="232"/>
      <c r="AE126" s="231"/>
      <c r="AG126" s="233"/>
      <c r="AH126" s="233"/>
      <c r="AI126" s="234"/>
      <c r="AJ126" s="233"/>
      <c r="AK126" s="233"/>
      <c r="AL126" s="234"/>
      <c r="AM126" s="234"/>
      <c r="AO126" s="245"/>
      <c r="AP126" s="245"/>
      <c r="AQ126" s="245"/>
      <c r="AR126" s="245"/>
      <c r="AS126" s="245"/>
      <c r="AT126" s="245"/>
      <c r="AU126" s="245"/>
      <c r="AZ126" s="245"/>
      <c r="BA126" s="283"/>
      <c r="BB126" s="283"/>
      <c r="BC126" s="239"/>
      <c r="BD126" s="283"/>
      <c r="BE126" s="239"/>
      <c r="BF126" s="239"/>
      <c r="BG126" s="239"/>
      <c r="BJ126" s="245"/>
      <c r="BK126" s="245"/>
      <c r="BM126" s="245"/>
      <c r="BN126" s="245"/>
      <c r="BO126" s="245"/>
      <c r="BP126" s="245"/>
      <c r="BQ126" s="245"/>
    </row>
    <row r="127" spans="1:69" ht="13.5" customHeight="1" x14ac:dyDescent="0.2">
      <c r="A127" s="842"/>
      <c r="C127" s="480" t="str">
        <f>CONCATENATE(" ",AF129,"."," FORDULÓ")</f>
        <v xml:space="preserve"> 27. FORDULÓ</v>
      </c>
      <c r="D127" s="544"/>
      <c r="E127" s="544"/>
      <c r="F127" s="544"/>
      <c r="G127" s="544"/>
      <c r="H127" s="544"/>
      <c r="I127" s="843">
        <f>VLOOKUP(AF129,$AP$71:$AR$116,2,FALSE)</f>
        <v>42326</v>
      </c>
      <c r="J127" s="843"/>
      <c r="K127" s="843"/>
      <c r="L127" s="843"/>
      <c r="M127" s="624" t="str">
        <f>CONCATENATE(IF($AV$72,"pont: ","gól: "),SUM(J129:L142)," / átlag: ",TEXT(IF(COUNT(J129:L142)=0,"-",SUM(J129:L142)/COUNT(J129:L142)*2),"0,00"))</f>
        <v>gól: 21 / átlag: 4,20</v>
      </c>
      <c r="N127" s="565"/>
      <c r="O127" s="271" t="s">
        <v>285</v>
      </c>
      <c r="P127" s="169"/>
      <c r="Q127" s="169"/>
      <c r="R127" s="169"/>
      <c r="S127" s="169"/>
      <c r="AA127" s="231"/>
      <c r="AP127" s="245"/>
      <c r="AQ127" s="245"/>
      <c r="AR127" s="245"/>
      <c r="AS127" s="245"/>
      <c r="AU127" s="243"/>
      <c r="AZ127" s="245"/>
      <c r="BA127" s="283"/>
      <c r="BB127" s="283"/>
      <c r="BC127" s="239"/>
      <c r="BD127" s="283"/>
      <c r="BE127" s="239"/>
      <c r="BF127" s="239"/>
      <c r="BG127" s="239"/>
      <c r="BJ127" s="245"/>
      <c r="BK127" s="245"/>
      <c r="BM127" s="245"/>
      <c r="BN127" s="245"/>
      <c r="BO127" s="245"/>
      <c r="BP127" s="245"/>
      <c r="BQ127" s="245"/>
    </row>
    <row r="128" spans="1:69" ht="21" customHeight="1" x14ac:dyDescent="0.25">
      <c r="A128" s="842"/>
      <c r="I128" s="567"/>
      <c r="K128" s="627" t="s">
        <v>509</v>
      </c>
      <c r="O128" s="169"/>
      <c r="P128" s="169"/>
      <c r="Q128" s="169"/>
      <c r="R128" s="169"/>
      <c r="S128" s="169"/>
      <c r="AA128" s="231"/>
      <c r="AO128" s="245"/>
      <c r="AP128" s="245"/>
      <c r="AQ128" s="245"/>
      <c r="AR128" s="245"/>
      <c r="AS128" s="245"/>
      <c r="AT128" s="245"/>
      <c r="AU128" s="245"/>
      <c r="AZ128" s="245"/>
      <c r="BA128" s="283"/>
      <c r="BB128" s="283"/>
      <c r="BC128" s="239"/>
      <c r="BD128" s="283"/>
      <c r="BE128" s="239"/>
      <c r="BF128" s="239"/>
      <c r="BG128" s="239"/>
      <c r="BJ128" s="245"/>
      <c r="BK128" s="245"/>
      <c r="BM128" s="245"/>
      <c r="BN128" s="245"/>
      <c r="BO128" s="245"/>
      <c r="BP128" s="245"/>
      <c r="BQ128" s="245"/>
    </row>
    <row r="129" spans="1:69" ht="13.5" customHeight="1" x14ac:dyDescent="0.2">
      <c r="A129" s="842"/>
      <c r="C129" s="615">
        <v>1</v>
      </c>
      <c r="D129" s="616" t="s">
        <v>247</v>
      </c>
      <c r="E129" s="617">
        <v>2</v>
      </c>
      <c r="G129" s="255">
        <v>42326</v>
      </c>
      <c r="H129" s="255" t="s">
        <v>497</v>
      </c>
      <c r="I129" s="265" t="str">
        <f ca="1">IF(OR(C129="",NOT($BJ$57)),"",VLOOKUP(C129,rsors,2,FALSE))</f>
        <v>BBK</v>
      </c>
      <c r="J129" s="272">
        <v>2</v>
      </c>
      <c r="K129" s="200" t="s">
        <v>247</v>
      </c>
      <c r="L129" s="273">
        <v>1</v>
      </c>
      <c r="M129" s="266" t="str">
        <f ca="1">IF(OR(E129="",NOT($BJ$57)),"",VLOOKUP(E129,rsors,2,FALSE))</f>
        <v>K&amp;H</v>
      </c>
      <c r="N129" s="207"/>
      <c r="O129" s="267"/>
      <c r="P129" s="169"/>
      <c r="Q129" s="169"/>
      <c r="R129" s="169"/>
      <c r="S129" s="169"/>
      <c r="T129" s="209"/>
      <c r="U129" s="209"/>
      <c r="V129" s="209"/>
      <c r="W129" s="209"/>
      <c r="Y129" s="210" t="str">
        <f ca="1">AB129&amp;AC129</f>
        <v>BBKK&amp;H</v>
      </c>
      <c r="Z129" s="211" t="b">
        <f>AND(J129&lt;&gt;"",L129&lt;&gt;"")</f>
        <v>1</v>
      </c>
      <c r="AA129" s="210">
        <f>AF129</f>
        <v>27</v>
      </c>
      <c r="AB129" s="210" t="str">
        <f ca="1">I129</f>
        <v>BBK</v>
      </c>
      <c r="AC129" s="210" t="str">
        <f ca="1">M129</f>
        <v>K&amp;H</v>
      </c>
      <c r="AD129" s="212">
        <f>IF(Z129,J129,"")</f>
        <v>2</v>
      </c>
      <c r="AE129" s="210">
        <f>IF(Z129,L129,"")</f>
        <v>1</v>
      </c>
      <c r="AF129" s="213">
        <f>AF111+1</f>
        <v>27</v>
      </c>
      <c r="AG129" s="214" t="str">
        <f ca="1">IF(AD129&gt;AE129,AB129,"")</f>
        <v>BBK</v>
      </c>
      <c r="AH129" s="214" t="str">
        <f>IF(AE129="","",IF(AD129=AE129,AB129,""))</f>
        <v/>
      </c>
      <c r="AI129" s="215" t="str">
        <f>IF(AND($AV$72,AD129=0,AE129=20),AB129&amp;"ooo",IF(AD129&lt;AE129,AB129,""))</f>
        <v/>
      </c>
      <c r="AJ129" s="214" t="str">
        <f>IF(AE129&gt;AD129,AC129,"")</f>
        <v/>
      </c>
      <c r="AK129" s="214" t="str">
        <f>IF(AE129="","",IF(AD129=AE129,AC129,""))</f>
        <v/>
      </c>
      <c r="AL129" s="215" t="str">
        <f ca="1">IF(AND($AV$72,AD129=20,AE129=0),AC129&amp;"ooo",IF(AD129&gt;AE129,AC129,""))</f>
        <v>K&amp;H</v>
      </c>
      <c r="AM129" s="216">
        <f>G129</f>
        <v>42326</v>
      </c>
      <c r="AO129" s="245"/>
      <c r="AP129" s="245"/>
      <c r="AQ129" s="245"/>
      <c r="AR129" s="245"/>
      <c r="AS129" s="245"/>
      <c r="AT129" s="245"/>
      <c r="AU129" s="245"/>
      <c r="AZ129" s="245"/>
      <c r="BA129" s="283"/>
      <c r="BB129" s="283"/>
      <c r="BC129" s="239"/>
      <c r="BD129" s="283"/>
      <c r="BE129" s="239"/>
      <c r="BF129" s="239"/>
      <c r="BG129" s="239"/>
      <c r="BJ129" s="245"/>
      <c r="BK129" s="245"/>
      <c r="BM129" s="245"/>
      <c r="BN129" s="625" t="str">
        <f>G129&amp;H129</f>
        <v>4232619:00 – A pálya</v>
      </c>
      <c r="BO129" s="284">
        <f>COUNTIF($BN$57:$BN$142,BN129)</f>
        <v>1</v>
      </c>
      <c r="BP129" s="512" t="str">
        <f ca="1">Y129</f>
        <v>BBKK&amp;H</v>
      </c>
      <c r="BQ129" s="245"/>
    </row>
    <row r="130" spans="1:69" ht="13.5" customHeight="1" x14ac:dyDescent="0.2">
      <c r="A130" s="842"/>
      <c r="C130" s="615">
        <v>4</v>
      </c>
      <c r="D130" s="616" t="s">
        <v>247</v>
      </c>
      <c r="E130" s="617">
        <v>6</v>
      </c>
      <c r="G130" s="255">
        <v>42326</v>
      </c>
      <c r="H130" s="255" t="s">
        <v>498</v>
      </c>
      <c r="I130" s="265" t="str">
        <f ca="1">IF(OR(C130="",NOT($BJ$57)),"",VLOOKUP(C130,rsors,2,FALSE))</f>
        <v>Zrínyigyöngye</v>
      </c>
      <c r="J130" s="272">
        <v>0</v>
      </c>
      <c r="K130" s="200" t="s">
        <v>247</v>
      </c>
      <c r="L130" s="273">
        <v>2</v>
      </c>
      <c r="M130" s="266" t="str">
        <f ca="1">IF(OR(E130="",NOT($BJ$57)),"",VLOOKUP(E130,rsors,2,FALSE))</f>
        <v>Hercules-Ludovika</v>
      </c>
      <c r="N130" s="207"/>
      <c r="O130" s="268"/>
      <c r="P130" s="169"/>
      <c r="Q130" s="169"/>
      <c r="R130" s="169"/>
      <c r="S130" s="169"/>
      <c r="T130" s="209"/>
      <c r="U130" s="209"/>
      <c r="V130" s="209"/>
      <c r="W130" s="209"/>
      <c r="Y130" s="210" t="str">
        <f ca="1">AB130&amp;AC130</f>
        <v>ZrínyigyöngyeHercules-Ludovika</v>
      </c>
      <c r="Z130" s="211" t="b">
        <f>AND(J130&lt;&gt;"",L130&lt;&gt;"")</f>
        <v>1</v>
      </c>
      <c r="AA130" s="210">
        <f>AA129</f>
        <v>27</v>
      </c>
      <c r="AB130" s="210" t="str">
        <f ca="1">I130</f>
        <v>Zrínyigyöngye</v>
      </c>
      <c r="AC130" s="210" t="str">
        <f ca="1">M130</f>
        <v>Hercules-Ludovika</v>
      </c>
      <c r="AD130" s="212">
        <f>IF(Z130,J130,"")</f>
        <v>0</v>
      </c>
      <c r="AE130" s="210">
        <f>IF(Z130,L130,"")</f>
        <v>2</v>
      </c>
      <c r="AF130" s="213"/>
      <c r="AG130" s="214" t="str">
        <f>IF(AD130&gt;AE130,AB130,"")</f>
        <v/>
      </c>
      <c r="AH130" s="214" t="str">
        <f>IF(AE130="","",IF(AD130=AE130,AB130,""))</f>
        <v/>
      </c>
      <c r="AI130" s="215" t="str">
        <f ca="1">IF(AND($AV$72,AD130=0,AE130=20),AB130&amp;"ooo",IF(AD130&lt;AE130,AB130,""))</f>
        <v>Zrínyigyöngye</v>
      </c>
      <c r="AJ130" s="214" t="str">
        <f ca="1">IF(AE130&gt;AD130,AC130,"")</f>
        <v>Hercules-Ludovika</v>
      </c>
      <c r="AK130" s="214" t="str">
        <f>IF(AE130="","",IF(AD130=AE130,AC130,""))</f>
        <v/>
      </c>
      <c r="AL130" s="215" t="str">
        <f>IF(AND($AV$72,AD130=20,AE130=0),AC130&amp;"ooo",IF(AD130&gt;AE130,AC130,""))</f>
        <v/>
      </c>
      <c r="AM130" s="216">
        <f>G130</f>
        <v>42326</v>
      </c>
      <c r="AO130" s="245"/>
      <c r="AP130" s="245"/>
      <c r="AQ130" s="245"/>
      <c r="AR130" s="245"/>
      <c r="AS130" s="245"/>
      <c r="AT130" s="245"/>
      <c r="AU130" s="245"/>
      <c r="AZ130" s="245"/>
      <c r="BA130" s="283"/>
      <c r="BB130" s="283"/>
      <c r="BC130" s="239"/>
      <c r="BD130" s="283"/>
      <c r="BE130" s="239"/>
      <c r="BF130" s="239"/>
      <c r="BG130" s="239"/>
      <c r="BJ130" s="245"/>
      <c r="BK130" s="245"/>
      <c r="BM130" s="245"/>
      <c r="BN130" s="625" t="str">
        <f>G130&amp;H130</f>
        <v>4232619:45 – A pálya</v>
      </c>
      <c r="BO130" s="284">
        <f>COUNTIF($BN$57:$BN$142,BN130)</f>
        <v>1</v>
      </c>
      <c r="BP130" s="512" t="str">
        <f ca="1">Y130</f>
        <v>ZrínyigyöngyeHercules-Ludovika</v>
      </c>
      <c r="BQ130" s="245"/>
    </row>
    <row r="131" spans="1:69" ht="13.5" customHeight="1" x14ac:dyDescent="0.2">
      <c r="A131" s="842"/>
      <c r="C131" s="615">
        <v>3</v>
      </c>
      <c r="D131" s="616" t="s">
        <v>247</v>
      </c>
      <c r="E131" s="617">
        <v>5</v>
      </c>
      <c r="G131" s="255">
        <v>42326</v>
      </c>
      <c r="H131" s="255" t="s">
        <v>499</v>
      </c>
      <c r="I131" s="265" t="str">
        <f ca="1">IF(OR(C131="",NOT($BJ$57)),"",VLOOKUP(C131,rsors,2,FALSE))</f>
        <v>BHD</v>
      </c>
      <c r="J131" s="272">
        <v>4</v>
      </c>
      <c r="K131" s="200" t="s">
        <v>247</v>
      </c>
      <c r="L131" s="273">
        <v>4</v>
      </c>
      <c r="M131" s="266" t="str">
        <f ca="1">IF(OR(E131="",NOT($BJ$57)),"",VLOOKUP(E131,rsors,2,FALSE))</f>
        <v>Élelmesek</v>
      </c>
      <c r="N131" s="207"/>
      <c r="O131" s="268"/>
      <c r="P131" s="169"/>
      <c r="Q131" s="169"/>
      <c r="R131" s="169"/>
      <c r="S131" s="169"/>
      <c r="T131" s="209"/>
      <c r="U131" s="209"/>
      <c r="V131" s="209"/>
      <c r="W131" s="209"/>
      <c r="Y131" s="210" t="str">
        <f ca="1">AB131&amp;AC131</f>
        <v>BHDÉlelmesek</v>
      </c>
      <c r="Z131" s="211" t="b">
        <f>AND(J131&lt;&gt;"",L131&lt;&gt;"")</f>
        <v>1</v>
      </c>
      <c r="AA131" s="210">
        <f>AA130</f>
        <v>27</v>
      </c>
      <c r="AB131" s="210" t="str">
        <f ca="1">I131</f>
        <v>BHD</v>
      </c>
      <c r="AC131" s="210" t="str">
        <f ca="1">M131</f>
        <v>Élelmesek</v>
      </c>
      <c r="AD131" s="212">
        <f>IF(Z131,J131,"")</f>
        <v>4</v>
      </c>
      <c r="AE131" s="210">
        <f>IF(Z131,L131,"")</f>
        <v>4</v>
      </c>
      <c r="AF131" s="213"/>
      <c r="AG131" s="214" t="str">
        <f>IF(AD131&gt;AE131,AB131,"")</f>
        <v/>
      </c>
      <c r="AH131" s="214" t="str">
        <f ca="1">IF(AE131="","",IF(AD131=AE131,AB131,""))</f>
        <v>BHD</v>
      </c>
      <c r="AI131" s="215" t="str">
        <f>IF(AND($AV$72,AD131=0,AE131=20),AB131&amp;"ooo",IF(AD131&lt;AE131,AB131,""))</f>
        <v/>
      </c>
      <c r="AJ131" s="214" t="str">
        <f>IF(AE131&gt;AD131,AC131,"")</f>
        <v/>
      </c>
      <c r="AK131" s="214" t="str">
        <f ca="1">IF(AE131="","",IF(AD131=AE131,AC131,""))</f>
        <v>Élelmesek</v>
      </c>
      <c r="AL131" s="215" t="str">
        <f>IF(AND($AV$72,AD131=20,AE131=0),AC131&amp;"ooo",IF(AD131&gt;AE131,AC131,""))</f>
        <v/>
      </c>
      <c r="AM131" s="216">
        <f>G131</f>
        <v>42326</v>
      </c>
      <c r="AO131" s="245"/>
      <c r="AP131" s="245"/>
      <c r="AQ131" s="245"/>
      <c r="AR131" s="245"/>
      <c r="AS131" s="245"/>
      <c r="AT131" s="245"/>
      <c r="AU131" s="245"/>
      <c r="AV131" s="245"/>
      <c r="AW131" s="245"/>
      <c r="AX131" s="245"/>
      <c r="BA131" s="283"/>
      <c r="BB131" s="283"/>
      <c r="BC131" s="239"/>
      <c r="BD131" s="283"/>
      <c r="BE131" s="239"/>
      <c r="BF131" s="239"/>
      <c r="BG131" s="239"/>
      <c r="BJ131" s="245"/>
      <c r="BN131" s="625" t="str">
        <f>G131&amp;H131</f>
        <v>4232620:30 – A pálya</v>
      </c>
      <c r="BO131" s="284">
        <f>COUNTIF($BN$57:$BN$142,BN131)</f>
        <v>1</v>
      </c>
      <c r="BP131" s="512" t="str">
        <f ca="1">Y131</f>
        <v>BHDÉlelmesek</v>
      </c>
    </row>
    <row r="132" spans="1:69" ht="13.5" hidden="1" customHeight="1" x14ac:dyDescent="0.2">
      <c r="A132" s="842"/>
      <c r="C132" s="615"/>
      <c r="D132" s="616"/>
      <c r="E132" s="617"/>
      <c r="G132" s="255"/>
      <c r="H132" s="204"/>
      <c r="I132" s="265"/>
      <c r="J132" s="272"/>
      <c r="L132" s="273"/>
      <c r="M132" s="266"/>
      <c r="N132" s="207"/>
      <c r="O132" s="268"/>
      <c r="P132" s="169"/>
      <c r="Q132" s="169"/>
      <c r="R132" s="169"/>
      <c r="S132" s="169"/>
      <c r="T132" s="209"/>
      <c r="U132" s="209"/>
      <c r="Y132" s="210" t="str">
        <f>AB132&amp;AC132</f>
        <v>00</v>
      </c>
      <c r="Z132" s="211" t="b">
        <f>AND(J132&lt;&gt;"",L132&lt;&gt;"")</f>
        <v>0</v>
      </c>
      <c r="AA132" s="210">
        <f>AA131</f>
        <v>27</v>
      </c>
      <c r="AB132" s="210">
        <f>I132</f>
        <v>0</v>
      </c>
      <c r="AC132" s="210">
        <f>M132</f>
        <v>0</v>
      </c>
      <c r="AD132" s="212" t="str">
        <f>IF(Z132,J132,"")</f>
        <v/>
      </c>
      <c r="AE132" s="210" t="str">
        <f>IF(Z132,L132,"")</f>
        <v/>
      </c>
      <c r="AF132" s="213"/>
      <c r="AG132" s="214" t="str">
        <f>IF(AD132&gt;AE132,AB132,"")</f>
        <v/>
      </c>
      <c r="AH132" s="214" t="str">
        <f>IF(AE132="","",IF(AD132=AE132,AB132,""))</f>
        <v/>
      </c>
      <c r="AI132" s="215" t="str">
        <f>IF(AND($AV$72,AD132=0,AE132=20),AB132&amp;"ooo",IF(AD132&lt;AE132,AB132,""))</f>
        <v/>
      </c>
      <c r="AJ132" s="214" t="str">
        <f>IF(AE132&gt;AD132,AC132,"")</f>
        <v/>
      </c>
      <c r="AK132" s="214" t="str">
        <f>IF(AE132="","",IF(AD132=AE132,AC132,""))</f>
        <v/>
      </c>
      <c r="AL132" s="215" t="str">
        <f>IF(AND($AV$72,AD132=20,AE132=0),AC132&amp;"ooo",IF(AD132&gt;AE132,AC132,""))</f>
        <v/>
      </c>
      <c r="AM132" s="216">
        <f>G132</f>
        <v>0</v>
      </c>
      <c r="AO132" s="245"/>
      <c r="AP132" s="245"/>
      <c r="AQ132" s="245"/>
      <c r="AR132" s="245"/>
      <c r="AS132" s="245"/>
      <c r="AT132" s="245"/>
      <c r="AU132" s="245"/>
      <c r="AV132" s="245"/>
      <c r="AW132" s="245"/>
      <c r="AX132" s="245"/>
      <c r="AZ132" s="245"/>
      <c r="BA132" s="283"/>
      <c r="BB132" s="283"/>
      <c r="BC132" s="239"/>
      <c r="BD132" s="283"/>
      <c r="BE132" s="239"/>
      <c r="BF132" s="239"/>
      <c r="BG132" s="239"/>
      <c r="BJ132" s="245"/>
      <c r="BK132" s="245"/>
      <c r="BM132" s="245"/>
      <c r="BQ132" s="245"/>
    </row>
    <row r="133" spans="1:69" ht="21" customHeight="1" x14ac:dyDescent="0.25">
      <c r="A133" s="842"/>
      <c r="C133" s="618"/>
      <c r="D133" s="618"/>
      <c r="E133" s="618"/>
      <c r="G133" s="576"/>
      <c r="H133" s="576"/>
      <c r="I133" s="567"/>
      <c r="K133" s="627" t="s">
        <v>510</v>
      </c>
      <c r="N133" s="223"/>
      <c r="O133" s="169"/>
      <c r="P133" s="169"/>
      <c r="Q133" s="169"/>
      <c r="R133" s="169"/>
      <c r="S133" s="169"/>
      <c r="T133" s="209"/>
      <c r="U133" s="209"/>
      <c r="V133" s="209"/>
      <c r="W133" s="209"/>
      <c r="Y133" s="229"/>
      <c r="Z133" s="230"/>
      <c r="AA133" s="231"/>
      <c r="AB133" s="231"/>
      <c r="AC133" s="231"/>
      <c r="AD133" s="232"/>
      <c r="AE133" s="231"/>
      <c r="AG133" s="233"/>
      <c r="AH133" s="233"/>
      <c r="AI133" s="234"/>
      <c r="AJ133" s="233"/>
      <c r="AK133" s="233"/>
      <c r="AL133" s="234"/>
      <c r="AM133" s="234"/>
      <c r="AO133" s="245"/>
      <c r="AP133" s="245"/>
      <c r="AQ133" s="245"/>
      <c r="AR133" s="245"/>
      <c r="AS133" s="245"/>
      <c r="AT133" s="245"/>
      <c r="AU133" s="245"/>
      <c r="AV133" s="245"/>
      <c r="AW133" s="245"/>
      <c r="AX133" s="245"/>
      <c r="AZ133" s="245"/>
      <c r="BA133" s="283"/>
      <c r="BB133" s="283"/>
      <c r="BC133" s="239"/>
      <c r="BD133" s="283"/>
      <c r="BE133" s="239"/>
      <c r="BF133" s="239"/>
      <c r="BG133" s="239"/>
      <c r="BJ133" s="245"/>
      <c r="BK133" s="245"/>
      <c r="BM133" s="245"/>
      <c r="BQ133" s="245"/>
    </row>
    <row r="134" spans="1:69" ht="13.5" customHeight="1" x14ac:dyDescent="0.2">
      <c r="A134" s="842"/>
      <c r="C134" s="615">
        <v>11</v>
      </c>
      <c r="D134" s="616" t="s">
        <v>247</v>
      </c>
      <c r="E134" s="617">
        <v>12</v>
      </c>
      <c r="G134" s="204">
        <v>42326</v>
      </c>
      <c r="H134" s="255" t="s">
        <v>500</v>
      </c>
      <c r="I134" s="265" t="str">
        <f ca="1">IF(OR(C134="",NOT($BJ$57)),"",VLOOKUP(C134,rsors,2,FALSE))</f>
        <v>Bakafogó-Honvéd-Sashegy SE</v>
      </c>
      <c r="J134" s="272">
        <v>1</v>
      </c>
      <c r="K134" s="200" t="s">
        <v>247</v>
      </c>
      <c r="L134" s="273">
        <v>3</v>
      </c>
      <c r="M134" s="266" t="str">
        <f ca="1">IF(OR(E134="",NOT($BJ$57)),"",VLOOKUP(E134,rsors,2,FALSE))</f>
        <v>Vakana</v>
      </c>
      <c r="N134" s="207"/>
      <c r="O134" s="267"/>
      <c r="P134" s="169"/>
      <c r="Q134" s="169"/>
      <c r="R134" s="169"/>
      <c r="S134" s="169"/>
      <c r="Y134" s="210" t="str">
        <f ca="1">AB134&amp;AC134</f>
        <v>Bakafogó-Honvéd-Sashegy SEVakana</v>
      </c>
      <c r="Z134" s="211" t="b">
        <f>AND(J134&lt;&gt;"",L134&lt;&gt;"")</f>
        <v>1</v>
      </c>
      <c r="AA134" s="210">
        <f>AA132</f>
        <v>27</v>
      </c>
      <c r="AB134" s="210" t="str">
        <f ca="1">I134</f>
        <v>Bakafogó-Honvéd-Sashegy SE</v>
      </c>
      <c r="AC134" s="210" t="str">
        <f ca="1">M134</f>
        <v>Vakana</v>
      </c>
      <c r="AD134" s="212">
        <f>IF(Z134,J134,"")</f>
        <v>1</v>
      </c>
      <c r="AE134" s="210">
        <f>IF(Z134,L134,"")</f>
        <v>3</v>
      </c>
      <c r="AG134" s="214" t="str">
        <f>IF(AD134&gt;AE134,AB134,"")</f>
        <v/>
      </c>
      <c r="AH134" s="214" t="str">
        <f>IF(AE134="","",IF(AD134=AE134,AB134,""))</f>
        <v/>
      </c>
      <c r="AI134" s="215" t="str">
        <f ca="1">IF(AND($AV$72,AD134=0,AE134=20),AB134&amp;"ooo",IF(AD134&lt;AE134,AB134,""))</f>
        <v>Bakafogó-Honvéd-Sashegy SE</v>
      </c>
      <c r="AJ134" s="214" t="str">
        <f ca="1">IF(AE134&gt;AD134,AC134,"")</f>
        <v>Vakana</v>
      </c>
      <c r="AK134" s="214" t="str">
        <f>IF(AE134="","",IF(AD134=AE134,AC134,""))</f>
        <v/>
      </c>
      <c r="AL134" s="215" t="str">
        <f>IF(AND($AV$72,AD134=20,AE134=0),AC134&amp;"ooo",IF(AD134&gt;AE134,AC134,""))</f>
        <v/>
      </c>
      <c r="AM134" s="216">
        <f>G134</f>
        <v>42326</v>
      </c>
      <c r="AO134" s="245"/>
      <c r="AP134" s="245"/>
      <c r="AQ134" s="245"/>
      <c r="AR134" s="245"/>
      <c r="AS134" s="245"/>
      <c r="AT134" s="245"/>
      <c r="AU134" s="245"/>
      <c r="AV134" s="245"/>
      <c r="AW134" s="245"/>
      <c r="AX134" s="245"/>
      <c r="AZ134" s="245"/>
      <c r="BA134" s="283"/>
      <c r="BB134" s="283"/>
      <c r="BC134" s="239"/>
      <c r="BD134" s="283"/>
      <c r="BE134" s="239"/>
      <c r="BF134" s="239"/>
      <c r="BG134" s="239"/>
      <c r="BJ134" s="245"/>
      <c r="BK134" s="245"/>
      <c r="BM134" s="245"/>
      <c r="BN134" s="625" t="str">
        <f>G134&amp;H134</f>
        <v>4232619:00 – B pálya</v>
      </c>
      <c r="BO134" s="284">
        <f>COUNTIF($BN$57:$BN$142,BN134)</f>
        <v>1</v>
      </c>
      <c r="BP134" s="512" t="str">
        <f ca="1">Y134</f>
        <v>Bakafogó-Honvéd-Sashegy SEVakana</v>
      </c>
      <c r="BQ134" s="245"/>
    </row>
    <row r="135" spans="1:69" ht="13.5" customHeight="1" x14ac:dyDescent="0.2">
      <c r="A135" s="842"/>
      <c r="C135" s="615">
        <v>13</v>
      </c>
      <c r="D135" s="616" t="s">
        <v>247</v>
      </c>
      <c r="E135" s="617">
        <v>15</v>
      </c>
      <c r="G135" s="204">
        <v>42326</v>
      </c>
      <c r="H135" s="255" t="s">
        <v>501</v>
      </c>
      <c r="I135" s="265" t="str">
        <f ca="1">IF(OR(C135="",NOT($BJ$57)),"",VLOOKUP(C135,rsors,2,FALSE))</f>
        <v>Carbonász</v>
      </c>
      <c r="J135" s="272">
        <v>2</v>
      </c>
      <c r="K135" s="200" t="s">
        <v>247</v>
      </c>
      <c r="L135" s="273">
        <v>2</v>
      </c>
      <c r="M135" s="266" t="str">
        <f ca="1">IF(OR(E135="",NOT($BJ$57)),"",VLOOKUP(E135,rsors,2,FALSE))</f>
        <v>Royal Guard's</v>
      </c>
      <c r="N135" s="207"/>
      <c r="O135" s="268"/>
      <c r="P135" s="169"/>
      <c r="Q135" s="169"/>
      <c r="R135" s="169"/>
      <c r="S135" s="169"/>
      <c r="Y135" s="210" t="str">
        <f ca="1">AB135&amp;AC135</f>
        <v>CarbonászRoyal Guard's</v>
      </c>
      <c r="Z135" s="211" t="b">
        <f>AND(J135&lt;&gt;"",L135&lt;&gt;"")</f>
        <v>1</v>
      </c>
      <c r="AA135" s="210">
        <f>AA134</f>
        <v>27</v>
      </c>
      <c r="AB135" s="210" t="str">
        <f ca="1">I135</f>
        <v>Carbonász</v>
      </c>
      <c r="AC135" s="210" t="str">
        <f ca="1">M135</f>
        <v>Royal Guard's</v>
      </c>
      <c r="AD135" s="212">
        <f>IF(Z135,J135,"")</f>
        <v>2</v>
      </c>
      <c r="AE135" s="210">
        <f>IF(Z135,L135,"")</f>
        <v>2</v>
      </c>
      <c r="AG135" s="214" t="str">
        <f>IF(AD135&gt;AE135,AB135,"")</f>
        <v/>
      </c>
      <c r="AH135" s="214" t="str">
        <f ca="1">IF(AE135="","",IF(AD135=AE135,AB135,""))</f>
        <v>Carbonász</v>
      </c>
      <c r="AI135" s="215" t="str">
        <f>IF(AND($AV$72,AD135=0,AE135=20),AB135&amp;"ooo",IF(AD135&lt;AE135,AB135,""))</f>
        <v/>
      </c>
      <c r="AJ135" s="214" t="str">
        <f>IF(AE135&gt;AD135,AC135,"")</f>
        <v/>
      </c>
      <c r="AK135" s="214" t="str">
        <f ca="1">IF(AE135="","",IF(AD135=AE135,AC135,""))</f>
        <v>Royal Guard's</v>
      </c>
      <c r="AL135" s="215" t="str">
        <f>IF(AND($AV$72,AD135=20,AE135=0),AC135&amp;"ooo",IF(AD135&gt;AE135,AC135,""))</f>
        <v/>
      </c>
      <c r="AM135" s="216">
        <f>G135</f>
        <v>42326</v>
      </c>
      <c r="AO135" s="245"/>
      <c r="AP135" s="245"/>
      <c r="AQ135" s="245"/>
      <c r="AR135" s="245"/>
      <c r="AS135" s="245"/>
      <c r="AT135" s="245"/>
      <c r="AU135" s="245"/>
      <c r="AV135" s="245"/>
      <c r="AW135" s="245"/>
      <c r="AX135" s="245"/>
      <c r="AZ135" s="245"/>
      <c r="BA135" s="283"/>
      <c r="BB135" s="283"/>
      <c r="BC135" s="239"/>
      <c r="BD135" s="283"/>
      <c r="BE135" s="239"/>
      <c r="BF135" s="239"/>
      <c r="BG135" s="239"/>
      <c r="BJ135" s="245"/>
      <c r="BK135" s="245"/>
      <c r="BM135" s="245"/>
      <c r="BN135" s="625" t="str">
        <f>G135&amp;H135</f>
        <v>4232619:45 – B pálya</v>
      </c>
      <c r="BO135" s="284">
        <f>COUNTIF($BN$57:$BN$142,BN135)</f>
        <v>1</v>
      </c>
      <c r="BP135" s="512" t="str">
        <f ca="1">Y135</f>
        <v>CarbonászRoyal Guard's</v>
      </c>
      <c r="BQ135" s="245"/>
    </row>
    <row r="136" spans="1:69" ht="13.5" customHeight="1" x14ac:dyDescent="0.25">
      <c r="A136" s="842"/>
      <c r="C136" s="615">
        <v>14</v>
      </c>
      <c r="D136" s="616" t="s">
        <v>247</v>
      </c>
      <c r="E136" s="617"/>
      <c r="G136" s="576"/>
      <c r="H136" s="576"/>
      <c r="I136" s="275" t="str">
        <f ca="1">IF(OR(C136="",NOT($BJ$57)),"",VLOOKUP(C136,rsors,2,FALSE))</f>
        <v>Bőrdíszmű</v>
      </c>
      <c r="J136" s="628"/>
      <c r="K136" s="577"/>
      <c r="L136" s="628"/>
      <c r="M136" s="277" t="str">
        <f ca="1">IF(I136="","","szabadnapos")</f>
        <v>szabadnapos</v>
      </c>
      <c r="N136" s="207"/>
      <c r="O136" s="268"/>
      <c r="P136" s="169"/>
      <c r="Q136" s="169"/>
      <c r="R136" s="169"/>
      <c r="S136" s="169"/>
      <c r="Y136" s="210" t="str">
        <f ca="1">AB136&amp;AC136</f>
        <v>Bőrdíszműszabadnapos</v>
      </c>
      <c r="Z136" s="211" t="b">
        <f>AND(J136&lt;&gt;"",L136&lt;&gt;"")</f>
        <v>0</v>
      </c>
      <c r="AA136" s="210">
        <f>AA135</f>
        <v>27</v>
      </c>
      <c r="AB136" s="210" t="str">
        <f ca="1">I136</f>
        <v>Bőrdíszmű</v>
      </c>
      <c r="AC136" s="210" t="str">
        <f ca="1">M136</f>
        <v>szabadnapos</v>
      </c>
      <c r="AD136" s="212" t="str">
        <f>IF(Z136,J136,"")</f>
        <v/>
      </c>
      <c r="AE136" s="210" t="str">
        <f>IF(Z136,L136,"")</f>
        <v/>
      </c>
      <c r="AG136" s="214" t="str">
        <f>IF(AD136&gt;AE136,AB136,"")</f>
        <v/>
      </c>
      <c r="AH136" s="214" t="str">
        <f>IF(AE136="","",IF(AD136=AE136,AB136,""))</f>
        <v/>
      </c>
      <c r="AI136" s="215" t="str">
        <f>IF(AND($AV$72,AD136=0,AE136=20),AB136&amp;"ooo",IF(AD136&lt;AE136,AB136,""))</f>
        <v/>
      </c>
      <c r="AJ136" s="214" t="str">
        <f>IF(AE136&gt;AD136,AC136,"")</f>
        <v/>
      </c>
      <c r="AK136" s="214" t="str">
        <f>IF(AE136="","",IF(AD136=AE136,AC136,""))</f>
        <v/>
      </c>
      <c r="AL136" s="215" t="str">
        <f>IF(AND($AV$72,AD136=20,AE136=0),AC136&amp;"ooo",IF(AD136&gt;AE136,AC136,""))</f>
        <v/>
      </c>
      <c r="AM136" s="750">
        <f>AM129</f>
        <v>42326</v>
      </c>
      <c r="AO136" s="245"/>
      <c r="AP136" s="245"/>
      <c r="AQ136" s="245"/>
      <c r="AR136" s="245"/>
      <c r="AS136" s="245"/>
      <c r="AT136" s="245"/>
      <c r="AU136" s="245"/>
      <c r="AV136" s="245"/>
      <c r="AW136" s="245"/>
      <c r="AX136" s="245"/>
      <c r="AZ136" s="245"/>
      <c r="BA136" s="283"/>
      <c r="BB136" s="283"/>
      <c r="BC136" s="239"/>
      <c r="BD136" s="283"/>
      <c r="BE136" s="239"/>
      <c r="BF136" s="239"/>
      <c r="BG136" s="239"/>
      <c r="BJ136" s="245"/>
      <c r="BK136" s="245"/>
      <c r="BM136" s="245"/>
      <c r="BN136" s="245"/>
      <c r="BO136" s="245"/>
      <c r="BP136" s="245"/>
      <c r="BQ136" s="245"/>
    </row>
    <row r="137" spans="1:69" ht="13.5" hidden="1" customHeight="1" x14ac:dyDescent="0.2">
      <c r="A137" s="842"/>
      <c r="C137" s="615"/>
      <c r="D137" s="616"/>
      <c r="E137" s="617"/>
      <c r="G137" s="204"/>
      <c r="H137" s="204"/>
      <c r="I137" s="265"/>
      <c r="J137" s="272"/>
      <c r="L137" s="273"/>
      <c r="M137" s="266"/>
      <c r="N137" s="207"/>
      <c r="O137" s="268"/>
      <c r="P137" s="169"/>
      <c r="Q137" s="169"/>
      <c r="R137" s="169"/>
      <c r="S137" s="169"/>
      <c r="Y137" s="210" t="str">
        <f>AB137&amp;AC137</f>
        <v>00</v>
      </c>
      <c r="Z137" s="211" t="b">
        <f>AND(J137&lt;&gt;"",L137&lt;&gt;"")</f>
        <v>0</v>
      </c>
      <c r="AA137" s="210">
        <f>AA136</f>
        <v>27</v>
      </c>
      <c r="AB137" s="210">
        <f>I137</f>
        <v>0</v>
      </c>
      <c r="AC137" s="210">
        <f>M137</f>
        <v>0</v>
      </c>
      <c r="AD137" s="212" t="str">
        <f>IF(Z137,J137,"")</f>
        <v/>
      </c>
      <c r="AE137" s="210" t="str">
        <f>IF(Z137,L137,"")</f>
        <v/>
      </c>
      <c r="AG137" s="214" t="str">
        <f>IF(AD137&gt;AE137,AB137,"")</f>
        <v/>
      </c>
      <c r="AH137" s="214" t="str">
        <f>IF(AE137="","",IF(AD137=AE137,AB137,""))</f>
        <v/>
      </c>
      <c r="AI137" s="215" t="str">
        <f>IF(AND($AV$72,AD137=0,AE137=20),AB137&amp;"ooo",IF(AD137&lt;AE137,AB137,""))</f>
        <v/>
      </c>
      <c r="AJ137" s="214" t="str">
        <f>IF(AE137&gt;AD137,AC137,"")</f>
        <v/>
      </c>
      <c r="AK137" s="214" t="str">
        <f>IF(AE137="","",IF(AD137=AE137,AC137,""))</f>
        <v/>
      </c>
      <c r="AL137" s="215" t="str">
        <f>IF(AND($AV$72,AD137=20,AE137=0),AC137&amp;"ooo",IF(AD137&gt;AE137,AC137,""))</f>
        <v/>
      </c>
      <c r="AM137" s="216">
        <f>G137</f>
        <v>0</v>
      </c>
      <c r="AO137" s="245"/>
      <c r="AP137" s="245"/>
      <c r="AQ137" s="245"/>
      <c r="AR137" s="245"/>
      <c r="AS137" s="245"/>
      <c r="AT137" s="245"/>
      <c r="AU137" s="245"/>
      <c r="AV137" s="245"/>
      <c r="AW137" s="245"/>
      <c r="AX137" s="245"/>
      <c r="AZ137" s="245"/>
      <c r="BA137" s="283"/>
      <c r="BB137" s="283"/>
      <c r="BC137" s="239"/>
      <c r="BD137" s="283"/>
      <c r="BE137" s="239"/>
      <c r="BF137" s="239"/>
      <c r="BG137" s="239"/>
      <c r="BJ137" s="245"/>
      <c r="BK137" s="245"/>
      <c r="BM137" s="245"/>
      <c r="BN137" s="245"/>
      <c r="BO137" s="245"/>
      <c r="BP137" s="245"/>
      <c r="BQ137" s="245"/>
    </row>
    <row r="138" spans="1:69" ht="21" hidden="1" customHeight="1" x14ac:dyDescent="0.2">
      <c r="A138" s="842"/>
      <c r="G138" s="576"/>
      <c r="H138" s="576"/>
      <c r="I138" s="567"/>
      <c r="K138" s="568"/>
      <c r="N138" s="169"/>
      <c r="O138" s="169"/>
      <c r="P138" s="169"/>
      <c r="Q138" s="169"/>
      <c r="R138" s="169"/>
      <c r="S138" s="169"/>
      <c r="Y138" s="229"/>
      <c r="Z138" s="230"/>
      <c r="AA138" s="231"/>
      <c r="AB138" s="231"/>
      <c r="AC138" s="231"/>
      <c r="AD138" s="232"/>
      <c r="AE138" s="231"/>
      <c r="AG138" s="233"/>
      <c r="AH138" s="233"/>
      <c r="AI138" s="234"/>
      <c r="AJ138" s="233"/>
      <c r="AK138" s="233"/>
      <c r="AL138" s="234"/>
      <c r="AM138" s="234"/>
      <c r="AO138" s="245"/>
      <c r="AP138" s="245"/>
      <c r="AQ138" s="245"/>
      <c r="AR138" s="245"/>
      <c r="AS138" s="245"/>
      <c r="AT138" s="245"/>
      <c r="AU138" s="245"/>
      <c r="AV138" s="245"/>
      <c r="AW138" s="245"/>
      <c r="AX138" s="245"/>
      <c r="AZ138" s="245"/>
      <c r="BA138" s="283"/>
      <c r="BB138" s="283"/>
      <c r="BC138" s="239"/>
      <c r="BD138" s="283"/>
      <c r="BE138" s="239"/>
      <c r="BF138" s="239"/>
      <c r="BG138" s="239"/>
      <c r="BJ138" s="245"/>
      <c r="BK138" s="245"/>
      <c r="BM138" s="245"/>
      <c r="BN138" s="245"/>
      <c r="BO138" s="245"/>
      <c r="BP138" s="245"/>
      <c r="BQ138" s="245"/>
    </row>
    <row r="139" spans="1:69" ht="13.5" hidden="1" customHeight="1" x14ac:dyDescent="0.2">
      <c r="A139" s="842"/>
      <c r="C139" s="569"/>
      <c r="D139" s="570"/>
      <c r="E139" s="571"/>
      <c r="G139" s="204"/>
      <c r="H139" s="204"/>
      <c r="I139" s="199"/>
      <c r="J139" s="205"/>
      <c r="L139" s="206"/>
      <c r="M139" s="201"/>
      <c r="N139" s="207"/>
      <c r="O139" s="208"/>
      <c r="P139" s="169"/>
      <c r="Q139" s="169"/>
      <c r="R139" s="169"/>
      <c r="S139" s="169"/>
      <c r="Y139" s="210" t="str">
        <f>AB139&amp;AC139</f>
        <v>00</v>
      </c>
      <c r="Z139" s="211" t="b">
        <f>AND(J139&lt;&gt;"",L139&lt;&gt;"")</f>
        <v>0</v>
      </c>
      <c r="AA139" s="210">
        <f>AA137</f>
        <v>27</v>
      </c>
      <c r="AB139" s="210">
        <f>I139</f>
        <v>0</v>
      </c>
      <c r="AC139" s="210">
        <f>M139</f>
        <v>0</v>
      </c>
      <c r="AD139" s="212" t="str">
        <f>IF(Z139,J139,"")</f>
        <v/>
      </c>
      <c r="AE139" s="210" t="str">
        <f>IF(Z139,L139,"")</f>
        <v/>
      </c>
      <c r="AG139" s="214" t="str">
        <f>IF(AD139&gt;AE139,AB139,"")</f>
        <v/>
      </c>
      <c r="AH139" s="214" t="str">
        <f>IF(AE139="","",IF(AD139=AE139,AB139,""))</f>
        <v/>
      </c>
      <c r="AI139" s="215" t="str">
        <f>IF(AND($AV$72,AD139=0,AE139=20),AB139&amp;"ooo",IF(AD139&lt;AE139,AB139,""))</f>
        <v/>
      </c>
      <c r="AJ139" s="214" t="str">
        <f>IF(AE139&gt;AD139,AC139,"")</f>
        <v/>
      </c>
      <c r="AK139" s="214" t="str">
        <f>IF(AE139="","",IF(AD139=AE139,AC139,""))</f>
        <v/>
      </c>
      <c r="AL139" s="215" t="str">
        <f>IF(AND($AV$72,AD139=20,AE139=0),AC139&amp;"ooo",IF(AD139&gt;AE139,AC139,""))</f>
        <v/>
      </c>
      <c r="AM139" s="216">
        <f>G139</f>
        <v>0</v>
      </c>
      <c r="AO139" s="245"/>
      <c r="AP139" s="245"/>
      <c r="AQ139" s="245"/>
      <c r="AR139" s="245"/>
      <c r="AS139" s="245"/>
      <c r="AT139" s="245"/>
      <c r="AU139" s="245"/>
      <c r="AV139" s="245"/>
      <c r="AW139" s="245"/>
      <c r="AX139" s="245"/>
      <c r="AZ139" s="245"/>
      <c r="BA139" s="283"/>
      <c r="BB139" s="283"/>
      <c r="BC139" s="239"/>
      <c r="BD139" s="283"/>
      <c r="BE139" s="239"/>
      <c r="BF139" s="239"/>
      <c r="BG139" s="239"/>
      <c r="BJ139" s="245"/>
      <c r="BK139" s="245"/>
      <c r="BM139" s="245"/>
      <c r="BN139" s="245"/>
      <c r="BO139" s="245"/>
      <c r="BP139" s="245"/>
      <c r="BQ139" s="245"/>
    </row>
    <row r="140" spans="1:69" ht="13.5" hidden="1" customHeight="1" x14ac:dyDescent="0.2">
      <c r="A140" s="842"/>
      <c r="C140" s="569"/>
      <c r="D140" s="570"/>
      <c r="E140" s="571"/>
      <c r="G140" s="204"/>
      <c r="H140" s="204"/>
      <c r="I140" s="199"/>
      <c r="J140" s="205"/>
      <c r="L140" s="206"/>
      <c r="M140" s="201"/>
      <c r="N140" s="207"/>
      <c r="O140" s="220"/>
      <c r="P140" s="169"/>
      <c r="Q140" s="169"/>
      <c r="R140" s="169"/>
      <c r="S140" s="169"/>
      <c r="Y140" s="210" t="str">
        <f>AB140&amp;AC140</f>
        <v>00</v>
      </c>
      <c r="Z140" s="211" t="b">
        <f>AND(J140&lt;&gt;"",L140&lt;&gt;"")</f>
        <v>0</v>
      </c>
      <c r="AA140" s="210">
        <f>AA139</f>
        <v>27</v>
      </c>
      <c r="AB140" s="210">
        <f>I140</f>
        <v>0</v>
      </c>
      <c r="AC140" s="210">
        <f>M140</f>
        <v>0</v>
      </c>
      <c r="AD140" s="212" t="str">
        <f>IF(Z140,J140,"")</f>
        <v/>
      </c>
      <c r="AE140" s="210" t="str">
        <f>IF(Z140,L140,"")</f>
        <v/>
      </c>
      <c r="AG140" s="214" t="str">
        <f>IF(AD140&gt;AE140,AB140,"")</f>
        <v/>
      </c>
      <c r="AH140" s="214" t="str">
        <f>IF(AE140="","",IF(AD140=AE140,AB140,""))</f>
        <v/>
      </c>
      <c r="AI140" s="215" t="str">
        <f>IF(AND($AV$72,AD140=0,AE140=20),AB140&amp;"ooo",IF(AD140&lt;AE140,AB140,""))</f>
        <v/>
      </c>
      <c r="AJ140" s="214" t="str">
        <f>IF(AE140&gt;AD140,AC140,"")</f>
        <v/>
      </c>
      <c r="AK140" s="214" t="str">
        <f>IF(AE140="","",IF(AD140=AE140,AC140,""))</f>
        <v/>
      </c>
      <c r="AL140" s="215" t="str">
        <f>IF(AND($AV$72,AD140=20,AE140=0),AC140&amp;"ooo",IF(AD140&gt;AE140,AC140,""))</f>
        <v/>
      </c>
      <c r="AM140" s="216">
        <f>G140</f>
        <v>0</v>
      </c>
      <c r="AO140" s="245"/>
      <c r="AP140" s="245"/>
      <c r="AQ140" s="245"/>
      <c r="AR140" s="245"/>
      <c r="AS140" s="245"/>
      <c r="AT140" s="245"/>
      <c r="AU140" s="245"/>
      <c r="AV140" s="245"/>
      <c r="AW140" s="245"/>
      <c r="AX140" s="245"/>
      <c r="AZ140" s="245"/>
      <c r="BA140" s="283"/>
      <c r="BB140" s="283"/>
      <c r="BC140" s="239"/>
      <c r="BD140" s="283"/>
      <c r="BE140" s="239"/>
      <c r="BF140" s="239"/>
      <c r="BG140" s="239"/>
      <c r="BJ140" s="245"/>
      <c r="BK140" s="245"/>
      <c r="BM140" s="245"/>
      <c r="BN140" s="245"/>
      <c r="BO140" s="245"/>
      <c r="BP140" s="245"/>
      <c r="BQ140" s="245"/>
    </row>
    <row r="141" spans="1:69" ht="13.5" hidden="1" customHeight="1" x14ac:dyDescent="0.2">
      <c r="A141" s="842"/>
      <c r="C141" s="569"/>
      <c r="D141" s="570"/>
      <c r="E141" s="571"/>
      <c r="G141" s="204"/>
      <c r="H141" s="204"/>
      <c r="I141" s="199"/>
      <c r="J141" s="205"/>
      <c r="L141" s="206"/>
      <c r="M141" s="201"/>
      <c r="N141" s="207"/>
      <c r="O141" s="220"/>
      <c r="P141" s="169"/>
      <c r="Q141" s="169"/>
      <c r="R141" s="169"/>
      <c r="S141" s="169"/>
      <c r="Y141" s="210" t="str">
        <f>AB141&amp;AC141</f>
        <v>00</v>
      </c>
      <c r="Z141" s="211" t="b">
        <f>AND(J141&lt;&gt;"",L141&lt;&gt;"")</f>
        <v>0</v>
      </c>
      <c r="AA141" s="210">
        <f>AA140</f>
        <v>27</v>
      </c>
      <c r="AB141" s="210">
        <f>I141</f>
        <v>0</v>
      </c>
      <c r="AC141" s="210">
        <f>M141</f>
        <v>0</v>
      </c>
      <c r="AD141" s="212" t="str">
        <f>IF(Z141,J141,"")</f>
        <v/>
      </c>
      <c r="AE141" s="210" t="str">
        <f>IF(Z141,L141,"")</f>
        <v/>
      </c>
      <c r="AG141" s="214" t="str">
        <f>IF(AD141&gt;AE141,AB141,"")</f>
        <v/>
      </c>
      <c r="AH141" s="214" t="str">
        <f>IF(AE141="","",IF(AD141=AE141,AB141,""))</f>
        <v/>
      </c>
      <c r="AI141" s="215" t="str">
        <f>IF(AND($AV$72,AD141=0,AE141=20),AB141&amp;"ooo",IF(AD141&lt;AE141,AB141,""))</f>
        <v/>
      </c>
      <c r="AJ141" s="214" t="str">
        <f>IF(AE141&gt;AD141,AC141,"")</f>
        <v/>
      </c>
      <c r="AK141" s="214" t="str">
        <f>IF(AE141="","",IF(AD141=AE141,AC141,""))</f>
        <v/>
      </c>
      <c r="AL141" s="215" t="str">
        <f>IF(AND($AV$72,AD141=20,AE141=0),AC141&amp;"ooo",IF(AD141&gt;AE141,AC141,""))</f>
        <v/>
      </c>
      <c r="AM141" s="216">
        <f>G141</f>
        <v>0</v>
      </c>
      <c r="AO141" s="245"/>
      <c r="AP141" s="245"/>
      <c r="AQ141" s="245"/>
      <c r="AR141" s="245"/>
      <c r="AS141" s="245"/>
      <c r="AT141" s="245"/>
      <c r="AU141" s="245"/>
      <c r="AV141" s="245"/>
      <c r="AW141" s="245"/>
      <c r="AX141" s="245"/>
      <c r="AZ141" s="245"/>
      <c r="BA141" s="283"/>
      <c r="BB141" s="283"/>
      <c r="BC141" s="239"/>
      <c r="BD141" s="283"/>
      <c r="BE141" s="239"/>
      <c r="BF141" s="239"/>
      <c r="BG141" s="239"/>
      <c r="BJ141" s="245"/>
      <c r="BK141" s="245"/>
      <c r="BM141" s="245"/>
      <c r="BN141" s="245"/>
      <c r="BO141" s="245"/>
      <c r="BP141" s="245"/>
      <c r="BQ141" s="245"/>
    </row>
    <row r="142" spans="1:69" ht="13.5" hidden="1" customHeight="1" x14ac:dyDescent="0.2">
      <c r="A142" s="842"/>
      <c r="C142" s="569"/>
      <c r="D142" s="570"/>
      <c r="E142" s="571"/>
      <c r="G142" s="204"/>
      <c r="H142" s="204"/>
      <c r="I142" s="199"/>
      <c r="J142" s="205"/>
      <c r="L142" s="206"/>
      <c r="M142" s="201"/>
      <c r="N142" s="207"/>
      <c r="O142" s="220"/>
      <c r="P142" s="169"/>
      <c r="Q142" s="169"/>
      <c r="R142" s="169"/>
      <c r="S142" s="169"/>
      <c r="Y142" s="210" t="str">
        <f>AB142&amp;AC142</f>
        <v>00</v>
      </c>
      <c r="Z142" s="211" t="b">
        <f>AND(J142&lt;&gt;"",L142&lt;&gt;"")</f>
        <v>0</v>
      </c>
      <c r="AA142" s="210">
        <f>AA141</f>
        <v>27</v>
      </c>
      <c r="AB142" s="210">
        <f>I142</f>
        <v>0</v>
      </c>
      <c r="AC142" s="210">
        <f>M142</f>
        <v>0</v>
      </c>
      <c r="AD142" s="212" t="str">
        <f>IF(Z142,J142,"")</f>
        <v/>
      </c>
      <c r="AE142" s="210" t="str">
        <f>IF(Z142,L142,"")</f>
        <v/>
      </c>
      <c r="AG142" s="214" t="str">
        <f>IF(AD142&gt;AE142,AB142,"")</f>
        <v/>
      </c>
      <c r="AH142" s="214" t="str">
        <f>IF(AE142="","",IF(AD142=AE142,AB142,""))</f>
        <v/>
      </c>
      <c r="AI142" s="215" t="str">
        <f>IF(AND($AV$72,AD142=0,AE142=20),AB142&amp;"ooo",IF(AD142&lt;AE142,AB142,""))</f>
        <v/>
      </c>
      <c r="AJ142" s="214" t="str">
        <f>IF(AE142&gt;AD142,AC142,"")</f>
        <v/>
      </c>
      <c r="AK142" s="214" t="str">
        <f>IF(AE142="","",IF(AD142=AE142,AC142,""))</f>
        <v/>
      </c>
      <c r="AL142" s="215" t="str">
        <f>IF(AND($AV$72,AD142=20,AE142=0),AC142&amp;"ooo",IF(AD142&gt;AE142,AC142,""))</f>
        <v/>
      </c>
      <c r="AM142" s="216">
        <f>G142</f>
        <v>0</v>
      </c>
      <c r="AO142" s="245"/>
      <c r="AP142" s="245"/>
      <c r="AQ142" s="245"/>
      <c r="AR142" s="245"/>
      <c r="AS142" s="245"/>
      <c r="AT142" s="245"/>
      <c r="AU142" s="245"/>
      <c r="AV142" s="245"/>
      <c r="AW142" s="245"/>
      <c r="AX142" s="245"/>
      <c r="AZ142" s="245"/>
      <c r="BA142" s="283"/>
      <c r="BB142" s="283"/>
      <c r="BC142" s="239"/>
      <c r="BD142" s="283"/>
      <c r="BE142" s="239"/>
      <c r="BF142" s="239"/>
      <c r="BG142" s="239"/>
      <c r="BJ142" s="245"/>
      <c r="BK142" s="245"/>
      <c r="BM142" s="245"/>
      <c r="BN142" s="245"/>
      <c r="BO142" s="245"/>
      <c r="BP142" s="245"/>
      <c r="BQ142" s="245"/>
    </row>
    <row r="143" spans="1:69" ht="13.5" customHeight="1" x14ac:dyDescent="0.2">
      <c r="A143" s="842"/>
      <c r="I143" s="169"/>
      <c r="J143" s="169"/>
      <c r="K143" s="169"/>
      <c r="L143" s="169"/>
      <c r="M143" s="169"/>
      <c r="N143" s="169"/>
      <c r="O143" s="169"/>
      <c r="P143" s="169"/>
      <c r="Q143" s="169"/>
      <c r="R143" s="169"/>
      <c r="S143" s="169"/>
      <c r="Y143" s="229"/>
      <c r="Z143" s="230"/>
      <c r="AG143" s="233"/>
      <c r="AH143" s="233"/>
      <c r="AI143" s="234"/>
      <c r="AJ143" s="233"/>
      <c r="AK143" s="233"/>
      <c r="AL143" s="234"/>
      <c r="AM143" s="234"/>
      <c r="AO143" s="245"/>
      <c r="AP143" s="245"/>
      <c r="AQ143" s="245"/>
      <c r="AR143" s="245"/>
      <c r="AS143" s="245"/>
      <c r="AT143" s="245"/>
      <c r="AU143" s="245"/>
      <c r="AV143" s="245"/>
      <c r="AW143" s="245"/>
      <c r="AX143" s="245"/>
      <c r="AZ143" s="245"/>
      <c r="BA143" s="283"/>
      <c r="BB143" s="283"/>
      <c r="BC143" s="239"/>
      <c r="BD143" s="283"/>
      <c r="BE143" s="239"/>
      <c r="BF143" s="239"/>
      <c r="BG143" s="239"/>
      <c r="BJ143" s="245"/>
      <c r="BK143" s="245"/>
      <c r="BM143" s="245"/>
      <c r="BN143" s="245"/>
      <c r="BO143" s="245"/>
      <c r="BP143" s="245"/>
      <c r="BQ143" s="245"/>
    </row>
    <row r="144" spans="1:69" ht="13.5" hidden="1" customHeight="1" x14ac:dyDescent="0.2">
      <c r="A144" s="842"/>
      <c r="I144" s="170"/>
      <c r="J144" s="171"/>
      <c r="K144" s="171"/>
      <c r="L144" s="171"/>
      <c r="M144" s="170"/>
      <c r="N144" s="172"/>
      <c r="Y144" s="229"/>
      <c r="Z144" s="230"/>
      <c r="AA144" s="231"/>
      <c r="AB144" s="231"/>
      <c r="AC144" s="231"/>
      <c r="AD144" s="232"/>
      <c r="AE144" s="231"/>
      <c r="AG144" s="233"/>
      <c r="AH144" s="233"/>
      <c r="AI144" s="234"/>
      <c r="AJ144" s="233"/>
      <c r="AK144" s="233"/>
      <c r="AL144" s="234"/>
      <c r="AM144" s="234"/>
      <c r="AO144" s="245"/>
      <c r="AP144" s="245"/>
      <c r="AQ144" s="245"/>
      <c r="AR144" s="245"/>
      <c r="AS144" s="245"/>
      <c r="AT144" s="245"/>
      <c r="AU144" s="245"/>
      <c r="AZ144" s="245"/>
      <c r="BA144" s="283"/>
      <c r="BB144" s="283"/>
      <c r="BC144" s="239"/>
      <c r="BD144" s="283"/>
      <c r="BE144" s="239"/>
      <c r="BF144" s="239"/>
      <c r="BG144" s="239"/>
      <c r="BJ144" s="245"/>
      <c r="BK144" s="245"/>
      <c r="BM144" s="245"/>
      <c r="BN144" s="245"/>
      <c r="BO144" s="245"/>
      <c r="BP144" s="245"/>
      <c r="BQ144" s="245"/>
    </row>
    <row r="145" spans="1:69" ht="13.5" hidden="1" customHeight="1" x14ac:dyDescent="0.2">
      <c r="A145" s="842"/>
      <c r="B145" s="309"/>
      <c r="C145" s="309"/>
      <c r="D145" s="544"/>
      <c r="E145" s="544"/>
      <c r="F145" s="544"/>
      <c r="G145" s="544"/>
      <c r="H145" s="544"/>
      <c r="I145" s="844"/>
      <c r="J145" s="844"/>
      <c r="K145" s="844"/>
      <c r="L145" s="844"/>
      <c r="M145" s="564"/>
      <c r="N145" s="565"/>
      <c r="O145" s="566"/>
      <c r="P145" s="169"/>
      <c r="Q145" s="169"/>
      <c r="R145" s="169"/>
      <c r="S145" s="169"/>
      <c r="AA145" s="231"/>
      <c r="AP145" s="245"/>
      <c r="AQ145" s="245"/>
      <c r="AR145" s="245"/>
      <c r="AS145" s="245"/>
      <c r="AU145" s="243"/>
      <c r="AZ145" s="245"/>
      <c r="BA145" s="283"/>
      <c r="BB145" s="283"/>
      <c r="BC145" s="239"/>
      <c r="BD145" s="283"/>
      <c r="BE145" s="239"/>
      <c r="BF145" s="239"/>
      <c r="BG145" s="239"/>
      <c r="BJ145" s="245"/>
      <c r="BK145" s="245"/>
      <c r="BM145" s="245"/>
      <c r="BN145" s="245"/>
      <c r="BO145" s="245"/>
      <c r="BP145" s="245"/>
      <c r="BQ145" s="245"/>
    </row>
    <row r="146" spans="1:69" ht="21" hidden="1" customHeight="1" x14ac:dyDescent="0.2">
      <c r="A146" s="842"/>
      <c r="I146" s="567"/>
      <c r="K146" s="568"/>
      <c r="O146" s="169"/>
      <c r="P146" s="169"/>
      <c r="Q146" s="169"/>
      <c r="R146" s="169"/>
      <c r="S146" s="169"/>
      <c r="AA146" s="231"/>
      <c r="AO146" s="245"/>
      <c r="AP146" s="245"/>
      <c r="AQ146" s="245"/>
      <c r="AR146" s="245"/>
      <c r="AS146" s="245"/>
      <c r="AT146" s="245"/>
      <c r="AU146" s="245"/>
      <c r="AZ146" s="245"/>
      <c r="BA146" s="283"/>
      <c r="BB146" s="283"/>
      <c r="BC146" s="239"/>
      <c r="BD146" s="283"/>
      <c r="BE146" s="239"/>
      <c r="BF146" s="239"/>
      <c r="BG146" s="239"/>
      <c r="BJ146" s="245"/>
      <c r="BK146" s="245"/>
      <c r="BM146" s="245"/>
      <c r="BN146" s="245"/>
      <c r="BO146" s="245"/>
      <c r="BP146" s="245"/>
      <c r="BQ146" s="245"/>
    </row>
    <row r="147" spans="1:69" ht="13.5" hidden="1" customHeight="1" x14ac:dyDescent="0.2">
      <c r="A147" s="842"/>
      <c r="C147" s="569"/>
      <c r="D147" s="570"/>
      <c r="E147" s="571"/>
      <c r="G147" s="204"/>
      <c r="H147" s="204"/>
      <c r="I147" s="199"/>
      <c r="J147" s="205"/>
      <c r="L147" s="206"/>
      <c r="M147" s="201"/>
      <c r="N147" s="207"/>
      <c r="O147" s="208"/>
      <c r="P147" s="169"/>
      <c r="Q147" s="169"/>
      <c r="R147" s="169"/>
      <c r="S147" s="169"/>
      <c r="T147" s="209"/>
      <c r="U147" s="209"/>
      <c r="V147" s="209"/>
      <c r="W147" s="209"/>
      <c r="Y147" s="210"/>
      <c r="Z147" s="211"/>
      <c r="AA147" s="210"/>
      <c r="AB147" s="210"/>
      <c r="AC147" s="210"/>
      <c r="AD147" s="212"/>
      <c r="AE147" s="210"/>
      <c r="AF147" s="213"/>
      <c r="AG147" s="214"/>
      <c r="AH147" s="214"/>
      <c r="AI147" s="215"/>
      <c r="AJ147" s="214"/>
      <c r="AK147" s="214"/>
      <c r="AL147" s="215"/>
      <c r="AM147" s="216"/>
      <c r="AO147" s="245"/>
      <c r="AP147" s="245"/>
      <c r="AQ147" s="245"/>
      <c r="AR147" s="245"/>
      <c r="AS147" s="245"/>
      <c r="AT147" s="245"/>
      <c r="AU147" s="245"/>
      <c r="AZ147" s="245"/>
      <c r="BA147" s="283"/>
      <c r="BB147" s="283"/>
      <c r="BC147" s="239"/>
      <c r="BD147" s="283"/>
      <c r="BE147" s="239"/>
      <c r="BF147" s="239"/>
      <c r="BG147" s="239"/>
      <c r="BJ147" s="245"/>
      <c r="BK147" s="245"/>
      <c r="BM147" s="245"/>
      <c r="BN147" s="245"/>
      <c r="BO147" s="245"/>
      <c r="BP147" s="245"/>
      <c r="BQ147" s="245"/>
    </row>
    <row r="148" spans="1:69" ht="13.5" hidden="1" customHeight="1" x14ac:dyDescent="0.2">
      <c r="A148" s="842"/>
      <c r="C148" s="569"/>
      <c r="D148" s="570"/>
      <c r="E148" s="571"/>
      <c r="G148" s="204"/>
      <c r="H148" s="204"/>
      <c r="I148" s="199"/>
      <c r="J148" s="205"/>
      <c r="L148" s="206"/>
      <c r="M148" s="201"/>
      <c r="N148" s="207"/>
      <c r="O148" s="220"/>
      <c r="P148" s="169"/>
      <c r="Q148" s="169"/>
      <c r="R148" s="169"/>
      <c r="S148" s="169"/>
      <c r="T148" s="209"/>
      <c r="U148" s="209"/>
      <c r="V148" s="209"/>
      <c r="W148" s="209"/>
      <c r="Y148" s="210"/>
      <c r="Z148" s="211"/>
      <c r="AA148" s="210"/>
      <c r="AB148" s="210"/>
      <c r="AC148" s="210"/>
      <c r="AD148" s="212"/>
      <c r="AE148" s="210"/>
      <c r="AF148" s="213"/>
      <c r="AG148" s="214"/>
      <c r="AH148" s="214"/>
      <c r="AI148" s="215"/>
      <c r="AJ148" s="214"/>
      <c r="AK148" s="214"/>
      <c r="AL148" s="215"/>
      <c r="AM148" s="216"/>
      <c r="AO148" s="245"/>
      <c r="AP148" s="245"/>
      <c r="AQ148" s="245"/>
      <c r="AR148" s="245"/>
      <c r="AS148" s="245"/>
      <c r="AT148" s="245"/>
      <c r="AU148" s="245"/>
      <c r="AZ148" s="245"/>
      <c r="BA148" s="283"/>
      <c r="BB148" s="283"/>
      <c r="BC148" s="239"/>
      <c r="BD148" s="283"/>
      <c r="BE148" s="239"/>
      <c r="BF148" s="239"/>
      <c r="BG148" s="239"/>
      <c r="BJ148" s="245"/>
      <c r="BK148" s="245"/>
      <c r="BM148" s="245"/>
      <c r="BN148" s="245"/>
      <c r="BO148" s="245"/>
      <c r="BP148" s="245"/>
      <c r="BQ148" s="245"/>
    </row>
    <row r="149" spans="1:69" ht="13.5" hidden="1" customHeight="1" x14ac:dyDescent="0.2">
      <c r="A149" s="842"/>
      <c r="C149" s="569"/>
      <c r="D149" s="570"/>
      <c r="E149" s="571"/>
      <c r="G149" s="204"/>
      <c r="H149" s="204"/>
      <c r="I149" s="199"/>
      <c r="J149" s="205"/>
      <c r="L149" s="206"/>
      <c r="M149" s="201"/>
      <c r="N149" s="207"/>
      <c r="O149" s="220"/>
      <c r="P149" s="169"/>
      <c r="Q149" s="169"/>
      <c r="R149" s="169"/>
      <c r="S149" s="169"/>
      <c r="T149" s="209"/>
      <c r="U149" s="209"/>
      <c r="V149" s="209"/>
      <c r="W149" s="209"/>
      <c r="Y149" s="210"/>
      <c r="Z149" s="211"/>
      <c r="AA149" s="210"/>
      <c r="AB149" s="210"/>
      <c r="AC149" s="210"/>
      <c r="AD149" s="212"/>
      <c r="AE149" s="210"/>
      <c r="AF149" s="213"/>
      <c r="AG149" s="214"/>
      <c r="AH149" s="214"/>
      <c r="AI149" s="215"/>
      <c r="AJ149" s="214"/>
      <c r="AK149" s="214"/>
      <c r="AL149" s="215"/>
      <c r="AM149" s="216"/>
      <c r="AO149" s="245"/>
      <c r="AP149" s="245"/>
      <c r="AQ149" s="245"/>
      <c r="AR149" s="245"/>
      <c r="AS149" s="245"/>
      <c r="AT149" s="245"/>
      <c r="AU149" s="245"/>
      <c r="AV149" s="245"/>
      <c r="AW149" s="245"/>
      <c r="AX149" s="245"/>
      <c r="BA149" s="283"/>
      <c r="BB149" s="283"/>
      <c r="BC149" s="239"/>
      <c r="BD149" s="283"/>
      <c r="BE149" s="239"/>
      <c r="BF149" s="239"/>
      <c r="BG149" s="239"/>
      <c r="BJ149" s="245"/>
    </row>
    <row r="150" spans="1:69" ht="13.5" hidden="1" customHeight="1" x14ac:dyDescent="0.2">
      <c r="A150" s="842"/>
      <c r="C150" s="569"/>
      <c r="D150" s="570"/>
      <c r="E150" s="571"/>
      <c r="G150" s="204"/>
      <c r="H150" s="204"/>
      <c r="I150" s="199"/>
      <c r="J150" s="205"/>
      <c r="L150" s="206"/>
      <c r="M150" s="201"/>
      <c r="N150" s="207"/>
      <c r="O150" s="220"/>
      <c r="P150" s="169"/>
      <c r="Q150" s="169"/>
      <c r="R150" s="169"/>
      <c r="S150" s="169"/>
      <c r="T150" s="209"/>
      <c r="U150" s="209"/>
      <c r="Y150" s="210"/>
      <c r="Z150" s="211"/>
      <c r="AA150" s="210"/>
      <c r="AB150" s="210"/>
      <c r="AC150" s="210"/>
      <c r="AD150" s="212"/>
      <c r="AE150" s="210"/>
      <c r="AF150" s="213"/>
      <c r="AG150" s="214"/>
      <c r="AH150" s="214"/>
      <c r="AI150" s="215"/>
      <c r="AJ150" s="214"/>
      <c r="AK150" s="214"/>
      <c r="AL150" s="215"/>
      <c r="AM150" s="216"/>
      <c r="AO150" s="245"/>
      <c r="AP150" s="245"/>
      <c r="AQ150" s="245"/>
      <c r="AR150" s="245"/>
      <c r="AS150" s="245"/>
      <c r="AT150" s="245"/>
      <c r="AU150" s="245"/>
      <c r="AV150" s="245"/>
      <c r="AW150" s="245"/>
      <c r="AX150" s="245"/>
      <c r="AZ150" s="245"/>
      <c r="BA150" s="283"/>
      <c r="BB150" s="283"/>
      <c r="BC150" s="239"/>
      <c r="BD150" s="283"/>
      <c r="BE150" s="239"/>
      <c r="BF150" s="239"/>
      <c r="BG150" s="239"/>
      <c r="BJ150" s="245"/>
      <c r="BK150" s="245"/>
      <c r="BM150" s="245"/>
      <c r="BN150" s="245"/>
      <c r="BO150" s="245"/>
      <c r="BP150" s="245"/>
      <c r="BQ150" s="245"/>
    </row>
    <row r="151" spans="1:69" ht="21" hidden="1" customHeight="1" x14ac:dyDescent="0.2">
      <c r="A151" s="842"/>
      <c r="G151" s="576"/>
      <c r="H151" s="576"/>
      <c r="I151" s="567"/>
      <c r="K151" s="568"/>
      <c r="N151" s="223"/>
      <c r="O151" s="169"/>
      <c r="P151" s="169"/>
      <c r="Q151" s="169"/>
      <c r="R151" s="169"/>
      <c r="S151" s="169"/>
      <c r="T151" s="209"/>
      <c r="U151" s="209"/>
      <c r="V151" s="209"/>
      <c r="W151" s="209"/>
      <c r="Y151" s="229"/>
      <c r="Z151" s="230"/>
      <c r="AA151" s="231"/>
      <c r="AB151" s="231"/>
      <c r="AC151" s="231"/>
      <c r="AD151" s="232"/>
      <c r="AE151" s="231"/>
      <c r="AG151" s="233"/>
      <c r="AH151" s="233"/>
      <c r="AI151" s="234"/>
      <c r="AJ151" s="233"/>
      <c r="AK151" s="233"/>
      <c r="AL151" s="234"/>
      <c r="AM151" s="234"/>
      <c r="AO151" s="245"/>
      <c r="AP151" s="245"/>
      <c r="AQ151" s="245"/>
      <c r="AR151" s="245"/>
      <c r="AS151" s="245"/>
      <c r="AT151" s="245"/>
      <c r="AU151" s="245"/>
      <c r="AV151" s="245"/>
      <c r="AW151" s="245"/>
      <c r="AX151" s="245"/>
      <c r="AZ151" s="245"/>
      <c r="BA151" s="283"/>
      <c r="BB151" s="283"/>
      <c r="BC151" s="239"/>
      <c r="BD151" s="283"/>
      <c r="BE151" s="239"/>
      <c r="BF151" s="239"/>
      <c r="BG151" s="239"/>
      <c r="BJ151" s="245"/>
      <c r="BK151" s="245"/>
      <c r="BM151" s="245"/>
      <c r="BN151" s="245"/>
      <c r="BO151" s="245"/>
      <c r="BP151" s="245"/>
      <c r="BQ151" s="245"/>
    </row>
    <row r="152" spans="1:69" ht="13.5" hidden="1" customHeight="1" x14ac:dyDescent="0.2">
      <c r="A152" s="842"/>
      <c r="C152" s="569"/>
      <c r="D152" s="570"/>
      <c r="E152" s="571"/>
      <c r="G152" s="204"/>
      <c r="H152" s="204"/>
      <c r="I152" s="199"/>
      <c r="J152" s="205"/>
      <c r="L152" s="206"/>
      <c r="M152" s="201"/>
      <c r="N152" s="207"/>
      <c r="O152" s="208"/>
      <c r="P152" s="169"/>
      <c r="Q152" s="169"/>
      <c r="R152" s="169"/>
      <c r="S152" s="169"/>
      <c r="Y152" s="210"/>
      <c r="Z152" s="211"/>
      <c r="AA152" s="210"/>
      <c r="AB152" s="210"/>
      <c r="AC152" s="210"/>
      <c r="AD152" s="212"/>
      <c r="AE152" s="210"/>
      <c r="AG152" s="214"/>
      <c r="AH152" s="214"/>
      <c r="AI152" s="215"/>
      <c r="AJ152" s="214"/>
      <c r="AK152" s="214"/>
      <c r="AL152" s="215"/>
      <c r="AM152" s="216"/>
      <c r="AO152" s="245"/>
      <c r="AP152" s="245"/>
      <c r="AQ152" s="245"/>
      <c r="AR152" s="245"/>
      <c r="AS152" s="245"/>
      <c r="AT152" s="245"/>
      <c r="AU152" s="245"/>
      <c r="AV152" s="245"/>
      <c r="AW152" s="245"/>
      <c r="AX152" s="245"/>
      <c r="AZ152" s="245"/>
      <c r="BA152" s="283"/>
      <c r="BB152" s="283"/>
      <c r="BC152" s="239"/>
      <c r="BD152" s="283"/>
      <c r="BE152" s="239"/>
      <c r="BF152" s="239"/>
      <c r="BG152" s="239"/>
      <c r="BJ152" s="245"/>
      <c r="BK152" s="245"/>
      <c r="BM152" s="245"/>
      <c r="BN152" s="245"/>
      <c r="BO152" s="245"/>
      <c r="BP152" s="245"/>
      <c r="BQ152" s="245"/>
    </row>
    <row r="153" spans="1:69" ht="13.5" hidden="1" customHeight="1" x14ac:dyDescent="0.2">
      <c r="A153" s="842"/>
      <c r="C153" s="569"/>
      <c r="D153" s="570"/>
      <c r="E153" s="571"/>
      <c r="G153" s="204"/>
      <c r="H153" s="204"/>
      <c r="I153" s="199"/>
      <c r="J153" s="205"/>
      <c r="L153" s="206"/>
      <c r="M153" s="201"/>
      <c r="N153" s="207"/>
      <c r="O153" s="220"/>
      <c r="P153" s="169"/>
      <c r="Q153" s="169"/>
      <c r="R153" s="169"/>
      <c r="S153" s="169"/>
      <c r="Y153" s="210"/>
      <c r="Z153" s="211"/>
      <c r="AA153" s="210"/>
      <c r="AB153" s="210"/>
      <c r="AC153" s="210"/>
      <c r="AD153" s="212"/>
      <c r="AE153" s="210"/>
      <c r="AG153" s="214"/>
      <c r="AH153" s="214"/>
      <c r="AI153" s="215"/>
      <c r="AJ153" s="214"/>
      <c r="AK153" s="214"/>
      <c r="AL153" s="215"/>
      <c r="AM153" s="216"/>
      <c r="AO153" s="245"/>
      <c r="AP153" s="245"/>
      <c r="AQ153" s="245"/>
      <c r="AR153" s="245"/>
      <c r="AS153" s="245"/>
      <c r="AT153" s="245"/>
      <c r="AU153" s="245"/>
      <c r="AV153" s="245"/>
      <c r="AW153" s="245"/>
      <c r="AX153" s="245"/>
      <c r="AZ153" s="245"/>
      <c r="BA153" s="283"/>
      <c r="BB153" s="283"/>
      <c r="BC153" s="239"/>
      <c r="BD153" s="283"/>
      <c r="BE153" s="239"/>
      <c r="BF153" s="239"/>
      <c r="BG153" s="239"/>
      <c r="BJ153" s="245"/>
      <c r="BK153" s="245"/>
      <c r="BM153" s="245"/>
      <c r="BN153" s="245"/>
      <c r="BO153" s="245"/>
      <c r="BP153" s="245"/>
      <c r="BQ153" s="245"/>
    </row>
    <row r="154" spans="1:69" ht="13.5" hidden="1" customHeight="1" x14ac:dyDescent="0.2">
      <c r="A154" s="842"/>
      <c r="C154" s="569"/>
      <c r="D154" s="570"/>
      <c r="E154" s="571"/>
      <c r="G154" s="204"/>
      <c r="H154" s="204"/>
      <c r="I154" s="199"/>
      <c r="J154" s="205"/>
      <c r="L154" s="206"/>
      <c r="M154" s="201"/>
      <c r="N154" s="207"/>
      <c r="O154" s="220"/>
      <c r="P154" s="169"/>
      <c r="Q154" s="169"/>
      <c r="R154" s="169"/>
      <c r="S154" s="169"/>
      <c r="Y154" s="210"/>
      <c r="Z154" s="211"/>
      <c r="AA154" s="210"/>
      <c r="AB154" s="210"/>
      <c r="AC154" s="210"/>
      <c r="AD154" s="212"/>
      <c r="AE154" s="210"/>
      <c r="AG154" s="214"/>
      <c r="AH154" s="214"/>
      <c r="AI154" s="215"/>
      <c r="AJ154" s="214"/>
      <c r="AK154" s="214"/>
      <c r="AL154" s="215"/>
      <c r="AM154" s="216"/>
      <c r="AO154" s="245"/>
      <c r="AP154" s="245"/>
      <c r="AQ154" s="245"/>
      <c r="AR154" s="245"/>
      <c r="AS154" s="245"/>
      <c r="AT154" s="245"/>
      <c r="AU154" s="245"/>
      <c r="AV154" s="245"/>
      <c r="AW154" s="245"/>
      <c r="AX154" s="245"/>
      <c r="AZ154" s="245"/>
      <c r="BA154" s="283"/>
      <c r="BB154" s="283"/>
      <c r="BC154" s="239"/>
      <c r="BD154" s="283"/>
      <c r="BE154" s="239"/>
      <c r="BF154" s="239"/>
      <c r="BG154" s="239"/>
      <c r="BJ154" s="245"/>
      <c r="BK154" s="245"/>
      <c r="BM154" s="245"/>
      <c r="BN154" s="245"/>
      <c r="BO154" s="245"/>
      <c r="BP154" s="245"/>
      <c r="BQ154" s="245"/>
    </row>
    <row r="155" spans="1:69" ht="13.5" hidden="1" customHeight="1" x14ac:dyDescent="0.2">
      <c r="A155" s="842"/>
      <c r="C155" s="569"/>
      <c r="D155" s="570"/>
      <c r="E155" s="571"/>
      <c r="G155" s="204"/>
      <c r="H155" s="204"/>
      <c r="I155" s="199"/>
      <c r="J155" s="205"/>
      <c r="L155" s="206"/>
      <c r="M155" s="201"/>
      <c r="N155" s="207"/>
      <c r="O155" s="220"/>
      <c r="P155" s="169"/>
      <c r="Q155" s="169"/>
      <c r="R155" s="169"/>
      <c r="S155" s="169"/>
      <c r="Y155" s="210"/>
      <c r="Z155" s="211"/>
      <c r="AA155" s="210"/>
      <c r="AB155" s="210"/>
      <c r="AC155" s="210"/>
      <c r="AD155" s="212"/>
      <c r="AE155" s="210"/>
      <c r="AG155" s="214"/>
      <c r="AH155" s="214"/>
      <c r="AI155" s="215"/>
      <c r="AJ155" s="214"/>
      <c r="AK155" s="214"/>
      <c r="AL155" s="215"/>
      <c r="AM155" s="216"/>
      <c r="AO155" s="245"/>
      <c r="AP155" s="245"/>
      <c r="AQ155" s="245"/>
      <c r="AR155" s="245"/>
      <c r="AS155" s="245"/>
      <c r="AT155" s="245"/>
      <c r="AU155" s="245"/>
      <c r="AV155" s="245"/>
      <c r="AW155" s="245"/>
      <c r="AX155" s="245"/>
      <c r="AZ155" s="245"/>
      <c r="BA155" s="283"/>
      <c r="BB155" s="283"/>
      <c r="BC155" s="239"/>
      <c r="BD155" s="283"/>
      <c r="BE155" s="239"/>
      <c r="BF155" s="239"/>
      <c r="BG155" s="239"/>
      <c r="BJ155" s="245"/>
      <c r="BK155" s="245"/>
      <c r="BM155" s="245"/>
      <c r="BN155" s="245"/>
      <c r="BO155" s="245"/>
      <c r="BP155" s="245"/>
      <c r="BQ155" s="245"/>
    </row>
    <row r="156" spans="1:69" ht="21" hidden="1" customHeight="1" x14ac:dyDescent="0.2">
      <c r="A156" s="842"/>
      <c r="G156" s="576"/>
      <c r="H156" s="576"/>
      <c r="I156" s="567"/>
      <c r="K156" s="568"/>
      <c r="N156" s="169"/>
      <c r="O156" s="169"/>
      <c r="P156" s="169"/>
      <c r="Q156" s="169"/>
      <c r="R156" s="169"/>
      <c r="S156" s="169"/>
      <c r="Y156" s="229"/>
      <c r="Z156" s="230"/>
      <c r="AA156" s="231"/>
      <c r="AB156" s="231"/>
      <c r="AC156" s="231"/>
      <c r="AD156" s="232"/>
      <c r="AE156" s="231"/>
      <c r="AG156" s="233"/>
      <c r="AH156" s="233"/>
      <c r="AI156" s="234"/>
      <c r="AJ156" s="233"/>
      <c r="AK156" s="233"/>
      <c r="AL156" s="234"/>
      <c r="AM156" s="234"/>
      <c r="AO156" s="245"/>
      <c r="AP156" s="245"/>
      <c r="AQ156" s="245"/>
      <c r="AR156" s="245"/>
      <c r="AS156" s="245"/>
      <c r="AT156" s="245"/>
      <c r="AU156" s="245"/>
      <c r="AV156" s="245"/>
      <c r="AW156" s="245"/>
      <c r="AX156" s="245"/>
      <c r="AZ156" s="245"/>
      <c r="BA156" s="283"/>
      <c r="BB156" s="283"/>
      <c r="BC156" s="239"/>
      <c r="BD156" s="283"/>
      <c r="BE156" s="239"/>
      <c r="BF156" s="239"/>
      <c r="BG156" s="239"/>
      <c r="BJ156" s="245"/>
      <c r="BK156" s="245"/>
      <c r="BM156" s="245"/>
      <c r="BN156" s="245"/>
      <c r="BO156" s="245"/>
      <c r="BP156" s="245"/>
      <c r="BQ156" s="245"/>
    </row>
    <row r="157" spans="1:69" ht="13.5" hidden="1" customHeight="1" x14ac:dyDescent="0.2">
      <c r="A157" s="842"/>
      <c r="C157" s="569"/>
      <c r="D157" s="570"/>
      <c r="E157" s="571"/>
      <c r="G157" s="204"/>
      <c r="H157" s="204"/>
      <c r="I157" s="199"/>
      <c r="J157" s="205"/>
      <c r="L157" s="206"/>
      <c r="M157" s="201"/>
      <c r="N157" s="207"/>
      <c r="O157" s="208"/>
      <c r="P157" s="169"/>
      <c r="Q157" s="169"/>
      <c r="R157" s="169"/>
      <c r="S157" s="169"/>
      <c r="Y157" s="210"/>
      <c r="Z157" s="211"/>
      <c r="AA157" s="210"/>
      <c r="AB157" s="210"/>
      <c r="AC157" s="210"/>
      <c r="AD157" s="212"/>
      <c r="AE157" s="210"/>
      <c r="AG157" s="214"/>
      <c r="AH157" s="214"/>
      <c r="AI157" s="215"/>
      <c r="AJ157" s="214"/>
      <c r="AK157" s="214"/>
      <c r="AL157" s="215"/>
      <c r="AM157" s="216"/>
      <c r="AO157" s="245"/>
      <c r="AP157" s="245"/>
      <c r="AQ157" s="245"/>
      <c r="AR157" s="245"/>
      <c r="AS157" s="245"/>
      <c r="AT157" s="245"/>
      <c r="AU157" s="245"/>
      <c r="AV157" s="245"/>
      <c r="AW157" s="245"/>
      <c r="AX157" s="245"/>
      <c r="AZ157" s="245"/>
      <c r="BA157" s="283"/>
      <c r="BB157" s="283"/>
      <c r="BC157" s="239"/>
      <c r="BD157" s="283"/>
      <c r="BE157" s="239"/>
      <c r="BF157" s="239"/>
      <c r="BG157" s="239"/>
      <c r="BJ157" s="245"/>
      <c r="BK157" s="245"/>
      <c r="BM157" s="245"/>
      <c r="BN157" s="245"/>
      <c r="BO157" s="245"/>
      <c r="BP157" s="245"/>
      <c r="BQ157" s="245"/>
    </row>
    <row r="158" spans="1:69" ht="13.5" hidden="1" customHeight="1" x14ac:dyDescent="0.2">
      <c r="A158" s="842"/>
      <c r="C158" s="569"/>
      <c r="D158" s="570"/>
      <c r="E158" s="571"/>
      <c r="G158" s="204"/>
      <c r="H158" s="204"/>
      <c r="I158" s="199"/>
      <c r="J158" s="205"/>
      <c r="L158" s="206"/>
      <c r="M158" s="201"/>
      <c r="N158" s="207"/>
      <c r="O158" s="220"/>
      <c r="P158" s="169"/>
      <c r="Q158" s="169"/>
      <c r="R158" s="169"/>
      <c r="S158" s="169"/>
      <c r="Y158" s="210"/>
      <c r="Z158" s="211"/>
      <c r="AA158" s="210"/>
      <c r="AB158" s="210"/>
      <c r="AC158" s="210"/>
      <c r="AD158" s="212"/>
      <c r="AE158" s="210"/>
      <c r="AG158" s="214"/>
      <c r="AH158" s="214"/>
      <c r="AI158" s="215"/>
      <c r="AJ158" s="214"/>
      <c r="AK158" s="214"/>
      <c r="AL158" s="215"/>
      <c r="AM158" s="216"/>
      <c r="AO158" s="245"/>
      <c r="AP158" s="245"/>
      <c r="AQ158" s="245"/>
      <c r="AR158" s="245"/>
      <c r="AS158" s="245"/>
      <c r="AT158" s="245"/>
      <c r="AU158" s="245"/>
      <c r="AV158" s="245"/>
      <c r="AW158" s="245"/>
      <c r="AX158" s="245"/>
      <c r="AZ158" s="245"/>
      <c r="BA158" s="283"/>
      <c r="BB158" s="283"/>
      <c r="BC158" s="239"/>
      <c r="BD158" s="283"/>
      <c r="BE158" s="239"/>
      <c r="BF158" s="239"/>
      <c r="BG158" s="239"/>
      <c r="BJ158" s="245"/>
      <c r="BK158" s="245"/>
      <c r="BM158" s="245"/>
      <c r="BN158" s="245"/>
      <c r="BO158" s="245"/>
      <c r="BP158" s="245"/>
      <c r="BQ158" s="245"/>
    </row>
    <row r="159" spans="1:69" ht="13.5" hidden="1" customHeight="1" x14ac:dyDescent="0.2">
      <c r="A159" s="842"/>
      <c r="C159" s="569"/>
      <c r="D159" s="570"/>
      <c r="E159" s="571"/>
      <c r="G159" s="204"/>
      <c r="H159" s="204"/>
      <c r="I159" s="199"/>
      <c r="J159" s="205"/>
      <c r="L159" s="206"/>
      <c r="M159" s="201"/>
      <c r="N159" s="207"/>
      <c r="O159" s="220"/>
      <c r="P159" s="169"/>
      <c r="Q159" s="169"/>
      <c r="R159" s="169"/>
      <c r="S159" s="169"/>
      <c r="Y159" s="210"/>
      <c r="Z159" s="211"/>
      <c r="AA159" s="210"/>
      <c r="AB159" s="210"/>
      <c r="AC159" s="210"/>
      <c r="AD159" s="212"/>
      <c r="AE159" s="210"/>
      <c r="AG159" s="214"/>
      <c r="AH159" s="214"/>
      <c r="AI159" s="215"/>
      <c r="AJ159" s="214"/>
      <c r="AK159" s="214"/>
      <c r="AL159" s="215"/>
      <c r="AM159" s="216"/>
      <c r="AO159" s="245"/>
      <c r="AP159" s="245"/>
      <c r="AQ159" s="245"/>
      <c r="AR159" s="245"/>
      <c r="AS159" s="245"/>
      <c r="AT159" s="245"/>
      <c r="AU159" s="245"/>
      <c r="AV159" s="245"/>
      <c r="AW159" s="245"/>
      <c r="AX159" s="245"/>
      <c r="AZ159" s="245"/>
      <c r="BA159" s="283"/>
      <c r="BB159" s="283"/>
      <c r="BC159" s="239"/>
      <c r="BD159" s="283"/>
      <c r="BE159" s="239"/>
      <c r="BF159" s="239"/>
      <c r="BG159" s="239"/>
      <c r="BJ159" s="245"/>
      <c r="BK159" s="245"/>
      <c r="BM159" s="245"/>
      <c r="BN159" s="245"/>
      <c r="BO159" s="245"/>
      <c r="BP159" s="245"/>
      <c r="BQ159" s="245"/>
    </row>
    <row r="160" spans="1:69" ht="13.5" hidden="1" customHeight="1" x14ac:dyDescent="0.2">
      <c r="A160" s="842"/>
      <c r="C160" s="569"/>
      <c r="D160" s="570"/>
      <c r="E160" s="571"/>
      <c r="G160" s="204"/>
      <c r="H160" s="204"/>
      <c r="I160" s="199"/>
      <c r="J160" s="205"/>
      <c r="L160" s="206"/>
      <c r="M160" s="201"/>
      <c r="N160" s="207"/>
      <c r="O160" s="220"/>
      <c r="P160" s="169"/>
      <c r="Q160" s="169"/>
      <c r="R160" s="169"/>
      <c r="S160" s="169"/>
      <c r="Y160" s="210"/>
      <c r="Z160" s="211"/>
      <c r="AA160" s="210"/>
      <c r="AB160" s="210"/>
      <c r="AC160" s="210"/>
      <c r="AD160" s="212"/>
      <c r="AE160" s="210"/>
      <c r="AG160" s="214"/>
      <c r="AH160" s="214"/>
      <c r="AI160" s="215"/>
      <c r="AJ160" s="214"/>
      <c r="AK160" s="214"/>
      <c r="AL160" s="215"/>
      <c r="AM160" s="216"/>
      <c r="AO160" s="245"/>
      <c r="AP160" s="245"/>
      <c r="AQ160" s="245"/>
      <c r="AR160" s="245"/>
      <c r="AS160" s="245"/>
      <c r="AT160" s="245"/>
      <c r="AU160" s="245"/>
      <c r="AV160" s="245"/>
      <c r="AW160" s="245"/>
      <c r="AX160" s="245"/>
      <c r="AZ160" s="245"/>
      <c r="BA160" s="283"/>
      <c r="BB160" s="283"/>
      <c r="BC160" s="239"/>
      <c r="BD160" s="283"/>
      <c r="BE160" s="239"/>
      <c r="BF160" s="239"/>
      <c r="BG160" s="239"/>
      <c r="BJ160" s="245"/>
      <c r="BK160" s="245"/>
      <c r="BM160" s="245"/>
      <c r="BN160" s="245"/>
      <c r="BO160" s="245"/>
      <c r="BP160" s="245"/>
      <c r="BQ160" s="245"/>
    </row>
    <row r="161" spans="1:69" ht="13.5" hidden="1" customHeight="1" x14ac:dyDescent="0.2">
      <c r="A161" s="842"/>
      <c r="I161" s="169"/>
      <c r="J161" s="169"/>
      <c r="K161" s="169"/>
      <c r="L161" s="169"/>
      <c r="M161" s="169"/>
      <c r="N161" s="169"/>
      <c r="O161" s="169"/>
      <c r="P161" s="169"/>
      <c r="Q161" s="169"/>
      <c r="R161" s="169"/>
      <c r="S161" s="169"/>
      <c r="Y161" s="229"/>
      <c r="Z161" s="230"/>
      <c r="AG161" s="233"/>
      <c r="AH161" s="233"/>
      <c r="AI161" s="234"/>
      <c r="AJ161" s="233"/>
      <c r="AK161" s="233"/>
      <c r="AL161" s="234"/>
      <c r="AM161" s="234"/>
      <c r="AO161" s="245"/>
      <c r="AP161" s="245"/>
      <c r="AQ161" s="245"/>
      <c r="AR161" s="245"/>
      <c r="AS161" s="245"/>
      <c r="AT161" s="245"/>
      <c r="AU161" s="245"/>
      <c r="AV161" s="245"/>
      <c r="AW161" s="245"/>
      <c r="AX161" s="245"/>
      <c r="AZ161" s="245"/>
      <c r="BA161" s="283"/>
      <c r="BB161" s="283"/>
      <c r="BC161" s="239"/>
      <c r="BD161" s="283"/>
      <c r="BE161" s="239"/>
      <c r="BF161" s="239"/>
      <c r="BG161" s="239"/>
      <c r="BJ161" s="245"/>
      <c r="BK161" s="245"/>
      <c r="BM161" s="245"/>
      <c r="BN161" s="245"/>
      <c r="BO161" s="245"/>
      <c r="BP161" s="245"/>
      <c r="BQ161" s="245"/>
    </row>
    <row r="162" spans="1:69" ht="13.5" hidden="1" customHeight="1" x14ac:dyDescent="0.2">
      <c r="A162" s="842"/>
      <c r="I162" s="170"/>
      <c r="J162" s="171"/>
      <c r="K162" s="171"/>
      <c r="L162" s="171"/>
      <c r="M162" s="170"/>
      <c r="N162" s="172"/>
      <c r="Y162" s="229"/>
      <c r="Z162" s="230"/>
      <c r="AA162" s="231"/>
      <c r="AB162" s="231"/>
      <c r="AC162" s="231"/>
      <c r="AD162" s="232"/>
      <c r="AE162" s="231"/>
      <c r="AG162" s="233"/>
      <c r="AH162" s="233"/>
      <c r="AI162" s="234"/>
      <c r="AJ162" s="233"/>
      <c r="AK162" s="233"/>
      <c r="AL162" s="234"/>
      <c r="AM162" s="234"/>
      <c r="AO162" s="245"/>
      <c r="AP162" s="245"/>
      <c r="AQ162" s="245"/>
      <c r="AR162" s="245"/>
      <c r="AS162" s="245"/>
      <c r="AT162" s="245"/>
      <c r="AU162" s="245"/>
      <c r="AZ162" s="245"/>
      <c r="BA162" s="283"/>
      <c r="BB162" s="283"/>
      <c r="BC162" s="239"/>
      <c r="BD162" s="283"/>
      <c r="BE162" s="239"/>
      <c r="BF162" s="239"/>
      <c r="BG162" s="239"/>
      <c r="BJ162" s="245"/>
      <c r="BK162" s="245"/>
      <c r="BM162" s="245"/>
      <c r="BN162" s="245"/>
      <c r="BO162" s="245"/>
      <c r="BP162" s="245"/>
      <c r="BQ162" s="245"/>
    </row>
    <row r="163" spans="1:69" ht="13.5" hidden="1" customHeight="1" x14ac:dyDescent="0.2">
      <c r="A163" s="842"/>
      <c r="B163" s="309"/>
      <c r="C163" s="309"/>
      <c r="D163" s="544"/>
      <c r="E163" s="544"/>
      <c r="F163" s="544"/>
      <c r="G163" s="544"/>
      <c r="H163" s="544"/>
      <c r="I163" s="844"/>
      <c r="J163" s="844"/>
      <c r="K163" s="844"/>
      <c r="L163" s="844"/>
      <c r="M163" s="564"/>
      <c r="N163" s="565"/>
      <c r="O163" s="566"/>
      <c r="P163" s="169"/>
      <c r="Q163" s="169"/>
      <c r="R163" s="169"/>
      <c r="S163" s="169"/>
      <c r="AA163" s="231"/>
      <c r="AP163" s="245"/>
      <c r="AQ163" s="245"/>
      <c r="AR163" s="245"/>
      <c r="AS163" s="245"/>
      <c r="AU163" s="243"/>
      <c r="AZ163" s="245"/>
      <c r="BA163" s="283"/>
      <c r="BB163" s="283"/>
      <c r="BC163" s="239"/>
      <c r="BD163" s="283"/>
      <c r="BE163" s="239"/>
      <c r="BF163" s="239"/>
      <c r="BG163" s="239"/>
      <c r="BJ163" s="245"/>
      <c r="BK163" s="245"/>
      <c r="BM163" s="245"/>
      <c r="BN163" s="245"/>
      <c r="BO163" s="245"/>
      <c r="BP163" s="245"/>
      <c r="BQ163" s="245"/>
    </row>
    <row r="164" spans="1:69" ht="21" hidden="1" customHeight="1" x14ac:dyDescent="0.2">
      <c r="A164" s="842"/>
      <c r="I164" s="567"/>
      <c r="K164" s="568"/>
      <c r="O164" s="169"/>
      <c r="P164" s="169"/>
      <c r="Q164" s="169"/>
      <c r="R164" s="169"/>
      <c r="S164" s="169"/>
      <c r="AA164" s="231"/>
      <c r="AO164" s="245"/>
      <c r="AP164" s="245"/>
      <c r="AQ164" s="245"/>
      <c r="AR164" s="245"/>
      <c r="AS164" s="245"/>
      <c r="AT164" s="245"/>
      <c r="AU164" s="245"/>
      <c r="AZ164" s="245"/>
      <c r="BA164" s="283"/>
      <c r="BB164" s="283"/>
      <c r="BC164" s="239"/>
      <c r="BD164" s="283"/>
      <c r="BE164" s="239"/>
      <c r="BF164" s="239"/>
      <c r="BG164" s="239"/>
      <c r="BJ164" s="245"/>
      <c r="BK164" s="245"/>
      <c r="BM164" s="245"/>
      <c r="BN164" s="245"/>
      <c r="BO164" s="245"/>
      <c r="BP164" s="245"/>
      <c r="BQ164" s="245"/>
    </row>
    <row r="165" spans="1:69" ht="13.5" hidden="1" customHeight="1" x14ac:dyDescent="0.2">
      <c r="A165" s="842"/>
      <c r="C165" s="569"/>
      <c r="D165" s="570"/>
      <c r="E165" s="571"/>
      <c r="G165" s="204"/>
      <c r="H165" s="204"/>
      <c r="I165" s="199"/>
      <c r="J165" s="205"/>
      <c r="L165" s="206"/>
      <c r="M165" s="201"/>
      <c r="N165" s="207"/>
      <c r="O165" s="208"/>
      <c r="P165" s="169"/>
      <c r="Q165" s="169"/>
      <c r="R165" s="169"/>
      <c r="S165" s="169"/>
      <c r="T165" s="209"/>
      <c r="U165" s="209"/>
      <c r="V165" s="209"/>
      <c r="W165" s="209"/>
      <c r="Y165" s="210"/>
      <c r="Z165" s="211"/>
      <c r="AA165" s="210"/>
      <c r="AB165" s="210"/>
      <c r="AC165" s="210"/>
      <c r="AD165" s="212"/>
      <c r="AE165" s="210"/>
      <c r="AF165" s="213"/>
      <c r="AG165" s="214"/>
      <c r="AH165" s="214"/>
      <c r="AI165" s="215"/>
      <c r="AJ165" s="214"/>
      <c r="AK165" s="214"/>
      <c r="AL165" s="215"/>
      <c r="AM165" s="216"/>
      <c r="AO165" s="245"/>
      <c r="AP165" s="245"/>
      <c r="AQ165" s="245"/>
      <c r="AR165" s="245"/>
      <c r="AS165" s="245"/>
      <c r="AT165" s="245"/>
      <c r="AU165" s="245"/>
      <c r="AZ165" s="245"/>
      <c r="BA165" s="283"/>
      <c r="BB165" s="283"/>
      <c r="BC165" s="239"/>
      <c r="BD165" s="283"/>
      <c r="BE165" s="239"/>
      <c r="BF165" s="239"/>
      <c r="BG165" s="239"/>
      <c r="BJ165" s="245"/>
      <c r="BK165" s="245"/>
      <c r="BM165" s="245"/>
      <c r="BN165" s="245"/>
      <c r="BO165" s="245"/>
      <c r="BP165" s="245"/>
      <c r="BQ165" s="245"/>
    </row>
    <row r="166" spans="1:69" ht="13.5" hidden="1" customHeight="1" x14ac:dyDescent="0.2">
      <c r="A166" s="842"/>
      <c r="C166" s="569"/>
      <c r="D166" s="570"/>
      <c r="E166" s="571"/>
      <c r="G166" s="204"/>
      <c r="H166" s="204"/>
      <c r="I166" s="199"/>
      <c r="J166" s="205"/>
      <c r="L166" s="206"/>
      <c r="M166" s="201"/>
      <c r="N166" s="207"/>
      <c r="O166" s="220"/>
      <c r="P166" s="169"/>
      <c r="Q166" s="169"/>
      <c r="R166" s="169"/>
      <c r="S166" s="169"/>
      <c r="T166" s="209"/>
      <c r="U166" s="209"/>
      <c r="V166" s="209"/>
      <c r="W166" s="209"/>
      <c r="Y166" s="210"/>
      <c r="Z166" s="211"/>
      <c r="AA166" s="210"/>
      <c r="AB166" s="210"/>
      <c r="AC166" s="210"/>
      <c r="AD166" s="212"/>
      <c r="AE166" s="210"/>
      <c r="AF166" s="213"/>
      <c r="AG166" s="214"/>
      <c r="AH166" s="214"/>
      <c r="AI166" s="215"/>
      <c r="AJ166" s="214"/>
      <c r="AK166" s="214"/>
      <c r="AL166" s="215"/>
      <c r="AM166" s="216"/>
      <c r="AO166" s="245"/>
      <c r="AP166" s="245"/>
      <c r="AQ166" s="245"/>
      <c r="AR166" s="245"/>
      <c r="AS166" s="245"/>
      <c r="AT166" s="245"/>
      <c r="AU166" s="245"/>
      <c r="AZ166" s="245"/>
      <c r="BA166" s="283"/>
      <c r="BB166" s="283"/>
      <c r="BC166" s="239"/>
      <c r="BD166" s="283"/>
      <c r="BE166" s="239"/>
      <c r="BF166" s="239"/>
      <c r="BG166" s="239"/>
      <c r="BJ166" s="245"/>
      <c r="BK166" s="245"/>
      <c r="BM166" s="245"/>
      <c r="BN166" s="245"/>
      <c r="BO166" s="245"/>
      <c r="BP166" s="245"/>
      <c r="BQ166" s="245"/>
    </row>
    <row r="167" spans="1:69" ht="13.5" hidden="1" customHeight="1" x14ac:dyDescent="0.2">
      <c r="A167" s="842"/>
      <c r="C167" s="569"/>
      <c r="D167" s="570"/>
      <c r="E167" s="571"/>
      <c r="G167" s="204"/>
      <c r="H167" s="204"/>
      <c r="I167" s="199"/>
      <c r="J167" s="205"/>
      <c r="L167" s="206"/>
      <c r="M167" s="201"/>
      <c r="N167" s="207"/>
      <c r="O167" s="220"/>
      <c r="P167" s="169"/>
      <c r="Q167" s="169"/>
      <c r="R167" s="169"/>
      <c r="S167" s="169"/>
      <c r="T167" s="209"/>
      <c r="U167" s="209"/>
      <c r="V167" s="209"/>
      <c r="W167" s="209"/>
      <c r="Y167" s="210"/>
      <c r="Z167" s="211"/>
      <c r="AA167" s="210"/>
      <c r="AB167" s="210"/>
      <c r="AC167" s="210"/>
      <c r="AD167" s="212"/>
      <c r="AE167" s="210"/>
      <c r="AF167" s="213"/>
      <c r="AG167" s="214"/>
      <c r="AH167" s="214"/>
      <c r="AI167" s="215"/>
      <c r="AJ167" s="214"/>
      <c r="AK167" s="214"/>
      <c r="AL167" s="215"/>
      <c r="AM167" s="216"/>
      <c r="AO167" s="245"/>
      <c r="AP167" s="245"/>
      <c r="AQ167" s="245"/>
      <c r="AR167" s="245"/>
      <c r="AS167" s="245"/>
      <c r="AT167" s="245"/>
      <c r="AU167" s="245"/>
      <c r="AV167" s="245"/>
      <c r="AW167" s="245"/>
      <c r="AX167" s="245"/>
      <c r="BA167" s="283"/>
      <c r="BB167" s="283"/>
      <c r="BC167" s="239"/>
      <c r="BD167" s="283"/>
      <c r="BE167" s="239"/>
      <c r="BF167" s="239"/>
      <c r="BG167" s="239"/>
      <c r="BJ167" s="245"/>
    </row>
    <row r="168" spans="1:69" ht="13.5" hidden="1" customHeight="1" x14ac:dyDescent="0.2">
      <c r="A168" s="842"/>
      <c r="C168" s="569"/>
      <c r="D168" s="570"/>
      <c r="E168" s="571"/>
      <c r="G168" s="204"/>
      <c r="H168" s="204"/>
      <c r="I168" s="199"/>
      <c r="J168" s="205"/>
      <c r="L168" s="206"/>
      <c r="M168" s="201"/>
      <c r="N168" s="207"/>
      <c r="O168" s="220"/>
      <c r="P168" s="169"/>
      <c r="Q168" s="169"/>
      <c r="R168" s="169"/>
      <c r="S168" s="169"/>
      <c r="T168" s="209"/>
      <c r="U168" s="209"/>
      <c r="Y168" s="210"/>
      <c r="Z168" s="211"/>
      <c r="AA168" s="210"/>
      <c r="AB168" s="210"/>
      <c r="AC168" s="210"/>
      <c r="AD168" s="212"/>
      <c r="AE168" s="210"/>
      <c r="AF168" s="213"/>
      <c r="AG168" s="214"/>
      <c r="AH168" s="214"/>
      <c r="AI168" s="215"/>
      <c r="AJ168" s="214"/>
      <c r="AK168" s="214"/>
      <c r="AL168" s="215"/>
      <c r="AM168" s="216"/>
      <c r="AO168" s="245"/>
      <c r="AP168" s="245"/>
      <c r="AQ168" s="245"/>
      <c r="AR168" s="245"/>
      <c r="AS168" s="245"/>
      <c r="AT168" s="245"/>
      <c r="AU168" s="245"/>
      <c r="AV168" s="245"/>
      <c r="AW168" s="245"/>
      <c r="AX168" s="245"/>
      <c r="AZ168" s="245"/>
      <c r="BA168" s="283"/>
      <c r="BB168" s="283"/>
      <c r="BC168" s="239"/>
      <c r="BD168" s="283"/>
      <c r="BE168" s="239"/>
      <c r="BF168" s="239"/>
      <c r="BG168" s="239"/>
      <c r="BJ168" s="245"/>
      <c r="BK168" s="245"/>
      <c r="BM168" s="245"/>
      <c r="BN168" s="245"/>
      <c r="BO168" s="245"/>
      <c r="BP168" s="245"/>
      <c r="BQ168" s="245"/>
    </row>
    <row r="169" spans="1:69" ht="21" hidden="1" customHeight="1" x14ac:dyDescent="0.2">
      <c r="A169" s="842"/>
      <c r="G169" s="576"/>
      <c r="H169" s="576"/>
      <c r="I169" s="567"/>
      <c r="K169" s="568"/>
      <c r="N169" s="223"/>
      <c r="O169" s="169"/>
      <c r="P169" s="169"/>
      <c r="Q169" s="169"/>
      <c r="R169" s="169"/>
      <c r="S169" s="169"/>
      <c r="T169" s="209"/>
      <c r="U169" s="209"/>
      <c r="V169" s="209"/>
      <c r="W169" s="209"/>
      <c r="Y169" s="229"/>
      <c r="Z169" s="230"/>
      <c r="AA169" s="231"/>
      <c r="AB169" s="231"/>
      <c r="AC169" s="231"/>
      <c r="AD169" s="232"/>
      <c r="AE169" s="231"/>
      <c r="AG169" s="233"/>
      <c r="AH169" s="233"/>
      <c r="AI169" s="234"/>
      <c r="AJ169" s="233"/>
      <c r="AK169" s="233"/>
      <c r="AL169" s="234"/>
      <c r="AM169" s="234"/>
      <c r="AO169" s="245"/>
      <c r="AP169" s="245"/>
      <c r="AQ169" s="245"/>
      <c r="AR169" s="245"/>
      <c r="AS169" s="245"/>
      <c r="AT169" s="245"/>
      <c r="AU169" s="245"/>
      <c r="AV169" s="245"/>
      <c r="AW169" s="245"/>
      <c r="AX169" s="245"/>
      <c r="AZ169" s="245"/>
      <c r="BA169" s="283"/>
      <c r="BB169" s="283"/>
      <c r="BC169" s="239"/>
      <c r="BD169" s="283"/>
      <c r="BE169" s="239"/>
      <c r="BF169" s="239"/>
      <c r="BG169" s="239"/>
      <c r="BJ169" s="245"/>
      <c r="BK169" s="245"/>
      <c r="BM169" s="245"/>
      <c r="BN169" s="245"/>
      <c r="BO169" s="245"/>
      <c r="BP169" s="245"/>
      <c r="BQ169" s="245"/>
    </row>
    <row r="170" spans="1:69" ht="13.5" hidden="1" customHeight="1" x14ac:dyDescent="0.2">
      <c r="A170" s="842"/>
      <c r="C170" s="569"/>
      <c r="D170" s="570"/>
      <c r="E170" s="571"/>
      <c r="G170" s="204"/>
      <c r="H170" s="204"/>
      <c r="I170" s="199"/>
      <c r="J170" s="205"/>
      <c r="L170" s="206"/>
      <c r="M170" s="201"/>
      <c r="N170" s="207"/>
      <c r="O170" s="208"/>
      <c r="P170" s="169"/>
      <c r="Q170" s="169"/>
      <c r="R170" s="169"/>
      <c r="S170" s="169"/>
      <c r="Y170" s="210"/>
      <c r="Z170" s="211"/>
      <c r="AA170" s="210"/>
      <c r="AB170" s="210"/>
      <c r="AC170" s="210"/>
      <c r="AD170" s="212"/>
      <c r="AE170" s="210"/>
      <c r="AG170" s="214"/>
      <c r="AH170" s="214"/>
      <c r="AI170" s="215"/>
      <c r="AJ170" s="214"/>
      <c r="AK170" s="214"/>
      <c r="AL170" s="215"/>
      <c r="AM170" s="216"/>
      <c r="AO170" s="245"/>
      <c r="AP170" s="245"/>
      <c r="AQ170" s="245"/>
      <c r="AR170" s="245"/>
      <c r="AS170" s="245"/>
      <c r="AT170" s="245"/>
      <c r="AU170" s="245"/>
      <c r="AV170" s="245"/>
      <c r="AW170" s="245"/>
      <c r="AX170" s="245"/>
      <c r="AZ170" s="245"/>
      <c r="BA170" s="283"/>
      <c r="BB170" s="283"/>
      <c r="BC170" s="239"/>
      <c r="BD170" s="283"/>
      <c r="BE170" s="239"/>
      <c r="BF170" s="239"/>
      <c r="BG170" s="239"/>
      <c r="BJ170" s="245"/>
      <c r="BK170" s="245"/>
      <c r="BM170" s="245"/>
      <c r="BN170" s="245"/>
      <c r="BO170" s="245"/>
      <c r="BP170" s="245"/>
      <c r="BQ170" s="245"/>
    </row>
    <row r="171" spans="1:69" ht="13.5" hidden="1" customHeight="1" x14ac:dyDescent="0.2">
      <c r="A171" s="842"/>
      <c r="C171" s="569"/>
      <c r="D171" s="570"/>
      <c r="E171" s="571"/>
      <c r="G171" s="204"/>
      <c r="H171" s="204"/>
      <c r="I171" s="199"/>
      <c r="J171" s="205"/>
      <c r="L171" s="206"/>
      <c r="M171" s="201"/>
      <c r="N171" s="207"/>
      <c r="O171" s="220"/>
      <c r="P171" s="169"/>
      <c r="Q171" s="169"/>
      <c r="R171" s="169"/>
      <c r="S171" s="169"/>
      <c r="Y171" s="210"/>
      <c r="Z171" s="211"/>
      <c r="AA171" s="210"/>
      <c r="AB171" s="210"/>
      <c r="AC171" s="210"/>
      <c r="AD171" s="212"/>
      <c r="AE171" s="210"/>
      <c r="AG171" s="214"/>
      <c r="AH171" s="214"/>
      <c r="AI171" s="215"/>
      <c r="AJ171" s="214"/>
      <c r="AK171" s="214"/>
      <c r="AL171" s="215"/>
      <c r="AM171" s="216"/>
      <c r="AO171" s="245"/>
      <c r="AP171" s="245"/>
      <c r="AQ171" s="245"/>
      <c r="AR171" s="245"/>
      <c r="AS171" s="245"/>
      <c r="AT171" s="245"/>
      <c r="AU171" s="245"/>
      <c r="AV171" s="245"/>
      <c r="AW171" s="245"/>
      <c r="AX171" s="245"/>
      <c r="AZ171" s="245"/>
      <c r="BA171" s="283"/>
      <c r="BB171" s="283"/>
      <c r="BC171" s="239"/>
      <c r="BD171" s="283"/>
      <c r="BE171" s="239"/>
      <c r="BF171" s="239"/>
      <c r="BG171" s="239"/>
      <c r="BJ171" s="245"/>
      <c r="BK171" s="245"/>
      <c r="BM171" s="245"/>
      <c r="BN171" s="245"/>
      <c r="BO171" s="245"/>
      <c r="BP171" s="245"/>
      <c r="BQ171" s="245"/>
    </row>
    <row r="172" spans="1:69" ht="13.5" hidden="1" customHeight="1" x14ac:dyDescent="0.2">
      <c r="A172" s="842"/>
      <c r="C172" s="569"/>
      <c r="D172" s="570"/>
      <c r="E172" s="571"/>
      <c r="G172" s="204"/>
      <c r="H172" s="204"/>
      <c r="I172" s="199"/>
      <c r="J172" s="205"/>
      <c r="L172" s="206"/>
      <c r="M172" s="201"/>
      <c r="N172" s="207"/>
      <c r="O172" s="220"/>
      <c r="P172" s="169"/>
      <c r="Q172" s="169"/>
      <c r="R172" s="169"/>
      <c r="S172" s="169"/>
      <c r="Y172" s="210"/>
      <c r="Z172" s="211"/>
      <c r="AA172" s="210"/>
      <c r="AB172" s="210"/>
      <c r="AC172" s="210"/>
      <c r="AD172" s="212"/>
      <c r="AE172" s="210"/>
      <c r="AG172" s="214"/>
      <c r="AH172" s="214"/>
      <c r="AI172" s="215"/>
      <c r="AJ172" s="214"/>
      <c r="AK172" s="214"/>
      <c r="AL172" s="215"/>
      <c r="AM172" s="216"/>
      <c r="AO172" s="245"/>
      <c r="AP172" s="245"/>
      <c r="AQ172" s="245"/>
      <c r="AR172" s="245"/>
      <c r="AS172" s="245"/>
      <c r="AT172" s="245"/>
      <c r="AU172" s="245"/>
      <c r="AV172" s="245"/>
      <c r="AW172" s="245"/>
      <c r="AX172" s="245"/>
      <c r="AZ172" s="245"/>
      <c r="BA172" s="283"/>
      <c r="BB172" s="283"/>
      <c r="BC172" s="239"/>
      <c r="BD172" s="283"/>
      <c r="BE172" s="239"/>
      <c r="BF172" s="239"/>
      <c r="BG172" s="239"/>
      <c r="BJ172" s="245"/>
      <c r="BK172" s="245"/>
      <c r="BM172" s="245"/>
      <c r="BN172" s="245"/>
      <c r="BO172" s="245"/>
      <c r="BP172" s="245"/>
      <c r="BQ172" s="245"/>
    </row>
    <row r="173" spans="1:69" ht="13.5" hidden="1" customHeight="1" x14ac:dyDescent="0.2">
      <c r="A173" s="842"/>
      <c r="C173" s="569"/>
      <c r="D173" s="570"/>
      <c r="E173" s="571"/>
      <c r="G173" s="204"/>
      <c r="H173" s="204"/>
      <c r="I173" s="199"/>
      <c r="J173" s="205"/>
      <c r="L173" s="206"/>
      <c r="M173" s="201"/>
      <c r="N173" s="207"/>
      <c r="O173" s="220"/>
      <c r="P173" s="169"/>
      <c r="Q173" s="169"/>
      <c r="R173" s="169"/>
      <c r="S173" s="169"/>
      <c r="Y173" s="210"/>
      <c r="Z173" s="211"/>
      <c r="AA173" s="210"/>
      <c r="AB173" s="210"/>
      <c r="AC173" s="210"/>
      <c r="AD173" s="212"/>
      <c r="AE173" s="210"/>
      <c r="AG173" s="214"/>
      <c r="AH173" s="214"/>
      <c r="AI173" s="215"/>
      <c r="AJ173" s="214"/>
      <c r="AK173" s="214"/>
      <c r="AL173" s="215"/>
      <c r="AM173" s="216"/>
      <c r="AO173" s="245"/>
      <c r="AP173" s="245"/>
      <c r="AQ173" s="245"/>
      <c r="AR173" s="245"/>
      <c r="AS173" s="245"/>
      <c r="AT173" s="245"/>
      <c r="AU173" s="245"/>
      <c r="AV173" s="245"/>
      <c r="AW173" s="245"/>
      <c r="AX173" s="245"/>
      <c r="AZ173" s="245"/>
      <c r="BA173" s="283"/>
      <c r="BB173" s="283"/>
      <c r="BC173" s="239"/>
      <c r="BD173" s="283"/>
      <c r="BE173" s="239"/>
      <c r="BF173" s="239"/>
      <c r="BG173" s="239"/>
      <c r="BJ173" s="245"/>
      <c r="BK173" s="245"/>
      <c r="BM173" s="245"/>
      <c r="BN173" s="245"/>
      <c r="BO173" s="245"/>
      <c r="BP173" s="245"/>
      <c r="BQ173" s="245"/>
    </row>
    <row r="174" spans="1:69" ht="21" hidden="1" customHeight="1" x14ac:dyDescent="0.2">
      <c r="A174" s="842"/>
      <c r="G174" s="576"/>
      <c r="H174" s="576"/>
      <c r="I174" s="567"/>
      <c r="K174" s="568"/>
      <c r="N174" s="169"/>
      <c r="O174" s="169"/>
      <c r="P174" s="169"/>
      <c r="Q174" s="169"/>
      <c r="R174" s="169"/>
      <c r="S174" s="169"/>
      <c r="Y174" s="229"/>
      <c r="Z174" s="230"/>
      <c r="AA174" s="231"/>
      <c r="AB174" s="231"/>
      <c r="AC174" s="231"/>
      <c r="AD174" s="232"/>
      <c r="AE174" s="231"/>
      <c r="AG174" s="233"/>
      <c r="AH174" s="233"/>
      <c r="AI174" s="234"/>
      <c r="AJ174" s="233"/>
      <c r="AK174" s="233"/>
      <c r="AL174" s="234"/>
      <c r="AM174" s="234"/>
      <c r="AO174" s="245"/>
      <c r="AP174" s="245"/>
      <c r="AQ174" s="245"/>
      <c r="AR174" s="245"/>
      <c r="AS174" s="245"/>
      <c r="AT174" s="245"/>
      <c r="AU174" s="245"/>
      <c r="AV174" s="245"/>
      <c r="AW174" s="245"/>
      <c r="AX174" s="245"/>
      <c r="AZ174" s="245"/>
      <c r="BA174" s="283"/>
      <c r="BB174" s="283"/>
      <c r="BC174" s="239"/>
      <c r="BD174" s="283"/>
      <c r="BE174" s="239"/>
      <c r="BF174" s="239"/>
      <c r="BG174" s="239"/>
      <c r="BJ174" s="245"/>
      <c r="BK174" s="245"/>
      <c r="BM174" s="245"/>
      <c r="BN174" s="245"/>
      <c r="BO174" s="245"/>
      <c r="BP174" s="245"/>
      <c r="BQ174" s="245"/>
    </row>
    <row r="175" spans="1:69" ht="13.5" hidden="1" customHeight="1" x14ac:dyDescent="0.2">
      <c r="A175" s="842"/>
      <c r="C175" s="569"/>
      <c r="D175" s="570"/>
      <c r="E175" s="571"/>
      <c r="G175" s="204"/>
      <c r="H175" s="204"/>
      <c r="I175" s="199"/>
      <c r="J175" s="205"/>
      <c r="L175" s="206"/>
      <c r="M175" s="201"/>
      <c r="N175" s="207"/>
      <c r="O175" s="208"/>
      <c r="P175" s="169"/>
      <c r="Q175" s="169"/>
      <c r="R175" s="169"/>
      <c r="S175" s="169"/>
      <c r="Y175" s="210"/>
      <c r="Z175" s="211"/>
      <c r="AA175" s="210"/>
      <c r="AB175" s="210"/>
      <c r="AC175" s="210"/>
      <c r="AD175" s="212"/>
      <c r="AE175" s="210"/>
      <c r="AG175" s="214"/>
      <c r="AH175" s="214"/>
      <c r="AI175" s="215"/>
      <c r="AJ175" s="214"/>
      <c r="AK175" s="214"/>
      <c r="AL175" s="215"/>
      <c r="AM175" s="216"/>
      <c r="AO175" s="245"/>
      <c r="AP175" s="245"/>
      <c r="AQ175" s="245"/>
      <c r="AR175" s="245"/>
      <c r="AS175" s="245"/>
      <c r="AT175" s="245"/>
      <c r="AU175" s="245"/>
      <c r="AV175" s="245"/>
      <c r="AW175" s="245"/>
      <c r="AX175" s="245"/>
      <c r="AZ175" s="245"/>
      <c r="BA175" s="283"/>
      <c r="BB175" s="283"/>
      <c r="BC175" s="239"/>
      <c r="BD175" s="283"/>
      <c r="BE175" s="239"/>
      <c r="BF175" s="239"/>
      <c r="BG175" s="239"/>
      <c r="BJ175" s="245"/>
      <c r="BK175" s="245"/>
      <c r="BM175" s="245"/>
      <c r="BN175" s="245"/>
      <c r="BO175" s="245"/>
      <c r="BP175" s="245"/>
      <c r="BQ175" s="245"/>
    </row>
    <row r="176" spans="1:69" ht="13.5" hidden="1" customHeight="1" x14ac:dyDescent="0.2">
      <c r="A176" s="842"/>
      <c r="C176" s="569"/>
      <c r="D176" s="570"/>
      <c r="E176" s="571"/>
      <c r="G176" s="204"/>
      <c r="H176" s="204"/>
      <c r="I176" s="199"/>
      <c r="J176" s="205"/>
      <c r="L176" s="206"/>
      <c r="M176" s="201"/>
      <c r="N176" s="207"/>
      <c r="O176" s="220"/>
      <c r="P176" s="169"/>
      <c r="Q176" s="169"/>
      <c r="R176" s="169"/>
      <c r="S176" s="169"/>
      <c r="Y176" s="210"/>
      <c r="Z176" s="211"/>
      <c r="AA176" s="210"/>
      <c r="AB176" s="210"/>
      <c r="AC176" s="210"/>
      <c r="AD176" s="212"/>
      <c r="AE176" s="210"/>
      <c r="AG176" s="214"/>
      <c r="AH176" s="214"/>
      <c r="AI176" s="215"/>
      <c r="AJ176" s="214"/>
      <c r="AK176" s="214"/>
      <c r="AL176" s="215"/>
      <c r="AM176" s="216"/>
      <c r="AO176" s="245"/>
      <c r="AP176" s="245"/>
      <c r="AQ176" s="245"/>
      <c r="AR176" s="245"/>
      <c r="AS176" s="245"/>
      <c r="AT176" s="245"/>
      <c r="AU176" s="245"/>
      <c r="AV176" s="245"/>
      <c r="AW176" s="245"/>
      <c r="AX176" s="245"/>
      <c r="AZ176" s="245"/>
      <c r="BA176" s="283"/>
      <c r="BB176" s="283"/>
      <c r="BC176" s="239"/>
      <c r="BD176" s="283"/>
      <c r="BE176" s="239"/>
      <c r="BF176" s="239"/>
      <c r="BG176" s="239"/>
      <c r="BJ176" s="245"/>
      <c r="BK176" s="245"/>
      <c r="BM176" s="245"/>
      <c r="BN176" s="245"/>
      <c r="BO176" s="245"/>
      <c r="BP176" s="245"/>
      <c r="BQ176" s="245"/>
    </row>
    <row r="177" spans="1:69" ht="13.5" hidden="1" customHeight="1" x14ac:dyDescent="0.2">
      <c r="A177" s="842"/>
      <c r="C177" s="569"/>
      <c r="D177" s="570"/>
      <c r="E177" s="571"/>
      <c r="G177" s="204"/>
      <c r="H177" s="204"/>
      <c r="I177" s="199"/>
      <c r="J177" s="205"/>
      <c r="L177" s="206"/>
      <c r="M177" s="201"/>
      <c r="N177" s="207"/>
      <c r="O177" s="220"/>
      <c r="P177" s="169"/>
      <c r="Q177" s="169"/>
      <c r="R177" s="169"/>
      <c r="S177" s="169"/>
      <c r="Y177" s="210"/>
      <c r="Z177" s="211"/>
      <c r="AA177" s="210"/>
      <c r="AB177" s="210"/>
      <c r="AC177" s="210"/>
      <c r="AD177" s="212"/>
      <c r="AE177" s="210"/>
      <c r="AG177" s="214"/>
      <c r="AH177" s="214"/>
      <c r="AI177" s="215"/>
      <c r="AJ177" s="214"/>
      <c r="AK177" s="214"/>
      <c r="AL177" s="215"/>
      <c r="AM177" s="216"/>
      <c r="AO177" s="245"/>
      <c r="AP177" s="245"/>
      <c r="AQ177" s="245"/>
      <c r="AR177" s="245"/>
      <c r="AS177" s="245"/>
      <c r="AT177" s="245"/>
      <c r="AU177" s="245"/>
      <c r="AV177" s="245"/>
      <c r="AW177" s="245"/>
      <c r="AX177" s="245"/>
      <c r="AZ177" s="245"/>
      <c r="BA177" s="283"/>
      <c r="BB177" s="283"/>
      <c r="BC177" s="239"/>
      <c r="BD177" s="283"/>
      <c r="BE177" s="239"/>
      <c r="BF177" s="239"/>
      <c r="BG177" s="239"/>
      <c r="BJ177" s="245"/>
      <c r="BK177" s="245"/>
      <c r="BM177" s="245"/>
      <c r="BN177" s="245"/>
      <c r="BO177" s="245"/>
      <c r="BP177" s="245"/>
      <c r="BQ177" s="245"/>
    </row>
    <row r="178" spans="1:69" ht="13.5" hidden="1" customHeight="1" x14ac:dyDescent="0.2">
      <c r="A178" s="842"/>
      <c r="C178" s="569"/>
      <c r="D178" s="570"/>
      <c r="E178" s="571"/>
      <c r="G178" s="204"/>
      <c r="H178" s="204"/>
      <c r="I178" s="199"/>
      <c r="J178" s="205"/>
      <c r="L178" s="206"/>
      <c r="M178" s="201"/>
      <c r="N178" s="207"/>
      <c r="O178" s="220"/>
      <c r="P178" s="169"/>
      <c r="Q178" s="169"/>
      <c r="R178" s="169"/>
      <c r="S178" s="169"/>
      <c r="Y178" s="210"/>
      <c r="Z178" s="211"/>
      <c r="AA178" s="210"/>
      <c r="AB178" s="210"/>
      <c r="AC178" s="210"/>
      <c r="AD178" s="212"/>
      <c r="AE178" s="210"/>
      <c r="AG178" s="214"/>
      <c r="AH178" s="214"/>
      <c r="AI178" s="215"/>
      <c r="AJ178" s="214"/>
      <c r="AK178" s="214"/>
      <c r="AL178" s="215"/>
      <c r="AM178" s="216"/>
      <c r="AO178" s="245"/>
      <c r="AP178" s="245"/>
      <c r="AQ178" s="245"/>
      <c r="AR178" s="245"/>
      <c r="AS178" s="245"/>
      <c r="AT178" s="245"/>
      <c r="AU178" s="245"/>
      <c r="AV178" s="245"/>
      <c r="AW178" s="245"/>
      <c r="AX178" s="245"/>
      <c r="AZ178" s="245"/>
      <c r="BA178" s="283"/>
      <c r="BB178" s="283"/>
      <c r="BC178" s="239"/>
      <c r="BD178" s="283"/>
      <c r="BE178" s="239"/>
      <c r="BF178" s="239"/>
      <c r="BG178" s="239"/>
      <c r="BJ178" s="245"/>
      <c r="BK178" s="245"/>
      <c r="BM178" s="245"/>
      <c r="BN178" s="245"/>
      <c r="BO178" s="245"/>
      <c r="BP178" s="245"/>
      <c r="BQ178" s="245"/>
    </row>
    <row r="179" spans="1:69" ht="13.5" hidden="1" customHeight="1" x14ac:dyDescent="0.2">
      <c r="A179" s="842"/>
      <c r="I179" s="169"/>
      <c r="J179" s="169"/>
      <c r="K179" s="169"/>
      <c r="L179" s="169"/>
      <c r="M179" s="169"/>
      <c r="N179" s="169"/>
      <c r="O179" s="169"/>
      <c r="P179" s="169"/>
      <c r="Q179" s="169"/>
      <c r="R179" s="169"/>
      <c r="S179" s="169"/>
      <c r="Y179" s="229"/>
      <c r="Z179" s="230"/>
      <c r="AG179" s="233"/>
      <c r="AH179" s="233"/>
      <c r="AI179" s="234"/>
      <c r="AJ179" s="233"/>
      <c r="AK179" s="233"/>
      <c r="AL179" s="234"/>
      <c r="AM179" s="234"/>
      <c r="AO179" s="245"/>
      <c r="AP179" s="245"/>
      <c r="AQ179" s="245"/>
      <c r="AR179" s="245"/>
      <c r="AS179" s="245"/>
      <c r="AT179" s="245"/>
      <c r="AU179" s="245"/>
      <c r="AV179" s="245"/>
      <c r="AW179" s="245"/>
      <c r="AX179" s="245"/>
      <c r="AZ179" s="245"/>
      <c r="BA179" s="283"/>
      <c r="BB179" s="283"/>
      <c r="BC179" s="239"/>
      <c r="BD179" s="283"/>
      <c r="BE179" s="239"/>
      <c r="BF179" s="239"/>
      <c r="BG179" s="239"/>
      <c r="BJ179" s="245"/>
      <c r="BK179" s="245"/>
      <c r="BM179" s="245"/>
      <c r="BN179" s="245"/>
      <c r="BO179" s="245"/>
      <c r="BP179" s="245"/>
      <c r="BQ179" s="245"/>
    </row>
    <row r="180" spans="1:69" ht="13.5" hidden="1" customHeight="1" x14ac:dyDescent="0.2">
      <c r="A180" s="842"/>
      <c r="I180" s="170"/>
      <c r="J180" s="171"/>
      <c r="K180" s="171"/>
      <c r="L180" s="171"/>
      <c r="M180" s="170"/>
      <c r="N180" s="172"/>
      <c r="Y180" s="229"/>
      <c r="Z180" s="230"/>
      <c r="AA180" s="231"/>
      <c r="AB180" s="231"/>
      <c r="AC180" s="231"/>
      <c r="AD180" s="232"/>
      <c r="AE180" s="231"/>
      <c r="AG180" s="233"/>
      <c r="AH180" s="233"/>
      <c r="AI180" s="234"/>
      <c r="AJ180" s="233"/>
      <c r="AK180" s="233"/>
      <c r="AL180" s="234"/>
      <c r="AM180" s="234"/>
      <c r="AO180" s="245"/>
      <c r="AP180" s="245"/>
      <c r="AQ180" s="245"/>
      <c r="AR180" s="245"/>
      <c r="AS180" s="245"/>
      <c r="AT180" s="245"/>
      <c r="AU180" s="245"/>
      <c r="AZ180" s="245"/>
      <c r="BA180" s="283"/>
      <c r="BB180" s="283"/>
      <c r="BC180" s="239"/>
      <c r="BD180" s="283"/>
      <c r="BE180" s="239"/>
      <c r="BF180" s="239"/>
      <c r="BG180" s="239"/>
      <c r="BJ180" s="245"/>
      <c r="BK180" s="245"/>
      <c r="BM180" s="245"/>
      <c r="BN180" s="245"/>
      <c r="BO180" s="245"/>
      <c r="BP180" s="245"/>
      <c r="BQ180" s="245"/>
    </row>
    <row r="181" spans="1:69" ht="13.5" hidden="1" customHeight="1" x14ac:dyDescent="0.2">
      <c r="A181" s="842"/>
      <c r="B181" s="309"/>
      <c r="C181" s="309"/>
      <c r="D181" s="544"/>
      <c r="E181" s="544"/>
      <c r="F181" s="544"/>
      <c r="G181" s="544"/>
      <c r="H181" s="544"/>
      <c r="I181" s="844"/>
      <c r="J181" s="844"/>
      <c r="K181" s="844"/>
      <c r="L181" s="844"/>
      <c r="M181" s="564"/>
      <c r="N181" s="565"/>
      <c r="O181" s="566"/>
      <c r="P181" s="169"/>
      <c r="Q181" s="169"/>
      <c r="R181" s="169"/>
      <c r="S181" s="169"/>
      <c r="AA181" s="231"/>
      <c r="AP181" s="245"/>
      <c r="AQ181" s="245"/>
      <c r="AR181" s="245"/>
      <c r="AS181" s="245"/>
      <c r="AU181" s="243"/>
      <c r="AZ181" s="245"/>
      <c r="BA181" s="283"/>
      <c r="BB181" s="283"/>
      <c r="BC181" s="239"/>
      <c r="BD181" s="283"/>
      <c r="BE181" s="239"/>
      <c r="BF181" s="239"/>
      <c r="BG181" s="239"/>
      <c r="BJ181" s="245"/>
      <c r="BK181" s="245"/>
      <c r="BM181" s="245"/>
      <c r="BN181" s="245"/>
      <c r="BO181" s="245"/>
      <c r="BP181" s="245"/>
      <c r="BQ181" s="245"/>
    </row>
    <row r="182" spans="1:69" ht="21" hidden="1" customHeight="1" x14ac:dyDescent="0.2">
      <c r="A182" s="842"/>
      <c r="I182" s="567"/>
      <c r="K182" s="568"/>
      <c r="O182" s="169"/>
      <c r="P182" s="169"/>
      <c r="Q182" s="169"/>
      <c r="R182" s="169"/>
      <c r="S182" s="169"/>
      <c r="AA182" s="231"/>
      <c r="AO182" s="245"/>
      <c r="AP182" s="245"/>
      <c r="AQ182" s="245"/>
      <c r="AR182" s="245"/>
      <c r="AS182" s="245"/>
      <c r="AT182" s="245"/>
      <c r="AU182" s="245"/>
      <c r="AZ182" s="245"/>
      <c r="BA182" s="283"/>
      <c r="BB182" s="283"/>
      <c r="BC182" s="239"/>
      <c r="BD182" s="283"/>
      <c r="BE182" s="239"/>
      <c r="BF182" s="239"/>
      <c r="BG182" s="239"/>
      <c r="BJ182" s="245"/>
      <c r="BK182" s="245"/>
      <c r="BM182" s="245"/>
      <c r="BN182" s="245"/>
      <c r="BO182" s="245"/>
      <c r="BP182" s="245"/>
      <c r="BQ182" s="245"/>
    </row>
    <row r="183" spans="1:69" ht="13.5" hidden="1" customHeight="1" x14ac:dyDescent="0.2">
      <c r="A183" s="842"/>
      <c r="C183" s="569"/>
      <c r="D183" s="570"/>
      <c r="E183" s="571"/>
      <c r="G183" s="204"/>
      <c r="H183" s="204"/>
      <c r="I183" s="199"/>
      <c r="J183" s="205"/>
      <c r="L183" s="206"/>
      <c r="M183" s="201"/>
      <c r="N183" s="207"/>
      <c r="O183" s="208"/>
      <c r="P183" s="169"/>
      <c r="Q183" s="169"/>
      <c r="R183" s="169"/>
      <c r="S183" s="169"/>
      <c r="T183" s="209"/>
      <c r="U183" s="209"/>
      <c r="V183" s="209"/>
      <c r="W183" s="209"/>
      <c r="Y183" s="210"/>
      <c r="Z183" s="211"/>
      <c r="AA183" s="210"/>
      <c r="AB183" s="210"/>
      <c r="AC183" s="210"/>
      <c r="AD183" s="212"/>
      <c r="AE183" s="210"/>
      <c r="AF183" s="213"/>
      <c r="AG183" s="214"/>
      <c r="AH183" s="214"/>
      <c r="AI183" s="215"/>
      <c r="AJ183" s="214"/>
      <c r="AK183" s="214"/>
      <c r="AL183" s="215"/>
      <c r="AM183" s="216"/>
      <c r="AO183" s="245"/>
      <c r="AP183" s="245"/>
      <c r="AQ183" s="245"/>
      <c r="AR183" s="245"/>
      <c r="AS183" s="245"/>
      <c r="AT183" s="245"/>
      <c r="AU183" s="245"/>
      <c r="AZ183" s="245"/>
      <c r="BA183" s="283"/>
      <c r="BB183" s="283"/>
      <c r="BC183" s="239"/>
      <c r="BD183" s="283"/>
      <c r="BE183" s="239"/>
      <c r="BF183" s="239"/>
      <c r="BG183" s="239"/>
      <c r="BJ183" s="245"/>
      <c r="BK183" s="245"/>
      <c r="BM183" s="245"/>
      <c r="BN183" s="245"/>
      <c r="BO183" s="245"/>
      <c r="BP183" s="245"/>
      <c r="BQ183" s="245"/>
    </row>
    <row r="184" spans="1:69" ht="13.5" hidden="1" customHeight="1" x14ac:dyDescent="0.2">
      <c r="A184" s="842"/>
      <c r="C184" s="569"/>
      <c r="D184" s="570"/>
      <c r="E184" s="571"/>
      <c r="G184" s="204"/>
      <c r="H184" s="204"/>
      <c r="I184" s="199"/>
      <c r="J184" s="205"/>
      <c r="L184" s="206"/>
      <c r="M184" s="201"/>
      <c r="N184" s="207"/>
      <c r="O184" s="220"/>
      <c r="P184" s="169"/>
      <c r="Q184" s="169"/>
      <c r="R184" s="169"/>
      <c r="S184" s="169"/>
      <c r="T184" s="209"/>
      <c r="U184" s="209"/>
      <c r="V184" s="209"/>
      <c r="W184" s="209"/>
      <c r="Y184" s="210"/>
      <c r="Z184" s="211"/>
      <c r="AA184" s="210"/>
      <c r="AB184" s="210"/>
      <c r="AC184" s="210"/>
      <c r="AD184" s="212"/>
      <c r="AE184" s="210"/>
      <c r="AF184" s="213"/>
      <c r="AG184" s="214"/>
      <c r="AH184" s="214"/>
      <c r="AI184" s="215"/>
      <c r="AJ184" s="214"/>
      <c r="AK184" s="214"/>
      <c r="AL184" s="215"/>
      <c r="AM184" s="216"/>
      <c r="AO184" s="245"/>
      <c r="AP184" s="245"/>
      <c r="AQ184" s="245"/>
      <c r="AR184" s="245"/>
      <c r="AS184" s="245"/>
      <c r="AT184" s="245"/>
      <c r="AU184" s="245"/>
      <c r="AZ184" s="245"/>
      <c r="BA184" s="283"/>
      <c r="BB184" s="283"/>
      <c r="BC184" s="239"/>
      <c r="BD184" s="283"/>
      <c r="BE184" s="239"/>
      <c r="BF184" s="239"/>
      <c r="BG184" s="239"/>
      <c r="BJ184" s="245"/>
      <c r="BK184" s="245"/>
      <c r="BM184" s="245"/>
      <c r="BN184" s="245"/>
      <c r="BO184" s="245"/>
      <c r="BP184" s="245"/>
      <c r="BQ184" s="245"/>
    </row>
    <row r="185" spans="1:69" ht="13.5" hidden="1" customHeight="1" x14ac:dyDescent="0.2">
      <c r="A185" s="842"/>
      <c r="C185" s="569"/>
      <c r="D185" s="570"/>
      <c r="E185" s="571"/>
      <c r="G185" s="204"/>
      <c r="H185" s="204"/>
      <c r="I185" s="199"/>
      <c r="J185" s="205"/>
      <c r="L185" s="206"/>
      <c r="M185" s="201"/>
      <c r="N185" s="207"/>
      <c r="O185" s="220"/>
      <c r="P185" s="169"/>
      <c r="Q185" s="169"/>
      <c r="R185" s="169"/>
      <c r="S185" s="169"/>
      <c r="T185" s="209"/>
      <c r="U185" s="209"/>
      <c r="V185" s="209"/>
      <c r="W185" s="209"/>
      <c r="Y185" s="210"/>
      <c r="Z185" s="211"/>
      <c r="AA185" s="210"/>
      <c r="AB185" s="210"/>
      <c r="AC185" s="210"/>
      <c r="AD185" s="212"/>
      <c r="AE185" s="210"/>
      <c r="AF185" s="213"/>
      <c r="AG185" s="214"/>
      <c r="AH185" s="214"/>
      <c r="AI185" s="215"/>
      <c r="AJ185" s="214"/>
      <c r="AK185" s="214"/>
      <c r="AL185" s="215"/>
      <c r="AM185" s="216"/>
      <c r="AO185" s="245"/>
      <c r="AP185" s="245"/>
      <c r="AQ185" s="245"/>
      <c r="AR185" s="245"/>
      <c r="AS185" s="245"/>
      <c r="AT185" s="245"/>
      <c r="AU185" s="245"/>
      <c r="AV185" s="245"/>
      <c r="AW185" s="245"/>
      <c r="AX185" s="245"/>
      <c r="BA185" s="283"/>
      <c r="BB185" s="283"/>
      <c r="BC185" s="239"/>
      <c r="BD185" s="283"/>
      <c r="BE185" s="239"/>
      <c r="BF185" s="239"/>
      <c r="BG185" s="239"/>
      <c r="BJ185" s="245"/>
    </row>
    <row r="186" spans="1:69" ht="13.5" hidden="1" customHeight="1" x14ac:dyDescent="0.2">
      <c r="A186" s="842"/>
      <c r="C186" s="569"/>
      <c r="D186" s="570"/>
      <c r="E186" s="571"/>
      <c r="G186" s="204"/>
      <c r="H186" s="204"/>
      <c r="I186" s="199"/>
      <c r="J186" s="205"/>
      <c r="L186" s="206"/>
      <c r="M186" s="201"/>
      <c r="N186" s="207"/>
      <c r="O186" s="220"/>
      <c r="P186" s="169"/>
      <c r="Q186" s="169"/>
      <c r="R186" s="169"/>
      <c r="S186" s="169"/>
      <c r="T186" s="209"/>
      <c r="U186" s="209"/>
      <c r="Y186" s="210"/>
      <c r="Z186" s="211"/>
      <c r="AA186" s="210"/>
      <c r="AB186" s="210"/>
      <c r="AC186" s="210"/>
      <c r="AD186" s="212"/>
      <c r="AE186" s="210"/>
      <c r="AF186" s="213"/>
      <c r="AG186" s="214"/>
      <c r="AH186" s="214"/>
      <c r="AI186" s="215"/>
      <c r="AJ186" s="214"/>
      <c r="AK186" s="214"/>
      <c r="AL186" s="215"/>
      <c r="AM186" s="216"/>
      <c r="AO186" s="245"/>
      <c r="AP186" s="245"/>
      <c r="AQ186" s="245"/>
      <c r="AR186" s="245"/>
      <c r="AS186" s="245"/>
      <c r="AT186" s="245"/>
      <c r="AU186" s="245"/>
      <c r="AV186" s="245"/>
      <c r="AW186" s="245"/>
      <c r="AX186" s="245"/>
      <c r="AZ186" s="245"/>
      <c r="BA186" s="283"/>
      <c r="BB186" s="283"/>
      <c r="BC186" s="239"/>
      <c r="BD186" s="283"/>
      <c r="BE186" s="239"/>
      <c r="BF186" s="239"/>
      <c r="BG186" s="239"/>
      <c r="BJ186" s="245"/>
      <c r="BK186" s="245"/>
      <c r="BM186" s="245"/>
      <c r="BN186" s="245"/>
      <c r="BO186" s="245"/>
      <c r="BP186" s="245"/>
      <c r="BQ186" s="245"/>
    </row>
    <row r="187" spans="1:69" ht="21" hidden="1" customHeight="1" x14ac:dyDescent="0.2">
      <c r="A187" s="842"/>
      <c r="G187" s="576"/>
      <c r="H187" s="576"/>
      <c r="I187" s="567"/>
      <c r="K187" s="568"/>
      <c r="N187" s="223"/>
      <c r="O187" s="169"/>
      <c r="P187" s="169"/>
      <c r="Q187" s="169"/>
      <c r="R187" s="169"/>
      <c r="S187" s="169"/>
      <c r="T187" s="209"/>
      <c r="U187" s="209"/>
      <c r="V187" s="209"/>
      <c r="W187" s="209"/>
      <c r="Y187" s="229"/>
      <c r="Z187" s="230"/>
      <c r="AA187" s="231"/>
      <c r="AB187" s="231"/>
      <c r="AC187" s="231"/>
      <c r="AD187" s="232"/>
      <c r="AE187" s="231"/>
      <c r="AG187" s="233"/>
      <c r="AH187" s="233"/>
      <c r="AI187" s="234"/>
      <c r="AJ187" s="233"/>
      <c r="AK187" s="233"/>
      <c r="AL187" s="234"/>
      <c r="AM187" s="234"/>
      <c r="AO187" s="245"/>
      <c r="AP187" s="245"/>
      <c r="AQ187" s="245"/>
      <c r="AR187" s="245"/>
      <c r="AS187" s="245"/>
      <c r="AT187" s="245"/>
      <c r="AU187" s="245"/>
      <c r="AV187" s="245"/>
      <c r="AW187" s="245"/>
      <c r="AX187" s="245"/>
      <c r="AZ187" s="245"/>
      <c r="BA187" s="283"/>
      <c r="BB187" s="283"/>
      <c r="BC187" s="239"/>
      <c r="BD187" s="283"/>
      <c r="BE187" s="239"/>
      <c r="BF187" s="239"/>
      <c r="BG187" s="239"/>
      <c r="BJ187" s="245"/>
      <c r="BK187" s="245"/>
      <c r="BM187" s="245"/>
      <c r="BN187" s="245"/>
      <c r="BO187" s="245"/>
      <c r="BP187" s="245"/>
      <c r="BQ187" s="245"/>
    </row>
    <row r="188" spans="1:69" ht="13.5" hidden="1" customHeight="1" x14ac:dyDescent="0.2">
      <c r="A188" s="842"/>
      <c r="C188" s="569"/>
      <c r="D188" s="570"/>
      <c r="E188" s="571"/>
      <c r="G188" s="204"/>
      <c r="H188" s="204"/>
      <c r="I188" s="199"/>
      <c r="J188" s="205"/>
      <c r="L188" s="206"/>
      <c r="M188" s="201"/>
      <c r="N188" s="207"/>
      <c r="O188" s="208"/>
      <c r="P188" s="169"/>
      <c r="Q188" s="169"/>
      <c r="R188" s="169"/>
      <c r="S188" s="169"/>
      <c r="Y188" s="210"/>
      <c r="Z188" s="211"/>
      <c r="AA188" s="210"/>
      <c r="AB188" s="210"/>
      <c r="AC188" s="210"/>
      <c r="AD188" s="212"/>
      <c r="AE188" s="210"/>
      <c r="AG188" s="214"/>
      <c r="AH188" s="214"/>
      <c r="AI188" s="215"/>
      <c r="AJ188" s="214"/>
      <c r="AK188" s="214"/>
      <c r="AL188" s="215"/>
      <c r="AM188" s="216"/>
      <c r="AO188" s="245"/>
      <c r="AP188" s="245"/>
      <c r="AQ188" s="245"/>
      <c r="AR188" s="245"/>
      <c r="AS188" s="245"/>
      <c r="AT188" s="245"/>
      <c r="AU188" s="245"/>
      <c r="AV188" s="245"/>
      <c r="AW188" s="245"/>
      <c r="AX188" s="245"/>
      <c r="AZ188" s="245"/>
      <c r="BA188" s="283"/>
      <c r="BB188" s="283"/>
      <c r="BC188" s="239"/>
      <c r="BD188" s="283"/>
      <c r="BE188" s="239"/>
      <c r="BF188" s="239"/>
      <c r="BG188" s="239"/>
      <c r="BJ188" s="245"/>
      <c r="BK188" s="245"/>
      <c r="BM188" s="245"/>
      <c r="BN188" s="245"/>
      <c r="BO188" s="245"/>
      <c r="BP188" s="245"/>
      <c r="BQ188" s="245"/>
    </row>
    <row r="189" spans="1:69" ht="13.5" hidden="1" customHeight="1" x14ac:dyDescent="0.2">
      <c r="A189" s="842"/>
      <c r="C189" s="569"/>
      <c r="D189" s="570"/>
      <c r="E189" s="571"/>
      <c r="G189" s="204"/>
      <c r="H189" s="204"/>
      <c r="I189" s="199"/>
      <c r="J189" s="205"/>
      <c r="L189" s="206"/>
      <c r="M189" s="201"/>
      <c r="N189" s="207"/>
      <c r="O189" s="220"/>
      <c r="P189" s="169"/>
      <c r="Q189" s="169"/>
      <c r="R189" s="169"/>
      <c r="S189" s="169"/>
      <c r="Y189" s="210"/>
      <c r="Z189" s="211"/>
      <c r="AA189" s="210"/>
      <c r="AB189" s="210"/>
      <c r="AC189" s="210"/>
      <c r="AD189" s="212"/>
      <c r="AE189" s="210"/>
      <c r="AG189" s="214"/>
      <c r="AH189" s="214"/>
      <c r="AI189" s="215"/>
      <c r="AJ189" s="214"/>
      <c r="AK189" s="214"/>
      <c r="AL189" s="215"/>
      <c r="AM189" s="216"/>
      <c r="AO189" s="245"/>
      <c r="AP189" s="245"/>
      <c r="AQ189" s="245"/>
      <c r="AR189" s="245"/>
      <c r="AS189" s="245"/>
      <c r="AT189" s="245"/>
      <c r="AU189" s="245"/>
      <c r="AV189" s="245"/>
      <c r="AW189" s="245"/>
      <c r="AX189" s="245"/>
      <c r="AZ189" s="245"/>
      <c r="BA189" s="283"/>
      <c r="BB189" s="283"/>
      <c r="BC189" s="239"/>
      <c r="BD189" s="283"/>
      <c r="BE189" s="239"/>
      <c r="BF189" s="239"/>
      <c r="BG189" s="239"/>
      <c r="BJ189" s="245"/>
      <c r="BK189" s="245"/>
      <c r="BM189" s="245"/>
      <c r="BN189" s="245"/>
      <c r="BO189" s="245"/>
      <c r="BP189" s="245"/>
      <c r="BQ189" s="245"/>
    </row>
    <row r="190" spans="1:69" ht="13.5" hidden="1" customHeight="1" x14ac:dyDescent="0.2">
      <c r="A190" s="842"/>
      <c r="C190" s="569"/>
      <c r="D190" s="570"/>
      <c r="E190" s="571"/>
      <c r="G190" s="204"/>
      <c r="H190" s="204"/>
      <c r="I190" s="199"/>
      <c r="J190" s="205"/>
      <c r="L190" s="206"/>
      <c r="M190" s="201"/>
      <c r="N190" s="207"/>
      <c r="O190" s="220"/>
      <c r="P190" s="169"/>
      <c r="Q190" s="169"/>
      <c r="R190" s="169"/>
      <c r="S190" s="169"/>
      <c r="Y190" s="210"/>
      <c r="Z190" s="211"/>
      <c r="AA190" s="210"/>
      <c r="AB190" s="210"/>
      <c r="AC190" s="210"/>
      <c r="AD190" s="212"/>
      <c r="AE190" s="210"/>
      <c r="AG190" s="214"/>
      <c r="AH190" s="214"/>
      <c r="AI190" s="215"/>
      <c r="AJ190" s="214"/>
      <c r="AK190" s="214"/>
      <c r="AL190" s="215"/>
      <c r="AM190" s="216"/>
      <c r="AO190" s="245"/>
      <c r="AP190" s="245"/>
      <c r="AQ190" s="245"/>
      <c r="AR190" s="245"/>
      <c r="AS190" s="245"/>
      <c r="AT190" s="245"/>
      <c r="AU190" s="245"/>
      <c r="AV190" s="245"/>
      <c r="AW190" s="245"/>
      <c r="AX190" s="245"/>
      <c r="AZ190" s="245"/>
      <c r="BA190" s="283"/>
      <c r="BB190" s="283"/>
      <c r="BC190" s="239"/>
      <c r="BD190" s="283"/>
      <c r="BE190" s="239"/>
      <c r="BF190" s="239"/>
      <c r="BG190" s="239"/>
      <c r="BJ190" s="245"/>
      <c r="BK190" s="245"/>
      <c r="BM190" s="245"/>
      <c r="BN190" s="245"/>
      <c r="BO190" s="245"/>
      <c r="BP190" s="245"/>
      <c r="BQ190" s="245"/>
    </row>
    <row r="191" spans="1:69" ht="13.5" hidden="1" customHeight="1" x14ac:dyDescent="0.2">
      <c r="A191" s="842"/>
      <c r="C191" s="569"/>
      <c r="D191" s="570"/>
      <c r="E191" s="571"/>
      <c r="G191" s="204"/>
      <c r="H191" s="204"/>
      <c r="I191" s="199"/>
      <c r="J191" s="205"/>
      <c r="L191" s="206"/>
      <c r="M191" s="201"/>
      <c r="N191" s="207"/>
      <c r="O191" s="220"/>
      <c r="P191" s="169"/>
      <c r="Q191" s="169"/>
      <c r="R191" s="169"/>
      <c r="S191" s="169"/>
      <c r="Y191" s="210"/>
      <c r="Z191" s="211"/>
      <c r="AA191" s="210"/>
      <c r="AB191" s="210"/>
      <c r="AC191" s="210"/>
      <c r="AD191" s="212"/>
      <c r="AE191" s="210"/>
      <c r="AG191" s="214"/>
      <c r="AH191" s="214"/>
      <c r="AI191" s="215"/>
      <c r="AJ191" s="214"/>
      <c r="AK191" s="214"/>
      <c r="AL191" s="215"/>
      <c r="AM191" s="216"/>
      <c r="AO191" s="245"/>
      <c r="AP191" s="245"/>
      <c r="AQ191" s="245"/>
      <c r="AR191" s="245"/>
      <c r="AS191" s="245"/>
      <c r="AT191" s="245"/>
      <c r="AU191" s="245"/>
      <c r="AV191" s="245"/>
      <c r="AW191" s="245"/>
      <c r="AX191" s="245"/>
      <c r="AZ191" s="245"/>
      <c r="BA191" s="283"/>
      <c r="BB191" s="283"/>
      <c r="BC191" s="239"/>
      <c r="BD191" s="283"/>
      <c r="BE191" s="239"/>
      <c r="BF191" s="239"/>
      <c r="BG191" s="239"/>
      <c r="BJ191" s="245"/>
      <c r="BK191" s="245"/>
      <c r="BM191" s="245"/>
      <c r="BN191" s="245"/>
      <c r="BO191" s="245"/>
      <c r="BP191" s="245"/>
      <c r="BQ191" s="245"/>
    </row>
    <row r="192" spans="1:69" ht="21" hidden="1" customHeight="1" x14ac:dyDescent="0.2">
      <c r="A192" s="842"/>
      <c r="G192" s="576"/>
      <c r="H192" s="576"/>
      <c r="I192" s="567"/>
      <c r="K192" s="568"/>
      <c r="N192" s="169"/>
      <c r="O192" s="169"/>
      <c r="P192" s="169"/>
      <c r="Q192" s="169"/>
      <c r="R192" s="169"/>
      <c r="S192" s="169"/>
      <c r="Y192" s="229"/>
      <c r="Z192" s="230"/>
      <c r="AA192" s="231"/>
      <c r="AB192" s="231"/>
      <c r="AC192" s="231"/>
      <c r="AD192" s="232"/>
      <c r="AE192" s="231"/>
      <c r="AG192" s="233"/>
      <c r="AH192" s="233"/>
      <c r="AI192" s="234"/>
      <c r="AJ192" s="233"/>
      <c r="AK192" s="233"/>
      <c r="AL192" s="234"/>
      <c r="AM192" s="234"/>
      <c r="AO192" s="245"/>
      <c r="AP192" s="245"/>
      <c r="AQ192" s="245"/>
      <c r="AR192" s="245"/>
      <c r="AS192" s="245"/>
      <c r="AT192" s="245"/>
      <c r="AU192" s="245"/>
      <c r="AV192" s="245"/>
      <c r="AW192" s="245"/>
      <c r="AX192" s="245"/>
      <c r="AZ192" s="245"/>
      <c r="BA192" s="283"/>
      <c r="BB192" s="283"/>
      <c r="BC192" s="239"/>
      <c r="BD192" s="283"/>
      <c r="BE192" s="239"/>
      <c r="BF192" s="239"/>
      <c r="BG192" s="239"/>
      <c r="BJ192" s="245"/>
      <c r="BK192" s="245"/>
      <c r="BM192" s="245"/>
      <c r="BN192" s="245"/>
      <c r="BO192" s="245"/>
      <c r="BP192" s="245"/>
      <c r="BQ192" s="245"/>
    </row>
    <row r="193" spans="1:69" ht="13.5" hidden="1" customHeight="1" x14ac:dyDescent="0.2">
      <c r="A193" s="842"/>
      <c r="C193" s="569"/>
      <c r="D193" s="570"/>
      <c r="E193" s="571"/>
      <c r="G193" s="204"/>
      <c r="H193" s="204"/>
      <c r="I193" s="199"/>
      <c r="J193" s="205"/>
      <c r="L193" s="206"/>
      <c r="M193" s="201"/>
      <c r="N193" s="207"/>
      <c r="O193" s="208"/>
      <c r="P193" s="169"/>
      <c r="Q193" s="169"/>
      <c r="R193" s="169"/>
      <c r="S193" s="169"/>
      <c r="Y193" s="210"/>
      <c r="Z193" s="211"/>
      <c r="AA193" s="210"/>
      <c r="AB193" s="210"/>
      <c r="AC193" s="210"/>
      <c r="AD193" s="212"/>
      <c r="AE193" s="210"/>
      <c r="AG193" s="214"/>
      <c r="AH193" s="214"/>
      <c r="AI193" s="215"/>
      <c r="AJ193" s="214"/>
      <c r="AK193" s="214"/>
      <c r="AL193" s="215"/>
      <c r="AM193" s="216"/>
      <c r="AO193" s="245"/>
      <c r="AP193" s="245"/>
      <c r="AQ193" s="245"/>
      <c r="AR193" s="245"/>
      <c r="AS193" s="245"/>
      <c r="AT193" s="245"/>
      <c r="AU193" s="245"/>
      <c r="AV193" s="245"/>
      <c r="AW193" s="245"/>
      <c r="AX193" s="245"/>
      <c r="AZ193" s="245"/>
      <c r="BA193" s="283"/>
      <c r="BB193" s="283"/>
      <c r="BC193" s="239"/>
      <c r="BD193" s="283"/>
      <c r="BE193" s="239"/>
      <c r="BF193" s="239"/>
      <c r="BG193" s="239"/>
      <c r="BJ193" s="245"/>
      <c r="BK193" s="245"/>
      <c r="BM193" s="245"/>
      <c r="BN193" s="245"/>
      <c r="BO193" s="245"/>
      <c r="BP193" s="245"/>
      <c r="BQ193" s="245"/>
    </row>
    <row r="194" spans="1:69" ht="13.5" hidden="1" customHeight="1" x14ac:dyDescent="0.2">
      <c r="A194" s="842"/>
      <c r="C194" s="569"/>
      <c r="D194" s="570"/>
      <c r="E194" s="571"/>
      <c r="G194" s="204"/>
      <c r="H194" s="204"/>
      <c r="I194" s="199"/>
      <c r="J194" s="205"/>
      <c r="L194" s="206"/>
      <c r="M194" s="201"/>
      <c r="N194" s="207"/>
      <c r="O194" s="220"/>
      <c r="P194" s="169"/>
      <c r="Q194" s="169"/>
      <c r="R194" s="169"/>
      <c r="S194" s="169"/>
      <c r="Y194" s="210"/>
      <c r="Z194" s="211"/>
      <c r="AA194" s="210"/>
      <c r="AB194" s="210"/>
      <c r="AC194" s="210"/>
      <c r="AD194" s="212"/>
      <c r="AE194" s="210"/>
      <c r="AG194" s="214"/>
      <c r="AH194" s="214"/>
      <c r="AI194" s="215"/>
      <c r="AJ194" s="214"/>
      <c r="AK194" s="214"/>
      <c r="AL194" s="215"/>
      <c r="AM194" s="216"/>
      <c r="AO194" s="245"/>
      <c r="AP194" s="245"/>
      <c r="AQ194" s="245"/>
      <c r="AR194" s="245"/>
      <c r="AS194" s="245"/>
      <c r="AT194" s="245"/>
      <c r="AU194" s="245"/>
      <c r="AV194" s="245"/>
      <c r="AW194" s="245"/>
      <c r="AX194" s="245"/>
      <c r="AZ194" s="245"/>
      <c r="BA194" s="283"/>
      <c r="BB194" s="283"/>
      <c r="BC194" s="239"/>
      <c r="BD194" s="283"/>
      <c r="BE194" s="239"/>
      <c r="BF194" s="239"/>
      <c r="BG194" s="239"/>
      <c r="BJ194" s="245"/>
      <c r="BK194" s="245"/>
      <c r="BM194" s="245"/>
      <c r="BN194" s="245"/>
      <c r="BO194" s="245"/>
      <c r="BP194" s="245"/>
      <c r="BQ194" s="245"/>
    </row>
    <row r="195" spans="1:69" ht="13.5" hidden="1" customHeight="1" x14ac:dyDescent="0.2">
      <c r="A195" s="842"/>
      <c r="C195" s="569"/>
      <c r="D195" s="570"/>
      <c r="E195" s="571"/>
      <c r="G195" s="204"/>
      <c r="H195" s="204"/>
      <c r="I195" s="199"/>
      <c r="J195" s="205"/>
      <c r="L195" s="206"/>
      <c r="M195" s="201"/>
      <c r="N195" s="207"/>
      <c r="O195" s="220"/>
      <c r="P195" s="169"/>
      <c r="Q195" s="169"/>
      <c r="R195" s="169"/>
      <c r="S195" s="169"/>
      <c r="Y195" s="210"/>
      <c r="Z195" s="211"/>
      <c r="AA195" s="210"/>
      <c r="AB195" s="210"/>
      <c r="AC195" s="210"/>
      <c r="AD195" s="212"/>
      <c r="AE195" s="210"/>
      <c r="AG195" s="214"/>
      <c r="AH195" s="214"/>
      <c r="AI195" s="215"/>
      <c r="AJ195" s="214"/>
      <c r="AK195" s="214"/>
      <c r="AL195" s="215"/>
      <c r="AM195" s="216"/>
      <c r="AO195" s="245"/>
      <c r="AP195" s="245"/>
      <c r="AQ195" s="245"/>
      <c r="AR195" s="245"/>
      <c r="AS195" s="245"/>
      <c r="AT195" s="245"/>
      <c r="AU195" s="245"/>
      <c r="AV195" s="245"/>
      <c r="AW195" s="245"/>
      <c r="AX195" s="245"/>
      <c r="AZ195" s="245"/>
      <c r="BA195" s="283"/>
      <c r="BB195" s="283"/>
      <c r="BC195" s="239"/>
      <c r="BD195" s="283"/>
      <c r="BE195" s="239"/>
      <c r="BF195" s="239"/>
      <c r="BG195" s="239"/>
      <c r="BJ195" s="245"/>
      <c r="BK195" s="245"/>
      <c r="BM195" s="245"/>
      <c r="BN195" s="245"/>
      <c r="BO195" s="245"/>
      <c r="BP195" s="245"/>
      <c r="BQ195" s="245"/>
    </row>
    <row r="196" spans="1:69" ht="13.5" hidden="1" customHeight="1" x14ac:dyDescent="0.2">
      <c r="A196" s="842"/>
      <c r="C196" s="569"/>
      <c r="D196" s="570"/>
      <c r="E196" s="571"/>
      <c r="G196" s="204"/>
      <c r="H196" s="204"/>
      <c r="I196" s="199"/>
      <c r="J196" s="205"/>
      <c r="L196" s="206"/>
      <c r="M196" s="201"/>
      <c r="N196" s="207"/>
      <c r="O196" s="220"/>
      <c r="P196" s="169"/>
      <c r="Q196" s="169"/>
      <c r="R196" s="169"/>
      <c r="S196" s="169"/>
      <c r="Y196" s="210"/>
      <c r="Z196" s="211"/>
      <c r="AA196" s="210"/>
      <c r="AB196" s="210"/>
      <c r="AC196" s="210"/>
      <c r="AD196" s="212"/>
      <c r="AE196" s="210"/>
      <c r="AG196" s="214"/>
      <c r="AH196" s="214"/>
      <c r="AI196" s="215"/>
      <c r="AJ196" s="214"/>
      <c r="AK196" s="214"/>
      <c r="AL196" s="215"/>
      <c r="AM196" s="216"/>
      <c r="AO196" s="245"/>
      <c r="AP196" s="245"/>
      <c r="AQ196" s="245"/>
      <c r="AR196" s="245"/>
      <c r="AS196" s="245"/>
      <c r="AT196" s="245"/>
      <c r="AU196" s="245"/>
      <c r="AV196" s="245"/>
      <c r="AW196" s="245"/>
      <c r="AX196" s="245"/>
      <c r="AZ196" s="245"/>
      <c r="BA196" s="283"/>
      <c r="BB196" s="283"/>
      <c r="BC196" s="239"/>
      <c r="BD196" s="283"/>
      <c r="BE196" s="239"/>
      <c r="BF196" s="239"/>
      <c r="BG196" s="239"/>
      <c r="BJ196" s="245"/>
      <c r="BK196" s="245"/>
      <c r="BM196" s="245"/>
      <c r="BN196" s="245"/>
      <c r="BO196" s="245"/>
      <c r="BP196" s="245"/>
      <c r="BQ196" s="245"/>
    </row>
    <row r="197" spans="1:69" ht="13.5" hidden="1" customHeight="1" x14ac:dyDescent="0.2">
      <c r="A197" s="842"/>
      <c r="I197" s="169"/>
      <c r="J197" s="169"/>
      <c r="K197" s="169"/>
      <c r="L197" s="169"/>
      <c r="M197" s="169"/>
      <c r="N197" s="169"/>
      <c r="O197" s="169"/>
      <c r="P197" s="169"/>
      <c r="Q197" s="169"/>
      <c r="R197" s="169"/>
      <c r="S197" s="169"/>
      <c r="Y197" s="229"/>
      <c r="Z197" s="230"/>
      <c r="AG197" s="233"/>
      <c r="AH197" s="233"/>
      <c r="AI197" s="234"/>
      <c r="AJ197" s="233"/>
      <c r="AK197" s="233"/>
      <c r="AL197" s="234"/>
      <c r="AM197" s="234"/>
      <c r="AO197" s="245"/>
      <c r="AP197" s="245"/>
      <c r="AQ197" s="245"/>
      <c r="AR197" s="245"/>
      <c r="AS197" s="245"/>
      <c r="AT197" s="245"/>
      <c r="AU197" s="245"/>
      <c r="AV197" s="245"/>
      <c r="AW197" s="245"/>
      <c r="AX197" s="245"/>
      <c r="AZ197" s="245"/>
      <c r="BA197" s="283"/>
      <c r="BB197" s="283"/>
      <c r="BC197" s="239"/>
      <c r="BD197" s="283"/>
      <c r="BE197" s="239"/>
      <c r="BF197" s="239"/>
      <c r="BG197" s="239"/>
      <c r="BJ197" s="245"/>
      <c r="BK197" s="245"/>
      <c r="BM197" s="245"/>
      <c r="BN197" s="245"/>
      <c r="BO197" s="245"/>
      <c r="BP197" s="245"/>
      <c r="BQ197" s="245"/>
    </row>
    <row r="198" spans="1:69" ht="13.5" hidden="1" customHeight="1" x14ac:dyDescent="0.2">
      <c r="A198" s="842"/>
      <c r="I198" s="170"/>
      <c r="J198" s="171"/>
      <c r="K198" s="171"/>
      <c r="L198" s="171"/>
      <c r="M198" s="170"/>
      <c r="N198" s="172"/>
      <c r="Y198" s="229"/>
      <c r="Z198" s="230"/>
      <c r="AA198" s="231"/>
      <c r="AB198" s="231"/>
      <c r="AC198" s="231"/>
      <c r="AD198" s="232"/>
      <c r="AE198" s="231"/>
      <c r="AG198" s="233"/>
      <c r="AH198" s="233"/>
      <c r="AI198" s="234"/>
      <c r="AJ198" s="233"/>
      <c r="AK198" s="233"/>
      <c r="AL198" s="234"/>
      <c r="AM198" s="234"/>
      <c r="AO198" s="245"/>
      <c r="AP198" s="245"/>
      <c r="AQ198" s="245"/>
      <c r="AR198" s="245"/>
      <c r="AS198" s="245"/>
      <c r="AT198" s="245"/>
      <c r="AU198" s="245"/>
      <c r="AZ198" s="245"/>
      <c r="BA198" s="283"/>
      <c r="BB198" s="283"/>
      <c r="BC198" s="239"/>
      <c r="BD198" s="283"/>
      <c r="BE198" s="239"/>
      <c r="BF198" s="239"/>
      <c r="BG198" s="239"/>
      <c r="BJ198" s="245"/>
      <c r="BK198" s="245"/>
      <c r="BM198" s="245"/>
      <c r="BN198" s="245"/>
      <c r="BO198" s="245"/>
      <c r="BP198" s="245"/>
      <c r="BQ198" s="245"/>
    </row>
    <row r="199" spans="1:69" ht="13.5" hidden="1" customHeight="1" x14ac:dyDescent="0.2">
      <c r="A199" s="842"/>
      <c r="B199" s="309"/>
      <c r="C199" s="309"/>
      <c r="D199" s="544"/>
      <c r="E199" s="544"/>
      <c r="F199" s="544"/>
      <c r="G199" s="544"/>
      <c r="H199" s="544"/>
      <c r="I199" s="844"/>
      <c r="J199" s="844"/>
      <c r="K199" s="844"/>
      <c r="L199" s="844"/>
      <c r="M199" s="564"/>
      <c r="N199" s="565"/>
      <c r="O199" s="566"/>
      <c r="P199" s="169"/>
      <c r="Q199" s="169"/>
      <c r="R199" s="169"/>
      <c r="S199" s="169"/>
      <c r="AA199" s="231"/>
      <c r="AP199" s="245"/>
      <c r="AQ199" s="245"/>
      <c r="AR199" s="245"/>
      <c r="AS199" s="245"/>
      <c r="AU199" s="243"/>
      <c r="AZ199" s="245"/>
      <c r="BA199" s="283"/>
      <c r="BB199" s="283"/>
      <c r="BC199" s="239"/>
      <c r="BD199" s="283"/>
      <c r="BE199" s="239"/>
      <c r="BF199" s="239"/>
      <c r="BG199" s="239"/>
      <c r="BJ199" s="245"/>
      <c r="BK199" s="245"/>
      <c r="BM199" s="245"/>
      <c r="BN199" s="245"/>
      <c r="BO199" s="245"/>
      <c r="BP199" s="245"/>
      <c r="BQ199" s="245"/>
    </row>
    <row r="200" spans="1:69" ht="21" hidden="1" customHeight="1" x14ac:dyDescent="0.2">
      <c r="A200" s="842"/>
      <c r="I200" s="567"/>
      <c r="K200" s="568"/>
      <c r="O200" s="169"/>
      <c r="P200" s="169"/>
      <c r="Q200" s="169"/>
      <c r="R200" s="169"/>
      <c r="S200" s="169"/>
      <c r="AA200" s="231"/>
      <c r="AO200" s="245"/>
      <c r="AP200" s="245"/>
      <c r="AQ200" s="245"/>
      <c r="AR200" s="245"/>
      <c r="AS200" s="245"/>
      <c r="AT200" s="245"/>
      <c r="AU200" s="245"/>
      <c r="AZ200" s="245"/>
      <c r="BA200" s="283"/>
      <c r="BB200" s="283"/>
      <c r="BC200" s="239"/>
      <c r="BD200" s="283"/>
      <c r="BE200" s="239"/>
      <c r="BF200" s="239"/>
      <c r="BG200" s="239"/>
      <c r="BJ200" s="245"/>
      <c r="BK200" s="245"/>
      <c r="BM200" s="245"/>
      <c r="BN200" s="245"/>
      <c r="BO200" s="245"/>
      <c r="BP200" s="245"/>
      <c r="BQ200" s="245"/>
    </row>
    <row r="201" spans="1:69" ht="13.5" hidden="1" customHeight="1" x14ac:dyDescent="0.2">
      <c r="A201" s="842"/>
      <c r="C201" s="569"/>
      <c r="D201" s="570"/>
      <c r="E201" s="571"/>
      <c r="G201" s="204"/>
      <c r="H201" s="204"/>
      <c r="I201" s="199"/>
      <c r="J201" s="205"/>
      <c r="L201" s="206"/>
      <c r="M201" s="201"/>
      <c r="N201" s="207"/>
      <c r="O201" s="208"/>
      <c r="P201" s="169"/>
      <c r="Q201" s="169"/>
      <c r="R201" s="169"/>
      <c r="S201" s="169"/>
      <c r="T201" s="209"/>
      <c r="U201" s="209"/>
      <c r="V201" s="209"/>
      <c r="W201" s="209"/>
      <c r="Y201" s="210"/>
      <c r="Z201" s="211"/>
      <c r="AA201" s="210"/>
      <c r="AB201" s="210"/>
      <c r="AC201" s="210"/>
      <c r="AD201" s="212"/>
      <c r="AE201" s="210"/>
      <c r="AF201" s="213"/>
      <c r="AG201" s="214"/>
      <c r="AH201" s="214"/>
      <c r="AI201" s="215"/>
      <c r="AJ201" s="214"/>
      <c r="AK201" s="214"/>
      <c r="AL201" s="215"/>
      <c r="AM201" s="216"/>
      <c r="AO201" s="245"/>
      <c r="AP201" s="245"/>
      <c r="AQ201" s="245"/>
      <c r="AR201" s="245"/>
      <c r="AS201" s="245"/>
      <c r="AT201" s="245"/>
      <c r="AU201" s="245"/>
      <c r="AZ201" s="245"/>
      <c r="BA201" s="283"/>
      <c r="BB201" s="283"/>
      <c r="BC201" s="239"/>
      <c r="BD201" s="283"/>
      <c r="BE201" s="239"/>
      <c r="BF201" s="239"/>
      <c r="BG201" s="239"/>
      <c r="BJ201" s="245"/>
      <c r="BK201" s="245"/>
      <c r="BM201" s="245"/>
      <c r="BN201" s="245"/>
      <c r="BO201" s="245"/>
      <c r="BP201" s="245"/>
      <c r="BQ201" s="245"/>
    </row>
    <row r="202" spans="1:69" ht="13.5" hidden="1" customHeight="1" x14ac:dyDescent="0.2">
      <c r="A202" s="842"/>
      <c r="C202" s="569"/>
      <c r="D202" s="570"/>
      <c r="E202" s="571"/>
      <c r="G202" s="204"/>
      <c r="H202" s="204"/>
      <c r="I202" s="199"/>
      <c r="J202" s="205"/>
      <c r="L202" s="206"/>
      <c r="M202" s="201"/>
      <c r="N202" s="207"/>
      <c r="O202" s="220"/>
      <c r="P202" s="169"/>
      <c r="Q202" s="169"/>
      <c r="R202" s="169"/>
      <c r="S202" s="169"/>
      <c r="T202" s="209"/>
      <c r="U202" s="209"/>
      <c r="V202" s="209"/>
      <c r="W202" s="209"/>
      <c r="Y202" s="210"/>
      <c r="Z202" s="211"/>
      <c r="AA202" s="210"/>
      <c r="AB202" s="210"/>
      <c r="AC202" s="210"/>
      <c r="AD202" s="212"/>
      <c r="AE202" s="210"/>
      <c r="AF202" s="213"/>
      <c r="AG202" s="214"/>
      <c r="AH202" s="214"/>
      <c r="AI202" s="215"/>
      <c r="AJ202" s="214"/>
      <c r="AK202" s="214"/>
      <c r="AL202" s="215"/>
      <c r="AM202" s="216"/>
      <c r="AO202" s="245"/>
      <c r="AP202" s="245"/>
      <c r="AQ202" s="245"/>
      <c r="AR202" s="245"/>
      <c r="AS202" s="245"/>
      <c r="AT202" s="245"/>
      <c r="AU202" s="245"/>
      <c r="AZ202" s="245"/>
      <c r="BA202" s="283"/>
      <c r="BB202" s="283"/>
      <c r="BC202" s="239"/>
      <c r="BD202" s="283"/>
      <c r="BE202" s="239"/>
      <c r="BF202" s="239"/>
      <c r="BG202" s="239"/>
      <c r="BJ202" s="245"/>
      <c r="BK202" s="245"/>
      <c r="BM202" s="245"/>
      <c r="BN202" s="245"/>
      <c r="BO202" s="245"/>
      <c r="BP202" s="245"/>
      <c r="BQ202" s="245"/>
    </row>
    <row r="203" spans="1:69" ht="13.5" hidden="1" customHeight="1" x14ac:dyDescent="0.2">
      <c r="A203" s="842"/>
      <c r="C203" s="569"/>
      <c r="D203" s="570"/>
      <c r="E203" s="571"/>
      <c r="G203" s="204"/>
      <c r="H203" s="204"/>
      <c r="I203" s="199"/>
      <c r="J203" s="205"/>
      <c r="L203" s="206"/>
      <c r="M203" s="201"/>
      <c r="N203" s="207"/>
      <c r="O203" s="220"/>
      <c r="P203" s="169"/>
      <c r="Q203" s="169"/>
      <c r="R203" s="169"/>
      <c r="S203" s="169"/>
      <c r="T203" s="209"/>
      <c r="U203" s="209"/>
      <c r="V203" s="209"/>
      <c r="W203" s="209"/>
      <c r="Y203" s="210"/>
      <c r="Z203" s="211"/>
      <c r="AA203" s="210"/>
      <c r="AB203" s="210"/>
      <c r="AC203" s="210"/>
      <c r="AD203" s="212"/>
      <c r="AE203" s="210"/>
      <c r="AF203" s="213"/>
      <c r="AG203" s="214"/>
      <c r="AH203" s="214"/>
      <c r="AI203" s="215"/>
      <c r="AJ203" s="214"/>
      <c r="AK203" s="214"/>
      <c r="AL203" s="215"/>
      <c r="AM203" s="216"/>
      <c r="AO203" s="245"/>
      <c r="AP203" s="245"/>
      <c r="AQ203" s="245"/>
      <c r="AR203" s="245"/>
      <c r="AS203" s="245"/>
      <c r="AT203" s="245"/>
      <c r="AU203" s="245"/>
      <c r="AV203" s="245"/>
      <c r="AW203" s="245"/>
      <c r="AX203" s="245"/>
      <c r="BA203" s="283"/>
      <c r="BB203" s="283"/>
      <c r="BC203" s="239"/>
      <c r="BD203" s="283"/>
      <c r="BE203" s="239"/>
      <c r="BF203" s="239"/>
      <c r="BG203" s="239"/>
      <c r="BJ203" s="245"/>
    </row>
    <row r="204" spans="1:69" ht="13.5" hidden="1" customHeight="1" x14ac:dyDescent="0.2">
      <c r="A204" s="842"/>
      <c r="C204" s="569"/>
      <c r="D204" s="570"/>
      <c r="E204" s="571"/>
      <c r="G204" s="204"/>
      <c r="H204" s="204"/>
      <c r="I204" s="199"/>
      <c r="J204" s="205"/>
      <c r="L204" s="206"/>
      <c r="M204" s="201"/>
      <c r="N204" s="207"/>
      <c r="O204" s="220"/>
      <c r="P204" s="169"/>
      <c r="Q204" s="169"/>
      <c r="R204" s="169"/>
      <c r="S204" s="169"/>
      <c r="T204" s="209"/>
      <c r="U204" s="209"/>
      <c r="Y204" s="210"/>
      <c r="Z204" s="211"/>
      <c r="AA204" s="210"/>
      <c r="AB204" s="210"/>
      <c r="AC204" s="210"/>
      <c r="AD204" s="212"/>
      <c r="AE204" s="210"/>
      <c r="AF204" s="213"/>
      <c r="AG204" s="214"/>
      <c r="AH204" s="214"/>
      <c r="AI204" s="215"/>
      <c r="AJ204" s="214"/>
      <c r="AK204" s="214"/>
      <c r="AL204" s="215"/>
      <c r="AM204" s="216"/>
      <c r="AO204" s="245"/>
      <c r="AP204" s="245"/>
      <c r="AQ204" s="245"/>
      <c r="AR204" s="245"/>
      <c r="AS204" s="245"/>
      <c r="AT204" s="245"/>
      <c r="AU204" s="245"/>
      <c r="AV204" s="245"/>
      <c r="AW204" s="245"/>
      <c r="AX204" s="245"/>
      <c r="AZ204" s="245"/>
      <c r="BA204" s="283"/>
      <c r="BB204" s="283"/>
      <c r="BC204" s="239"/>
      <c r="BD204" s="283"/>
      <c r="BE204" s="239"/>
      <c r="BF204" s="239"/>
      <c r="BG204" s="239"/>
      <c r="BJ204" s="245"/>
      <c r="BK204" s="245"/>
      <c r="BM204" s="245"/>
      <c r="BN204" s="245"/>
      <c r="BO204" s="245"/>
      <c r="BP204" s="245"/>
      <c r="BQ204" s="245"/>
    </row>
    <row r="205" spans="1:69" ht="21" hidden="1" customHeight="1" x14ac:dyDescent="0.2">
      <c r="A205" s="842"/>
      <c r="G205" s="576"/>
      <c r="H205" s="576"/>
      <c r="I205" s="567"/>
      <c r="K205" s="568"/>
      <c r="N205" s="223"/>
      <c r="O205" s="169"/>
      <c r="P205" s="169"/>
      <c r="Q205" s="169"/>
      <c r="R205" s="169"/>
      <c r="S205" s="169"/>
      <c r="T205" s="209"/>
      <c r="U205" s="209"/>
      <c r="V205" s="209"/>
      <c r="W205" s="209"/>
      <c r="Y205" s="229"/>
      <c r="Z205" s="230"/>
      <c r="AA205" s="231"/>
      <c r="AB205" s="231"/>
      <c r="AC205" s="231"/>
      <c r="AD205" s="232"/>
      <c r="AE205" s="231"/>
      <c r="AG205" s="233"/>
      <c r="AH205" s="233"/>
      <c r="AI205" s="234"/>
      <c r="AJ205" s="233"/>
      <c r="AK205" s="233"/>
      <c r="AL205" s="234"/>
      <c r="AM205" s="234"/>
      <c r="AO205" s="245"/>
      <c r="AP205" s="245"/>
      <c r="AQ205" s="245"/>
      <c r="AR205" s="245"/>
      <c r="AS205" s="245"/>
      <c r="AT205" s="245"/>
      <c r="AU205" s="245"/>
      <c r="AV205" s="245"/>
      <c r="AW205" s="245"/>
      <c r="AX205" s="245"/>
      <c r="AZ205" s="245"/>
      <c r="BA205" s="283"/>
      <c r="BB205" s="283"/>
      <c r="BC205" s="239"/>
      <c r="BD205" s="283"/>
      <c r="BE205" s="239"/>
      <c r="BF205" s="239"/>
      <c r="BG205" s="239"/>
      <c r="BJ205" s="245"/>
      <c r="BK205" s="245"/>
      <c r="BM205" s="245"/>
      <c r="BN205" s="245"/>
      <c r="BO205" s="245"/>
      <c r="BP205" s="245"/>
      <c r="BQ205" s="245"/>
    </row>
    <row r="206" spans="1:69" ht="13.5" hidden="1" customHeight="1" x14ac:dyDescent="0.2">
      <c r="A206" s="842"/>
      <c r="C206" s="569"/>
      <c r="D206" s="570"/>
      <c r="E206" s="571"/>
      <c r="G206" s="204"/>
      <c r="H206" s="204"/>
      <c r="I206" s="199"/>
      <c r="J206" s="205"/>
      <c r="L206" s="206"/>
      <c r="M206" s="201"/>
      <c r="N206" s="207"/>
      <c r="O206" s="208"/>
      <c r="P206" s="169"/>
      <c r="Q206" s="169"/>
      <c r="R206" s="169"/>
      <c r="S206" s="169"/>
      <c r="Y206" s="210"/>
      <c r="Z206" s="211"/>
      <c r="AA206" s="210"/>
      <c r="AB206" s="210"/>
      <c r="AC206" s="210"/>
      <c r="AD206" s="212"/>
      <c r="AE206" s="210"/>
      <c r="AG206" s="214"/>
      <c r="AH206" s="214"/>
      <c r="AI206" s="215"/>
      <c r="AJ206" s="214"/>
      <c r="AK206" s="214"/>
      <c r="AL206" s="215"/>
      <c r="AM206" s="216"/>
      <c r="AO206" s="245"/>
      <c r="AP206" s="245"/>
      <c r="AQ206" s="245"/>
      <c r="AR206" s="245"/>
      <c r="AS206" s="245"/>
      <c r="AT206" s="245"/>
      <c r="AU206" s="245"/>
      <c r="AV206" s="245"/>
      <c r="AW206" s="245"/>
      <c r="AX206" s="245"/>
      <c r="AZ206" s="245"/>
      <c r="BA206" s="283"/>
      <c r="BB206" s="283"/>
      <c r="BC206" s="239"/>
      <c r="BD206" s="283"/>
      <c r="BE206" s="239"/>
      <c r="BF206" s="239"/>
      <c r="BG206" s="239"/>
      <c r="BJ206" s="245"/>
      <c r="BK206" s="245"/>
      <c r="BM206" s="245"/>
      <c r="BN206" s="245"/>
      <c r="BO206" s="245"/>
      <c r="BP206" s="245"/>
      <c r="BQ206" s="245"/>
    </row>
    <row r="207" spans="1:69" ht="13.5" hidden="1" customHeight="1" x14ac:dyDescent="0.2">
      <c r="A207" s="842"/>
      <c r="C207" s="569"/>
      <c r="D207" s="570"/>
      <c r="E207" s="571"/>
      <c r="G207" s="204"/>
      <c r="H207" s="204"/>
      <c r="I207" s="199"/>
      <c r="J207" s="205"/>
      <c r="L207" s="206"/>
      <c r="M207" s="201"/>
      <c r="N207" s="207"/>
      <c r="O207" s="220"/>
      <c r="P207" s="169"/>
      <c r="Q207" s="169"/>
      <c r="R207" s="169"/>
      <c r="S207" s="169"/>
      <c r="Y207" s="210"/>
      <c r="Z207" s="211"/>
      <c r="AA207" s="210"/>
      <c r="AB207" s="210"/>
      <c r="AC207" s="210"/>
      <c r="AD207" s="212"/>
      <c r="AE207" s="210"/>
      <c r="AG207" s="214"/>
      <c r="AH207" s="214"/>
      <c r="AI207" s="215"/>
      <c r="AJ207" s="214"/>
      <c r="AK207" s="214"/>
      <c r="AL207" s="215"/>
      <c r="AM207" s="216"/>
      <c r="AO207" s="245"/>
      <c r="AP207" s="245"/>
      <c r="AQ207" s="245"/>
      <c r="AR207" s="245"/>
      <c r="AS207" s="245"/>
      <c r="AT207" s="245"/>
      <c r="AU207" s="245"/>
      <c r="AV207" s="245"/>
      <c r="AW207" s="245"/>
      <c r="AX207" s="245"/>
      <c r="AZ207" s="245"/>
      <c r="BA207" s="283"/>
      <c r="BB207" s="283"/>
      <c r="BC207" s="239"/>
      <c r="BD207" s="283"/>
      <c r="BE207" s="239"/>
      <c r="BF207" s="239"/>
      <c r="BG207" s="239"/>
      <c r="BJ207" s="245"/>
      <c r="BK207" s="245"/>
      <c r="BM207" s="245"/>
      <c r="BN207" s="245"/>
      <c r="BO207" s="245"/>
      <c r="BP207" s="245"/>
      <c r="BQ207" s="245"/>
    </row>
    <row r="208" spans="1:69" ht="13.5" hidden="1" customHeight="1" x14ac:dyDescent="0.2">
      <c r="A208" s="842"/>
      <c r="C208" s="569"/>
      <c r="D208" s="570"/>
      <c r="E208" s="571"/>
      <c r="G208" s="204"/>
      <c r="H208" s="204"/>
      <c r="I208" s="199"/>
      <c r="J208" s="205"/>
      <c r="L208" s="206"/>
      <c r="M208" s="201"/>
      <c r="N208" s="207"/>
      <c r="O208" s="220"/>
      <c r="P208" s="169"/>
      <c r="Q208" s="169"/>
      <c r="R208" s="169"/>
      <c r="S208" s="169"/>
      <c r="Y208" s="210"/>
      <c r="Z208" s="211"/>
      <c r="AA208" s="210"/>
      <c r="AB208" s="210"/>
      <c r="AC208" s="210"/>
      <c r="AD208" s="212"/>
      <c r="AE208" s="210"/>
      <c r="AG208" s="214"/>
      <c r="AH208" s="214"/>
      <c r="AI208" s="215"/>
      <c r="AJ208" s="214"/>
      <c r="AK208" s="214"/>
      <c r="AL208" s="215"/>
      <c r="AM208" s="216"/>
      <c r="AO208" s="245"/>
      <c r="AP208" s="245"/>
      <c r="AQ208" s="245"/>
      <c r="AR208" s="245"/>
      <c r="AS208" s="245"/>
      <c r="AT208" s="245"/>
      <c r="AU208" s="245"/>
      <c r="AV208" s="245"/>
      <c r="AW208" s="245"/>
      <c r="AX208" s="245"/>
      <c r="AZ208" s="245"/>
      <c r="BA208" s="283"/>
      <c r="BB208" s="283"/>
      <c r="BC208" s="239"/>
      <c r="BD208" s="283"/>
      <c r="BE208" s="239"/>
      <c r="BF208" s="239"/>
      <c r="BG208" s="239"/>
      <c r="BJ208" s="245"/>
      <c r="BK208" s="245"/>
      <c r="BM208" s="245"/>
      <c r="BN208" s="245"/>
      <c r="BO208" s="245"/>
      <c r="BP208" s="245"/>
      <c r="BQ208" s="245"/>
    </row>
    <row r="209" spans="1:69" ht="13.5" hidden="1" customHeight="1" x14ac:dyDescent="0.2">
      <c r="A209" s="842"/>
      <c r="C209" s="569"/>
      <c r="D209" s="570"/>
      <c r="E209" s="571"/>
      <c r="G209" s="204"/>
      <c r="H209" s="204"/>
      <c r="I209" s="199"/>
      <c r="J209" s="205"/>
      <c r="L209" s="206"/>
      <c r="M209" s="201"/>
      <c r="N209" s="207"/>
      <c r="O209" s="220"/>
      <c r="P209" s="169"/>
      <c r="Q209" s="169"/>
      <c r="R209" s="169"/>
      <c r="S209" s="169"/>
      <c r="Y209" s="210"/>
      <c r="Z209" s="211"/>
      <c r="AA209" s="210"/>
      <c r="AB209" s="210"/>
      <c r="AC209" s="210"/>
      <c r="AD209" s="212"/>
      <c r="AE209" s="210"/>
      <c r="AG209" s="214"/>
      <c r="AH209" s="214"/>
      <c r="AI209" s="215"/>
      <c r="AJ209" s="214"/>
      <c r="AK209" s="214"/>
      <c r="AL209" s="215"/>
      <c r="AM209" s="216"/>
      <c r="AO209" s="245"/>
      <c r="AP209" s="245"/>
      <c r="AQ209" s="245"/>
      <c r="AR209" s="245"/>
      <c r="AS209" s="245"/>
      <c r="AT209" s="245"/>
      <c r="AU209" s="245"/>
      <c r="AV209" s="245"/>
      <c r="AW209" s="245"/>
      <c r="AX209" s="245"/>
      <c r="AZ209" s="245"/>
      <c r="BA209" s="283"/>
      <c r="BB209" s="283"/>
      <c r="BC209" s="239"/>
      <c r="BD209" s="283"/>
      <c r="BE209" s="239"/>
      <c r="BF209" s="239"/>
      <c r="BG209" s="239"/>
      <c r="BJ209" s="245"/>
      <c r="BK209" s="245"/>
      <c r="BM209" s="245"/>
      <c r="BN209" s="245"/>
      <c r="BO209" s="245"/>
      <c r="BP209" s="245"/>
      <c r="BQ209" s="245"/>
    </row>
    <row r="210" spans="1:69" ht="21" hidden="1" customHeight="1" x14ac:dyDescent="0.2">
      <c r="A210" s="842"/>
      <c r="G210" s="576"/>
      <c r="H210" s="576"/>
      <c r="I210" s="567"/>
      <c r="K210" s="568"/>
      <c r="N210" s="169"/>
      <c r="O210" s="169"/>
      <c r="P210" s="169"/>
      <c r="Q210" s="169"/>
      <c r="R210" s="169"/>
      <c r="S210" s="169"/>
      <c r="Y210" s="229"/>
      <c r="Z210" s="230"/>
      <c r="AA210" s="231"/>
      <c r="AB210" s="231"/>
      <c r="AC210" s="231"/>
      <c r="AD210" s="232"/>
      <c r="AE210" s="231"/>
      <c r="AG210" s="233"/>
      <c r="AH210" s="233"/>
      <c r="AI210" s="234"/>
      <c r="AJ210" s="233"/>
      <c r="AK210" s="233"/>
      <c r="AL210" s="234"/>
      <c r="AM210" s="234"/>
      <c r="AO210" s="245"/>
      <c r="AP210" s="245"/>
      <c r="AQ210" s="245"/>
      <c r="AR210" s="245"/>
      <c r="AS210" s="245"/>
      <c r="AT210" s="245"/>
      <c r="AU210" s="245"/>
      <c r="AV210" s="245"/>
      <c r="AW210" s="245"/>
      <c r="AX210" s="245"/>
      <c r="AZ210" s="245"/>
      <c r="BA210" s="283"/>
      <c r="BB210" s="283"/>
      <c r="BC210" s="239"/>
      <c r="BD210" s="283"/>
      <c r="BE210" s="239"/>
      <c r="BF210" s="239"/>
      <c r="BG210" s="239"/>
      <c r="BJ210" s="245"/>
      <c r="BK210" s="245"/>
      <c r="BM210" s="245"/>
      <c r="BN210" s="245"/>
      <c r="BO210" s="245"/>
      <c r="BP210" s="245"/>
      <c r="BQ210" s="245"/>
    </row>
    <row r="211" spans="1:69" ht="13.5" hidden="1" customHeight="1" x14ac:dyDescent="0.2">
      <c r="A211" s="842"/>
      <c r="C211" s="569"/>
      <c r="D211" s="570"/>
      <c r="E211" s="571"/>
      <c r="G211" s="204"/>
      <c r="H211" s="204"/>
      <c r="I211" s="199"/>
      <c r="J211" s="205"/>
      <c r="L211" s="206"/>
      <c r="M211" s="201"/>
      <c r="N211" s="207"/>
      <c r="O211" s="208"/>
      <c r="P211" s="169"/>
      <c r="Q211" s="169"/>
      <c r="R211" s="169"/>
      <c r="S211" s="169"/>
      <c r="Y211" s="210"/>
      <c r="Z211" s="211"/>
      <c r="AA211" s="210"/>
      <c r="AB211" s="210"/>
      <c r="AC211" s="210"/>
      <c r="AD211" s="212"/>
      <c r="AE211" s="210"/>
      <c r="AG211" s="214"/>
      <c r="AH211" s="214"/>
      <c r="AI211" s="215"/>
      <c r="AJ211" s="214"/>
      <c r="AK211" s="214"/>
      <c r="AL211" s="215"/>
      <c r="AM211" s="216"/>
      <c r="AO211" s="245"/>
      <c r="AP211" s="245"/>
      <c r="AQ211" s="245"/>
      <c r="AR211" s="245"/>
      <c r="AS211" s="245"/>
      <c r="AT211" s="245"/>
      <c r="AU211" s="245"/>
      <c r="AV211" s="245"/>
      <c r="AW211" s="245"/>
      <c r="AX211" s="245"/>
      <c r="AZ211" s="245"/>
      <c r="BA211" s="283"/>
      <c r="BB211" s="283"/>
      <c r="BC211" s="239"/>
      <c r="BD211" s="283"/>
      <c r="BE211" s="239"/>
      <c r="BF211" s="239"/>
      <c r="BG211" s="239"/>
      <c r="BJ211" s="245"/>
      <c r="BK211" s="245"/>
      <c r="BM211" s="245"/>
      <c r="BN211" s="245"/>
      <c r="BO211" s="245"/>
      <c r="BP211" s="245"/>
      <c r="BQ211" s="245"/>
    </row>
    <row r="212" spans="1:69" ht="13.5" hidden="1" customHeight="1" x14ac:dyDescent="0.2">
      <c r="A212" s="842"/>
      <c r="C212" s="569"/>
      <c r="D212" s="570"/>
      <c r="E212" s="571"/>
      <c r="G212" s="204"/>
      <c r="H212" s="204"/>
      <c r="I212" s="199"/>
      <c r="J212" s="205"/>
      <c r="L212" s="206"/>
      <c r="M212" s="201"/>
      <c r="N212" s="207"/>
      <c r="O212" s="220"/>
      <c r="P212" s="169"/>
      <c r="Q212" s="169"/>
      <c r="R212" s="169"/>
      <c r="S212" s="169"/>
      <c r="Y212" s="210"/>
      <c r="Z212" s="211"/>
      <c r="AA212" s="210"/>
      <c r="AB212" s="210"/>
      <c r="AC212" s="210"/>
      <c r="AD212" s="212"/>
      <c r="AE212" s="210"/>
      <c r="AG212" s="214"/>
      <c r="AH212" s="214"/>
      <c r="AI212" s="215"/>
      <c r="AJ212" s="214"/>
      <c r="AK212" s="214"/>
      <c r="AL212" s="215"/>
      <c r="AM212" s="216"/>
      <c r="AO212" s="245"/>
      <c r="AP212" s="245"/>
      <c r="AQ212" s="245"/>
      <c r="AR212" s="245"/>
      <c r="AS212" s="245"/>
      <c r="AT212" s="245"/>
      <c r="AU212" s="245"/>
      <c r="AV212" s="245"/>
      <c r="AW212" s="245"/>
      <c r="AX212" s="245"/>
      <c r="AZ212" s="245"/>
      <c r="BA212" s="283"/>
      <c r="BB212" s="283"/>
      <c r="BC212" s="239"/>
      <c r="BD212" s="283"/>
      <c r="BE212" s="239"/>
      <c r="BF212" s="239"/>
      <c r="BG212" s="239"/>
      <c r="BJ212" s="245"/>
      <c r="BK212" s="245"/>
      <c r="BM212" s="245"/>
      <c r="BN212" s="245"/>
      <c r="BO212" s="245"/>
      <c r="BP212" s="245"/>
      <c r="BQ212" s="245"/>
    </row>
    <row r="213" spans="1:69" ht="13.5" hidden="1" customHeight="1" x14ac:dyDescent="0.2">
      <c r="A213" s="842"/>
      <c r="C213" s="569"/>
      <c r="D213" s="570"/>
      <c r="E213" s="571"/>
      <c r="G213" s="204"/>
      <c r="H213" s="204"/>
      <c r="I213" s="199"/>
      <c r="J213" s="205"/>
      <c r="L213" s="206"/>
      <c r="M213" s="201"/>
      <c r="N213" s="207"/>
      <c r="O213" s="220"/>
      <c r="P213" s="169"/>
      <c r="Q213" s="169"/>
      <c r="R213" s="169"/>
      <c r="S213" s="169"/>
      <c r="Y213" s="210"/>
      <c r="Z213" s="211"/>
      <c r="AA213" s="210"/>
      <c r="AB213" s="210"/>
      <c r="AC213" s="210"/>
      <c r="AD213" s="212"/>
      <c r="AE213" s="210"/>
      <c r="AG213" s="214"/>
      <c r="AH213" s="214"/>
      <c r="AI213" s="215"/>
      <c r="AJ213" s="214"/>
      <c r="AK213" s="214"/>
      <c r="AL213" s="215"/>
      <c r="AM213" s="216"/>
      <c r="AO213" s="245"/>
      <c r="AP213" s="245"/>
      <c r="AQ213" s="245"/>
      <c r="AR213" s="245"/>
      <c r="AS213" s="245"/>
      <c r="AT213" s="245"/>
      <c r="AU213" s="245"/>
      <c r="AV213" s="245"/>
      <c r="AW213" s="245"/>
      <c r="AX213" s="245"/>
      <c r="AZ213" s="245"/>
      <c r="BA213" s="283"/>
      <c r="BB213" s="283"/>
      <c r="BC213" s="239"/>
      <c r="BD213" s="283"/>
      <c r="BE213" s="239"/>
      <c r="BF213" s="239"/>
      <c r="BG213" s="239"/>
      <c r="BJ213" s="245"/>
      <c r="BK213" s="245"/>
      <c r="BM213" s="245"/>
      <c r="BN213" s="245"/>
      <c r="BO213" s="245"/>
      <c r="BP213" s="245"/>
      <c r="BQ213" s="245"/>
    </row>
    <row r="214" spans="1:69" ht="13.5" hidden="1" customHeight="1" x14ac:dyDescent="0.2">
      <c r="A214" s="842"/>
      <c r="C214" s="569"/>
      <c r="D214" s="570"/>
      <c r="E214" s="571"/>
      <c r="G214" s="204"/>
      <c r="H214" s="204"/>
      <c r="I214" s="199"/>
      <c r="J214" s="205"/>
      <c r="L214" s="206"/>
      <c r="M214" s="201"/>
      <c r="N214" s="207"/>
      <c r="O214" s="220"/>
      <c r="P214" s="169"/>
      <c r="Q214" s="169"/>
      <c r="R214" s="169"/>
      <c r="S214" s="169"/>
      <c r="Y214" s="210"/>
      <c r="Z214" s="211"/>
      <c r="AA214" s="210"/>
      <c r="AB214" s="210"/>
      <c r="AC214" s="210"/>
      <c r="AD214" s="212"/>
      <c r="AE214" s="210"/>
      <c r="AG214" s="214"/>
      <c r="AH214" s="214"/>
      <c r="AI214" s="215"/>
      <c r="AJ214" s="214"/>
      <c r="AK214" s="214"/>
      <c r="AL214" s="215"/>
      <c r="AM214" s="216"/>
      <c r="AO214" s="245"/>
      <c r="AP214" s="245"/>
      <c r="AQ214" s="245"/>
      <c r="AR214" s="245"/>
      <c r="AS214" s="245"/>
      <c r="AT214" s="245"/>
      <c r="AU214" s="245"/>
      <c r="AV214" s="245"/>
      <c r="AW214" s="245"/>
      <c r="AX214" s="245"/>
      <c r="AZ214" s="245"/>
      <c r="BA214" s="283"/>
      <c r="BB214" s="283"/>
      <c r="BC214" s="239"/>
      <c r="BD214" s="283"/>
      <c r="BE214" s="239"/>
      <c r="BF214" s="239"/>
      <c r="BG214" s="239"/>
      <c r="BJ214" s="245"/>
      <c r="BK214" s="245"/>
      <c r="BM214" s="245"/>
      <c r="BN214" s="245"/>
      <c r="BO214" s="245"/>
      <c r="BP214" s="245"/>
      <c r="BQ214" s="245"/>
    </row>
    <row r="215" spans="1:69" ht="13.5" hidden="1" customHeight="1" x14ac:dyDescent="0.2">
      <c r="A215" s="842"/>
      <c r="I215" s="169"/>
      <c r="J215" s="169"/>
      <c r="K215" s="169"/>
      <c r="L215" s="169"/>
      <c r="M215" s="169"/>
      <c r="N215" s="169"/>
      <c r="O215" s="169"/>
      <c r="P215" s="169"/>
      <c r="Q215" s="169"/>
      <c r="R215" s="169"/>
      <c r="S215" s="169"/>
      <c r="Y215" s="229"/>
      <c r="Z215" s="230"/>
      <c r="AG215" s="233"/>
      <c r="AH215" s="233"/>
      <c r="AI215" s="234"/>
      <c r="AJ215" s="233"/>
      <c r="AK215" s="233"/>
      <c r="AL215" s="234"/>
      <c r="AM215" s="234"/>
      <c r="AO215" s="245"/>
      <c r="AP215" s="245"/>
      <c r="AQ215" s="245"/>
      <c r="AR215" s="245"/>
      <c r="AS215" s="245"/>
      <c r="AT215" s="245"/>
      <c r="AU215" s="245"/>
      <c r="AV215" s="245"/>
      <c r="AW215" s="245"/>
      <c r="AX215" s="245"/>
      <c r="AZ215" s="245"/>
      <c r="BA215" s="283"/>
      <c r="BB215" s="283"/>
      <c r="BC215" s="239"/>
      <c r="BD215" s="283"/>
      <c r="BE215" s="239"/>
      <c r="BF215" s="239"/>
      <c r="BG215" s="239"/>
      <c r="BJ215" s="245"/>
      <c r="BK215" s="245"/>
      <c r="BM215" s="245"/>
      <c r="BN215" s="245"/>
      <c r="BO215" s="245"/>
      <c r="BP215" s="245"/>
      <c r="BQ215" s="245"/>
    </row>
    <row r="216" spans="1:69" ht="13.5" hidden="1" customHeight="1" x14ac:dyDescent="0.2">
      <c r="A216" s="842"/>
      <c r="I216" s="170"/>
      <c r="J216" s="171"/>
      <c r="K216" s="171"/>
      <c r="L216" s="171"/>
      <c r="M216" s="170"/>
      <c r="N216" s="172"/>
      <c r="Y216" s="229"/>
      <c r="Z216" s="230"/>
      <c r="AA216" s="231"/>
      <c r="AB216" s="231"/>
      <c r="AC216" s="231"/>
      <c r="AD216" s="232"/>
      <c r="AE216" s="231"/>
      <c r="AG216" s="233"/>
      <c r="AH216" s="233"/>
      <c r="AI216" s="234"/>
      <c r="AJ216" s="233"/>
      <c r="AK216" s="233"/>
      <c r="AL216" s="234"/>
      <c r="AM216" s="234"/>
      <c r="AO216" s="245"/>
      <c r="AP216" s="245"/>
      <c r="AQ216" s="245"/>
      <c r="AR216" s="245"/>
      <c r="AS216" s="245"/>
      <c r="AT216" s="245"/>
      <c r="AU216" s="245"/>
      <c r="AZ216" s="245"/>
      <c r="BA216" s="283"/>
      <c r="BB216" s="283"/>
      <c r="BC216" s="239"/>
      <c r="BD216" s="283"/>
      <c r="BE216" s="239"/>
      <c r="BF216" s="239"/>
      <c r="BG216" s="239"/>
      <c r="BJ216" s="245"/>
      <c r="BK216" s="245"/>
      <c r="BM216" s="245"/>
      <c r="BN216" s="245"/>
      <c r="BO216" s="245"/>
      <c r="BP216" s="245"/>
      <c r="BQ216" s="245"/>
    </row>
    <row r="217" spans="1:69" ht="13.5" hidden="1" customHeight="1" x14ac:dyDescent="0.2">
      <c r="A217" s="842"/>
      <c r="B217" s="309"/>
      <c r="C217" s="309"/>
      <c r="D217" s="544"/>
      <c r="E217" s="544"/>
      <c r="F217" s="544"/>
      <c r="G217" s="544"/>
      <c r="H217" s="544"/>
      <c r="I217" s="844"/>
      <c r="J217" s="844"/>
      <c r="K217" s="844"/>
      <c r="L217" s="844"/>
      <c r="M217" s="564"/>
      <c r="N217" s="565"/>
      <c r="O217" s="566"/>
      <c r="P217" s="169"/>
      <c r="Q217" s="169"/>
      <c r="R217" s="169"/>
      <c r="S217" s="169"/>
      <c r="AA217" s="231"/>
      <c r="AP217" s="245"/>
      <c r="AQ217" s="245"/>
      <c r="AR217" s="245"/>
      <c r="AS217" s="245"/>
      <c r="AU217" s="243"/>
      <c r="AZ217" s="245"/>
      <c r="BA217" s="283"/>
      <c r="BB217" s="283"/>
      <c r="BC217" s="239"/>
      <c r="BD217" s="283"/>
      <c r="BE217" s="239"/>
      <c r="BF217" s="239"/>
      <c r="BG217" s="239"/>
      <c r="BJ217" s="245"/>
      <c r="BK217" s="245"/>
      <c r="BM217" s="245"/>
      <c r="BN217" s="245"/>
      <c r="BO217" s="245"/>
      <c r="BP217" s="245"/>
      <c r="BQ217" s="245"/>
    </row>
    <row r="218" spans="1:69" ht="21" hidden="1" customHeight="1" x14ac:dyDescent="0.2">
      <c r="A218" s="842"/>
      <c r="I218" s="567"/>
      <c r="K218" s="568"/>
      <c r="O218" s="169"/>
      <c r="P218" s="169"/>
      <c r="Q218" s="169"/>
      <c r="R218" s="169"/>
      <c r="S218" s="169"/>
      <c r="AA218" s="231"/>
      <c r="AO218" s="245"/>
      <c r="AP218" s="245"/>
      <c r="AQ218" s="245"/>
      <c r="AR218" s="245"/>
      <c r="AS218" s="245"/>
      <c r="AT218" s="245"/>
      <c r="AU218" s="245"/>
      <c r="AZ218" s="245"/>
      <c r="BA218" s="283"/>
      <c r="BB218" s="283"/>
      <c r="BC218" s="239"/>
      <c r="BD218" s="283"/>
      <c r="BE218" s="239"/>
      <c r="BF218" s="239"/>
      <c r="BG218" s="239"/>
      <c r="BJ218" s="245"/>
      <c r="BK218" s="245"/>
      <c r="BM218" s="245"/>
      <c r="BN218" s="245"/>
      <c r="BO218" s="245"/>
      <c r="BP218" s="245"/>
      <c r="BQ218" s="245"/>
    </row>
    <row r="219" spans="1:69" ht="13.5" hidden="1" customHeight="1" x14ac:dyDescent="0.2">
      <c r="A219" s="842"/>
      <c r="C219" s="569"/>
      <c r="D219" s="570"/>
      <c r="E219" s="571"/>
      <c r="G219" s="204"/>
      <c r="H219" s="204"/>
      <c r="I219" s="199"/>
      <c r="J219" s="205"/>
      <c r="L219" s="206"/>
      <c r="M219" s="201"/>
      <c r="N219" s="207"/>
      <c r="O219" s="208"/>
      <c r="P219" s="169"/>
      <c r="Q219" s="169"/>
      <c r="R219" s="169"/>
      <c r="S219" s="169"/>
      <c r="T219" s="209"/>
      <c r="U219" s="209"/>
      <c r="V219" s="209"/>
      <c r="W219" s="209"/>
      <c r="Y219" s="210"/>
      <c r="Z219" s="211"/>
      <c r="AA219" s="210"/>
      <c r="AB219" s="210"/>
      <c r="AC219" s="210"/>
      <c r="AD219" s="212"/>
      <c r="AE219" s="210"/>
      <c r="AF219" s="213"/>
      <c r="AG219" s="214"/>
      <c r="AH219" s="214"/>
      <c r="AI219" s="215"/>
      <c r="AJ219" s="214"/>
      <c r="AK219" s="214"/>
      <c r="AL219" s="215"/>
      <c r="AM219" s="216"/>
      <c r="AO219" s="245"/>
      <c r="AP219" s="245"/>
      <c r="AQ219" s="245"/>
      <c r="AR219" s="245"/>
      <c r="AS219" s="245"/>
      <c r="AT219" s="245"/>
      <c r="AU219" s="245"/>
      <c r="AZ219" s="245"/>
      <c r="BA219" s="283"/>
      <c r="BB219" s="283"/>
      <c r="BC219" s="239"/>
      <c r="BD219" s="283"/>
      <c r="BE219" s="239"/>
      <c r="BF219" s="239"/>
      <c r="BG219" s="239"/>
      <c r="BJ219" s="245"/>
      <c r="BK219" s="245"/>
      <c r="BM219" s="245"/>
      <c r="BN219" s="245"/>
      <c r="BO219" s="245"/>
      <c r="BP219" s="245"/>
      <c r="BQ219" s="245"/>
    </row>
    <row r="220" spans="1:69" ht="13.5" hidden="1" customHeight="1" x14ac:dyDescent="0.2">
      <c r="A220" s="842"/>
      <c r="C220" s="569"/>
      <c r="D220" s="570"/>
      <c r="E220" s="571"/>
      <c r="G220" s="204"/>
      <c r="H220" s="204"/>
      <c r="I220" s="199"/>
      <c r="J220" s="205"/>
      <c r="L220" s="206"/>
      <c r="M220" s="201"/>
      <c r="N220" s="207"/>
      <c r="O220" s="220"/>
      <c r="P220" s="169"/>
      <c r="Q220" s="169"/>
      <c r="R220" s="169"/>
      <c r="S220" s="169"/>
      <c r="T220" s="209"/>
      <c r="U220" s="209"/>
      <c r="V220" s="209"/>
      <c r="W220" s="209"/>
      <c r="Y220" s="210"/>
      <c r="Z220" s="211"/>
      <c r="AA220" s="210"/>
      <c r="AB220" s="210"/>
      <c r="AC220" s="210"/>
      <c r="AD220" s="212"/>
      <c r="AE220" s="210"/>
      <c r="AF220" s="213"/>
      <c r="AG220" s="214"/>
      <c r="AH220" s="214"/>
      <c r="AI220" s="215"/>
      <c r="AJ220" s="214"/>
      <c r="AK220" s="214"/>
      <c r="AL220" s="215"/>
      <c r="AM220" s="216"/>
      <c r="AO220" s="245"/>
      <c r="AP220" s="245"/>
      <c r="AQ220" s="245"/>
      <c r="AR220" s="245"/>
      <c r="AS220" s="245"/>
      <c r="AT220" s="245"/>
      <c r="AU220" s="245"/>
      <c r="AZ220" s="245"/>
      <c r="BA220" s="283"/>
      <c r="BB220" s="283"/>
      <c r="BC220" s="239"/>
      <c r="BD220" s="283"/>
      <c r="BE220" s="239"/>
      <c r="BF220" s="239"/>
      <c r="BG220" s="239"/>
      <c r="BJ220" s="245"/>
      <c r="BK220" s="245"/>
      <c r="BM220" s="245"/>
      <c r="BN220" s="245"/>
      <c r="BO220" s="245"/>
      <c r="BP220" s="245"/>
      <c r="BQ220" s="245"/>
    </row>
    <row r="221" spans="1:69" ht="13.5" hidden="1" customHeight="1" x14ac:dyDescent="0.2">
      <c r="A221" s="842"/>
      <c r="C221" s="569"/>
      <c r="D221" s="570"/>
      <c r="E221" s="571"/>
      <c r="G221" s="204"/>
      <c r="H221" s="204"/>
      <c r="I221" s="199"/>
      <c r="J221" s="205"/>
      <c r="L221" s="206"/>
      <c r="M221" s="201"/>
      <c r="N221" s="207"/>
      <c r="O221" s="220"/>
      <c r="P221" s="169"/>
      <c r="Q221" s="169"/>
      <c r="R221" s="169"/>
      <c r="S221" s="169"/>
      <c r="T221" s="209"/>
      <c r="U221" s="209"/>
      <c r="V221" s="209"/>
      <c r="W221" s="209"/>
      <c r="Y221" s="210"/>
      <c r="Z221" s="211"/>
      <c r="AA221" s="210"/>
      <c r="AB221" s="210"/>
      <c r="AC221" s="210"/>
      <c r="AD221" s="212"/>
      <c r="AE221" s="210"/>
      <c r="AF221" s="213"/>
      <c r="AG221" s="214"/>
      <c r="AH221" s="214"/>
      <c r="AI221" s="215"/>
      <c r="AJ221" s="214"/>
      <c r="AK221" s="214"/>
      <c r="AL221" s="215"/>
      <c r="AM221" s="216"/>
      <c r="AO221" s="245"/>
      <c r="AP221" s="245"/>
      <c r="AQ221" s="245"/>
      <c r="AR221" s="245"/>
      <c r="AS221" s="245"/>
      <c r="AT221" s="245"/>
      <c r="AU221" s="245"/>
      <c r="AV221" s="245"/>
      <c r="AW221" s="245"/>
      <c r="AX221" s="245"/>
      <c r="BA221" s="283"/>
      <c r="BB221" s="283"/>
      <c r="BC221" s="239"/>
      <c r="BD221" s="283"/>
      <c r="BE221" s="239"/>
      <c r="BF221" s="239"/>
      <c r="BG221" s="239"/>
      <c r="BJ221" s="245"/>
    </row>
    <row r="222" spans="1:69" ht="13.5" hidden="1" customHeight="1" x14ac:dyDescent="0.2">
      <c r="A222" s="842"/>
      <c r="C222" s="569"/>
      <c r="D222" s="570"/>
      <c r="E222" s="571"/>
      <c r="G222" s="204"/>
      <c r="H222" s="204"/>
      <c r="I222" s="199"/>
      <c r="J222" s="205"/>
      <c r="L222" s="206"/>
      <c r="M222" s="201"/>
      <c r="N222" s="207"/>
      <c r="O222" s="220"/>
      <c r="P222" s="169"/>
      <c r="Q222" s="169"/>
      <c r="R222" s="169"/>
      <c r="S222" s="169"/>
      <c r="T222" s="209"/>
      <c r="U222" s="209"/>
      <c r="Y222" s="210"/>
      <c r="Z222" s="211"/>
      <c r="AA222" s="210"/>
      <c r="AB222" s="210"/>
      <c r="AC222" s="210"/>
      <c r="AD222" s="212"/>
      <c r="AE222" s="210"/>
      <c r="AF222" s="213"/>
      <c r="AG222" s="214"/>
      <c r="AH222" s="214"/>
      <c r="AI222" s="215"/>
      <c r="AJ222" s="214"/>
      <c r="AK222" s="214"/>
      <c r="AL222" s="215"/>
      <c r="AM222" s="216"/>
      <c r="AO222" s="245"/>
      <c r="AP222" s="245"/>
      <c r="AQ222" s="245"/>
      <c r="AR222" s="245"/>
      <c r="AS222" s="245"/>
      <c r="AT222" s="245"/>
      <c r="AU222" s="245"/>
      <c r="AV222" s="245"/>
      <c r="AW222" s="245"/>
      <c r="AX222" s="245"/>
      <c r="AZ222" s="245"/>
      <c r="BA222" s="283"/>
      <c r="BB222" s="283"/>
      <c r="BC222" s="239"/>
      <c r="BD222" s="283"/>
      <c r="BE222" s="239"/>
      <c r="BF222" s="239"/>
      <c r="BG222" s="239"/>
      <c r="BJ222" s="245"/>
      <c r="BK222" s="245"/>
      <c r="BM222" s="245"/>
      <c r="BN222" s="245"/>
      <c r="BO222" s="245"/>
      <c r="BP222" s="245"/>
      <c r="BQ222" s="245"/>
    </row>
    <row r="223" spans="1:69" ht="21" hidden="1" customHeight="1" x14ac:dyDescent="0.2">
      <c r="A223" s="842"/>
      <c r="G223" s="576"/>
      <c r="H223" s="576"/>
      <c r="I223" s="567"/>
      <c r="K223" s="568"/>
      <c r="N223" s="223"/>
      <c r="O223" s="169"/>
      <c r="P223" s="169"/>
      <c r="Q223" s="169"/>
      <c r="R223" s="169"/>
      <c r="S223" s="169"/>
      <c r="T223" s="209"/>
      <c r="U223" s="209"/>
      <c r="V223" s="209"/>
      <c r="W223" s="209"/>
      <c r="Y223" s="229"/>
      <c r="Z223" s="230"/>
      <c r="AA223" s="231"/>
      <c r="AB223" s="231"/>
      <c r="AC223" s="231"/>
      <c r="AD223" s="232"/>
      <c r="AE223" s="231"/>
      <c r="AG223" s="233"/>
      <c r="AH223" s="233"/>
      <c r="AI223" s="234"/>
      <c r="AJ223" s="233"/>
      <c r="AK223" s="233"/>
      <c r="AL223" s="234"/>
      <c r="AM223" s="234"/>
      <c r="AO223" s="245"/>
      <c r="AP223" s="245"/>
      <c r="AQ223" s="245"/>
      <c r="AR223" s="245"/>
      <c r="AS223" s="245"/>
      <c r="AT223" s="245"/>
      <c r="AU223" s="245"/>
      <c r="AV223" s="245"/>
      <c r="AW223" s="245"/>
      <c r="AX223" s="245"/>
      <c r="AZ223" s="245"/>
      <c r="BA223" s="283"/>
      <c r="BB223" s="283"/>
      <c r="BC223" s="239"/>
      <c r="BD223" s="283"/>
      <c r="BE223" s="239"/>
      <c r="BF223" s="239"/>
      <c r="BG223" s="239"/>
      <c r="BJ223" s="245"/>
      <c r="BK223" s="245"/>
      <c r="BM223" s="245"/>
      <c r="BN223" s="245"/>
      <c r="BO223" s="245"/>
      <c r="BP223" s="245"/>
      <c r="BQ223" s="245"/>
    </row>
    <row r="224" spans="1:69" ht="13.5" hidden="1" customHeight="1" x14ac:dyDescent="0.2">
      <c r="A224" s="842"/>
      <c r="C224" s="569"/>
      <c r="D224" s="570"/>
      <c r="E224" s="571"/>
      <c r="G224" s="204"/>
      <c r="H224" s="204"/>
      <c r="I224" s="199"/>
      <c r="J224" s="205"/>
      <c r="L224" s="206"/>
      <c r="M224" s="201"/>
      <c r="N224" s="207"/>
      <c r="O224" s="208"/>
      <c r="P224" s="169"/>
      <c r="Q224" s="169"/>
      <c r="R224" s="169"/>
      <c r="S224" s="169"/>
      <c r="Y224" s="210"/>
      <c r="Z224" s="211"/>
      <c r="AA224" s="210"/>
      <c r="AB224" s="210"/>
      <c r="AC224" s="210"/>
      <c r="AD224" s="212"/>
      <c r="AE224" s="210"/>
      <c r="AG224" s="214"/>
      <c r="AH224" s="214"/>
      <c r="AI224" s="215"/>
      <c r="AJ224" s="214"/>
      <c r="AK224" s="214"/>
      <c r="AL224" s="215"/>
      <c r="AM224" s="216"/>
      <c r="AO224" s="245"/>
      <c r="AP224" s="245"/>
      <c r="AQ224" s="245"/>
      <c r="AR224" s="245"/>
      <c r="AS224" s="245"/>
      <c r="AT224" s="245"/>
      <c r="AU224" s="245"/>
      <c r="AV224" s="245"/>
      <c r="AW224" s="245"/>
      <c r="AX224" s="245"/>
      <c r="AZ224" s="245"/>
      <c r="BA224" s="283"/>
      <c r="BB224" s="283"/>
      <c r="BC224" s="239"/>
      <c r="BD224" s="283"/>
      <c r="BE224" s="239"/>
      <c r="BF224" s="239"/>
      <c r="BG224" s="239"/>
      <c r="BJ224" s="245"/>
      <c r="BK224" s="245"/>
      <c r="BM224" s="245"/>
      <c r="BN224" s="245"/>
      <c r="BO224" s="245"/>
      <c r="BP224" s="245"/>
      <c r="BQ224" s="245"/>
    </row>
    <row r="225" spans="1:69" ht="13.5" hidden="1" customHeight="1" x14ac:dyDescent="0.2">
      <c r="A225" s="842"/>
      <c r="C225" s="569"/>
      <c r="D225" s="570"/>
      <c r="E225" s="571"/>
      <c r="G225" s="204"/>
      <c r="H225" s="204"/>
      <c r="I225" s="199"/>
      <c r="J225" s="205"/>
      <c r="L225" s="206"/>
      <c r="M225" s="201"/>
      <c r="N225" s="207"/>
      <c r="O225" s="220"/>
      <c r="P225" s="169"/>
      <c r="Q225" s="169"/>
      <c r="R225" s="169"/>
      <c r="S225" s="169"/>
      <c r="Y225" s="210"/>
      <c r="Z225" s="211"/>
      <c r="AA225" s="210"/>
      <c r="AB225" s="210"/>
      <c r="AC225" s="210"/>
      <c r="AD225" s="212"/>
      <c r="AE225" s="210"/>
      <c r="AG225" s="214"/>
      <c r="AH225" s="214"/>
      <c r="AI225" s="215"/>
      <c r="AJ225" s="214"/>
      <c r="AK225" s="214"/>
      <c r="AL225" s="215"/>
      <c r="AM225" s="216"/>
      <c r="AO225" s="245"/>
      <c r="AP225" s="245"/>
      <c r="AQ225" s="245"/>
      <c r="AR225" s="245"/>
      <c r="AS225" s="245"/>
      <c r="AT225" s="245"/>
      <c r="AU225" s="245"/>
      <c r="AV225" s="245"/>
      <c r="AW225" s="245"/>
      <c r="AX225" s="245"/>
      <c r="AZ225" s="245"/>
      <c r="BA225" s="283"/>
      <c r="BB225" s="283"/>
      <c r="BC225" s="239"/>
      <c r="BD225" s="283"/>
      <c r="BE225" s="239"/>
      <c r="BF225" s="239"/>
      <c r="BG225" s="239"/>
      <c r="BJ225" s="245"/>
      <c r="BK225" s="245"/>
      <c r="BM225" s="245"/>
      <c r="BN225" s="245"/>
      <c r="BO225" s="245"/>
      <c r="BP225" s="245"/>
      <c r="BQ225" s="245"/>
    </row>
    <row r="226" spans="1:69" ht="13.5" hidden="1" customHeight="1" x14ac:dyDescent="0.2">
      <c r="A226" s="842"/>
      <c r="C226" s="569"/>
      <c r="D226" s="570"/>
      <c r="E226" s="571"/>
      <c r="G226" s="204"/>
      <c r="H226" s="204"/>
      <c r="I226" s="199"/>
      <c r="J226" s="205"/>
      <c r="L226" s="206"/>
      <c r="M226" s="201"/>
      <c r="N226" s="207"/>
      <c r="O226" s="220"/>
      <c r="P226" s="169"/>
      <c r="Q226" s="169"/>
      <c r="R226" s="169"/>
      <c r="S226" s="169"/>
      <c r="Y226" s="210"/>
      <c r="Z226" s="211"/>
      <c r="AA226" s="210"/>
      <c r="AB226" s="210"/>
      <c r="AC226" s="210"/>
      <c r="AD226" s="212"/>
      <c r="AE226" s="210"/>
      <c r="AG226" s="214"/>
      <c r="AH226" s="214"/>
      <c r="AI226" s="215"/>
      <c r="AJ226" s="214"/>
      <c r="AK226" s="214"/>
      <c r="AL226" s="215"/>
      <c r="AM226" s="216"/>
      <c r="AO226" s="245"/>
      <c r="AP226" s="245"/>
      <c r="AQ226" s="245"/>
      <c r="AR226" s="245"/>
      <c r="AS226" s="245"/>
      <c r="AT226" s="245"/>
      <c r="AU226" s="245"/>
      <c r="AV226" s="245"/>
      <c r="AW226" s="245"/>
      <c r="AX226" s="245"/>
      <c r="AZ226" s="245"/>
      <c r="BA226" s="283"/>
      <c r="BB226" s="283"/>
      <c r="BC226" s="239"/>
      <c r="BD226" s="283"/>
      <c r="BE226" s="239"/>
      <c r="BF226" s="239"/>
      <c r="BG226" s="239"/>
      <c r="BJ226" s="245"/>
      <c r="BK226" s="245"/>
      <c r="BM226" s="245"/>
      <c r="BN226" s="245"/>
      <c r="BO226" s="245"/>
      <c r="BP226" s="245"/>
      <c r="BQ226" s="245"/>
    </row>
    <row r="227" spans="1:69" ht="13.5" hidden="1" customHeight="1" x14ac:dyDescent="0.2">
      <c r="A227" s="842"/>
      <c r="C227" s="569"/>
      <c r="D227" s="570"/>
      <c r="E227" s="571"/>
      <c r="G227" s="204"/>
      <c r="H227" s="204"/>
      <c r="I227" s="199"/>
      <c r="J227" s="205"/>
      <c r="L227" s="206"/>
      <c r="M227" s="201"/>
      <c r="N227" s="207"/>
      <c r="O227" s="220"/>
      <c r="P227" s="169"/>
      <c r="Q227" s="169"/>
      <c r="R227" s="169"/>
      <c r="S227" s="169"/>
      <c r="Y227" s="210"/>
      <c r="Z227" s="211"/>
      <c r="AA227" s="210"/>
      <c r="AB227" s="210"/>
      <c r="AC227" s="210"/>
      <c r="AD227" s="212"/>
      <c r="AE227" s="210"/>
      <c r="AG227" s="214"/>
      <c r="AH227" s="214"/>
      <c r="AI227" s="215"/>
      <c r="AJ227" s="214"/>
      <c r="AK227" s="214"/>
      <c r="AL227" s="215"/>
      <c r="AM227" s="216"/>
      <c r="AO227" s="245"/>
      <c r="AP227" s="245"/>
      <c r="AQ227" s="245"/>
      <c r="AR227" s="245"/>
      <c r="AS227" s="245"/>
      <c r="AT227" s="245"/>
      <c r="AU227" s="245"/>
      <c r="AV227" s="245"/>
      <c r="AW227" s="245"/>
      <c r="AX227" s="245"/>
      <c r="AZ227" s="245"/>
      <c r="BA227" s="283"/>
      <c r="BB227" s="283"/>
      <c r="BC227" s="239"/>
      <c r="BD227" s="283"/>
      <c r="BE227" s="239"/>
      <c r="BF227" s="239"/>
      <c r="BG227" s="239"/>
      <c r="BJ227" s="245"/>
      <c r="BK227" s="245"/>
      <c r="BM227" s="245"/>
      <c r="BN227" s="245"/>
      <c r="BO227" s="245"/>
      <c r="BP227" s="245"/>
      <c r="BQ227" s="245"/>
    </row>
    <row r="228" spans="1:69" ht="21" hidden="1" customHeight="1" x14ac:dyDescent="0.2">
      <c r="A228" s="842"/>
      <c r="G228" s="576"/>
      <c r="H228" s="576"/>
      <c r="I228" s="567"/>
      <c r="K228" s="568"/>
      <c r="N228" s="169"/>
      <c r="O228" s="169"/>
      <c r="P228" s="169"/>
      <c r="Q228" s="169"/>
      <c r="R228" s="169"/>
      <c r="S228" s="169"/>
      <c r="Y228" s="229"/>
      <c r="Z228" s="230"/>
      <c r="AA228" s="231"/>
      <c r="AB228" s="231"/>
      <c r="AC228" s="231"/>
      <c r="AD228" s="232"/>
      <c r="AE228" s="231"/>
      <c r="AG228" s="233"/>
      <c r="AH228" s="233"/>
      <c r="AI228" s="234"/>
      <c r="AJ228" s="233"/>
      <c r="AK228" s="233"/>
      <c r="AL228" s="234"/>
      <c r="AM228" s="234"/>
      <c r="AO228" s="245"/>
      <c r="AP228" s="245"/>
      <c r="AQ228" s="245"/>
      <c r="AR228" s="245"/>
      <c r="AS228" s="245"/>
      <c r="AT228" s="245"/>
      <c r="AU228" s="245"/>
      <c r="AV228" s="245"/>
      <c r="AW228" s="245"/>
      <c r="AX228" s="245"/>
      <c r="AZ228" s="245"/>
      <c r="BA228" s="283"/>
      <c r="BB228" s="283"/>
      <c r="BC228" s="239"/>
      <c r="BD228" s="283"/>
      <c r="BE228" s="239"/>
      <c r="BF228" s="239"/>
      <c r="BG228" s="239"/>
      <c r="BJ228" s="245"/>
      <c r="BK228" s="245"/>
      <c r="BM228" s="245"/>
      <c r="BN228" s="245"/>
      <c r="BO228" s="245"/>
      <c r="BP228" s="245"/>
      <c r="BQ228" s="245"/>
    </row>
    <row r="229" spans="1:69" ht="13.5" hidden="1" customHeight="1" x14ac:dyDescent="0.2">
      <c r="A229" s="842"/>
      <c r="C229" s="569"/>
      <c r="D229" s="570"/>
      <c r="E229" s="571"/>
      <c r="G229" s="204"/>
      <c r="H229" s="204"/>
      <c r="I229" s="199"/>
      <c r="J229" s="205"/>
      <c r="L229" s="206"/>
      <c r="M229" s="201"/>
      <c r="N229" s="207"/>
      <c r="O229" s="208"/>
      <c r="P229" s="169"/>
      <c r="Q229" s="169"/>
      <c r="R229" s="169"/>
      <c r="S229" s="169"/>
      <c r="Y229" s="210"/>
      <c r="Z229" s="211"/>
      <c r="AA229" s="210"/>
      <c r="AB229" s="210"/>
      <c r="AC229" s="210"/>
      <c r="AD229" s="212"/>
      <c r="AE229" s="210"/>
      <c r="AG229" s="214"/>
      <c r="AH229" s="214"/>
      <c r="AI229" s="215"/>
      <c r="AJ229" s="214"/>
      <c r="AK229" s="214"/>
      <c r="AL229" s="215"/>
      <c r="AM229" s="216"/>
      <c r="AO229" s="245"/>
      <c r="AP229" s="245"/>
      <c r="AQ229" s="245"/>
      <c r="AR229" s="245"/>
      <c r="AS229" s="245"/>
      <c r="AT229" s="245"/>
      <c r="AU229" s="245"/>
      <c r="AV229" s="245"/>
      <c r="AW229" s="245"/>
      <c r="AX229" s="245"/>
      <c r="AZ229" s="245"/>
      <c r="BA229" s="283"/>
      <c r="BB229" s="283"/>
      <c r="BC229" s="239"/>
      <c r="BD229" s="283"/>
      <c r="BE229" s="239"/>
      <c r="BF229" s="239"/>
      <c r="BG229" s="239"/>
      <c r="BJ229" s="245"/>
      <c r="BK229" s="245"/>
      <c r="BM229" s="245"/>
      <c r="BN229" s="245"/>
      <c r="BO229" s="245"/>
      <c r="BP229" s="245"/>
      <c r="BQ229" s="245"/>
    </row>
    <row r="230" spans="1:69" ht="13.5" hidden="1" customHeight="1" x14ac:dyDescent="0.2">
      <c r="A230" s="842"/>
      <c r="C230" s="569"/>
      <c r="D230" s="570"/>
      <c r="E230" s="571"/>
      <c r="G230" s="204"/>
      <c r="H230" s="204"/>
      <c r="I230" s="199"/>
      <c r="J230" s="205"/>
      <c r="L230" s="206"/>
      <c r="M230" s="201"/>
      <c r="N230" s="207"/>
      <c r="O230" s="220"/>
      <c r="P230" s="169"/>
      <c r="Q230" s="169"/>
      <c r="R230" s="169"/>
      <c r="S230" s="169"/>
      <c r="Y230" s="210"/>
      <c r="Z230" s="211"/>
      <c r="AA230" s="210"/>
      <c r="AB230" s="210"/>
      <c r="AC230" s="210"/>
      <c r="AD230" s="212"/>
      <c r="AE230" s="210"/>
      <c r="AG230" s="214"/>
      <c r="AH230" s="214"/>
      <c r="AI230" s="215"/>
      <c r="AJ230" s="214"/>
      <c r="AK230" s="214"/>
      <c r="AL230" s="215"/>
      <c r="AM230" s="216"/>
      <c r="AO230" s="245"/>
      <c r="AP230" s="245"/>
      <c r="AQ230" s="245"/>
      <c r="AR230" s="245"/>
      <c r="AS230" s="245"/>
      <c r="AT230" s="245"/>
      <c r="AU230" s="245"/>
      <c r="AV230" s="245"/>
      <c r="AW230" s="245"/>
      <c r="AX230" s="245"/>
      <c r="AZ230" s="245"/>
      <c r="BA230" s="283"/>
      <c r="BB230" s="283"/>
      <c r="BC230" s="239"/>
      <c r="BD230" s="283"/>
      <c r="BE230" s="239"/>
      <c r="BF230" s="239"/>
      <c r="BG230" s="239"/>
      <c r="BJ230" s="245"/>
      <c r="BK230" s="245"/>
      <c r="BM230" s="245"/>
      <c r="BN230" s="245"/>
      <c r="BO230" s="245"/>
      <c r="BP230" s="245"/>
      <c r="BQ230" s="245"/>
    </row>
    <row r="231" spans="1:69" ht="13.5" hidden="1" customHeight="1" x14ac:dyDescent="0.2">
      <c r="A231" s="842"/>
      <c r="C231" s="569"/>
      <c r="D231" s="570"/>
      <c r="E231" s="571"/>
      <c r="G231" s="204"/>
      <c r="H231" s="204"/>
      <c r="I231" s="199"/>
      <c r="J231" s="205"/>
      <c r="L231" s="206"/>
      <c r="M231" s="201"/>
      <c r="N231" s="207"/>
      <c r="O231" s="220"/>
      <c r="P231" s="169"/>
      <c r="Q231" s="169"/>
      <c r="R231" s="169"/>
      <c r="S231" s="169"/>
      <c r="Y231" s="210"/>
      <c r="Z231" s="211"/>
      <c r="AA231" s="210"/>
      <c r="AB231" s="210"/>
      <c r="AC231" s="210"/>
      <c r="AD231" s="212"/>
      <c r="AE231" s="210"/>
      <c r="AG231" s="214"/>
      <c r="AH231" s="214"/>
      <c r="AI231" s="215"/>
      <c r="AJ231" s="214"/>
      <c r="AK231" s="214"/>
      <c r="AL231" s="215"/>
      <c r="AM231" s="216"/>
      <c r="AO231" s="245"/>
      <c r="AP231" s="245"/>
      <c r="AQ231" s="245"/>
      <c r="AR231" s="245"/>
      <c r="AS231" s="245"/>
      <c r="AT231" s="245"/>
      <c r="AU231" s="245"/>
      <c r="AV231" s="245"/>
      <c r="AW231" s="245"/>
      <c r="AX231" s="245"/>
      <c r="AZ231" s="245"/>
      <c r="BA231" s="283"/>
      <c r="BB231" s="283"/>
      <c r="BC231" s="239"/>
      <c r="BD231" s="283"/>
      <c r="BE231" s="239"/>
      <c r="BF231" s="239"/>
      <c r="BG231" s="239"/>
      <c r="BJ231" s="245"/>
      <c r="BK231" s="245"/>
      <c r="BM231" s="245"/>
      <c r="BN231" s="245"/>
      <c r="BO231" s="245"/>
      <c r="BP231" s="245"/>
      <c r="BQ231" s="245"/>
    </row>
    <row r="232" spans="1:69" ht="13.5" hidden="1" customHeight="1" x14ac:dyDescent="0.2">
      <c r="A232" s="842"/>
      <c r="C232" s="569"/>
      <c r="D232" s="570"/>
      <c r="E232" s="571"/>
      <c r="G232" s="204"/>
      <c r="H232" s="204"/>
      <c r="I232" s="199"/>
      <c r="J232" s="205"/>
      <c r="L232" s="206"/>
      <c r="M232" s="201"/>
      <c r="N232" s="207"/>
      <c r="O232" s="220"/>
      <c r="P232" s="169"/>
      <c r="Q232" s="169"/>
      <c r="R232" s="169"/>
      <c r="S232" s="169"/>
      <c r="Y232" s="210"/>
      <c r="Z232" s="211"/>
      <c r="AA232" s="210"/>
      <c r="AB232" s="210"/>
      <c r="AC232" s="210"/>
      <c r="AD232" s="212"/>
      <c r="AE232" s="210"/>
      <c r="AG232" s="214"/>
      <c r="AH232" s="214"/>
      <c r="AI232" s="215"/>
      <c r="AJ232" s="214"/>
      <c r="AK232" s="214"/>
      <c r="AL232" s="215"/>
      <c r="AM232" s="216"/>
      <c r="AO232" s="245"/>
      <c r="AP232" s="245"/>
      <c r="AQ232" s="245"/>
      <c r="AR232" s="245"/>
      <c r="AS232" s="245"/>
      <c r="AT232" s="245"/>
      <c r="AU232" s="245"/>
      <c r="AV232" s="245"/>
      <c r="AW232" s="245"/>
      <c r="AX232" s="245"/>
      <c r="AZ232" s="245"/>
      <c r="BA232" s="283"/>
      <c r="BB232" s="283"/>
      <c r="BC232" s="239"/>
      <c r="BD232" s="283"/>
      <c r="BE232" s="239"/>
      <c r="BF232" s="239"/>
      <c r="BG232" s="239"/>
      <c r="BJ232" s="245"/>
      <c r="BK232" s="245"/>
      <c r="BM232" s="245"/>
      <c r="BN232" s="245"/>
      <c r="BO232" s="245"/>
      <c r="BP232" s="245"/>
      <c r="BQ232" s="245"/>
    </row>
    <row r="233" spans="1:69" ht="13.5" hidden="1" customHeight="1" x14ac:dyDescent="0.2">
      <c r="A233" s="842"/>
      <c r="I233" s="169"/>
      <c r="J233" s="169"/>
      <c r="K233" s="169"/>
      <c r="L233" s="169"/>
      <c r="M233" s="169"/>
      <c r="N233" s="169"/>
      <c r="O233" s="169"/>
      <c r="P233" s="169"/>
      <c r="Q233" s="169"/>
      <c r="R233" s="169"/>
      <c r="S233" s="169"/>
      <c r="Y233" s="229"/>
      <c r="Z233" s="230"/>
      <c r="AG233" s="233"/>
      <c r="AH233" s="233"/>
      <c r="AI233" s="234"/>
      <c r="AJ233" s="233"/>
      <c r="AK233" s="233"/>
      <c r="AL233" s="234"/>
      <c r="AM233" s="234"/>
      <c r="AO233" s="245"/>
      <c r="AP233" s="245"/>
      <c r="AQ233" s="245"/>
      <c r="AR233" s="245"/>
      <c r="AS233" s="245"/>
      <c r="AT233" s="245"/>
      <c r="AU233" s="245"/>
      <c r="AV233" s="245"/>
      <c r="AW233" s="245"/>
      <c r="AX233" s="245"/>
      <c r="AZ233" s="245"/>
      <c r="BA233" s="283"/>
      <c r="BB233" s="283"/>
      <c r="BC233" s="239"/>
      <c r="BD233" s="283"/>
      <c r="BE233" s="239"/>
      <c r="BF233" s="239"/>
      <c r="BG233" s="239"/>
      <c r="BJ233" s="245"/>
      <c r="BK233" s="245"/>
      <c r="BM233" s="245"/>
      <c r="BN233" s="245"/>
      <c r="BO233" s="245"/>
      <c r="BP233" s="245"/>
      <c r="BQ233" s="245"/>
    </row>
    <row r="234" spans="1:69" ht="13.5" hidden="1" customHeight="1" x14ac:dyDescent="0.2">
      <c r="A234" s="842"/>
      <c r="I234" s="170"/>
      <c r="J234" s="171"/>
      <c r="K234" s="171"/>
      <c r="L234" s="171"/>
      <c r="M234" s="170"/>
      <c r="N234" s="172"/>
      <c r="Y234" s="229"/>
      <c r="Z234" s="230"/>
      <c r="AA234" s="231"/>
      <c r="AB234" s="231"/>
      <c r="AC234" s="231"/>
      <c r="AD234" s="232"/>
      <c r="AE234" s="231"/>
      <c r="AG234" s="233"/>
      <c r="AH234" s="233"/>
      <c r="AI234" s="234"/>
      <c r="AJ234" s="233"/>
      <c r="AK234" s="233"/>
      <c r="AL234" s="234"/>
      <c r="AM234" s="234"/>
      <c r="AO234" s="245"/>
      <c r="AP234" s="245"/>
      <c r="AQ234" s="245"/>
      <c r="AR234" s="245"/>
      <c r="AS234" s="245"/>
      <c r="AT234" s="245"/>
      <c r="AU234" s="245"/>
      <c r="AZ234" s="245"/>
      <c r="BA234" s="283"/>
      <c r="BB234" s="283"/>
      <c r="BC234" s="239"/>
      <c r="BD234" s="283"/>
      <c r="BE234" s="239"/>
      <c r="BF234" s="239"/>
      <c r="BG234" s="239"/>
      <c r="BJ234" s="245"/>
      <c r="BK234" s="245"/>
      <c r="BM234" s="245"/>
      <c r="BN234" s="245"/>
      <c r="BO234" s="245"/>
      <c r="BP234" s="245"/>
      <c r="BQ234" s="245"/>
    </row>
    <row r="235" spans="1:69" ht="13.5" hidden="1" customHeight="1" x14ac:dyDescent="0.2">
      <c r="A235" s="842"/>
      <c r="B235" s="309"/>
      <c r="C235" s="309"/>
      <c r="D235" s="544"/>
      <c r="E235" s="544"/>
      <c r="F235" s="544"/>
      <c r="G235" s="544"/>
      <c r="H235" s="544"/>
      <c r="I235" s="844"/>
      <c r="J235" s="844"/>
      <c r="K235" s="844"/>
      <c r="L235" s="844"/>
      <c r="M235" s="564"/>
      <c r="N235" s="565"/>
      <c r="O235" s="566"/>
      <c r="P235" s="169"/>
      <c r="Q235" s="169"/>
      <c r="R235" s="169"/>
      <c r="S235" s="169"/>
      <c r="AA235" s="231"/>
      <c r="AP235" s="245"/>
      <c r="AQ235" s="245"/>
      <c r="AR235" s="245"/>
      <c r="AS235" s="245"/>
      <c r="AU235" s="243"/>
      <c r="AZ235" s="245"/>
      <c r="BA235" s="283"/>
      <c r="BB235" s="283"/>
      <c r="BC235" s="239"/>
      <c r="BD235" s="283"/>
      <c r="BE235" s="239"/>
      <c r="BF235" s="239"/>
      <c r="BG235" s="239"/>
      <c r="BJ235" s="245"/>
      <c r="BK235" s="245"/>
      <c r="BM235" s="245"/>
      <c r="BN235" s="245"/>
      <c r="BO235" s="245"/>
      <c r="BP235" s="245"/>
      <c r="BQ235" s="245"/>
    </row>
    <row r="236" spans="1:69" ht="21" hidden="1" customHeight="1" x14ac:dyDescent="0.2">
      <c r="A236" s="842"/>
      <c r="I236" s="567"/>
      <c r="K236" s="568"/>
      <c r="O236" s="169"/>
      <c r="P236" s="169"/>
      <c r="Q236" s="169"/>
      <c r="R236" s="169"/>
      <c r="S236" s="169"/>
      <c r="AA236" s="231"/>
      <c r="AO236" s="245"/>
      <c r="AP236" s="245"/>
      <c r="AQ236" s="245"/>
      <c r="AR236" s="245"/>
      <c r="AS236" s="245"/>
      <c r="AT236" s="245"/>
      <c r="AU236" s="245"/>
      <c r="AZ236" s="245"/>
      <c r="BA236" s="283"/>
      <c r="BB236" s="283"/>
      <c r="BC236" s="239"/>
      <c r="BD236" s="283"/>
      <c r="BE236" s="239"/>
      <c r="BF236" s="239"/>
      <c r="BG236" s="239"/>
      <c r="BJ236" s="245"/>
      <c r="BK236" s="245"/>
      <c r="BM236" s="245"/>
      <c r="BN236" s="245"/>
      <c r="BO236" s="245"/>
      <c r="BP236" s="245"/>
      <c r="BQ236" s="245"/>
    </row>
    <row r="237" spans="1:69" ht="13.5" hidden="1" customHeight="1" x14ac:dyDescent="0.2">
      <c r="A237" s="842"/>
      <c r="C237" s="569"/>
      <c r="D237" s="570"/>
      <c r="E237" s="571"/>
      <c r="G237" s="204"/>
      <c r="H237" s="204"/>
      <c r="I237" s="199"/>
      <c r="J237" s="205"/>
      <c r="L237" s="206"/>
      <c r="M237" s="201"/>
      <c r="N237" s="207"/>
      <c r="O237" s="208"/>
      <c r="P237" s="169"/>
      <c r="Q237" s="169"/>
      <c r="R237" s="169"/>
      <c r="S237" s="169"/>
      <c r="T237" s="209"/>
      <c r="U237" s="209"/>
      <c r="V237" s="209"/>
      <c r="W237" s="209"/>
      <c r="Y237" s="210"/>
      <c r="Z237" s="211"/>
      <c r="AA237" s="210"/>
      <c r="AB237" s="210"/>
      <c r="AC237" s="210"/>
      <c r="AD237" s="212"/>
      <c r="AE237" s="210"/>
      <c r="AF237" s="213"/>
      <c r="AG237" s="214"/>
      <c r="AH237" s="214"/>
      <c r="AI237" s="215"/>
      <c r="AJ237" s="214"/>
      <c r="AK237" s="214"/>
      <c r="AL237" s="215"/>
      <c r="AM237" s="216"/>
      <c r="AO237" s="245"/>
      <c r="AP237" s="245"/>
      <c r="AQ237" s="245"/>
      <c r="AR237" s="245"/>
      <c r="AS237" s="245"/>
      <c r="AT237" s="245"/>
      <c r="AU237" s="245"/>
      <c r="AZ237" s="245"/>
      <c r="BA237" s="283"/>
      <c r="BB237" s="283"/>
      <c r="BC237" s="239"/>
      <c r="BD237" s="283"/>
      <c r="BE237" s="239"/>
      <c r="BF237" s="239"/>
      <c r="BG237" s="239"/>
      <c r="BJ237" s="245"/>
      <c r="BK237" s="245"/>
      <c r="BM237" s="245"/>
      <c r="BN237" s="245"/>
      <c r="BO237" s="245"/>
      <c r="BP237" s="245"/>
      <c r="BQ237" s="245"/>
    </row>
    <row r="238" spans="1:69" ht="13.5" hidden="1" customHeight="1" x14ac:dyDescent="0.2">
      <c r="A238" s="842"/>
      <c r="C238" s="569"/>
      <c r="D238" s="570"/>
      <c r="E238" s="571"/>
      <c r="G238" s="204"/>
      <c r="H238" s="204"/>
      <c r="I238" s="199"/>
      <c r="J238" s="205"/>
      <c r="L238" s="206"/>
      <c r="M238" s="201"/>
      <c r="N238" s="207"/>
      <c r="O238" s="220"/>
      <c r="P238" s="169"/>
      <c r="Q238" s="169"/>
      <c r="R238" s="169"/>
      <c r="S238" s="169"/>
      <c r="T238" s="209"/>
      <c r="U238" s="209"/>
      <c r="V238" s="209"/>
      <c r="W238" s="209"/>
      <c r="Y238" s="210"/>
      <c r="Z238" s="211"/>
      <c r="AA238" s="210"/>
      <c r="AB238" s="210"/>
      <c r="AC238" s="210"/>
      <c r="AD238" s="212"/>
      <c r="AE238" s="210"/>
      <c r="AF238" s="213"/>
      <c r="AG238" s="214"/>
      <c r="AH238" s="214"/>
      <c r="AI238" s="215"/>
      <c r="AJ238" s="214"/>
      <c r="AK238" s="214"/>
      <c r="AL238" s="215"/>
      <c r="AM238" s="216"/>
      <c r="AO238" s="245"/>
      <c r="AP238" s="245"/>
      <c r="AQ238" s="245"/>
      <c r="AR238" s="245"/>
      <c r="AS238" s="245"/>
      <c r="AT238" s="245"/>
      <c r="AU238" s="245"/>
      <c r="AZ238" s="245"/>
      <c r="BA238" s="283"/>
      <c r="BB238" s="283"/>
      <c r="BC238" s="239"/>
      <c r="BD238" s="283"/>
      <c r="BE238" s="239"/>
      <c r="BF238" s="239"/>
      <c r="BG238" s="239"/>
      <c r="BJ238" s="245"/>
      <c r="BK238" s="245"/>
      <c r="BM238" s="245"/>
      <c r="BN238" s="245"/>
      <c r="BO238" s="245"/>
      <c r="BP238" s="245"/>
      <c r="BQ238" s="245"/>
    </row>
    <row r="239" spans="1:69" ht="13.5" hidden="1" customHeight="1" x14ac:dyDescent="0.2">
      <c r="A239" s="842"/>
      <c r="C239" s="569"/>
      <c r="D239" s="570"/>
      <c r="E239" s="571"/>
      <c r="G239" s="204"/>
      <c r="H239" s="204"/>
      <c r="I239" s="199"/>
      <c r="J239" s="205"/>
      <c r="L239" s="206"/>
      <c r="M239" s="201"/>
      <c r="N239" s="207"/>
      <c r="O239" s="220"/>
      <c r="P239" s="169"/>
      <c r="Q239" s="169"/>
      <c r="R239" s="169"/>
      <c r="S239" s="169"/>
      <c r="T239" s="209"/>
      <c r="U239" s="209"/>
      <c r="V239" s="209"/>
      <c r="W239" s="209"/>
      <c r="Y239" s="210"/>
      <c r="Z239" s="211"/>
      <c r="AA239" s="210"/>
      <c r="AB239" s="210"/>
      <c r="AC239" s="210"/>
      <c r="AD239" s="212"/>
      <c r="AE239" s="210"/>
      <c r="AF239" s="213"/>
      <c r="AG239" s="214"/>
      <c r="AH239" s="214"/>
      <c r="AI239" s="215"/>
      <c r="AJ239" s="214"/>
      <c r="AK239" s="214"/>
      <c r="AL239" s="215"/>
      <c r="AM239" s="216"/>
      <c r="AO239" s="245"/>
      <c r="AP239" s="245"/>
      <c r="AQ239" s="245"/>
      <c r="AR239" s="245"/>
      <c r="AS239" s="245"/>
      <c r="AT239" s="245"/>
      <c r="AU239" s="245"/>
      <c r="AV239" s="245"/>
      <c r="AW239" s="245"/>
      <c r="AX239" s="245"/>
      <c r="BA239" s="283"/>
      <c r="BB239" s="283"/>
      <c r="BC239" s="239"/>
      <c r="BD239" s="283"/>
      <c r="BE239" s="239"/>
      <c r="BF239" s="239"/>
      <c r="BG239" s="239"/>
      <c r="BJ239" s="245"/>
    </row>
    <row r="240" spans="1:69" ht="13.5" hidden="1" customHeight="1" x14ac:dyDescent="0.2">
      <c r="A240" s="842"/>
      <c r="C240" s="569"/>
      <c r="D240" s="570"/>
      <c r="E240" s="571"/>
      <c r="G240" s="204"/>
      <c r="H240" s="204"/>
      <c r="I240" s="199"/>
      <c r="J240" s="205"/>
      <c r="L240" s="206"/>
      <c r="M240" s="201"/>
      <c r="N240" s="207"/>
      <c r="O240" s="220"/>
      <c r="P240" s="169"/>
      <c r="Q240" s="169"/>
      <c r="R240" s="169"/>
      <c r="S240" s="169"/>
      <c r="T240" s="209"/>
      <c r="U240" s="209"/>
      <c r="Y240" s="210"/>
      <c r="Z240" s="211"/>
      <c r="AA240" s="210"/>
      <c r="AB240" s="210"/>
      <c r="AC240" s="210"/>
      <c r="AD240" s="212"/>
      <c r="AE240" s="210"/>
      <c r="AF240" s="213"/>
      <c r="AG240" s="214"/>
      <c r="AH240" s="214"/>
      <c r="AI240" s="215"/>
      <c r="AJ240" s="214"/>
      <c r="AK240" s="214"/>
      <c r="AL240" s="215"/>
      <c r="AM240" s="216"/>
      <c r="AO240" s="245"/>
      <c r="AP240" s="245"/>
      <c r="AQ240" s="245"/>
      <c r="AR240" s="245"/>
      <c r="AS240" s="245"/>
      <c r="AT240" s="245"/>
      <c r="AU240" s="245"/>
      <c r="AV240" s="245"/>
      <c r="AW240" s="245"/>
      <c r="AX240" s="245"/>
      <c r="AZ240" s="245"/>
      <c r="BA240" s="283"/>
      <c r="BB240" s="283"/>
      <c r="BC240" s="239"/>
      <c r="BD240" s="283"/>
      <c r="BE240" s="239"/>
      <c r="BF240" s="239"/>
      <c r="BG240" s="239"/>
      <c r="BJ240" s="245"/>
      <c r="BK240" s="245"/>
      <c r="BM240" s="245"/>
      <c r="BN240" s="245"/>
      <c r="BO240" s="245"/>
      <c r="BP240" s="245"/>
      <c r="BQ240" s="245"/>
    </row>
    <row r="241" spans="1:69" ht="21" hidden="1" customHeight="1" x14ac:dyDescent="0.2">
      <c r="A241" s="842"/>
      <c r="G241" s="576"/>
      <c r="H241" s="576"/>
      <c r="I241" s="567"/>
      <c r="K241" s="568"/>
      <c r="N241" s="223"/>
      <c r="O241" s="169"/>
      <c r="P241" s="169"/>
      <c r="Q241" s="169"/>
      <c r="R241" s="169"/>
      <c r="S241" s="169"/>
      <c r="T241" s="209"/>
      <c r="U241" s="209"/>
      <c r="V241" s="209"/>
      <c r="W241" s="209"/>
      <c r="Y241" s="229"/>
      <c r="Z241" s="230"/>
      <c r="AA241" s="231"/>
      <c r="AB241" s="231"/>
      <c r="AC241" s="231"/>
      <c r="AD241" s="232"/>
      <c r="AE241" s="231"/>
      <c r="AG241" s="233"/>
      <c r="AH241" s="233"/>
      <c r="AI241" s="234"/>
      <c r="AJ241" s="233"/>
      <c r="AK241" s="233"/>
      <c r="AL241" s="234"/>
      <c r="AM241" s="234"/>
      <c r="AO241" s="245"/>
      <c r="AP241" s="245"/>
      <c r="AQ241" s="245"/>
      <c r="AR241" s="245"/>
      <c r="AS241" s="245"/>
      <c r="AT241" s="245"/>
      <c r="AU241" s="245"/>
      <c r="AV241" s="245"/>
      <c r="AW241" s="245"/>
      <c r="AX241" s="245"/>
      <c r="AZ241" s="245"/>
      <c r="BA241" s="283"/>
      <c r="BB241" s="283"/>
      <c r="BC241" s="239"/>
      <c r="BD241" s="283"/>
      <c r="BE241" s="239"/>
      <c r="BF241" s="239"/>
      <c r="BG241" s="239"/>
      <c r="BJ241" s="245"/>
      <c r="BK241" s="245"/>
      <c r="BM241" s="245"/>
      <c r="BN241" s="245"/>
      <c r="BO241" s="245"/>
      <c r="BP241" s="245"/>
      <c r="BQ241" s="245"/>
    </row>
    <row r="242" spans="1:69" ht="13.5" hidden="1" customHeight="1" x14ac:dyDescent="0.2">
      <c r="A242" s="842"/>
      <c r="C242" s="569"/>
      <c r="D242" s="570"/>
      <c r="E242" s="571"/>
      <c r="G242" s="204"/>
      <c r="H242" s="204"/>
      <c r="I242" s="199"/>
      <c r="J242" s="205"/>
      <c r="L242" s="206"/>
      <c r="M242" s="201"/>
      <c r="N242" s="207"/>
      <c r="O242" s="208"/>
      <c r="P242" s="169"/>
      <c r="Q242" s="169"/>
      <c r="R242" s="169"/>
      <c r="S242" s="169"/>
      <c r="Y242" s="210"/>
      <c r="Z242" s="211"/>
      <c r="AA242" s="210"/>
      <c r="AB242" s="210"/>
      <c r="AC242" s="210"/>
      <c r="AD242" s="212"/>
      <c r="AE242" s="210"/>
      <c r="AG242" s="214"/>
      <c r="AH242" s="214"/>
      <c r="AI242" s="215"/>
      <c r="AJ242" s="214"/>
      <c r="AK242" s="214"/>
      <c r="AL242" s="215"/>
      <c r="AM242" s="216"/>
      <c r="AO242" s="245"/>
      <c r="AP242" s="245"/>
      <c r="AQ242" s="245"/>
      <c r="AR242" s="245"/>
      <c r="AS242" s="245"/>
      <c r="AT242" s="245"/>
      <c r="AU242" s="245"/>
      <c r="AV242" s="245"/>
      <c r="AW242" s="245"/>
      <c r="AX242" s="245"/>
      <c r="AZ242" s="245"/>
      <c r="BA242" s="283"/>
      <c r="BB242" s="283"/>
      <c r="BC242" s="239"/>
      <c r="BD242" s="283"/>
      <c r="BE242" s="239"/>
      <c r="BF242" s="239"/>
      <c r="BG242" s="239"/>
      <c r="BJ242" s="245"/>
      <c r="BK242" s="245"/>
      <c r="BM242" s="245"/>
      <c r="BN242" s="245"/>
      <c r="BO242" s="245"/>
      <c r="BP242" s="245"/>
      <c r="BQ242" s="245"/>
    </row>
    <row r="243" spans="1:69" ht="13.5" hidden="1" customHeight="1" x14ac:dyDescent="0.2">
      <c r="A243" s="842"/>
      <c r="C243" s="569"/>
      <c r="D243" s="570"/>
      <c r="E243" s="571"/>
      <c r="G243" s="204"/>
      <c r="H243" s="204"/>
      <c r="I243" s="199"/>
      <c r="J243" s="205"/>
      <c r="L243" s="206"/>
      <c r="M243" s="201"/>
      <c r="N243" s="207"/>
      <c r="O243" s="220"/>
      <c r="P243" s="169"/>
      <c r="Q243" s="169"/>
      <c r="R243" s="169"/>
      <c r="S243" s="169"/>
      <c r="Y243" s="210"/>
      <c r="Z243" s="211"/>
      <c r="AA243" s="210"/>
      <c r="AB243" s="210"/>
      <c r="AC243" s="210"/>
      <c r="AD243" s="212"/>
      <c r="AE243" s="210"/>
      <c r="AG243" s="214"/>
      <c r="AH243" s="214"/>
      <c r="AI243" s="215"/>
      <c r="AJ243" s="214"/>
      <c r="AK243" s="214"/>
      <c r="AL243" s="215"/>
      <c r="AM243" s="216"/>
      <c r="AO243" s="245"/>
      <c r="AP243" s="245"/>
      <c r="AQ243" s="245"/>
      <c r="AR243" s="245"/>
      <c r="AS243" s="245"/>
      <c r="AT243" s="245"/>
      <c r="AU243" s="245"/>
      <c r="AV243" s="245"/>
      <c r="AW243" s="245"/>
      <c r="AX243" s="245"/>
      <c r="AZ243" s="245"/>
      <c r="BA243" s="283"/>
      <c r="BB243" s="283"/>
      <c r="BC243" s="239"/>
      <c r="BD243" s="283"/>
      <c r="BE243" s="239"/>
      <c r="BF243" s="239"/>
      <c r="BG243" s="239"/>
      <c r="BJ243" s="245"/>
      <c r="BK243" s="245"/>
      <c r="BM243" s="245"/>
      <c r="BN243" s="245"/>
      <c r="BO243" s="245"/>
      <c r="BP243" s="245"/>
      <c r="BQ243" s="245"/>
    </row>
    <row r="244" spans="1:69" ht="13.5" hidden="1" customHeight="1" x14ac:dyDescent="0.2">
      <c r="A244" s="842"/>
      <c r="C244" s="569"/>
      <c r="D244" s="570"/>
      <c r="E244" s="571"/>
      <c r="G244" s="204"/>
      <c r="H244" s="204"/>
      <c r="I244" s="199"/>
      <c r="J244" s="205"/>
      <c r="L244" s="206"/>
      <c r="M244" s="201"/>
      <c r="N244" s="207"/>
      <c r="O244" s="220"/>
      <c r="P244" s="169"/>
      <c r="Q244" s="169"/>
      <c r="R244" s="169"/>
      <c r="S244" s="169"/>
      <c r="Y244" s="210"/>
      <c r="Z244" s="211"/>
      <c r="AA244" s="210"/>
      <c r="AB244" s="210"/>
      <c r="AC244" s="210"/>
      <c r="AD244" s="212"/>
      <c r="AE244" s="210"/>
      <c r="AG244" s="214"/>
      <c r="AH244" s="214"/>
      <c r="AI244" s="215"/>
      <c r="AJ244" s="214"/>
      <c r="AK244" s="214"/>
      <c r="AL244" s="215"/>
      <c r="AM244" s="216"/>
      <c r="AO244" s="245"/>
      <c r="AP244" s="245"/>
      <c r="AQ244" s="245"/>
      <c r="AR244" s="245"/>
      <c r="AS244" s="245"/>
      <c r="AT244" s="245"/>
      <c r="AU244" s="245"/>
      <c r="AV244" s="245"/>
      <c r="AW244" s="245"/>
      <c r="AX244" s="245"/>
      <c r="AZ244" s="245"/>
      <c r="BA244" s="283"/>
      <c r="BB244" s="283"/>
      <c r="BC244" s="239"/>
      <c r="BD244" s="283"/>
      <c r="BE244" s="239"/>
      <c r="BF244" s="239"/>
      <c r="BG244" s="239"/>
      <c r="BJ244" s="245"/>
      <c r="BK244" s="245"/>
      <c r="BM244" s="245"/>
      <c r="BN244" s="245"/>
      <c r="BO244" s="245"/>
      <c r="BP244" s="245"/>
      <c r="BQ244" s="245"/>
    </row>
    <row r="245" spans="1:69" ht="13.5" hidden="1" customHeight="1" x14ac:dyDescent="0.2">
      <c r="A245" s="842"/>
      <c r="C245" s="569"/>
      <c r="D245" s="570"/>
      <c r="E245" s="571"/>
      <c r="G245" s="204"/>
      <c r="H245" s="204"/>
      <c r="I245" s="199"/>
      <c r="J245" s="205"/>
      <c r="L245" s="206"/>
      <c r="M245" s="201"/>
      <c r="N245" s="207"/>
      <c r="O245" s="220"/>
      <c r="P245" s="169"/>
      <c r="Q245" s="169"/>
      <c r="R245" s="169"/>
      <c r="S245" s="169"/>
      <c r="Y245" s="210"/>
      <c r="Z245" s="211"/>
      <c r="AA245" s="210"/>
      <c r="AB245" s="210"/>
      <c r="AC245" s="210"/>
      <c r="AD245" s="212"/>
      <c r="AE245" s="210"/>
      <c r="AG245" s="214"/>
      <c r="AH245" s="214"/>
      <c r="AI245" s="215"/>
      <c r="AJ245" s="214"/>
      <c r="AK245" s="214"/>
      <c r="AL245" s="215"/>
      <c r="AM245" s="216"/>
      <c r="AO245" s="245"/>
      <c r="AP245" s="245"/>
      <c r="AQ245" s="245"/>
      <c r="AR245" s="245"/>
      <c r="AS245" s="245"/>
      <c r="AT245" s="245"/>
      <c r="AU245" s="245"/>
      <c r="AV245" s="245"/>
      <c r="AW245" s="245"/>
      <c r="AX245" s="245"/>
      <c r="AZ245" s="245"/>
      <c r="BA245" s="283"/>
      <c r="BB245" s="283"/>
      <c r="BC245" s="239"/>
      <c r="BD245" s="283"/>
      <c r="BE245" s="239"/>
      <c r="BF245" s="239"/>
      <c r="BG245" s="239"/>
      <c r="BJ245" s="245"/>
      <c r="BK245" s="245"/>
      <c r="BM245" s="245"/>
      <c r="BN245" s="245"/>
      <c r="BO245" s="245"/>
      <c r="BP245" s="245"/>
      <c r="BQ245" s="245"/>
    </row>
    <row r="246" spans="1:69" ht="21" hidden="1" customHeight="1" x14ac:dyDescent="0.2">
      <c r="A246" s="842"/>
      <c r="G246" s="576"/>
      <c r="H246" s="576"/>
      <c r="I246" s="567"/>
      <c r="K246" s="568"/>
      <c r="N246" s="169"/>
      <c r="O246" s="169"/>
      <c r="P246" s="169"/>
      <c r="Q246" s="169"/>
      <c r="R246" s="169"/>
      <c r="S246" s="169"/>
      <c r="Y246" s="229"/>
      <c r="Z246" s="230"/>
      <c r="AA246" s="231"/>
      <c r="AB246" s="231"/>
      <c r="AC246" s="231"/>
      <c r="AD246" s="232"/>
      <c r="AE246" s="231"/>
      <c r="AG246" s="233"/>
      <c r="AH246" s="233"/>
      <c r="AI246" s="234"/>
      <c r="AJ246" s="233"/>
      <c r="AK246" s="233"/>
      <c r="AL246" s="234"/>
      <c r="AM246" s="234"/>
      <c r="AO246" s="245"/>
      <c r="AP246" s="245"/>
      <c r="AQ246" s="245"/>
      <c r="AR246" s="245"/>
      <c r="AS246" s="245"/>
      <c r="AT246" s="245"/>
      <c r="AU246" s="245"/>
      <c r="AV246" s="245"/>
      <c r="AW246" s="245"/>
      <c r="AX246" s="245"/>
      <c r="AZ246" s="245"/>
      <c r="BA246" s="283"/>
      <c r="BB246" s="283"/>
      <c r="BC246" s="239"/>
      <c r="BD246" s="283"/>
      <c r="BE246" s="239"/>
      <c r="BF246" s="239"/>
      <c r="BG246" s="239"/>
      <c r="BJ246" s="245"/>
      <c r="BK246" s="245"/>
      <c r="BM246" s="245"/>
      <c r="BN246" s="245"/>
      <c r="BO246" s="245"/>
      <c r="BP246" s="245"/>
      <c r="BQ246" s="245"/>
    </row>
    <row r="247" spans="1:69" ht="13.5" hidden="1" customHeight="1" x14ac:dyDescent="0.2">
      <c r="A247" s="842"/>
      <c r="C247" s="569"/>
      <c r="D247" s="570"/>
      <c r="E247" s="571"/>
      <c r="G247" s="204"/>
      <c r="H247" s="204"/>
      <c r="I247" s="199"/>
      <c r="J247" s="205"/>
      <c r="L247" s="206"/>
      <c r="M247" s="201"/>
      <c r="N247" s="207"/>
      <c r="O247" s="208"/>
      <c r="P247" s="169"/>
      <c r="Q247" s="169"/>
      <c r="R247" s="169"/>
      <c r="S247" s="169"/>
      <c r="Y247" s="210"/>
      <c r="Z247" s="211"/>
      <c r="AA247" s="210"/>
      <c r="AB247" s="210"/>
      <c r="AC247" s="210"/>
      <c r="AD247" s="212"/>
      <c r="AE247" s="210"/>
      <c r="AG247" s="214"/>
      <c r="AH247" s="214"/>
      <c r="AI247" s="215"/>
      <c r="AJ247" s="214"/>
      <c r="AK247" s="214"/>
      <c r="AL247" s="215"/>
      <c r="AM247" s="216"/>
      <c r="AO247" s="245"/>
      <c r="AP247" s="245"/>
      <c r="AQ247" s="245"/>
      <c r="AR247" s="245"/>
      <c r="AS247" s="245"/>
      <c r="AT247" s="245"/>
      <c r="AU247" s="245"/>
      <c r="AV247" s="245"/>
      <c r="AW247" s="245"/>
      <c r="AX247" s="245"/>
      <c r="AZ247" s="245"/>
      <c r="BA247" s="283"/>
      <c r="BB247" s="283"/>
      <c r="BC247" s="239"/>
      <c r="BD247" s="283"/>
      <c r="BE247" s="239"/>
      <c r="BF247" s="239"/>
      <c r="BG247" s="239"/>
      <c r="BJ247" s="245"/>
      <c r="BK247" s="245"/>
      <c r="BM247" s="245"/>
      <c r="BN247" s="245"/>
      <c r="BO247" s="245"/>
      <c r="BP247" s="245"/>
      <c r="BQ247" s="245"/>
    </row>
    <row r="248" spans="1:69" ht="13.5" hidden="1" customHeight="1" x14ac:dyDescent="0.2">
      <c r="A248" s="842"/>
      <c r="C248" s="569"/>
      <c r="D248" s="570"/>
      <c r="E248" s="571"/>
      <c r="G248" s="204"/>
      <c r="H248" s="204"/>
      <c r="I248" s="199"/>
      <c r="J248" s="205"/>
      <c r="L248" s="206"/>
      <c r="M248" s="201"/>
      <c r="N248" s="207"/>
      <c r="O248" s="220"/>
      <c r="P248" s="169"/>
      <c r="Q248" s="169"/>
      <c r="R248" s="169"/>
      <c r="S248" s="169"/>
      <c r="Y248" s="210"/>
      <c r="Z248" s="211"/>
      <c r="AA248" s="210"/>
      <c r="AB248" s="210"/>
      <c r="AC248" s="210"/>
      <c r="AD248" s="212"/>
      <c r="AE248" s="210"/>
      <c r="AG248" s="214"/>
      <c r="AH248" s="214"/>
      <c r="AI248" s="215"/>
      <c r="AJ248" s="214"/>
      <c r="AK248" s="214"/>
      <c r="AL248" s="215"/>
      <c r="AM248" s="216"/>
      <c r="AO248" s="245"/>
      <c r="AP248" s="245"/>
      <c r="AQ248" s="245"/>
      <c r="AR248" s="245"/>
      <c r="AS248" s="245"/>
      <c r="AT248" s="245"/>
      <c r="AU248" s="245"/>
      <c r="AV248" s="245"/>
      <c r="AW248" s="245"/>
      <c r="AX248" s="245"/>
      <c r="AZ248" s="245"/>
      <c r="BA248" s="283"/>
      <c r="BB248" s="283"/>
      <c r="BC248" s="239"/>
      <c r="BD248" s="283"/>
      <c r="BE248" s="239"/>
      <c r="BF248" s="239"/>
      <c r="BG248" s="239"/>
      <c r="BJ248" s="245"/>
      <c r="BK248" s="245"/>
      <c r="BM248" s="245"/>
      <c r="BN248" s="245"/>
      <c r="BO248" s="245"/>
      <c r="BP248" s="245"/>
      <c r="BQ248" s="245"/>
    </row>
    <row r="249" spans="1:69" ht="13.5" hidden="1" customHeight="1" x14ac:dyDescent="0.2">
      <c r="A249" s="842"/>
      <c r="C249" s="569"/>
      <c r="D249" s="570"/>
      <c r="E249" s="571"/>
      <c r="G249" s="204"/>
      <c r="H249" s="204"/>
      <c r="I249" s="199"/>
      <c r="J249" s="205"/>
      <c r="L249" s="206"/>
      <c r="M249" s="201"/>
      <c r="N249" s="207"/>
      <c r="O249" s="220"/>
      <c r="P249" s="169"/>
      <c r="Q249" s="169"/>
      <c r="R249" s="169"/>
      <c r="S249" s="169"/>
      <c r="Y249" s="210"/>
      <c r="Z249" s="211"/>
      <c r="AA249" s="210"/>
      <c r="AB249" s="210"/>
      <c r="AC249" s="210"/>
      <c r="AD249" s="212"/>
      <c r="AE249" s="210"/>
      <c r="AG249" s="214"/>
      <c r="AH249" s="214"/>
      <c r="AI249" s="215"/>
      <c r="AJ249" s="214"/>
      <c r="AK249" s="214"/>
      <c r="AL249" s="215"/>
      <c r="AM249" s="216"/>
      <c r="AO249" s="245"/>
      <c r="AP249" s="245"/>
      <c r="AQ249" s="245"/>
      <c r="AR249" s="245"/>
      <c r="AS249" s="245"/>
      <c r="AT249" s="245"/>
      <c r="AU249" s="245"/>
      <c r="AV249" s="245"/>
      <c r="AW249" s="245"/>
      <c r="AX249" s="245"/>
      <c r="AZ249" s="245"/>
      <c r="BA249" s="283"/>
      <c r="BB249" s="283"/>
      <c r="BC249" s="239"/>
      <c r="BD249" s="283"/>
      <c r="BE249" s="239"/>
      <c r="BF249" s="239"/>
      <c r="BG249" s="239"/>
      <c r="BJ249" s="245"/>
      <c r="BK249" s="245"/>
      <c r="BM249" s="245"/>
      <c r="BN249" s="245"/>
      <c r="BO249" s="245"/>
      <c r="BP249" s="245"/>
      <c r="BQ249" s="245"/>
    </row>
    <row r="250" spans="1:69" ht="13.5" hidden="1" customHeight="1" x14ac:dyDescent="0.2">
      <c r="A250" s="842"/>
      <c r="C250" s="569"/>
      <c r="D250" s="570"/>
      <c r="E250" s="571"/>
      <c r="G250" s="204"/>
      <c r="H250" s="204"/>
      <c r="I250" s="199"/>
      <c r="J250" s="205"/>
      <c r="L250" s="206"/>
      <c r="M250" s="201"/>
      <c r="N250" s="207"/>
      <c r="O250" s="220"/>
      <c r="P250" s="169"/>
      <c r="Q250" s="169"/>
      <c r="R250" s="169"/>
      <c r="S250" s="169"/>
      <c r="Y250" s="210"/>
      <c r="Z250" s="211"/>
      <c r="AA250" s="210"/>
      <c r="AB250" s="210"/>
      <c r="AC250" s="210"/>
      <c r="AD250" s="212"/>
      <c r="AE250" s="210"/>
      <c r="AG250" s="214"/>
      <c r="AH250" s="214"/>
      <c r="AI250" s="215"/>
      <c r="AJ250" s="214"/>
      <c r="AK250" s="214"/>
      <c r="AL250" s="215"/>
      <c r="AM250" s="216"/>
      <c r="AO250" s="245"/>
      <c r="AP250" s="245"/>
      <c r="AQ250" s="245"/>
      <c r="AR250" s="245"/>
      <c r="AS250" s="245"/>
      <c r="AT250" s="245"/>
      <c r="AU250" s="245"/>
      <c r="AV250" s="245"/>
      <c r="AW250" s="245"/>
      <c r="AX250" s="245"/>
      <c r="AZ250" s="245"/>
      <c r="BA250" s="283"/>
      <c r="BB250" s="283"/>
      <c r="BC250" s="239"/>
      <c r="BD250" s="283"/>
      <c r="BE250" s="239"/>
      <c r="BF250" s="239"/>
      <c r="BG250" s="239"/>
      <c r="BJ250" s="245"/>
      <c r="BK250" s="245"/>
      <c r="BM250" s="245"/>
      <c r="BN250" s="245"/>
      <c r="BO250" s="245"/>
      <c r="BP250" s="245"/>
      <c r="BQ250" s="245"/>
    </row>
    <row r="251" spans="1:69" ht="13.5" hidden="1" customHeight="1" x14ac:dyDescent="0.2">
      <c r="A251" s="842"/>
      <c r="I251" s="169"/>
      <c r="J251" s="169"/>
      <c r="K251" s="169"/>
      <c r="L251" s="169"/>
      <c r="M251" s="169"/>
      <c r="N251" s="169"/>
      <c r="O251" s="169"/>
      <c r="P251" s="169"/>
      <c r="Q251" s="169"/>
      <c r="R251" s="169"/>
      <c r="S251" s="169"/>
      <c r="Y251" s="229"/>
      <c r="Z251" s="230"/>
      <c r="AG251" s="233"/>
      <c r="AH251" s="233"/>
      <c r="AI251" s="234"/>
      <c r="AJ251" s="233"/>
      <c r="AK251" s="233"/>
      <c r="AL251" s="234"/>
      <c r="AM251" s="234"/>
      <c r="AO251" s="245"/>
      <c r="AP251" s="245"/>
      <c r="AQ251" s="245"/>
      <c r="AR251" s="245"/>
      <c r="AS251" s="245"/>
      <c r="AT251" s="245"/>
      <c r="AU251" s="245"/>
      <c r="AV251" s="245"/>
      <c r="AW251" s="245"/>
      <c r="AX251" s="245"/>
      <c r="AZ251" s="245"/>
      <c r="BA251" s="283"/>
      <c r="BB251" s="283"/>
      <c r="BC251" s="239"/>
      <c r="BD251" s="283"/>
      <c r="BE251" s="239"/>
      <c r="BF251" s="239"/>
      <c r="BG251" s="239"/>
      <c r="BJ251" s="245"/>
      <c r="BK251" s="245"/>
      <c r="BM251" s="245"/>
      <c r="BN251" s="245"/>
      <c r="BO251" s="245"/>
      <c r="BP251" s="245"/>
      <c r="BQ251" s="245"/>
    </row>
    <row r="252" spans="1:69" ht="13.5" hidden="1" customHeight="1" x14ac:dyDescent="0.2">
      <c r="A252" s="842"/>
      <c r="I252" s="170"/>
      <c r="J252" s="171"/>
      <c r="K252" s="171"/>
      <c r="L252" s="171"/>
      <c r="M252" s="170"/>
      <c r="N252" s="172"/>
      <c r="Y252" s="229"/>
      <c r="Z252" s="230"/>
      <c r="AA252" s="231"/>
      <c r="AB252" s="231"/>
      <c r="AC252" s="231"/>
      <c r="AD252" s="232"/>
      <c r="AE252" s="231"/>
      <c r="AG252" s="233"/>
      <c r="AH252" s="233"/>
      <c r="AI252" s="234"/>
      <c r="AJ252" s="233"/>
      <c r="AK252" s="233"/>
      <c r="AL252" s="234"/>
      <c r="AM252" s="234"/>
      <c r="AO252" s="245"/>
      <c r="AP252" s="245"/>
      <c r="AQ252" s="245"/>
      <c r="AR252" s="245"/>
      <c r="AS252" s="245"/>
      <c r="AT252" s="245"/>
      <c r="AU252" s="245"/>
      <c r="AZ252" s="245"/>
      <c r="BA252" s="283"/>
      <c r="BB252" s="283"/>
      <c r="BC252" s="239"/>
      <c r="BD252" s="283"/>
      <c r="BE252" s="239"/>
      <c r="BF252" s="239"/>
      <c r="BG252" s="239"/>
      <c r="BJ252" s="245"/>
      <c r="BK252" s="245"/>
      <c r="BM252" s="245"/>
      <c r="BN252" s="245"/>
      <c r="BO252" s="245"/>
      <c r="BP252" s="245"/>
      <c r="BQ252" s="245"/>
    </row>
    <row r="253" spans="1:69" ht="13.5" hidden="1" customHeight="1" x14ac:dyDescent="0.2">
      <c r="A253" s="842"/>
      <c r="B253" s="309"/>
      <c r="C253" s="309"/>
      <c r="D253" s="544"/>
      <c r="E253" s="544"/>
      <c r="F253" s="544"/>
      <c r="G253" s="544"/>
      <c r="H253" s="544"/>
      <c r="I253" s="844"/>
      <c r="J253" s="844"/>
      <c r="K253" s="844"/>
      <c r="L253" s="844"/>
      <c r="M253" s="564"/>
      <c r="N253" s="565"/>
      <c r="O253" s="566"/>
      <c r="P253" s="169"/>
      <c r="Q253" s="169"/>
      <c r="R253" s="169"/>
      <c r="S253" s="169"/>
      <c r="AA253" s="231"/>
      <c r="AP253" s="245"/>
      <c r="AQ253" s="245"/>
      <c r="AR253" s="245"/>
      <c r="AS253" s="245"/>
      <c r="AU253" s="243"/>
      <c r="AZ253" s="245"/>
      <c r="BA253" s="283"/>
      <c r="BB253" s="283"/>
      <c r="BC253" s="239"/>
      <c r="BD253" s="283"/>
      <c r="BE253" s="239"/>
      <c r="BF253" s="239"/>
      <c r="BG253" s="239"/>
      <c r="BJ253" s="245"/>
      <c r="BK253" s="245"/>
      <c r="BM253" s="245"/>
      <c r="BN253" s="245"/>
      <c r="BO253" s="245"/>
      <c r="BP253" s="245"/>
      <c r="BQ253" s="245"/>
    </row>
    <row r="254" spans="1:69" ht="21" hidden="1" customHeight="1" x14ac:dyDescent="0.2">
      <c r="A254" s="842"/>
      <c r="I254" s="567"/>
      <c r="K254" s="568"/>
      <c r="O254" s="169"/>
      <c r="P254" s="169"/>
      <c r="Q254" s="169"/>
      <c r="R254" s="169"/>
      <c r="S254" s="169"/>
      <c r="AA254" s="231"/>
      <c r="AO254" s="245"/>
      <c r="AP254" s="245"/>
      <c r="AQ254" s="245"/>
      <c r="AR254" s="245"/>
      <c r="AS254" s="245"/>
      <c r="AT254" s="245"/>
      <c r="AU254" s="245"/>
      <c r="AZ254" s="245"/>
      <c r="BA254" s="283"/>
      <c r="BB254" s="283"/>
      <c r="BC254" s="239"/>
      <c r="BD254" s="283"/>
      <c r="BE254" s="239"/>
      <c r="BF254" s="239"/>
      <c r="BG254" s="239"/>
      <c r="BJ254" s="245"/>
      <c r="BK254" s="245"/>
      <c r="BM254" s="245"/>
      <c r="BN254" s="245"/>
      <c r="BO254" s="245"/>
      <c r="BP254" s="245"/>
      <c r="BQ254" s="245"/>
    </row>
    <row r="255" spans="1:69" ht="13.5" hidden="1" customHeight="1" x14ac:dyDescent="0.2">
      <c r="A255" s="842"/>
      <c r="C255" s="569"/>
      <c r="D255" s="570"/>
      <c r="E255" s="571"/>
      <c r="G255" s="204"/>
      <c r="H255" s="204"/>
      <c r="I255" s="199"/>
      <c r="J255" s="205"/>
      <c r="L255" s="206"/>
      <c r="M255" s="201"/>
      <c r="N255" s="207"/>
      <c r="O255" s="208"/>
      <c r="P255" s="169"/>
      <c r="Q255" s="169"/>
      <c r="R255" s="169"/>
      <c r="S255" s="169"/>
      <c r="T255" s="209"/>
      <c r="U255" s="209"/>
      <c r="V255" s="209"/>
      <c r="W255" s="209"/>
      <c r="Y255" s="210"/>
      <c r="Z255" s="211"/>
      <c r="AA255" s="210"/>
      <c r="AB255" s="210"/>
      <c r="AC255" s="210"/>
      <c r="AD255" s="212"/>
      <c r="AE255" s="210"/>
      <c r="AF255" s="213"/>
      <c r="AG255" s="214"/>
      <c r="AH255" s="214"/>
      <c r="AI255" s="215"/>
      <c r="AJ255" s="214"/>
      <c r="AK255" s="214"/>
      <c r="AL255" s="215"/>
      <c r="AM255" s="216"/>
      <c r="AO255" s="245"/>
      <c r="AP255" s="245"/>
      <c r="AQ255" s="245"/>
      <c r="AR255" s="245"/>
      <c r="AS255" s="245"/>
      <c r="AT255" s="245"/>
      <c r="AU255" s="245"/>
      <c r="AZ255" s="245"/>
      <c r="BA255" s="283"/>
      <c r="BB255" s="283"/>
      <c r="BC255" s="239"/>
      <c r="BD255" s="283"/>
      <c r="BE255" s="239"/>
      <c r="BF255" s="239"/>
      <c r="BG255" s="239"/>
      <c r="BJ255" s="245"/>
      <c r="BK255" s="245"/>
      <c r="BM255" s="245"/>
      <c r="BN255" s="245"/>
      <c r="BO255" s="245"/>
      <c r="BP255" s="245"/>
      <c r="BQ255" s="245"/>
    </row>
    <row r="256" spans="1:69" ht="13.5" hidden="1" customHeight="1" x14ac:dyDescent="0.2">
      <c r="A256" s="842"/>
      <c r="C256" s="569"/>
      <c r="D256" s="570"/>
      <c r="E256" s="571"/>
      <c r="G256" s="204"/>
      <c r="H256" s="204"/>
      <c r="I256" s="199"/>
      <c r="J256" s="205"/>
      <c r="L256" s="206"/>
      <c r="M256" s="201"/>
      <c r="N256" s="207"/>
      <c r="O256" s="220"/>
      <c r="P256" s="169"/>
      <c r="Q256" s="169"/>
      <c r="R256" s="169"/>
      <c r="S256" s="169"/>
      <c r="T256" s="209"/>
      <c r="U256" s="209"/>
      <c r="V256" s="209"/>
      <c r="W256" s="209"/>
      <c r="Y256" s="210"/>
      <c r="Z256" s="211"/>
      <c r="AA256" s="210"/>
      <c r="AB256" s="210"/>
      <c r="AC256" s="210"/>
      <c r="AD256" s="212"/>
      <c r="AE256" s="210"/>
      <c r="AF256" s="213"/>
      <c r="AG256" s="214"/>
      <c r="AH256" s="214"/>
      <c r="AI256" s="215"/>
      <c r="AJ256" s="214"/>
      <c r="AK256" s="214"/>
      <c r="AL256" s="215"/>
      <c r="AM256" s="216"/>
      <c r="AO256" s="245"/>
      <c r="AP256" s="245"/>
      <c r="AQ256" s="245"/>
      <c r="AR256" s="245"/>
      <c r="AS256" s="245"/>
      <c r="AT256" s="245"/>
      <c r="AU256" s="245"/>
      <c r="AZ256" s="245"/>
      <c r="BA256" s="283"/>
      <c r="BB256" s="283"/>
      <c r="BC256" s="239"/>
      <c r="BD256" s="283"/>
      <c r="BE256" s="239"/>
      <c r="BF256" s="239"/>
      <c r="BG256" s="239"/>
      <c r="BJ256" s="245"/>
      <c r="BK256" s="245"/>
      <c r="BM256" s="245"/>
      <c r="BN256" s="245"/>
      <c r="BO256" s="245"/>
      <c r="BP256" s="245"/>
      <c r="BQ256" s="245"/>
    </row>
    <row r="257" spans="1:69" ht="13.5" hidden="1" customHeight="1" x14ac:dyDescent="0.2">
      <c r="A257" s="842"/>
      <c r="C257" s="569"/>
      <c r="D257" s="570"/>
      <c r="E257" s="571"/>
      <c r="G257" s="204"/>
      <c r="H257" s="204"/>
      <c r="I257" s="199"/>
      <c r="J257" s="205"/>
      <c r="L257" s="206"/>
      <c r="M257" s="201"/>
      <c r="N257" s="207"/>
      <c r="O257" s="220"/>
      <c r="P257" s="169"/>
      <c r="Q257" s="169"/>
      <c r="R257" s="169"/>
      <c r="S257" s="169"/>
      <c r="T257" s="209"/>
      <c r="U257" s="209"/>
      <c r="V257" s="209"/>
      <c r="W257" s="209"/>
      <c r="Y257" s="210"/>
      <c r="Z257" s="211"/>
      <c r="AA257" s="210"/>
      <c r="AB257" s="210"/>
      <c r="AC257" s="210"/>
      <c r="AD257" s="212"/>
      <c r="AE257" s="210"/>
      <c r="AF257" s="213"/>
      <c r="AG257" s="214"/>
      <c r="AH257" s="214"/>
      <c r="AI257" s="215"/>
      <c r="AJ257" s="214"/>
      <c r="AK257" s="214"/>
      <c r="AL257" s="215"/>
      <c r="AM257" s="216"/>
      <c r="AO257" s="245"/>
      <c r="AP257" s="245"/>
      <c r="AQ257" s="245"/>
      <c r="AR257" s="245"/>
      <c r="AS257" s="245"/>
      <c r="AT257" s="245"/>
      <c r="AU257" s="245"/>
      <c r="AV257" s="245"/>
      <c r="AW257" s="245"/>
      <c r="AX257" s="245"/>
      <c r="BA257" s="283"/>
      <c r="BB257" s="283"/>
      <c r="BC257" s="239"/>
      <c r="BD257" s="283"/>
      <c r="BE257" s="239"/>
      <c r="BF257" s="239"/>
      <c r="BG257" s="239"/>
      <c r="BJ257" s="245"/>
    </row>
    <row r="258" spans="1:69" ht="13.5" hidden="1" customHeight="1" x14ac:dyDescent="0.2">
      <c r="A258" s="842"/>
      <c r="C258" s="569"/>
      <c r="D258" s="570"/>
      <c r="E258" s="571"/>
      <c r="G258" s="204"/>
      <c r="H258" s="204"/>
      <c r="I258" s="199"/>
      <c r="J258" s="205"/>
      <c r="L258" s="206"/>
      <c r="M258" s="201"/>
      <c r="N258" s="207"/>
      <c r="O258" s="220"/>
      <c r="P258" s="169"/>
      <c r="Q258" s="169"/>
      <c r="R258" s="169"/>
      <c r="S258" s="169"/>
      <c r="T258" s="209"/>
      <c r="U258" s="209"/>
      <c r="Y258" s="210"/>
      <c r="Z258" s="211"/>
      <c r="AA258" s="210"/>
      <c r="AB258" s="210"/>
      <c r="AC258" s="210"/>
      <c r="AD258" s="212"/>
      <c r="AE258" s="210"/>
      <c r="AF258" s="213"/>
      <c r="AG258" s="214"/>
      <c r="AH258" s="214"/>
      <c r="AI258" s="215"/>
      <c r="AJ258" s="214"/>
      <c r="AK258" s="214"/>
      <c r="AL258" s="215"/>
      <c r="AM258" s="216"/>
      <c r="AO258" s="245"/>
      <c r="AP258" s="245"/>
      <c r="AQ258" s="245"/>
      <c r="AR258" s="245"/>
      <c r="AS258" s="245"/>
      <c r="AT258" s="245"/>
      <c r="AU258" s="245"/>
      <c r="AV258" s="245"/>
      <c r="AW258" s="245"/>
      <c r="AX258" s="245"/>
      <c r="AZ258" s="245"/>
      <c r="BA258" s="283"/>
      <c r="BB258" s="283"/>
      <c r="BC258" s="239"/>
      <c r="BD258" s="283"/>
      <c r="BE258" s="239"/>
      <c r="BF258" s="239"/>
      <c r="BG258" s="239"/>
      <c r="BJ258" s="245"/>
      <c r="BK258" s="245"/>
      <c r="BM258" s="245"/>
      <c r="BN258" s="245"/>
      <c r="BO258" s="245"/>
      <c r="BP258" s="245"/>
      <c r="BQ258" s="245"/>
    </row>
    <row r="259" spans="1:69" ht="21" hidden="1" customHeight="1" x14ac:dyDescent="0.2">
      <c r="A259" s="842"/>
      <c r="G259" s="576"/>
      <c r="H259" s="576"/>
      <c r="I259" s="567"/>
      <c r="K259" s="568"/>
      <c r="N259" s="223"/>
      <c r="O259" s="169"/>
      <c r="P259" s="169"/>
      <c r="Q259" s="169"/>
      <c r="R259" s="169"/>
      <c r="S259" s="169"/>
      <c r="T259" s="209"/>
      <c r="U259" s="209"/>
      <c r="V259" s="209"/>
      <c r="W259" s="209"/>
      <c r="Y259" s="229"/>
      <c r="Z259" s="230"/>
      <c r="AA259" s="231"/>
      <c r="AB259" s="231"/>
      <c r="AC259" s="231"/>
      <c r="AD259" s="232"/>
      <c r="AE259" s="231"/>
      <c r="AG259" s="233"/>
      <c r="AH259" s="233"/>
      <c r="AI259" s="234"/>
      <c r="AJ259" s="233"/>
      <c r="AK259" s="233"/>
      <c r="AL259" s="234"/>
      <c r="AM259" s="234"/>
      <c r="AO259" s="245"/>
      <c r="AP259" s="245"/>
      <c r="AQ259" s="245"/>
      <c r="AR259" s="245"/>
      <c r="AS259" s="245"/>
      <c r="AT259" s="245"/>
      <c r="AU259" s="245"/>
      <c r="AV259" s="245"/>
      <c r="AW259" s="245"/>
      <c r="AX259" s="245"/>
      <c r="AZ259" s="245"/>
      <c r="BA259" s="283"/>
      <c r="BB259" s="283"/>
      <c r="BC259" s="239"/>
      <c r="BD259" s="283"/>
      <c r="BE259" s="239"/>
      <c r="BF259" s="239"/>
      <c r="BG259" s="239"/>
      <c r="BJ259" s="245"/>
      <c r="BK259" s="245"/>
      <c r="BM259" s="245"/>
      <c r="BN259" s="245"/>
      <c r="BO259" s="245"/>
      <c r="BP259" s="245"/>
      <c r="BQ259" s="245"/>
    </row>
    <row r="260" spans="1:69" ht="13.5" hidden="1" customHeight="1" x14ac:dyDescent="0.2">
      <c r="A260" s="842"/>
      <c r="C260" s="569"/>
      <c r="D260" s="570"/>
      <c r="E260" s="571"/>
      <c r="G260" s="204"/>
      <c r="H260" s="204"/>
      <c r="I260" s="199"/>
      <c r="J260" s="205"/>
      <c r="L260" s="206"/>
      <c r="M260" s="201"/>
      <c r="N260" s="207"/>
      <c r="O260" s="208"/>
      <c r="P260" s="169"/>
      <c r="Q260" s="169"/>
      <c r="R260" s="169"/>
      <c r="S260" s="169"/>
      <c r="Y260" s="210"/>
      <c r="Z260" s="211"/>
      <c r="AA260" s="210"/>
      <c r="AB260" s="210"/>
      <c r="AC260" s="210"/>
      <c r="AD260" s="212"/>
      <c r="AE260" s="210"/>
      <c r="AG260" s="214"/>
      <c r="AH260" s="214"/>
      <c r="AI260" s="215"/>
      <c r="AJ260" s="214"/>
      <c r="AK260" s="214"/>
      <c r="AL260" s="215"/>
      <c r="AM260" s="216"/>
      <c r="AO260" s="245"/>
      <c r="AP260" s="245"/>
      <c r="AQ260" s="245"/>
      <c r="AR260" s="245"/>
      <c r="AS260" s="245"/>
      <c r="AT260" s="245"/>
      <c r="AU260" s="245"/>
      <c r="AV260" s="245"/>
      <c r="AW260" s="245"/>
      <c r="AX260" s="245"/>
      <c r="AZ260" s="245"/>
      <c r="BA260" s="283"/>
      <c r="BB260" s="283"/>
      <c r="BC260" s="239"/>
      <c r="BD260" s="283"/>
      <c r="BE260" s="239"/>
      <c r="BF260" s="239"/>
      <c r="BG260" s="239"/>
      <c r="BJ260" s="245"/>
      <c r="BK260" s="245"/>
      <c r="BM260" s="245"/>
      <c r="BN260" s="245"/>
      <c r="BO260" s="245"/>
      <c r="BP260" s="245"/>
      <c r="BQ260" s="245"/>
    </row>
    <row r="261" spans="1:69" ht="13.5" hidden="1" customHeight="1" x14ac:dyDescent="0.2">
      <c r="A261" s="842"/>
      <c r="C261" s="569"/>
      <c r="D261" s="570"/>
      <c r="E261" s="571"/>
      <c r="G261" s="204"/>
      <c r="H261" s="204"/>
      <c r="I261" s="199"/>
      <c r="J261" s="205"/>
      <c r="L261" s="206"/>
      <c r="M261" s="201"/>
      <c r="N261" s="207"/>
      <c r="O261" s="220"/>
      <c r="P261" s="169"/>
      <c r="Q261" s="169"/>
      <c r="R261" s="169"/>
      <c r="S261" s="169"/>
      <c r="Y261" s="210"/>
      <c r="Z261" s="211"/>
      <c r="AA261" s="210"/>
      <c r="AB261" s="210"/>
      <c r="AC261" s="210"/>
      <c r="AD261" s="212"/>
      <c r="AE261" s="210"/>
      <c r="AG261" s="214"/>
      <c r="AH261" s="214"/>
      <c r="AI261" s="215"/>
      <c r="AJ261" s="214"/>
      <c r="AK261" s="214"/>
      <c r="AL261" s="215"/>
      <c r="AM261" s="216"/>
      <c r="AO261" s="245"/>
      <c r="AP261" s="245"/>
      <c r="AQ261" s="245"/>
      <c r="AR261" s="245"/>
      <c r="AS261" s="245"/>
      <c r="AT261" s="245"/>
      <c r="AU261" s="245"/>
      <c r="AV261" s="245"/>
      <c r="AW261" s="245"/>
      <c r="AX261" s="245"/>
      <c r="AZ261" s="245"/>
      <c r="BA261" s="283"/>
      <c r="BB261" s="283"/>
      <c r="BC261" s="239"/>
      <c r="BD261" s="283"/>
      <c r="BE261" s="239"/>
      <c r="BF261" s="239"/>
      <c r="BG261" s="239"/>
      <c r="BJ261" s="245"/>
      <c r="BK261" s="245"/>
      <c r="BM261" s="245"/>
      <c r="BN261" s="245"/>
      <c r="BO261" s="245"/>
      <c r="BP261" s="245"/>
      <c r="BQ261" s="245"/>
    </row>
    <row r="262" spans="1:69" ht="13.5" hidden="1" customHeight="1" x14ac:dyDescent="0.2">
      <c r="A262" s="842"/>
      <c r="C262" s="569"/>
      <c r="D262" s="570"/>
      <c r="E262" s="571"/>
      <c r="G262" s="204"/>
      <c r="H262" s="204"/>
      <c r="I262" s="199"/>
      <c r="J262" s="205"/>
      <c r="L262" s="206"/>
      <c r="M262" s="201"/>
      <c r="N262" s="207"/>
      <c r="O262" s="220"/>
      <c r="P262" s="169"/>
      <c r="Q262" s="169"/>
      <c r="R262" s="169"/>
      <c r="S262" s="169"/>
      <c r="Y262" s="210"/>
      <c r="Z262" s="211"/>
      <c r="AA262" s="210"/>
      <c r="AB262" s="210"/>
      <c r="AC262" s="210"/>
      <c r="AD262" s="212"/>
      <c r="AE262" s="210"/>
      <c r="AG262" s="214"/>
      <c r="AH262" s="214"/>
      <c r="AI262" s="215"/>
      <c r="AJ262" s="214"/>
      <c r="AK262" s="214"/>
      <c r="AL262" s="215"/>
      <c r="AM262" s="216"/>
      <c r="AO262" s="245"/>
      <c r="AP262" s="245"/>
      <c r="AQ262" s="245"/>
      <c r="AR262" s="245"/>
      <c r="AS262" s="245"/>
      <c r="AT262" s="245"/>
      <c r="AU262" s="245"/>
      <c r="AV262" s="245"/>
      <c r="AW262" s="245"/>
      <c r="AX262" s="245"/>
      <c r="AZ262" s="245"/>
      <c r="BA262" s="283"/>
      <c r="BB262" s="283"/>
      <c r="BC262" s="239"/>
      <c r="BD262" s="283"/>
      <c r="BE262" s="239"/>
      <c r="BF262" s="239"/>
      <c r="BG262" s="239"/>
      <c r="BJ262" s="245"/>
      <c r="BK262" s="245"/>
      <c r="BM262" s="245"/>
      <c r="BN262" s="245"/>
      <c r="BO262" s="245"/>
      <c r="BP262" s="245"/>
      <c r="BQ262" s="245"/>
    </row>
    <row r="263" spans="1:69" ht="13.5" hidden="1" customHeight="1" x14ac:dyDescent="0.2">
      <c r="A263" s="842"/>
      <c r="C263" s="569"/>
      <c r="D263" s="570"/>
      <c r="E263" s="571"/>
      <c r="G263" s="204"/>
      <c r="H263" s="204"/>
      <c r="I263" s="199"/>
      <c r="J263" s="205"/>
      <c r="L263" s="206"/>
      <c r="M263" s="201"/>
      <c r="N263" s="207"/>
      <c r="O263" s="220"/>
      <c r="P263" s="169"/>
      <c r="Q263" s="169"/>
      <c r="R263" s="169"/>
      <c r="S263" s="169"/>
      <c r="Y263" s="210"/>
      <c r="Z263" s="211"/>
      <c r="AA263" s="210"/>
      <c r="AB263" s="210"/>
      <c r="AC263" s="210"/>
      <c r="AD263" s="212"/>
      <c r="AE263" s="210"/>
      <c r="AG263" s="214"/>
      <c r="AH263" s="214"/>
      <c r="AI263" s="215"/>
      <c r="AJ263" s="214"/>
      <c r="AK263" s="214"/>
      <c r="AL263" s="215"/>
      <c r="AM263" s="216"/>
      <c r="AO263" s="245"/>
      <c r="AP263" s="245"/>
      <c r="AQ263" s="245"/>
      <c r="AR263" s="245"/>
      <c r="AS263" s="245"/>
      <c r="AT263" s="245"/>
      <c r="AU263" s="245"/>
      <c r="AV263" s="245"/>
      <c r="AW263" s="245"/>
      <c r="AX263" s="245"/>
      <c r="AZ263" s="245"/>
      <c r="BA263" s="283"/>
      <c r="BB263" s="283"/>
      <c r="BC263" s="239"/>
      <c r="BD263" s="283"/>
      <c r="BE263" s="239"/>
      <c r="BF263" s="239"/>
      <c r="BG263" s="239"/>
      <c r="BJ263" s="245"/>
      <c r="BK263" s="245"/>
      <c r="BM263" s="245"/>
      <c r="BN263" s="245"/>
      <c r="BO263" s="245"/>
      <c r="BP263" s="245"/>
      <c r="BQ263" s="245"/>
    </row>
    <row r="264" spans="1:69" ht="21" hidden="1" customHeight="1" x14ac:dyDescent="0.2">
      <c r="A264" s="842"/>
      <c r="G264" s="576"/>
      <c r="H264" s="576"/>
      <c r="I264" s="567"/>
      <c r="K264" s="568"/>
      <c r="N264" s="169"/>
      <c r="O264" s="169"/>
      <c r="P264" s="169"/>
      <c r="Q264" s="169"/>
      <c r="R264" s="169"/>
      <c r="S264" s="169"/>
      <c r="Y264" s="229"/>
      <c r="Z264" s="230"/>
      <c r="AA264" s="231"/>
      <c r="AB264" s="231"/>
      <c r="AC264" s="231"/>
      <c r="AD264" s="232"/>
      <c r="AE264" s="231"/>
      <c r="AG264" s="233"/>
      <c r="AH264" s="233"/>
      <c r="AI264" s="234"/>
      <c r="AJ264" s="233"/>
      <c r="AK264" s="233"/>
      <c r="AL264" s="234"/>
      <c r="AM264" s="234"/>
      <c r="AO264" s="245"/>
      <c r="AP264" s="245"/>
      <c r="AQ264" s="245"/>
      <c r="AR264" s="245"/>
      <c r="AS264" s="245"/>
      <c r="AT264" s="245"/>
      <c r="AU264" s="245"/>
      <c r="AV264" s="245"/>
      <c r="AW264" s="245"/>
      <c r="AX264" s="245"/>
      <c r="AZ264" s="245"/>
      <c r="BA264" s="283"/>
      <c r="BB264" s="283"/>
      <c r="BC264" s="239"/>
      <c r="BD264" s="283"/>
      <c r="BE264" s="239"/>
      <c r="BF264" s="239"/>
      <c r="BG264" s="239"/>
      <c r="BJ264" s="245"/>
      <c r="BK264" s="245"/>
      <c r="BM264" s="245"/>
      <c r="BN264" s="245"/>
      <c r="BO264" s="245"/>
      <c r="BP264" s="245"/>
      <c r="BQ264" s="245"/>
    </row>
    <row r="265" spans="1:69" ht="13.5" hidden="1" customHeight="1" x14ac:dyDescent="0.2">
      <c r="A265" s="842"/>
      <c r="C265" s="569"/>
      <c r="D265" s="570"/>
      <c r="E265" s="571"/>
      <c r="G265" s="204"/>
      <c r="H265" s="204"/>
      <c r="I265" s="199"/>
      <c r="J265" s="205"/>
      <c r="L265" s="206"/>
      <c r="M265" s="201"/>
      <c r="N265" s="207"/>
      <c r="O265" s="208"/>
      <c r="P265" s="169"/>
      <c r="Q265" s="169"/>
      <c r="R265" s="169"/>
      <c r="S265" s="169"/>
      <c r="Y265" s="210"/>
      <c r="Z265" s="211"/>
      <c r="AA265" s="210"/>
      <c r="AB265" s="210"/>
      <c r="AC265" s="210"/>
      <c r="AD265" s="212"/>
      <c r="AE265" s="210"/>
      <c r="AG265" s="214"/>
      <c r="AH265" s="214"/>
      <c r="AI265" s="215"/>
      <c r="AJ265" s="214"/>
      <c r="AK265" s="214"/>
      <c r="AL265" s="215"/>
      <c r="AM265" s="216"/>
      <c r="AO265" s="245"/>
      <c r="AP265" s="245"/>
      <c r="AQ265" s="245"/>
      <c r="AR265" s="245"/>
      <c r="AS265" s="245"/>
      <c r="AT265" s="245"/>
      <c r="AU265" s="245"/>
      <c r="AV265" s="245"/>
      <c r="AW265" s="245"/>
      <c r="AX265" s="245"/>
      <c r="AZ265" s="245"/>
      <c r="BA265" s="283"/>
      <c r="BB265" s="283"/>
      <c r="BC265" s="239"/>
      <c r="BD265" s="283"/>
      <c r="BE265" s="239"/>
      <c r="BF265" s="239"/>
      <c r="BG265" s="239"/>
      <c r="BJ265" s="245"/>
      <c r="BK265" s="245"/>
      <c r="BM265" s="245"/>
      <c r="BN265" s="245"/>
      <c r="BO265" s="245"/>
      <c r="BP265" s="245"/>
      <c r="BQ265" s="245"/>
    </row>
    <row r="266" spans="1:69" ht="13.5" hidden="1" customHeight="1" x14ac:dyDescent="0.2">
      <c r="A266" s="842"/>
      <c r="C266" s="569"/>
      <c r="D266" s="570"/>
      <c r="E266" s="571"/>
      <c r="G266" s="204"/>
      <c r="H266" s="204"/>
      <c r="I266" s="199"/>
      <c r="J266" s="205"/>
      <c r="L266" s="206"/>
      <c r="M266" s="201"/>
      <c r="N266" s="207"/>
      <c r="O266" s="220"/>
      <c r="P266" s="169"/>
      <c r="Q266" s="169"/>
      <c r="R266" s="169"/>
      <c r="S266" s="169"/>
      <c r="Y266" s="210"/>
      <c r="Z266" s="211"/>
      <c r="AA266" s="210"/>
      <c r="AB266" s="210"/>
      <c r="AC266" s="210"/>
      <c r="AD266" s="212"/>
      <c r="AE266" s="210"/>
      <c r="AG266" s="214"/>
      <c r="AH266" s="214"/>
      <c r="AI266" s="215"/>
      <c r="AJ266" s="214"/>
      <c r="AK266" s="214"/>
      <c r="AL266" s="215"/>
      <c r="AM266" s="216"/>
      <c r="AO266" s="245"/>
      <c r="AP266" s="245"/>
      <c r="AQ266" s="245"/>
      <c r="AR266" s="245"/>
      <c r="AS266" s="245"/>
      <c r="AT266" s="245"/>
      <c r="AU266" s="245"/>
      <c r="AV266" s="245"/>
      <c r="AW266" s="245"/>
      <c r="AX266" s="245"/>
      <c r="AZ266" s="245"/>
      <c r="BA266" s="283"/>
      <c r="BB266" s="283"/>
      <c r="BC266" s="239"/>
      <c r="BD266" s="283"/>
      <c r="BE266" s="239"/>
      <c r="BF266" s="239"/>
      <c r="BG266" s="239"/>
      <c r="BJ266" s="245"/>
      <c r="BK266" s="245"/>
      <c r="BM266" s="245"/>
      <c r="BN266" s="245"/>
      <c r="BO266" s="245"/>
      <c r="BP266" s="245"/>
      <c r="BQ266" s="245"/>
    </row>
    <row r="267" spans="1:69" ht="13.5" hidden="1" customHeight="1" x14ac:dyDescent="0.2">
      <c r="A267" s="842"/>
      <c r="C267" s="569"/>
      <c r="D267" s="570"/>
      <c r="E267" s="571"/>
      <c r="G267" s="204"/>
      <c r="H267" s="204"/>
      <c r="I267" s="199"/>
      <c r="J267" s="205"/>
      <c r="L267" s="206"/>
      <c r="M267" s="201"/>
      <c r="N267" s="207"/>
      <c r="O267" s="220"/>
      <c r="P267" s="169"/>
      <c r="Q267" s="169"/>
      <c r="R267" s="169"/>
      <c r="S267" s="169"/>
      <c r="Y267" s="210"/>
      <c r="Z267" s="211"/>
      <c r="AA267" s="210"/>
      <c r="AB267" s="210"/>
      <c r="AC267" s="210"/>
      <c r="AD267" s="212"/>
      <c r="AE267" s="210"/>
      <c r="AG267" s="214"/>
      <c r="AH267" s="214"/>
      <c r="AI267" s="215"/>
      <c r="AJ267" s="214"/>
      <c r="AK267" s="214"/>
      <c r="AL267" s="215"/>
      <c r="AM267" s="216"/>
      <c r="AO267" s="245"/>
      <c r="AP267" s="245"/>
      <c r="AQ267" s="245"/>
      <c r="AR267" s="245"/>
      <c r="AS267" s="245"/>
      <c r="AT267" s="245"/>
      <c r="AU267" s="245"/>
      <c r="AV267" s="245"/>
      <c r="AW267" s="245"/>
      <c r="AX267" s="245"/>
      <c r="AZ267" s="245"/>
      <c r="BA267" s="283"/>
      <c r="BB267" s="283"/>
      <c r="BC267" s="239"/>
      <c r="BD267" s="283"/>
      <c r="BE267" s="239"/>
      <c r="BF267" s="239"/>
      <c r="BG267" s="239"/>
      <c r="BJ267" s="245"/>
      <c r="BK267" s="245"/>
      <c r="BM267" s="245"/>
      <c r="BN267" s="245"/>
      <c r="BO267" s="245"/>
      <c r="BP267" s="245"/>
      <c r="BQ267" s="245"/>
    </row>
    <row r="268" spans="1:69" ht="13.5" hidden="1" customHeight="1" x14ac:dyDescent="0.2">
      <c r="A268" s="842"/>
      <c r="C268" s="569"/>
      <c r="D268" s="570"/>
      <c r="E268" s="571"/>
      <c r="G268" s="204"/>
      <c r="H268" s="204"/>
      <c r="I268" s="199"/>
      <c r="J268" s="205"/>
      <c r="L268" s="206"/>
      <c r="M268" s="201"/>
      <c r="N268" s="207"/>
      <c r="O268" s="220"/>
      <c r="P268" s="169"/>
      <c r="Q268" s="169"/>
      <c r="R268" s="169"/>
      <c r="S268" s="169"/>
      <c r="Y268" s="210"/>
      <c r="Z268" s="211"/>
      <c r="AA268" s="210"/>
      <c r="AB268" s="210"/>
      <c r="AC268" s="210"/>
      <c r="AD268" s="212"/>
      <c r="AE268" s="210"/>
      <c r="AG268" s="214"/>
      <c r="AH268" s="214"/>
      <c r="AI268" s="215"/>
      <c r="AJ268" s="214"/>
      <c r="AK268" s="214"/>
      <c r="AL268" s="215"/>
      <c r="AM268" s="216"/>
      <c r="AO268" s="245"/>
      <c r="AP268" s="245"/>
      <c r="AQ268" s="245"/>
      <c r="AR268" s="245"/>
      <c r="AS268" s="245"/>
      <c r="AT268" s="245"/>
      <c r="AU268" s="245"/>
      <c r="AV268" s="245"/>
      <c r="AW268" s="245"/>
      <c r="AX268" s="245"/>
      <c r="AZ268" s="245"/>
      <c r="BA268" s="283"/>
      <c r="BB268" s="283"/>
      <c r="BC268" s="239"/>
      <c r="BD268" s="283"/>
      <c r="BE268" s="239"/>
      <c r="BF268" s="239"/>
      <c r="BG268" s="239"/>
      <c r="BJ268" s="245"/>
      <c r="BK268" s="245"/>
      <c r="BM268" s="245"/>
      <c r="BN268" s="245"/>
      <c r="BO268" s="245"/>
      <c r="BP268" s="245"/>
      <c r="BQ268" s="245"/>
    </row>
    <row r="269" spans="1:69" ht="13.5" hidden="1" customHeight="1" x14ac:dyDescent="0.2">
      <c r="A269" s="842"/>
      <c r="I269" s="169"/>
      <c r="J269" s="169"/>
      <c r="K269" s="169"/>
      <c r="L269" s="169"/>
      <c r="M269" s="169"/>
      <c r="N269" s="169"/>
      <c r="O269" s="169"/>
      <c r="P269" s="169"/>
      <c r="Q269" s="169"/>
      <c r="R269" s="169"/>
      <c r="S269" s="169"/>
      <c r="Y269" s="229"/>
      <c r="Z269" s="230"/>
      <c r="AG269" s="233"/>
      <c r="AH269" s="233"/>
      <c r="AI269" s="234"/>
      <c r="AJ269" s="233"/>
      <c r="AK269" s="233"/>
      <c r="AL269" s="234"/>
      <c r="AM269" s="234"/>
      <c r="AO269" s="245"/>
      <c r="AP269" s="245"/>
      <c r="AQ269" s="245"/>
      <c r="AR269" s="245"/>
      <c r="AS269" s="245"/>
      <c r="AT269" s="245"/>
      <c r="AU269" s="245"/>
      <c r="AV269" s="245"/>
      <c r="AW269" s="245"/>
      <c r="AX269" s="245"/>
      <c r="AZ269" s="245"/>
      <c r="BA269" s="283"/>
      <c r="BB269" s="283"/>
      <c r="BC269" s="239"/>
      <c r="BD269" s="283"/>
      <c r="BE269" s="239"/>
      <c r="BF269" s="239"/>
      <c r="BG269" s="239"/>
      <c r="BJ269" s="245"/>
      <c r="BK269" s="245"/>
      <c r="BM269" s="245"/>
      <c r="BN269" s="245"/>
      <c r="BO269" s="245"/>
      <c r="BP269" s="245"/>
      <c r="BQ269" s="245"/>
    </row>
    <row r="270" spans="1:69" ht="13.5" hidden="1" customHeight="1" x14ac:dyDescent="0.2">
      <c r="A270" s="842"/>
      <c r="I270" s="170"/>
      <c r="J270" s="171"/>
      <c r="K270" s="171"/>
      <c r="L270" s="171"/>
      <c r="M270" s="170"/>
      <c r="N270" s="172"/>
      <c r="Y270" s="229"/>
      <c r="Z270" s="230"/>
      <c r="AA270" s="231"/>
      <c r="AB270" s="231"/>
      <c r="AC270" s="231"/>
      <c r="AD270" s="232"/>
      <c r="AE270" s="231"/>
      <c r="AG270" s="233"/>
      <c r="AH270" s="233"/>
      <c r="AI270" s="234"/>
      <c r="AJ270" s="233"/>
      <c r="AK270" s="233"/>
      <c r="AL270" s="234"/>
      <c r="AM270" s="234"/>
      <c r="AO270" s="245"/>
      <c r="AP270" s="245"/>
      <c r="AQ270" s="245"/>
      <c r="AR270" s="245"/>
      <c r="AS270" s="245"/>
      <c r="AT270" s="245"/>
      <c r="AU270" s="245"/>
      <c r="AZ270" s="245"/>
      <c r="BA270" s="283"/>
      <c r="BB270" s="283"/>
      <c r="BC270" s="239"/>
      <c r="BD270" s="283"/>
      <c r="BE270" s="239"/>
      <c r="BF270" s="239"/>
      <c r="BG270" s="239"/>
      <c r="BJ270" s="245"/>
      <c r="BK270" s="245"/>
      <c r="BM270" s="245"/>
      <c r="BN270" s="245"/>
      <c r="BO270" s="245"/>
      <c r="BP270" s="245"/>
      <c r="BQ270" s="245"/>
    </row>
    <row r="271" spans="1:69" ht="13.5" hidden="1" customHeight="1" x14ac:dyDescent="0.2">
      <c r="A271" s="842"/>
      <c r="B271" s="309"/>
      <c r="C271" s="309"/>
      <c r="D271" s="544"/>
      <c r="E271" s="544"/>
      <c r="F271" s="544"/>
      <c r="G271" s="544"/>
      <c r="H271" s="544"/>
      <c r="I271" s="844"/>
      <c r="J271" s="844"/>
      <c r="K271" s="844"/>
      <c r="L271" s="844"/>
      <c r="M271" s="564"/>
      <c r="N271" s="565"/>
      <c r="O271" s="566"/>
      <c r="P271" s="169"/>
      <c r="Q271" s="169"/>
      <c r="R271" s="169"/>
      <c r="S271" s="169"/>
      <c r="AA271" s="231"/>
      <c r="AP271" s="245"/>
      <c r="AQ271" s="245"/>
      <c r="AR271" s="245"/>
      <c r="AS271" s="245"/>
      <c r="AU271" s="243"/>
      <c r="AZ271" s="245"/>
      <c r="BA271" s="283"/>
      <c r="BB271" s="283"/>
      <c r="BC271" s="239"/>
      <c r="BD271" s="283"/>
      <c r="BE271" s="239"/>
      <c r="BF271" s="239"/>
      <c r="BG271" s="239"/>
      <c r="BJ271" s="245"/>
      <c r="BK271" s="245"/>
      <c r="BM271" s="245"/>
      <c r="BN271" s="245"/>
      <c r="BO271" s="245"/>
      <c r="BP271" s="245"/>
      <c r="BQ271" s="245"/>
    </row>
    <row r="272" spans="1:69" ht="21" hidden="1" customHeight="1" x14ac:dyDescent="0.2">
      <c r="A272" s="842"/>
      <c r="I272" s="567"/>
      <c r="K272" s="568"/>
      <c r="O272" s="169"/>
      <c r="P272" s="169"/>
      <c r="Q272" s="169"/>
      <c r="R272" s="169"/>
      <c r="S272" s="169"/>
      <c r="AA272" s="231"/>
      <c r="AO272" s="245"/>
      <c r="AP272" s="245"/>
      <c r="AQ272" s="245"/>
      <c r="AR272" s="245"/>
      <c r="AS272" s="245"/>
      <c r="AT272" s="245"/>
      <c r="AU272" s="245"/>
      <c r="AZ272" s="245"/>
      <c r="BA272" s="283"/>
      <c r="BB272" s="283"/>
      <c r="BC272" s="239"/>
      <c r="BD272" s="283"/>
      <c r="BE272" s="239"/>
      <c r="BF272" s="239"/>
      <c r="BG272" s="239"/>
      <c r="BJ272" s="245"/>
      <c r="BK272" s="245"/>
      <c r="BM272" s="245"/>
      <c r="BN272" s="245"/>
      <c r="BO272" s="245"/>
      <c r="BP272" s="245"/>
      <c r="BQ272" s="245"/>
    </row>
    <row r="273" spans="1:69" ht="13.5" hidden="1" customHeight="1" x14ac:dyDescent="0.2">
      <c r="A273" s="842"/>
      <c r="C273" s="569"/>
      <c r="D273" s="570"/>
      <c r="E273" s="571"/>
      <c r="G273" s="204"/>
      <c r="H273" s="204"/>
      <c r="I273" s="199"/>
      <c r="J273" s="205"/>
      <c r="L273" s="206"/>
      <c r="M273" s="201"/>
      <c r="N273" s="207"/>
      <c r="O273" s="208"/>
      <c r="P273" s="169"/>
      <c r="Q273" s="169"/>
      <c r="R273" s="169"/>
      <c r="S273" s="169"/>
      <c r="T273" s="209"/>
      <c r="U273" s="209"/>
      <c r="V273" s="209"/>
      <c r="W273" s="209"/>
      <c r="Y273" s="210"/>
      <c r="Z273" s="211"/>
      <c r="AA273" s="210"/>
      <c r="AB273" s="210"/>
      <c r="AC273" s="210"/>
      <c r="AD273" s="212"/>
      <c r="AE273" s="210"/>
      <c r="AF273" s="213"/>
      <c r="AG273" s="214"/>
      <c r="AH273" s="214"/>
      <c r="AI273" s="215"/>
      <c r="AJ273" s="214"/>
      <c r="AK273" s="214"/>
      <c r="AL273" s="215"/>
      <c r="AM273" s="216"/>
      <c r="AO273" s="245"/>
      <c r="AP273" s="245"/>
      <c r="AQ273" s="245"/>
      <c r="AR273" s="245"/>
      <c r="AS273" s="245"/>
      <c r="AT273" s="245"/>
      <c r="AU273" s="245"/>
      <c r="AZ273" s="245"/>
      <c r="BA273" s="283"/>
      <c r="BB273" s="283"/>
      <c r="BC273" s="239"/>
      <c r="BD273" s="283"/>
      <c r="BE273" s="239"/>
      <c r="BF273" s="239"/>
      <c r="BG273" s="239"/>
      <c r="BJ273" s="245"/>
      <c r="BK273" s="245"/>
      <c r="BM273" s="245"/>
      <c r="BN273" s="245"/>
      <c r="BO273" s="245"/>
      <c r="BP273" s="245"/>
      <c r="BQ273" s="245"/>
    </row>
    <row r="274" spans="1:69" ht="13.5" hidden="1" customHeight="1" x14ac:dyDescent="0.2">
      <c r="A274" s="842"/>
      <c r="C274" s="569"/>
      <c r="D274" s="570"/>
      <c r="E274" s="571"/>
      <c r="G274" s="204"/>
      <c r="H274" s="204"/>
      <c r="I274" s="199"/>
      <c r="J274" s="205"/>
      <c r="L274" s="206"/>
      <c r="M274" s="201"/>
      <c r="N274" s="207"/>
      <c r="O274" s="220"/>
      <c r="P274" s="169"/>
      <c r="Q274" s="169"/>
      <c r="R274" s="169"/>
      <c r="S274" s="169"/>
      <c r="T274" s="209"/>
      <c r="U274" s="209"/>
      <c r="V274" s="209"/>
      <c r="W274" s="209"/>
      <c r="Y274" s="210"/>
      <c r="Z274" s="211"/>
      <c r="AA274" s="210"/>
      <c r="AB274" s="210"/>
      <c r="AC274" s="210"/>
      <c r="AD274" s="212"/>
      <c r="AE274" s="210"/>
      <c r="AF274" s="213"/>
      <c r="AG274" s="214"/>
      <c r="AH274" s="214"/>
      <c r="AI274" s="215"/>
      <c r="AJ274" s="214"/>
      <c r="AK274" s="214"/>
      <c r="AL274" s="215"/>
      <c r="AM274" s="216"/>
      <c r="AO274" s="245"/>
      <c r="AP274" s="245"/>
      <c r="AQ274" s="245"/>
      <c r="AR274" s="245"/>
      <c r="AS274" s="245"/>
      <c r="AT274" s="245"/>
      <c r="AU274" s="245"/>
      <c r="AZ274" s="245"/>
      <c r="BA274" s="283"/>
      <c r="BB274" s="283"/>
      <c r="BC274" s="239"/>
      <c r="BD274" s="283"/>
      <c r="BE274" s="239"/>
      <c r="BF274" s="239"/>
      <c r="BG274" s="239"/>
      <c r="BJ274" s="245"/>
      <c r="BK274" s="245"/>
      <c r="BM274" s="245"/>
      <c r="BN274" s="245"/>
      <c r="BO274" s="245"/>
      <c r="BP274" s="245"/>
      <c r="BQ274" s="245"/>
    </row>
    <row r="275" spans="1:69" ht="13.5" hidden="1" customHeight="1" x14ac:dyDescent="0.2">
      <c r="A275" s="842"/>
      <c r="C275" s="569"/>
      <c r="D275" s="570"/>
      <c r="E275" s="571"/>
      <c r="G275" s="204"/>
      <c r="H275" s="204"/>
      <c r="I275" s="199"/>
      <c r="J275" s="205"/>
      <c r="L275" s="206"/>
      <c r="M275" s="201"/>
      <c r="N275" s="207"/>
      <c r="O275" s="220"/>
      <c r="P275" s="169"/>
      <c r="Q275" s="169"/>
      <c r="R275" s="169"/>
      <c r="S275" s="169"/>
      <c r="T275" s="209"/>
      <c r="U275" s="209"/>
      <c r="V275" s="209"/>
      <c r="W275" s="209"/>
      <c r="Y275" s="210"/>
      <c r="Z275" s="211"/>
      <c r="AA275" s="210"/>
      <c r="AB275" s="210"/>
      <c r="AC275" s="210"/>
      <c r="AD275" s="212"/>
      <c r="AE275" s="210"/>
      <c r="AF275" s="213"/>
      <c r="AG275" s="214"/>
      <c r="AH275" s="214"/>
      <c r="AI275" s="215"/>
      <c r="AJ275" s="214"/>
      <c r="AK275" s="214"/>
      <c r="AL275" s="215"/>
      <c r="AM275" s="216"/>
      <c r="AO275" s="245"/>
      <c r="AP275" s="245"/>
      <c r="AQ275" s="245"/>
      <c r="AR275" s="245"/>
      <c r="AS275" s="245"/>
      <c r="AT275" s="245"/>
      <c r="AU275" s="245"/>
      <c r="AV275" s="245"/>
      <c r="AW275" s="245"/>
      <c r="AX275" s="245"/>
      <c r="BA275" s="283"/>
      <c r="BB275" s="283"/>
      <c r="BC275" s="239"/>
      <c r="BD275" s="283"/>
      <c r="BE275" s="239"/>
      <c r="BF275" s="239"/>
      <c r="BG275" s="239"/>
      <c r="BJ275" s="245"/>
    </row>
    <row r="276" spans="1:69" ht="13.5" hidden="1" customHeight="1" x14ac:dyDescent="0.2">
      <c r="A276" s="842"/>
      <c r="C276" s="569"/>
      <c r="D276" s="570"/>
      <c r="E276" s="571"/>
      <c r="G276" s="204"/>
      <c r="H276" s="204"/>
      <c r="I276" s="199"/>
      <c r="J276" s="205"/>
      <c r="L276" s="206"/>
      <c r="M276" s="201"/>
      <c r="N276" s="207"/>
      <c r="O276" s="220"/>
      <c r="P276" s="169"/>
      <c r="Q276" s="169"/>
      <c r="R276" s="169"/>
      <c r="S276" s="169"/>
      <c r="T276" s="209"/>
      <c r="U276" s="209"/>
      <c r="Y276" s="210"/>
      <c r="Z276" s="211"/>
      <c r="AA276" s="210"/>
      <c r="AB276" s="210"/>
      <c r="AC276" s="210"/>
      <c r="AD276" s="212"/>
      <c r="AE276" s="210"/>
      <c r="AF276" s="213"/>
      <c r="AG276" s="214"/>
      <c r="AH276" s="214"/>
      <c r="AI276" s="215"/>
      <c r="AJ276" s="214"/>
      <c r="AK276" s="214"/>
      <c r="AL276" s="215"/>
      <c r="AM276" s="216"/>
      <c r="AO276" s="245"/>
      <c r="AP276" s="245"/>
      <c r="AQ276" s="245"/>
      <c r="AR276" s="245"/>
      <c r="AS276" s="245"/>
      <c r="AT276" s="245"/>
      <c r="AU276" s="245"/>
      <c r="AV276" s="245"/>
      <c r="AW276" s="245"/>
      <c r="AX276" s="245"/>
      <c r="AZ276" s="245"/>
      <c r="BA276" s="283"/>
      <c r="BB276" s="283"/>
      <c r="BC276" s="239"/>
      <c r="BD276" s="283"/>
      <c r="BE276" s="239"/>
      <c r="BF276" s="239"/>
      <c r="BG276" s="239"/>
      <c r="BJ276" s="245"/>
      <c r="BK276" s="245"/>
      <c r="BM276" s="245"/>
      <c r="BN276" s="245"/>
      <c r="BO276" s="245"/>
      <c r="BP276" s="245"/>
      <c r="BQ276" s="245"/>
    </row>
    <row r="277" spans="1:69" ht="21" hidden="1" customHeight="1" x14ac:dyDescent="0.2">
      <c r="A277" s="842"/>
      <c r="G277" s="576"/>
      <c r="H277" s="576"/>
      <c r="I277" s="567"/>
      <c r="K277" s="568"/>
      <c r="N277" s="223"/>
      <c r="O277" s="169"/>
      <c r="P277" s="169"/>
      <c r="Q277" s="169"/>
      <c r="R277" s="169"/>
      <c r="S277" s="169"/>
      <c r="T277" s="209"/>
      <c r="U277" s="209"/>
      <c r="V277" s="209"/>
      <c r="W277" s="209"/>
      <c r="Y277" s="229"/>
      <c r="Z277" s="230"/>
      <c r="AA277" s="231"/>
      <c r="AB277" s="231"/>
      <c r="AC277" s="231"/>
      <c r="AD277" s="232"/>
      <c r="AE277" s="231"/>
      <c r="AG277" s="233"/>
      <c r="AH277" s="233"/>
      <c r="AI277" s="234"/>
      <c r="AJ277" s="233"/>
      <c r="AK277" s="233"/>
      <c r="AL277" s="234"/>
      <c r="AM277" s="234"/>
      <c r="AO277" s="245"/>
      <c r="AP277" s="245"/>
      <c r="AQ277" s="245"/>
      <c r="AR277" s="245"/>
      <c r="AS277" s="245"/>
      <c r="AT277" s="245"/>
      <c r="AU277" s="245"/>
      <c r="AV277" s="245"/>
      <c r="AW277" s="245"/>
      <c r="AX277" s="245"/>
      <c r="AZ277" s="245"/>
      <c r="BA277" s="283"/>
      <c r="BB277" s="283"/>
      <c r="BC277" s="239"/>
      <c r="BD277" s="283"/>
      <c r="BE277" s="239"/>
      <c r="BF277" s="239"/>
      <c r="BG277" s="239"/>
      <c r="BJ277" s="245"/>
      <c r="BK277" s="245"/>
      <c r="BM277" s="245"/>
      <c r="BN277" s="245"/>
      <c r="BO277" s="245"/>
      <c r="BP277" s="245"/>
      <c r="BQ277" s="245"/>
    </row>
    <row r="278" spans="1:69" ht="13.5" hidden="1" customHeight="1" x14ac:dyDescent="0.2">
      <c r="A278" s="842"/>
      <c r="C278" s="569"/>
      <c r="D278" s="570"/>
      <c r="E278" s="571"/>
      <c r="G278" s="204"/>
      <c r="H278" s="204"/>
      <c r="I278" s="199"/>
      <c r="J278" s="205"/>
      <c r="L278" s="206"/>
      <c r="M278" s="201"/>
      <c r="N278" s="207"/>
      <c r="O278" s="208"/>
      <c r="P278" s="169"/>
      <c r="Q278" s="169"/>
      <c r="R278" s="169"/>
      <c r="S278" s="169"/>
      <c r="Y278" s="210"/>
      <c r="Z278" s="211"/>
      <c r="AA278" s="210"/>
      <c r="AB278" s="210"/>
      <c r="AC278" s="210"/>
      <c r="AD278" s="212"/>
      <c r="AE278" s="210"/>
      <c r="AG278" s="214"/>
      <c r="AH278" s="214"/>
      <c r="AI278" s="215"/>
      <c r="AJ278" s="214"/>
      <c r="AK278" s="214"/>
      <c r="AL278" s="215"/>
      <c r="AM278" s="216"/>
      <c r="AO278" s="245"/>
      <c r="AP278" s="245"/>
      <c r="AQ278" s="245"/>
      <c r="AR278" s="245"/>
      <c r="AS278" s="245"/>
      <c r="AT278" s="245"/>
      <c r="AU278" s="245"/>
      <c r="AV278" s="245"/>
      <c r="AW278" s="245"/>
      <c r="AX278" s="245"/>
      <c r="AZ278" s="245"/>
      <c r="BA278" s="283"/>
      <c r="BB278" s="283"/>
      <c r="BC278" s="239"/>
      <c r="BD278" s="283"/>
      <c r="BE278" s="239"/>
      <c r="BF278" s="239"/>
      <c r="BG278" s="239"/>
      <c r="BJ278" s="245"/>
      <c r="BK278" s="245"/>
      <c r="BM278" s="245"/>
      <c r="BN278" s="245"/>
      <c r="BO278" s="245"/>
      <c r="BP278" s="245"/>
      <c r="BQ278" s="245"/>
    </row>
    <row r="279" spans="1:69" ht="13.5" hidden="1" customHeight="1" x14ac:dyDescent="0.2">
      <c r="A279" s="842"/>
      <c r="C279" s="569"/>
      <c r="D279" s="570"/>
      <c r="E279" s="571"/>
      <c r="G279" s="204"/>
      <c r="H279" s="204"/>
      <c r="I279" s="199"/>
      <c r="J279" s="205"/>
      <c r="L279" s="206"/>
      <c r="M279" s="201"/>
      <c r="N279" s="207"/>
      <c r="O279" s="220"/>
      <c r="P279" s="169"/>
      <c r="Q279" s="169"/>
      <c r="R279" s="169"/>
      <c r="S279" s="169"/>
      <c r="Y279" s="210"/>
      <c r="Z279" s="211"/>
      <c r="AA279" s="210"/>
      <c r="AB279" s="210"/>
      <c r="AC279" s="210"/>
      <c r="AD279" s="212"/>
      <c r="AE279" s="210"/>
      <c r="AG279" s="214"/>
      <c r="AH279" s="214"/>
      <c r="AI279" s="215"/>
      <c r="AJ279" s="214"/>
      <c r="AK279" s="214"/>
      <c r="AL279" s="215"/>
      <c r="AM279" s="216"/>
      <c r="AO279" s="245"/>
      <c r="AP279" s="245"/>
      <c r="AQ279" s="245"/>
      <c r="AR279" s="245"/>
      <c r="AS279" s="245"/>
      <c r="AT279" s="245"/>
      <c r="AU279" s="245"/>
      <c r="AV279" s="245"/>
      <c r="AW279" s="245"/>
      <c r="AX279" s="245"/>
      <c r="AZ279" s="245"/>
      <c r="BA279" s="283"/>
      <c r="BB279" s="283"/>
      <c r="BC279" s="239"/>
      <c r="BD279" s="283"/>
      <c r="BE279" s="239"/>
      <c r="BF279" s="239"/>
      <c r="BG279" s="239"/>
      <c r="BJ279" s="245"/>
      <c r="BK279" s="245"/>
      <c r="BM279" s="245"/>
      <c r="BN279" s="245"/>
      <c r="BO279" s="245"/>
      <c r="BP279" s="245"/>
      <c r="BQ279" s="245"/>
    </row>
    <row r="280" spans="1:69" ht="13.5" hidden="1" customHeight="1" x14ac:dyDescent="0.2">
      <c r="A280" s="842"/>
      <c r="C280" s="569"/>
      <c r="D280" s="570"/>
      <c r="E280" s="571"/>
      <c r="G280" s="204"/>
      <c r="H280" s="204"/>
      <c r="I280" s="199"/>
      <c r="J280" s="205"/>
      <c r="L280" s="206"/>
      <c r="M280" s="201"/>
      <c r="N280" s="207"/>
      <c r="O280" s="220"/>
      <c r="P280" s="169"/>
      <c r="Q280" s="169"/>
      <c r="R280" s="169"/>
      <c r="S280" s="169"/>
      <c r="Y280" s="210"/>
      <c r="Z280" s="211"/>
      <c r="AA280" s="210"/>
      <c r="AB280" s="210"/>
      <c r="AC280" s="210"/>
      <c r="AD280" s="212"/>
      <c r="AE280" s="210"/>
      <c r="AG280" s="214"/>
      <c r="AH280" s="214"/>
      <c r="AI280" s="215"/>
      <c r="AJ280" s="214"/>
      <c r="AK280" s="214"/>
      <c r="AL280" s="215"/>
      <c r="AM280" s="216"/>
      <c r="AO280" s="245"/>
      <c r="AP280" s="245"/>
      <c r="AQ280" s="245"/>
      <c r="AR280" s="245"/>
      <c r="AS280" s="245"/>
      <c r="AT280" s="245"/>
      <c r="AU280" s="245"/>
      <c r="AV280" s="245"/>
      <c r="AW280" s="245"/>
      <c r="AX280" s="245"/>
      <c r="AZ280" s="245"/>
      <c r="BA280" s="283"/>
      <c r="BB280" s="283"/>
      <c r="BC280" s="239"/>
      <c r="BD280" s="283"/>
      <c r="BE280" s="239"/>
      <c r="BF280" s="239"/>
      <c r="BG280" s="239"/>
      <c r="BJ280" s="245"/>
      <c r="BK280" s="245"/>
      <c r="BM280" s="245"/>
      <c r="BN280" s="245"/>
      <c r="BO280" s="245"/>
      <c r="BP280" s="245"/>
      <c r="BQ280" s="245"/>
    </row>
    <row r="281" spans="1:69" ht="13.5" hidden="1" customHeight="1" x14ac:dyDescent="0.2">
      <c r="A281" s="842"/>
      <c r="C281" s="569"/>
      <c r="D281" s="570"/>
      <c r="E281" s="571"/>
      <c r="G281" s="204"/>
      <c r="H281" s="204"/>
      <c r="I281" s="199"/>
      <c r="J281" s="205"/>
      <c r="L281" s="206"/>
      <c r="M281" s="201"/>
      <c r="N281" s="207"/>
      <c r="O281" s="220"/>
      <c r="P281" s="169"/>
      <c r="Q281" s="169"/>
      <c r="R281" s="169"/>
      <c r="S281" s="169"/>
      <c r="Y281" s="210"/>
      <c r="Z281" s="211"/>
      <c r="AA281" s="210"/>
      <c r="AB281" s="210"/>
      <c r="AC281" s="210"/>
      <c r="AD281" s="212"/>
      <c r="AE281" s="210"/>
      <c r="AG281" s="214"/>
      <c r="AH281" s="214"/>
      <c r="AI281" s="215"/>
      <c r="AJ281" s="214"/>
      <c r="AK281" s="214"/>
      <c r="AL281" s="215"/>
      <c r="AM281" s="216"/>
      <c r="AO281" s="245"/>
      <c r="AP281" s="245"/>
      <c r="AQ281" s="245"/>
      <c r="AR281" s="245"/>
      <c r="AS281" s="245"/>
      <c r="AT281" s="245"/>
      <c r="AU281" s="245"/>
      <c r="AV281" s="245"/>
      <c r="AW281" s="245"/>
      <c r="AX281" s="245"/>
      <c r="AZ281" s="245"/>
      <c r="BA281" s="283"/>
      <c r="BB281" s="283"/>
      <c r="BC281" s="239"/>
      <c r="BD281" s="283"/>
      <c r="BE281" s="239"/>
      <c r="BF281" s="239"/>
      <c r="BG281" s="239"/>
      <c r="BJ281" s="245"/>
      <c r="BK281" s="245"/>
      <c r="BM281" s="245"/>
      <c r="BN281" s="245"/>
      <c r="BO281" s="245"/>
      <c r="BP281" s="245"/>
      <c r="BQ281" s="245"/>
    </row>
    <row r="282" spans="1:69" ht="21" hidden="1" customHeight="1" x14ac:dyDescent="0.2">
      <c r="A282" s="842"/>
      <c r="G282" s="576"/>
      <c r="H282" s="576"/>
      <c r="I282" s="567"/>
      <c r="K282" s="568"/>
      <c r="N282" s="169"/>
      <c r="O282" s="169"/>
      <c r="P282" s="169"/>
      <c r="Q282" s="169"/>
      <c r="R282" s="169"/>
      <c r="S282" s="169"/>
      <c r="Y282" s="229"/>
      <c r="Z282" s="230"/>
      <c r="AA282" s="231"/>
      <c r="AB282" s="231"/>
      <c r="AC282" s="231"/>
      <c r="AD282" s="232"/>
      <c r="AE282" s="231"/>
      <c r="AG282" s="233"/>
      <c r="AH282" s="233"/>
      <c r="AI282" s="234"/>
      <c r="AJ282" s="233"/>
      <c r="AK282" s="233"/>
      <c r="AL282" s="234"/>
      <c r="AM282" s="234"/>
      <c r="AO282" s="245"/>
      <c r="AP282" s="245"/>
      <c r="AQ282" s="245"/>
      <c r="AR282" s="245"/>
      <c r="AS282" s="245"/>
      <c r="AT282" s="245"/>
      <c r="AU282" s="245"/>
      <c r="AV282" s="245"/>
      <c r="AW282" s="245"/>
      <c r="AX282" s="245"/>
      <c r="AZ282" s="245"/>
      <c r="BA282" s="283"/>
      <c r="BB282" s="283"/>
      <c r="BC282" s="239"/>
      <c r="BD282" s="283"/>
      <c r="BE282" s="239"/>
      <c r="BF282" s="239"/>
      <c r="BG282" s="239"/>
      <c r="BJ282" s="245"/>
      <c r="BK282" s="245"/>
      <c r="BM282" s="245"/>
      <c r="BN282" s="245"/>
      <c r="BO282" s="245"/>
      <c r="BP282" s="245"/>
      <c r="BQ282" s="245"/>
    </row>
    <row r="283" spans="1:69" ht="13.5" hidden="1" customHeight="1" x14ac:dyDescent="0.2">
      <c r="A283" s="842"/>
      <c r="C283" s="569"/>
      <c r="D283" s="570"/>
      <c r="E283" s="571"/>
      <c r="G283" s="204"/>
      <c r="H283" s="204"/>
      <c r="I283" s="199"/>
      <c r="J283" s="205"/>
      <c r="L283" s="206"/>
      <c r="M283" s="201"/>
      <c r="N283" s="207"/>
      <c r="O283" s="208"/>
      <c r="P283" s="169"/>
      <c r="Q283" s="169"/>
      <c r="R283" s="169"/>
      <c r="S283" s="169"/>
      <c r="Y283" s="210"/>
      <c r="Z283" s="211"/>
      <c r="AA283" s="210"/>
      <c r="AB283" s="210"/>
      <c r="AC283" s="210"/>
      <c r="AD283" s="212"/>
      <c r="AE283" s="210"/>
      <c r="AG283" s="214"/>
      <c r="AH283" s="214"/>
      <c r="AI283" s="215"/>
      <c r="AJ283" s="214"/>
      <c r="AK283" s="214"/>
      <c r="AL283" s="215"/>
      <c r="AM283" s="216"/>
      <c r="AO283" s="245"/>
      <c r="AP283" s="245"/>
      <c r="AQ283" s="245"/>
      <c r="AR283" s="245"/>
      <c r="AS283" s="245"/>
      <c r="AT283" s="245"/>
      <c r="AU283" s="245"/>
      <c r="AV283" s="245"/>
      <c r="AW283" s="245"/>
      <c r="AX283" s="245"/>
      <c r="AZ283" s="245"/>
      <c r="BA283" s="283"/>
      <c r="BB283" s="283"/>
      <c r="BC283" s="239"/>
      <c r="BD283" s="283"/>
      <c r="BE283" s="239"/>
      <c r="BF283" s="239"/>
      <c r="BG283" s="239"/>
      <c r="BJ283" s="245"/>
      <c r="BK283" s="245"/>
      <c r="BM283" s="245"/>
      <c r="BN283" s="245"/>
      <c r="BO283" s="245"/>
      <c r="BP283" s="245"/>
      <c r="BQ283" s="245"/>
    </row>
    <row r="284" spans="1:69" ht="13.5" hidden="1" customHeight="1" x14ac:dyDescent="0.2">
      <c r="A284" s="842"/>
      <c r="C284" s="569"/>
      <c r="D284" s="570"/>
      <c r="E284" s="571"/>
      <c r="G284" s="204"/>
      <c r="H284" s="204"/>
      <c r="I284" s="199"/>
      <c r="J284" s="205"/>
      <c r="L284" s="206"/>
      <c r="M284" s="201"/>
      <c r="N284" s="207"/>
      <c r="O284" s="220"/>
      <c r="P284" s="169"/>
      <c r="Q284" s="169"/>
      <c r="R284" s="169"/>
      <c r="S284" s="169"/>
      <c r="Y284" s="210"/>
      <c r="Z284" s="211"/>
      <c r="AA284" s="210"/>
      <c r="AB284" s="210"/>
      <c r="AC284" s="210"/>
      <c r="AD284" s="212"/>
      <c r="AE284" s="210"/>
      <c r="AG284" s="214"/>
      <c r="AH284" s="214"/>
      <c r="AI284" s="215"/>
      <c r="AJ284" s="214"/>
      <c r="AK284" s="214"/>
      <c r="AL284" s="215"/>
      <c r="AM284" s="216"/>
      <c r="AO284" s="245"/>
      <c r="AP284" s="245"/>
      <c r="AQ284" s="245"/>
      <c r="AR284" s="245"/>
      <c r="AS284" s="245"/>
      <c r="AT284" s="245"/>
      <c r="AU284" s="245"/>
      <c r="AV284" s="245"/>
      <c r="AW284" s="245"/>
      <c r="AX284" s="245"/>
      <c r="AZ284" s="245"/>
      <c r="BA284" s="283"/>
      <c r="BB284" s="283"/>
      <c r="BC284" s="239"/>
      <c r="BD284" s="283"/>
      <c r="BE284" s="239"/>
      <c r="BF284" s="239"/>
      <c r="BG284" s="239"/>
      <c r="BJ284" s="245"/>
      <c r="BK284" s="245"/>
      <c r="BM284" s="245"/>
      <c r="BN284" s="245"/>
      <c r="BO284" s="245"/>
      <c r="BP284" s="245"/>
      <c r="BQ284" s="245"/>
    </row>
    <row r="285" spans="1:69" ht="13.5" hidden="1" customHeight="1" x14ac:dyDescent="0.2">
      <c r="A285" s="842"/>
      <c r="C285" s="569"/>
      <c r="D285" s="570"/>
      <c r="E285" s="571"/>
      <c r="G285" s="204"/>
      <c r="H285" s="204"/>
      <c r="I285" s="199"/>
      <c r="J285" s="205"/>
      <c r="L285" s="206"/>
      <c r="M285" s="201"/>
      <c r="N285" s="207"/>
      <c r="O285" s="220"/>
      <c r="P285" s="169"/>
      <c r="Q285" s="169"/>
      <c r="R285" s="169"/>
      <c r="S285" s="169"/>
      <c r="Y285" s="210"/>
      <c r="Z285" s="211"/>
      <c r="AA285" s="210"/>
      <c r="AB285" s="210"/>
      <c r="AC285" s="210"/>
      <c r="AD285" s="212"/>
      <c r="AE285" s="210"/>
      <c r="AG285" s="214"/>
      <c r="AH285" s="214"/>
      <c r="AI285" s="215"/>
      <c r="AJ285" s="214"/>
      <c r="AK285" s="214"/>
      <c r="AL285" s="215"/>
      <c r="AM285" s="216"/>
      <c r="AO285" s="245"/>
      <c r="AP285" s="245"/>
      <c r="AQ285" s="245"/>
      <c r="AR285" s="245"/>
      <c r="AS285" s="245"/>
      <c r="AT285" s="245"/>
      <c r="AU285" s="245"/>
      <c r="AV285" s="245"/>
      <c r="AW285" s="245"/>
      <c r="AX285" s="245"/>
      <c r="AZ285" s="245"/>
      <c r="BA285" s="283"/>
      <c r="BB285" s="283"/>
      <c r="BC285" s="239"/>
      <c r="BD285" s="283"/>
      <c r="BE285" s="239"/>
      <c r="BF285" s="239"/>
      <c r="BG285" s="239"/>
      <c r="BJ285" s="245"/>
      <c r="BK285" s="245"/>
      <c r="BM285" s="245"/>
      <c r="BN285" s="245"/>
      <c r="BO285" s="245"/>
      <c r="BP285" s="245"/>
      <c r="BQ285" s="245"/>
    </row>
    <row r="286" spans="1:69" ht="13.5" hidden="1" customHeight="1" x14ac:dyDescent="0.2">
      <c r="A286" s="842"/>
      <c r="C286" s="569"/>
      <c r="D286" s="570"/>
      <c r="E286" s="571"/>
      <c r="G286" s="204"/>
      <c r="H286" s="204"/>
      <c r="I286" s="199"/>
      <c r="J286" s="205"/>
      <c r="L286" s="206"/>
      <c r="M286" s="201"/>
      <c r="N286" s="207"/>
      <c r="O286" s="220"/>
      <c r="P286" s="169"/>
      <c r="Q286" s="169"/>
      <c r="R286" s="169"/>
      <c r="S286" s="169"/>
      <c r="Y286" s="210"/>
      <c r="Z286" s="211"/>
      <c r="AA286" s="210"/>
      <c r="AB286" s="210"/>
      <c r="AC286" s="210"/>
      <c r="AD286" s="212"/>
      <c r="AE286" s="210"/>
      <c r="AG286" s="214"/>
      <c r="AH286" s="214"/>
      <c r="AI286" s="215"/>
      <c r="AJ286" s="214"/>
      <c r="AK286" s="214"/>
      <c r="AL286" s="215"/>
      <c r="AM286" s="216"/>
      <c r="AO286" s="245"/>
      <c r="AP286" s="245"/>
      <c r="AQ286" s="245"/>
      <c r="AR286" s="245"/>
      <c r="AS286" s="245"/>
      <c r="AT286" s="245"/>
      <c r="AU286" s="245"/>
      <c r="AV286" s="245"/>
      <c r="AW286" s="245"/>
      <c r="AX286" s="245"/>
      <c r="AZ286" s="245"/>
      <c r="BA286" s="283"/>
      <c r="BB286" s="283"/>
      <c r="BC286" s="239"/>
      <c r="BD286" s="283"/>
      <c r="BE286" s="239"/>
      <c r="BF286" s="239"/>
      <c r="BG286" s="239"/>
      <c r="BJ286" s="245"/>
      <c r="BK286" s="245"/>
      <c r="BM286" s="245"/>
      <c r="BN286" s="245"/>
      <c r="BO286" s="245"/>
      <c r="BP286" s="245"/>
      <c r="BQ286" s="245"/>
    </row>
    <row r="287" spans="1:69" ht="13.5" hidden="1" customHeight="1" x14ac:dyDescent="0.2">
      <c r="A287" s="842"/>
      <c r="I287" s="169"/>
      <c r="J287" s="169"/>
      <c r="K287" s="169"/>
      <c r="L287" s="169"/>
      <c r="M287" s="169"/>
      <c r="N287" s="169"/>
      <c r="O287" s="169"/>
      <c r="P287" s="169"/>
      <c r="Q287" s="169"/>
      <c r="R287" s="169"/>
      <c r="S287" s="169"/>
      <c r="Y287" s="229"/>
      <c r="Z287" s="230"/>
      <c r="AG287" s="233"/>
      <c r="AH287" s="233"/>
      <c r="AI287" s="234"/>
      <c r="AJ287" s="233"/>
      <c r="AK287" s="233"/>
      <c r="AL287" s="234"/>
      <c r="AM287" s="234"/>
      <c r="AO287" s="245"/>
      <c r="AP287" s="245"/>
      <c r="AQ287" s="245"/>
      <c r="AR287" s="245"/>
      <c r="AS287" s="245"/>
      <c r="AT287" s="245"/>
      <c r="AU287" s="245"/>
      <c r="AV287" s="245"/>
      <c r="AW287" s="245"/>
      <c r="AX287" s="245"/>
      <c r="AZ287" s="245"/>
      <c r="BA287" s="283"/>
      <c r="BB287" s="283"/>
      <c r="BC287" s="239"/>
      <c r="BD287" s="283"/>
      <c r="BE287" s="239"/>
      <c r="BF287" s="239"/>
      <c r="BG287" s="239"/>
      <c r="BJ287" s="245"/>
      <c r="BK287" s="245"/>
      <c r="BM287" s="245"/>
      <c r="BN287" s="245"/>
      <c r="BO287" s="245"/>
      <c r="BP287" s="245"/>
      <c r="BQ287" s="245"/>
    </row>
    <row r="288" spans="1:69" ht="13.5" hidden="1" customHeight="1" x14ac:dyDescent="0.2">
      <c r="A288" s="842"/>
      <c r="I288" s="170"/>
      <c r="J288" s="171"/>
      <c r="K288" s="171"/>
      <c r="L288" s="171"/>
      <c r="M288" s="170"/>
      <c r="N288" s="172"/>
      <c r="Y288" s="229"/>
      <c r="Z288" s="230"/>
      <c r="AA288" s="231"/>
      <c r="AB288" s="231"/>
      <c r="AC288" s="231"/>
      <c r="AD288" s="232"/>
      <c r="AE288" s="231"/>
      <c r="AG288" s="233"/>
      <c r="AH288" s="233"/>
      <c r="AI288" s="234"/>
      <c r="AJ288" s="233"/>
      <c r="AK288" s="233"/>
      <c r="AL288" s="234"/>
      <c r="AM288" s="234"/>
      <c r="AO288" s="245"/>
      <c r="AP288" s="245"/>
      <c r="AQ288" s="245"/>
      <c r="AR288" s="245"/>
      <c r="AS288" s="245"/>
      <c r="AT288" s="245"/>
      <c r="AU288" s="245"/>
      <c r="AZ288" s="245"/>
      <c r="BA288" s="283"/>
      <c r="BB288" s="283"/>
      <c r="BC288" s="239"/>
      <c r="BD288" s="283"/>
      <c r="BE288" s="239"/>
      <c r="BF288" s="239"/>
      <c r="BG288" s="239"/>
      <c r="BJ288" s="245"/>
      <c r="BK288" s="245"/>
      <c r="BM288" s="245"/>
      <c r="BN288" s="245"/>
      <c r="BO288" s="245"/>
      <c r="BP288" s="245"/>
      <c r="BQ288" s="245"/>
    </row>
    <row r="289" spans="1:69" ht="13.5" hidden="1" customHeight="1" x14ac:dyDescent="0.2">
      <c r="A289" s="842"/>
      <c r="B289" s="309"/>
      <c r="C289" s="309"/>
      <c r="D289" s="544"/>
      <c r="E289" s="544"/>
      <c r="F289" s="544"/>
      <c r="G289" s="544"/>
      <c r="H289" s="544"/>
      <c r="I289" s="844"/>
      <c r="J289" s="844"/>
      <c r="K289" s="844"/>
      <c r="L289" s="844"/>
      <c r="M289" s="564"/>
      <c r="N289" s="565"/>
      <c r="O289" s="566"/>
      <c r="P289" s="169"/>
      <c r="Q289" s="169"/>
      <c r="R289" s="169"/>
      <c r="S289" s="169"/>
      <c r="AA289" s="231"/>
      <c r="AP289" s="245"/>
      <c r="AQ289" s="245"/>
      <c r="AR289" s="245"/>
      <c r="AS289" s="245"/>
      <c r="AU289" s="243"/>
      <c r="AZ289" s="245"/>
      <c r="BA289" s="283"/>
      <c r="BB289" s="283"/>
      <c r="BC289" s="239"/>
      <c r="BD289" s="283"/>
      <c r="BE289" s="239"/>
      <c r="BF289" s="239"/>
      <c r="BG289" s="239"/>
      <c r="BJ289" s="245"/>
      <c r="BK289" s="245"/>
      <c r="BM289" s="245"/>
      <c r="BN289" s="245"/>
      <c r="BO289" s="245"/>
      <c r="BP289" s="245"/>
      <c r="BQ289" s="245"/>
    </row>
    <row r="290" spans="1:69" ht="21" hidden="1" customHeight="1" x14ac:dyDescent="0.2">
      <c r="A290" s="842"/>
      <c r="I290" s="567"/>
      <c r="K290" s="568"/>
      <c r="O290" s="169"/>
      <c r="P290" s="169"/>
      <c r="Q290" s="169"/>
      <c r="R290" s="169"/>
      <c r="S290" s="169"/>
      <c r="AA290" s="231"/>
      <c r="AO290" s="245"/>
      <c r="AP290" s="245"/>
      <c r="AQ290" s="245"/>
      <c r="AR290" s="245"/>
      <c r="AS290" s="245"/>
      <c r="AT290" s="245"/>
      <c r="AU290" s="245"/>
      <c r="AZ290" s="245"/>
      <c r="BA290" s="283"/>
      <c r="BB290" s="283"/>
      <c r="BC290" s="239"/>
      <c r="BD290" s="283"/>
      <c r="BE290" s="239"/>
      <c r="BF290" s="239"/>
      <c r="BG290" s="239"/>
      <c r="BJ290" s="245"/>
      <c r="BK290" s="245"/>
      <c r="BM290" s="245"/>
      <c r="BN290" s="245"/>
      <c r="BO290" s="245"/>
      <c r="BP290" s="245"/>
      <c r="BQ290" s="245"/>
    </row>
    <row r="291" spans="1:69" ht="13.5" hidden="1" customHeight="1" x14ac:dyDescent="0.2">
      <c r="A291" s="842"/>
      <c r="C291" s="569"/>
      <c r="D291" s="570"/>
      <c r="E291" s="571"/>
      <c r="G291" s="204"/>
      <c r="H291" s="204"/>
      <c r="I291" s="199"/>
      <c r="J291" s="205"/>
      <c r="L291" s="206"/>
      <c r="M291" s="201"/>
      <c r="N291" s="207"/>
      <c r="O291" s="208"/>
      <c r="P291" s="169"/>
      <c r="Q291" s="169"/>
      <c r="R291" s="169"/>
      <c r="S291" s="169"/>
      <c r="T291" s="209"/>
      <c r="U291" s="209"/>
      <c r="V291" s="209"/>
      <c r="W291" s="209"/>
      <c r="Y291" s="210"/>
      <c r="Z291" s="211"/>
      <c r="AA291" s="210"/>
      <c r="AB291" s="210"/>
      <c r="AC291" s="210"/>
      <c r="AD291" s="212"/>
      <c r="AE291" s="210"/>
      <c r="AF291" s="213"/>
      <c r="AG291" s="214"/>
      <c r="AH291" s="214"/>
      <c r="AI291" s="215"/>
      <c r="AJ291" s="214"/>
      <c r="AK291" s="214"/>
      <c r="AL291" s="215"/>
      <c r="AM291" s="216"/>
      <c r="AO291" s="245"/>
      <c r="AP291" s="245"/>
      <c r="AQ291" s="245"/>
      <c r="AR291" s="245"/>
      <c r="AS291" s="245"/>
      <c r="AT291" s="245"/>
      <c r="AU291" s="245"/>
      <c r="AZ291" s="245"/>
      <c r="BA291" s="283"/>
      <c r="BB291" s="283"/>
      <c r="BC291" s="239"/>
      <c r="BD291" s="283"/>
      <c r="BE291" s="239"/>
      <c r="BF291" s="239"/>
      <c r="BG291" s="239"/>
      <c r="BJ291" s="245"/>
      <c r="BK291" s="245"/>
      <c r="BM291" s="245"/>
      <c r="BN291" s="245"/>
      <c r="BO291" s="245"/>
      <c r="BP291" s="245"/>
      <c r="BQ291" s="245"/>
    </row>
    <row r="292" spans="1:69" ht="13.5" hidden="1" customHeight="1" x14ac:dyDescent="0.2">
      <c r="A292" s="842"/>
      <c r="C292" s="569"/>
      <c r="D292" s="570"/>
      <c r="E292" s="571"/>
      <c r="G292" s="204"/>
      <c r="H292" s="204"/>
      <c r="I292" s="199"/>
      <c r="J292" s="205"/>
      <c r="L292" s="206"/>
      <c r="M292" s="201"/>
      <c r="N292" s="207"/>
      <c r="O292" s="220"/>
      <c r="P292" s="169"/>
      <c r="Q292" s="169"/>
      <c r="R292" s="169"/>
      <c r="S292" s="169"/>
      <c r="T292" s="209"/>
      <c r="U292" s="209"/>
      <c r="V292" s="209"/>
      <c r="W292" s="209"/>
      <c r="Y292" s="210"/>
      <c r="Z292" s="211"/>
      <c r="AA292" s="210"/>
      <c r="AB292" s="210"/>
      <c r="AC292" s="210"/>
      <c r="AD292" s="212"/>
      <c r="AE292" s="210"/>
      <c r="AF292" s="213"/>
      <c r="AG292" s="214"/>
      <c r="AH292" s="214"/>
      <c r="AI292" s="215"/>
      <c r="AJ292" s="214"/>
      <c r="AK292" s="214"/>
      <c r="AL292" s="215"/>
      <c r="AM292" s="216"/>
      <c r="AO292" s="245"/>
      <c r="AP292" s="245"/>
      <c r="AQ292" s="245"/>
      <c r="AR292" s="245"/>
      <c r="AS292" s="245"/>
      <c r="AT292" s="245"/>
      <c r="AU292" s="245"/>
      <c r="AZ292" s="245"/>
      <c r="BA292" s="283"/>
      <c r="BB292" s="283"/>
      <c r="BC292" s="239"/>
      <c r="BD292" s="283"/>
      <c r="BE292" s="239"/>
      <c r="BF292" s="239"/>
      <c r="BG292" s="239"/>
      <c r="BJ292" s="245"/>
      <c r="BK292" s="245"/>
      <c r="BM292" s="245"/>
      <c r="BN292" s="245"/>
      <c r="BO292" s="245"/>
      <c r="BP292" s="245"/>
      <c r="BQ292" s="245"/>
    </row>
    <row r="293" spans="1:69" ht="13.5" hidden="1" customHeight="1" x14ac:dyDescent="0.2">
      <c r="A293" s="842"/>
      <c r="C293" s="569"/>
      <c r="D293" s="570"/>
      <c r="E293" s="571"/>
      <c r="G293" s="204"/>
      <c r="H293" s="204"/>
      <c r="I293" s="199"/>
      <c r="J293" s="205"/>
      <c r="L293" s="206"/>
      <c r="M293" s="201"/>
      <c r="N293" s="207"/>
      <c r="O293" s="220"/>
      <c r="P293" s="169"/>
      <c r="Q293" s="169"/>
      <c r="R293" s="169"/>
      <c r="S293" s="169"/>
      <c r="T293" s="209"/>
      <c r="U293" s="209"/>
      <c r="V293" s="209"/>
      <c r="W293" s="209"/>
      <c r="Y293" s="210"/>
      <c r="Z293" s="211"/>
      <c r="AA293" s="210"/>
      <c r="AB293" s="210"/>
      <c r="AC293" s="210"/>
      <c r="AD293" s="212"/>
      <c r="AE293" s="210"/>
      <c r="AF293" s="213"/>
      <c r="AG293" s="214"/>
      <c r="AH293" s="214"/>
      <c r="AI293" s="215"/>
      <c r="AJ293" s="214"/>
      <c r="AK293" s="214"/>
      <c r="AL293" s="215"/>
      <c r="AM293" s="216"/>
      <c r="AO293" s="245"/>
      <c r="AP293" s="245"/>
      <c r="AQ293" s="245"/>
      <c r="AR293" s="245"/>
      <c r="AS293" s="245"/>
      <c r="AT293" s="245"/>
      <c r="AU293" s="245"/>
      <c r="AV293" s="245"/>
      <c r="AW293" s="245"/>
      <c r="AX293" s="245"/>
      <c r="BA293" s="283"/>
      <c r="BB293" s="283"/>
      <c r="BC293" s="239"/>
      <c r="BD293" s="283"/>
      <c r="BE293" s="239"/>
      <c r="BF293" s="239"/>
      <c r="BG293" s="239"/>
      <c r="BJ293" s="245"/>
    </row>
    <row r="294" spans="1:69" ht="13.5" hidden="1" customHeight="1" x14ac:dyDescent="0.2">
      <c r="A294" s="842"/>
      <c r="C294" s="569"/>
      <c r="D294" s="570"/>
      <c r="E294" s="571"/>
      <c r="G294" s="204"/>
      <c r="H294" s="204"/>
      <c r="I294" s="199"/>
      <c r="J294" s="205"/>
      <c r="L294" s="206"/>
      <c r="M294" s="201"/>
      <c r="N294" s="207"/>
      <c r="O294" s="220"/>
      <c r="P294" s="169"/>
      <c r="Q294" s="169"/>
      <c r="R294" s="169"/>
      <c r="S294" s="169"/>
      <c r="T294" s="209"/>
      <c r="U294" s="209"/>
      <c r="Y294" s="210"/>
      <c r="Z294" s="211"/>
      <c r="AA294" s="210"/>
      <c r="AB294" s="210"/>
      <c r="AC294" s="210"/>
      <c r="AD294" s="212"/>
      <c r="AE294" s="210"/>
      <c r="AF294" s="213"/>
      <c r="AG294" s="214"/>
      <c r="AH294" s="214"/>
      <c r="AI294" s="215"/>
      <c r="AJ294" s="214"/>
      <c r="AK294" s="214"/>
      <c r="AL294" s="215"/>
      <c r="AM294" s="216"/>
      <c r="AO294" s="245"/>
      <c r="AP294" s="245"/>
      <c r="AQ294" s="245"/>
      <c r="AR294" s="245"/>
      <c r="AS294" s="245"/>
      <c r="AT294" s="245"/>
      <c r="AU294" s="245"/>
      <c r="AV294" s="245"/>
      <c r="AW294" s="245"/>
      <c r="AX294" s="245"/>
      <c r="AZ294" s="245"/>
      <c r="BA294" s="283"/>
      <c r="BB294" s="283"/>
      <c r="BC294" s="239"/>
      <c r="BD294" s="283"/>
      <c r="BE294" s="239"/>
      <c r="BF294" s="239"/>
      <c r="BG294" s="239"/>
      <c r="BJ294" s="245"/>
      <c r="BK294" s="245"/>
      <c r="BM294" s="245"/>
      <c r="BN294" s="245"/>
      <c r="BO294" s="245"/>
      <c r="BP294" s="245"/>
      <c r="BQ294" s="245"/>
    </row>
    <row r="295" spans="1:69" ht="21" hidden="1" customHeight="1" x14ac:dyDescent="0.2">
      <c r="A295" s="842"/>
      <c r="G295" s="576"/>
      <c r="H295" s="576"/>
      <c r="I295" s="567"/>
      <c r="K295" s="568"/>
      <c r="N295" s="223"/>
      <c r="O295" s="169"/>
      <c r="P295" s="169"/>
      <c r="Q295" s="169"/>
      <c r="R295" s="169"/>
      <c r="S295" s="169"/>
      <c r="T295" s="209"/>
      <c r="U295" s="209"/>
      <c r="V295" s="209"/>
      <c r="W295" s="209"/>
      <c r="Y295" s="229"/>
      <c r="Z295" s="230"/>
      <c r="AA295" s="231"/>
      <c r="AB295" s="231"/>
      <c r="AC295" s="231"/>
      <c r="AD295" s="232"/>
      <c r="AE295" s="231"/>
      <c r="AG295" s="233"/>
      <c r="AH295" s="233"/>
      <c r="AI295" s="234"/>
      <c r="AJ295" s="233"/>
      <c r="AK295" s="233"/>
      <c r="AL295" s="234"/>
      <c r="AM295" s="234"/>
      <c r="AO295" s="245"/>
      <c r="AP295" s="245"/>
      <c r="AQ295" s="245"/>
      <c r="AR295" s="245"/>
      <c r="AS295" s="245"/>
      <c r="AT295" s="245"/>
      <c r="AU295" s="245"/>
      <c r="AV295" s="245"/>
      <c r="AW295" s="245"/>
      <c r="AX295" s="245"/>
      <c r="AZ295" s="245"/>
      <c r="BA295" s="283"/>
      <c r="BB295" s="283"/>
      <c r="BC295" s="239"/>
      <c r="BD295" s="283"/>
      <c r="BE295" s="239"/>
      <c r="BF295" s="239"/>
      <c r="BG295" s="239"/>
      <c r="BJ295" s="245"/>
      <c r="BK295" s="245"/>
      <c r="BM295" s="245"/>
      <c r="BN295" s="245"/>
      <c r="BO295" s="245"/>
      <c r="BP295" s="245"/>
      <c r="BQ295" s="245"/>
    </row>
    <row r="296" spans="1:69" ht="13.5" hidden="1" customHeight="1" x14ac:dyDescent="0.2">
      <c r="A296" s="842"/>
      <c r="C296" s="569"/>
      <c r="D296" s="570"/>
      <c r="E296" s="571"/>
      <c r="G296" s="204"/>
      <c r="H296" s="204"/>
      <c r="I296" s="199"/>
      <c r="J296" s="205"/>
      <c r="L296" s="206"/>
      <c r="M296" s="201"/>
      <c r="N296" s="207"/>
      <c r="O296" s="208"/>
      <c r="P296" s="169"/>
      <c r="Q296" s="169"/>
      <c r="R296" s="169"/>
      <c r="S296" s="169"/>
      <c r="Y296" s="210"/>
      <c r="Z296" s="211"/>
      <c r="AA296" s="210"/>
      <c r="AB296" s="210"/>
      <c r="AC296" s="210"/>
      <c r="AD296" s="212"/>
      <c r="AE296" s="210"/>
      <c r="AG296" s="214"/>
      <c r="AH296" s="214"/>
      <c r="AI296" s="215"/>
      <c r="AJ296" s="214"/>
      <c r="AK296" s="214"/>
      <c r="AL296" s="215"/>
      <c r="AM296" s="216"/>
      <c r="AO296" s="245"/>
      <c r="AP296" s="245"/>
      <c r="AQ296" s="245"/>
      <c r="AR296" s="245"/>
      <c r="AS296" s="245"/>
      <c r="AT296" s="245"/>
      <c r="AU296" s="245"/>
      <c r="AV296" s="245"/>
      <c r="AW296" s="245"/>
      <c r="AX296" s="245"/>
      <c r="AZ296" s="245"/>
      <c r="BA296" s="283"/>
      <c r="BB296" s="283"/>
      <c r="BC296" s="239"/>
      <c r="BD296" s="283"/>
      <c r="BE296" s="239"/>
      <c r="BF296" s="239"/>
      <c r="BG296" s="239"/>
      <c r="BJ296" s="245"/>
      <c r="BK296" s="245"/>
      <c r="BM296" s="245"/>
      <c r="BN296" s="245"/>
      <c r="BO296" s="245"/>
      <c r="BP296" s="245"/>
      <c r="BQ296" s="245"/>
    </row>
    <row r="297" spans="1:69" ht="13.5" hidden="1" customHeight="1" x14ac:dyDescent="0.2">
      <c r="A297" s="842"/>
      <c r="C297" s="569"/>
      <c r="D297" s="570"/>
      <c r="E297" s="571"/>
      <c r="G297" s="204"/>
      <c r="H297" s="204"/>
      <c r="I297" s="199"/>
      <c r="J297" s="205"/>
      <c r="L297" s="206"/>
      <c r="M297" s="201"/>
      <c r="N297" s="207"/>
      <c r="O297" s="220"/>
      <c r="P297" s="169"/>
      <c r="Q297" s="169"/>
      <c r="R297" s="169"/>
      <c r="S297" s="169"/>
      <c r="Y297" s="210"/>
      <c r="Z297" s="211"/>
      <c r="AA297" s="210"/>
      <c r="AB297" s="210"/>
      <c r="AC297" s="210"/>
      <c r="AD297" s="212"/>
      <c r="AE297" s="210"/>
      <c r="AG297" s="214"/>
      <c r="AH297" s="214"/>
      <c r="AI297" s="215"/>
      <c r="AJ297" s="214"/>
      <c r="AK297" s="214"/>
      <c r="AL297" s="215"/>
      <c r="AM297" s="216"/>
      <c r="AO297" s="245"/>
      <c r="AP297" s="245"/>
      <c r="AQ297" s="245"/>
      <c r="AR297" s="245"/>
      <c r="AS297" s="245"/>
      <c r="AT297" s="245"/>
      <c r="AU297" s="245"/>
      <c r="AV297" s="245"/>
      <c r="AW297" s="245"/>
      <c r="AX297" s="245"/>
      <c r="AZ297" s="245"/>
      <c r="BA297" s="283"/>
      <c r="BB297" s="283"/>
      <c r="BC297" s="239"/>
      <c r="BD297" s="283"/>
      <c r="BE297" s="239"/>
      <c r="BF297" s="239"/>
      <c r="BG297" s="239"/>
      <c r="BJ297" s="245"/>
      <c r="BK297" s="245"/>
      <c r="BM297" s="245"/>
      <c r="BN297" s="245"/>
      <c r="BO297" s="245"/>
      <c r="BP297" s="245"/>
      <c r="BQ297" s="245"/>
    </row>
    <row r="298" spans="1:69" ht="13.5" hidden="1" customHeight="1" x14ac:dyDescent="0.2">
      <c r="A298" s="842"/>
      <c r="C298" s="569"/>
      <c r="D298" s="570"/>
      <c r="E298" s="571"/>
      <c r="G298" s="204"/>
      <c r="H298" s="204"/>
      <c r="I298" s="199"/>
      <c r="J298" s="205"/>
      <c r="L298" s="206"/>
      <c r="M298" s="201"/>
      <c r="N298" s="207"/>
      <c r="O298" s="220"/>
      <c r="P298" s="169"/>
      <c r="Q298" s="169"/>
      <c r="R298" s="169"/>
      <c r="S298" s="169"/>
      <c r="Y298" s="210"/>
      <c r="Z298" s="211"/>
      <c r="AA298" s="210"/>
      <c r="AB298" s="210"/>
      <c r="AC298" s="210"/>
      <c r="AD298" s="212"/>
      <c r="AE298" s="210"/>
      <c r="AG298" s="214"/>
      <c r="AH298" s="214"/>
      <c r="AI298" s="215"/>
      <c r="AJ298" s="214"/>
      <c r="AK298" s="214"/>
      <c r="AL298" s="215"/>
      <c r="AM298" s="216"/>
      <c r="AO298" s="245"/>
      <c r="AP298" s="245"/>
      <c r="AQ298" s="245"/>
      <c r="AR298" s="245"/>
      <c r="AS298" s="245"/>
      <c r="AT298" s="245"/>
      <c r="AU298" s="245"/>
      <c r="AV298" s="245"/>
      <c r="AW298" s="245"/>
      <c r="AX298" s="245"/>
      <c r="AZ298" s="245"/>
      <c r="BA298" s="283"/>
      <c r="BB298" s="283"/>
      <c r="BC298" s="239"/>
      <c r="BD298" s="283"/>
      <c r="BE298" s="239"/>
      <c r="BF298" s="239"/>
      <c r="BG298" s="239"/>
      <c r="BJ298" s="245"/>
      <c r="BK298" s="245"/>
      <c r="BM298" s="245"/>
      <c r="BN298" s="245"/>
      <c r="BO298" s="245"/>
      <c r="BP298" s="245"/>
      <c r="BQ298" s="245"/>
    </row>
    <row r="299" spans="1:69" ht="13.5" hidden="1" customHeight="1" x14ac:dyDescent="0.2">
      <c r="A299" s="842"/>
      <c r="C299" s="569"/>
      <c r="D299" s="570"/>
      <c r="E299" s="571"/>
      <c r="G299" s="204"/>
      <c r="H299" s="204"/>
      <c r="I299" s="199"/>
      <c r="J299" s="205"/>
      <c r="L299" s="206"/>
      <c r="M299" s="201"/>
      <c r="N299" s="207"/>
      <c r="O299" s="220"/>
      <c r="P299" s="169"/>
      <c r="Q299" s="169"/>
      <c r="R299" s="169"/>
      <c r="S299" s="169"/>
      <c r="Y299" s="210"/>
      <c r="Z299" s="211"/>
      <c r="AA299" s="210"/>
      <c r="AB299" s="210"/>
      <c r="AC299" s="210"/>
      <c r="AD299" s="212"/>
      <c r="AE299" s="210"/>
      <c r="AG299" s="214"/>
      <c r="AH299" s="214"/>
      <c r="AI299" s="215"/>
      <c r="AJ299" s="214"/>
      <c r="AK299" s="214"/>
      <c r="AL299" s="215"/>
      <c r="AM299" s="216"/>
      <c r="AO299" s="245"/>
      <c r="AP299" s="245"/>
      <c r="AQ299" s="245"/>
      <c r="AR299" s="245"/>
      <c r="AS299" s="245"/>
      <c r="AT299" s="245"/>
      <c r="AU299" s="245"/>
      <c r="AV299" s="245"/>
      <c r="AW299" s="245"/>
      <c r="AX299" s="245"/>
      <c r="AZ299" s="245"/>
      <c r="BA299" s="283"/>
      <c r="BB299" s="283"/>
      <c r="BC299" s="239"/>
      <c r="BD299" s="283"/>
      <c r="BE299" s="239"/>
      <c r="BF299" s="239"/>
      <c r="BG299" s="239"/>
      <c r="BJ299" s="245"/>
      <c r="BK299" s="245"/>
      <c r="BM299" s="245"/>
      <c r="BN299" s="245"/>
      <c r="BO299" s="245"/>
      <c r="BP299" s="245"/>
      <c r="BQ299" s="245"/>
    </row>
    <row r="300" spans="1:69" ht="21" hidden="1" customHeight="1" x14ac:dyDescent="0.2">
      <c r="A300" s="842"/>
      <c r="G300" s="576"/>
      <c r="H300" s="576"/>
      <c r="I300" s="567"/>
      <c r="K300" s="568"/>
      <c r="N300" s="169"/>
      <c r="O300" s="169"/>
      <c r="P300" s="169"/>
      <c r="Q300" s="169"/>
      <c r="R300" s="169"/>
      <c r="S300" s="169"/>
      <c r="Y300" s="229"/>
      <c r="Z300" s="230"/>
      <c r="AA300" s="231"/>
      <c r="AB300" s="231"/>
      <c r="AC300" s="231"/>
      <c r="AD300" s="232"/>
      <c r="AE300" s="231"/>
      <c r="AG300" s="233"/>
      <c r="AH300" s="233"/>
      <c r="AI300" s="234"/>
      <c r="AJ300" s="233"/>
      <c r="AK300" s="233"/>
      <c r="AL300" s="234"/>
      <c r="AM300" s="234"/>
      <c r="AO300" s="245"/>
      <c r="AP300" s="245"/>
      <c r="AQ300" s="245"/>
      <c r="AR300" s="245"/>
      <c r="AS300" s="245"/>
      <c r="AT300" s="245"/>
      <c r="AU300" s="245"/>
      <c r="AV300" s="245"/>
      <c r="AW300" s="245"/>
      <c r="AX300" s="245"/>
      <c r="AZ300" s="245"/>
      <c r="BA300" s="283"/>
      <c r="BB300" s="283"/>
      <c r="BC300" s="239"/>
      <c r="BD300" s="283"/>
      <c r="BE300" s="239"/>
      <c r="BF300" s="239"/>
      <c r="BG300" s="239"/>
      <c r="BJ300" s="245"/>
      <c r="BK300" s="245"/>
      <c r="BM300" s="245"/>
      <c r="BN300" s="245"/>
      <c r="BO300" s="245"/>
      <c r="BP300" s="245"/>
      <c r="BQ300" s="245"/>
    </row>
    <row r="301" spans="1:69" ht="13.5" hidden="1" customHeight="1" x14ac:dyDescent="0.2">
      <c r="A301" s="842"/>
      <c r="C301" s="569"/>
      <c r="D301" s="570"/>
      <c r="E301" s="571"/>
      <c r="G301" s="204"/>
      <c r="H301" s="204"/>
      <c r="I301" s="199"/>
      <c r="J301" s="205"/>
      <c r="L301" s="206"/>
      <c r="M301" s="201"/>
      <c r="N301" s="207"/>
      <c r="O301" s="208"/>
      <c r="P301" s="169"/>
      <c r="Q301" s="169"/>
      <c r="R301" s="169"/>
      <c r="S301" s="169"/>
      <c r="Y301" s="210"/>
      <c r="Z301" s="211"/>
      <c r="AA301" s="210"/>
      <c r="AB301" s="210"/>
      <c r="AC301" s="210"/>
      <c r="AD301" s="212"/>
      <c r="AE301" s="210"/>
      <c r="AG301" s="214"/>
      <c r="AH301" s="214"/>
      <c r="AI301" s="215"/>
      <c r="AJ301" s="214"/>
      <c r="AK301" s="214"/>
      <c r="AL301" s="215"/>
      <c r="AM301" s="216"/>
      <c r="AO301" s="245"/>
      <c r="AP301" s="245"/>
      <c r="AQ301" s="245"/>
      <c r="AR301" s="245"/>
      <c r="AS301" s="245"/>
      <c r="AT301" s="245"/>
      <c r="AU301" s="245"/>
      <c r="AV301" s="245"/>
      <c r="AW301" s="245"/>
      <c r="AX301" s="245"/>
      <c r="AZ301" s="245"/>
      <c r="BA301" s="283"/>
      <c r="BB301" s="283"/>
      <c r="BC301" s="239"/>
      <c r="BD301" s="283"/>
      <c r="BE301" s="239"/>
      <c r="BF301" s="239"/>
      <c r="BG301" s="239"/>
      <c r="BJ301" s="245"/>
      <c r="BK301" s="245"/>
      <c r="BM301" s="245"/>
      <c r="BN301" s="245"/>
      <c r="BO301" s="245"/>
      <c r="BP301" s="245"/>
      <c r="BQ301" s="245"/>
    </row>
    <row r="302" spans="1:69" ht="13.5" hidden="1" customHeight="1" x14ac:dyDescent="0.2">
      <c r="A302" s="842"/>
      <c r="C302" s="569"/>
      <c r="D302" s="570"/>
      <c r="E302" s="571"/>
      <c r="G302" s="204"/>
      <c r="H302" s="204"/>
      <c r="I302" s="199"/>
      <c r="J302" s="205"/>
      <c r="L302" s="206"/>
      <c r="M302" s="201"/>
      <c r="N302" s="207"/>
      <c r="O302" s="220"/>
      <c r="P302" s="169"/>
      <c r="Q302" s="169"/>
      <c r="R302" s="169"/>
      <c r="S302" s="169"/>
      <c r="Y302" s="210"/>
      <c r="Z302" s="211"/>
      <c r="AA302" s="210"/>
      <c r="AB302" s="210"/>
      <c r="AC302" s="210"/>
      <c r="AD302" s="212"/>
      <c r="AE302" s="210"/>
      <c r="AG302" s="214"/>
      <c r="AH302" s="214"/>
      <c r="AI302" s="215"/>
      <c r="AJ302" s="214"/>
      <c r="AK302" s="214"/>
      <c r="AL302" s="215"/>
      <c r="AM302" s="216"/>
      <c r="AO302" s="245"/>
      <c r="AP302" s="245"/>
      <c r="AQ302" s="245"/>
      <c r="AR302" s="245"/>
      <c r="AS302" s="245"/>
      <c r="AT302" s="245"/>
      <c r="AU302" s="245"/>
      <c r="AV302" s="245"/>
      <c r="AW302" s="245"/>
      <c r="AX302" s="245"/>
      <c r="AZ302" s="245"/>
      <c r="BA302" s="283"/>
      <c r="BB302" s="283"/>
      <c r="BC302" s="239"/>
      <c r="BD302" s="283"/>
      <c r="BE302" s="239"/>
      <c r="BF302" s="239"/>
      <c r="BG302" s="239"/>
      <c r="BJ302" s="245"/>
      <c r="BK302" s="245"/>
      <c r="BM302" s="245"/>
      <c r="BN302" s="245"/>
      <c r="BO302" s="245"/>
      <c r="BP302" s="245"/>
      <c r="BQ302" s="245"/>
    </row>
    <row r="303" spans="1:69" ht="13.5" hidden="1" customHeight="1" x14ac:dyDescent="0.2">
      <c r="A303" s="842"/>
      <c r="C303" s="569"/>
      <c r="D303" s="570"/>
      <c r="E303" s="571"/>
      <c r="G303" s="204"/>
      <c r="H303" s="204"/>
      <c r="I303" s="199"/>
      <c r="J303" s="205"/>
      <c r="L303" s="206"/>
      <c r="M303" s="201"/>
      <c r="N303" s="207"/>
      <c r="O303" s="220"/>
      <c r="P303" s="169"/>
      <c r="Q303" s="169"/>
      <c r="R303" s="169"/>
      <c r="S303" s="169"/>
      <c r="Y303" s="210"/>
      <c r="Z303" s="211"/>
      <c r="AA303" s="210"/>
      <c r="AB303" s="210"/>
      <c r="AC303" s="210"/>
      <c r="AD303" s="212"/>
      <c r="AE303" s="210"/>
      <c r="AG303" s="214"/>
      <c r="AH303" s="214"/>
      <c r="AI303" s="215"/>
      <c r="AJ303" s="214"/>
      <c r="AK303" s="214"/>
      <c r="AL303" s="215"/>
      <c r="AM303" s="216"/>
      <c r="AO303" s="245"/>
      <c r="AP303" s="245"/>
      <c r="AQ303" s="245"/>
      <c r="AR303" s="245"/>
      <c r="AS303" s="245"/>
      <c r="AT303" s="245"/>
      <c r="AU303" s="245"/>
      <c r="AV303" s="245"/>
      <c r="AW303" s="245"/>
      <c r="AX303" s="245"/>
      <c r="AZ303" s="245"/>
      <c r="BA303" s="283"/>
      <c r="BB303" s="283"/>
      <c r="BC303" s="239"/>
      <c r="BD303" s="283"/>
      <c r="BE303" s="239"/>
      <c r="BF303" s="239"/>
      <c r="BG303" s="239"/>
      <c r="BJ303" s="245"/>
      <c r="BK303" s="245"/>
      <c r="BM303" s="245"/>
      <c r="BN303" s="245"/>
      <c r="BO303" s="245"/>
      <c r="BP303" s="245"/>
      <c r="BQ303" s="245"/>
    </row>
    <row r="304" spans="1:69" ht="13.5" hidden="1" customHeight="1" x14ac:dyDescent="0.2">
      <c r="A304" s="842"/>
      <c r="C304" s="569"/>
      <c r="D304" s="570"/>
      <c r="E304" s="571"/>
      <c r="G304" s="204"/>
      <c r="H304" s="204"/>
      <c r="I304" s="199"/>
      <c r="J304" s="205"/>
      <c r="L304" s="206"/>
      <c r="M304" s="201"/>
      <c r="N304" s="207"/>
      <c r="O304" s="220"/>
      <c r="P304" s="169"/>
      <c r="Q304" s="169"/>
      <c r="R304" s="169"/>
      <c r="S304" s="169"/>
      <c r="Y304" s="210"/>
      <c r="Z304" s="211"/>
      <c r="AA304" s="210"/>
      <c r="AB304" s="210"/>
      <c r="AC304" s="210"/>
      <c r="AD304" s="212"/>
      <c r="AE304" s="210"/>
      <c r="AG304" s="214"/>
      <c r="AH304" s="214"/>
      <c r="AI304" s="215"/>
      <c r="AJ304" s="214"/>
      <c r="AK304" s="214"/>
      <c r="AL304" s="215"/>
      <c r="AM304" s="216"/>
      <c r="AO304" s="245"/>
      <c r="AP304" s="245"/>
      <c r="AQ304" s="245"/>
      <c r="AR304" s="245"/>
      <c r="AS304" s="245"/>
      <c r="AT304" s="245"/>
      <c r="AU304" s="245"/>
      <c r="AV304" s="245"/>
      <c r="AW304" s="245"/>
      <c r="AX304" s="245"/>
      <c r="AZ304" s="245"/>
      <c r="BA304" s="283"/>
      <c r="BB304" s="283"/>
      <c r="BC304" s="239"/>
      <c r="BD304" s="283"/>
      <c r="BE304" s="239"/>
      <c r="BF304" s="239"/>
      <c r="BG304" s="239"/>
      <c r="BJ304" s="245"/>
      <c r="BK304" s="245"/>
      <c r="BM304" s="245"/>
      <c r="BN304" s="245"/>
      <c r="BO304" s="245"/>
      <c r="BP304" s="245"/>
      <c r="BQ304" s="245"/>
    </row>
    <row r="305" spans="1:69" ht="13.5" hidden="1" customHeight="1" x14ac:dyDescent="0.2">
      <c r="A305" s="842"/>
      <c r="I305" s="169"/>
      <c r="J305" s="169"/>
      <c r="K305" s="169"/>
      <c r="L305" s="169"/>
      <c r="M305" s="169"/>
      <c r="N305" s="169"/>
      <c r="O305" s="169"/>
      <c r="P305" s="169"/>
      <c r="Q305" s="169"/>
      <c r="R305" s="169"/>
      <c r="S305" s="169"/>
      <c r="Y305" s="229"/>
      <c r="Z305" s="230"/>
      <c r="AG305" s="233"/>
      <c r="AH305" s="233"/>
      <c r="AI305" s="234"/>
      <c r="AJ305" s="233"/>
      <c r="AK305" s="233"/>
      <c r="AL305" s="234"/>
      <c r="AM305" s="234"/>
      <c r="AO305" s="245"/>
      <c r="AP305" s="245"/>
      <c r="AQ305" s="245"/>
      <c r="AR305" s="245"/>
      <c r="AS305" s="245"/>
      <c r="AT305" s="245"/>
      <c r="AU305" s="245"/>
      <c r="AV305" s="245"/>
      <c r="AW305" s="245"/>
      <c r="AX305" s="245"/>
      <c r="AZ305" s="245"/>
      <c r="BA305" s="283"/>
      <c r="BB305" s="283"/>
      <c r="BC305" s="239"/>
      <c r="BD305" s="283"/>
      <c r="BE305" s="239"/>
      <c r="BF305" s="239"/>
      <c r="BG305" s="239"/>
      <c r="BJ305" s="245"/>
      <c r="BK305" s="245"/>
      <c r="BM305" s="245"/>
      <c r="BN305" s="245"/>
      <c r="BO305" s="245"/>
      <c r="BP305" s="245"/>
      <c r="BQ305" s="245"/>
    </row>
    <row r="306" spans="1:69" ht="13.5" hidden="1" customHeight="1" x14ac:dyDescent="0.2">
      <c r="A306" s="842"/>
      <c r="I306" s="170"/>
      <c r="J306" s="171"/>
      <c r="K306" s="171"/>
      <c r="L306" s="171"/>
      <c r="M306" s="170"/>
      <c r="N306" s="172"/>
      <c r="Y306" s="229"/>
      <c r="Z306" s="230"/>
      <c r="AA306" s="231"/>
      <c r="AB306" s="231"/>
      <c r="AC306" s="231"/>
      <c r="AD306" s="232"/>
      <c r="AE306" s="231"/>
      <c r="AG306" s="233"/>
      <c r="AH306" s="233"/>
      <c r="AI306" s="234"/>
      <c r="AJ306" s="233"/>
      <c r="AK306" s="233"/>
      <c r="AL306" s="234"/>
      <c r="AM306" s="234"/>
      <c r="AO306" s="245"/>
      <c r="AP306" s="245"/>
      <c r="AQ306" s="245"/>
      <c r="AR306" s="245"/>
      <c r="AS306" s="245"/>
      <c r="AT306" s="245"/>
      <c r="AU306" s="245"/>
      <c r="AZ306" s="245"/>
      <c r="BA306" s="283"/>
      <c r="BB306" s="283"/>
      <c r="BC306" s="239"/>
      <c r="BD306" s="283"/>
      <c r="BE306" s="239"/>
      <c r="BF306" s="239"/>
      <c r="BG306" s="239"/>
      <c r="BJ306" s="245"/>
      <c r="BK306" s="245"/>
      <c r="BM306" s="245"/>
      <c r="BN306" s="245"/>
      <c r="BO306" s="245"/>
      <c r="BP306" s="245"/>
      <c r="BQ306" s="245"/>
    </row>
    <row r="307" spans="1:69" ht="13.5" hidden="1" customHeight="1" x14ac:dyDescent="0.2">
      <c r="A307" s="842"/>
      <c r="B307" s="309"/>
      <c r="C307" s="309"/>
      <c r="D307" s="544"/>
      <c r="E307" s="544"/>
      <c r="F307" s="544"/>
      <c r="G307" s="544"/>
      <c r="H307" s="544"/>
      <c r="I307" s="844"/>
      <c r="J307" s="844"/>
      <c r="K307" s="844"/>
      <c r="L307" s="844"/>
      <c r="M307" s="564"/>
      <c r="N307" s="565"/>
      <c r="O307" s="566"/>
      <c r="P307" s="169"/>
      <c r="Q307" s="169"/>
      <c r="R307" s="169"/>
      <c r="S307" s="169"/>
      <c r="AA307" s="231"/>
      <c r="AP307" s="245"/>
      <c r="AQ307" s="245"/>
      <c r="AR307" s="245"/>
      <c r="AS307" s="245"/>
      <c r="AU307" s="243"/>
      <c r="AZ307" s="245"/>
      <c r="BA307" s="283"/>
      <c r="BB307" s="283"/>
      <c r="BC307" s="239"/>
      <c r="BD307" s="283"/>
      <c r="BE307" s="239"/>
      <c r="BF307" s="239"/>
      <c r="BG307" s="239"/>
      <c r="BJ307" s="245"/>
      <c r="BK307" s="245"/>
      <c r="BM307" s="245"/>
      <c r="BN307" s="245"/>
      <c r="BO307" s="245"/>
      <c r="BP307" s="245"/>
      <c r="BQ307" s="245"/>
    </row>
    <row r="308" spans="1:69" ht="21" hidden="1" customHeight="1" x14ac:dyDescent="0.2">
      <c r="A308" s="842"/>
      <c r="I308" s="567"/>
      <c r="K308" s="568"/>
      <c r="O308" s="169"/>
      <c r="P308" s="169"/>
      <c r="Q308" s="169"/>
      <c r="R308" s="169"/>
      <c r="S308" s="169"/>
      <c r="AA308" s="231"/>
      <c r="AO308" s="245"/>
      <c r="AP308" s="245"/>
      <c r="AQ308" s="245"/>
      <c r="AR308" s="245"/>
      <c r="AS308" s="245"/>
      <c r="AT308" s="245"/>
      <c r="AU308" s="245"/>
      <c r="AZ308" s="245"/>
      <c r="BA308" s="283"/>
      <c r="BB308" s="283"/>
      <c r="BC308" s="239"/>
      <c r="BD308" s="283"/>
      <c r="BE308" s="239"/>
      <c r="BF308" s="239"/>
      <c r="BG308" s="239"/>
      <c r="BJ308" s="245"/>
      <c r="BK308" s="245"/>
      <c r="BM308" s="245"/>
      <c r="BN308" s="245"/>
      <c r="BO308" s="245"/>
      <c r="BP308" s="245"/>
      <c r="BQ308" s="245"/>
    </row>
    <row r="309" spans="1:69" ht="13.5" hidden="1" customHeight="1" x14ac:dyDescent="0.2">
      <c r="A309" s="842"/>
      <c r="C309" s="569"/>
      <c r="D309" s="570"/>
      <c r="E309" s="571"/>
      <c r="G309" s="204"/>
      <c r="H309" s="204"/>
      <c r="I309" s="199"/>
      <c r="J309" s="205"/>
      <c r="L309" s="206"/>
      <c r="M309" s="201"/>
      <c r="N309" s="207"/>
      <c r="O309" s="208"/>
      <c r="P309" s="169"/>
      <c r="Q309" s="169"/>
      <c r="R309" s="169"/>
      <c r="S309" s="169"/>
      <c r="T309" s="209"/>
      <c r="U309" s="209"/>
      <c r="V309" s="209"/>
      <c r="W309" s="209"/>
      <c r="Y309" s="210"/>
      <c r="Z309" s="211"/>
      <c r="AA309" s="210"/>
      <c r="AB309" s="210"/>
      <c r="AC309" s="210"/>
      <c r="AD309" s="212"/>
      <c r="AE309" s="210"/>
      <c r="AF309" s="213"/>
      <c r="AG309" s="214"/>
      <c r="AH309" s="214"/>
      <c r="AI309" s="215"/>
      <c r="AJ309" s="214"/>
      <c r="AK309" s="214"/>
      <c r="AL309" s="215"/>
      <c r="AM309" s="216"/>
      <c r="AO309" s="245"/>
      <c r="AP309" s="245"/>
      <c r="AQ309" s="245"/>
      <c r="AR309" s="245"/>
      <c r="AS309" s="245"/>
      <c r="AT309" s="245"/>
      <c r="AU309" s="245"/>
      <c r="AZ309" s="245"/>
      <c r="BA309" s="283"/>
      <c r="BB309" s="283"/>
      <c r="BC309" s="239"/>
      <c r="BD309" s="283"/>
      <c r="BE309" s="239"/>
      <c r="BF309" s="239"/>
      <c r="BG309" s="239"/>
      <c r="BJ309" s="245"/>
      <c r="BK309" s="245"/>
      <c r="BM309" s="245"/>
      <c r="BN309" s="245"/>
      <c r="BO309" s="245"/>
      <c r="BP309" s="245"/>
      <c r="BQ309" s="245"/>
    </row>
    <row r="310" spans="1:69" ht="13.5" hidden="1" customHeight="1" x14ac:dyDescent="0.2">
      <c r="A310" s="842"/>
      <c r="C310" s="569"/>
      <c r="D310" s="570"/>
      <c r="E310" s="571"/>
      <c r="G310" s="204"/>
      <c r="H310" s="204"/>
      <c r="I310" s="199"/>
      <c r="J310" s="205"/>
      <c r="L310" s="206"/>
      <c r="M310" s="201"/>
      <c r="N310" s="207"/>
      <c r="O310" s="220"/>
      <c r="P310" s="169"/>
      <c r="Q310" s="169"/>
      <c r="R310" s="169"/>
      <c r="S310" s="169"/>
      <c r="T310" s="209"/>
      <c r="U310" s="209"/>
      <c r="V310" s="209"/>
      <c r="W310" s="209"/>
      <c r="Y310" s="210"/>
      <c r="Z310" s="211"/>
      <c r="AA310" s="210"/>
      <c r="AB310" s="210"/>
      <c r="AC310" s="210"/>
      <c r="AD310" s="212"/>
      <c r="AE310" s="210"/>
      <c r="AF310" s="213"/>
      <c r="AG310" s="214"/>
      <c r="AH310" s="214"/>
      <c r="AI310" s="215"/>
      <c r="AJ310" s="214"/>
      <c r="AK310" s="214"/>
      <c r="AL310" s="215"/>
      <c r="AM310" s="216"/>
      <c r="AO310" s="245"/>
      <c r="AP310" s="245"/>
      <c r="AQ310" s="245"/>
      <c r="AR310" s="245"/>
      <c r="AS310" s="245"/>
      <c r="AT310" s="245"/>
      <c r="AU310" s="245"/>
      <c r="AZ310" s="245"/>
      <c r="BA310" s="283"/>
      <c r="BB310" s="283"/>
      <c r="BC310" s="239"/>
      <c r="BD310" s="283"/>
      <c r="BE310" s="239"/>
      <c r="BF310" s="239"/>
      <c r="BG310" s="239"/>
      <c r="BJ310" s="245"/>
      <c r="BK310" s="245"/>
      <c r="BM310" s="245"/>
      <c r="BN310" s="245"/>
      <c r="BO310" s="245"/>
      <c r="BP310" s="245"/>
      <c r="BQ310" s="245"/>
    </row>
    <row r="311" spans="1:69" ht="13.5" hidden="1" customHeight="1" x14ac:dyDescent="0.2">
      <c r="A311" s="842"/>
      <c r="C311" s="569"/>
      <c r="D311" s="570"/>
      <c r="E311" s="571"/>
      <c r="G311" s="204"/>
      <c r="H311" s="204"/>
      <c r="I311" s="199"/>
      <c r="J311" s="205"/>
      <c r="L311" s="206"/>
      <c r="M311" s="201"/>
      <c r="N311" s="207"/>
      <c r="O311" s="220"/>
      <c r="P311" s="169"/>
      <c r="Q311" s="169"/>
      <c r="R311" s="169"/>
      <c r="S311" s="169"/>
      <c r="T311" s="209"/>
      <c r="U311" s="209"/>
      <c r="V311" s="209"/>
      <c r="W311" s="209"/>
      <c r="Y311" s="210"/>
      <c r="Z311" s="211"/>
      <c r="AA311" s="210"/>
      <c r="AB311" s="210"/>
      <c r="AC311" s="210"/>
      <c r="AD311" s="212"/>
      <c r="AE311" s="210"/>
      <c r="AF311" s="213"/>
      <c r="AG311" s="214"/>
      <c r="AH311" s="214"/>
      <c r="AI311" s="215"/>
      <c r="AJ311" s="214"/>
      <c r="AK311" s="214"/>
      <c r="AL311" s="215"/>
      <c r="AM311" s="216"/>
      <c r="AO311" s="245"/>
      <c r="AP311" s="245"/>
      <c r="AQ311" s="245"/>
      <c r="AR311" s="245"/>
      <c r="AS311" s="245"/>
      <c r="AT311" s="245"/>
      <c r="AU311" s="245"/>
      <c r="AV311" s="245"/>
      <c r="AW311" s="245"/>
      <c r="AX311" s="245"/>
      <c r="BA311" s="283"/>
      <c r="BB311" s="283"/>
      <c r="BC311" s="239"/>
      <c r="BD311" s="283"/>
      <c r="BE311" s="239"/>
      <c r="BF311" s="239"/>
      <c r="BG311" s="239"/>
      <c r="BJ311" s="245"/>
    </row>
    <row r="312" spans="1:69" ht="13.5" hidden="1" customHeight="1" x14ac:dyDescent="0.2">
      <c r="A312" s="842"/>
      <c r="C312" s="569"/>
      <c r="D312" s="570"/>
      <c r="E312" s="571"/>
      <c r="G312" s="204"/>
      <c r="H312" s="204"/>
      <c r="I312" s="199"/>
      <c r="J312" s="205"/>
      <c r="L312" s="206"/>
      <c r="M312" s="201"/>
      <c r="N312" s="207"/>
      <c r="O312" s="220"/>
      <c r="P312" s="169"/>
      <c r="Q312" s="169"/>
      <c r="R312" s="169"/>
      <c r="S312" s="169"/>
      <c r="T312" s="209"/>
      <c r="U312" s="209"/>
      <c r="Y312" s="210"/>
      <c r="Z312" s="211"/>
      <c r="AA312" s="210"/>
      <c r="AB312" s="210"/>
      <c r="AC312" s="210"/>
      <c r="AD312" s="212"/>
      <c r="AE312" s="210"/>
      <c r="AF312" s="213"/>
      <c r="AG312" s="214"/>
      <c r="AH312" s="214"/>
      <c r="AI312" s="215"/>
      <c r="AJ312" s="214"/>
      <c r="AK312" s="214"/>
      <c r="AL312" s="215"/>
      <c r="AM312" s="216"/>
      <c r="AO312" s="245"/>
      <c r="AP312" s="245"/>
      <c r="AQ312" s="245"/>
      <c r="AR312" s="245"/>
      <c r="AS312" s="245"/>
      <c r="AT312" s="245"/>
      <c r="AU312" s="245"/>
      <c r="AV312" s="245"/>
      <c r="AW312" s="245"/>
      <c r="AX312" s="245"/>
      <c r="AZ312" s="245"/>
      <c r="BA312" s="283"/>
      <c r="BB312" s="283"/>
      <c r="BC312" s="239"/>
      <c r="BD312" s="283"/>
      <c r="BE312" s="239"/>
      <c r="BF312" s="239"/>
      <c r="BG312" s="239"/>
      <c r="BJ312" s="245"/>
      <c r="BK312" s="245"/>
      <c r="BM312" s="245"/>
      <c r="BN312" s="245"/>
      <c r="BO312" s="245"/>
      <c r="BP312" s="245"/>
      <c r="BQ312" s="245"/>
    </row>
    <row r="313" spans="1:69" ht="21" hidden="1" customHeight="1" x14ac:dyDescent="0.2">
      <c r="A313" s="842"/>
      <c r="G313" s="576"/>
      <c r="H313" s="576"/>
      <c r="I313" s="567"/>
      <c r="K313" s="568"/>
      <c r="N313" s="223"/>
      <c r="O313" s="169"/>
      <c r="P313" s="169"/>
      <c r="Q313" s="169"/>
      <c r="R313" s="169"/>
      <c r="S313" s="169"/>
      <c r="T313" s="209"/>
      <c r="U313" s="209"/>
      <c r="V313" s="209"/>
      <c r="W313" s="209"/>
      <c r="Y313" s="229"/>
      <c r="Z313" s="230"/>
      <c r="AA313" s="231"/>
      <c r="AB313" s="231"/>
      <c r="AC313" s="231"/>
      <c r="AD313" s="232"/>
      <c r="AE313" s="231"/>
      <c r="AG313" s="233"/>
      <c r="AH313" s="233"/>
      <c r="AI313" s="234"/>
      <c r="AJ313" s="233"/>
      <c r="AK313" s="233"/>
      <c r="AL313" s="234"/>
      <c r="AM313" s="234"/>
      <c r="AO313" s="245"/>
      <c r="AP313" s="245"/>
      <c r="AQ313" s="245"/>
      <c r="AR313" s="245"/>
      <c r="AS313" s="245"/>
      <c r="AT313" s="245"/>
      <c r="AU313" s="245"/>
      <c r="AV313" s="245"/>
      <c r="AW313" s="245"/>
      <c r="AX313" s="245"/>
      <c r="AZ313" s="245"/>
      <c r="BA313" s="283"/>
      <c r="BB313" s="283"/>
      <c r="BC313" s="239"/>
      <c r="BD313" s="283"/>
      <c r="BE313" s="239"/>
      <c r="BF313" s="239"/>
      <c r="BG313" s="239"/>
      <c r="BJ313" s="245"/>
      <c r="BK313" s="245"/>
      <c r="BM313" s="245"/>
      <c r="BN313" s="245"/>
      <c r="BO313" s="245"/>
      <c r="BP313" s="245"/>
      <c r="BQ313" s="245"/>
    </row>
    <row r="314" spans="1:69" ht="13.5" hidden="1" customHeight="1" x14ac:dyDescent="0.2">
      <c r="A314" s="842"/>
      <c r="C314" s="569"/>
      <c r="D314" s="570"/>
      <c r="E314" s="571"/>
      <c r="G314" s="204"/>
      <c r="H314" s="204"/>
      <c r="I314" s="199"/>
      <c r="J314" s="205"/>
      <c r="L314" s="206"/>
      <c r="M314" s="201"/>
      <c r="N314" s="207"/>
      <c r="O314" s="208"/>
      <c r="P314" s="169"/>
      <c r="Q314" s="169"/>
      <c r="R314" s="169"/>
      <c r="S314" s="169"/>
      <c r="Y314" s="210"/>
      <c r="Z314" s="211"/>
      <c r="AA314" s="210"/>
      <c r="AB314" s="210"/>
      <c r="AC314" s="210"/>
      <c r="AD314" s="212"/>
      <c r="AE314" s="210"/>
      <c r="AG314" s="214"/>
      <c r="AH314" s="214"/>
      <c r="AI314" s="215"/>
      <c r="AJ314" s="214"/>
      <c r="AK314" s="214"/>
      <c r="AL314" s="215"/>
      <c r="AM314" s="216"/>
      <c r="AO314" s="245"/>
      <c r="AP314" s="245"/>
      <c r="AQ314" s="245"/>
      <c r="AR314" s="245"/>
      <c r="AS314" s="245"/>
      <c r="AT314" s="245"/>
      <c r="AU314" s="245"/>
      <c r="AV314" s="245"/>
      <c r="AW314" s="245"/>
      <c r="AX314" s="245"/>
      <c r="AZ314" s="245"/>
      <c r="BA314" s="283"/>
      <c r="BB314" s="283"/>
      <c r="BC314" s="239"/>
      <c r="BD314" s="283"/>
      <c r="BE314" s="239"/>
      <c r="BF314" s="239"/>
      <c r="BG314" s="239"/>
      <c r="BJ314" s="245"/>
      <c r="BK314" s="245"/>
      <c r="BM314" s="245"/>
      <c r="BN314" s="245"/>
      <c r="BO314" s="245"/>
      <c r="BP314" s="245"/>
      <c r="BQ314" s="245"/>
    </row>
    <row r="315" spans="1:69" ht="13.5" hidden="1" customHeight="1" x14ac:dyDescent="0.2">
      <c r="A315" s="842"/>
      <c r="C315" s="569"/>
      <c r="D315" s="570"/>
      <c r="E315" s="571"/>
      <c r="G315" s="204"/>
      <c r="H315" s="204"/>
      <c r="I315" s="199"/>
      <c r="J315" s="205"/>
      <c r="L315" s="206"/>
      <c r="M315" s="201"/>
      <c r="N315" s="207"/>
      <c r="O315" s="220"/>
      <c r="P315" s="169"/>
      <c r="Q315" s="169"/>
      <c r="R315" s="169"/>
      <c r="S315" s="169"/>
      <c r="Y315" s="210"/>
      <c r="Z315" s="211"/>
      <c r="AA315" s="210"/>
      <c r="AB315" s="210"/>
      <c r="AC315" s="210"/>
      <c r="AD315" s="212"/>
      <c r="AE315" s="210"/>
      <c r="AG315" s="214"/>
      <c r="AH315" s="214"/>
      <c r="AI315" s="215"/>
      <c r="AJ315" s="214"/>
      <c r="AK315" s="214"/>
      <c r="AL315" s="215"/>
      <c r="AM315" s="216"/>
      <c r="AO315" s="245"/>
      <c r="AP315" s="245"/>
      <c r="AQ315" s="245"/>
      <c r="AR315" s="245"/>
      <c r="AS315" s="245"/>
      <c r="AT315" s="245"/>
      <c r="AU315" s="245"/>
      <c r="AV315" s="245"/>
      <c r="AW315" s="245"/>
      <c r="AX315" s="245"/>
      <c r="AZ315" s="245"/>
      <c r="BA315" s="283"/>
      <c r="BB315" s="283"/>
      <c r="BC315" s="239"/>
      <c r="BD315" s="283"/>
      <c r="BE315" s="239"/>
      <c r="BF315" s="239"/>
      <c r="BG315" s="239"/>
      <c r="BJ315" s="245"/>
      <c r="BK315" s="245"/>
      <c r="BM315" s="245"/>
      <c r="BN315" s="245"/>
      <c r="BO315" s="245"/>
      <c r="BP315" s="245"/>
      <c r="BQ315" s="245"/>
    </row>
    <row r="316" spans="1:69" ht="13.5" hidden="1" customHeight="1" x14ac:dyDescent="0.2">
      <c r="A316" s="842"/>
      <c r="C316" s="569"/>
      <c r="D316" s="570"/>
      <c r="E316" s="571"/>
      <c r="G316" s="204"/>
      <c r="H316" s="204"/>
      <c r="I316" s="199"/>
      <c r="J316" s="205"/>
      <c r="L316" s="206"/>
      <c r="M316" s="201"/>
      <c r="N316" s="207"/>
      <c r="O316" s="220"/>
      <c r="P316" s="169"/>
      <c r="Q316" s="169"/>
      <c r="R316" s="169"/>
      <c r="S316" s="169"/>
      <c r="Y316" s="210"/>
      <c r="Z316" s="211"/>
      <c r="AA316" s="210"/>
      <c r="AB316" s="210"/>
      <c r="AC316" s="210"/>
      <c r="AD316" s="212"/>
      <c r="AE316" s="210"/>
      <c r="AG316" s="214"/>
      <c r="AH316" s="214"/>
      <c r="AI316" s="215"/>
      <c r="AJ316" s="214"/>
      <c r="AK316" s="214"/>
      <c r="AL316" s="215"/>
      <c r="AM316" s="216"/>
      <c r="AO316" s="245"/>
      <c r="AP316" s="245"/>
      <c r="AQ316" s="245"/>
      <c r="AR316" s="245"/>
      <c r="AS316" s="245"/>
      <c r="AT316" s="245"/>
      <c r="AU316" s="245"/>
      <c r="AV316" s="245"/>
      <c r="AW316" s="245"/>
      <c r="AX316" s="245"/>
      <c r="AZ316" s="245"/>
      <c r="BA316" s="283"/>
      <c r="BB316" s="283"/>
      <c r="BC316" s="239"/>
      <c r="BD316" s="283"/>
      <c r="BE316" s="239"/>
      <c r="BF316" s="239"/>
      <c r="BG316" s="239"/>
      <c r="BJ316" s="245"/>
      <c r="BK316" s="245"/>
      <c r="BM316" s="245"/>
      <c r="BN316" s="245"/>
      <c r="BO316" s="245"/>
      <c r="BP316" s="245"/>
      <c r="BQ316" s="245"/>
    </row>
    <row r="317" spans="1:69" ht="13.5" hidden="1" customHeight="1" x14ac:dyDescent="0.2">
      <c r="A317" s="842"/>
      <c r="C317" s="569"/>
      <c r="D317" s="570"/>
      <c r="E317" s="571"/>
      <c r="G317" s="204"/>
      <c r="H317" s="204"/>
      <c r="I317" s="199"/>
      <c r="J317" s="205"/>
      <c r="L317" s="206"/>
      <c r="M317" s="201"/>
      <c r="N317" s="207"/>
      <c r="O317" s="220"/>
      <c r="P317" s="169"/>
      <c r="Q317" s="169"/>
      <c r="R317" s="169"/>
      <c r="S317" s="169"/>
      <c r="Y317" s="210"/>
      <c r="Z317" s="211"/>
      <c r="AA317" s="210"/>
      <c r="AB317" s="210"/>
      <c r="AC317" s="210"/>
      <c r="AD317" s="212"/>
      <c r="AE317" s="210"/>
      <c r="AG317" s="214"/>
      <c r="AH317" s="214"/>
      <c r="AI317" s="215"/>
      <c r="AJ317" s="214"/>
      <c r="AK317" s="214"/>
      <c r="AL317" s="215"/>
      <c r="AM317" s="216"/>
      <c r="AO317" s="245"/>
      <c r="AP317" s="245"/>
      <c r="AQ317" s="245"/>
      <c r="AR317" s="245"/>
      <c r="AS317" s="245"/>
      <c r="AT317" s="245"/>
      <c r="AU317" s="245"/>
      <c r="AV317" s="245"/>
      <c r="AW317" s="245"/>
      <c r="AX317" s="245"/>
      <c r="AZ317" s="245"/>
      <c r="BA317" s="283"/>
      <c r="BB317" s="283"/>
      <c r="BC317" s="239"/>
      <c r="BD317" s="283"/>
      <c r="BE317" s="239"/>
      <c r="BF317" s="239"/>
      <c r="BG317" s="239"/>
      <c r="BJ317" s="245"/>
      <c r="BK317" s="245"/>
      <c r="BM317" s="245"/>
      <c r="BN317" s="245"/>
      <c r="BO317" s="245"/>
      <c r="BP317" s="245"/>
      <c r="BQ317" s="245"/>
    </row>
    <row r="318" spans="1:69" ht="21" hidden="1" customHeight="1" x14ac:dyDescent="0.2">
      <c r="A318" s="842"/>
      <c r="G318" s="576"/>
      <c r="H318" s="576"/>
      <c r="I318" s="567"/>
      <c r="K318" s="568"/>
      <c r="N318" s="169"/>
      <c r="O318" s="169"/>
      <c r="P318" s="169"/>
      <c r="Q318" s="169"/>
      <c r="R318" s="169"/>
      <c r="S318" s="169"/>
      <c r="Y318" s="229"/>
      <c r="Z318" s="230"/>
      <c r="AA318" s="231"/>
      <c r="AB318" s="231"/>
      <c r="AC318" s="231"/>
      <c r="AD318" s="232"/>
      <c r="AE318" s="231"/>
      <c r="AG318" s="233"/>
      <c r="AH318" s="233"/>
      <c r="AI318" s="234"/>
      <c r="AJ318" s="233"/>
      <c r="AK318" s="233"/>
      <c r="AL318" s="234"/>
      <c r="AM318" s="234"/>
      <c r="AO318" s="245"/>
      <c r="AP318" s="245"/>
      <c r="AQ318" s="245"/>
      <c r="AR318" s="245"/>
      <c r="AS318" s="245"/>
      <c r="AT318" s="245"/>
      <c r="AU318" s="245"/>
      <c r="AV318" s="245"/>
      <c r="AW318" s="245"/>
      <c r="AX318" s="245"/>
      <c r="AZ318" s="245"/>
      <c r="BA318" s="283"/>
      <c r="BB318" s="283"/>
      <c r="BC318" s="239"/>
      <c r="BD318" s="283"/>
      <c r="BE318" s="239"/>
      <c r="BF318" s="239"/>
      <c r="BG318" s="239"/>
      <c r="BJ318" s="245"/>
      <c r="BK318" s="245"/>
      <c r="BM318" s="245"/>
      <c r="BN318" s="245"/>
      <c r="BO318" s="245"/>
      <c r="BP318" s="245"/>
      <c r="BQ318" s="245"/>
    </row>
    <row r="319" spans="1:69" ht="13.5" hidden="1" customHeight="1" x14ac:dyDescent="0.2">
      <c r="A319" s="842"/>
      <c r="C319" s="569"/>
      <c r="D319" s="570"/>
      <c r="E319" s="571"/>
      <c r="G319" s="204"/>
      <c r="H319" s="204"/>
      <c r="I319" s="199"/>
      <c r="J319" s="205"/>
      <c r="L319" s="206"/>
      <c r="M319" s="201"/>
      <c r="N319" s="207"/>
      <c r="O319" s="208"/>
      <c r="P319" s="169"/>
      <c r="Q319" s="169"/>
      <c r="R319" s="169"/>
      <c r="S319" s="169"/>
      <c r="Y319" s="210"/>
      <c r="Z319" s="211"/>
      <c r="AA319" s="210"/>
      <c r="AB319" s="210"/>
      <c r="AC319" s="210"/>
      <c r="AD319" s="212"/>
      <c r="AE319" s="210"/>
      <c r="AG319" s="214"/>
      <c r="AH319" s="214"/>
      <c r="AI319" s="215"/>
      <c r="AJ319" s="214"/>
      <c r="AK319" s="214"/>
      <c r="AL319" s="215"/>
      <c r="AM319" s="216"/>
      <c r="AO319" s="245"/>
      <c r="AP319" s="245"/>
      <c r="AQ319" s="245"/>
      <c r="AR319" s="245"/>
      <c r="AS319" s="245"/>
      <c r="AT319" s="245"/>
      <c r="AU319" s="245"/>
      <c r="AV319" s="245"/>
      <c r="AW319" s="245"/>
      <c r="AX319" s="245"/>
      <c r="AZ319" s="245"/>
      <c r="BA319" s="283"/>
      <c r="BB319" s="283"/>
      <c r="BC319" s="239"/>
      <c r="BD319" s="283"/>
      <c r="BE319" s="239"/>
      <c r="BF319" s="239"/>
      <c r="BG319" s="239"/>
      <c r="BJ319" s="245"/>
      <c r="BK319" s="245"/>
      <c r="BM319" s="245"/>
      <c r="BN319" s="245"/>
      <c r="BO319" s="245"/>
      <c r="BP319" s="245"/>
      <c r="BQ319" s="245"/>
    </row>
    <row r="320" spans="1:69" ht="13.5" hidden="1" customHeight="1" x14ac:dyDescent="0.2">
      <c r="A320" s="842"/>
      <c r="C320" s="569"/>
      <c r="D320" s="570"/>
      <c r="E320" s="571"/>
      <c r="G320" s="204"/>
      <c r="H320" s="204"/>
      <c r="I320" s="199"/>
      <c r="J320" s="205"/>
      <c r="L320" s="206"/>
      <c r="M320" s="201"/>
      <c r="N320" s="207"/>
      <c r="O320" s="220"/>
      <c r="P320" s="169"/>
      <c r="Q320" s="169"/>
      <c r="R320" s="169"/>
      <c r="S320" s="169"/>
      <c r="Y320" s="210"/>
      <c r="Z320" s="211"/>
      <c r="AA320" s="210"/>
      <c r="AB320" s="210"/>
      <c r="AC320" s="210"/>
      <c r="AD320" s="212"/>
      <c r="AE320" s="210"/>
      <c r="AG320" s="214"/>
      <c r="AH320" s="214"/>
      <c r="AI320" s="215"/>
      <c r="AJ320" s="214"/>
      <c r="AK320" s="214"/>
      <c r="AL320" s="215"/>
      <c r="AM320" s="216"/>
      <c r="AO320" s="245"/>
      <c r="AP320" s="245"/>
      <c r="AQ320" s="245"/>
      <c r="AR320" s="245"/>
      <c r="AS320" s="245"/>
      <c r="AT320" s="245"/>
      <c r="AU320" s="245"/>
      <c r="AV320" s="245"/>
      <c r="AW320" s="245"/>
      <c r="AX320" s="245"/>
      <c r="AZ320" s="245"/>
      <c r="BA320" s="283"/>
      <c r="BB320" s="283"/>
      <c r="BC320" s="239"/>
      <c r="BD320" s="283"/>
      <c r="BE320" s="239"/>
      <c r="BF320" s="239"/>
      <c r="BG320" s="239"/>
      <c r="BJ320" s="245"/>
      <c r="BK320" s="245"/>
      <c r="BM320" s="245"/>
      <c r="BN320" s="245"/>
      <c r="BO320" s="245"/>
      <c r="BP320" s="245"/>
      <c r="BQ320" s="245"/>
    </row>
    <row r="321" spans="1:69" ht="13.5" hidden="1" customHeight="1" x14ac:dyDescent="0.2">
      <c r="A321" s="842"/>
      <c r="C321" s="569"/>
      <c r="D321" s="570"/>
      <c r="E321" s="571"/>
      <c r="G321" s="204"/>
      <c r="H321" s="204"/>
      <c r="I321" s="199"/>
      <c r="J321" s="205"/>
      <c r="L321" s="206"/>
      <c r="M321" s="201"/>
      <c r="N321" s="207"/>
      <c r="O321" s="220"/>
      <c r="P321" s="169"/>
      <c r="Q321" s="169"/>
      <c r="R321" s="169"/>
      <c r="S321" s="169"/>
      <c r="Y321" s="210"/>
      <c r="Z321" s="211"/>
      <c r="AA321" s="210"/>
      <c r="AB321" s="210"/>
      <c r="AC321" s="210"/>
      <c r="AD321" s="212"/>
      <c r="AE321" s="210"/>
      <c r="AG321" s="214"/>
      <c r="AH321" s="214"/>
      <c r="AI321" s="215"/>
      <c r="AJ321" s="214"/>
      <c r="AK321" s="214"/>
      <c r="AL321" s="215"/>
      <c r="AM321" s="216"/>
      <c r="AO321" s="245"/>
      <c r="AP321" s="245"/>
      <c r="AQ321" s="245"/>
      <c r="AR321" s="245"/>
      <c r="AS321" s="245"/>
      <c r="AT321" s="245"/>
      <c r="AU321" s="245"/>
      <c r="AV321" s="245"/>
      <c r="AW321" s="245"/>
      <c r="AX321" s="245"/>
      <c r="AZ321" s="245"/>
      <c r="BA321" s="283"/>
      <c r="BB321" s="283"/>
      <c r="BC321" s="239"/>
      <c r="BD321" s="283"/>
      <c r="BE321" s="239"/>
      <c r="BF321" s="239"/>
      <c r="BG321" s="239"/>
      <c r="BJ321" s="245"/>
      <c r="BK321" s="245"/>
      <c r="BM321" s="245"/>
      <c r="BN321" s="245"/>
      <c r="BO321" s="245"/>
      <c r="BP321" s="245"/>
      <c r="BQ321" s="245"/>
    </row>
    <row r="322" spans="1:69" ht="13.5" hidden="1" customHeight="1" x14ac:dyDescent="0.2">
      <c r="A322" s="842"/>
      <c r="C322" s="569"/>
      <c r="D322" s="570"/>
      <c r="E322" s="571"/>
      <c r="G322" s="204"/>
      <c r="H322" s="204"/>
      <c r="I322" s="199"/>
      <c r="J322" s="205"/>
      <c r="L322" s="206"/>
      <c r="M322" s="201"/>
      <c r="N322" s="207"/>
      <c r="O322" s="220"/>
      <c r="P322" s="169"/>
      <c r="Q322" s="169"/>
      <c r="R322" s="169"/>
      <c r="S322" s="169"/>
      <c r="Y322" s="210"/>
      <c r="Z322" s="211"/>
      <c r="AA322" s="210"/>
      <c r="AB322" s="210"/>
      <c r="AC322" s="210"/>
      <c r="AD322" s="212"/>
      <c r="AE322" s="210"/>
      <c r="AG322" s="214"/>
      <c r="AH322" s="214"/>
      <c r="AI322" s="215"/>
      <c r="AJ322" s="214"/>
      <c r="AK322" s="214"/>
      <c r="AL322" s="215"/>
      <c r="AM322" s="216"/>
      <c r="AO322" s="245"/>
      <c r="AP322" s="245"/>
      <c r="AQ322" s="245"/>
      <c r="AR322" s="245"/>
      <c r="AS322" s="245"/>
      <c r="AT322" s="245"/>
      <c r="AU322" s="245"/>
      <c r="AV322" s="245"/>
      <c r="AW322" s="245"/>
      <c r="AX322" s="245"/>
      <c r="AZ322" s="245"/>
      <c r="BA322" s="283"/>
      <c r="BB322" s="283"/>
      <c r="BC322" s="239"/>
      <c r="BD322" s="283"/>
      <c r="BE322" s="239"/>
      <c r="BF322" s="239"/>
      <c r="BG322" s="239"/>
      <c r="BJ322" s="245"/>
      <c r="BK322" s="245"/>
      <c r="BM322" s="245"/>
      <c r="BN322" s="245"/>
      <c r="BO322" s="245"/>
      <c r="BP322" s="245"/>
      <c r="BQ322" s="245"/>
    </row>
    <row r="323" spans="1:69" ht="13.5" hidden="1" customHeight="1" x14ac:dyDescent="0.2">
      <c r="A323" s="842"/>
      <c r="I323" s="169"/>
      <c r="J323" s="169"/>
      <c r="K323" s="169"/>
      <c r="L323" s="169"/>
      <c r="M323" s="169"/>
      <c r="N323" s="169"/>
      <c r="O323" s="169"/>
      <c r="P323" s="169"/>
      <c r="Q323" s="169"/>
      <c r="R323" s="169"/>
      <c r="S323" s="169"/>
      <c r="Y323" s="229"/>
      <c r="Z323" s="230"/>
      <c r="AG323" s="233"/>
      <c r="AH323" s="233"/>
      <c r="AI323" s="234"/>
      <c r="AJ323" s="233"/>
      <c r="AK323" s="233"/>
      <c r="AL323" s="234"/>
      <c r="AM323" s="234"/>
      <c r="AO323" s="245"/>
      <c r="AP323" s="245"/>
      <c r="AQ323" s="245"/>
      <c r="AR323" s="245"/>
      <c r="AS323" s="245"/>
      <c r="AT323" s="245"/>
      <c r="AU323" s="245"/>
      <c r="AV323" s="245"/>
      <c r="AW323" s="245"/>
      <c r="AX323" s="245"/>
      <c r="AZ323" s="245"/>
      <c r="BA323" s="283"/>
      <c r="BB323" s="283"/>
      <c r="BC323" s="239"/>
      <c r="BD323" s="283"/>
      <c r="BE323" s="239"/>
      <c r="BF323" s="239"/>
      <c r="BG323" s="239"/>
      <c r="BJ323" s="245"/>
      <c r="BK323" s="245"/>
      <c r="BM323" s="245"/>
      <c r="BN323" s="245"/>
      <c r="BO323" s="245"/>
      <c r="BP323" s="245"/>
      <c r="BQ323" s="245"/>
    </row>
    <row r="324" spans="1:69" ht="13.5" hidden="1" customHeight="1" x14ac:dyDescent="0.2">
      <c r="A324" s="842"/>
      <c r="I324" s="170"/>
      <c r="J324" s="171"/>
      <c r="K324" s="171"/>
      <c r="L324" s="171"/>
      <c r="M324" s="170"/>
      <c r="N324" s="172"/>
      <c r="Y324" s="229"/>
      <c r="Z324" s="230"/>
      <c r="AA324" s="231"/>
      <c r="AB324" s="231"/>
      <c r="AC324" s="231"/>
      <c r="AD324" s="232"/>
      <c r="AE324" s="231"/>
      <c r="AG324" s="233"/>
      <c r="AH324" s="233"/>
      <c r="AI324" s="234"/>
      <c r="AJ324" s="233"/>
      <c r="AK324" s="233"/>
      <c r="AL324" s="234"/>
      <c r="AM324" s="234"/>
      <c r="AO324" s="245"/>
      <c r="AP324" s="245"/>
      <c r="AQ324" s="245"/>
      <c r="AR324" s="245"/>
      <c r="AS324" s="245"/>
      <c r="AT324" s="245"/>
      <c r="AU324" s="245"/>
      <c r="AZ324" s="245"/>
      <c r="BA324" s="283"/>
      <c r="BB324" s="283"/>
      <c r="BC324" s="239"/>
      <c r="BD324" s="283"/>
      <c r="BE324" s="239"/>
      <c r="BF324" s="239"/>
      <c r="BG324" s="239"/>
      <c r="BJ324" s="245"/>
      <c r="BK324" s="245"/>
      <c r="BM324" s="245"/>
      <c r="BN324" s="245"/>
      <c r="BO324" s="245"/>
      <c r="BP324" s="245"/>
      <c r="BQ324" s="245"/>
    </row>
    <row r="325" spans="1:69" ht="13.5" hidden="1" customHeight="1" x14ac:dyDescent="0.2">
      <c r="A325" s="842"/>
      <c r="B325" s="309"/>
      <c r="C325" s="309"/>
      <c r="D325" s="544"/>
      <c r="E325" s="544"/>
      <c r="F325" s="544"/>
      <c r="G325" s="544"/>
      <c r="H325" s="544"/>
      <c r="I325" s="844"/>
      <c r="J325" s="844"/>
      <c r="K325" s="844"/>
      <c r="L325" s="844"/>
      <c r="M325" s="564"/>
      <c r="N325" s="565"/>
      <c r="O325" s="566"/>
      <c r="P325" s="169"/>
      <c r="Q325" s="169"/>
      <c r="R325" s="169"/>
      <c r="S325" s="169"/>
      <c r="AA325" s="231"/>
      <c r="AP325" s="245"/>
      <c r="AQ325" s="245"/>
      <c r="AR325" s="245"/>
      <c r="AS325" s="245"/>
      <c r="AU325" s="243"/>
      <c r="AZ325" s="245"/>
      <c r="BA325" s="283"/>
      <c r="BB325" s="283"/>
      <c r="BC325" s="239"/>
      <c r="BD325" s="283"/>
      <c r="BE325" s="239"/>
      <c r="BF325" s="239"/>
      <c r="BG325" s="239"/>
      <c r="BJ325" s="245"/>
      <c r="BK325" s="245"/>
      <c r="BM325" s="245"/>
      <c r="BN325" s="245"/>
      <c r="BO325" s="245"/>
      <c r="BP325" s="245"/>
      <c r="BQ325" s="245"/>
    </row>
    <row r="326" spans="1:69" ht="21" hidden="1" customHeight="1" x14ac:dyDescent="0.2">
      <c r="A326" s="842"/>
      <c r="I326" s="567"/>
      <c r="K326" s="568"/>
      <c r="O326" s="169"/>
      <c r="P326" s="169"/>
      <c r="Q326" s="169"/>
      <c r="R326" s="169"/>
      <c r="S326" s="169"/>
      <c r="AA326" s="231"/>
      <c r="AO326" s="245"/>
      <c r="AP326" s="245"/>
      <c r="AQ326" s="245"/>
      <c r="AR326" s="245"/>
      <c r="AS326" s="245"/>
      <c r="AT326" s="245"/>
      <c r="AU326" s="245"/>
      <c r="AZ326" s="245"/>
      <c r="BA326" s="283"/>
      <c r="BB326" s="283"/>
      <c r="BC326" s="239"/>
      <c r="BD326" s="283"/>
      <c r="BE326" s="239"/>
      <c r="BF326" s="239"/>
      <c r="BG326" s="239"/>
      <c r="BJ326" s="245"/>
      <c r="BK326" s="245"/>
      <c r="BM326" s="245"/>
      <c r="BN326" s="245"/>
      <c r="BO326" s="245"/>
      <c r="BP326" s="245"/>
      <c r="BQ326" s="245"/>
    </row>
    <row r="327" spans="1:69" ht="13.5" hidden="1" customHeight="1" x14ac:dyDescent="0.2">
      <c r="A327" s="842"/>
      <c r="C327" s="569"/>
      <c r="D327" s="570"/>
      <c r="E327" s="571"/>
      <c r="G327" s="204"/>
      <c r="H327" s="204"/>
      <c r="I327" s="199"/>
      <c r="J327" s="205"/>
      <c r="L327" s="206"/>
      <c r="M327" s="201"/>
      <c r="N327" s="207"/>
      <c r="O327" s="208"/>
      <c r="P327" s="169"/>
      <c r="Q327" s="169"/>
      <c r="R327" s="169"/>
      <c r="S327" s="169"/>
      <c r="T327" s="209"/>
      <c r="U327" s="209"/>
      <c r="V327" s="209"/>
      <c r="W327" s="209"/>
      <c r="Y327" s="210"/>
      <c r="Z327" s="211"/>
      <c r="AA327" s="210"/>
      <c r="AB327" s="210"/>
      <c r="AC327" s="210"/>
      <c r="AD327" s="212"/>
      <c r="AE327" s="210"/>
      <c r="AF327" s="213"/>
      <c r="AG327" s="214"/>
      <c r="AH327" s="214"/>
      <c r="AI327" s="215"/>
      <c r="AJ327" s="214"/>
      <c r="AK327" s="214"/>
      <c r="AL327" s="215"/>
      <c r="AM327" s="216"/>
      <c r="AO327" s="245"/>
      <c r="AP327" s="245"/>
      <c r="AQ327" s="245"/>
      <c r="AR327" s="245"/>
      <c r="AS327" s="245"/>
      <c r="AT327" s="245"/>
      <c r="AU327" s="245"/>
      <c r="AZ327" s="245"/>
      <c r="BA327" s="283"/>
      <c r="BB327" s="283"/>
      <c r="BC327" s="239"/>
      <c r="BD327" s="283"/>
      <c r="BE327" s="239"/>
      <c r="BF327" s="239"/>
      <c r="BG327" s="239"/>
      <c r="BJ327" s="245"/>
      <c r="BK327" s="245"/>
      <c r="BM327" s="245"/>
      <c r="BN327" s="245"/>
      <c r="BO327" s="245"/>
      <c r="BP327" s="245"/>
      <c r="BQ327" s="245"/>
    </row>
    <row r="328" spans="1:69" ht="13.5" hidden="1" customHeight="1" x14ac:dyDescent="0.2">
      <c r="A328" s="842"/>
      <c r="C328" s="569"/>
      <c r="D328" s="570"/>
      <c r="E328" s="571"/>
      <c r="G328" s="204"/>
      <c r="H328" s="204"/>
      <c r="I328" s="199"/>
      <c r="J328" s="205"/>
      <c r="L328" s="206"/>
      <c r="M328" s="201"/>
      <c r="N328" s="207"/>
      <c r="O328" s="220"/>
      <c r="P328" s="169"/>
      <c r="Q328" s="169"/>
      <c r="R328" s="169"/>
      <c r="S328" s="169"/>
      <c r="T328" s="209"/>
      <c r="U328" s="209"/>
      <c r="V328" s="209"/>
      <c r="W328" s="209"/>
      <c r="Y328" s="210"/>
      <c r="Z328" s="211"/>
      <c r="AA328" s="210"/>
      <c r="AB328" s="210"/>
      <c r="AC328" s="210"/>
      <c r="AD328" s="212"/>
      <c r="AE328" s="210"/>
      <c r="AF328" s="213"/>
      <c r="AG328" s="214"/>
      <c r="AH328" s="214"/>
      <c r="AI328" s="215"/>
      <c r="AJ328" s="214"/>
      <c r="AK328" s="214"/>
      <c r="AL328" s="215"/>
      <c r="AM328" s="216"/>
      <c r="AO328" s="245"/>
      <c r="AP328" s="245"/>
      <c r="AQ328" s="245"/>
      <c r="AR328" s="245"/>
      <c r="AS328" s="245"/>
      <c r="AT328" s="245"/>
      <c r="AU328" s="245"/>
      <c r="AZ328" s="245"/>
      <c r="BA328" s="283"/>
      <c r="BB328" s="283"/>
      <c r="BC328" s="239"/>
      <c r="BD328" s="283"/>
      <c r="BE328" s="239"/>
      <c r="BF328" s="239"/>
      <c r="BG328" s="239"/>
      <c r="BJ328" s="245"/>
      <c r="BK328" s="245"/>
      <c r="BM328" s="245"/>
      <c r="BN328" s="245"/>
      <c r="BO328" s="245"/>
      <c r="BP328" s="245"/>
      <c r="BQ328" s="245"/>
    </row>
    <row r="329" spans="1:69" ht="13.5" hidden="1" customHeight="1" x14ac:dyDescent="0.2">
      <c r="A329" s="842"/>
      <c r="C329" s="569"/>
      <c r="D329" s="570"/>
      <c r="E329" s="571"/>
      <c r="G329" s="204"/>
      <c r="H329" s="204"/>
      <c r="I329" s="199"/>
      <c r="J329" s="205"/>
      <c r="L329" s="206"/>
      <c r="M329" s="201"/>
      <c r="N329" s="207"/>
      <c r="O329" s="220"/>
      <c r="P329" s="169"/>
      <c r="Q329" s="169"/>
      <c r="R329" s="169"/>
      <c r="S329" s="169"/>
      <c r="T329" s="209"/>
      <c r="U329" s="209"/>
      <c r="V329" s="209"/>
      <c r="W329" s="209"/>
      <c r="Y329" s="210"/>
      <c r="Z329" s="211"/>
      <c r="AA329" s="210"/>
      <c r="AB329" s="210"/>
      <c r="AC329" s="210"/>
      <c r="AD329" s="212"/>
      <c r="AE329" s="210"/>
      <c r="AF329" s="213"/>
      <c r="AG329" s="214"/>
      <c r="AH329" s="214"/>
      <c r="AI329" s="215"/>
      <c r="AJ329" s="214"/>
      <c r="AK329" s="214"/>
      <c r="AL329" s="215"/>
      <c r="AM329" s="216"/>
      <c r="AO329" s="245"/>
      <c r="AP329" s="245"/>
      <c r="AQ329" s="245"/>
      <c r="AR329" s="245"/>
      <c r="AS329" s="245"/>
      <c r="AT329" s="245"/>
      <c r="AU329" s="245"/>
      <c r="AV329" s="245"/>
      <c r="AW329" s="245"/>
      <c r="AX329" s="245"/>
      <c r="BA329" s="283"/>
      <c r="BB329" s="283"/>
      <c r="BC329" s="239"/>
      <c r="BD329" s="283"/>
      <c r="BE329" s="239"/>
      <c r="BF329" s="239"/>
      <c r="BG329" s="239"/>
      <c r="BJ329" s="245"/>
    </row>
    <row r="330" spans="1:69" ht="13.5" hidden="1" customHeight="1" x14ac:dyDescent="0.2">
      <c r="A330" s="842"/>
      <c r="C330" s="569"/>
      <c r="D330" s="570"/>
      <c r="E330" s="571"/>
      <c r="G330" s="204"/>
      <c r="H330" s="204"/>
      <c r="I330" s="199"/>
      <c r="J330" s="205"/>
      <c r="L330" s="206"/>
      <c r="M330" s="201"/>
      <c r="N330" s="207"/>
      <c r="O330" s="220"/>
      <c r="P330" s="169"/>
      <c r="Q330" s="169"/>
      <c r="R330" s="169"/>
      <c r="S330" s="169"/>
      <c r="T330" s="209"/>
      <c r="U330" s="209"/>
      <c r="Y330" s="210"/>
      <c r="Z330" s="211"/>
      <c r="AA330" s="210"/>
      <c r="AB330" s="210"/>
      <c r="AC330" s="210"/>
      <c r="AD330" s="212"/>
      <c r="AE330" s="210"/>
      <c r="AF330" s="213"/>
      <c r="AG330" s="214"/>
      <c r="AH330" s="214"/>
      <c r="AI330" s="215"/>
      <c r="AJ330" s="214"/>
      <c r="AK330" s="214"/>
      <c r="AL330" s="215"/>
      <c r="AM330" s="216"/>
      <c r="AO330" s="245"/>
      <c r="AP330" s="245"/>
      <c r="AQ330" s="245"/>
      <c r="AR330" s="245"/>
      <c r="AS330" s="245"/>
      <c r="AT330" s="245"/>
      <c r="AU330" s="245"/>
      <c r="AV330" s="245"/>
      <c r="AW330" s="245"/>
      <c r="AX330" s="245"/>
      <c r="AZ330" s="245"/>
      <c r="BA330" s="283"/>
      <c r="BB330" s="283"/>
      <c r="BC330" s="239"/>
      <c r="BD330" s="283"/>
      <c r="BE330" s="239"/>
      <c r="BF330" s="239"/>
      <c r="BG330" s="239"/>
      <c r="BJ330" s="245"/>
      <c r="BK330" s="245"/>
      <c r="BM330" s="245"/>
      <c r="BN330" s="245"/>
      <c r="BO330" s="245"/>
      <c r="BP330" s="245"/>
      <c r="BQ330" s="245"/>
    </row>
    <row r="331" spans="1:69" ht="21" hidden="1" customHeight="1" x14ac:dyDescent="0.2">
      <c r="A331" s="842"/>
      <c r="G331" s="576"/>
      <c r="H331" s="576"/>
      <c r="I331" s="567"/>
      <c r="K331" s="568"/>
      <c r="N331" s="223"/>
      <c r="O331" s="169"/>
      <c r="P331" s="169"/>
      <c r="Q331" s="169"/>
      <c r="R331" s="169"/>
      <c r="S331" s="169"/>
      <c r="T331" s="209"/>
      <c r="U331" s="209"/>
      <c r="V331" s="209"/>
      <c r="W331" s="209"/>
      <c r="Y331" s="229"/>
      <c r="Z331" s="230"/>
      <c r="AA331" s="231"/>
      <c r="AB331" s="231"/>
      <c r="AC331" s="231"/>
      <c r="AD331" s="232"/>
      <c r="AE331" s="231"/>
      <c r="AG331" s="233"/>
      <c r="AH331" s="233"/>
      <c r="AI331" s="234"/>
      <c r="AJ331" s="233"/>
      <c r="AK331" s="233"/>
      <c r="AL331" s="234"/>
      <c r="AM331" s="234"/>
      <c r="AO331" s="245"/>
      <c r="AP331" s="245"/>
      <c r="AQ331" s="245"/>
      <c r="AR331" s="245"/>
      <c r="AS331" s="245"/>
      <c r="AT331" s="245"/>
      <c r="AU331" s="245"/>
      <c r="AV331" s="245"/>
      <c r="AW331" s="245"/>
      <c r="AX331" s="245"/>
      <c r="AZ331" s="245"/>
      <c r="BA331" s="283"/>
      <c r="BB331" s="283"/>
      <c r="BC331" s="239"/>
      <c r="BD331" s="283"/>
      <c r="BE331" s="239"/>
      <c r="BF331" s="239"/>
      <c r="BG331" s="239"/>
      <c r="BJ331" s="245"/>
      <c r="BK331" s="245"/>
      <c r="BM331" s="245"/>
      <c r="BN331" s="245"/>
      <c r="BO331" s="245"/>
      <c r="BP331" s="245"/>
      <c r="BQ331" s="245"/>
    </row>
    <row r="332" spans="1:69" ht="13.5" hidden="1" customHeight="1" x14ac:dyDescent="0.2">
      <c r="A332" s="842"/>
      <c r="C332" s="569"/>
      <c r="D332" s="570"/>
      <c r="E332" s="571"/>
      <c r="G332" s="204"/>
      <c r="H332" s="204"/>
      <c r="I332" s="199"/>
      <c r="J332" s="205"/>
      <c r="L332" s="206"/>
      <c r="M332" s="201"/>
      <c r="N332" s="207"/>
      <c r="O332" s="208"/>
      <c r="P332" s="169"/>
      <c r="Q332" s="169"/>
      <c r="R332" s="169"/>
      <c r="S332" s="169"/>
      <c r="Y332" s="210"/>
      <c r="Z332" s="211"/>
      <c r="AA332" s="210"/>
      <c r="AB332" s="210"/>
      <c r="AC332" s="210"/>
      <c r="AD332" s="212"/>
      <c r="AE332" s="210"/>
      <c r="AG332" s="214"/>
      <c r="AH332" s="214"/>
      <c r="AI332" s="215"/>
      <c r="AJ332" s="214"/>
      <c r="AK332" s="214"/>
      <c r="AL332" s="215"/>
      <c r="AM332" s="216"/>
      <c r="AO332" s="245"/>
      <c r="AP332" s="245"/>
      <c r="AQ332" s="245"/>
      <c r="AR332" s="245"/>
      <c r="AS332" s="245"/>
      <c r="AT332" s="245"/>
      <c r="AU332" s="245"/>
      <c r="AV332" s="245"/>
      <c r="AW332" s="245"/>
      <c r="AX332" s="245"/>
      <c r="AZ332" s="245"/>
      <c r="BA332" s="283"/>
      <c r="BB332" s="283"/>
      <c r="BC332" s="239"/>
      <c r="BD332" s="283"/>
      <c r="BE332" s="239"/>
      <c r="BF332" s="239"/>
      <c r="BG332" s="239"/>
      <c r="BJ332" s="245"/>
      <c r="BK332" s="245"/>
      <c r="BM332" s="245"/>
      <c r="BN332" s="245"/>
      <c r="BO332" s="245"/>
      <c r="BP332" s="245"/>
      <c r="BQ332" s="245"/>
    </row>
    <row r="333" spans="1:69" ht="13.5" hidden="1" customHeight="1" x14ac:dyDescent="0.2">
      <c r="A333" s="842"/>
      <c r="C333" s="569"/>
      <c r="D333" s="570"/>
      <c r="E333" s="571"/>
      <c r="G333" s="204"/>
      <c r="H333" s="204"/>
      <c r="I333" s="199"/>
      <c r="J333" s="205"/>
      <c r="L333" s="206"/>
      <c r="M333" s="201"/>
      <c r="N333" s="207"/>
      <c r="O333" s="220"/>
      <c r="P333" s="169"/>
      <c r="Q333" s="169"/>
      <c r="R333" s="169"/>
      <c r="S333" s="169"/>
      <c r="Y333" s="210"/>
      <c r="Z333" s="211"/>
      <c r="AA333" s="210"/>
      <c r="AB333" s="210"/>
      <c r="AC333" s="210"/>
      <c r="AD333" s="212"/>
      <c r="AE333" s="210"/>
      <c r="AG333" s="214"/>
      <c r="AH333" s="214"/>
      <c r="AI333" s="215"/>
      <c r="AJ333" s="214"/>
      <c r="AK333" s="214"/>
      <c r="AL333" s="215"/>
      <c r="AM333" s="216"/>
      <c r="AO333" s="245"/>
      <c r="AP333" s="245"/>
      <c r="AQ333" s="245"/>
      <c r="AR333" s="245"/>
      <c r="AS333" s="245"/>
      <c r="AT333" s="245"/>
      <c r="AU333" s="245"/>
      <c r="AV333" s="245"/>
      <c r="AW333" s="245"/>
      <c r="AX333" s="245"/>
      <c r="AZ333" s="245"/>
      <c r="BA333" s="283"/>
      <c r="BB333" s="283"/>
      <c r="BC333" s="239"/>
      <c r="BD333" s="283"/>
      <c r="BE333" s="239"/>
      <c r="BF333" s="239"/>
      <c r="BG333" s="239"/>
      <c r="BJ333" s="245"/>
      <c r="BK333" s="245"/>
      <c r="BM333" s="245"/>
      <c r="BN333" s="245"/>
      <c r="BO333" s="245"/>
      <c r="BP333" s="245"/>
      <c r="BQ333" s="245"/>
    </row>
    <row r="334" spans="1:69" ht="13.5" hidden="1" customHeight="1" x14ac:dyDescent="0.2">
      <c r="A334" s="842"/>
      <c r="C334" s="569"/>
      <c r="D334" s="570"/>
      <c r="E334" s="571"/>
      <c r="G334" s="204"/>
      <c r="H334" s="204"/>
      <c r="I334" s="199"/>
      <c r="J334" s="205"/>
      <c r="L334" s="206"/>
      <c r="M334" s="201"/>
      <c r="N334" s="207"/>
      <c r="O334" s="220"/>
      <c r="P334" s="169"/>
      <c r="Q334" s="169"/>
      <c r="R334" s="169"/>
      <c r="S334" s="169"/>
      <c r="Y334" s="210"/>
      <c r="Z334" s="211"/>
      <c r="AA334" s="210"/>
      <c r="AB334" s="210"/>
      <c r="AC334" s="210"/>
      <c r="AD334" s="212"/>
      <c r="AE334" s="210"/>
      <c r="AG334" s="214"/>
      <c r="AH334" s="214"/>
      <c r="AI334" s="215"/>
      <c r="AJ334" s="214"/>
      <c r="AK334" s="214"/>
      <c r="AL334" s="215"/>
      <c r="AM334" s="216"/>
      <c r="AO334" s="245"/>
      <c r="AP334" s="245"/>
      <c r="AQ334" s="245"/>
      <c r="AR334" s="245"/>
      <c r="AS334" s="245"/>
      <c r="AT334" s="245"/>
      <c r="AU334" s="245"/>
      <c r="AV334" s="245"/>
      <c r="AW334" s="245"/>
      <c r="AX334" s="245"/>
      <c r="AZ334" s="245"/>
      <c r="BA334" s="283"/>
      <c r="BB334" s="283"/>
      <c r="BC334" s="239"/>
      <c r="BD334" s="283"/>
      <c r="BE334" s="239"/>
      <c r="BF334" s="239"/>
      <c r="BG334" s="239"/>
      <c r="BJ334" s="245"/>
      <c r="BK334" s="245"/>
      <c r="BM334" s="245"/>
      <c r="BN334" s="245"/>
      <c r="BO334" s="245"/>
      <c r="BP334" s="245"/>
      <c r="BQ334" s="245"/>
    </row>
    <row r="335" spans="1:69" ht="13.5" hidden="1" customHeight="1" x14ac:dyDescent="0.2">
      <c r="A335" s="842"/>
      <c r="C335" s="569"/>
      <c r="D335" s="570"/>
      <c r="E335" s="571"/>
      <c r="G335" s="204"/>
      <c r="H335" s="204"/>
      <c r="I335" s="199"/>
      <c r="J335" s="205"/>
      <c r="L335" s="206"/>
      <c r="M335" s="201"/>
      <c r="N335" s="207"/>
      <c r="O335" s="220"/>
      <c r="P335" s="169"/>
      <c r="Q335" s="169"/>
      <c r="R335" s="169"/>
      <c r="S335" s="169"/>
      <c r="Y335" s="210"/>
      <c r="Z335" s="211"/>
      <c r="AA335" s="210"/>
      <c r="AB335" s="210"/>
      <c r="AC335" s="210"/>
      <c r="AD335" s="212"/>
      <c r="AE335" s="210"/>
      <c r="AG335" s="214"/>
      <c r="AH335" s="214"/>
      <c r="AI335" s="215"/>
      <c r="AJ335" s="214"/>
      <c r="AK335" s="214"/>
      <c r="AL335" s="215"/>
      <c r="AM335" s="216"/>
      <c r="AO335" s="245"/>
      <c r="AP335" s="245"/>
      <c r="AQ335" s="245"/>
      <c r="AR335" s="245"/>
      <c r="AS335" s="245"/>
      <c r="AT335" s="245"/>
      <c r="AU335" s="245"/>
      <c r="AV335" s="245"/>
      <c r="AW335" s="245"/>
      <c r="AX335" s="245"/>
      <c r="AZ335" s="245"/>
      <c r="BA335" s="283"/>
      <c r="BB335" s="283"/>
      <c r="BC335" s="239"/>
      <c r="BD335" s="283"/>
      <c r="BE335" s="239"/>
      <c r="BF335" s="239"/>
      <c r="BG335" s="239"/>
      <c r="BJ335" s="245"/>
      <c r="BK335" s="245"/>
      <c r="BM335" s="245"/>
      <c r="BN335" s="245"/>
      <c r="BO335" s="245"/>
      <c r="BP335" s="245"/>
      <c r="BQ335" s="245"/>
    </row>
    <row r="336" spans="1:69" ht="21" hidden="1" customHeight="1" x14ac:dyDescent="0.2">
      <c r="A336" s="842"/>
      <c r="G336" s="576"/>
      <c r="H336" s="576"/>
      <c r="I336" s="567"/>
      <c r="K336" s="568"/>
      <c r="N336" s="169"/>
      <c r="O336" s="169"/>
      <c r="P336" s="169"/>
      <c r="Q336" s="169"/>
      <c r="R336" s="169"/>
      <c r="S336" s="169"/>
      <c r="Y336" s="229"/>
      <c r="Z336" s="230"/>
      <c r="AA336" s="231"/>
      <c r="AB336" s="231"/>
      <c r="AC336" s="231"/>
      <c r="AD336" s="232"/>
      <c r="AE336" s="231"/>
      <c r="AG336" s="233"/>
      <c r="AH336" s="233"/>
      <c r="AI336" s="234"/>
      <c r="AJ336" s="233"/>
      <c r="AK336" s="233"/>
      <c r="AL336" s="234"/>
      <c r="AM336" s="234"/>
      <c r="AO336" s="245"/>
      <c r="AP336" s="245"/>
      <c r="AQ336" s="245"/>
      <c r="AR336" s="245"/>
      <c r="AS336" s="245"/>
      <c r="AT336" s="245"/>
      <c r="AU336" s="245"/>
      <c r="AV336" s="245"/>
      <c r="AW336" s="245"/>
      <c r="AX336" s="245"/>
      <c r="AZ336" s="245"/>
      <c r="BA336" s="283"/>
      <c r="BB336" s="283"/>
      <c r="BC336" s="239"/>
      <c r="BD336" s="283"/>
      <c r="BE336" s="239"/>
      <c r="BF336" s="239"/>
      <c r="BG336" s="239"/>
      <c r="BJ336" s="245"/>
      <c r="BK336" s="245"/>
      <c r="BM336" s="245"/>
      <c r="BN336" s="245"/>
      <c r="BO336" s="245"/>
      <c r="BP336" s="245"/>
      <c r="BQ336" s="245"/>
    </row>
    <row r="337" spans="1:69" ht="13.5" hidden="1" customHeight="1" x14ac:dyDescent="0.2">
      <c r="A337" s="842"/>
      <c r="C337" s="569"/>
      <c r="D337" s="570"/>
      <c r="E337" s="571"/>
      <c r="G337" s="204"/>
      <c r="H337" s="204"/>
      <c r="I337" s="199"/>
      <c r="J337" s="205"/>
      <c r="L337" s="206"/>
      <c r="M337" s="201"/>
      <c r="N337" s="207"/>
      <c r="O337" s="208"/>
      <c r="P337" s="169"/>
      <c r="Q337" s="169"/>
      <c r="R337" s="169"/>
      <c r="S337" s="169"/>
      <c r="Y337" s="210"/>
      <c r="Z337" s="211"/>
      <c r="AA337" s="210"/>
      <c r="AB337" s="210"/>
      <c r="AC337" s="210"/>
      <c r="AD337" s="212"/>
      <c r="AE337" s="210"/>
      <c r="AG337" s="214"/>
      <c r="AH337" s="214"/>
      <c r="AI337" s="215"/>
      <c r="AJ337" s="214"/>
      <c r="AK337" s="214"/>
      <c r="AL337" s="215"/>
      <c r="AM337" s="216"/>
      <c r="AO337" s="245"/>
      <c r="AP337" s="245"/>
      <c r="AQ337" s="245"/>
      <c r="AR337" s="245"/>
      <c r="AS337" s="245"/>
      <c r="AT337" s="245"/>
      <c r="AU337" s="245"/>
      <c r="AV337" s="245"/>
      <c r="AW337" s="245"/>
      <c r="AX337" s="245"/>
      <c r="AZ337" s="245"/>
      <c r="BA337" s="283"/>
      <c r="BB337" s="283"/>
      <c r="BC337" s="239"/>
      <c r="BD337" s="283"/>
      <c r="BE337" s="239"/>
      <c r="BF337" s="239"/>
      <c r="BG337" s="239"/>
      <c r="BJ337" s="245"/>
      <c r="BK337" s="245"/>
      <c r="BM337" s="245"/>
      <c r="BN337" s="245"/>
      <c r="BO337" s="245"/>
      <c r="BP337" s="245"/>
      <c r="BQ337" s="245"/>
    </row>
    <row r="338" spans="1:69" ht="13.5" hidden="1" customHeight="1" x14ac:dyDescent="0.2">
      <c r="A338" s="842"/>
      <c r="C338" s="569"/>
      <c r="D338" s="570"/>
      <c r="E338" s="571"/>
      <c r="G338" s="204"/>
      <c r="H338" s="204"/>
      <c r="I338" s="199"/>
      <c r="J338" s="205"/>
      <c r="L338" s="206"/>
      <c r="M338" s="201"/>
      <c r="N338" s="207"/>
      <c r="O338" s="220"/>
      <c r="P338" s="169"/>
      <c r="Q338" s="169"/>
      <c r="R338" s="169"/>
      <c r="S338" s="169"/>
      <c r="Y338" s="210"/>
      <c r="Z338" s="211"/>
      <c r="AA338" s="210"/>
      <c r="AB338" s="210"/>
      <c r="AC338" s="210"/>
      <c r="AD338" s="212"/>
      <c r="AE338" s="210"/>
      <c r="AG338" s="214"/>
      <c r="AH338" s="214"/>
      <c r="AI338" s="215"/>
      <c r="AJ338" s="214"/>
      <c r="AK338" s="214"/>
      <c r="AL338" s="215"/>
      <c r="AM338" s="216"/>
      <c r="AO338" s="245"/>
      <c r="AP338" s="245"/>
      <c r="AQ338" s="245"/>
      <c r="AR338" s="245"/>
      <c r="AS338" s="245"/>
      <c r="AT338" s="245"/>
      <c r="AU338" s="245"/>
      <c r="AV338" s="245"/>
      <c r="AW338" s="245"/>
      <c r="AX338" s="245"/>
      <c r="AZ338" s="245"/>
      <c r="BA338" s="283"/>
      <c r="BB338" s="283"/>
      <c r="BC338" s="239"/>
      <c r="BD338" s="283"/>
      <c r="BE338" s="239"/>
      <c r="BF338" s="239"/>
      <c r="BG338" s="239"/>
      <c r="BJ338" s="245"/>
      <c r="BK338" s="245"/>
      <c r="BM338" s="245"/>
      <c r="BN338" s="245"/>
      <c r="BO338" s="245"/>
      <c r="BP338" s="245"/>
      <c r="BQ338" s="245"/>
    </row>
    <row r="339" spans="1:69" ht="13.5" hidden="1" customHeight="1" x14ac:dyDescent="0.2">
      <c r="A339" s="842"/>
      <c r="C339" s="569"/>
      <c r="D339" s="570"/>
      <c r="E339" s="571"/>
      <c r="G339" s="204"/>
      <c r="H339" s="204"/>
      <c r="I339" s="199"/>
      <c r="J339" s="205"/>
      <c r="L339" s="206"/>
      <c r="M339" s="201"/>
      <c r="N339" s="207"/>
      <c r="O339" s="220"/>
      <c r="P339" s="169"/>
      <c r="Q339" s="169"/>
      <c r="R339" s="169"/>
      <c r="S339" s="169"/>
      <c r="Y339" s="210"/>
      <c r="Z339" s="211"/>
      <c r="AA339" s="210"/>
      <c r="AB339" s="210"/>
      <c r="AC339" s="210"/>
      <c r="AD339" s="212"/>
      <c r="AE339" s="210"/>
      <c r="AG339" s="214"/>
      <c r="AH339" s="214"/>
      <c r="AI339" s="215"/>
      <c r="AJ339" s="214"/>
      <c r="AK339" s="214"/>
      <c r="AL339" s="215"/>
      <c r="AM339" s="216"/>
      <c r="AO339" s="245"/>
      <c r="AP339" s="245"/>
      <c r="AQ339" s="245"/>
      <c r="AR339" s="245"/>
      <c r="AS339" s="245"/>
      <c r="AT339" s="245"/>
      <c r="AU339" s="245"/>
      <c r="AV339" s="245"/>
      <c r="AW339" s="245"/>
      <c r="AX339" s="245"/>
      <c r="AZ339" s="245"/>
      <c r="BA339" s="283"/>
      <c r="BB339" s="283"/>
      <c r="BC339" s="239"/>
      <c r="BD339" s="283"/>
      <c r="BE339" s="239"/>
      <c r="BF339" s="239"/>
      <c r="BG339" s="239"/>
      <c r="BJ339" s="245"/>
      <c r="BK339" s="245"/>
      <c r="BM339" s="245"/>
      <c r="BN339" s="245"/>
      <c r="BO339" s="245"/>
      <c r="BP339" s="245"/>
      <c r="BQ339" s="245"/>
    </row>
    <row r="340" spans="1:69" ht="13.5" hidden="1" customHeight="1" x14ac:dyDescent="0.2">
      <c r="A340" s="842"/>
      <c r="C340" s="569"/>
      <c r="D340" s="570"/>
      <c r="E340" s="571"/>
      <c r="G340" s="204"/>
      <c r="H340" s="204"/>
      <c r="I340" s="199"/>
      <c r="J340" s="205"/>
      <c r="L340" s="206"/>
      <c r="M340" s="201"/>
      <c r="N340" s="207"/>
      <c r="O340" s="220"/>
      <c r="P340" s="169"/>
      <c r="Q340" s="169"/>
      <c r="R340" s="169"/>
      <c r="S340" s="169"/>
      <c r="Y340" s="210"/>
      <c r="Z340" s="211"/>
      <c r="AA340" s="210"/>
      <c r="AB340" s="210"/>
      <c r="AC340" s="210"/>
      <c r="AD340" s="212"/>
      <c r="AE340" s="210"/>
      <c r="AG340" s="214"/>
      <c r="AH340" s="214"/>
      <c r="AI340" s="215"/>
      <c r="AJ340" s="214"/>
      <c r="AK340" s="214"/>
      <c r="AL340" s="215"/>
      <c r="AM340" s="216"/>
      <c r="AO340" s="245"/>
      <c r="AP340" s="245"/>
      <c r="AQ340" s="245"/>
      <c r="AR340" s="245"/>
      <c r="AS340" s="245"/>
      <c r="AT340" s="245"/>
      <c r="AU340" s="245"/>
      <c r="AV340" s="245"/>
      <c r="AW340" s="245"/>
      <c r="AX340" s="245"/>
      <c r="AZ340" s="245"/>
      <c r="BA340" s="283"/>
      <c r="BB340" s="283"/>
      <c r="BC340" s="239"/>
      <c r="BD340" s="283"/>
      <c r="BE340" s="239"/>
      <c r="BF340" s="239"/>
      <c r="BG340" s="239"/>
      <c r="BJ340" s="245"/>
      <c r="BK340" s="245"/>
      <c r="BM340" s="245"/>
      <c r="BN340" s="245"/>
      <c r="BO340" s="245"/>
      <c r="BP340" s="245"/>
      <c r="BQ340" s="245"/>
    </row>
    <row r="341" spans="1:69" ht="13.5" hidden="1" customHeight="1" x14ac:dyDescent="0.2">
      <c r="A341" s="842"/>
      <c r="I341" s="169"/>
      <c r="J341" s="169"/>
      <c r="K341" s="169"/>
      <c r="L341" s="169"/>
      <c r="M341" s="169"/>
      <c r="N341" s="169"/>
      <c r="O341" s="169"/>
      <c r="P341" s="169"/>
      <c r="Q341" s="169"/>
      <c r="R341" s="169"/>
      <c r="S341" s="169"/>
      <c r="Y341" s="229"/>
      <c r="Z341" s="230"/>
      <c r="AG341" s="233"/>
      <c r="AH341" s="233"/>
      <c r="AI341" s="234"/>
      <c r="AJ341" s="233"/>
      <c r="AK341" s="233"/>
      <c r="AL341" s="234"/>
      <c r="AM341" s="234"/>
      <c r="AO341" s="245"/>
      <c r="AP341" s="245"/>
      <c r="AQ341" s="245"/>
      <c r="AR341" s="245"/>
      <c r="AS341" s="245"/>
      <c r="AT341" s="245"/>
      <c r="AU341" s="245"/>
      <c r="AV341" s="245"/>
      <c r="AW341" s="245"/>
      <c r="AX341" s="245"/>
      <c r="AZ341" s="245"/>
      <c r="BA341" s="283"/>
      <c r="BB341" s="283"/>
      <c r="BC341" s="239"/>
      <c r="BD341" s="283"/>
      <c r="BE341" s="239"/>
      <c r="BF341" s="239"/>
      <c r="BG341" s="239"/>
      <c r="BJ341" s="245"/>
      <c r="BK341" s="245"/>
      <c r="BM341" s="245"/>
      <c r="BN341" s="245"/>
      <c r="BO341" s="245"/>
      <c r="BP341" s="245"/>
      <c r="BQ341" s="245"/>
    </row>
    <row r="342" spans="1:69" ht="13.5" hidden="1" customHeight="1" x14ac:dyDescent="0.2">
      <c r="A342" s="842"/>
      <c r="I342" s="170"/>
      <c r="J342" s="171"/>
      <c r="K342" s="171"/>
      <c r="L342" s="171"/>
      <c r="M342" s="170"/>
      <c r="N342" s="172"/>
      <c r="Y342" s="229"/>
      <c r="Z342" s="230"/>
      <c r="AA342" s="231"/>
      <c r="AB342" s="231"/>
      <c r="AC342" s="231"/>
      <c r="AD342" s="232"/>
      <c r="AE342" s="231"/>
      <c r="AG342" s="233"/>
      <c r="AH342" s="233"/>
      <c r="AI342" s="234"/>
      <c r="AJ342" s="233"/>
      <c r="AK342" s="233"/>
      <c r="AL342" s="234"/>
      <c r="AM342" s="234"/>
      <c r="AO342" s="245"/>
      <c r="AP342" s="245"/>
      <c r="AQ342" s="245"/>
      <c r="AR342" s="245"/>
      <c r="AS342" s="245"/>
      <c r="AT342" s="245"/>
      <c r="AU342" s="245"/>
      <c r="AZ342" s="245"/>
      <c r="BA342" s="283"/>
      <c r="BB342" s="283"/>
      <c r="BC342" s="239"/>
      <c r="BD342" s="283"/>
      <c r="BE342" s="239"/>
      <c r="BF342" s="239"/>
      <c r="BG342" s="239"/>
      <c r="BJ342" s="245"/>
      <c r="BK342" s="245"/>
      <c r="BM342" s="245"/>
      <c r="BN342" s="245"/>
      <c r="BO342" s="245"/>
      <c r="BP342" s="245"/>
      <c r="BQ342" s="245"/>
    </row>
    <row r="343" spans="1:69" ht="13.5" hidden="1" customHeight="1" x14ac:dyDescent="0.2">
      <c r="A343" s="842"/>
      <c r="B343" s="309"/>
      <c r="C343" s="309"/>
      <c r="D343" s="544"/>
      <c r="E343" s="544"/>
      <c r="F343" s="544"/>
      <c r="G343" s="544"/>
      <c r="H343" s="544"/>
      <c r="I343" s="844"/>
      <c r="J343" s="844"/>
      <c r="K343" s="844"/>
      <c r="L343" s="844"/>
      <c r="M343" s="564"/>
      <c r="N343" s="565"/>
      <c r="O343" s="566"/>
      <c r="P343" s="169"/>
      <c r="Q343" s="169"/>
      <c r="R343" s="169"/>
      <c r="S343" s="169"/>
      <c r="AA343" s="231"/>
      <c r="AP343" s="245"/>
      <c r="AQ343" s="245"/>
      <c r="AR343" s="245"/>
      <c r="AS343" s="245"/>
      <c r="AU343" s="243"/>
      <c r="AZ343" s="245"/>
      <c r="BA343" s="283"/>
      <c r="BB343" s="283"/>
      <c r="BC343" s="239"/>
      <c r="BD343" s="283"/>
      <c r="BE343" s="239"/>
      <c r="BF343" s="239"/>
      <c r="BG343" s="239"/>
      <c r="BJ343" s="245"/>
      <c r="BK343" s="245"/>
      <c r="BM343" s="245"/>
      <c r="BN343" s="245"/>
      <c r="BO343" s="245"/>
      <c r="BP343" s="245"/>
      <c r="BQ343" s="245"/>
    </row>
    <row r="344" spans="1:69" ht="21" hidden="1" customHeight="1" x14ac:dyDescent="0.2">
      <c r="A344" s="842"/>
      <c r="I344" s="567"/>
      <c r="K344" s="568"/>
      <c r="O344" s="169"/>
      <c r="P344" s="169"/>
      <c r="Q344" s="169"/>
      <c r="R344" s="169"/>
      <c r="S344" s="169"/>
      <c r="AA344" s="231"/>
      <c r="AO344" s="245"/>
      <c r="AP344" s="245"/>
      <c r="AQ344" s="245"/>
      <c r="AR344" s="245"/>
      <c r="AS344" s="245"/>
      <c r="AT344" s="245"/>
      <c r="AU344" s="245"/>
      <c r="AZ344" s="245"/>
      <c r="BA344" s="283"/>
      <c r="BB344" s="283"/>
      <c r="BC344" s="239"/>
      <c r="BD344" s="283"/>
      <c r="BE344" s="239"/>
      <c r="BF344" s="239"/>
      <c r="BG344" s="239"/>
      <c r="BJ344" s="245"/>
      <c r="BK344" s="245"/>
      <c r="BM344" s="245"/>
      <c r="BN344" s="245"/>
      <c r="BO344" s="245"/>
      <c r="BP344" s="245"/>
      <c r="BQ344" s="245"/>
    </row>
    <row r="345" spans="1:69" ht="13.5" hidden="1" customHeight="1" x14ac:dyDescent="0.2">
      <c r="A345" s="842"/>
      <c r="C345" s="569"/>
      <c r="D345" s="570"/>
      <c r="E345" s="571"/>
      <c r="G345" s="204"/>
      <c r="H345" s="204"/>
      <c r="I345" s="199"/>
      <c r="J345" s="205"/>
      <c r="L345" s="206"/>
      <c r="M345" s="201"/>
      <c r="N345" s="207"/>
      <c r="O345" s="208"/>
      <c r="P345" s="169"/>
      <c r="Q345" s="169"/>
      <c r="R345" s="169"/>
      <c r="S345" s="169"/>
      <c r="T345" s="209"/>
      <c r="U345" s="209"/>
      <c r="V345" s="209"/>
      <c r="W345" s="209"/>
      <c r="Y345" s="210"/>
      <c r="Z345" s="211"/>
      <c r="AA345" s="210"/>
      <c r="AB345" s="210"/>
      <c r="AC345" s="210"/>
      <c r="AD345" s="212"/>
      <c r="AE345" s="210"/>
      <c r="AF345" s="213"/>
      <c r="AG345" s="214"/>
      <c r="AH345" s="214"/>
      <c r="AI345" s="215"/>
      <c r="AJ345" s="214"/>
      <c r="AK345" s="214"/>
      <c r="AL345" s="215"/>
      <c r="AM345" s="216"/>
      <c r="AO345" s="245"/>
      <c r="AP345" s="245"/>
      <c r="AQ345" s="245"/>
      <c r="AR345" s="245"/>
      <c r="AS345" s="245"/>
      <c r="AT345" s="245"/>
      <c r="AU345" s="245"/>
      <c r="AZ345" s="245"/>
      <c r="BA345" s="283"/>
      <c r="BB345" s="283"/>
      <c r="BC345" s="239"/>
      <c r="BD345" s="283"/>
      <c r="BE345" s="239"/>
      <c r="BF345" s="239"/>
      <c r="BG345" s="239"/>
      <c r="BJ345" s="245"/>
      <c r="BK345" s="245"/>
      <c r="BM345" s="245"/>
      <c r="BN345" s="245"/>
      <c r="BO345" s="245"/>
      <c r="BP345" s="245"/>
      <c r="BQ345" s="245"/>
    </row>
    <row r="346" spans="1:69" ht="13.5" hidden="1" customHeight="1" x14ac:dyDescent="0.2">
      <c r="A346" s="842"/>
      <c r="C346" s="569"/>
      <c r="D346" s="570"/>
      <c r="E346" s="571"/>
      <c r="G346" s="204"/>
      <c r="H346" s="204"/>
      <c r="I346" s="199"/>
      <c r="J346" s="205"/>
      <c r="L346" s="206"/>
      <c r="M346" s="201"/>
      <c r="N346" s="207"/>
      <c r="O346" s="220"/>
      <c r="P346" s="169"/>
      <c r="Q346" s="169"/>
      <c r="R346" s="169"/>
      <c r="S346" s="169"/>
      <c r="T346" s="209"/>
      <c r="U346" s="209"/>
      <c r="V346" s="209"/>
      <c r="W346" s="209"/>
      <c r="Y346" s="210"/>
      <c r="Z346" s="211"/>
      <c r="AA346" s="210"/>
      <c r="AB346" s="210"/>
      <c r="AC346" s="210"/>
      <c r="AD346" s="212"/>
      <c r="AE346" s="210"/>
      <c r="AF346" s="213"/>
      <c r="AG346" s="214"/>
      <c r="AH346" s="214"/>
      <c r="AI346" s="215"/>
      <c r="AJ346" s="214"/>
      <c r="AK346" s="214"/>
      <c r="AL346" s="215"/>
      <c r="AM346" s="216"/>
      <c r="AO346" s="245"/>
      <c r="AP346" s="245"/>
      <c r="AQ346" s="245"/>
      <c r="AR346" s="245"/>
      <c r="AS346" s="245"/>
      <c r="AT346" s="245"/>
      <c r="AU346" s="245"/>
      <c r="AZ346" s="245"/>
      <c r="BA346" s="283"/>
      <c r="BB346" s="283"/>
      <c r="BC346" s="239"/>
      <c r="BD346" s="283"/>
      <c r="BE346" s="239"/>
      <c r="BF346" s="239"/>
      <c r="BG346" s="239"/>
      <c r="BJ346" s="245"/>
      <c r="BK346" s="245"/>
      <c r="BM346" s="245"/>
      <c r="BN346" s="245"/>
      <c r="BO346" s="245"/>
      <c r="BP346" s="245"/>
      <c r="BQ346" s="245"/>
    </row>
    <row r="347" spans="1:69" ht="13.5" hidden="1" customHeight="1" x14ac:dyDescent="0.2">
      <c r="A347" s="842"/>
      <c r="C347" s="569"/>
      <c r="D347" s="570"/>
      <c r="E347" s="571"/>
      <c r="G347" s="204"/>
      <c r="H347" s="204"/>
      <c r="I347" s="199"/>
      <c r="J347" s="205"/>
      <c r="L347" s="206"/>
      <c r="M347" s="201"/>
      <c r="N347" s="207"/>
      <c r="O347" s="220"/>
      <c r="P347" s="169"/>
      <c r="Q347" s="169"/>
      <c r="R347" s="169"/>
      <c r="S347" s="169"/>
      <c r="T347" s="209"/>
      <c r="U347" s="209"/>
      <c r="V347" s="209"/>
      <c r="W347" s="209"/>
      <c r="Y347" s="210"/>
      <c r="Z347" s="211"/>
      <c r="AA347" s="210"/>
      <c r="AB347" s="210"/>
      <c r="AC347" s="210"/>
      <c r="AD347" s="212"/>
      <c r="AE347" s="210"/>
      <c r="AF347" s="213"/>
      <c r="AG347" s="214"/>
      <c r="AH347" s="214"/>
      <c r="AI347" s="215"/>
      <c r="AJ347" s="214"/>
      <c r="AK347" s="214"/>
      <c r="AL347" s="215"/>
      <c r="AM347" s="216"/>
      <c r="AO347" s="245"/>
      <c r="AP347" s="245"/>
      <c r="AQ347" s="245"/>
      <c r="AR347" s="245"/>
      <c r="AS347" s="245"/>
      <c r="AT347" s="245"/>
      <c r="AU347" s="245"/>
      <c r="AV347" s="245"/>
      <c r="AW347" s="245"/>
      <c r="AX347" s="245"/>
      <c r="BA347" s="283"/>
      <c r="BB347" s="283"/>
      <c r="BC347" s="239"/>
      <c r="BD347" s="283"/>
      <c r="BE347" s="239"/>
      <c r="BF347" s="239"/>
      <c r="BG347" s="239"/>
      <c r="BJ347" s="245"/>
    </row>
    <row r="348" spans="1:69" ht="13.5" hidden="1" customHeight="1" x14ac:dyDescent="0.2">
      <c r="A348" s="842"/>
      <c r="C348" s="569"/>
      <c r="D348" s="570"/>
      <c r="E348" s="571"/>
      <c r="G348" s="204"/>
      <c r="H348" s="204"/>
      <c r="I348" s="199"/>
      <c r="J348" s="205"/>
      <c r="L348" s="206"/>
      <c r="M348" s="201"/>
      <c r="N348" s="207"/>
      <c r="O348" s="220"/>
      <c r="P348" s="169"/>
      <c r="Q348" s="169"/>
      <c r="R348" s="169"/>
      <c r="S348" s="169"/>
      <c r="T348" s="209"/>
      <c r="U348" s="209"/>
      <c r="Y348" s="210"/>
      <c r="Z348" s="211"/>
      <c r="AA348" s="210"/>
      <c r="AB348" s="210"/>
      <c r="AC348" s="210"/>
      <c r="AD348" s="212"/>
      <c r="AE348" s="210"/>
      <c r="AF348" s="213"/>
      <c r="AG348" s="214"/>
      <c r="AH348" s="214"/>
      <c r="AI348" s="215"/>
      <c r="AJ348" s="214"/>
      <c r="AK348" s="214"/>
      <c r="AL348" s="215"/>
      <c r="AM348" s="216"/>
      <c r="AO348" s="245"/>
      <c r="AP348" s="245"/>
      <c r="AQ348" s="245"/>
      <c r="AR348" s="245"/>
      <c r="AS348" s="245"/>
      <c r="AT348" s="245"/>
      <c r="AU348" s="245"/>
      <c r="AV348" s="245"/>
      <c r="AW348" s="245"/>
      <c r="AX348" s="245"/>
      <c r="AZ348" s="245"/>
      <c r="BA348" s="283"/>
      <c r="BB348" s="283"/>
      <c r="BC348" s="239"/>
      <c r="BD348" s="283"/>
      <c r="BE348" s="239"/>
      <c r="BF348" s="239"/>
      <c r="BG348" s="239"/>
      <c r="BJ348" s="245"/>
      <c r="BK348" s="245"/>
      <c r="BM348" s="245"/>
      <c r="BN348" s="245"/>
      <c r="BO348" s="245"/>
      <c r="BP348" s="245"/>
      <c r="BQ348" s="245"/>
    </row>
    <row r="349" spans="1:69" ht="21" hidden="1" customHeight="1" x14ac:dyDescent="0.2">
      <c r="A349" s="842"/>
      <c r="G349" s="576"/>
      <c r="H349" s="576"/>
      <c r="I349" s="567"/>
      <c r="K349" s="568"/>
      <c r="N349" s="223"/>
      <c r="O349" s="169"/>
      <c r="P349" s="169"/>
      <c r="Q349" s="169"/>
      <c r="R349" s="169"/>
      <c r="S349" s="169"/>
      <c r="T349" s="209"/>
      <c r="U349" s="209"/>
      <c r="V349" s="209"/>
      <c r="W349" s="209"/>
      <c r="Y349" s="229"/>
      <c r="Z349" s="230"/>
      <c r="AA349" s="231"/>
      <c r="AB349" s="231"/>
      <c r="AC349" s="231"/>
      <c r="AD349" s="232"/>
      <c r="AE349" s="231"/>
      <c r="AG349" s="233"/>
      <c r="AH349" s="233"/>
      <c r="AI349" s="234"/>
      <c r="AJ349" s="233"/>
      <c r="AK349" s="233"/>
      <c r="AL349" s="234"/>
      <c r="AM349" s="234"/>
      <c r="AO349" s="245"/>
      <c r="AP349" s="245"/>
      <c r="AQ349" s="245"/>
      <c r="AR349" s="245"/>
      <c r="AS349" s="245"/>
      <c r="AT349" s="245"/>
      <c r="AU349" s="245"/>
      <c r="AV349" s="245"/>
      <c r="AW349" s="245"/>
      <c r="AX349" s="245"/>
      <c r="AZ349" s="245"/>
      <c r="BA349" s="283"/>
      <c r="BB349" s="283"/>
      <c r="BC349" s="239"/>
      <c r="BD349" s="283"/>
      <c r="BE349" s="239"/>
      <c r="BF349" s="239"/>
      <c r="BG349" s="239"/>
      <c r="BJ349" s="245"/>
      <c r="BK349" s="245"/>
      <c r="BM349" s="245"/>
      <c r="BN349" s="245"/>
      <c r="BO349" s="245"/>
      <c r="BP349" s="245"/>
      <c r="BQ349" s="245"/>
    </row>
    <row r="350" spans="1:69" ht="13.5" hidden="1" customHeight="1" x14ac:dyDescent="0.2">
      <c r="A350" s="842"/>
      <c r="C350" s="569"/>
      <c r="D350" s="570"/>
      <c r="E350" s="571"/>
      <c r="G350" s="204"/>
      <c r="H350" s="204"/>
      <c r="I350" s="199"/>
      <c r="J350" s="205"/>
      <c r="L350" s="206"/>
      <c r="M350" s="201"/>
      <c r="N350" s="207"/>
      <c r="O350" s="208"/>
      <c r="P350" s="169"/>
      <c r="Q350" s="169"/>
      <c r="R350" s="169"/>
      <c r="S350" s="169"/>
      <c r="Y350" s="210"/>
      <c r="Z350" s="211"/>
      <c r="AA350" s="210"/>
      <c r="AB350" s="210"/>
      <c r="AC350" s="210"/>
      <c r="AD350" s="212"/>
      <c r="AE350" s="210"/>
      <c r="AG350" s="214"/>
      <c r="AH350" s="214"/>
      <c r="AI350" s="215"/>
      <c r="AJ350" s="214"/>
      <c r="AK350" s="214"/>
      <c r="AL350" s="215"/>
      <c r="AM350" s="216"/>
      <c r="AO350" s="245"/>
      <c r="AP350" s="245"/>
      <c r="AQ350" s="245"/>
      <c r="AR350" s="245"/>
      <c r="AS350" s="245"/>
      <c r="AT350" s="245"/>
      <c r="AU350" s="245"/>
      <c r="AV350" s="245"/>
      <c r="AW350" s="245"/>
      <c r="AX350" s="245"/>
      <c r="AZ350" s="245"/>
      <c r="BA350" s="283"/>
      <c r="BB350" s="283"/>
      <c r="BC350" s="239"/>
      <c r="BD350" s="283"/>
      <c r="BE350" s="239"/>
      <c r="BF350" s="239"/>
      <c r="BG350" s="239"/>
      <c r="BJ350" s="245"/>
      <c r="BK350" s="245"/>
      <c r="BM350" s="245"/>
      <c r="BN350" s="245"/>
      <c r="BO350" s="245"/>
      <c r="BP350" s="245"/>
      <c r="BQ350" s="245"/>
    </row>
    <row r="351" spans="1:69" ht="13.5" hidden="1" customHeight="1" x14ac:dyDescent="0.2">
      <c r="A351" s="842"/>
      <c r="C351" s="569"/>
      <c r="D351" s="570"/>
      <c r="E351" s="571"/>
      <c r="G351" s="204"/>
      <c r="H351" s="204"/>
      <c r="I351" s="199"/>
      <c r="J351" s="205"/>
      <c r="L351" s="206"/>
      <c r="M351" s="201"/>
      <c r="N351" s="207"/>
      <c r="O351" s="220"/>
      <c r="P351" s="169"/>
      <c r="Q351" s="169"/>
      <c r="R351" s="169"/>
      <c r="S351" s="169"/>
      <c r="Y351" s="210"/>
      <c r="Z351" s="211"/>
      <c r="AA351" s="210"/>
      <c r="AB351" s="210"/>
      <c r="AC351" s="210"/>
      <c r="AD351" s="212"/>
      <c r="AE351" s="210"/>
      <c r="AG351" s="214"/>
      <c r="AH351" s="214"/>
      <c r="AI351" s="215"/>
      <c r="AJ351" s="214"/>
      <c r="AK351" s="214"/>
      <c r="AL351" s="215"/>
      <c r="AM351" s="216"/>
      <c r="AO351" s="245"/>
      <c r="AP351" s="245"/>
      <c r="AQ351" s="245"/>
      <c r="AR351" s="245"/>
      <c r="AS351" s="245"/>
      <c r="AT351" s="245"/>
      <c r="AU351" s="245"/>
      <c r="AV351" s="245"/>
      <c r="AW351" s="245"/>
      <c r="AX351" s="245"/>
      <c r="AZ351" s="245"/>
      <c r="BA351" s="283"/>
      <c r="BB351" s="283"/>
      <c r="BC351" s="239"/>
      <c r="BD351" s="283"/>
      <c r="BE351" s="239"/>
      <c r="BF351" s="239"/>
      <c r="BG351" s="239"/>
      <c r="BJ351" s="245"/>
      <c r="BK351" s="245"/>
      <c r="BM351" s="245"/>
      <c r="BN351" s="245"/>
      <c r="BO351" s="245"/>
      <c r="BP351" s="245"/>
      <c r="BQ351" s="245"/>
    </row>
    <row r="352" spans="1:69" ht="13.5" hidden="1" customHeight="1" x14ac:dyDescent="0.2">
      <c r="A352" s="842"/>
      <c r="C352" s="569"/>
      <c r="D352" s="570"/>
      <c r="E352" s="571"/>
      <c r="G352" s="204"/>
      <c r="H352" s="204"/>
      <c r="I352" s="199"/>
      <c r="J352" s="205"/>
      <c r="L352" s="206"/>
      <c r="M352" s="201"/>
      <c r="N352" s="207"/>
      <c r="O352" s="220"/>
      <c r="P352" s="169"/>
      <c r="Q352" s="169"/>
      <c r="R352" s="169"/>
      <c r="S352" s="169"/>
      <c r="Y352" s="210"/>
      <c r="Z352" s="211"/>
      <c r="AA352" s="210"/>
      <c r="AB352" s="210"/>
      <c r="AC352" s="210"/>
      <c r="AD352" s="212"/>
      <c r="AE352" s="210"/>
      <c r="AG352" s="214"/>
      <c r="AH352" s="214"/>
      <c r="AI352" s="215"/>
      <c r="AJ352" s="214"/>
      <c r="AK352" s="214"/>
      <c r="AL352" s="215"/>
      <c r="AM352" s="216"/>
      <c r="AO352" s="245"/>
      <c r="AP352" s="245"/>
      <c r="AQ352" s="245"/>
      <c r="AR352" s="245"/>
      <c r="AS352" s="245"/>
      <c r="AT352" s="245"/>
      <c r="AU352" s="245"/>
      <c r="AV352" s="245"/>
      <c r="AW352" s="245"/>
      <c r="AX352" s="245"/>
      <c r="AZ352" s="245"/>
      <c r="BA352" s="283"/>
      <c r="BB352" s="283"/>
      <c r="BC352" s="239"/>
      <c r="BD352" s="283"/>
      <c r="BE352" s="239"/>
      <c r="BF352" s="239"/>
      <c r="BG352" s="239"/>
      <c r="BJ352" s="245"/>
      <c r="BK352" s="245"/>
      <c r="BM352" s="245"/>
      <c r="BN352" s="245"/>
      <c r="BO352" s="245"/>
      <c r="BP352" s="245"/>
      <c r="BQ352" s="245"/>
    </row>
    <row r="353" spans="1:69" ht="13.5" hidden="1" customHeight="1" x14ac:dyDescent="0.2">
      <c r="A353" s="842"/>
      <c r="C353" s="569"/>
      <c r="D353" s="570"/>
      <c r="E353" s="571"/>
      <c r="G353" s="204"/>
      <c r="H353" s="204"/>
      <c r="I353" s="199"/>
      <c r="J353" s="205"/>
      <c r="L353" s="206"/>
      <c r="M353" s="201"/>
      <c r="N353" s="207"/>
      <c r="O353" s="220"/>
      <c r="P353" s="169"/>
      <c r="Q353" s="169"/>
      <c r="R353" s="169"/>
      <c r="S353" s="169"/>
      <c r="Y353" s="210"/>
      <c r="Z353" s="211"/>
      <c r="AA353" s="210"/>
      <c r="AB353" s="210"/>
      <c r="AC353" s="210"/>
      <c r="AD353" s="212"/>
      <c r="AE353" s="210"/>
      <c r="AG353" s="214"/>
      <c r="AH353" s="214"/>
      <c r="AI353" s="215"/>
      <c r="AJ353" s="214"/>
      <c r="AK353" s="214"/>
      <c r="AL353" s="215"/>
      <c r="AM353" s="216"/>
      <c r="AO353" s="245"/>
      <c r="AP353" s="245"/>
      <c r="AQ353" s="245"/>
      <c r="AR353" s="245"/>
      <c r="AS353" s="245"/>
      <c r="AT353" s="245"/>
      <c r="AU353" s="245"/>
      <c r="AV353" s="245"/>
      <c r="AW353" s="245"/>
      <c r="AX353" s="245"/>
      <c r="AZ353" s="245"/>
      <c r="BA353" s="283"/>
      <c r="BB353" s="283"/>
      <c r="BC353" s="239"/>
      <c r="BD353" s="283"/>
      <c r="BE353" s="239"/>
      <c r="BF353" s="239"/>
      <c r="BG353" s="239"/>
      <c r="BJ353" s="245"/>
      <c r="BK353" s="245"/>
      <c r="BM353" s="245"/>
      <c r="BN353" s="245"/>
      <c r="BO353" s="245"/>
      <c r="BP353" s="245"/>
      <c r="BQ353" s="245"/>
    </row>
    <row r="354" spans="1:69" ht="21" hidden="1" customHeight="1" x14ac:dyDescent="0.2">
      <c r="A354" s="842"/>
      <c r="G354" s="576"/>
      <c r="H354" s="576"/>
      <c r="I354" s="567"/>
      <c r="K354" s="568"/>
      <c r="N354" s="169"/>
      <c r="O354" s="169"/>
      <c r="P354" s="169"/>
      <c r="Q354" s="169"/>
      <c r="R354" s="169"/>
      <c r="S354" s="169"/>
      <c r="Y354" s="229"/>
      <c r="Z354" s="230"/>
      <c r="AA354" s="231"/>
      <c r="AB354" s="231"/>
      <c r="AC354" s="231"/>
      <c r="AD354" s="232"/>
      <c r="AE354" s="231"/>
      <c r="AG354" s="233"/>
      <c r="AH354" s="233"/>
      <c r="AI354" s="234"/>
      <c r="AJ354" s="233"/>
      <c r="AK354" s="233"/>
      <c r="AL354" s="234"/>
      <c r="AM354" s="234"/>
      <c r="AO354" s="245"/>
      <c r="AP354" s="245"/>
      <c r="AQ354" s="245"/>
      <c r="AR354" s="245"/>
      <c r="AS354" s="245"/>
      <c r="AT354" s="245"/>
      <c r="AU354" s="245"/>
      <c r="AV354" s="245"/>
      <c r="AW354" s="245"/>
      <c r="AX354" s="245"/>
      <c r="AZ354" s="245"/>
      <c r="BA354" s="283"/>
      <c r="BB354" s="283"/>
      <c r="BC354" s="239"/>
      <c r="BD354" s="283"/>
      <c r="BE354" s="239"/>
      <c r="BF354" s="239"/>
      <c r="BG354" s="239"/>
      <c r="BJ354" s="245"/>
      <c r="BK354" s="245"/>
      <c r="BM354" s="245"/>
      <c r="BN354" s="245"/>
      <c r="BO354" s="245"/>
      <c r="BP354" s="245"/>
      <c r="BQ354" s="245"/>
    </row>
    <row r="355" spans="1:69" ht="13.5" hidden="1" customHeight="1" x14ac:dyDescent="0.2">
      <c r="A355" s="842"/>
      <c r="C355" s="569"/>
      <c r="D355" s="570"/>
      <c r="E355" s="571"/>
      <c r="G355" s="204"/>
      <c r="H355" s="204"/>
      <c r="I355" s="199"/>
      <c r="J355" s="205"/>
      <c r="L355" s="206"/>
      <c r="M355" s="201"/>
      <c r="N355" s="207"/>
      <c r="O355" s="208"/>
      <c r="P355" s="169"/>
      <c r="Q355" s="169"/>
      <c r="R355" s="169"/>
      <c r="S355" s="169"/>
      <c r="Y355" s="210"/>
      <c r="Z355" s="211"/>
      <c r="AA355" s="210"/>
      <c r="AB355" s="210"/>
      <c r="AC355" s="210"/>
      <c r="AD355" s="212"/>
      <c r="AE355" s="210"/>
      <c r="AG355" s="214"/>
      <c r="AH355" s="214"/>
      <c r="AI355" s="215"/>
      <c r="AJ355" s="214"/>
      <c r="AK355" s="214"/>
      <c r="AL355" s="215"/>
      <c r="AM355" s="216"/>
      <c r="AO355" s="245"/>
      <c r="AP355" s="245"/>
      <c r="AQ355" s="245"/>
      <c r="AR355" s="245"/>
      <c r="AS355" s="245"/>
      <c r="AT355" s="245"/>
      <c r="AU355" s="245"/>
      <c r="AV355" s="245"/>
      <c r="AW355" s="245"/>
      <c r="AX355" s="245"/>
      <c r="AZ355" s="245"/>
      <c r="BA355" s="283"/>
      <c r="BB355" s="283"/>
      <c r="BC355" s="239"/>
      <c r="BD355" s="283"/>
      <c r="BE355" s="239"/>
      <c r="BF355" s="239"/>
      <c r="BG355" s="239"/>
      <c r="BJ355" s="245"/>
      <c r="BK355" s="245"/>
      <c r="BM355" s="245"/>
      <c r="BN355" s="245"/>
      <c r="BO355" s="245"/>
      <c r="BP355" s="245"/>
      <c r="BQ355" s="245"/>
    </row>
    <row r="356" spans="1:69" ht="13.5" hidden="1" customHeight="1" x14ac:dyDescent="0.2">
      <c r="A356" s="842"/>
      <c r="C356" s="569"/>
      <c r="D356" s="570"/>
      <c r="E356" s="571"/>
      <c r="G356" s="204"/>
      <c r="H356" s="204"/>
      <c r="I356" s="199"/>
      <c r="J356" s="205"/>
      <c r="L356" s="206"/>
      <c r="M356" s="201"/>
      <c r="N356" s="207"/>
      <c r="O356" s="220"/>
      <c r="P356" s="169"/>
      <c r="Q356" s="169"/>
      <c r="R356" s="169"/>
      <c r="S356" s="169"/>
      <c r="Y356" s="210"/>
      <c r="Z356" s="211"/>
      <c r="AA356" s="210"/>
      <c r="AB356" s="210"/>
      <c r="AC356" s="210"/>
      <c r="AD356" s="212"/>
      <c r="AE356" s="210"/>
      <c r="AG356" s="214"/>
      <c r="AH356" s="214"/>
      <c r="AI356" s="215"/>
      <c r="AJ356" s="214"/>
      <c r="AK356" s="214"/>
      <c r="AL356" s="215"/>
      <c r="AM356" s="216"/>
      <c r="AO356" s="245"/>
      <c r="AP356" s="245"/>
      <c r="AQ356" s="245"/>
      <c r="AR356" s="245"/>
      <c r="AS356" s="245"/>
      <c r="AT356" s="245"/>
      <c r="AU356" s="245"/>
      <c r="AV356" s="245"/>
      <c r="AW356" s="245"/>
      <c r="AX356" s="245"/>
      <c r="AZ356" s="245"/>
      <c r="BA356" s="283"/>
      <c r="BB356" s="283"/>
      <c r="BC356" s="239"/>
      <c r="BD356" s="283"/>
      <c r="BE356" s="239"/>
      <c r="BF356" s="239"/>
      <c r="BG356" s="239"/>
      <c r="BJ356" s="245"/>
      <c r="BK356" s="245"/>
      <c r="BM356" s="245"/>
      <c r="BN356" s="245"/>
      <c r="BO356" s="245"/>
      <c r="BP356" s="245"/>
      <c r="BQ356" s="245"/>
    </row>
    <row r="357" spans="1:69" ht="13.5" hidden="1" customHeight="1" x14ac:dyDescent="0.2">
      <c r="A357" s="842"/>
      <c r="C357" s="569"/>
      <c r="D357" s="570"/>
      <c r="E357" s="571"/>
      <c r="G357" s="204"/>
      <c r="H357" s="204"/>
      <c r="I357" s="199"/>
      <c r="J357" s="205"/>
      <c r="L357" s="206"/>
      <c r="M357" s="201"/>
      <c r="N357" s="207"/>
      <c r="O357" s="220"/>
      <c r="P357" s="169"/>
      <c r="Q357" s="169"/>
      <c r="R357" s="169"/>
      <c r="S357" s="169"/>
      <c r="Y357" s="210"/>
      <c r="Z357" s="211"/>
      <c r="AA357" s="210"/>
      <c r="AB357" s="210"/>
      <c r="AC357" s="210"/>
      <c r="AD357" s="212"/>
      <c r="AE357" s="210"/>
      <c r="AG357" s="214"/>
      <c r="AH357" s="214"/>
      <c r="AI357" s="215"/>
      <c r="AJ357" s="214"/>
      <c r="AK357" s="214"/>
      <c r="AL357" s="215"/>
      <c r="AM357" s="216"/>
      <c r="AO357" s="245"/>
      <c r="AP357" s="245"/>
      <c r="AQ357" s="245"/>
      <c r="AR357" s="245"/>
      <c r="AS357" s="245"/>
      <c r="AT357" s="245"/>
      <c r="AU357" s="245"/>
      <c r="AV357" s="245"/>
      <c r="AW357" s="245"/>
      <c r="AX357" s="245"/>
      <c r="AZ357" s="245"/>
      <c r="BA357" s="283"/>
      <c r="BB357" s="283"/>
      <c r="BC357" s="239"/>
      <c r="BD357" s="283"/>
      <c r="BE357" s="239"/>
      <c r="BF357" s="239"/>
      <c r="BG357" s="239"/>
      <c r="BJ357" s="245"/>
      <c r="BK357" s="245"/>
      <c r="BM357" s="245"/>
      <c r="BN357" s="245"/>
      <c r="BO357" s="245"/>
      <c r="BP357" s="245"/>
      <c r="BQ357" s="245"/>
    </row>
    <row r="358" spans="1:69" ht="13.5" hidden="1" customHeight="1" x14ac:dyDescent="0.2">
      <c r="A358" s="842"/>
      <c r="C358" s="569"/>
      <c r="D358" s="570"/>
      <c r="E358" s="571"/>
      <c r="G358" s="204"/>
      <c r="H358" s="204"/>
      <c r="I358" s="199"/>
      <c r="J358" s="205"/>
      <c r="L358" s="206"/>
      <c r="M358" s="201"/>
      <c r="N358" s="207"/>
      <c r="O358" s="220"/>
      <c r="P358" s="169"/>
      <c r="Q358" s="169"/>
      <c r="R358" s="169"/>
      <c r="S358" s="169"/>
      <c r="Y358" s="210"/>
      <c r="Z358" s="211"/>
      <c r="AA358" s="210"/>
      <c r="AB358" s="210"/>
      <c r="AC358" s="210"/>
      <c r="AD358" s="212"/>
      <c r="AE358" s="210"/>
      <c r="AG358" s="214"/>
      <c r="AH358" s="214"/>
      <c r="AI358" s="215"/>
      <c r="AJ358" s="214"/>
      <c r="AK358" s="214"/>
      <c r="AL358" s="215"/>
      <c r="AM358" s="216"/>
      <c r="AO358" s="245"/>
      <c r="AP358" s="245"/>
      <c r="AQ358" s="245"/>
      <c r="AR358" s="245"/>
      <c r="AS358" s="245"/>
      <c r="AT358" s="245"/>
      <c r="AU358" s="245"/>
      <c r="AV358" s="245"/>
      <c r="AW358" s="245"/>
      <c r="AX358" s="245"/>
      <c r="AZ358" s="245"/>
      <c r="BA358" s="283"/>
      <c r="BB358" s="283"/>
      <c r="BC358" s="239"/>
      <c r="BD358" s="283"/>
      <c r="BE358" s="239"/>
      <c r="BF358" s="239"/>
      <c r="BG358" s="239"/>
      <c r="BJ358" s="245"/>
      <c r="BK358" s="245"/>
      <c r="BM358" s="245"/>
      <c r="BN358" s="245"/>
      <c r="BO358" s="245"/>
      <c r="BP358" s="245"/>
      <c r="BQ358" s="245"/>
    </row>
    <row r="359" spans="1:69" ht="13.5" hidden="1" customHeight="1" x14ac:dyDescent="0.2">
      <c r="A359" s="842"/>
      <c r="I359" s="169"/>
      <c r="J359" s="169"/>
      <c r="K359" s="169"/>
      <c r="L359" s="169"/>
      <c r="M359" s="169"/>
      <c r="N359" s="169"/>
      <c r="O359" s="169"/>
      <c r="P359" s="169"/>
      <c r="Q359" s="169"/>
      <c r="R359" s="169"/>
      <c r="S359" s="169"/>
      <c r="Y359" s="229"/>
      <c r="Z359" s="230"/>
      <c r="AG359" s="233"/>
      <c r="AH359" s="233"/>
      <c r="AI359" s="234"/>
      <c r="AJ359" s="233"/>
      <c r="AK359" s="233"/>
      <c r="AL359" s="234"/>
      <c r="AM359" s="234"/>
      <c r="AO359" s="245"/>
      <c r="AP359" s="245"/>
      <c r="AQ359" s="245"/>
      <c r="AR359" s="245"/>
      <c r="AS359" s="245"/>
      <c r="AT359" s="245"/>
      <c r="AU359" s="245"/>
      <c r="AV359" s="245"/>
      <c r="AW359" s="245"/>
      <c r="AX359" s="245"/>
      <c r="AZ359" s="245"/>
      <c r="BA359" s="283"/>
      <c r="BB359" s="283"/>
      <c r="BC359" s="239"/>
      <c r="BD359" s="283"/>
      <c r="BE359" s="239"/>
      <c r="BF359" s="239"/>
      <c r="BG359" s="239"/>
      <c r="BJ359" s="245"/>
      <c r="BK359" s="245"/>
      <c r="BM359" s="245"/>
      <c r="BN359" s="245"/>
      <c r="BO359" s="245"/>
      <c r="BP359" s="245"/>
      <c r="BQ359" s="245"/>
    </row>
    <row r="360" spans="1:69" ht="13.5" hidden="1" customHeight="1" x14ac:dyDescent="0.2">
      <c r="A360" s="842"/>
      <c r="I360" s="170"/>
      <c r="J360" s="171"/>
      <c r="K360" s="171"/>
      <c r="L360" s="171"/>
      <c r="M360" s="170"/>
      <c r="N360" s="172"/>
      <c r="Y360" s="229"/>
      <c r="Z360" s="230"/>
      <c r="AA360" s="231"/>
      <c r="AB360" s="231"/>
      <c r="AC360" s="231"/>
      <c r="AD360" s="232"/>
      <c r="AE360" s="231"/>
      <c r="AG360" s="233"/>
      <c r="AH360" s="233"/>
      <c r="AI360" s="234"/>
      <c r="AJ360" s="233"/>
      <c r="AK360" s="233"/>
      <c r="AL360" s="234"/>
      <c r="AM360" s="234"/>
      <c r="AO360" s="245"/>
      <c r="AP360" s="245"/>
      <c r="AQ360" s="245"/>
      <c r="AR360" s="245"/>
      <c r="AS360" s="245"/>
      <c r="AT360" s="245"/>
      <c r="AU360" s="245"/>
      <c r="AZ360" s="245"/>
      <c r="BA360" s="283"/>
      <c r="BB360" s="283"/>
      <c r="BC360" s="239"/>
      <c r="BD360" s="283"/>
      <c r="BE360" s="239"/>
      <c r="BF360" s="239"/>
      <c r="BG360" s="239"/>
      <c r="BJ360" s="245"/>
      <c r="BK360" s="245"/>
      <c r="BM360" s="245"/>
      <c r="BN360" s="245"/>
      <c r="BO360" s="245"/>
      <c r="BP360" s="245"/>
      <c r="BQ360" s="245"/>
    </row>
    <row r="361" spans="1:69" ht="13.5" hidden="1" customHeight="1" x14ac:dyDescent="0.2">
      <c r="A361" s="842"/>
      <c r="B361" s="309"/>
      <c r="C361" s="309"/>
      <c r="D361" s="544"/>
      <c r="E361" s="544"/>
      <c r="F361" s="544"/>
      <c r="G361" s="544"/>
      <c r="H361" s="544"/>
      <c r="I361" s="844"/>
      <c r="J361" s="844"/>
      <c r="K361" s="844"/>
      <c r="L361" s="844"/>
      <c r="M361" s="564"/>
      <c r="N361" s="565"/>
      <c r="O361" s="566"/>
      <c r="P361" s="169"/>
      <c r="Q361" s="169"/>
      <c r="R361" s="169"/>
      <c r="S361" s="169"/>
      <c r="AA361" s="231"/>
      <c r="AP361" s="245"/>
      <c r="AQ361" s="245"/>
      <c r="AR361" s="245"/>
      <c r="AS361" s="245"/>
      <c r="AU361" s="243"/>
      <c r="AZ361" s="245"/>
      <c r="BA361" s="283"/>
      <c r="BB361" s="283"/>
      <c r="BC361" s="239"/>
      <c r="BD361" s="283"/>
      <c r="BE361" s="239"/>
      <c r="BF361" s="239"/>
      <c r="BG361" s="239"/>
      <c r="BJ361" s="245"/>
      <c r="BK361" s="245"/>
      <c r="BM361" s="245"/>
      <c r="BN361" s="245"/>
      <c r="BO361" s="245"/>
      <c r="BP361" s="245"/>
      <c r="BQ361" s="245"/>
    </row>
    <row r="362" spans="1:69" ht="21" hidden="1" customHeight="1" x14ac:dyDescent="0.2">
      <c r="A362" s="842"/>
      <c r="I362" s="567"/>
      <c r="K362" s="568"/>
      <c r="O362" s="169"/>
      <c r="P362" s="169"/>
      <c r="Q362" s="169"/>
      <c r="R362" s="169"/>
      <c r="S362" s="169"/>
      <c r="AA362" s="231"/>
      <c r="AO362" s="245"/>
      <c r="AP362" s="245"/>
      <c r="AQ362" s="245"/>
      <c r="AR362" s="245"/>
      <c r="AS362" s="245"/>
      <c r="AT362" s="245"/>
      <c r="AU362" s="245"/>
      <c r="AZ362" s="245"/>
      <c r="BA362" s="283"/>
      <c r="BB362" s="283"/>
      <c r="BC362" s="239"/>
      <c r="BD362" s="283"/>
      <c r="BE362" s="239"/>
      <c r="BF362" s="239"/>
      <c r="BG362" s="239"/>
      <c r="BJ362" s="245"/>
      <c r="BK362" s="245"/>
      <c r="BM362" s="245"/>
      <c r="BN362" s="245"/>
      <c r="BO362" s="245"/>
      <c r="BP362" s="245"/>
      <c r="BQ362" s="245"/>
    </row>
    <row r="363" spans="1:69" ht="13.5" hidden="1" customHeight="1" x14ac:dyDescent="0.2">
      <c r="A363" s="842"/>
      <c r="C363" s="569"/>
      <c r="D363" s="570"/>
      <c r="E363" s="571"/>
      <c r="G363" s="204"/>
      <c r="H363" s="204"/>
      <c r="I363" s="199"/>
      <c r="J363" s="205"/>
      <c r="L363" s="206"/>
      <c r="M363" s="201"/>
      <c r="N363" s="207"/>
      <c r="O363" s="208"/>
      <c r="P363" s="169"/>
      <c r="Q363" s="169"/>
      <c r="R363" s="169"/>
      <c r="S363" s="169"/>
      <c r="T363" s="209"/>
      <c r="U363" s="209"/>
      <c r="V363" s="209"/>
      <c r="W363" s="209"/>
      <c r="Y363" s="210"/>
      <c r="Z363" s="211"/>
      <c r="AA363" s="210"/>
      <c r="AB363" s="210"/>
      <c r="AC363" s="210"/>
      <c r="AD363" s="212"/>
      <c r="AE363" s="210"/>
      <c r="AF363" s="213"/>
      <c r="AG363" s="214"/>
      <c r="AH363" s="214"/>
      <c r="AI363" s="215"/>
      <c r="AJ363" s="214"/>
      <c r="AK363" s="214"/>
      <c r="AL363" s="215"/>
      <c r="AM363" s="216"/>
      <c r="AO363" s="245"/>
      <c r="AP363" s="245"/>
      <c r="AQ363" s="245"/>
      <c r="AR363" s="245"/>
      <c r="AS363" s="245"/>
      <c r="AT363" s="245"/>
      <c r="AU363" s="245"/>
      <c r="AZ363" s="245"/>
      <c r="BA363" s="283"/>
      <c r="BB363" s="283"/>
      <c r="BC363" s="239"/>
      <c r="BD363" s="283"/>
      <c r="BE363" s="239"/>
      <c r="BF363" s="239"/>
      <c r="BG363" s="239"/>
      <c r="BJ363" s="245"/>
      <c r="BK363" s="245"/>
      <c r="BM363" s="245"/>
      <c r="BN363" s="245"/>
      <c r="BO363" s="245"/>
      <c r="BP363" s="245"/>
      <c r="BQ363" s="245"/>
    </row>
    <row r="364" spans="1:69" ht="13.5" hidden="1" customHeight="1" x14ac:dyDescent="0.2">
      <c r="A364" s="842"/>
      <c r="C364" s="569"/>
      <c r="D364" s="570"/>
      <c r="E364" s="571"/>
      <c r="G364" s="204"/>
      <c r="H364" s="204"/>
      <c r="I364" s="199"/>
      <c r="J364" s="205"/>
      <c r="L364" s="206"/>
      <c r="M364" s="201"/>
      <c r="N364" s="207"/>
      <c r="O364" s="220"/>
      <c r="P364" s="169"/>
      <c r="Q364" s="169"/>
      <c r="R364" s="169"/>
      <c r="S364" s="169"/>
      <c r="T364" s="209"/>
      <c r="U364" s="209"/>
      <c r="V364" s="209"/>
      <c r="W364" s="209"/>
      <c r="Y364" s="210"/>
      <c r="Z364" s="211"/>
      <c r="AA364" s="210"/>
      <c r="AB364" s="210"/>
      <c r="AC364" s="210"/>
      <c r="AD364" s="212"/>
      <c r="AE364" s="210"/>
      <c r="AF364" s="213"/>
      <c r="AG364" s="214"/>
      <c r="AH364" s="214"/>
      <c r="AI364" s="215"/>
      <c r="AJ364" s="214"/>
      <c r="AK364" s="214"/>
      <c r="AL364" s="215"/>
      <c r="AM364" s="216"/>
      <c r="AO364" s="245"/>
      <c r="AP364" s="245"/>
      <c r="AQ364" s="245"/>
      <c r="AR364" s="245"/>
      <c r="AS364" s="245"/>
      <c r="AT364" s="245"/>
      <c r="AU364" s="245"/>
      <c r="AZ364" s="245"/>
      <c r="BA364" s="283"/>
      <c r="BB364" s="283"/>
      <c r="BC364" s="239"/>
      <c r="BD364" s="283"/>
      <c r="BE364" s="239"/>
      <c r="BF364" s="239"/>
      <c r="BG364" s="239"/>
      <c r="BJ364" s="245"/>
      <c r="BK364" s="245"/>
      <c r="BM364" s="245"/>
      <c r="BN364" s="245"/>
      <c r="BO364" s="245"/>
      <c r="BP364" s="245"/>
      <c r="BQ364" s="245"/>
    </row>
    <row r="365" spans="1:69" ht="13.5" hidden="1" customHeight="1" x14ac:dyDescent="0.2">
      <c r="A365" s="842"/>
      <c r="C365" s="569"/>
      <c r="D365" s="570"/>
      <c r="E365" s="571"/>
      <c r="G365" s="204"/>
      <c r="H365" s="204"/>
      <c r="I365" s="199"/>
      <c r="J365" s="205"/>
      <c r="L365" s="206"/>
      <c r="M365" s="201"/>
      <c r="N365" s="207"/>
      <c r="O365" s="220"/>
      <c r="P365" s="169"/>
      <c r="Q365" s="169"/>
      <c r="R365" s="169"/>
      <c r="S365" s="169"/>
      <c r="T365" s="209"/>
      <c r="U365" s="209"/>
      <c r="V365" s="209"/>
      <c r="W365" s="209"/>
      <c r="Y365" s="210"/>
      <c r="Z365" s="211"/>
      <c r="AA365" s="210"/>
      <c r="AB365" s="210"/>
      <c r="AC365" s="210"/>
      <c r="AD365" s="212"/>
      <c r="AE365" s="210"/>
      <c r="AF365" s="213"/>
      <c r="AG365" s="214"/>
      <c r="AH365" s="214"/>
      <c r="AI365" s="215"/>
      <c r="AJ365" s="214"/>
      <c r="AK365" s="214"/>
      <c r="AL365" s="215"/>
      <c r="AM365" s="216"/>
      <c r="AO365" s="245"/>
      <c r="AP365" s="245"/>
      <c r="AQ365" s="245"/>
      <c r="AR365" s="245"/>
      <c r="AS365" s="245"/>
      <c r="AT365" s="245"/>
      <c r="AU365" s="245"/>
      <c r="AV365" s="245"/>
      <c r="AW365" s="245"/>
      <c r="AX365" s="245"/>
      <c r="BA365" s="283"/>
      <c r="BB365" s="283"/>
      <c r="BC365" s="239"/>
      <c r="BD365" s="283"/>
      <c r="BE365" s="239"/>
      <c r="BF365" s="239"/>
      <c r="BG365" s="239"/>
      <c r="BJ365" s="245"/>
    </row>
    <row r="366" spans="1:69" ht="13.5" hidden="1" customHeight="1" x14ac:dyDescent="0.2">
      <c r="A366" s="842"/>
      <c r="C366" s="569"/>
      <c r="D366" s="570"/>
      <c r="E366" s="571"/>
      <c r="G366" s="204"/>
      <c r="H366" s="204"/>
      <c r="I366" s="199"/>
      <c r="J366" s="205"/>
      <c r="L366" s="206"/>
      <c r="M366" s="201"/>
      <c r="N366" s="207"/>
      <c r="O366" s="220"/>
      <c r="P366" s="169"/>
      <c r="Q366" s="169"/>
      <c r="R366" s="169"/>
      <c r="S366" s="169"/>
      <c r="T366" s="209"/>
      <c r="U366" s="209"/>
      <c r="Y366" s="210"/>
      <c r="Z366" s="211"/>
      <c r="AA366" s="210"/>
      <c r="AB366" s="210"/>
      <c r="AC366" s="210"/>
      <c r="AD366" s="212"/>
      <c r="AE366" s="210"/>
      <c r="AF366" s="213"/>
      <c r="AG366" s="214"/>
      <c r="AH366" s="214"/>
      <c r="AI366" s="215"/>
      <c r="AJ366" s="214"/>
      <c r="AK366" s="214"/>
      <c r="AL366" s="215"/>
      <c r="AM366" s="216"/>
      <c r="AO366" s="245"/>
      <c r="AP366" s="245"/>
      <c r="AQ366" s="245"/>
      <c r="AR366" s="245"/>
      <c r="AS366" s="245"/>
      <c r="AT366" s="245"/>
      <c r="AU366" s="245"/>
      <c r="AV366" s="245"/>
      <c r="AW366" s="245"/>
      <c r="AX366" s="245"/>
      <c r="AZ366" s="245"/>
      <c r="BA366" s="283"/>
      <c r="BB366" s="283"/>
      <c r="BC366" s="239"/>
      <c r="BD366" s="283"/>
      <c r="BE366" s="239"/>
      <c r="BF366" s="239"/>
      <c r="BG366" s="239"/>
      <c r="BJ366" s="245"/>
      <c r="BK366" s="245"/>
      <c r="BM366" s="245"/>
      <c r="BN366" s="245"/>
      <c r="BO366" s="245"/>
      <c r="BP366" s="245"/>
      <c r="BQ366" s="245"/>
    </row>
    <row r="367" spans="1:69" ht="21" hidden="1" customHeight="1" x14ac:dyDescent="0.2">
      <c r="A367" s="842"/>
      <c r="G367" s="576"/>
      <c r="H367" s="576"/>
      <c r="I367" s="567"/>
      <c r="K367" s="568"/>
      <c r="N367" s="223"/>
      <c r="O367" s="169"/>
      <c r="P367" s="169"/>
      <c r="Q367" s="169"/>
      <c r="R367" s="169"/>
      <c r="S367" s="169"/>
      <c r="T367" s="209"/>
      <c r="U367" s="209"/>
      <c r="V367" s="209"/>
      <c r="W367" s="209"/>
      <c r="Y367" s="229"/>
      <c r="Z367" s="230"/>
      <c r="AA367" s="231"/>
      <c r="AB367" s="231"/>
      <c r="AC367" s="231"/>
      <c r="AD367" s="232"/>
      <c r="AE367" s="231"/>
      <c r="AG367" s="233"/>
      <c r="AH367" s="233"/>
      <c r="AI367" s="234"/>
      <c r="AJ367" s="233"/>
      <c r="AK367" s="233"/>
      <c r="AL367" s="234"/>
      <c r="AM367" s="234"/>
      <c r="AO367" s="245"/>
      <c r="AP367" s="245"/>
      <c r="AQ367" s="245"/>
      <c r="AR367" s="245"/>
      <c r="AS367" s="245"/>
      <c r="AT367" s="245"/>
      <c r="AU367" s="245"/>
      <c r="AV367" s="245"/>
      <c r="AW367" s="245"/>
      <c r="AX367" s="245"/>
      <c r="AZ367" s="245"/>
      <c r="BA367" s="283"/>
      <c r="BB367" s="283"/>
      <c r="BC367" s="239"/>
      <c r="BD367" s="283"/>
      <c r="BE367" s="239"/>
      <c r="BF367" s="239"/>
      <c r="BG367" s="239"/>
      <c r="BJ367" s="245"/>
      <c r="BK367" s="245"/>
      <c r="BM367" s="245"/>
      <c r="BN367" s="245"/>
      <c r="BO367" s="245"/>
      <c r="BP367" s="245"/>
      <c r="BQ367" s="245"/>
    </row>
    <row r="368" spans="1:69" ht="13.5" hidden="1" customHeight="1" x14ac:dyDescent="0.2">
      <c r="A368" s="842"/>
      <c r="C368" s="569"/>
      <c r="D368" s="570"/>
      <c r="E368" s="571"/>
      <c r="G368" s="204"/>
      <c r="H368" s="204"/>
      <c r="I368" s="199"/>
      <c r="J368" s="205"/>
      <c r="L368" s="206"/>
      <c r="M368" s="201"/>
      <c r="N368" s="207"/>
      <c r="O368" s="208"/>
      <c r="P368" s="169"/>
      <c r="Q368" s="169"/>
      <c r="R368" s="169"/>
      <c r="S368" s="169"/>
      <c r="Y368" s="210"/>
      <c r="Z368" s="211"/>
      <c r="AA368" s="210"/>
      <c r="AB368" s="210"/>
      <c r="AC368" s="210"/>
      <c r="AD368" s="212"/>
      <c r="AE368" s="210"/>
      <c r="AG368" s="214"/>
      <c r="AH368" s="214"/>
      <c r="AI368" s="215"/>
      <c r="AJ368" s="214"/>
      <c r="AK368" s="214"/>
      <c r="AL368" s="215"/>
      <c r="AM368" s="216"/>
      <c r="AO368" s="245"/>
      <c r="AP368" s="245"/>
      <c r="AQ368" s="245"/>
      <c r="AR368" s="245"/>
      <c r="AS368" s="245"/>
      <c r="AT368" s="245"/>
      <c r="AU368" s="245"/>
      <c r="AV368" s="245"/>
      <c r="AW368" s="245"/>
      <c r="AX368" s="245"/>
      <c r="AZ368" s="245"/>
      <c r="BA368" s="283"/>
      <c r="BB368" s="283"/>
      <c r="BC368" s="239"/>
      <c r="BD368" s="283"/>
      <c r="BE368" s="239"/>
      <c r="BF368" s="239"/>
      <c r="BG368" s="239"/>
      <c r="BJ368" s="245"/>
      <c r="BK368" s="245"/>
      <c r="BM368" s="245"/>
      <c r="BN368" s="245"/>
      <c r="BO368" s="245"/>
      <c r="BP368" s="245"/>
      <c r="BQ368" s="245"/>
    </row>
    <row r="369" spans="1:69" ht="13.5" hidden="1" customHeight="1" x14ac:dyDescent="0.2">
      <c r="A369" s="842"/>
      <c r="C369" s="569"/>
      <c r="D369" s="570"/>
      <c r="E369" s="571"/>
      <c r="G369" s="204"/>
      <c r="H369" s="204"/>
      <c r="I369" s="199"/>
      <c r="J369" s="205"/>
      <c r="L369" s="206"/>
      <c r="M369" s="201"/>
      <c r="N369" s="207"/>
      <c r="O369" s="220"/>
      <c r="P369" s="169"/>
      <c r="Q369" s="169"/>
      <c r="R369" s="169"/>
      <c r="S369" s="169"/>
      <c r="Y369" s="210"/>
      <c r="Z369" s="211"/>
      <c r="AA369" s="210"/>
      <c r="AB369" s="210"/>
      <c r="AC369" s="210"/>
      <c r="AD369" s="212"/>
      <c r="AE369" s="210"/>
      <c r="AG369" s="214"/>
      <c r="AH369" s="214"/>
      <c r="AI369" s="215"/>
      <c r="AJ369" s="214"/>
      <c r="AK369" s="214"/>
      <c r="AL369" s="215"/>
      <c r="AM369" s="216"/>
      <c r="AO369" s="245"/>
      <c r="AP369" s="245"/>
      <c r="AQ369" s="245"/>
      <c r="AR369" s="245"/>
      <c r="AS369" s="245"/>
      <c r="AT369" s="245"/>
      <c r="AU369" s="245"/>
      <c r="AV369" s="245"/>
      <c r="AW369" s="245"/>
      <c r="AX369" s="245"/>
      <c r="AZ369" s="245"/>
      <c r="BA369" s="283"/>
      <c r="BB369" s="283"/>
      <c r="BC369" s="239"/>
      <c r="BD369" s="283"/>
      <c r="BE369" s="239"/>
      <c r="BF369" s="239"/>
      <c r="BG369" s="239"/>
      <c r="BJ369" s="245"/>
      <c r="BK369" s="245"/>
      <c r="BM369" s="245"/>
      <c r="BN369" s="245"/>
      <c r="BO369" s="245"/>
      <c r="BP369" s="245"/>
      <c r="BQ369" s="245"/>
    </row>
    <row r="370" spans="1:69" ht="13.5" hidden="1" customHeight="1" x14ac:dyDescent="0.2">
      <c r="A370" s="842"/>
      <c r="C370" s="569"/>
      <c r="D370" s="570"/>
      <c r="E370" s="571"/>
      <c r="G370" s="204"/>
      <c r="H370" s="204"/>
      <c r="I370" s="199"/>
      <c r="J370" s="205"/>
      <c r="L370" s="206"/>
      <c r="M370" s="201"/>
      <c r="N370" s="207"/>
      <c r="O370" s="220"/>
      <c r="P370" s="169"/>
      <c r="Q370" s="169"/>
      <c r="R370" s="169"/>
      <c r="S370" s="169"/>
      <c r="Y370" s="210"/>
      <c r="Z370" s="211"/>
      <c r="AA370" s="210"/>
      <c r="AB370" s="210"/>
      <c r="AC370" s="210"/>
      <c r="AD370" s="212"/>
      <c r="AE370" s="210"/>
      <c r="AG370" s="214"/>
      <c r="AH370" s="214"/>
      <c r="AI370" s="215"/>
      <c r="AJ370" s="214"/>
      <c r="AK370" s="214"/>
      <c r="AL370" s="215"/>
      <c r="AM370" s="216"/>
      <c r="AO370" s="245"/>
      <c r="AP370" s="245"/>
      <c r="AQ370" s="245"/>
      <c r="AR370" s="245"/>
      <c r="AS370" s="245"/>
      <c r="AT370" s="245"/>
      <c r="AU370" s="245"/>
      <c r="AV370" s="245"/>
      <c r="AW370" s="245"/>
      <c r="AX370" s="245"/>
      <c r="AZ370" s="245"/>
      <c r="BA370" s="283"/>
      <c r="BB370" s="283"/>
      <c r="BC370" s="239"/>
      <c r="BD370" s="283"/>
      <c r="BE370" s="239"/>
      <c r="BF370" s="239"/>
      <c r="BG370" s="239"/>
      <c r="BJ370" s="245"/>
      <c r="BK370" s="245"/>
      <c r="BM370" s="245"/>
      <c r="BN370" s="245"/>
      <c r="BO370" s="245"/>
      <c r="BP370" s="245"/>
      <c r="BQ370" s="245"/>
    </row>
    <row r="371" spans="1:69" ht="13.5" hidden="1" customHeight="1" x14ac:dyDescent="0.2">
      <c r="A371" s="842"/>
      <c r="C371" s="569"/>
      <c r="D371" s="570"/>
      <c r="E371" s="571"/>
      <c r="G371" s="204"/>
      <c r="H371" s="204"/>
      <c r="I371" s="199"/>
      <c r="J371" s="205"/>
      <c r="L371" s="206"/>
      <c r="M371" s="201"/>
      <c r="N371" s="207"/>
      <c r="O371" s="220"/>
      <c r="P371" s="169"/>
      <c r="Q371" s="169"/>
      <c r="R371" s="169"/>
      <c r="S371" s="169"/>
      <c r="Y371" s="210"/>
      <c r="Z371" s="211"/>
      <c r="AA371" s="210"/>
      <c r="AB371" s="210"/>
      <c r="AC371" s="210"/>
      <c r="AD371" s="212"/>
      <c r="AE371" s="210"/>
      <c r="AG371" s="214"/>
      <c r="AH371" s="214"/>
      <c r="AI371" s="215"/>
      <c r="AJ371" s="214"/>
      <c r="AK371" s="214"/>
      <c r="AL371" s="215"/>
      <c r="AM371" s="216"/>
      <c r="AO371" s="245"/>
      <c r="AP371" s="245"/>
      <c r="AQ371" s="245"/>
      <c r="AR371" s="245"/>
      <c r="AS371" s="245"/>
      <c r="AT371" s="245"/>
      <c r="AU371" s="245"/>
      <c r="AV371" s="245"/>
      <c r="AW371" s="245"/>
      <c r="AX371" s="245"/>
      <c r="AZ371" s="245"/>
      <c r="BA371" s="283"/>
      <c r="BB371" s="283"/>
      <c r="BC371" s="239"/>
      <c r="BD371" s="283"/>
      <c r="BE371" s="239"/>
      <c r="BF371" s="239"/>
      <c r="BG371" s="239"/>
      <c r="BJ371" s="245"/>
      <c r="BK371" s="245"/>
      <c r="BM371" s="245"/>
      <c r="BN371" s="245"/>
      <c r="BO371" s="245"/>
      <c r="BP371" s="245"/>
      <c r="BQ371" s="245"/>
    </row>
    <row r="372" spans="1:69" ht="21" hidden="1" customHeight="1" x14ac:dyDescent="0.2">
      <c r="A372" s="842"/>
      <c r="G372" s="576"/>
      <c r="H372" s="576"/>
      <c r="I372" s="567"/>
      <c r="K372" s="568"/>
      <c r="N372" s="169"/>
      <c r="O372" s="169"/>
      <c r="P372" s="169"/>
      <c r="Q372" s="169"/>
      <c r="R372" s="169"/>
      <c r="S372" s="169"/>
      <c r="Y372" s="229"/>
      <c r="Z372" s="230"/>
      <c r="AA372" s="231"/>
      <c r="AB372" s="231"/>
      <c r="AC372" s="231"/>
      <c r="AD372" s="232"/>
      <c r="AE372" s="231"/>
      <c r="AG372" s="233"/>
      <c r="AH372" s="233"/>
      <c r="AI372" s="234"/>
      <c r="AJ372" s="233"/>
      <c r="AK372" s="233"/>
      <c r="AL372" s="234"/>
      <c r="AM372" s="234"/>
      <c r="AO372" s="245"/>
      <c r="AP372" s="245"/>
      <c r="AQ372" s="245"/>
      <c r="AR372" s="245"/>
      <c r="AS372" s="245"/>
      <c r="AT372" s="245"/>
      <c r="AU372" s="245"/>
      <c r="AV372" s="245"/>
      <c r="AW372" s="245"/>
      <c r="AX372" s="245"/>
      <c r="AZ372" s="245"/>
      <c r="BA372" s="283"/>
      <c r="BB372" s="283"/>
      <c r="BC372" s="239"/>
      <c r="BD372" s="283"/>
      <c r="BE372" s="239"/>
      <c r="BF372" s="239"/>
      <c r="BG372" s="239"/>
      <c r="BJ372" s="245"/>
      <c r="BK372" s="245"/>
      <c r="BM372" s="245"/>
      <c r="BN372" s="245"/>
      <c r="BO372" s="245"/>
      <c r="BP372" s="245"/>
      <c r="BQ372" s="245"/>
    </row>
    <row r="373" spans="1:69" ht="13.5" hidden="1" customHeight="1" x14ac:dyDescent="0.2">
      <c r="A373" s="842"/>
      <c r="C373" s="569"/>
      <c r="D373" s="570"/>
      <c r="E373" s="571"/>
      <c r="G373" s="204"/>
      <c r="H373" s="204"/>
      <c r="I373" s="199"/>
      <c r="J373" s="205"/>
      <c r="L373" s="206"/>
      <c r="M373" s="201"/>
      <c r="N373" s="207"/>
      <c r="O373" s="208"/>
      <c r="P373" s="169"/>
      <c r="Q373" s="169"/>
      <c r="R373" s="169"/>
      <c r="S373" s="169"/>
      <c r="Y373" s="210"/>
      <c r="Z373" s="211"/>
      <c r="AA373" s="210"/>
      <c r="AB373" s="210"/>
      <c r="AC373" s="210"/>
      <c r="AD373" s="212"/>
      <c r="AE373" s="210"/>
      <c r="AG373" s="214"/>
      <c r="AH373" s="214"/>
      <c r="AI373" s="215"/>
      <c r="AJ373" s="214"/>
      <c r="AK373" s="214"/>
      <c r="AL373" s="215"/>
      <c r="AM373" s="216"/>
      <c r="AO373" s="245"/>
      <c r="AP373" s="245"/>
      <c r="AQ373" s="245"/>
      <c r="AR373" s="245"/>
      <c r="AS373" s="245"/>
      <c r="AT373" s="245"/>
      <c r="AU373" s="245"/>
      <c r="AV373" s="245"/>
      <c r="AW373" s="245"/>
      <c r="AX373" s="245"/>
      <c r="AZ373" s="245"/>
      <c r="BA373" s="283"/>
      <c r="BB373" s="283"/>
      <c r="BC373" s="239"/>
      <c r="BD373" s="283"/>
      <c r="BE373" s="239"/>
      <c r="BF373" s="239"/>
      <c r="BG373" s="239"/>
      <c r="BJ373" s="245"/>
      <c r="BK373" s="245"/>
      <c r="BM373" s="245"/>
      <c r="BN373" s="245"/>
      <c r="BO373" s="245"/>
      <c r="BP373" s="245"/>
      <c r="BQ373" s="245"/>
    </row>
    <row r="374" spans="1:69" ht="13.5" hidden="1" customHeight="1" x14ac:dyDescent="0.2">
      <c r="A374" s="842"/>
      <c r="C374" s="569"/>
      <c r="D374" s="570"/>
      <c r="E374" s="571"/>
      <c r="G374" s="204"/>
      <c r="H374" s="204"/>
      <c r="I374" s="199"/>
      <c r="J374" s="205"/>
      <c r="L374" s="206"/>
      <c r="M374" s="201"/>
      <c r="N374" s="207"/>
      <c r="O374" s="220"/>
      <c r="P374" s="169"/>
      <c r="Q374" s="169"/>
      <c r="R374" s="169"/>
      <c r="S374" s="169"/>
      <c r="Y374" s="210"/>
      <c r="Z374" s="211"/>
      <c r="AA374" s="210"/>
      <c r="AB374" s="210"/>
      <c r="AC374" s="210"/>
      <c r="AD374" s="212"/>
      <c r="AE374" s="210"/>
      <c r="AG374" s="214"/>
      <c r="AH374" s="214"/>
      <c r="AI374" s="215"/>
      <c r="AJ374" s="214"/>
      <c r="AK374" s="214"/>
      <c r="AL374" s="215"/>
      <c r="AM374" s="216"/>
      <c r="AO374" s="245"/>
      <c r="AP374" s="245"/>
      <c r="AQ374" s="245"/>
      <c r="AR374" s="245"/>
      <c r="AS374" s="245"/>
      <c r="AT374" s="245"/>
      <c r="AU374" s="245"/>
      <c r="AV374" s="245"/>
      <c r="AW374" s="245"/>
      <c r="AX374" s="245"/>
      <c r="AZ374" s="245"/>
      <c r="BA374" s="283"/>
      <c r="BB374" s="283"/>
      <c r="BC374" s="239"/>
      <c r="BD374" s="283"/>
      <c r="BE374" s="239"/>
      <c r="BF374" s="239"/>
      <c r="BG374" s="239"/>
      <c r="BJ374" s="245"/>
      <c r="BK374" s="245"/>
      <c r="BM374" s="245"/>
      <c r="BN374" s="245"/>
      <c r="BO374" s="245"/>
      <c r="BP374" s="245"/>
      <c r="BQ374" s="245"/>
    </row>
    <row r="375" spans="1:69" ht="13.5" hidden="1" customHeight="1" x14ac:dyDescent="0.2">
      <c r="A375" s="842"/>
      <c r="C375" s="569"/>
      <c r="D375" s="570"/>
      <c r="E375" s="571"/>
      <c r="G375" s="204"/>
      <c r="H375" s="204"/>
      <c r="I375" s="199"/>
      <c r="J375" s="205"/>
      <c r="L375" s="206"/>
      <c r="M375" s="201"/>
      <c r="N375" s="207"/>
      <c r="O375" s="220"/>
      <c r="P375" s="169"/>
      <c r="Q375" s="169"/>
      <c r="R375" s="169"/>
      <c r="S375" s="169"/>
      <c r="Y375" s="210"/>
      <c r="Z375" s="211"/>
      <c r="AA375" s="210"/>
      <c r="AB375" s="210"/>
      <c r="AC375" s="210"/>
      <c r="AD375" s="212"/>
      <c r="AE375" s="210"/>
      <c r="AG375" s="214"/>
      <c r="AH375" s="214"/>
      <c r="AI375" s="215"/>
      <c r="AJ375" s="214"/>
      <c r="AK375" s="214"/>
      <c r="AL375" s="215"/>
      <c r="AM375" s="216"/>
      <c r="AO375" s="245"/>
      <c r="AP375" s="245"/>
      <c r="AQ375" s="245"/>
      <c r="AR375" s="245"/>
      <c r="AS375" s="245"/>
      <c r="AT375" s="245"/>
      <c r="AU375" s="245"/>
      <c r="AV375" s="245"/>
      <c r="AW375" s="245"/>
      <c r="AX375" s="245"/>
      <c r="AZ375" s="245"/>
      <c r="BA375" s="283"/>
      <c r="BB375" s="283"/>
      <c r="BC375" s="239"/>
      <c r="BD375" s="283"/>
      <c r="BE375" s="239"/>
      <c r="BF375" s="239"/>
      <c r="BG375" s="239"/>
      <c r="BJ375" s="245"/>
      <c r="BK375" s="245"/>
      <c r="BM375" s="245"/>
      <c r="BN375" s="245"/>
      <c r="BO375" s="245"/>
      <c r="BP375" s="245"/>
      <c r="BQ375" s="245"/>
    </row>
    <row r="376" spans="1:69" ht="13.5" hidden="1" customHeight="1" x14ac:dyDescent="0.2">
      <c r="A376" s="842"/>
      <c r="C376" s="569"/>
      <c r="D376" s="570"/>
      <c r="E376" s="571"/>
      <c r="G376" s="204"/>
      <c r="H376" s="204"/>
      <c r="I376" s="199"/>
      <c r="J376" s="205"/>
      <c r="L376" s="206"/>
      <c r="M376" s="201"/>
      <c r="N376" s="207"/>
      <c r="O376" s="220"/>
      <c r="P376" s="169"/>
      <c r="Q376" s="169"/>
      <c r="R376" s="169"/>
      <c r="S376" s="169"/>
      <c r="Y376" s="210"/>
      <c r="Z376" s="211"/>
      <c r="AA376" s="210"/>
      <c r="AB376" s="210"/>
      <c r="AC376" s="210"/>
      <c r="AD376" s="212"/>
      <c r="AE376" s="210"/>
      <c r="AG376" s="214"/>
      <c r="AH376" s="214"/>
      <c r="AI376" s="215"/>
      <c r="AJ376" s="214"/>
      <c r="AK376" s="214"/>
      <c r="AL376" s="215"/>
      <c r="AM376" s="216"/>
      <c r="AO376" s="245"/>
      <c r="AP376" s="245"/>
      <c r="AQ376" s="245"/>
      <c r="AR376" s="245"/>
      <c r="AS376" s="245"/>
      <c r="AT376" s="245"/>
      <c r="AU376" s="245"/>
      <c r="AV376" s="245"/>
      <c r="AW376" s="245"/>
      <c r="AX376" s="245"/>
      <c r="AZ376" s="245"/>
      <c r="BA376" s="283"/>
      <c r="BB376" s="283"/>
      <c r="BC376" s="239"/>
      <c r="BD376" s="283"/>
      <c r="BE376" s="239"/>
      <c r="BF376" s="239"/>
      <c r="BG376" s="239"/>
      <c r="BJ376" s="245"/>
      <c r="BK376" s="245"/>
      <c r="BM376" s="245"/>
      <c r="BN376" s="245"/>
      <c r="BO376" s="245"/>
      <c r="BP376" s="245"/>
      <c r="BQ376" s="245"/>
    </row>
    <row r="377" spans="1:69" ht="13.5" hidden="1" customHeight="1" x14ac:dyDescent="0.2">
      <c r="A377" s="842"/>
      <c r="I377" s="169"/>
      <c r="J377" s="169"/>
      <c r="K377" s="169"/>
      <c r="L377" s="169"/>
      <c r="M377" s="169"/>
      <c r="N377" s="169"/>
      <c r="O377" s="169"/>
      <c r="P377" s="169"/>
      <c r="Q377" s="169"/>
      <c r="R377" s="169"/>
      <c r="S377" s="169"/>
      <c r="Y377" s="229"/>
      <c r="Z377" s="230"/>
      <c r="AG377" s="233"/>
      <c r="AH377" s="233"/>
      <c r="AI377" s="234"/>
      <c r="AJ377" s="233"/>
      <c r="AK377" s="233"/>
      <c r="AL377" s="234"/>
      <c r="AM377" s="234"/>
      <c r="AO377" s="245"/>
      <c r="AP377" s="245"/>
      <c r="AQ377" s="245"/>
      <c r="AR377" s="245"/>
      <c r="AS377" s="245"/>
      <c r="AT377" s="245"/>
      <c r="AU377" s="245"/>
      <c r="AV377" s="245"/>
      <c r="AW377" s="245"/>
      <c r="AX377" s="245"/>
      <c r="AZ377" s="245"/>
      <c r="BA377" s="283"/>
      <c r="BB377" s="283"/>
      <c r="BC377" s="239"/>
      <c r="BD377" s="283"/>
      <c r="BE377" s="239"/>
      <c r="BF377" s="239"/>
      <c r="BG377" s="239"/>
      <c r="BJ377" s="245"/>
      <c r="BK377" s="245"/>
      <c r="BM377" s="245"/>
      <c r="BN377" s="245"/>
      <c r="BO377" s="245"/>
      <c r="BP377" s="245"/>
      <c r="BQ377" s="245"/>
    </row>
    <row r="378" spans="1:69" ht="13.5" hidden="1" customHeight="1" x14ac:dyDescent="0.2">
      <c r="A378" s="842"/>
      <c r="I378" s="170"/>
      <c r="J378" s="171"/>
      <c r="K378" s="171"/>
      <c r="L378" s="171"/>
      <c r="M378" s="170"/>
      <c r="N378" s="172"/>
      <c r="Y378" s="229"/>
      <c r="Z378" s="230"/>
      <c r="AA378" s="231"/>
      <c r="AB378" s="231"/>
      <c r="AC378" s="231"/>
      <c r="AD378" s="232"/>
      <c r="AE378" s="231"/>
      <c r="AG378" s="233"/>
      <c r="AH378" s="233"/>
      <c r="AI378" s="234"/>
      <c r="AJ378" s="233"/>
      <c r="AK378" s="233"/>
      <c r="AL378" s="234"/>
      <c r="AM378" s="234"/>
      <c r="AO378" s="245"/>
      <c r="AP378" s="245"/>
      <c r="AQ378" s="245"/>
      <c r="AR378" s="245"/>
      <c r="AS378" s="245"/>
      <c r="AT378" s="245"/>
      <c r="AU378" s="245"/>
      <c r="AZ378" s="245"/>
      <c r="BA378" s="283"/>
      <c r="BB378" s="283"/>
      <c r="BC378" s="239"/>
      <c r="BD378" s="283"/>
      <c r="BE378" s="239"/>
      <c r="BF378" s="239"/>
      <c r="BG378" s="239"/>
      <c r="BJ378" s="245"/>
      <c r="BK378" s="245"/>
      <c r="BM378" s="245"/>
      <c r="BN378" s="245"/>
      <c r="BO378" s="245"/>
      <c r="BP378" s="245"/>
      <c r="BQ378" s="245"/>
    </row>
    <row r="379" spans="1:69" ht="13.5" hidden="1" customHeight="1" x14ac:dyDescent="0.2">
      <c r="A379" s="842"/>
      <c r="B379" s="309"/>
      <c r="C379" s="309"/>
      <c r="D379" s="544"/>
      <c r="E379" s="544"/>
      <c r="F379" s="544"/>
      <c r="G379" s="544"/>
      <c r="H379" s="544"/>
      <c r="I379" s="844"/>
      <c r="J379" s="844"/>
      <c r="K379" s="844"/>
      <c r="L379" s="844"/>
      <c r="M379" s="564"/>
      <c r="N379" s="565"/>
      <c r="O379" s="566"/>
      <c r="P379" s="169"/>
      <c r="Q379" s="169"/>
      <c r="R379" s="169"/>
      <c r="S379" s="169"/>
      <c r="AA379" s="231"/>
      <c r="AP379" s="245"/>
      <c r="AQ379" s="245"/>
      <c r="AR379" s="245"/>
      <c r="AS379" s="245"/>
      <c r="AU379" s="243"/>
      <c r="AZ379" s="245"/>
      <c r="BA379" s="283"/>
      <c r="BB379" s="283"/>
      <c r="BC379" s="239"/>
      <c r="BD379" s="283"/>
      <c r="BE379" s="239"/>
      <c r="BF379" s="239"/>
      <c r="BG379" s="239"/>
      <c r="BJ379" s="245"/>
      <c r="BK379" s="245"/>
      <c r="BM379" s="245"/>
      <c r="BN379" s="245"/>
      <c r="BO379" s="245"/>
      <c r="BP379" s="245"/>
      <c r="BQ379" s="245"/>
    </row>
    <row r="380" spans="1:69" ht="21" hidden="1" customHeight="1" x14ac:dyDescent="0.2">
      <c r="A380" s="842"/>
      <c r="I380" s="567"/>
      <c r="K380" s="568"/>
      <c r="O380" s="169"/>
      <c r="P380" s="169"/>
      <c r="Q380" s="169"/>
      <c r="R380" s="169"/>
      <c r="S380" s="169"/>
      <c r="AA380" s="231"/>
      <c r="AO380" s="245"/>
      <c r="AP380" s="245"/>
      <c r="AQ380" s="245"/>
      <c r="AR380" s="245"/>
      <c r="AS380" s="245"/>
      <c r="AT380" s="245"/>
      <c r="AU380" s="245"/>
      <c r="AZ380" s="245"/>
      <c r="BA380" s="283"/>
      <c r="BB380" s="283"/>
      <c r="BC380" s="239"/>
      <c r="BD380" s="283"/>
      <c r="BE380" s="239"/>
      <c r="BF380" s="239"/>
      <c r="BG380" s="239"/>
      <c r="BJ380" s="245"/>
      <c r="BK380" s="245"/>
      <c r="BM380" s="245"/>
      <c r="BN380" s="245"/>
      <c r="BO380" s="245"/>
      <c r="BP380" s="245"/>
      <c r="BQ380" s="245"/>
    </row>
    <row r="381" spans="1:69" ht="13.5" hidden="1" customHeight="1" x14ac:dyDescent="0.2">
      <c r="A381" s="842"/>
      <c r="C381" s="569"/>
      <c r="D381" s="570"/>
      <c r="E381" s="571"/>
      <c r="G381" s="204"/>
      <c r="H381" s="204"/>
      <c r="I381" s="199"/>
      <c r="J381" s="205"/>
      <c r="L381" s="206"/>
      <c r="M381" s="201"/>
      <c r="N381" s="207"/>
      <c r="O381" s="208"/>
      <c r="P381" s="169"/>
      <c r="Q381" s="169"/>
      <c r="R381" s="169"/>
      <c r="S381" s="169"/>
      <c r="T381" s="209"/>
      <c r="U381" s="209"/>
      <c r="V381" s="209"/>
      <c r="W381" s="209"/>
      <c r="Y381" s="210"/>
      <c r="Z381" s="211"/>
      <c r="AA381" s="210"/>
      <c r="AB381" s="210"/>
      <c r="AC381" s="210"/>
      <c r="AD381" s="212"/>
      <c r="AE381" s="210"/>
      <c r="AF381" s="213"/>
      <c r="AG381" s="214"/>
      <c r="AH381" s="214"/>
      <c r="AI381" s="215"/>
      <c r="AJ381" s="214"/>
      <c r="AK381" s="214"/>
      <c r="AL381" s="215"/>
      <c r="AM381" s="216"/>
      <c r="AO381" s="245"/>
      <c r="AP381" s="245"/>
      <c r="AQ381" s="245"/>
      <c r="AR381" s="245"/>
      <c r="AS381" s="245"/>
      <c r="AT381" s="245"/>
      <c r="AU381" s="245"/>
      <c r="AZ381" s="245"/>
      <c r="BA381" s="283"/>
      <c r="BB381" s="283"/>
      <c r="BC381" s="239"/>
      <c r="BD381" s="283"/>
      <c r="BE381" s="239"/>
      <c r="BF381" s="239"/>
      <c r="BG381" s="239"/>
      <c r="BJ381" s="245"/>
      <c r="BK381" s="245"/>
      <c r="BM381" s="245"/>
      <c r="BN381" s="245"/>
      <c r="BO381" s="245"/>
      <c r="BP381" s="245"/>
      <c r="BQ381" s="245"/>
    </row>
    <row r="382" spans="1:69" ht="13.5" hidden="1" customHeight="1" x14ac:dyDescent="0.2">
      <c r="A382" s="842"/>
      <c r="C382" s="569"/>
      <c r="D382" s="570"/>
      <c r="E382" s="571"/>
      <c r="G382" s="204"/>
      <c r="H382" s="204"/>
      <c r="I382" s="199"/>
      <c r="J382" s="205"/>
      <c r="L382" s="206"/>
      <c r="M382" s="201"/>
      <c r="N382" s="207"/>
      <c r="O382" s="220"/>
      <c r="P382" s="169"/>
      <c r="Q382" s="169"/>
      <c r="R382" s="169"/>
      <c r="S382" s="169"/>
      <c r="T382" s="209"/>
      <c r="U382" s="209"/>
      <c r="V382" s="209"/>
      <c r="W382" s="209"/>
      <c r="Y382" s="210"/>
      <c r="Z382" s="211"/>
      <c r="AA382" s="210"/>
      <c r="AB382" s="210"/>
      <c r="AC382" s="210"/>
      <c r="AD382" s="212"/>
      <c r="AE382" s="210"/>
      <c r="AF382" s="213"/>
      <c r="AG382" s="214"/>
      <c r="AH382" s="214"/>
      <c r="AI382" s="215"/>
      <c r="AJ382" s="214"/>
      <c r="AK382" s="214"/>
      <c r="AL382" s="215"/>
      <c r="AM382" s="216"/>
      <c r="AO382" s="245"/>
      <c r="AP382" s="245"/>
      <c r="AQ382" s="245"/>
      <c r="AR382" s="245"/>
      <c r="AS382" s="245"/>
      <c r="AT382" s="245"/>
      <c r="AU382" s="245"/>
      <c r="AZ382" s="245"/>
      <c r="BA382" s="283"/>
      <c r="BB382" s="283"/>
      <c r="BC382" s="239"/>
      <c r="BD382" s="283"/>
      <c r="BE382" s="239"/>
      <c r="BF382" s="239"/>
      <c r="BG382" s="239"/>
      <c r="BJ382" s="245"/>
      <c r="BK382" s="245"/>
      <c r="BM382" s="245"/>
      <c r="BN382" s="245"/>
      <c r="BO382" s="245"/>
      <c r="BP382" s="245"/>
      <c r="BQ382" s="245"/>
    </row>
    <row r="383" spans="1:69" ht="13.5" hidden="1" customHeight="1" x14ac:dyDescent="0.2">
      <c r="A383" s="842"/>
      <c r="C383" s="569"/>
      <c r="D383" s="570"/>
      <c r="E383" s="571"/>
      <c r="G383" s="204"/>
      <c r="H383" s="204"/>
      <c r="I383" s="199"/>
      <c r="J383" s="205"/>
      <c r="L383" s="206"/>
      <c r="M383" s="201"/>
      <c r="N383" s="207"/>
      <c r="O383" s="220"/>
      <c r="P383" s="169"/>
      <c r="Q383" s="169"/>
      <c r="R383" s="169"/>
      <c r="S383" s="169"/>
      <c r="T383" s="209"/>
      <c r="U383" s="209"/>
      <c r="V383" s="209"/>
      <c r="W383" s="209"/>
      <c r="Y383" s="210"/>
      <c r="Z383" s="211"/>
      <c r="AA383" s="210"/>
      <c r="AB383" s="210"/>
      <c r="AC383" s="210"/>
      <c r="AD383" s="212"/>
      <c r="AE383" s="210"/>
      <c r="AF383" s="213"/>
      <c r="AG383" s="214"/>
      <c r="AH383" s="214"/>
      <c r="AI383" s="215"/>
      <c r="AJ383" s="214"/>
      <c r="AK383" s="214"/>
      <c r="AL383" s="215"/>
      <c r="AM383" s="216"/>
      <c r="AO383" s="245"/>
      <c r="AP383" s="245"/>
      <c r="AQ383" s="245"/>
      <c r="AR383" s="245"/>
      <c r="AS383" s="245"/>
      <c r="AT383" s="245"/>
      <c r="AU383" s="245"/>
      <c r="AV383" s="245"/>
      <c r="AW383" s="245"/>
      <c r="AX383" s="245"/>
      <c r="BA383" s="283"/>
      <c r="BB383" s="283"/>
      <c r="BC383" s="239"/>
      <c r="BD383" s="283"/>
      <c r="BE383" s="239"/>
      <c r="BF383" s="239"/>
      <c r="BG383" s="239"/>
      <c r="BJ383" s="245"/>
    </row>
    <row r="384" spans="1:69" ht="13.5" hidden="1" customHeight="1" x14ac:dyDescent="0.2">
      <c r="A384" s="842"/>
      <c r="C384" s="569"/>
      <c r="D384" s="570"/>
      <c r="E384" s="571"/>
      <c r="G384" s="204"/>
      <c r="H384" s="204"/>
      <c r="I384" s="199"/>
      <c r="J384" s="205"/>
      <c r="L384" s="206"/>
      <c r="M384" s="201"/>
      <c r="N384" s="207"/>
      <c r="O384" s="220"/>
      <c r="P384" s="169"/>
      <c r="Q384" s="169"/>
      <c r="R384" s="169"/>
      <c r="S384" s="169"/>
      <c r="T384" s="209"/>
      <c r="U384" s="209"/>
      <c r="Y384" s="210"/>
      <c r="Z384" s="211"/>
      <c r="AA384" s="210"/>
      <c r="AB384" s="210"/>
      <c r="AC384" s="210"/>
      <c r="AD384" s="212"/>
      <c r="AE384" s="210"/>
      <c r="AF384" s="213"/>
      <c r="AG384" s="214"/>
      <c r="AH384" s="214"/>
      <c r="AI384" s="215"/>
      <c r="AJ384" s="214"/>
      <c r="AK384" s="214"/>
      <c r="AL384" s="215"/>
      <c r="AM384" s="216"/>
      <c r="AO384" s="245"/>
      <c r="AP384" s="245"/>
      <c r="AQ384" s="245"/>
      <c r="AR384" s="245"/>
      <c r="AS384" s="245"/>
      <c r="AT384" s="245"/>
      <c r="AU384" s="245"/>
      <c r="AV384" s="245"/>
      <c r="AW384" s="245"/>
      <c r="AX384" s="245"/>
      <c r="AZ384" s="245"/>
      <c r="BA384" s="283"/>
      <c r="BB384" s="283"/>
      <c r="BC384" s="239"/>
      <c r="BD384" s="283"/>
      <c r="BE384" s="239"/>
      <c r="BF384" s="239"/>
      <c r="BG384" s="239"/>
      <c r="BJ384" s="245"/>
      <c r="BK384" s="245"/>
      <c r="BM384" s="245"/>
      <c r="BN384" s="245"/>
      <c r="BO384" s="245"/>
      <c r="BP384" s="245"/>
      <c r="BQ384" s="245"/>
    </row>
    <row r="385" spans="1:69" ht="21" hidden="1" customHeight="1" x14ac:dyDescent="0.2">
      <c r="A385" s="842"/>
      <c r="G385" s="576"/>
      <c r="H385" s="576"/>
      <c r="I385" s="567"/>
      <c r="K385" s="568"/>
      <c r="N385" s="223"/>
      <c r="O385" s="169"/>
      <c r="P385" s="169"/>
      <c r="Q385" s="169"/>
      <c r="R385" s="169"/>
      <c r="S385" s="169"/>
      <c r="T385" s="209"/>
      <c r="U385" s="209"/>
      <c r="V385" s="209"/>
      <c r="W385" s="209"/>
      <c r="Y385" s="229"/>
      <c r="Z385" s="230"/>
      <c r="AA385" s="231"/>
      <c r="AB385" s="231"/>
      <c r="AC385" s="231"/>
      <c r="AD385" s="232"/>
      <c r="AE385" s="231"/>
      <c r="AG385" s="233"/>
      <c r="AH385" s="233"/>
      <c r="AI385" s="234"/>
      <c r="AJ385" s="233"/>
      <c r="AK385" s="233"/>
      <c r="AL385" s="234"/>
      <c r="AM385" s="234"/>
      <c r="AO385" s="245"/>
      <c r="AP385" s="245"/>
      <c r="AQ385" s="245"/>
      <c r="AR385" s="245"/>
      <c r="AS385" s="245"/>
      <c r="AT385" s="245"/>
      <c r="AU385" s="245"/>
      <c r="AV385" s="245"/>
      <c r="AW385" s="245"/>
      <c r="AX385" s="245"/>
      <c r="AZ385" s="245"/>
      <c r="BA385" s="283"/>
      <c r="BB385" s="283"/>
      <c r="BC385" s="239"/>
      <c r="BD385" s="283"/>
      <c r="BE385" s="239"/>
      <c r="BF385" s="239"/>
      <c r="BG385" s="239"/>
      <c r="BJ385" s="245"/>
      <c r="BK385" s="245"/>
      <c r="BM385" s="245"/>
      <c r="BN385" s="245"/>
      <c r="BO385" s="245"/>
      <c r="BP385" s="245"/>
      <c r="BQ385" s="245"/>
    </row>
    <row r="386" spans="1:69" ht="13.5" hidden="1" customHeight="1" x14ac:dyDescent="0.2">
      <c r="A386" s="842"/>
      <c r="C386" s="569"/>
      <c r="D386" s="570"/>
      <c r="E386" s="571"/>
      <c r="G386" s="204"/>
      <c r="H386" s="204"/>
      <c r="I386" s="199"/>
      <c r="J386" s="205"/>
      <c r="L386" s="206"/>
      <c r="M386" s="201"/>
      <c r="N386" s="207"/>
      <c r="O386" s="208"/>
      <c r="P386" s="169"/>
      <c r="Q386" s="169"/>
      <c r="R386" s="169"/>
      <c r="S386" s="169"/>
      <c r="Y386" s="210"/>
      <c r="Z386" s="211"/>
      <c r="AA386" s="210"/>
      <c r="AB386" s="210"/>
      <c r="AC386" s="210"/>
      <c r="AD386" s="212"/>
      <c r="AE386" s="210"/>
      <c r="AG386" s="214"/>
      <c r="AH386" s="214"/>
      <c r="AI386" s="215"/>
      <c r="AJ386" s="214"/>
      <c r="AK386" s="214"/>
      <c r="AL386" s="215"/>
      <c r="AM386" s="216"/>
      <c r="AO386" s="245"/>
      <c r="AP386" s="245"/>
      <c r="AQ386" s="245"/>
      <c r="AR386" s="245"/>
      <c r="AS386" s="245"/>
      <c r="AT386" s="245"/>
      <c r="AU386" s="245"/>
      <c r="AV386" s="245"/>
      <c r="AW386" s="245"/>
      <c r="AX386" s="245"/>
      <c r="AZ386" s="245"/>
      <c r="BA386" s="283"/>
      <c r="BB386" s="283"/>
      <c r="BC386" s="239"/>
      <c r="BD386" s="283"/>
      <c r="BE386" s="239"/>
      <c r="BF386" s="239"/>
      <c r="BG386" s="239"/>
      <c r="BJ386" s="245"/>
      <c r="BK386" s="245"/>
      <c r="BM386" s="245"/>
      <c r="BN386" s="245"/>
      <c r="BO386" s="245"/>
      <c r="BP386" s="245"/>
      <c r="BQ386" s="245"/>
    </row>
    <row r="387" spans="1:69" ht="13.5" hidden="1" customHeight="1" x14ac:dyDescent="0.2">
      <c r="A387" s="842"/>
      <c r="C387" s="569"/>
      <c r="D387" s="570"/>
      <c r="E387" s="571"/>
      <c r="G387" s="204"/>
      <c r="H387" s="204"/>
      <c r="I387" s="199"/>
      <c r="J387" s="205"/>
      <c r="L387" s="206"/>
      <c r="M387" s="201"/>
      <c r="N387" s="207"/>
      <c r="O387" s="220"/>
      <c r="P387" s="169"/>
      <c r="Q387" s="169"/>
      <c r="R387" s="169"/>
      <c r="S387" s="169"/>
      <c r="Y387" s="210"/>
      <c r="Z387" s="211"/>
      <c r="AA387" s="210"/>
      <c r="AB387" s="210"/>
      <c r="AC387" s="210"/>
      <c r="AD387" s="212"/>
      <c r="AE387" s="210"/>
      <c r="AG387" s="214"/>
      <c r="AH387" s="214"/>
      <c r="AI387" s="215"/>
      <c r="AJ387" s="214"/>
      <c r="AK387" s="214"/>
      <c r="AL387" s="215"/>
      <c r="AM387" s="216"/>
      <c r="AO387" s="245"/>
      <c r="AP387" s="245"/>
      <c r="AQ387" s="245"/>
      <c r="AR387" s="245"/>
      <c r="AS387" s="245"/>
      <c r="AT387" s="245"/>
      <c r="AU387" s="245"/>
      <c r="AV387" s="245"/>
      <c r="AW387" s="245"/>
      <c r="AX387" s="245"/>
      <c r="AZ387" s="245"/>
      <c r="BA387" s="283"/>
      <c r="BB387" s="283"/>
      <c r="BC387" s="239"/>
      <c r="BD387" s="283"/>
      <c r="BE387" s="239"/>
      <c r="BF387" s="239"/>
      <c r="BG387" s="239"/>
      <c r="BJ387" s="245"/>
      <c r="BK387" s="245"/>
      <c r="BM387" s="245"/>
      <c r="BN387" s="245"/>
      <c r="BO387" s="245"/>
      <c r="BP387" s="245"/>
      <c r="BQ387" s="245"/>
    </row>
    <row r="388" spans="1:69" ht="13.5" hidden="1" customHeight="1" x14ac:dyDescent="0.2">
      <c r="A388" s="842"/>
      <c r="C388" s="569"/>
      <c r="D388" s="570"/>
      <c r="E388" s="571"/>
      <c r="G388" s="204"/>
      <c r="H388" s="204"/>
      <c r="I388" s="199"/>
      <c r="J388" s="205"/>
      <c r="L388" s="206"/>
      <c r="M388" s="201"/>
      <c r="N388" s="207"/>
      <c r="O388" s="220"/>
      <c r="P388" s="169"/>
      <c r="Q388" s="169"/>
      <c r="R388" s="169"/>
      <c r="S388" s="169"/>
      <c r="Y388" s="210"/>
      <c r="Z388" s="211"/>
      <c r="AA388" s="210"/>
      <c r="AB388" s="210"/>
      <c r="AC388" s="210"/>
      <c r="AD388" s="212"/>
      <c r="AE388" s="210"/>
      <c r="AG388" s="214"/>
      <c r="AH388" s="214"/>
      <c r="AI388" s="215"/>
      <c r="AJ388" s="214"/>
      <c r="AK388" s="214"/>
      <c r="AL388" s="215"/>
      <c r="AM388" s="216"/>
      <c r="AO388" s="245"/>
      <c r="AP388" s="245"/>
      <c r="AQ388" s="245"/>
      <c r="AR388" s="245"/>
      <c r="AS388" s="245"/>
      <c r="AT388" s="245"/>
      <c r="AU388" s="245"/>
      <c r="AV388" s="245"/>
      <c r="AW388" s="245"/>
      <c r="AX388" s="245"/>
      <c r="AZ388" s="245"/>
      <c r="BA388" s="283"/>
      <c r="BB388" s="283"/>
      <c r="BC388" s="239"/>
      <c r="BD388" s="283"/>
      <c r="BE388" s="239"/>
      <c r="BF388" s="239"/>
      <c r="BG388" s="239"/>
      <c r="BJ388" s="245"/>
      <c r="BK388" s="245"/>
      <c r="BM388" s="245"/>
      <c r="BN388" s="245"/>
      <c r="BO388" s="245"/>
      <c r="BP388" s="245"/>
      <c r="BQ388" s="245"/>
    </row>
    <row r="389" spans="1:69" ht="13.5" hidden="1" customHeight="1" x14ac:dyDescent="0.2">
      <c r="A389" s="842"/>
      <c r="C389" s="569"/>
      <c r="D389" s="570"/>
      <c r="E389" s="571"/>
      <c r="G389" s="204"/>
      <c r="H389" s="204"/>
      <c r="I389" s="199"/>
      <c r="J389" s="205"/>
      <c r="L389" s="206"/>
      <c r="M389" s="201"/>
      <c r="N389" s="207"/>
      <c r="O389" s="220"/>
      <c r="P389" s="169"/>
      <c r="Q389" s="169"/>
      <c r="R389" s="169"/>
      <c r="S389" s="169"/>
      <c r="Y389" s="210"/>
      <c r="Z389" s="211"/>
      <c r="AA389" s="210"/>
      <c r="AB389" s="210"/>
      <c r="AC389" s="210"/>
      <c r="AD389" s="212"/>
      <c r="AE389" s="210"/>
      <c r="AG389" s="214"/>
      <c r="AH389" s="214"/>
      <c r="AI389" s="215"/>
      <c r="AJ389" s="214"/>
      <c r="AK389" s="214"/>
      <c r="AL389" s="215"/>
      <c r="AM389" s="216"/>
      <c r="AO389" s="245"/>
      <c r="AP389" s="245"/>
      <c r="AQ389" s="245"/>
      <c r="AR389" s="245"/>
      <c r="AS389" s="245"/>
      <c r="AT389" s="245"/>
      <c r="AU389" s="245"/>
      <c r="AV389" s="245"/>
      <c r="AW389" s="245"/>
      <c r="AX389" s="245"/>
      <c r="AZ389" s="245"/>
      <c r="BA389" s="283"/>
      <c r="BB389" s="283"/>
      <c r="BC389" s="239"/>
      <c r="BD389" s="283"/>
      <c r="BE389" s="239"/>
      <c r="BF389" s="239"/>
      <c r="BG389" s="239"/>
      <c r="BJ389" s="245"/>
      <c r="BK389" s="245"/>
      <c r="BM389" s="245"/>
      <c r="BN389" s="245"/>
      <c r="BO389" s="245"/>
      <c r="BP389" s="245"/>
      <c r="BQ389" s="245"/>
    </row>
    <row r="390" spans="1:69" ht="21" hidden="1" customHeight="1" x14ac:dyDescent="0.2">
      <c r="A390" s="842"/>
      <c r="G390" s="576"/>
      <c r="H390" s="576"/>
      <c r="I390" s="567"/>
      <c r="K390" s="568"/>
      <c r="N390" s="169"/>
      <c r="O390" s="169"/>
      <c r="P390" s="169"/>
      <c r="Q390" s="169"/>
      <c r="R390" s="169"/>
      <c r="S390" s="169"/>
      <c r="Y390" s="229"/>
      <c r="Z390" s="230"/>
      <c r="AA390" s="231"/>
      <c r="AB390" s="231"/>
      <c r="AC390" s="231"/>
      <c r="AD390" s="232"/>
      <c r="AE390" s="231"/>
      <c r="AG390" s="233"/>
      <c r="AH390" s="233"/>
      <c r="AI390" s="234"/>
      <c r="AJ390" s="233"/>
      <c r="AK390" s="233"/>
      <c r="AL390" s="234"/>
      <c r="AM390" s="234"/>
      <c r="AO390" s="245"/>
      <c r="AP390" s="245"/>
      <c r="AQ390" s="245"/>
      <c r="AR390" s="245"/>
      <c r="AS390" s="245"/>
      <c r="AT390" s="245"/>
      <c r="AU390" s="245"/>
      <c r="AV390" s="245"/>
      <c r="AW390" s="245"/>
      <c r="AX390" s="245"/>
      <c r="AZ390" s="245"/>
      <c r="BA390" s="283"/>
      <c r="BB390" s="283"/>
      <c r="BC390" s="239"/>
      <c r="BD390" s="283"/>
      <c r="BE390" s="239"/>
      <c r="BF390" s="239"/>
      <c r="BG390" s="239"/>
      <c r="BJ390" s="245"/>
      <c r="BK390" s="245"/>
      <c r="BM390" s="245"/>
      <c r="BN390" s="245"/>
      <c r="BO390" s="245"/>
      <c r="BP390" s="245"/>
      <c r="BQ390" s="245"/>
    </row>
    <row r="391" spans="1:69" ht="13.5" hidden="1" customHeight="1" x14ac:dyDescent="0.2">
      <c r="A391" s="842"/>
      <c r="C391" s="569"/>
      <c r="D391" s="570"/>
      <c r="E391" s="571"/>
      <c r="G391" s="204"/>
      <c r="H391" s="204"/>
      <c r="I391" s="199"/>
      <c r="J391" s="205"/>
      <c r="L391" s="206"/>
      <c r="M391" s="201"/>
      <c r="N391" s="207"/>
      <c r="O391" s="208"/>
      <c r="P391" s="169"/>
      <c r="Q391" s="169"/>
      <c r="R391" s="169"/>
      <c r="S391" s="169"/>
      <c r="Y391" s="210"/>
      <c r="Z391" s="211"/>
      <c r="AA391" s="210"/>
      <c r="AB391" s="210"/>
      <c r="AC391" s="210"/>
      <c r="AD391" s="212"/>
      <c r="AE391" s="210"/>
      <c r="AG391" s="214"/>
      <c r="AH391" s="214"/>
      <c r="AI391" s="215"/>
      <c r="AJ391" s="214"/>
      <c r="AK391" s="214"/>
      <c r="AL391" s="215"/>
      <c r="AM391" s="216"/>
      <c r="AO391" s="245"/>
      <c r="AP391" s="245"/>
      <c r="AQ391" s="245"/>
      <c r="AR391" s="245"/>
      <c r="AS391" s="245"/>
      <c r="AT391" s="245"/>
      <c r="AU391" s="245"/>
      <c r="AV391" s="245"/>
      <c r="AW391" s="245"/>
      <c r="AX391" s="245"/>
      <c r="AZ391" s="245"/>
      <c r="BA391" s="283"/>
      <c r="BB391" s="283"/>
      <c r="BC391" s="239"/>
      <c r="BD391" s="283"/>
      <c r="BE391" s="239"/>
      <c r="BF391" s="239"/>
      <c r="BG391" s="239"/>
      <c r="BJ391" s="245"/>
      <c r="BK391" s="245"/>
      <c r="BM391" s="245"/>
      <c r="BN391" s="245"/>
      <c r="BO391" s="245"/>
      <c r="BP391" s="245"/>
      <c r="BQ391" s="245"/>
    </row>
    <row r="392" spans="1:69" ht="13.5" hidden="1" customHeight="1" x14ac:dyDescent="0.2">
      <c r="A392" s="842"/>
      <c r="C392" s="569"/>
      <c r="D392" s="570"/>
      <c r="E392" s="571"/>
      <c r="G392" s="204"/>
      <c r="H392" s="204"/>
      <c r="I392" s="199"/>
      <c r="J392" s="205"/>
      <c r="L392" s="206"/>
      <c r="M392" s="201"/>
      <c r="N392" s="207"/>
      <c r="O392" s="220"/>
      <c r="P392" s="169"/>
      <c r="Q392" s="169"/>
      <c r="R392" s="169"/>
      <c r="S392" s="169"/>
      <c r="Y392" s="210"/>
      <c r="Z392" s="211"/>
      <c r="AA392" s="210"/>
      <c r="AB392" s="210"/>
      <c r="AC392" s="210"/>
      <c r="AD392" s="212"/>
      <c r="AE392" s="210"/>
      <c r="AG392" s="214"/>
      <c r="AH392" s="214"/>
      <c r="AI392" s="215"/>
      <c r="AJ392" s="214"/>
      <c r="AK392" s="214"/>
      <c r="AL392" s="215"/>
      <c r="AM392" s="216"/>
      <c r="AO392" s="245"/>
      <c r="AP392" s="245"/>
      <c r="AQ392" s="245"/>
      <c r="AR392" s="245"/>
      <c r="AS392" s="245"/>
      <c r="AT392" s="245"/>
      <c r="AU392" s="245"/>
      <c r="AV392" s="245"/>
      <c r="AW392" s="245"/>
      <c r="AX392" s="245"/>
      <c r="AZ392" s="245"/>
      <c r="BA392" s="283"/>
      <c r="BB392" s="283"/>
      <c r="BC392" s="239"/>
      <c r="BD392" s="283"/>
      <c r="BE392" s="239"/>
      <c r="BF392" s="239"/>
      <c r="BG392" s="239"/>
      <c r="BJ392" s="245"/>
      <c r="BK392" s="245"/>
      <c r="BM392" s="245"/>
      <c r="BN392" s="245"/>
      <c r="BO392" s="245"/>
      <c r="BP392" s="245"/>
      <c r="BQ392" s="245"/>
    </row>
    <row r="393" spans="1:69" ht="13.5" hidden="1" customHeight="1" x14ac:dyDescent="0.2">
      <c r="A393" s="842"/>
      <c r="C393" s="569"/>
      <c r="D393" s="570"/>
      <c r="E393" s="571"/>
      <c r="G393" s="204"/>
      <c r="H393" s="204"/>
      <c r="I393" s="199"/>
      <c r="J393" s="205"/>
      <c r="L393" s="206"/>
      <c r="M393" s="201"/>
      <c r="N393" s="207"/>
      <c r="O393" s="220"/>
      <c r="P393" s="169"/>
      <c r="Q393" s="169"/>
      <c r="R393" s="169"/>
      <c r="S393" s="169"/>
      <c r="Y393" s="210"/>
      <c r="Z393" s="211"/>
      <c r="AA393" s="210"/>
      <c r="AB393" s="210"/>
      <c r="AC393" s="210"/>
      <c r="AD393" s="212"/>
      <c r="AE393" s="210"/>
      <c r="AG393" s="214"/>
      <c r="AH393" s="214"/>
      <c r="AI393" s="215"/>
      <c r="AJ393" s="214"/>
      <c r="AK393" s="214"/>
      <c r="AL393" s="215"/>
      <c r="AM393" s="216"/>
      <c r="AO393" s="245"/>
      <c r="AP393" s="245"/>
      <c r="AQ393" s="245"/>
      <c r="AR393" s="245"/>
      <c r="AS393" s="245"/>
      <c r="AT393" s="245"/>
      <c r="AU393" s="245"/>
      <c r="AV393" s="245"/>
      <c r="AW393" s="245"/>
      <c r="AX393" s="245"/>
      <c r="AZ393" s="245"/>
      <c r="BA393" s="283"/>
      <c r="BB393" s="283"/>
      <c r="BC393" s="239"/>
      <c r="BD393" s="283"/>
      <c r="BE393" s="239"/>
      <c r="BF393" s="239"/>
      <c r="BG393" s="239"/>
      <c r="BJ393" s="245"/>
      <c r="BK393" s="245"/>
      <c r="BM393" s="245"/>
      <c r="BN393" s="245"/>
      <c r="BO393" s="245"/>
      <c r="BP393" s="245"/>
      <c r="BQ393" s="245"/>
    </row>
    <row r="394" spans="1:69" ht="13.5" hidden="1" customHeight="1" x14ac:dyDescent="0.2">
      <c r="A394" s="842"/>
      <c r="C394" s="569"/>
      <c r="D394" s="570"/>
      <c r="E394" s="571"/>
      <c r="G394" s="204"/>
      <c r="H394" s="204"/>
      <c r="I394" s="199"/>
      <c r="J394" s="205"/>
      <c r="L394" s="206"/>
      <c r="M394" s="201"/>
      <c r="N394" s="207"/>
      <c r="O394" s="220"/>
      <c r="P394" s="169"/>
      <c r="Q394" s="169"/>
      <c r="R394" s="169"/>
      <c r="S394" s="169"/>
      <c r="Y394" s="210"/>
      <c r="Z394" s="211"/>
      <c r="AA394" s="210"/>
      <c r="AB394" s="210"/>
      <c r="AC394" s="210"/>
      <c r="AD394" s="212"/>
      <c r="AE394" s="210"/>
      <c r="AG394" s="214"/>
      <c r="AH394" s="214"/>
      <c r="AI394" s="215"/>
      <c r="AJ394" s="214"/>
      <c r="AK394" s="214"/>
      <c r="AL394" s="215"/>
      <c r="AM394" s="216"/>
      <c r="AO394" s="245"/>
      <c r="AP394" s="245"/>
      <c r="AQ394" s="245"/>
      <c r="AR394" s="245"/>
      <c r="AS394" s="245"/>
      <c r="AT394" s="245"/>
      <c r="AU394" s="245"/>
      <c r="AV394" s="245"/>
      <c r="AW394" s="245"/>
      <c r="AX394" s="245"/>
      <c r="AZ394" s="245"/>
      <c r="BA394" s="283"/>
      <c r="BB394" s="283"/>
      <c r="BC394" s="239"/>
      <c r="BD394" s="283"/>
      <c r="BE394" s="239"/>
      <c r="BF394" s="239"/>
      <c r="BG394" s="239"/>
      <c r="BJ394" s="245"/>
      <c r="BK394" s="245"/>
      <c r="BM394" s="245"/>
      <c r="BN394" s="245"/>
      <c r="BO394" s="245"/>
      <c r="BP394" s="245"/>
      <c r="BQ394" s="245"/>
    </row>
    <row r="395" spans="1:69" ht="13.5" hidden="1" customHeight="1" x14ac:dyDescent="0.2">
      <c r="A395" s="842"/>
      <c r="I395" s="169"/>
      <c r="J395" s="169"/>
      <c r="K395" s="169"/>
      <c r="L395" s="169"/>
      <c r="M395" s="169"/>
      <c r="N395" s="169"/>
      <c r="O395" s="169"/>
      <c r="P395" s="169"/>
      <c r="Q395" s="169"/>
      <c r="R395" s="169"/>
      <c r="S395" s="169"/>
      <c r="Y395" s="229"/>
      <c r="Z395" s="230"/>
      <c r="AG395" s="233"/>
      <c r="AH395" s="233"/>
      <c r="AI395" s="234"/>
      <c r="AJ395" s="233"/>
      <c r="AK395" s="233"/>
      <c r="AL395" s="234"/>
      <c r="AM395" s="234"/>
      <c r="AO395" s="245"/>
      <c r="AP395" s="245"/>
      <c r="AQ395" s="245"/>
      <c r="AR395" s="245"/>
      <c r="AS395" s="245"/>
      <c r="AT395" s="245"/>
      <c r="AU395" s="245"/>
      <c r="AV395" s="245"/>
      <c r="AW395" s="245"/>
      <c r="AX395" s="245"/>
      <c r="AZ395" s="245"/>
      <c r="BA395" s="283"/>
      <c r="BB395" s="283"/>
      <c r="BC395" s="239"/>
      <c r="BD395" s="283"/>
      <c r="BE395" s="239"/>
      <c r="BF395" s="239"/>
      <c r="BG395" s="239"/>
      <c r="BJ395" s="245"/>
      <c r="BK395" s="245"/>
      <c r="BM395" s="245"/>
      <c r="BN395" s="245"/>
      <c r="BO395" s="245"/>
      <c r="BP395" s="245"/>
      <c r="BQ395" s="245"/>
    </row>
    <row r="396" spans="1:69" ht="13.5" hidden="1" customHeight="1" x14ac:dyDescent="0.2">
      <c r="A396" s="842"/>
      <c r="I396" s="170"/>
      <c r="J396" s="171"/>
      <c r="K396" s="171"/>
      <c r="L396" s="171"/>
      <c r="M396" s="170"/>
      <c r="N396" s="172"/>
      <c r="Y396" s="229"/>
      <c r="Z396" s="230"/>
      <c r="AA396" s="231"/>
      <c r="AB396" s="231"/>
      <c r="AC396" s="231"/>
      <c r="AD396" s="232"/>
      <c r="AE396" s="231"/>
      <c r="AG396" s="233"/>
      <c r="AH396" s="233"/>
      <c r="AI396" s="234"/>
      <c r="AJ396" s="233"/>
      <c r="AK396" s="233"/>
      <c r="AL396" s="234"/>
      <c r="AM396" s="234"/>
      <c r="AO396" s="245"/>
      <c r="AP396" s="245"/>
      <c r="AQ396" s="245"/>
      <c r="AR396" s="245"/>
      <c r="AS396" s="245"/>
      <c r="AT396" s="245"/>
      <c r="AU396" s="245"/>
      <c r="AZ396" s="245"/>
      <c r="BA396" s="283"/>
      <c r="BB396" s="283"/>
      <c r="BC396" s="239"/>
      <c r="BD396" s="283"/>
      <c r="BE396" s="239"/>
      <c r="BF396" s="239"/>
      <c r="BG396" s="239"/>
      <c r="BJ396" s="245"/>
      <c r="BK396" s="245"/>
      <c r="BM396" s="245"/>
      <c r="BN396" s="245"/>
      <c r="BO396" s="245"/>
      <c r="BP396" s="245"/>
      <c r="BQ396" s="245"/>
    </row>
    <row r="397" spans="1:69" ht="13.5" hidden="1" customHeight="1" x14ac:dyDescent="0.2">
      <c r="A397" s="842"/>
      <c r="B397" s="309"/>
      <c r="C397" s="309"/>
      <c r="D397" s="544"/>
      <c r="E397" s="544"/>
      <c r="F397" s="544"/>
      <c r="G397" s="544"/>
      <c r="H397" s="544"/>
      <c r="I397" s="844"/>
      <c r="J397" s="844"/>
      <c r="K397" s="844"/>
      <c r="L397" s="844"/>
      <c r="M397" s="564"/>
      <c r="N397" s="565"/>
      <c r="O397" s="566"/>
      <c r="P397" s="169"/>
      <c r="Q397" s="169"/>
      <c r="R397" s="169"/>
      <c r="S397" s="169"/>
      <c r="AA397" s="231"/>
      <c r="AP397" s="245"/>
      <c r="AQ397" s="245"/>
      <c r="AR397" s="245"/>
      <c r="AS397" s="245"/>
      <c r="AU397" s="243"/>
      <c r="AZ397" s="245"/>
      <c r="BA397" s="283"/>
      <c r="BB397" s="283"/>
      <c r="BC397" s="239"/>
      <c r="BD397" s="283"/>
      <c r="BE397" s="239"/>
      <c r="BF397" s="239"/>
      <c r="BG397" s="239"/>
      <c r="BJ397" s="245"/>
      <c r="BK397" s="245"/>
      <c r="BM397" s="245"/>
      <c r="BN397" s="245"/>
      <c r="BO397" s="245"/>
      <c r="BP397" s="245"/>
      <c r="BQ397" s="245"/>
    </row>
    <row r="398" spans="1:69" ht="21" hidden="1" customHeight="1" x14ac:dyDescent="0.2">
      <c r="A398" s="842"/>
      <c r="I398" s="567"/>
      <c r="K398" s="568"/>
      <c r="O398" s="169"/>
      <c r="P398" s="169"/>
      <c r="Q398" s="169"/>
      <c r="R398" s="169"/>
      <c r="S398" s="169"/>
      <c r="AA398" s="231"/>
      <c r="AO398" s="245"/>
      <c r="AP398" s="245"/>
      <c r="AQ398" s="245"/>
      <c r="AR398" s="245"/>
      <c r="AS398" s="245"/>
      <c r="AT398" s="245"/>
      <c r="AU398" s="245"/>
      <c r="AZ398" s="245"/>
      <c r="BA398" s="283"/>
      <c r="BB398" s="283"/>
      <c r="BC398" s="239"/>
      <c r="BD398" s="283"/>
      <c r="BE398" s="239"/>
      <c r="BF398" s="239"/>
      <c r="BG398" s="239"/>
      <c r="BJ398" s="245"/>
      <c r="BK398" s="245"/>
      <c r="BM398" s="245"/>
      <c r="BN398" s="245"/>
      <c r="BO398" s="245"/>
      <c r="BP398" s="245"/>
      <c r="BQ398" s="245"/>
    </row>
    <row r="399" spans="1:69" ht="13.5" hidden="1" customHeight="1" x14ac:dyDescent="0.2">
      <c r="A399" s="842"/>
      <c r="C399" s="569"/>
      <c r="D399" s="570"/>
      <c r="E399" s="571"/>
      <c r="G399" s="204"/>
      <c r="H399" s="204"/>
      <c r="I399" s="199"/>
      <c r="J399" s="205"/>
      <c r="L399" s="206"/>
      <c r="M399" s="201"/>
      <c r="N399" s="207"/>
      <c r="O399" s="208"/>
      <c r="P399" s="169"/>
      <c r="Q399" s="169"/>
      <c r="R399" s="169"/>
      <c r="S399" s="169"/>
      <c r="T399" s="209"/>
      <c r="U399" s="209"/>
      <c r="V399" s="209"/>
      <c r="W399" s="209"/>
      <c r="Y399" s="210"/>
      <c r="Z399" s="211"/>
      <c r="AA399" s="210"/>
      <c r="AB399" s="210"/>
      <c r="AC399" s="210"/>
      <c r="AD399" s="212"/>
      <c r="AE399" s="210"/>
      <c r="AF399" s="213"/>
      <c r="AG399" s="214"/>
      <c r="AH399" s="214"/>
      <c r="AI399" s="215"/>
      <c r="AJ399" s="214"/>
      <c r="AK399" s="214"/>
      <c r="AL399" s="215"/>
      <c r="AM399" s="216"/>
      <c r="AO399" s="245"/>
      <c r="AP399" s="245"/>
      <c r="AQ399" s="245"/>
      <c r="AR399" s="245"/>
      <c r="AS399" s="245"/>
      <c r="AT399" s="245"/>
      <c r="AU399" s="245"/>
      <c r="AZ399" s="245"/>
      <c r="BA399" s="283"/>
      <c r="BB399" s="283"/>
      <c r="BC399" s="239"/>
      <c r="BD399" s="283"/>
      <c r="BE399" s="239"/>
      <c r="BF399" s="239"/>
      <c r="BG399" s="239"/>
      <c r="BJ399" s="245"/>
      <c r="BK399" s="245"/>
      <c r="BM399" s="245"/>
      <c r="BN399" s="245"/>
      <c r="BO399" s="245"/>
      <c r="BP399" s="245"/>
      <c r="BQ399" s="245"/>
    </row>
    <row r="400" spans="1:69" ht="13.5" hidden="1" customHeight="1" x14ac:dyDescent="0.2">
      <c r="A400" s="842"/>
      <c r="C400" s="569"/>
      <c r="D400" s="570"/>
      <c r="E400" s="571"/>
      <c r="G400" s="204"/>
      <c r="H400" s="204"/>
      <c r="I400" s="199"/>
      <c r="J400" s="205"/>
      <c r="L400" s="206"/>
      <c r="M400" s="201"/>
      <c r="N400" s="207"/>
      <c r="O400" s="220"/>
      <c r="P400" s="169"/>
      <c r="Q400" s="169"/>
      <c r="R400" s="169"/>
      <c r="S400" s="169"/>
      <c r="T400" s="209"/>
      <c r="U400" s="209"/>
      <c r="V400" s="209"/>
      <c r="W400" s="209"/>
      <c r="Y400" s="210"/>
      <c r="Z400" s="211"/>
      <c r="AA400" s="210"/>
      <c r="AB400" s="210"/>
      <c r="AC400" s="210"/>
      <c r="AD400" s="212"/>
      <c r="AE400" s="210"/>
      <c r="AF400" s="213"/>
      <c r="AG400" s="214"/>
      <c r="AH400" s="214"/>
      <c r="AI400" s="215"/>
      <c r="AJ400" s="214"/>
      <c r="AK400" s="214"/>
      <c r="AL400" s="215"/>
      <c r="AM400" s="216"/>
      <c r="AO400" s="245"/>
      <c r="AP400" s="245"/>
      <c r="AQ400" s="245"/>
      <c r="AR400" s="245"/>
      <c r="AS400" s="245"/>
      <c r="AT400" s="245"/>
      <c r="AU400" s="245"/>
      <c r="AZ400" s="245"/>
      <c r="BA400" s="283"/>
      <c r="BB400" s="283"/>
      <c r="BC400" s="239"/>
      <c r="BD400" s="283"/>
      <c r="BE400" s="239"/>
      <c r="BF400" s="239"/>
      <c r="BG400" s="239"/>
      <c r="BJ400" s="245"/>
      <c r="BK400" s="245"/>
      <c r="BM400" s="245"/>
      <c r="BN400" s="245"/>
      <c r="BO400" s="245"/>
      <c r="BP400" s="245"/>
      <c r="BQ400" s="245"/>
    </row>
    <row r="401" spans="1:69" ht="13.5" hidden="1" customHeight="1" x14ac:dyDescent="0.2">
      <c r="A401" s="842"/>
      <c r="C401" s="569"/>
      <c r="D401" s="570"/>
      <c r="E401" s="571"/>
      <c r="G401" s="204"/>
      <c r="H401" s="204"/>
      <c r="I401" s="199"/>
      <c r="J401" s="205"/>
      <c r="L401" s="206"/>
      <c r="M401" s="201"/>
      <c r="N401" s="207"/>
      <c r="O401" s="220"/>
      <c r="P401" s="169"/>
      <c r="Q401" s="169"/>
      <c r="R401" s="169"/>
      <c r="S401" s="169"/>
      <c r="T401" s="209"/>
      <c r="U401" s="209"/>
      <c r="V401" s="209"/>
      <c r="W401" s="209"/>
      <c r="Y401" s="210"/>
      <c r="Z401" s="211"/>
      <c r="AA401" s="210"/>
      <c r="AB401" s="210"/>
      <c r="AC401" s="210"/>
      <c r="AD401" s="212"/>
      <c r="AE401" s="210"/>
      <c r="AF401" s="213"/>
      <c r="AG401" s="214"/>
      <c r="AH401" s="214"/>
      <c r="AI401" s="215"/>
      <c r="AJ401" s="214"/>
      <c r="AK401" s="214"/>
      <c r="AL401" s="215"/>
      <c r="AM401" s="216"/>
      <c r="AO401" s="245"/>
      <c r="AP401" s="245"/>
      <c r="AQ401" s="245"/>
      <c r="AR401" s="245"/>
      <c r="AS401" s="245"/>
      <c r="AT401" s="245"/>
      <c r="AU401" s="245"/>
      <c r="AV401" s="245"/>
      <c r="AW401" s="245"/>
      <c r="AX401" s="245"/>
      <c r="BA401" s="283"/>
      <c r="BB401" s="283"/>
      <c r="BC401" s="239"/>
      <c r="BD401" s="283"/>
      <c r="BE401" s="239"/>
      <c r="BF401" s="239"/>
      <c r="BG401" s="239"/>
      <c r="BJ401" s="245"/>
    </row>
    <row r="402" spans="1:69" ht="13.5" hidden="1" customHeight="1" x14ac:dyDescent="0.2">
      <c r="A402" s="842"/>
      <c r="C402" s="569"/>
      <c r="D402" s="570"/>
      <c r="E402" s="571"/>
      <c r="G402" s="204"/>
      <c r="H402" s="204"/>
      <c r="I402" s="199"/>
      <c r="J402" s="205"/>
      <c r="L402" s="206"/>
      <c r="M402" s="201"/>
      <c r="N402" s="207"/>
      <c r="O402" s="220"/>
      <c r="P402" s="169"/>
      <c r="Q402" s="169"/>
      <c r="R402" s="169"/>
      <c r="S402" s="169"/>
      <c r="T402" s="209"/>
      <c r="U402" s="209"/>
      <c r="Y402" s="210"/>
      <c r="Z402" s="211"/>
      <c r="AA402" s="210"/>
      <c r="AB402" s="210"/>
      <c r="AC402" s="210"/>
      <c r="AD402" s="212"/>
      <c r="AE402" s="210"/>
      <c r="AF402" s="213"/>
      <c r="AG402" s="214"/>
      <c r="AH402" s="214"/>
      <c r="AI402" s="215"/>
      <c r="AJ402" s="214"/>
      <c r="AK402" s="214"/>
      <c r="AL402" s="215"/>
      <c r="AM402" s="216"/>
      <c r="AO402" s="245"/>
      <c r="AP402" s="245"/>
      <c r="AQ402" s="245"/>
      <c r="AR402" s="245"/>
      <c r="AS402" s="245"/>
      <c r="AT402" s="245"/>
      <c r="AU402" s="245"/>
      <c r="AV402" s="245"/>
      <c r="AW402" s="245"/>
      <c r="AX402" s="245"/>
      <c r="AZ402" s="245"/>
      <c r="BA402" s="283"/>
      <c r="BB402" s="283"/>
      <c r="BC402" s="239"/>
      <c r="BD402" s="283"/>
      <c r="BE402" s="239"/>
      <c r="BF402" s="239"/>
      <c r="BG402" s="239"/>
      <c r="BJ402" s="245"/>
      <c r="BK402" s="245"/>
      <c r="BM402" s="245"/>
      <c r="BN402" s="245"/>
      <c r="BO402" s="245"/>
      <c r="BP402" s="245"/>
      <c r="BQ402" s="245"/>
    </row>
    <row r="403" spans="1:69" ht="21" hidden="1" customHeight="1" x14ac:dyDescent="0.2">
      <c r="A403" s="842"/>
      <c r="G403" s="576"/>
      <c r="H403" s="576"/>
      <c r="I403" s="567"/>
      <c r="K403" s="568"/>
      <c r="N403" s="223"/>
      <c r="O403" s="169"/>
      <c r="P403" s="169"/>
      <c r="Q403" s="169"/>
      <c r="R403" s="169"/>
      <c r="S403" s="169"/>
      <c r="T403" s="209"/>
      <c r="U403" s="209"/>
      <c r="V403" s="209"/>
      <c r="W403" s="209"/>
      <c r="Y403" s="229"/>
      <c r="Z403" s="230"/>
      <c r="AA403" s="231"/>
      <c r="AB403" s="231"/>
      <c r="AC403" s="231"/>
      <c r="AD403" s="232"/>
      <c r="AE403" s="231"/>
      <c r="AG403" s="233"/>
      <c r="AH403" s="233"/>
      <c r="AI403" s="234"/>
      <c r="AJ403" s="233"/>
      <c r="AK403" s="233"/>
      <c r="AL403" s="234"/>
      <c r="AM403" s="234"/>
      <c r="AO403" s="245"/>
      <c r="AP403" s="245"/>
      <c r="AQ403" s="245"/>
      <c r="AR403" s="245"/>
      <c r="AS403" s="245"/>
      <c r="AT403" s="245"/>
      <c r="AU403" s="245"/>
      <c r="AV403" s="245"/>
      <c r="AW403" s="245"/>
      <c r="AX403" s="245"/>
      <c r="AZ403" s="245"/>
      <c r="BA403" s="283"/>
      <c r="BB403" s="283"/>
      <c r="BC403" s="239"/>
      <c r="BD403" s="283"/>
      <c r="BE403" s="239"/>
      <c r="BF403" s="239"/>
      <c r="BG403" s="239"/>
      <c r="BJ403" s="245"/>
      <c r="BK403" s="245"/>
      <c r="BM403" s="245"/>
      <c r="BN403" s="245"/>
      <c r="BO403" s="245"/>
      <c r="BP403" s="245"/>
      <c r="BQ403" s="245"/>
    </row>
    <row r="404" spans="1:69" ht="13.5" hidden="1" customHeight="1" x14ac:dyDescent="0.2">
      <c r="A404" s="842"/>
      <c r="C404" s="569"/>
      <c r="D404" s="570"/>
      <c r="E404" s="571"/>
      <c r="G404" s="204"/>
      <c r="H404" s="204"/>
      <c r="I404" s="199"/>
      <c r="J404" s="205"/>
      <c r="L404" s="206"/>
      <c r="M404" s="201"/>
      <c r="N404" s="207"/>
      <c r="O404" s="208"/>
      <c r="P404" s="169"/>
      <c r="Q404" s="169"/>
      <c r="R404" s="169"/>
      <c r="S404" s="169"/>
      <c r="Y404" s="210"/>
      <c r="Z404" s="211"/>
      <c r="AA404" s="210"/>
      <c r="AB404" s="210"/>
      <c r="AC404" s="210"/>
      <c r="AD404" s="212"/>
      <c r="AE404" s="210"/>
      <c r="AG404" s="214"/>
      <c r="AH404" s="214"/>
      <c r="AI404" s="215"/>
      <c r="AJ404" s="214"/>
      <c r="AK404" s="214"/>
      <c r="AL404" s="215"/>
      <c r="AM404" s="216"/>
      <c r="AO404" s="245"/>
      <c r="AP404" s="245"/>
      <c r="AQ404" s="245"/>
      <c r="AR404" s="245"/>
      <c r="AS404" s="245"/>
      <c r="AT404" s="245"/>
      <c r="AU404" s="245"/>
      <c r="AV404" s="245"/>
      <c r="AW404" s="245"/>
      <c r="AX404" s="245"/>
      <c r="AZ404" s="245"/>
      <c r="BA404" s="283"/>
      <c r="BB404" s="283"/>
      <c r="BC404" s="239"/>
      <c r="BD404" s="283"/>
      <c r="BE404" s="239"/>
      <c r="BF404" s="239"/>
      <c r="BG404" s="239"/>
      <c r="BJ404" s="245"/>
      <c r="BK404" s="245"/>
      <c r="BM404" s="245"/>
      <c r="BN404" s="245"/>
      <c r="BO404" s="245"/>
      <c r="BP404" s="245"/>
      <c r="BQ404" s="245"/>
    </row>
    <row r="405" spans="1:69" ht="13.5" hidden="1" customHeight="1" x14ac:dyDescent="0.2">
      <c r="A405" s="842"/>
      <c r="C405" s="569"/>
      <c r="D405" s="570"/>
      <c r="E405" s="571"/>
      <c r="G405" s="204"/>
      <c r="H405" s="204"/>
      <c r="I405" s="199"/>
      <c r="J405" s="205"/>
      <c r="L405" s="206"/>
      <c r="M405" s="201"/>
      <c r="N405" s="207"/>
      <c r="O405" s="220"/>
      <c r="P405" s="169"/>
      <c r="Q405" s="169"/>
      <c r="R405" s="169"/>
      <c r="S405" s="169"/>
      <c r="Y405" s="210"/>
      <c r="Z405" s="211"/>
      <c r="AA405" s="210"/>
      <c r="AB405" s="210"/>
      <c r="AC405" s="210"/>
      <c r="AD405" s="212"/>
      <c r="AE405" s="210"/>
      <c r="AG405" s="214"/>
      <c r="AH405" s="214"/>
      <c r="AI405" s="215"/>
      <c r="AJ405" s="214"/>
      <c r="AK405" s="214"/>
      <c r="AL405" s="215"/>
      <c r="AM405" s="216"/>
      <c r="AO405" s="245"/>
      <c r="AP405" s="245"/>
      <c r="AQ405" s="245"/>
      <c r="AR405" s="245"/>
      <c r="AS405" s="245"/>
      <c r="AT405" s="245"/>
      <c r="AU405" s="245"/>
      <c r="AV405" s="245"/>
      <c r="AW405" s="245"/>
      <c r="AX405" s="245"/>
      <c r="AZ405" s="245"/>
      <c r="BA405" s="283"/>
      <c r="BB405" s="283"/>
      <c r="BC405" s="239"/>
      <c r="BD405" s="283"/>
      <c r="BE405" s="239"/>
      <c r="BF405" s="239"/>
      <c r="BG405" s="239"/>
      <c r="BJ405" s="245"/>
      <c r="BK405" s="245"/>
      <c r="BM405" s="245"/>
      <c r="BN405" s="245"/>
      <c r="BO405" s="245"/>
      <c r="BP405" s="245"/>
      <c r="BQ405" s="245"/>
    </row>
    <row r="406" spans="1:69" ht="13.5" hidden="1" customHeight="1" x14ac:dyDescent="0.2">
      <c r="A406" s="842"/>
      <c r="C406" s="569"/>
      <c r="D406" s="570"/>
      <c r="E406" s="571"/>
      <c r="G406" s="204"/>
      <c r="H406" s="204"/>
      <c r="I406" s="199"/>
      <c r="J406" s="205"/>
      <c r="L406" s="206"/>
      <c r="M406" s="201"/>
      <c r="N406" s="207"/>
      <c r="O406" s="220"/>
      <c r="P406" s="169"/>
      <c r="Q406" s="169"/>
      <c r="R406" s="169"/>
      <c r="S406" s="169"/>
      <c r="Y406" s="210"/>
      <c r="Z406" s="211"/>
      <c r="AA406" s="210"/>
      <c r="AB406" s="210"/>
      <c r="AC406" s="210"/>
      <c r="AD406" s="212"/>
      <c r="AE406" s="210"/>
      <c r="AG406" s="214"/>
      <c r="AH406" s="214"/>
      <c r="AI406" s="215"/>
      <c r="AJ406" s="214"/>
      <c r="AK406" s="214"/>
      <c r="AL406" s="215"/>
      <c r="AM406" s="216"/>
      <c r="AO406" s="245"/>
      <c r="AP406" s="245"/>
      <c r="AQ406" s="245"/>
      <c r="AR406" s="245"/>
      <c r="AS406" s="245"/>
      <c r="AT406" s="245"/>
      <c r="AU406" s="245"/>
      <c r="AV406" s="245"/>
      <c r="AW406" s="245"/>
      <c r="AX406" s="245"/>
      <c r="AZ406" s="245"/>
      <c r="BA406" s="283"/>
      <c r="BB406" s="283"/>
      <c r="BC406" s="239"/>
      <c r="BD406" s="283"/>
      <c r="BE406" s="239"/>
      <c r="BF406" s="239"/>
      <c r="BG406" s="239"/>
      <c r="BJ406" s="245"/>
      <c r="BK406" s="245"/>
      <c r="BM406" s="245"/>
      <c r="BN406" s="245"/>
      <c r="BO406" s="245"/>
      <c r="BP406" s="245"/>
      <c r="BQ406" s="245"/>
    </row>
    <row r="407" spans="1:69" ht="13.5" hidden="1" customHeight="1" x14ac:dyDescent="0.2">
      <c r="A407" s="842"/>
      <c r="C407" s="569"/>
      <c r="D407" s="570"/>
      <c r="E407" s="571"/>
      <c r="G407" s="204"/>
      <c r="H407" s="204"/>
      <c r="I407" s="199"/>
      <c r="J407" s="205"/>
      <c r="L407" s="206"/>
      <c r="M407" s="201"/>
      <c r="N407" s="207"/>
      <c r="O407" s="220"/>
      <c r="P407" s="169"/>
      <c r="Q407" s="169"/>
      <c r="R407" s="169"/>
      <c r="S407" s="169"/>
      <c r="Y407" s="210"/>
      <c r="Z407" s="211"/>
      <c r="AA407" s="210"/>
      <c r="AB407" s="210"/>
      <c r="AC407" s="210"/>
      <c r="AD407" s="212"/>
      <c r="AE407" s="210"/>
      <c r="AG407" s="214"/>
      <c r="AH407" s="214"/>
      <c r="AI407" s="215"/>
      <c r="AJ407" s="214"/>
      <c r="AK407" s="214"/>
      <c r="AL407" s="215"/>
      <c r="AM407" s="216"/>
      <c r="AO407" s="245"/>
      <c r="AP407" s="245"/>
      <c r="AQ407" s="245"/>
      <c r="AR407" s="245"/>
      <c r="AS407" s="245"/>
      <c r="AT407" s="245"/>
      <c r="AU407" s="245"/>
      <c r="AV407" s="245"/>
      <c r="AW407" s="245"/>
      <c r="AX407" s="245"/>
      <c r="AZ407" s="245"/>
      <c r="BA407" s="283"/>
      <c r="BB407" s="283"/>
      <c r="BC407" s="239"/>
      <c r="BD407" s="283"/>
      <c r="BE407" s="239"/>
      <c r="BF407" s="239"/>
      <c r="BG407" s="239"/>
      <c r="BJ407" s="245"/>
      <c r="BK407" s="245"/>
      <c r="BM407" s="245"/>
      <c r="BN407" s="245"/>
      <c r="BO407" s="245"/>
      <c r="BP407" s="245"/>
      <c r="BQ407" s="245"/>
    </row>
    <row r="408" spans="1:69" ht="21" hidden="1" customHeight="1" x14ac:dyDescent="0.2">
      <c r="A408" s="842"/>
      <c r="G408" s="576"/>
      <c r="H408" s="576"/>
      <c r="I408" s="567"/>
      <c r="K408" s="568"/>
      <c r="N408" s="169"/>
      <c r="O408" s="169"/>
      <c r="P408" s="169"/>
      <c r="Q408" s="169"/>
      <c r="R408" s="169"/>
      <c r="S408" s="169"/>
      <c r="Y408" s="229"/>
      <c r="Z408" s="230"/>
      <c r="AA408" s="231"/>
      <c r="AB408" s="231"/>
      <c r="AC408" s="231"/>
      <c r="AD408" s="232"/>
      <c r="AE408" s="231"/>
      <c r="AG408" s="233"/>
      <c r="AH408" s="233"/>
      <c r="AI408" s="234"/>
      <c r="AJ408" s="233"/>
      <c r="AK408" s="233"/>
      <c r="AL408" s="234"/>
      <c r="AM408" s="234"/>
      <c r="AO408" s="245"/>
      <c r="AP408" s="245"/>
      <c r="AQ408" s="245"/>
      <c r="AR408" s="245"/>
      <c r="AS408" s="245"/>
      <c r="AT408" s="245"/>
      <c r="AU408" s="245"/>
      <c r="AV408" s="245"/>
      <c r="AW408" s="245"/>
      <c r="AX408" s="245"/>
      <c r="AZ408" s="245"/>
      <c r="BA408" s="283"/>
      <c r="BB408" s="283"/>
      <c r="BC408" s="239"/>
      <c r="BD408" s="283"/>
      <c r="BE408" s="239"/>
      <c r="BF408" s="239"/>
      <c r="BG408" s="239"/>
      <c r="BJ408" s="245"/>
      <c r="BK408" s="245"/>
      <c r="BM408" s="245"/>
      <c r="BN408" s="245"/>
      <c r="BO408" s="245"/>
      <c r="BP408" s="245"/>
      <c r="BQ408" s="245"/>
    </row>
    <row r="409" spans="1:69" ht="13.5" hidden="1" customHeight="1" x14ac:dyDescent="0.2">
      <c r="A409" s="842"/>
      <c r="C409" s="569"/>
      <c r="D409" s="570"/>
      <c r="E409" s="571"/>
      <c r="G409" s="204"/>
      <c r="H409" s="204"/>
      <c r="I409" s="199"/>
      <c r="J409" s="205"/>
      <c r="L409" s="206"/>
      <c r="M409" s="201"/>
      <c r="N409" s="207"/>
      <c r="O409" s="208"/>
      <c r="P409" s="169"/>
      <c r="Q409" s="169"/>
      <c r="R409" s="169"/>
      <c r="S409" s="169"/>
      <c r="Y409" s="210"/>
      <c r="Z409" s="211"/>
      <c r="AA409" s="210"/>
      <c r="AB409" s="210"/>
      <c r="AC409" s="210"/>
      <c r="AD409" s="212"/>
      <c r="AE409" s="210"/>
      <c r="AG409" s="214"/>
      <c r="AH409" s="214"/>
      <c r="AI409" s="215"/>
      <c r="AJ409" s="214"/>
      <c r="AK409" s="214"/>
      <c r="AL409" s="215"/>
      <c r="AM409" s="216"/>
      <c r="AO409" s="245"/>
      <c r="AP409" s="245"/>
      <c r="AQ409" s="245"/>
      <c r="AR409" s="245"/>
      <c r="AS409" s="245"/>
      <c r="AT409" s="245"/>
      <c r="AU409" s="245"/>
      <c r="AV409" s="245"/>
      <c r="AW409" s="245"/>
      <c r="AX409" s="245"/>
      <c r="AZ409" s="245"/>
      <c r="BA409" s="283"/>
      <c r="BB409" s="283"/>
      <c r="BC409" s="239"/>
      <c r="BD409" s="283"/>
      <c r="BE409" s="239"/>
      <c r="BF409" s="239"/>
      <c r="BG409" s="239"/>
      <c r="BJ409" s="245"/>
      <c r="BK409" s="245"/>
      <c r="BM409" s="245"/>
      <c r="BN409" s="245"/>
      <c r="BO409" s="245"/>
      <c r="BP409" s="245"/>
      <c r="BQ409" s="245"/>
    </row>
    <row r="410" spans="1:69" ht="13.5" hidden="1" customHeight="1" x14ac:dyDescent="0.2">
      <c r="A410" s="842"/>
      <c r="C410" s="569"/>
      <c r="D410" s="570"/>
      <c r="E410" s="571"/>
      <c r="G410" s="204"/>
      <c r="H410" s="204"/>
      <c r="I410" s="199"/>
      <c r="J410" s="205"/>
      <c r="L410" s="206"/>
      <c r="M410" s="201"/>
      <c r="N410" s="207"/>
      <c r="O410" s="220"/>
      <c r="P410" s="169"/>
      <c r="Q410" s="169"/>
      <c r="R410" s="169"/>
      <c r="S410" s="169"/>
      <c r="Y410" s="210"/>
      <c r="Z410" s="211"/>
      <c r="AA410" s="210"/>
      <c r="AB410" s="210"/>
      <c r="AC410" s="210"/>
      <c r="AD410" s="212"/>
      <c r="AE410" s="210"/>
      <c r="AG410" s="214"/>
      <c r="AH410" s="214"/>
      <c r="AI410" s="215"/>
      <c r="AJ410" s="214"/>
      <c r="AK410" s="214"/>
      <c r="AL410" s="215"/>
      <c r="AM410" s="216"/>
      <c r="AO410" s="245"/>
      <c r="AP410" s="245"/>
      <c r="AQ410" s="245"/>
      <c r="AR410" s="245"/>
      <c r="AS410" s="245"/>
      <c r="AT410" s="245"/>
      <c r="AU410" s="245"/>
      <c r="AV410" s="245"/>
      <c r="AW410" s="245"/>
      <c r="AX410" s="245"/>
      <c r="AZ410" s="245"/>
      <c r="BA410" s="283"/>
      <c r="BB410" s="283"/>
      <c r="BC410" s="239"/>
      <c r="BD410" s="283"/>
      <c r="BE410" s="239"/>
      <c r="BF410" s="239"/>
      <c r="BG410" s="239"/>
      <c r="BJ410" s="245"/>
      <c r="BK410" s="245"/>
      <c r="BM410" s="245"/>
      <c r="BN410" s="245"/>
      <c r="BO410" s="245"/>
      <c r="BP410" s="245"/>
      <c r="BQ410" s="245"/>
    </row>
    <row r="411" spans="1:69" ht="13.5" hidden="1" customHeight="1" x14ac:dyDescent="0.2">
      <c r="A411" s="842"/>
      <c r="C411" s="569"/>
      <c r="D411" s="570"/>
      <c r="E411" s="571"/>
      <c r="G411" s="204"/>
      <c r="H411" s="204"/>
      <c r="I411" s="199"/>
      <c r="J411" s="205"/>
      <c r="L411" s="206"/>
      <c r="M411" s="201"/>
      <c r="N411" s="207"/>
      <c r="O411" s="220"/>
      <c r="P411" s="169"/>
      <c r="Q411" s="169"/>
      <c r="R411" s="169"/>
      <c r="S411" s="169"/>
      <c r="Y411" s="210"/>
      <c r="Z411" s="211"/>
      <c r="AA411" s="210"/>
      <c r="AB411" s="210"/>
      <c r="AC411" s="210"/>
      <c r="AD411" s="212"/>
      <c r="AE411" s="210"/>
      <c r="AG411" s="214"/>
      <c r="AH411" s="214"/>
      <c r="AI411" s="215"/>
      <c r="AJ411" s="214"/>
      <c r="AK411" s="214"/>
      <c r="AL411" s="215"/>
      <c r="AM411" s="216"/>
      <c r="AO411" s="245"/>
      <c r="AP411" s="245"/>
      <c r="AQ411" s="245"/>
      <c r="AR411" s="245"/>
      <c r="AS411" s="245"/>
      <c r="AT411" s="245"/>
      <c r="AU411" s="245"/>
      <c r="AV411" s="245"/>
      <c r="AW411" s="245"/>
      <c r="AX411" s="245"/>
      <c r="AZ411" s="245"/>
      <c r="BA411" s="283"/>
      <c r="BB411" s="283"/>
      <c r="BC411" s="239"/>
      <c r="BD411" s="283"/>
      <c r="BE411" s="239"/>
      <c r="BF411" s="239"/>
      <c r="BG411" s="239"/>
      <c r="BJ411" s="245"/>
      <c r="BK411" s="245"/>
      <c r="BM411" s="245"/>
      <c r="BN411" s="245"/>
      <c r="BO411" s="245"/>
      <c r="BP411" s="245"/>
      <c r="BQ411" s="245"/>
    </row>
    <row r="412" spans="1:69" ht="13.5" hidden="1" customHeight="1" x14ac:dyDescent="0.2">
      <c r="A412" s="842"/>
      <c r="C412" s="569"/>
      <c r="D412" s="570"/>
      <c r="E412" s="571"/>
      <c r="G412" s="204"/>
      <c r="H412" s="204"/>
      <c r="I412" s="199"/>
      <c r="J412" s="205"/>
      <c r="L412" s="206"/>
      <c r="M412" s="201"/>
      <c r="N412" s="207"/>
      <c r="O412" s="220"/>
      <c r="P412" s="169"/>
      <c r="Q412" s="169"/>
      <c r="R412" s="169"/>
      <c r="S412" s="169"/>
      <c r="Y412" s="210"/>
      <c r="Z412" s="211"/>
      <c r="AA412" s="210"/>
      <c r="AB412" s="210"/>
      <c r="AC412" s="210"/>
      <c r="AD412" s="212"/>
      <c r="AE412" s="210"/>
      <c r="AG412" s="214"/>
      <c r="AH412" s="214"/>
      <c r="AI412" s="215"/>
      <c r="AJ412" s="214"/>
      <c r="AK412" s="214"/>
      <c r="AL412" s="215"/>
      <c r="AM412" s="216"/>
      <c r="AO412" s="245"/>
      <c r="AP412" s="245"/>
      <c r="AQ412" s="245"/>
      <c r="AR412" s="245"/>
      <c r="AS412" s="245"/>
      <c r="AT412" s="245"/>
      <c r="AU412" s="245"/>
      <c r="AV412" s="245"/>
      <c r="AW412" s="245"/>
      <c r="AX412" s="245"/>
      <c r="AZ412" s="245"/>
      <c r="BA412" s="283"/>
      <c r="BB412" s="283"/>
      <c r="BC412" s="239"/>
      <c r="BD412" s="283"/>
      <c r="BE412" s="239"/>
      <c r="BF412" s="239"/>
      <c r="BG412" s="239"/>
      <c r="BJ412" s="245"/>
      <c r="BK412" s="245"/>
      <c r="BM412" s="245"/>
      <c r="BN412" s="245"/>
      <c r="BO412" s="245"/>
      <c r="BP412" s="245"/>
      <c r="BQ412" s="245"/>
    </row>
    <row r="413" spans="1:69" ht="13.5" hidden="1" customHeight="1" x14ac:dyDescent="0.2">
      <c r="A413" s="842"/>
      <c r="I413" s="169"/>
      <c r="J413" s="169"/>
      <c r="K413" s="169"/>
      <c r="L413" s="169"/>
      <c r="M413" s="169"/>
      <c r="N413" s="169"/>
      <c r="O413" s="169"/>
      <c r="P413" s="169"/>
      <c r="Q413" s="169"/>
      <c r="R413" s="169"/>
      <c r="S413" s="169"/>
      <c r="Y413" s="229"/>
      <c r="Z413" s="230"/>
      <c r="AG413" s="233"/>
      <c r="AH413" s="233"/>
      <c r="AI413" s="234"/>
      <c r="AJ413" s="233"/>
      <c r="AK413" s="233"/>
      <c r="AL413" s="234"/>
      <c r="AM413" s="234"/>
      <c r="AO413" s="245"/>
      <c r="AP413" s="245"/>
      <c r="AQ413" s="245"/>
      <c r="AR413" s="245"/>
      <c r="AS413" s="245"/>
      <c r="AT413" s="245"/>
      <c r="AU413" s="245"/>
      <c r="AV413" s="245"/>
      <c r="AW413" s="245"/>
      <c r="AX413" s="245"/>
      <c r="AZ413" s="245"/>
      <c r="BA413" s="283"/>
      <c r="BB413" s="283"/>
      <c r="BC413" s="239"/>
      <c r="BD413" s="283"/>
      <c r="BE413" s="239"/>
      <c r="BF413" s="239"/>
      <c r="BG413" s="239"/>
      <c r="BJ413" s="245"/>
      <c r="BK413" s="245"/>
      <c r="BM413" s="245"/>
      <c r="BN413" s="245"/>
      <c r="BO413" s="245"/>
      <c r="BP413" s="245"/>
      <c r="BQ413" s="245"/>
    </row>
    <row r="414" spans="1:69" ht="11.25" customHeight="1" x14ac:dyDescent="0.2">
      <c r="Y414" s="229"/>
      <c r="Z414" s="230"/>
      <c r="AG414" s="233"/>
      <c r="AH414" s="233"/>
      <c r="AI414" s="234"/>
      <c r="AJ414" s="233"/>
      <c r="AK414" s="233"/>
      <c r="AL414" s="234"/>
    </row>
  </sheetData>
  <sheetProtection password="CE76" sheet="1" objects="1" scenarios="1"/>
  <mergeCells count="41">
    <mergeCell ref="I361:L361"/>
    <mergeCell ref="I379:L379"/>
    <mergeCell ref="A396:A413"/>
    <mergeCell ref="I397:L397"/>
    <mergeCell ref="A378:A395"/>
    <mergeCell ref="A360:A377"/>
    <mergeCell ref="I253:L253"/>
    <mergeCell ref="A252:A269"/>
    <mergeCell ref="A270:A287"/>
    <mergeCell ref="I271:L271"/>
    <mergeCell ref="I307:L307"/>
    <mergeCell ref="A324:A341"/>
    <mergeCell ref="I325:L325"/>
    <mergeCell ref="A288:A305"/>
    <mergeCell ref="I289:L289"/>
    <mergeCell ref="A342:A359"/>
    <mergeCell ref="I343:L343"/>
    <mergeCell ref="A306:A323"/>
    <mergeCell ref="I163:L163"/>
    <mergeCell ref="I199:L199"/>
    <mergeCell ref="A216:A233"/>
    <mergeCell ref="I217:L217"/>
    <mergeCell ref="A234:A251"/>
    <mergeCell ref="I235:L235"/>
    <mergeCell ref="A198:A215"/>
    <mergeCell ref="A180:A197"/>
    <mergeCell ref="A162:A179"/>
    <mergeCell ref="I181:L181"/>
    <mergeCell ref="BG55:BH55"/>
    <mergeCell ref="I73:L73"/>
    <mergeCell ref="A72:A89"/>
    <mergeCell ref="A144:A161"/>
    <mergeCell ref="A126:A143"/>
    <mergeCell ref="I127:L127"/>
    <mergeCell ref="I55:L55"/>
    <mergeCell ref="A54:A71"/>
    <mergeCell ref="I91:L91"/>
    <mergeCell ref="A90:A107"/>
    <mergeCell ref="I109:L109"/>
    <mergeCell ref="A108:A125"/>
    <mergeCell ref="I145:L145"/>
  </mergeCells>
  <phoneticPr fontId="3" type="noConversion"/>
  <conditionalFormatting sqref="C57 C62 C67 C111 C116 C139 C93 C121 C85 C75 C80 C103 C98 C129 C134">
    <cfRule type="expression" dxfId="74" priority="1" stopIfTrue="1">
      <formula>COUNTIF(C57:E60,C57)&gt;1</formula>
    </cfRule>
  </conditionalFormatting>
  <conditionalFormatting sqref="E57 E62 E67 E111 E116 E139 E93 E121 E85 E75 E80 E103 E98 E129 E134">
    <cfRule type="expression" dxfId="73" priority="2" stopIfTrue="1">
      <formula>COUNTIF(C57:E60,E57)&gt;1</formula>
    </cfRule>
  </conditionalFormatting>
  <conditionalFormatting sqref="C58 C63 C68 C112 C117 C140 C94 C122 C86 C76 C81 C104 C99 C130 C135">
    <cfRule type="expression" dxfId="72" priority="3" stopIfTrue="1">
      <formula>COUNTIF(C57:E60,C58)&gt;1</formula>
    </cfRule>
  </conditionalFormatting>
  <conditionalFormatting sqref="E58 E63 E68 E112 E117 E140 E94 E122 E86 E76 E81 E104 E99 E130 E135">
    <cfRule type="expression" dxfId="71" priority="4" stopIfTrue="1">
      <formula>COUNTIF(C57:E60,E58)&gt;1</formula>
    </cfRule>
  </conditionalFormatting>
  <conditionalFormatting sqref="C59 C64 C69 C113 C118 C141 C95 C123 C87 C77 C82 C105 C100 C131 C136">
    <cfRule type="expression" dxfId="70" priority="5" stopIfTrue="1">
      <formula>COUNTIF(C57:E60,C59)&gt;1</formula>
    </cfRule>
  </conditionalFormatting>
  <conditionalFormatting sqref="E59 E64 E69 E113 E118 E141 E95 E123 E87 E77 E82 E105 E100 E131 E136">
    <cfRule type="expression" dxfId="69" priority="6" stopIfTrue="1">
      <formula>COUNTIF(C57:E60,E59)&gt;1</formula>
    </cfRule>
  </conditionalFormatting>
  <conditionalFormatting sqref="C60 C65 C70 C114 C119 C142 C96 C124 C88 C78 C83 C106 C101 C132 C137">
    <cfRule type="expression" dxfId="68" priority="7" stopIfTrue="1">
      <formula>COUNTIF(C57:E60,C60)&gt;1</formula>
    </cfRule>
  </conditionalFormatting>
  <conditionalFormatting sqref="E60 E65 E70 E114 E119 E142 E96 E124 E88 E78 E83 E106 E101 E132 E137">
    <cfRule type="expression" dxfId="67" priority="8" stopIfTrue="1">
      <formula>COUNTIF(C57:E60,E60)&gt;1</formula>
    </cfRule>
  </conditionalFormatting>
  <conditionalFormatting sqref="M57:M60 M75:M78 M67:M70 M111:M114 M65 M85:M88 M83 M119 M103:M106 M93:M96 M80:M81 M121:M124 M116:M117 M101 M139:M142 M98:M99 M62:M63 M129:M132 M137 M134:M135">
    <cfRule type="expression" dxfId="66" priority="9" stopIfTrue="1">
      <formula>AND(NOT($Z57),$G57&lt;=TODAY())</formula>
    </cfRule>
    <cfRule type="expression" dxfId="65" priority="10" stopIfTrue="1">
      <formula>$L57&gt;$J57</formula>
    </cfRule>
  </conditionalFormatting>
  <conditionalFormatting sqref="K57:K60 K62:K63 K67:K70 K139:K142 K65 K85:K88 K80:K81 K83 K103:K106 K98:K99 K101 K121:K124 K116:K117 K119 K75:K78 K93:K96 K111:K114 K129:K132 K134:K135 K137">
    <cfRule type="expression" dxfId="64" priority="11" stopIfTrue="1">
      <formula>AND(NOT($Z57),$G57&lt;=TODAY())</formula>
    </cfRule>
  </conditionalFormatting>
  <conditionalFormatting sqref="BS127:IV127 BS91:IV91 A379 BS109:IV109 BS145:IV145 BS163:IV163 P55:W55 BS181:IV181 A91:N91 A73:N73 BS199:IV199 BS217:IV217 BS235:IV235 BS253:IV253 BS271:IV271 BS289:IV289 BS307:IV307 BS325:IV325 BS343:IV343 BS361:IV361 BS379:IV379 BS397:IV397 BS55:IV55 BS73:IV73 A397 A109:N109 A145 A163 A181 A199 A217 A235 A253 A271 A289 A307 A325 A343 A361 A127:N127 P73:W73 P91:W91 P109:W109 P127:W127 A55:M55">
    <cfRule type="expression" dxfId="63" priority="12" stopIfTrue="1">
      <formula>$AF57=$AR$117</formula>
    </cfRule>
  </conditionalFormatting>
  <conditionalFormatting sqref="I57:I60 I62:I63 I67:I70 I139:I142 I65 I85:I88 I80:I81 I83 I103:I106 I98:I99 I101 I121:I124 I116:I117 I119 I75:I78 I93:I96 I111:I114 I129:I132 I134:I135 I137">
    <cfRule type="expression" dxfId="62" priority="13" stopIfTrue="1">
      <formula>AND(NOT($Z57),$G57&lt;=TODAY())</formula>
    </cfRule>
    <cfRule type="expression" dxfId="61" priority="14" stopIfTrue="1">
      <formula>$J57&gt;$L57</formula>
    </cfRule>
  </conditionalFormatting>
  <conditionalFormatting sqref="J67:J70 L65 J57:J60 L57:L60 J65 L67:L70 J85:J88 L111:L114 L139:L142 J62:J63 L62:L63 L85:L88 J103:J106 L75:L78 J83 J80:J81 L80:L81 L103:L106 J121:J124 L93:L96 J101 J98:J99 L98:L99 L121:L124 J139:J142 J119 J116:J117 L116:L117 L83 J75:J78 L101 J93:J96 L119 J111:J114 L137 J129:J132 L129:L132 J137 J134:J135 L134:L135">
    <cfRule type="expression" dxfId="60" priority="15" stopIfTrue="1">
      <formula>AND(NOT($Z57),$G57&lt;=TODAY())</formula>
    </cfRule>
  </conditionalFormatting>
  <conditionalFormatting sqref="H57:H59 H62:H63 H111:H113 H116:H117 H75:H77 H80:H81 H93:H95 H98:H99 H129:H131 H134:H135">
    <cfRule type="expression" dxfId="59" priority="16" stopIfTrue="1">
      <formula>$BO57&gt;1</formula>
    </cfRule>
  </conditionalFormatting>
  <conditionalFormatting sqref="N55:O55 O73 O91 O109 O127">
    <cfRule type="expression" dxfId="58" priority="17" stopIfTrue="1">
      <formula>$AF57=$AR$117</formula>
    </cfRule>
  </conditionalFormatting>
  <dataValidations count="8">
    <dataValidation type="whole" allowBlank="1" showInputMessage="1" showErrorMessage="1" sqref="L57:L60 L103:L106 J111:J114 J119 L62:L63 L83 J103:J106 L137 J85:J88 J101 L93:L96 L85:L88 J93:J96 J139:J142 L111:L114 L139:L142 J65 L119 L75:L78 J121:J124 J67:J70 J75:J78 J62:J63 L129:L132 J83 J129:J132 L101 L121:L124 J57:J60 L65 L67:L70 L80:L81 J80:J81 J98:J99 L98:L99 J116:J117 L116:L117 L134:L135 J134:J135 J137">
      <formula1>0</formula1>
      <formula2>IF(OR($AV$71,$AV$73),60,IF($AV$72,200,20))</formula2>
    </dataValidation>
    <dataValidation type="whole" allowBlank="1" showInputMessage="1" showErrorMessage="1" sqref="BB69:BB78 BB81:BB90 BB57:BB66">
      <formula1>1</formula1>
      <formula2>2</formula2>
    </dataValidation>
    <dataValidation type="whole" allowBlank="1" showInputMessage="1" showErrorMessage="1" sqref="BA57:BA66 BA81:BA90 BA69:BA78">
      <formula1>1</formula1>
      <formula2>24</formula2>
    </dataValidation>
    <dataValidation type="list" allowBlank="1" showInputMessage="1" showErrorMessage="1" sqref="H60 H132 G129:G132 G101:H101 G83:H83 G119:H119 G57:G60 G121:H124 H96 G111:G114 G103:H106 H78 G93:G96 G85:H88 G62:G63 G75:G78 G67:H70 G139:H142 G65:H65 H114 G80:G81 G98:G99 G116:G117 G134:G135 G137:H137">
      <formula1>calend</formula1>
    </dataValidation>
    <dataValidation type="list" allowBlank="1" showInputMessage="1" showErrorMessage="1" sqref="C57:C60 E75:E78 C75:C78 E57:E60 E129:E132 C129:C132 E111:E114 C111:C114 E93:E96 C93:C96">
      <formula1>INDIRECT($BG$57)</formula1>
    </dataValidation>
    <dataValidation type="list" allowBlank="1" showInputMessage="1" showErrorMessage="1" sqref="C62:C65 E80:E83 C80:C83 E62:E65 E134:E137 C134:C137 E116:E119 C116:C119 E98:E101 C98:C101">
      <formula1>INDIRECT($BG$69)</formula1>
    </dataValidation>
    <dataValidation type="list" allowBlank="1" showInputMessage="1" showErrorMessage="1" sqref="C67:C70 E85:E88 C85:C88 E67:E70 E139:E142 C139:C142 E121:E124 C121:C124 E103:E106 C103:C106">
      <formula1>INDIRECT($BG$81)</formula1>
    </dataValidation>
    <dataValidation type="list" allowBlank="1" showInputMessage="1" showErrorMessage="1" sqref="H57:H59 H134:H135 H129:H131 H116:H117 H111:H113 H98:H99 H93:H95 H80:H81 H75:H77 H62:H63">
      <formula1>times</formula1>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rowBreaks count="2" manualBreakCount="2">
    <brk id="89" max="15" man="1"/>
    <brk id="125" max="15" man="1"/>
  </rowBreaks>
  <drawing r:id="rId2"/>
  <picture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5">
    <pageSetUpPr autoPageBreaks="0"/>
  </sheetPr>
  <dimension ref="A1:EP869"/>
  <sheetViews>
    <sheetView showGridLines="0" showRowColHeaders="0" tabSelected="1" zoomScaleNormal="100" workbookViewId="0">
      <pane ySplit="39" topLeftCell="A40" activePane="bottomLeft" state="frozen"/>
      <selection pane="bottomLeft"/>
    </sheetView>
  </sheetViews>
  <sheetFormatPr defaultColWidth="9.140625" defaultRowHeight="15" x14ac:dyDescent="0.25"/>
  <cols>
    <col min="1" max="1" width="1.7109375" style="509" customWidth="1"/>
    <col min="2" max="2" width="2.5703125" style="286" customWidth="1"/>
    <col min="3" max="3" width="0.7109375" style="286" customWidth="1"/>
    <col min="4" max="4" width="2.85546875" style="286" customWidth="1"/>
    <col min="5" max="5" width="36.28515625" style="287" customWidth="1"/>
    <col min="6" max="6" width="4.28515625" style="288" customWidth="1"/>
    <col min="7" max="7" width="4.85546875" style="288" customWidth="1"/>
    <col min="8" max="8" width="3.140625" style="288" customWidth="1"/>
    <col min="9" max="9" width="4.85546875" style="288" customWidth="1"/>
    <col min="10" max="10" width="13.140625" style="288" customWidth="1"/>
    <col min="11" max="11" width="6.7109375" style="289" customWidth="1"/>
    <col min="12" max="12" width="8.42578125" style="289" hidden="1" customWidth="1"/>
    <col min="13" max="13" width="5.7109375" style="289" customWidth="1"/>
    <col min="14" max="14" width="5.28515625" style="290" customWidth="1"/>
    <col min="15" max="15" width="37.140625" style="291" customWidth="1"/>
    <col min="16" max="16" width="4.28515625" style="291" customWidth="1"/>
    <col min="17" max="17" width="1.42578125" style="291" customWidth="1"/>
    <col min="18" max="18" width="4.28515625" style="291" customWidth="1"/>
    <col min="19" max="19" width="4.7109375" style="292" customWidth="1"/>
    <col min="20" max="20" width="4" style="293" hidden="1" customWidth="1"/>
    <col min="21" max="21" width="4" style="179" hidden="1" customWidth="1"/>
    <col min="22" max="22" width="6.42578125" style="312" hidden="1" customWidth="1"/>
    <col min="23" max="23" width="18.42578125" style="312" hidden="1" customWidth="1"/>
    <col min="24" max="24" width="6.42578125" style="312" hidden="1" customWidth="1"/>
    <col min="25" max="25" width="18.42578125" style="312" hidden="1" customWidth="1"/>
    <col min="26" max="26" width="4" style="179" hidden="1" customWidth="1"/>
    <col min="27" max="27" width="4" style="293" hidden="1" customWidth="1"/>
    <col min="28" max="28" width="4" style="179" hidden="1" customWidth="1"/>
    <col min="29" max="29" width="33.42578125" style="312" hidden="1" customWidth="1"/>
    <col min="30" max="30" width="10.28515625" style="312" hidden="1" customWidth="1"/>
    <col min="31" max="31" width="4" style="179" hidden="1" customWidth="1"/>
    <col min="32" max="32" width="4" style="293" hidden="1" customWidth="1"/>
    <col min="33" max="33" width="4.5703125" style="179" hidden="1" customWidth="1"/>
    <col min="34" max="34" width="17.42578125" style="179" hidden="1" customWidth="1"/>
    <col min="35" max="38" width="4.5703125" style="179" hidden="1" customWidth="1"/>
    <col min="39" max="39" width="4" style="293" hidden="1" customWidth="1"/>
    <col min="40" max="40" width="4" style="179" hidden="1" customWidth="1"/>
    <col min="41" max="43" width="5" style="179" hidden="1" customWidth="1"/>
    <col min="44" max="44" width="4" style="179" hidden="1" customWidth="1"/>
    <col min="45" max="45" width="15" style="427" hidden="1" customWidth="1"/>
    <col min="46" max="46" width="5.140625" style="428" hidden="1" customWidth="1"/>
    <col min="47" max="47" width="16.28515625" style="427" hidden="1" customWidth="1"/>
    <col min="48" max="48" width="4" style="427" hidden="1" customWidth="1"/>
    <col min="49" max="49" width="16" style="299" hidden="1" customWidth="1"/>
    <col min="50" max="53" width="3.5703125" style="319" hidden="1" customWidth="1"/>
    <col min="54" max="54" width="4.28515625" style="319" hidden="1" customWidth="1"/>
    <col min="55" max="55" width="4.140625" style="319" hidden="1" customWidth="1"/>
    <col min="56" max="57" width="5.7109375" style="319" hidden="1" customWidth="1"/>
    <col min="58" max="60" width="3.5703125" style="319" hidden="1" customWidth="1"/>
    <col min="61" max="61" width="5.7109375" style="319" hidden="1" customWidth="1"/>
    <col min="62" max="63" width="5.7109375" style="299" hidden="1" customWidth="1"/>
    <col min="64" max="64" width="1.85546875" style="299" hidden="1" customWidth="1"/>
    <col min="65" max="70" width="3.5703125" style="319" hidden="1" customWidth="1"/>
    <col min="71" max="71" width="1.7109375" style="319" hidden="1" customWidth="1"/>
    <col min="72" max="77" width="3.5703125" style="319" hidden="1" customWidth="1"/>
    <col min="78" max="78" width="3.140625" style="299" hidden="1" customWidth="1"/>
    <col min="79" max="79" width="4" style="298" hidden="1" customWidth="1"/>
    <col min="80" max="80" width="4" style="427" hidden="1" customWidth="1"/>
    <col min="81" max="83" width="7.85546875" style="299" hidden="1" customWidth="1"/>
    <col min="84" max="84" width="4.140625" style="299" hidden="1" customWidth="1"/>
    <col min="85" max="85" width="4" style="427" hidden="1" customWidth="1"/>
    <col min="86" max="86" width="5.7109375" style="299" hidden="1" customWidth="1"/>
    <col min="87" max="95" width="3.140625" style="299" hidden="1" customWidth="1"/>
    <col min="96" max="97" width="4" style="427" hidden="1" customWidth="1"/>
    <col min="98" max="98" width="16" style="453" hidden="1" customWidth="1"/>
    <col min="99" max="104" width="4" style="427" hidden="1" customWidth="1"/>
    <col min="105" max="105" width="16" style="427" hidden="1" customWidth="1"/>
    <col min="106" max="108" width="4" style="427" hidden="1" customWidth="1"/>
    <col min="109" max="109" width="4" style="298" hidden="1" customWidth="1"/>
    <col min="110" max="110" width="4.28515625" style="304" hidden="1" customWidth="1"/>
    <col min="111" max="111" width="14.28515625" style="304" hidden="1" customWidth="1"/>
    <col min="112" max="119" width="5.42578125" style="304" hidden="1" customWidth="1"/>
    <col min="120" max="120" width="8.85546875" style="304" hidden="1" customWidth="1"/>
    <col min="121" max="125" width="5.42578125" style="304" hidden="1" customWidth="1"/>
    <col min="126" max="126" width="16.28515625" style="304" hidden="1" customWidth="1"/>
    <col min="127" max="127" width="5.42578125" style="304" hidden="1" customWidth="1"/>
    <col min="128" max="128" width="6.7109375" style="304" hidden="1" customWidth="1"/>
    <col min="129" max="129" width="13.85546875" style="304" hidden="1" customWidth="1"/>
    <col min="130" max="132" width="4.28515625" style="304" hidden="1" customWidth="1"/>
    <col min="133" max="133" width="7.7109375" style="304" hidden="1" customWidth="1"/>
    <col min="134" max="143" width="4.28515625" style="304" hidden="1" customWidth="1"/>
    <col min="144" max="144" width="15" style="304" hidden="1" customWidth="1"/>
    <col min="145" max="145" width="5.140625" style="306" hidden="1" customWidth="1"/>
    <col min="146" max="146" width="3.28515625" style="307" hidden="1" customWidth="1"/>
    <col min="147" max="16384" width="9.140625" style="286"/>
  </cols>
  <sheetData>
    <row r="1" spans="4:7" s="257" customFormat="1" ht="1.5" customHeight="1" x14ac:dyDescent="0.2">
      <c r="D1" s="258"/>
      <c r="E1" s="258"/>
      <c r="F1" s="258"/>
      <c r="G1" s="258"/>
    </row>
    <row r="2" spans="4:7" s="257" customFormat="1" ht="0.75" customHeight="1" x14ac:dyDescent="0.2">
      <c r="D2" s="259"/>
      <c r="E2" s="260"/>
      <c r="F2" s="260"/>
      <c r="G2" s="260"/>
    </row>
    <row r="3" spans="4:7" s="257" customFormat="1" ht="1.5" hidden="1" customHeight="1" x14ac:dyDescent="0.2">
      <c r="D3" s="261"/>
      <c r="E3" s="262"/>
      <c r="F3" s="263"/>
      <c r="G3" s="262"/>
    </row>
    <row r="4" spans="4:7" s="257" customFormat="1" ht="0.75" hidden="1" customHeight="1" x14ac:dyDescent="0.2">
      <c r="D4" s="261"/>
      <c r="E4" s="262"/>
      <c r="F4" s="263"/>
      <c r="G4" s="262"/>
    </row>
    <row r="5" spans="4:7" s="257" customFormat="1" ht="1.5" hidden="1" customHeight="1" x14ac:dyDescent="0.2">
      <c r="D5" s="261"/>
      <c r="E5" s="262"/>
      <c r="F5" s="263"/>
      <c r="G5" s="262"/>
    </row>
    <row r="6" spans="4:7" s="257" customFormat="1" ht="0.75" hidden="1" customHeight="1" x14ac:dyDescent="0.2">
      <c r="D6" s="261"/>
      <c r="E6" s="262"/>
      <c r="F6" s="263"/>
      <c r="G6" s="262"/>
    </row>
    <row r="7" spans="4:7" s="257" customFormat="1" ht="1.5" customHeight="1" x14ac:dyDescent="0.2">
      <c r="D7" s="261"/>
      <c r="E7" s="262"/>
      <c r="F7" s="263"/>
      <c r="G7" s="262"/>
    </row>
    <row r="8" spans="4:7" s="257" customFormat="1" ht="0.75" customHeight="1" x14ac:dyDescent="0.2">
      <c r="D8" s="261"/>
      <c r="E8" s="262"/>
      <c r="F8" s="263"/>
      <c r="G8" s="262"/>
    </row>
    <row r="9" spans="4:7" s="257" customFormat="1" ht="1.5" customHeight="1" x14ac:dyDescent="0.2">
      <c r="D9" s="261"/>
      <c r="E9" s="262"/>
      <c r="F9" s="263"/>
      <c r="G9" s="262"/>
    </row>
    <row r="10" spans="4:7" s="257" customFormat="1" ht="0.75" customHeight="1" x14ac:dyDescent="0.2">
      <c r="D10" s="261"/>
      <c r="E10" s="262"/>
      <c r="F10" s="263"/>
      <c r="G10" s="262"/>
    </row>
    <row r="11" spans="4:7" s="257" customFormat="1" ht="1.5" customHeight="1" x14ac:dyDescent="0.2">
      <c r="D11" s="261"/>
      <c r="E11" s="262"/>
      <c r="F11" s="263"/>
      <c r="G11" s="262"/>
    </row>
    <row r="12" spans="4:7" s="257" customFormat="1" ht="0.75" customHeight="1" x14ac:dyDescent="0.2">
      <c r="D12" s="261"/>
      <c r="E12" s="262"/>
      <c r="F12" s="263"/>
      <c r="G12" s="262"/>
    </row>
    <row r="13" spans="4:7" s="257" customFormat="1" ht="1.5" customHeight="1" x14ac:dyDescent="0.2">
      <c r="D13" s="261"/>
      <c r="E13" s="262"/>
      <c r="F13" s="263"/>
      <c r="G13" s="262"/>
    </row>
    <row r="14" spans="4:7" s="257" customFormat="1" ht="0.75" customHeight="1" x14ac:dyDescent="0.2">
      <c r="D14" s="261"/>
      <c r="E14" s="262"/>
      <c r="F14" s="263"/>
      <c r="G14" s="262"/>
    </row>
    <row r="15" spans="4:7" s="257" customFormat="1" ht="1.5" customHeight="1" x14ac:dyDescent="0.2">
      <c r="D15" s="261"/>
      <c r="E15" s="262"/>
      <c r="F15" s="263"/>
      <c r="G15" s="262"/>
    </row>
    <row r="16" spans="4:7" s="257" customFormat="1" ht="0.75" customHeight="1" x14ac:dyDescent="0.2">
      <c r="D16" s="261"/>
      <c r="E16" s="262"/>
      <c r="F16" s="263"/>
      <c r="G16" s="262"/>
    </row>
    <row r="17" spans="4:7" s="257" customFormat="1" ht="1.5" customHeight="1" x14ac:dyDescent="0.2">
      <c r="D17" s="261"/>
      <c r="E17" s="262"/>
      <c r="F17" s="263"/>
      <c r="G17" s="262"/>
    </row>
    <row r="18" spans="4:7" s="257" customFormat="1" ht="0.75" customHeight="1" x14ac:dyDescent="0.2">
      <c r="D18" s="261"/>
      <c r="E18" s="262"/>
      <c r="F18" s="263"/>
      <c r="G18" s="262"/>
    </row>
    <row r="19" spans="4:7" s="257" customFormat="1" ht="1.5" customHeight="1" x14ac:dyDescent="0.2">
      <c r="D19" s="261"/>
      <c r="E19" s="262"/>
      <c r="F19" s="263"/>
      <c r="G19" s="262"/>
    </row>
    <row r="20" spans="4:7" s="257" customFormat="1" ht="0.75" customHeight="1" x14ac:dyDescent="0.2">
      <c r="D20" s="261"/>
      <c r="E20" s="262"/>
      <c r="F20" s="263"/>
      <c r="G20" s="262"/>
    </row>
    <row r="21" spans="4:7" s="257" customFormat="1" ht="1.5" customHeight="1" x14ac:dyDescent="0.2">
      <c r="D21" s="261"/>
      <c r="E21" s="262"/>
      <c r="F21" s="263"/>
      <c r="G21" s="262"/>
    </row>
    <row r="22" spans="4:7" s="257" customFormat="1" ht="0.75" customHeight="1" x14ac:dyDescent="0.2">
      <c r="D22" s="261"/>
      <c r="E22" s="262"/>
      <c r="F22" s="263"/>
      <c r="G22" s="262"/>
    </row>
    <row r="23" spans="4:7" s="257" customFormat="1" ht="1.5" customHeight="1" x14ac:dyDescent="0.2">
      <c r="D23" s="261"/>
      <c r="E23" s="262"/>
      <c r="F23" s="263"/>
      <c r="G23" s="262"/>
    </row>
    <row r="24" spans="4:7" s="257" customFormat="1" ht="0.75" customHeight="1" x14ac:dyDescent="0.2">
      <c r="D24" s="261"/>
      <c r="E24" s="262"/>
      <c r="F24" s="263"/>
      <c r="G24" s="262"/>
    </row>
    <row r="25" spans="4:7" s="257" customFormat="1" ht="1.5" customHeight="1" x14ac:dyDescent="0.2">
      <c r="D25" s="261"/>
      <c r="E25" s="262"/>
      <c r="F25" s="263"/>
      <c r="G25" s="262"/>
    </row>
    <row r="26" spans="4:7" s="257" customFormat="1" ht="0.75" customHeight="1" x14ac:dyDescent="0.2">
      <c r="D26" s="261"/>
      <c r="E26" s="262"/>
      <c r="F26" s="263"/>
      <c r="G26" s="262"/>
    </row>
    <row r="27" spans="4:7" s="257" customFormat="1" ht="1.5" customHeight="1" x14ac:dyDescent="0.2">
      <c r="D27" s="261"/>
      <c r="E27" s="262"/>
      <c r="F27" s="263"/>
      <c r="G27" s="262"/>
    </row>
    <row r="28" spans="4:7" s="257" customFormat="1" ht="0.75" customHeight="1" x14ac:dyDescent="0.2">
      <c r="D28" s="261"/>
      <c r="E28" s="262"/>
      <c r="F28" s="263"/>
      <c r="G28" s="262"/>
    </row>
    <row r="29" spans="4:7" s="257" customFormat="1" ht="1.5" customHeight="1" x14ac:dyDescent="0.2">
      <c r="D29" s="261"/>
      <c r="E29" s="262"/>
      <c r="F29" s="263"/>
      <c r="G29" s="262"/>
    </row>
    <row r="30" spans="4:7" s="257" customFormat="1" ht="0.75" customHeight="1" x14ac:dyDescent="0.2">
      <c r="D30" s="261"/>
      <c r="E30" s="262"/>
      <c r="F30" s="263"/>
      <c r="G30" s="262"/>
    </row>
    <row r="31" spans="4:7" s="257" customFormat="1" ht="1.5" customHeight="1" x14ac:dyDescent="0.2">
      <c r="D31" s="261"/>
      <c r="E31" s="262"/>
      <c r="F31" s="263"/>
      <c r="G31" s="262"/>
    </row>
    <row r="32" spans="4:7" s="257" customFormat="1" ht="0.75" customHeight="1" x14ac:dyDescent="0.2">
      <c r="D32" s="261"/>
      <c r="E32" s="262"/>
      <c r="F32" s="263"/>
      <c r="G32" s="262"/>
    </row>
    <row r="33" spans="2:146" s="257" customFormat="1" ht="1.5" customHeight="1" x14ac:dyDescent="0.2">
      <c r="D33" s="261"/>
      <c r="E33" s="262"/>
      <c r="F33" s="263"/>
      <c r="G33" s="262"/>
    </row>
    <row r="34" spans="2:146" s="257" customFormat="1" ht="0.75" customHeight="1" x14ac:dyDescent="0.2">
      <c r="D34" s="261"/>
      <c r="E34" s="262"/>
      <c r="F34" s="263"/>
      <c r="G34" s="262"/>
    </row>
    <row r="35" spans="2:146" s="257" customFormat="1" ht="1.5" customHeight="1" x14ac:dyDescent="0.2">
      <c r="D35" s="261"/>
      <c r="E35" s="262"/>
      <c r="F35" s="263"/>
      <c r="G35" s="262"/>
    </row>
    <row r="36" spans="2:146" s="257" customFormat="1" ht="0.75" customHeight="1" x14ac:dyDescent="0.2">
      <c r="D36" s="261"/>
      <c r="E36" s="262"/>
      <c r="F36" s="263"/>
      <c r="G36" s="262"/>
    </row>
    <row r="37" spans="2:146" s="257" customFormat="1" ht="1.5" customHeight="1" x14ac:dyDescent="0.2">
      <c r="D37" s="261"/>
      <c r="E37" s="262"/>
      <c r="F37" s="263"/>
      <c r="G37" s="262"/>
    </row>
    <row r="38" spans="2:146" s="257" customFormat="1" ht="0.75" customHeight="1" x14ac:dyDescent="0.2">
      <c r="D38" s="261"/>
      <c r="E38" s="262"/>
      <c r="F38" s="263"/>
      <c r="G38" s="262"/>
    </row>
    <row r="39" spans="2:146" s="164" customFormat="1" ht="12" customHeight="1" x14ac:dyDescent="0.2">
      <c r="B39" s="256" t="s">
        <v>460</v>
      </c>
      <c r="C39" s="165"/>
      <c r="D39" s="166"/>
      <c r="E39" s="167"/>
      <c r="F39" s="168"/>
      <c r="G39" s="167"/>
    </row>
    <row r="40" spans="2:146" ht="9" customHeight="1" x14ac:dyDescent="0.25">
      <c r="U40" s="294"/>
      <c r="V40" s="295"/>
      <c r="W40" s="295"/>
      <c r="X40" s="295"/>
      <c r="Y40" s="295"/>
      <c r="Z40" s="294"/>
      <c r="AB40" s="294"/>
      <c r="AE40" s="294"/>
      <c r="AG40" s="294"/>
      <c r="AH40" s="294"/>
      <c r="AI40" s="294"/>
      <c r="AJ40" s="294"/>
      <c r="AK40" s="294"/>
      <c r="AL40" s="294"/>
      <c r="AN40" s="294"/>
      <c r="AO40" s="294"/>
      <c r="AP40" s="294"/>
      <c r="AQ40" s="294"/>
      <c r="AR40" s="294"/>
      <c r="AS40" s="296"/>
      <c r="AT40" s="297"/>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520"/>
      <c r="BR40" s="296"/>
      <c r="BS40" s="296"/>
      <c r="BT40" s="296"/>
      <c r="BU40" s="296"/>
      <c r="BV40" s="296"/>
      <c r="BW40" s="296"/>
      <c r="BX40" s="296"/>
      <c r="BY40" s="296"/>
      <c r="BZ40" s="296"/>
      <c r="CB40" s="296"/>
      <c r="CC40" s="296"/>
      <c r="CD40" s="296"/>
      <c r="CE40" s="296"/>
      <c r="CF40" s="296"/>
      <c r="CG40" s="296"/>
      <c r="CR40" s="296"/>
      <c r="CS40" s="300"/>
      <c r="CT40" s="301"/>
      <c r="CU40" s="302"/>
      <c r="CV40" s="302"/>
      <c r="CW40" s="302"/>
      <c r="CX40" s="302"/>
      <c r="CY40" s="302"/>
      <c r="CZ40" s="302"/>
      <c r="DA40" s="302"/>
      <c r="DB40" s="302"/>
      <c r="DC40" s="303"/>
      <c r="DD40" s="302"/>
      <c r="DV40" s="305"/>
    </row>
    <row r="41" spans="2:146" ht="16.5" customHeight="1" x14ac:dyDescent="0.25">
      <c r="E41" s="535" t="s">
        <v>506</v>
      </c>
      <c r="F41" s="535" t="s">
        <v>120</v>
      </c>
      <c r="G41" s="536" t="s">
        <v>121</v>
      </c>
      <c r="H41" s="536" t="s">
        <v>134</v>
      </c>
      <c r="I41" s="536" t="s">
        <v>122</v>
      </c>
      <c r="J41" s="536" t="s">
        <v>248</v>
      </c>
      <c r="K41" s="537" t="s">
        <v>230</v>
      </c>
      <c r="L41" s="537"/>
      <c r="M41" s="537" t="s">
        <v>434</v>
      </c>
      <c r="O41" s="855" t="s">
        <v>449</v>
      </c>
      <c r="P41" s="855"/>
      <c r="Q41" s="855"/>
      <c r="R41" s="855"/>
      <c r="V41" s="310" t="s">
        <v>209</v>
      </c>
      <c r="W41" s="311"/>
      <c r="X41" s="310"/>
      <c r="AB41" s="294"/>
      <c r="AC41" s="310" t="s">
        <v>263</v>
      </c>
      <c r="AD41" s="311"/>
      <c r="AE41" s="294"/>
      <c r="AH41" s="310" t="s">
        <v>377</v>
      </c>
      <c r="AS41" s="313" t="s">
        <v>258</v>
      </c>
      <c r="AT41" s="314"/>
      <c r="AU41" s="315"/>
      <c r="AV41" s="315"/>
      <c r="AW41" s="316" t="s">
        <v>258</v>
      </c>
      <c r="AX41" s="317" t="s">
        <v>120</v>
      </c>
      <c r="AY41" s="318" t="s">
        <v>121</v>
      </c>
      <c r="AZ41" s="318" t="s">
        <v>134</v>
      </c>
      <c r="BA41" s="318" t="s">
        <v>122</v>
      </c>
      <c r="BB41" s="318" t="s">
        <v>123</v>
      </c>
      <c r="BC41" s="318" t="s">
        <v>124</v>
      </c>
      <c r="BD41" s="318" t="s">
        <v>125</v>
      </c>
      <c r="BE41" s="318" t="s">
        <v>191</v>
      </c>
      <c r="BF41" s="318" t="s">
        <v>207</v>
      </c>
      <c r="BG41" s="318" t="s">
        <v>126</v>
      </c>
      <c r="BH41" s="318" t="s">
        <v>197</v>
      </c>
      <c r="BI41" s="318" t="s">
        <v>192</v>
      </c>
      <c r="BJ41" s="318" t="s">
        <v>127</v>
      </c>
      <c r="BK41" s="318" t="s">
        <v>208</v>
      </c>
      <c r="BM41" s="318" t="s">
        <v>196</v>
      </c>
      <c r="BN41" s="318" t="s">
        <v>121</v>
      </c>
      <c r="BO41" s="318" t="s">
        <v>134</v>
      </c>
      <c r="BP41" s="318" t="s">
        <v>122</v>
      </c>
      <c r="BQ41" s="318" t="s">
        <v>123</v>
      </c>
      <c r="BR41" s="318" t="s">
        <v>124</v>
      </c>
      <c r="BT41" s="318" t="s">
        <v>196</v>
      </c>
      <c r="BU41" s="318" t="s">
        <v>121</v>
      </c>
      <c r="BV41" s="318" t="s">
        <v>134</v>
      </c>
      <c r="BW41" s="318" t="s">
        <v>122</v>
      </c>
      <c r="BX41" s="318" t="s">
        <v>123</v>
      </c>
      <c r="BY41" s="318" t="s">
        <v>124</v>
      </c>
      <c r="CB41" s="296"/>
      <c r="CC41" s="318" t="s">
        <v>212</v>
      </c>
      <c r="CD41" s="318" t="s">
        <v>268</v>
      </c>
      <c r="CE41" s="318" t="s">
        <v>267</v>
      </c>
      <c r="CF41" s="296"/>
      <c r="CG41" s="296"/>
      <c r="CI41" s="320" t="str">
        <f ca="1">IF(CH42=0,"xxx",VLOOKUP(CH42,CC42:CF51,IF(ASZTAB!$AJ$44,3,2),FALSE))</f>
        <v>xxx</v>
      </c>
      <c r="CJ41" s="321"/>
      <c r="CK41" s="322" t="s">
        <v>216</v>
      </c>
      <c r="CL41" s="320" t="str">
        <f ca="1">IF(CH43=0,"xxx",VLOOKUP(CH43,CC42:CF51,IF(ASZTAB!$AJ$44,3,2),FALSE))</f>
        <v>xxx</v>
      </c>
      <c r="CM41" s="321"/>
      <c r="CN41" s="322" t="s">
        <v>218</v>
      </c>
      <c r="CO41" s="320" t="str">
        <f ca="1">IF(CH44=0,"xxx",VLOOKUP(CH44,CC42:CF51,IF(ASZTAB!$AJ$44,3,2),FALSE))</f>
        <v>xxx</v>
      </c>
      <c r="CP41" s="321"/>
      <c r="CQ41" s="322" t="s">
        <v>219</v>
      </c>
      <c r="CR41" s="296"/>
      <c r="CS41" s="300"/>
      <c r="CT41" s="323" t="b">
        <f ca="1">OR(NOT(ASZTAB!$AJ$44),COUNTIF(CY41:CY95,"")&lt;=50-(DA41-1)*DA41/2)</f>
        <v>1</v>
      </c>
      <c r="CU41" s="324" t="s">
        <v>157</v>
      </c>
      <c r="CV41" s="324" t="s">
        <v>158</v>
      </c>
      <c r="CW41" s="325" t="s">
        <v>159</v>
      </c>
      <c r="CX41" s="325"/>
      <c r="CY41" s="326" t="s">
        <v>160</v>
      </c>
      <c r="CZ41" s="325" t="s">
        <v>135</v>
      </c>
      <c r="DA41" s="323">
        <f ca="1">COUNT(CK42:CK46)</f>
        <v>0</v>
      </c>
      <c r="DB41" s="302"/>
      <c r="DC41" s="327" t="s">
        <v>216</v>
      </c>
      <c r="DD41" s="302"/>
      <c r="DF41" s="328"/>
      <c r="DG41" s="329" t="s">
        <v>223</v>
      </c>
      <c r="DH41" s="329" t="s">
        <v>224</v>
      </c>
      <c r="DI41" s="329" t="s">
        <v>152</v>
      </c>
      <c r="DK41" s="329" t="s">
        <v>154</v>
      </c>
      <c r="DL41" s="329" t="s">
        <v>155</v>
      </c>
      <c r="DN41" s="329" t="s">
        <v>226</v>
      </c>
      <c r="DP41" s="329" t="s">
        <v>227</v>
      </c>
      <c r="DT41" s="329" t="s">
        <v>228</v>
      </c>
      <c r="DU41" s="329" t="s">
        <v>156</v>
      </c>
      <c r="DV41" s="329" t="s">
        <v>208</v>
      </c>
      <c r="DX41" s="329" t="s">
        <v>212</v>
      </c>
      <c r="DY41" s="330" t="s">
        <v>227</v>
      </c>
      <c r="DZ41" s="329" t="s">
        <v>225</v>
      </c>
      <c r="EA41" s="328"/>
      <c r="EB41" s="328"/>
      <c r="EC41" s="328"/>
      <c r="ED41" s="331" t="str">
        <f ca="1">IF(EC42=0,"xxx",VLOOKUP(EC42,DX42:EA46,IF(ASZTAB!$AJ$54,2,3),FALSE))</f>
        <v>xxx</v>
      </c>
      <c r="EE41" s="328"/>
      <c r="EF41" s="328"/>
      <c r="EG41" s="331" t="str">
        <f ca="1">IF(EC43=0,"xxx",VLOOKUP(EC43,DX42:EA46,IF(ASZTAB!$AJ$54,2,3),FALSE))</f>
        <v>xxx</v>
      </c>
      <c r="EH41" s="328"/>
      <c r="EI41" s="328"/>
      <c r="EM41" s="328"/>
      <c r="EN41" s="324"/>
      <c r="EO41" s="332"/>
      <c r="EP41" s="333"/>
    </row>
    <row r="42" spans="2:146" ht="16.5" customHeight="1" x14ac:dyDescent="0.25">
      <c r="C42" s="511" t="str">
        <f t="shared" ref="C42:C47" ca="1" si="0">IF(OR(NOT($AD$76),D42="►"),"",TEXT(ABS(VLOOKUP(AH42,$AH$129:$AK$138,3,FALSE)-VLOOKUP(AH42,$AH$129:$AK$138,4,FALSE)),"0"))</f>
        <v/>
      </c>
      <c r="D42" s="510" t="str">
        <f t="shared" ref="D42:D47" ca="1" si="1">IF($AD$76,VLOOKUP(AH42,$AH$129:$AI$138,2,FALSE),"")</f>
        <v>►</v>
      </c>
      <c r="E42" s="770" t="str">
        <f t="shared" ref="E42:E47" ca="1" si="2">IF(NOT($AD$42),"",CONCATENATE(AI42,". ",AH42))</f>
        <v>1. BBK</v>
      </c>
      <c r="F42" s="771">
        <f t="shared" ref="F42:F47" ca="1" si="3">IF(NOT($AD$42),"",VLOOKUP($AH42,table.n.rv1,2,FALSE))</f>
        <v>5</v>
      </c>
      <c r="G42" s="772">
        <f t="shared" ref="G42:G47" ca="1" si="4">IF(NOT($AD$42),"",IF(VLOOKUP($AH42,table.n.rv1,3,FALSE)=0,"–",VLOOKUP($AH42,table.n.rv1,3,FALSE)))</f>
        <v>4</v>
      </c>
      <c r="H42" s="772" t="str">
        <f t="shared" ref="H42:H47" ca="1" si="5">IF(NOT($AD$42),"",IF(VLOOKUP($AH42,table.n.rv1,4,FALSE)=0,"–",VLOOKUP($AH42,table.n.rv1,4,FALSE)))</f>
        <v>–</v>
      </c>
      <c r="I42" s="772">
        <f t="shared" ref="I42:I47" ca="1" si="6">IF(NOT($AD$42),"",IF(VLOOKUP($AH42,table.n.rv1,5,FALSE)=0,"–",VLOOKUP($AH42,table.n.rv1,5,FALSE)))</f>
        <v>1</v>
      </c>
      <c r="J42" s="772" t="str">
        <f t="shared" ref="J42:J47" ca="1" si="7">IF(NOT($AD$42),"",CONCATENATE(AJ42,"–",AK42))</f>
        <v>104–34</v>
      </c>
      <c r="K42" s="773" t="str">
        <f t="shared" ref="K42:K47" ca="1" si="8">IF(NOT($AD$42),"",IF(VLOOKUP($AH42,table.n.rv1,8,FALSE)=0,0,IF(VLOOKUP($AH42,table.n.rv1,8,FALSE)&gt;0,CONCATENATE("+",VLOOKUP($AH42,table.n.rv1,8,FALSE)," "),CONCATENATE("–",VLOOKUP($AH42,table.n.rv1,8,FALSE)*-1," "))))</f>
        <v xml:space="preserve">+70 </v>
      </c>
      <c r="L42" s="773"/>
      <c r="M42" s="773">
        <f ca="1">IF(NOT($AD$42),"",VLOOKUP($AH42,table.n.rv1,IF(ASZTAB!$AJ$44,12,11),FALSE))</f>
        <v>24</v>
      </c>
      <c r="O42" s="856" t="s">
        <v>146</v>
      </c>
      <c r="P42" s="286"/>
      <c r="Q42" s="286"/>
      <c r="R42" s="286"/>
      <c r="V42" s="337">
        <f ca="1">IF(AW42=0,0,BJ42)</f>
        <v>0.04</v>
      </c>
      <c r="W42" s="338" t="str">
        <f ca="1">AW42</f>
        <v>BBK</v>
      </c>
      <c r="X42" s="337">
        <f ca="1">LARGE($V$42:$V$61,AV42)</f>
        <v>0.04</v>
      </c>
      <c r="Y42" s="338" t="str">
        <f t="shared" ref="Y42:Y61" ca="1" si="9">IF(X42=0,0,VLOOKUP(X42,$V$42:$W$65,2,FALSE))</f>
        <v>BBK</v>
      </c>
      <c r="AB42" s="294"/>
      <c r="AC42" s="232" t="s">
        <v>264</v>
      </c>
      <c r="AD42" s="339" t="b">
        <f ca="1">AND(ASZTAB!$AJ$69,IF(ASZTAB!$X$71,ASZTAB!$AJ$75,TRUE))</f>
        <v>1</v>
      </c>
      <c r="AE42" s="294"/>
      <c r="AG42" s="294"/>
      <c r="AH42" s="210" t="str">
        <f t="shared" ref="AH42:AH51" ca="1" si="10">IF(VLOOKUP($AS42,INDIRECT(CONCATENATE($AD$59,1)),3,FALSE)=0,"–",VLOOKUP($AS42,INDIRECT(CONCATENATE($AD$59,1)),3,FALSE))</f>
        <v>BBK</v>
      </c>
      <c r="AI42" s="340">
        <f>AT42</f>
        <v>1</v>
      </c>
      <c r="AJ42" s="338">
        <f t="shared" ref="AJ42:AJ51" ca="1" si="11">VLOOKUP($AH42,table.n.rv1,6,FALSE)</f>
        <v>104</v>
      </c>
      <c r="AK42" s="338">
        <f t="shared" ref="AK42:AK51" ca="1" si="12">VLOOKUP($AH42,table.n.rv1,7,FALSE)</f>
        <v>34</v>
      </c>
      <c r="AL42" s="294"/>
      <c r="AS42" s="341">
        <f t="shared" ref="AS42:AS51" ca="1" si="13">LARGE(IF($AD$58=1,AU$42:AU$51,$AU$117:$AU$126),AV42)</f>
        <v>24070104.039999999</v>
      </c>
      <c r="AT42" s="342">
        <v>1</v>
      </c>
      <c r="AU42" s="343">
        <f ca="1">IF(NOT($AD$43),0,IF(ASZTAB!$AJ$44,BI42*100,IF(ASZTAB!$AJ$43,BG42*10,BG42))*1000000+IF(ASZTAB!$AJ$52,AY42*10000,0)+IF(ASZTAB!$AJ$44,BE42,BD42)*1000/IF(OR(ASZTAB!AJ$43,ASZTAB!$AJ$52),10,1)+IF(ASZTAB!$AJ$44,0,IF(ASZTAB!AJ$43,BB42/10,BB42))+BJ42+IF($AD$74,BK42,0)-IF(AW42=0,1000000000,0))</f>
        <v>24070104.039999999</v>
      </c>
      <c r="AV42" s="344">
        <v>1</v>
      </c>
      <c r="AW42" s="345" t="str">
        <f ca="1">IF(NOT($AD$43),0,RCSOP!BE57)</f>
        <v>BBK</v>
      </c>
      <c r="AX42" s="346">
        <f t="shared" ref="AX42:AX51" ca="1" si="14">AY42+AZ42+BA42</f>
        <v>5</v>
      </c>
      <c r="AY42" s="346">
        <f t="shared" ref="AY42:AY51" ca="1" si="15">IF(NOT($AD$43),0,IF($AD$57=1,BN42+BU42,IF($AD$57=2,BN42,IF($AD$57=3,BU42,""))))</f>
        <v>4</v>
      </c>
      <c r="AZ42" s="346">
        <f t="shared" ref="AZ42:AZ51" ca="1" si="16">IF(NOT($AD$43),0,IF($AD$57=1,BO42+BV42,IF($AD$57=2,BO42,IF($AD$57=3,BV42,""))))</f>
        <v>0</v>
      </c>
      <c r="BA42" s="346">
        <f t="shared" ref="BA42:BA51" ca="1" si="17">IF(NOT($AD$43),0,IF($AD$57=1,BP42+BW42,IF($AD$57=2,BP42,IF($AD$57=3,BW42,""))))</f>
        <v>1</v>
      </c>
      <c r="BB42" s="346">
        <f t="shared" ref="BB42:BB51" ca="1" si="18">IF(NOT($AD$43),0,IF($AD$57=1,BQ42+BX42,IF($AD$57=2,BQ42,IF($AD$57=3,BX42,""))))</f>
        <v>104</v>
      </c>
      <c r="BC42" s="346">
        <f t="shared" ref="BC42:BC51" ca="1" si="19">IF(NOT($AD$43),0,IF($AD$57=1,BR42+BY42,IF($AD$57=2,BR42,IF($AD$57=3,BY42,""))))</f>
        <v>34</v>
      </c>
      <c r="BD42" s="346">
        <f ca="1">BB42-BC42</f>
        <v>70</v>
      </c>
      <c r="BE42" s="347">
        <f ca="1">IF(BC42=0,0,BB42/BC42)</f>
        <v>3.0588235294117645</v>
      </c>
      <c r="BF42" s="346">
        <f t="shared" ref="BF42:BF51" ca="1" si="20">IF(NOT($AD$43),0,IF(OR(NOT($AD$75),ISNA(VLOOKUP(AW42,penalty.r,2,FALSE))),0,VLOOKUP(AW42,penalty.r,2,FALSE))-IF(OR(NOT($AD$91),NOT($AD$96),ISNA(VLOOKUP(AW42,zpoint,2,FALSE))),0,VLOOKUP(AW42,zpoint,2,FALSE)))</f>
        <v>-12</v>
      </c>
      <c r="BG42" s="346">
        <f ca="1">IF(NOT($AD$43),0,ASZTAB!$AJ$48*AY42+AZ42-BF42)</f>
        <v>24</v>
      </c>
      <c r="BH42" s="346">
        <f ca="1">IF(NOT($AD$43),0,AY42*2+BA42-BF42)</f>
        <v>21</v>
      </c>
      <c r="BI42" s="347">
        <f ca="1">IF(NOT($AD$43),0,IF(AND(AX42=0,BH42=0),0,BH42/(AX42*2+IF($AD$91,$AD$97,0))))</f>
        <v>0.95454545454545459</v>
      </c>
      <c r="BJ42" s="348">
        <v>0.04</v>
      </c>
      <c r="BK42" s="349">
        <f t="shared" ref="BK42:BK51" ca="1" si="21">IF(ISNA(VLOOKUP(AW42,eee.rv,16,FALSE)),0,VLOOKUP(AW42,eee.rv,16,FALSE))</f>
        <v>0</v>
      </c>
      <c r="BM42" s="346">
        <f t="shared" ref="BM42:BM51" ca="1" si="22">IF(NOT($AD$43),0,COUNTIF(lossh.rv,CONCATENATE($AW42,"ooo"))+IF(OR(NOT($AD$91),NOT($AD$94)),0,IF($AD$95,COUNTIF(lossh.aa,CONCATENATE($AW42,"ooo")),COUNTIF(zlossh,CONCATENATE($AW42,"ooo")))))</f>
        <v>0</v>
      </c>
      <c r="BN42" s="346">
        <f t="shared" ref="BN42:BN51" ca="1" si="23">IF(NOT($AD$43),0,COUNTIF(winh.rv,$AW42)+IF(OR(NOT($AD$91),NOT($AD$94)),0,IF($AD$95,COUNTIF(winh.aa,$AW42),COUNTIF(zwinh,$AW42))))</f>
        <v>4</v>
      </c>
      <c r="BO42" s="346">
        <f t="shared" ref="BO42:BO51" ca="1" si="24">IF(NOT($AD$43),0,COUNTIF(drawh.rv,$AW42)+IF(OR(NOT($AD$91),NOT($AD$94)),0,IF($AD$95,COUNTIF(drawh.aa,$AW42),COUNTIF(zdrawh,$AW42))))</f>
        <v>0</v>
      </c>
      <c r="BP42" s="346">
        <f t="shared" ref="BP42:BP51" ca="1" si="25">IF(NOT($AD$43),0,COUNTIF(lossh.rv,$AW42)+BM42+IF(OR(NOT($AD$91),NOT($AD$94)),0,IF($AD$95,COUNTIF(lossh.aa,$AW42),COUNTIF(zlossh,$AW42))))</f>
        <v>1</v>
      </c>
      <c r="BQ42" s="534">
        <f t="shared" ref="BQ42:BQ51" ca="1" si="26">IF(NOT($AD$43),0,SUMIF(home.rv,$AW42,GAA.rv)+IF(OR(NOT($AD$91),NOT($AD$94)),0,IF(TRUE,SUMIF(home.aa,$AW42,GAA.aa),SUMIF(zhome,$AW42,zfor))))</f>
        <v>53</v>
      </c>
      <c r="BR42" s="534">
        <f t="shared" ref="BR42:BR51" ca="1" si="27">IF(NOT($AD$43),0,SUMIF(home.rv,$AW42,GBB.rv)+IF(OR(NOT($AD$91),NOT($AD$94)),0,IF(TRUE,SUMIF(home.aa,$AW42,GBB.aa),SUMIF(zhome,$AW42,zagainst))))</f>
        <v>20</v>
      </c>
      <c r="BT42" s="346">
        <f t="shared" ref="BT42:BT51" ca="1" si="28">IF(NOT($AD$43),0,COUNTIF(lossa.rv,CONCATENATE($AW42,"ooo"))+IF(OR(NOT($AD$91),NOT($AD$94)),0,IF($AD$95,COUNTIF(lossa.aa,CONCATENATE($AW42,"ooo")),COUNTIF(zlossa,CONCATENATE($AW42,"ooo")))))</f>
        <v>0</v>
      </c>
      <c r="BU42" s="346">
        <f t="shared" ref="BU42:BU51" ca="1" si="29">IF(NOT($AD$43),0,COUNTIF(wina.rv,$AW42)+IF(OR(NOT($AD$91),NOT($AD$94)),0,IF($AD$95,COUNTIF(wina.aa,$AW42),COUNTIF(zwina,$AW42))))</f>
        <v>0</v>
      </c>
      <c r="BV42" s="346">
        <f t="shared" ref="BV42:BV51" ca="1" si="30">IF(NOT($AD$43),0,COUNTIF(drawa.rv,$AW42)+IF(OR(NOT($AD$91),NOT($AD$94)),0,IF($AD$95,COUNTIF(drawa.aa,$AW42),COUNTIF(zdrawa,$AW42))))</f>
        <v>0</v>
      </c>
      <c r="BW42" s="346">
        <f t="shared" ref="BW42:BW51" ca="1" si="31">IF(NOT($AD$43),0,COUNTIF(lossa.rv,$AW42)+BT42+IF(OR(NOT($AD$91),NOT($AD$94)),0,IF($AD$95,COUNTIF(lossa.aa,$AW42),COUNTIF(zlossa,$AW42))))</f>
        <v>0</v>
      </c>
      <c r="BX42" s="534">
        <f t="shared" ref="BX42:BX51" ca="1" si="32">IF(NOT($AD$43),0,SUMIF(away.rv,$AW42,GBB.rv)+IF(OR(NOT($AD$91),NOT($AD$94)),0,IF(TRUE,SUMIF(away.aa,$AW42,GBB.aa),SUMIF(zaway,$AW42,zagainst))))</f>
        <v>51</v>
      </c>
      <c r="BY42" s="534">
        <f t="shared" ref="BY42:BY51" ca="1" si="33">IF(NOT($AD$43),0,SUMIF(away.rv,$AW42,GAA.rv)+IF(OR(NOT($AD$91),NOT($AD$94)),0,IF(TRUE,SUMIF(away.aa,$AW42,GAA.aa),SUMIF(zaway,$AW42,zfor))))</f>
        <v>14</v>
      </c>
      <c r="CB42" s="350"/>
      <c r="CC42" s="351">
        <f ca="1">IF(ASZTAB!$AJ$44,COUNTIF($BI$54:$BI$63,CE42)*IF(CE42=0,0,1),COUNTIF($BG$54:$BG$63,CD42)*IF(CD42=0,0,1))+CF42/1000</f>
        <v>1.0009999999999999</v>
      </c>
      <c r="CD42" s="352">
        <f ca="1">LARGE($BG$54:$BG$63,CF42)</f>
        <v>24</v>
      </c>
      <c r="CE42" s="353">
        <f ca="1">LARGE($BI$54:$BI$63,CF42)</f>
        <v>0.95454545454545459</v>
      </c>
      <c r="CF42" s="354">
        <v>1</v>
      </c>
      <c r="CG42" s="350"/>
      <c r="CH42" s="355">
        <f ca="1">IF(LARGE(CC42:CC51,CF42)&lt;2,0,LARGE(CC42:CC51,CF42))</f>
        <v>0</v>
      </c>
      <c r="CI42" s="356" t="str">
        <f ca="1">IF(OR(CI41=BG54,CI41=BI54),AW54,"")</f>
        <v/>
      </c>
      <c r="CJ42" s="357" t="str">
        <f t="shared" ref="CJ42:CJ51" ca="1" si="34">IF(CI42="","",CF42)</f>
        <v/>
      </c>
      <c r="CK42" s="358" t="str">
        <f ca="1">IF(ISERR(LARGE(CJ42:CJ51,CF42)),"",LARGE(CJ42:CJ51,CF42))</f>
        <v/>
      </c>
      <c r="CL42" s="356" t="str">
        <f ca="1">IF(OR(CL41=BG54,CL41=BI54),AW54,"")</f>
        <v/>
      </c>
      <c r="CM42" s="357" t="str">
        <f t="shared" ref="CM42:CM51" ca="1" si="35">IF(CL42="","",CF42)</f>
        <v/>
      </c>
      <c r="CN42" s="358" t="str">
        <f ca="1">IF(ISERR(LARGE(CM42:CM51,CF42)),"",LARGE(CM42:CM51,CF42))</f>
        <v/>
      </c>
      <c r="CO42" s="356" t="str">
        <f ca="1">IF(OR(CO41=BG54,CO41=BI54),AW54,"")</f>
        <v/>
      </c>
      <c r="CP42" s="357" t="str">
        <f t="shared" ref="CP42:CP51" ca="1" si="36">IF(CO42="","",CF42)</f>
        <v/>
      </c>
      <c r="CQ42" s="358" t="str">
        <f ca="1">IF(ISERR(LARGE(CP42:CP51,CF42)),"",LARGE(CP42:CP51,CF42))</f>
        <v/>
      </c>
      <c r="CR42" s="350"/>
      <c r="CS42" s="300"/>
      <c r="CT42" s="359" t="str">
        <f ca="1">IF(CK42="","",VLOOKUP(CK42,xxx.rr1,4,FALSE))</f>
        <v/>
      </c>
      <c r="CU42" s="360" t="str">
        <f ca="1">IF(OR(CT42="",DA42="",CT42=DA42,ISNA(VLOOKUP(CONCATENATE(CT42,DA42),games.r,2,FALSE))),"",CONCATENATE(CT42,DA42))</f>
        <v/>
      </c>
      <c r="CV42" s="360" t="str">
        <f ca="1">IF(CU42="","",CONCATENATE(VLOOKUP(CU42,games.r,9,FALSE),VLOOKUP(CU42,games.r,12,FALSE)))</f>
        <v/>
      </c>
      <c r="CW42" s="354" t="str">
        <f ca="1">IF(CU42="","",VLOOKUP(CU42,games.r,10,FALSE))</f>
        <v/>
      </c>
      <c r="CX42" s="354" t="str">
        <f ca="1">IF(CU42="","",VLOOKUP(CU42,games.r,13,FALSE))</f>
        <v/>
      </c>
      <c r="CY42" s="361" t="str">
        <f ca="1">IF(CU42="","",VLOOKUP(CU42,games.r,6,FALSE))</f>
        <v/>
      </c>
      <c r="CZ42" s="362" t="str">
        <f ca="1">IF(CU42="","",VLOOKUP(CU42,games.r,7,FALSE))</f>
        <v/>
      </c>
      <c r="DA42" s="363" t="str">
        <f ca="1">CT42</f>
        <v/>
      </c>
      <c r="DB42" s="302"/>
      <c r="DC42" s="364"/>
      <c r="DD42" s="302"/>
      <c r="DF42" s="365"/>
      <c r="DG42" s="366" t="str">
        <f ca="1">IF(AND(ASZTAB!$AJ$44,CT41,DA41&lt;&gt;2),CT42,"")</f>
        <v/>
      </c>
      <c r="DH42" s="366">
        <f ca="1">IF(DG42="",-1,COUNTIF(xxgy.rr,DG42))</f>
        <v>-1</v>
      </c>
      <c r="DI42" s="366">
        <f ca="1">IF(DG42="",0,COUNTIF(yygy.rr,DG42))</f>
        <v>0</v>
      </c>
      <c r="DK42" s="366">
        <f ca="1">IF(DG42="",0,1)*(SUMIF(yyo.rr,DG42,yyl.rr)+SUMIF(yyi.rr,DG42,yyk.rr))</f>
        <v>0</v>
      </c>
      <c r="DL42" s="366">
        <f ca="1">IF(DG42="",0,1)*(SUMIF(yyo.rr,DG42,yyk.rr)+SUMIF(yyi.rr,DG42,yyl.rr))</f>
        <v>0</v>
      </c>
      <c r="DN42" s="366">
        <f ca="1">IF(DL42=0,0,DK42/DL42)</f>
        <v>0</v>
      </c>
      <c r="DP42" s="366">
        <f ca="1">DH42*1000000+DI42*1000+DN42</f>
        <v>-1000000</v>
      </c>
      <c r="DT42" s="366">
        <f ca="1">IF(OR(ISERR(DP42),ISNA(DP42),DH42&lt;0),0,DP42)</f>
        <v>0</v>
      </c>
      <c r="DU42" s="366">
        <f ca="1">IF(DT42=0,0,RANK(DT42,DT42:DT46,1))</f>
        <v>0</v>
      </c>
      <c r="DV42" s="366">
        <f ca="1">DU42*40000*IF(COUNTIF($EN$42:$EN$51,DG42)&gt;0,0,1)</f>
        <v>0</v>
      </c>
      <c r="DX42" s="367">
        <f ca="1">IF(ASZTAB!$AJ$54,COUNTIF(DP48:DP52,DY42)*IF(DY42=0,0,1),COUNTIF(DH42:DH46,DZ42)*IF(DZ42&lt;0,0,1))+EA42/1000</f>
        <v>1E-3</v>
      </c>
      <c r="DY42" s="367">
        <f ca="1">LARGE(DP48:DP52,EA42)</f>
        <v>0</v>
      </c>
      <c r="DZ42" s="369">
        <f ca="1">LARGE(DH42:DH46,EA42)</f>
        <v>-1</v>
      </c>
      <c r="EA42" s="369">
        <v>1</v>
      </c>
      <c r="EB42" s="365"/>
      <c r="EC42" s="370">
        <f ca="1">IF(LARGE(DX42:DX46,EA42)&lt;2,0,LARGE(DX42:DX46,EA42))</f>
        <v>0</v>
      </c>
      <c r="ED42" s="371" t="str">
        <f ca="1">IF(DH42=ED41,DG42,IF(DP48=ED41,DG48,""))</f>
        <v/>
      </c>
      <c r="EE42" s="369" t="str">
        <f ca="1">IF(ED42="","",EA42)</f>
        <v/>
      </c>
      <c r="EF42" s="372" t="str">
        <f ca="1">IF(ISERR(LARGE(EE42:EE46,EA42)),"",LARGE(EE42:EE46,EA42))</f>
        <v/>
      </c>
      <c r="EG42" s="371" t="str">
        <f ca="1">IF(DH42=EG41,DG42,IF(DP48=EG41,DG48,""))</f>
        <v/>
      </c>
      <c r="EH42" s="369" t="str">
        <f ca="1">IF(EG42="","",EA42)</f>
        <v/>
      </c>
      <c r="EI42" s="372" t="str">
        <f ca="1">IF(ISERR(LARGE(EH42:EH46,EA42)),"",LARGE(EH42:EH46,EA42))</f>
        <v/>
      </c>
      <c r="EM42" s="365"/>
      <c r="EN42" s="366"/>
      <c r="EO42" s="373"/>
      <c r="EP42" s="333"/>
    </row>
    <row r="43" spans="2:146" ht="16.5" customHeight="1" x14ac:dyDescent="0.25">
      <c r="C43" s="511" t="str">
        <f t="shared" ca="1" si="0"/>
        <v/>
      </c>
      <c r="D43" s="510" t="str">
        <f t="shared" ca="1" si="1"/>
        <v>►</v>
      </c>
      <c r="E43" s="774" t="str">
        <f t="shared" ca="1" si="2"/>
        <v>2. BHD</v>
      </c>
      <c r="F43" s="775">
        <f t="shared" ca="1" si="3"/>
        <v>5</v>
      </c>
      <c r="G43" s="776">
        <f t="shared" ca="1" si="4"/>
        <v>4</v>
      </c>
      <c r="H43" s="776">
        <f t="shared" ca="1" si="5"/>
        <v>1</v>
      </c>
      <c r="I43" s="776" t="str">
        <f t="shared" ca="1" si="6"/>
        <v>–</v>
      </c>
      <c r="J43" s="776" t="str">
        <f t="shared" ca="1" si="7"/>
        <v>84–39</v>
      </c>
      <c r="K43" s="777" t="str">
        <f t="shared" ca="1" si="8"/>
        <v xml:space="preserve">+45 </v>
      </c>
      <c r="L43" s="777"/>
      <c r="M43" s="777">
        <f ca="1">IF(NOT($AD$42),"",VLOOKUP($AH43,table.n.rv1,IF(ASZTAB!$AJ$44,12,11),FALSE))</f>
        <v>21</v>
      </c>
      <c r="O43" s="857"/>
      <c r="P43" s="505">
        <v>23</v>
      </c>
      <c r="Q43" s="375" t="s">
        <v>247</v>
      </c>
      <c r="R43" s="504">
        <v>27</v>
      </c>
      <c r="V43" s="337">
        <f t="shared" ref="V43:V51" ca="1" si="37">IF(AW43=0,0,BJ43)</f>
        <v>3.9E-2</v>
      </c>
      <c r="W43" s="338" t="str">
        <f t="shared" ref="W43:W51" ca="1" si="38">AW43</f>
        <v>K&amp;H</v>
      </c>
      <c r="X43" s="337">
        <f t="shared" ref="X43:X51" ca="1" si="39">LARGE($V$42:$V$61,AV43)</f>
        <v>3.9E-2</v>
      </c>
      <c r="Y43" s="338" t="str">
        <f t="shared" ca="1" si="9"/>
        <v>K&amp;H</v>
      </c>
      <c r="AB43" s="294"/>
      <c r="AC43" s="232" t="s">
        <v>265</v>
      </c>
      <c r="AD43" s="521" t="b">
        <v>1</v>
      </c>
      <c r="AE43" s="294"/>
      <c r="AG43" s="294"/>
      <c r="AH43" s="210" t="str">
        <f t="shared" ca="1" si="10"/>
        <v>BHD</v>
      </c>
      <c r="AI43" s="340">
        <f t="shared" ref="AI43:AI51" ca="1" si="40">AT43</f>
        <v>2</v>
      </c>
      <c r="AJ43" s="338">
        <f t="shared" ca="1" si="11"/>
        <v>84</v>
      </c>
      <c r="AK43" s="338">
        <f t="shared" ca="1" si="12"/>
        <v>39</v>
      </c>
      <c r="AL43" s="294"/>
      <c r="AS43" s="341">
        <f t="shared" ca="1" si="13"/>
        <v>21045084.037999999</v>
      </c>
      <c r="AT43" s="377">
        <f ca="1">IF(AW43=0,"",IF(ABS(AS42-AS43)&lt;0.015,AT42,AV43))</f>
        <v>2</v>
      </c>
      <c r="AU43" s="343">
        <f ca="1">IF(NOT($AD$43),0,IF(ASZTAB!$AJ$44,BI43*100,IF(ASZTAB!$AJ$43,BG43*10,BG43))*1000000+IF(ASZTAB!$AJ$52,AY43*10000,0)+IF(ASZTAB!$AJ$44,BE43,BD43)*1000/IF(OR(ASZTAB!AJ$43,ASZTAB!$AJ$52),10,1)+IF(ASZTAB!$AJ$44,0,IF(ASZTAB!AJ$43,BB43/10,BB43))+BJ43+IF($AD$74,BK43,0)-IF(AW43=0,1000000000,0))</f>
        <v>18080115.039000001</v>
      </c>
      <c r="AV43" s="349">
        <v>2</v>
      </c>
      <c r="AW43" s="345" t="str">
        <f ca="1">IF(NOT($AD$43),0,RCSOP!BE58)</f>
        <v>K&amp;H</v>
      </c>
      <c r="AX43" s="346">
        <f t="shared" ca="1" si="14"/>
        <v>5</v>
      </c>
      <c r="AY43" s="346">
        <f t="shared" ca="1" si="15"/>
        <v>2</v>
      </c>
      <c r="AZ43" s="346">
        <f t="shared" ca="1" si="16"/>
        <v>0</v>
      </c>
      <c r="BA43" s="346">
        <f t="shared" ca="1" si="17"/>
        <v>3</v>
      </c>
      <c r="BB43" s="346">
        <f t="shared" ca="1" si="18"/>
        <v>115</v>
      </c>
      <c r="BC43" s="346">
        <f t="shared" ca="1" si="19"/>
        <v>35</v>
      </c>
      <c r="BD43" s="346">
        <f t="shared" ref="BD43:BD51" ca="1" si="41">BB43-BC43</f>
        <v>80</v>
      </c>
      <c r="BE43" s="347">
        <f t="shared" ref="BE43:BE51" ca="1" si="42">IF(BC43=0,0,BB43/BC43)</f>
        <v>3.2857142857142856</v>
      </c>
      <c r="BF43" s="346">
        <f t="shared" ca="1" si="20"/>
        <v>-12</v>
      </c>
      <c r="BG43" s="346">
        <f ca="1">IF(NOT($AD$43),0,ASZTAB!$AJ$48*AY43+AZ43-BF43)</f>
        <v>18</v>
      </c>
      <c r="BH43" s="346">
        <f t="shared" ref="BH43:BH51" ca="1" si="43">IF(NOT($AD$43),0,AY43*2+BA43-BF43)</f>
        <v>19</v>
      </c>
      <c r="BI43" s="347">
        <f t="shared" ref="BI43:BI51" ca="1" si="44">IF(NOT($AD$43),0,IF(AND(AX43=0,BH43=0),0,BH43/(AX43*2+IF($AD$91,$AD$97,0))))</f>
        <v>0.86363636363636365</v>
      </c>
      <c r="BJ43" s="348">
        <v>3.9E-2</v>
      </c>
      <c r="BK43" s="349">
        <f t="shared" ca="1" si="21"/>
        <v>0</v>
      </c>
      <c r="BM43" s="346">
        <f t="shared" ca="1" si="22"/>
        <v>0</v>
      </c>
      <c r="BN43" s="346">
        <f t="shared" ca="1" si="23"/>
        <v>2</v>
      </c>
      <c r="BO43" s="346">
        <f t="shared" ca="1" si="24"/>
        <v>0</v>
      </c>
      <c r="BP43" s="346">
        <f t="shared" ca="1" si="25"/>
        <v>2</v>
      </c>
      <c r="BQ43" s="534">
        <f t="shared" ca="1" si="26"/>
        <v>58</v>
      </c>
      <c r="BR43" s="534">
        <f t="shared" ca="1" si="27"/>
        <v>24</v>
      </c>
      <c r="BT43" s="346">
        <f t="shared" ca="1" si="28"/>
        <v>0</v>
      </c>
      <c r="BU43" s="346">
        <f t="shared" ca="1" si="29"/>
        <v>0</v>
      </c>
      <c r="BV43" s="346">
        <f t="shared" ca="1" si="30"/>
        <v>0</v>
      </c>
      <c r="BW43" s="346">
        <f t="shared" ca="1" si="31"/>
        <v>1</v>
      </c>
      <c r="BX43" s="534">
        <f t="shared" ca="1" si="32"/>
        <v>57</v>
      </c>
      <c r="BY43" s="534">
        <f t="shared" ca="1" si="33"/>
        <v>11</v>
      </c>
      <c r="CB43" s="350"/>
      <c r="CC43" s="353">
        <f ca="1">IF(ASZTAB!$AJ$44,COUNTIF($BI$54:$BI$63,CE43)*IF(OR(CE43=0,CE43=CE42),0,1),COUNTIF($BG$54:$BG$63,CD43)*IF(OR(CD43=0,CD43=CD42),0,1))+CF43/1000</f>
        <v>1.002</v>
      </c>
      <c r="CD43" s="352">
        <f t="shared" ref="CD43:CD51" ca="1" si="45">LARGE($BG$54:$BG$63,CF43)</f>
        <v>21</v>
      </c>
      <c r="CE43" s="353">
        <f t="shared" ref="CE43:CE51" ca="1" si="46">LARGE($BI$54:$BI$63,CF43)</f>
        <v>0.86363636363636365</v>
      </c>
      <c r="CF43" s="354">
        <v>2</v>
      </c>
      <c r="CG43" s="350"/>
      <c r="CH43" s="355">
        <f ca="1">IF(LARGE(CC42:CC51,CF43)&lt;2,0,LARGE(CC42:CC51,CF43))</f>
        <v>0</v>
      </c>
      <c r="CI43" s="356" t="str">
        <f ca="1">IF(OR(CI41=BG55,CI41=BI55),AW55,"")</f>
        <v/>
      </c>
      <c r="CJ43" s="357" t="str">
        <f t="shared" ca="1" si="34"/>
        <v/>
      </c>
      <c r="CK43" s="358" t="str">
        <f ca="1">IF(ISERR(LARGE(CJ42:CJ51,CF43)),"",LARGE(CJ42:CJ51,CF43))</f>
        <v/>
      </c>
      <c r="CL43" s="356" t="str">
        <f ca="1">IF(OR(CL41=BG55,CL41=BI55),AW55,"")</f>
        <v/>
      </c>
      <c r="CM43" s="357" t="str">
        <f t="shared" ca="1" si="35"/>
        <v/>
      </c>
      <c r="CN43" s="358" t="str">
        <f ca="1">IF(ISERR(LARGE(CM42:CM51,CF43)),"",LARGE(CM42:CM51,CF43))</f>
        <v/>
      </c>
      <c r="CO43" s="356" t="str">
        <f ca="1">IF(OR(CO41=BG55,CO41=BI55),AW55,"")</f>
        <v/>
      </c>
      <c r="CP43" s="357" t="str">
        <f t="shared" ca="1" si="36"/>
        <v/>
      </c>
      <c r="CQ43" s="358" t="str">
        <f ca="1">IF(ISERR(LARGE(CP42:CP51,CF43)),"",LARGE(CP42:CP51,CF43))</f>
        <v/>
      </c>
      <c r="CR43" s="350"/>
      <c r="CS43" s="300"/>
      <c r="CT43" s="359" t="str">
        <f ca="1">IF(CK43="","",VLOOKUP(CK43,xxx.rr1,4,FALSE))</f>
        <v/>
      </c>
      <c r="CU43" s="360" t="str">
        <f ca="1">IF(OR(CT43="",DA43="",CT43=DA43,ISNA(VLOOKUP(CONCATENATE(CT43,DA43),games.r,2,FALSE))),"",CONCATENATE(CT43,DA43))</f>
        <v/>
      </c>
      <c r="CV43" s="360" t="str">
        <f ca="1">IF(CU43="","",CONCATENATE(VLOOKUP(CU43,games.r,9,FALSE),VLOOKUP(CU43,games.r,12,FALSE)))</f>
        <v/>
      </c>
      <c r="CW43" s="354" t="str">
        <f ca="1">IF(CU43="","",VLOOKUP(CU43,games.r,10,FALSE))</f>
        <v/>
      </c>
      <c r="CX43" s="354" t="str">
        <f ca="1">IF(CU43="","",VLOOKUP(CU43,games.r,13,FALSE))</f>
        <v/>
      </c>
      <c r="CY43" s="361" t="str">
        <f ca="1">IF(CU43="","",VLOOKUP(CU43,games.r,6,FALSE))</f>
        <v/>
      </c>
      <c r="CZ43" s="362" t="str">
        <f ca="1">IF(CU43="","",VLOOKUP(CU43,games.r,7,FALSE))</f>
        <v/>
      </c>
      <c r="DA43" s="379" t="str">
        <f ca="1">DA42</f>
        <v/>
      </c>
      <c r="DB43" s="302"/>
      <c r="DC43" s="364"/>
      <c r="DD43" s="302"/>
      <c r="DF43" s="365"/>
      <c r="DG43" s="366" t="str">
        <f ca="1">IF(AND(ASZTAB!$AJ$44,CT41,DA41&lt;&gt;2),CT43,"")</f>
        <v/>
      </c>
      <c r="DH43" s="366">
        <f ca="1">IF(DG43="",-1,COUNTIF(xxgy.rr,DG43))</f>
        <v>-1</v>
      </c>
      <c r="DI43" s="366">
        <f ca="1">IF(DG43="",0,COUNTIF(yygy.rr,DG43))</f>
        <v>0</v>
      </c>
      <c r="DK43" s="366">
        <f ca="1">IF(DG43="",0,1)*(SUMIF(yyo.rr,DG43,yyl.rr)+SUMIF(yyi.rr,DG43,yyk.rr))</f>
        <v>0</v>
      </c>
      <c r="DL43" s="366">
        <f ca="1">IF(DG43="",0,1)*(SUMIF(yyo.rr,DG43,yyk.rr)+SUMIF(yyi.rr,DG43,yyl.rr))</f>
        <v>0</v>
      </c>
      <c r="DN43" s="366">
        <f ca="1">IF(DL43=0,0,DK43/DL43)</f>
        <v>0</v>
      </c>
      <c r="DP43" s="366">
        <f ca="1">DH43*1000000+DI43*1000+DN43</f>
        <v>-1000000</v>
      </c>
      <c r="DT43" s="366">
        <f ca="1">IF(OR(ISERR(DP43),ISNA(DP43),DH43&lt;0),0,DP43)</f>
        <v>0</v>
      </c>
      <c r="DU43" s="366">
        <f ca="1">IF(DT43=0,0,RANK(DT43,DT42:DT46,1))</f>
        <v>0</v>
      </c>
      <c r="DV43" s="366">
        <f ca="1">DU43*40000*IF(COUNTIF($EN$42:$EN$51,DG43)&gt;0,0,1)</f>
        <v>0</v>
      </c>
      <c r="DX43" s="367">
        <f ca="1">IF(ASZTAB!$AJ$54,COUNTIF(DP48:DP52,DY42)*IF(OR(DY43=0,DY43=DY42),0,1),COUNTIF(DH42:DH46,DZ43)*IF(OR(DZ43=DZ42,DZ43&lt;0),0,1))+EA43/1000</f>
        <v>2E-3</v>
      </c>
      <c r="DY43" s="367">
        <f ca="1">LARGE(DP48:DP52,EA43)</f>
        <v>0</v>
      </c>
      <c r="DZ43" s="369">
        <f ca="1">LARGE(DH42:DH46,EA43)</f>
        <v>-1</v>
      </c>
      <c r="EA43" s="369">
        <v>2</v>
      </c>
      <c r="EB43" s="365"/>
      <c r="EC43" s="370">
        <f ca="1">IF(LARGE(DX42:DX46,EA43)&lt;2,0,LARGE(DX42:DX46,EA43))</f>
        <v>0</v>
      </c>
      <c r="ED43" s="371" t="str">
        <f ca="1">IF(DH43=ED41,DG43,IF(DP49=ED41,DG49,""))</f>
        <v/>
      </c>
      <c r="EE43" s="369" t="str">
        <f ca="1">IF(ED43="","",EA43)</f>
        <v/>
      </c>
      <c r="EF43" s="372" t="str">
        <f ca="1">IF(ISERR(LARGE(EE42:EE46,EA43)),"",LARGE(EE42:EE46,EA43))</f>
        <v/>
      </c>
      <c r="EG43" s="371" t="str">
        <f ca="1">IF(DH43=EG41,DG43,IF(DP49=EG41,DG49,""))</f>
        <v/>
      </c>
      <c r="EH43" s="369" t="str">
        <f ca="1">IF(EG43="","",EA43)</f>
        <v/>
      </c>
      <c r="EI43" s="372" t="str">
        <f ca="1">IF(ISERR(LARGE(EH42:EH46,EA43)),"",LARGE(EH42:EH46,EA43))</f>
        <v/>
      </c>
      <c r="EM43" s="365"/>
      <c r="EN43" s="366"/>
      <c r="EO43" s="373"/>
      <c r="EP43" s="333"/>
    </row>
    <row r="44" spans="2:146" ht="16.5" customHeight="1" x14ac:dyDescent="0.25">
      <c r="C44" s="511" t="str">
        <f t="shared" ca="1" si="0"/>
        <v/>
      </c>
      <c r="D44" s="510" t="str">
        <f t="shared" ca="1" si="1"/>
        <v>►</v>
      </c>
      <c r="E44" s="778" t="str">
        <f t="shared" ca="1" si="2"/>
        <v>3. K&amp;H</v>
      </c>
      <c r="F44" s="779">
        <f t="shared" ca="1" si="3"/>
        <v>5</v>
      </c>
      <c r="G44" s="780">
        <f t="shared" ca="1" si="4"/>
        <v>2</v>
      </c>
      <c r="H44" s="780" t="str">
        <f t="shared" ca="1" si="5"/>
        <v>–</v>
      </c>
      <c r="I44" s="780">
        <f t="shared" ca="1" si="6"/>
        <v>3</v>
      </c>
      <c r="J44" s="780" t="str">
        <f t="shared" ca="1" si="7"/>
        <v>115–35</v>
      </c>
      <c r="K44" s="781" t="str">
        <f t="shared" ca="1" si="8"/>
        <v xml:space="preserve">+80 </v>
      </c>
      <c r="L44" s="781"/>
      <c r="M44" s="781">
        <f ca="1">IF(NOT($AD$42),"",VLOOKUP($AH44,table.n.rv1,IF(ASZTAB!$AJ$44,12,11),FALSE))</f>
        <v>18</v>
      </c>
      <c r="O44" s="857"/>
      <c r="V44" s="337">
        <f t="shared" ca="1" si="37"/>
        <v>3.7999999999999999E-2</v>
      </c>
      <c r="W44" s="338" t="str">
        <f t="shared" ca="1" si="38"/>
        <v>BHD</v>
      </c>
      <c r="X44" s="337">
        <f t="shared" ca="1" si="39"/>
        <v>3.7999999999999999E-2</v>
      </c>
      <c r="Y44" s="338" t="str">
        <f t="shared" ca="1" si="9"/>
        <v>BHD</v>
      </c>
      <c r="AB44" s="294"/>
      <c r="AC44" s="232" t="s">
        <v>266</v>
      </c>
      <c r="AD44" s="521" t="b">
        <v>1</v>
      </c>
      <c r="AE44" s="294"/>
      <c r="AG44" s="294"/>
      <c r="AH44" s="210" t="str">
        <f t="shared" ca="1" si="10"/>
        <v>K&amp;H</v>
      </c>
      <c r="AI44" s="340">
        <f t="shared" ca="1" si="40"/>
        <v>3</v>
      </c>
      <c r="AJ44" s="338">
        <f t="shared" ca="1" si="11"/>
        <v>115</v>
      </c>
      <c r="AK44" s="338">
        <f t="shared" ca="1" si="12"/>
        <v>35</v>
      </c>
      <c r="AL44" s="294"/>
      <c r="AS44" s="341">
        <f t="shared" ca="1" si="13"/>
        <v>18080115.039000001</v>
      </c>
      <c r="AT44" s="377">
        <f t="shared" ref="AT44:AT51" ca="1" si="47">IF(AW44=0,"",IF(ABS(AS43-AS44)&lt;0.015,AT43,AV44))</f>
        <v>3</v>
      </c>
      <c r="AU44" s="343">
        <f ca="1">IF(NOT($AD$43),0,IF(ASZTAB!$AJ$44,BI44*100,IF(ASZTAB!$AJ$43,BG44*10,BG44))*1000000+IF(ASZTAB!$AJ$52,AY44*10000,0)+IF(ASZTAB!$AJ$44,BE44,BD44)*1000/IF(OR(ASZTAB!AJ$43,ASZTAB!$AJ$52),10,1)+IF(ASZTAB!$AJ$44,0,IF(ASZTAB!AJ$43,BB44/10,BB44))+BJ44+IF($AD$74,BK44,0)-IF(AW44=0,1000000000,0))</f>
        <v>21045084.037999999</v>
      </c>
      <c r="AV44" s="349">
        <v>3</v>
      </c>
      <c r="AW44" s="345" t="str">
        <f ca="1">IF(NOT($AD$43),0,RCSOP!BE59)</f>
        <v>BHD</v>
      </c>
      <c r="AX44" s="346">
        <f t="shared" ca="1" si="14"/>
        <v>5</v>
      </c>
      <c r="AY44" s="346">
        <f t="shared" ca="1" si="15"/>
        <v>4</v>
      </c>
      <c r="AZ44" s="346">
        <f t="shared" ca="1" si="16"/>
        <v>1</v>
      </c>
      <c r="BA44" s="346">
        <f t="shared" ca="1" si="17"/>
        <v>0</v>
      </c>
      <c r="BB44" s="346">
        <f t="shared" ca="1" si="18"/>
        <v>84</v>
      </c>
      <c r="BC44" s="346">
        <f t="shared" ca="1" si="19"/>
        <v>39</v>
      </c>
      <c r="BD44" s="346">
        <f t="shared" ca="1" si="41"/>
        <v>45</v>
      </c>
      <c r="BE44" s="347">
        <f t="shared" ca="1" si="42"/>
        <v>2.1538461538461537</v>
      </c>
      <c r="BF44" s="346">
        <f t="shared" ca="1" si="20"/>
        <v>-8</v>
      </c>
      <c r="BG44" s="346">
        <f ca="1">IF(NOT($AD$43),0,ASZTAB!$AJ$48*AY44+AZ44-BF44)</f>
        <v>21</v>
      </c>
      <c r="BH44" s="346">
        <f t="shared" ca="1" si="43"/>
        <v>16</v>
      </c>
      <c r="BI44" s="347">
        <f t="shared" ca="1" si="44"/>
        <v>0.72727272727272729</v>
      </c>
      <c r="BJ44" s="348">
        <v>3.7999999999999999E-2</v>
      </c>
      <c r="BK44" s="349">
        <f t="shared" ca="1" si="21"/>
        <v>0</v>
      </c>
      <c r="BM44" s="346">
        <f t="shared" ca="1" si="22"/>
        <v>0</v>
      </c>
      <c r="BN44" s="346">
        <f t="shared" ca="1" si="23"/>
        <v>2</v>
      </c>
      <c r="BO44" s="346">
        <f t="shared" ca="1" si="24"/>
        <v>1</v>
      </c>
      <c r="BP44" s="346">
        <f t="shared" ca="1" si="25"/>
        <v>0</v>
      </c>
      <c r="BQ44" s="534">
        <f t="shared" ca="1" si="26"/>
        <v>53</v>
      </c>
      <c r="BR44" s="534">
        <f t="shared" ca="1" si="27"/>
        <v>28</v>
      </c>
      <c r="BT44" s="346">
        <f t="shared" ca="1" si="28"/>
        <v>0</v>
      </c>
      <c r="BU44" s="346">
        <f t="shared" ca="1" si="29"/>
        <v>2</v>
      </c>
      <c r="BV44" s="346">
        <f t="shared" ca="1" si="30"/>
        <v>0</v>
      </c>
      <c r="BW44" s="346">
        <f t="shared" ca="1" si="31"/>
        <v>0</v>
      </c>
      <c r="BX44" s="534">
        <f t="shared" ca="1" si="32"/>
        <v>31</v>
      </c>
      <c r="BY44" s="534">
        <f t="shared" ca="1" si="33"/>
        <v>11</v>
      </c>
      <c r="CB44" s="350"/>
      <c r="CC44" s="353">
        <f ca="1">IF(ASZTAB!$AJ$44,COUNTIF($BI$54:$BI$63,CE44)*IF(OR(CE44=0,CE44=CE43),0,1),COUNTIF($BG$54:$BG$63,CD44)*IF(OR(CD44=0,CD44=CD43),0,1))+CF44/1000</f>
        <v>1.0029999999999999</v>
      </c>
      <c r="CD44" s="352">
        <f t="shared" ca="1" si="45"/>
        <v>18</v>
      </c>
      <c r="CE44" s="353">
        <f t="shared" ca="1" si="46"/>
        <v>0.72727272727272729</v>
      </c>
      <c r="CF44" s="354">
        <v>3</v>
      </c>
      <c r="CG44" s="350"/>
      <c r="CH44" s="355">
        <f ca="1">IF(LARGE(CC42:CC51,CF44)&lt;2,0,LARGE(CC42:CC51,CF44))</f>
        <v>0</v>
      </c>
      <c r="CI44" s="356" t="str">
        <f ca="1">IF(OR(CI41=BG56,CI41=BI56),AW56,"")</f>
        <v/>
      </c>
      <c r="CJ44" s="357" t="str">
        <f t="shared" ca="1" si="34"/>
        <v/>
      </c>
      <c r="CK44" s="358" t="str">
        <f ca="1">IF(ISERR(LARGE(CJ42:CJ51,CF44)),"",LARGE(CJ42:CJ51,CF44))</f>
        <v/>
      </c>
      <c r="CL44" s="356" t="str">
        <f ca="1">IF(OR(CL41=BG56,CL41=BI56),AW56,"")</f>
        <v/>
      </c>
      <c r="CM44" s="357" t="str">
        <f t="shared" ca="1" si="35"/>
        <v/>
      </c>
      <c r="CN44" s="358" t="str">
        <f ca="1">IF(ISERR(LARGE(CM42:CM51,CF44)),"",LARGE(CM42:CM51,CF44))</f>
        <v/>
      </c>
      <c r="CO44" s="356" t="str">
        <f ca="1">IF(OR(CO41=BG56,CO41=BI56),AW56,"")</f>
        <v/>
      </c>
      <c r="CP44" s="357" t="str">
        <f t="shared" ca="1" si="36"/>
        <v/>
      </c>
      <c r="CQ44" s="380"/>
      <c r="CR44" s="350"/>
      <c r="CS44" s="300"/>
      <c r="CT44" s="359" t="str">
        <f ca="1">IF(CK44="","",VLOOKUP(CK44,xxx.rr1,4,FALSE))</f>
        <v/>
      </c>
      <c r="CU44" s="360" t="str">
        <f ca="1">IF(OR(CT44="",DA44="",CT44=DA44,ISNA(VLOOKUP(CONCATENATE(CT44,DA44),games.r,2,FALSE))),"",CONCATENATE(CT44,DA44))</f>
        <v/>
      </c>
      <c r="CV44" s="360" t="str">
        <f ca="1">IF(CU44="","",CONCATENATE(VLOOKUP(CU44,games.r,9,FALSE),VLOOKUP(CU44,games.r,12,FALSE)))</f>
        <v/>
      </c>
      <c r="CW44" s="354" t="str">
        <f ca="1">IF(CU44="","",VLOOKUP(CU44,games.r,10,FALSE))</f>
        <v/>
      </c>
      <c r="CX44" s="354" t="str">
        <f ca="1">IF(CU44="","",VLOOKUP(CU44,games.r,13,FALSE))</f>
        <v/>
      </c>
      <c r="CY44" s="361" t="str">
        <f ca="1">IF(CU44="","",VLOOKUP(CU44,games.r,6,FALSE))</f>
        <v/>
      </c>
      <c r="CZ44" s="362" t="str">
        <f ca="1">IF(CU44="","",VLOOKUP(CU44,games.r,7,FALSE))</f>
        <v/>
      </c>
      <c r="DA44" s="379" t="str">
        <f t="shared" ref="DA44:DA51" ca="1" si="48">DA43</f>
        <v/>
      </c>
      <c r="DB44" s="302"/>
      <c r="DC44" s="364"/>
      <c r="DD44" s="302"/>
      <c r="DF44" s="365"/>
      <c r="DG44" s="366" t="str">
        <f ca="1">IF(AND(ASZTAB!$AJ$44,CT41,DA41&lt;&gt;2),CT44,"")</f>
        <v/>
      </c>
      <c r="DH44" s="366">
        <f ca="1">IF(DG44="",-1,COUNTIF(xxgy.rr,DG44))</f>
        <v>-1</v>
      </c>
      <c r="DI44" s="366">
        <f ca="1">IF(DG44="",0,COUNTIF(yygy.rr,DG44))</f>
        <v>0</v>
      </c>
      <c r="DK44" s="366">
        <f ca="1">IF(DG44="",0,1)*(SUMIF(yyo.rr,DG44,yyl.rr)+SUMIF(yyi.rr,DG44,yyk.rr))</f>
        <v>0</v>
      </c>
      <c r="DL44" s="366">
        <f ca="1">IF(DG44="",0,1)*(SUMIF(yyo.rr,DG44,yyk.rr)+SUMIF(yyi.rr,DG44,yyl.rr))</f>
        <v>0</v>
      </c>
      <c r="DN44" s="366">
        <f ca="1">IF(DL44=0,0,DK44/DL44)</f>
        <v>0</v>
      </c>
      <c r="DP44" s="366">
        <f ca="1">DH44*1000000+DI44*1000+DN44</f>
        <v>-1000000</v>
      </c>
      <c r="DT44" s="366">
        <f ca="1">IF(OR(ISERR(DP44),ISNA(DP44),DH44&lt;0),0,DP44)</f>
        <v>0</v>
      </c>
      <c r="DU44" s="366">
        <f ca="1">IF(DT44=0,0,RANK(DT44,DT42:DT46,1))</f>
        <v>0</v>
      </c>
      <c r="DV44" s="366">
        <f ca="1">DU44*40000*IF(COUNTIF($EN$42:$EN$51,DG44)&gt;0,0,1)</f>
        <v>0</v>
      </c>
      <c r="DW44" s="365"/>
      <c r="DX44" s="367">
        <f ca="1">IF(ASZTAB!$AJ$54,COUNTIF(DP48:DP52,DY43)*IF(OR(DY44=0,DY44=DY43),0,1),COUNTIF(DH42:DH46,DZ44)*IF(OR(DZ44=DZ43,DZ44&lt;0),0,1))+EA44/1000</f>
        <v>3.0000000000000001E-3</v>
      </c>
      <c r="DY44" s="367">
        <f ca="1">LARGE(DP48:DP52,EA44)</f>
        <v>0</v>
      </c>
      <c r="DZ44" s="369">
        <f ca="1">LARGE(DH42:DH46,EA44)</f>
        <v>-1</v>
      </c>
      <c r="EA44" s="369">
        <v>3</v>
      </c>
      <c r="EB44" s="365"/>
      <c r="EC44" s="365"/>
      <c r="ED44" s="371" t="str">
        <f ca="1">IF(DH44=ED41,DG44,IF(DP50=ED41,DG50,""))</f>
        <v/>
      </c>
      <c r="EE44" s="369" t="str">
        <f ca="1">IF(ED44="","",EA44)</f>
        <v/>
      </c>
      <c r="EF44" s="388" t="str">
        <f ca="1">IF(ISERR(LARGE(EE42:EE46,EA44)),"",LARGE(EE42:EE46,EA44))</f>
        <v/>
      </c>
      <c r="EG44" s="371" t="str">
        <f ca="1">IF(DH44=EG41,DG44,IF(DP50=EG41,DG50,""))</f>
        <v/>
      </c>
      <c r="EH44" s="369" t="str">
        <f ca="1">IF(EG44="","",EA44)</f>
        <v/>
      </c>
      <c r="EI44" s="381"/>
      <c r="EM44" s="365"/>
      <c r="EN44" s="366"/>
      <c r="EO44" s="373"/>
      <c r="EP44" s="333"/>
    </row>
    <row r="45" spans="2:146" ht="16.5" customHeight="1" x14ac:dyDescent="0.25">
      <c r="C45" s="511" t="str">
        <f t="shared" ca="1" si="0"/>
        <v/>
      </c>
      <c r="D45" s="510" t="str">
        <f t="shared" ca="1" si="1"/>
        <v>►</v>
      </c>
      <c r="E45" s="487" t="str">
        <f t="shared" ca="1" si="2"/>
        <v>4. Zrínyigyöngye</v>
      </c>
      <c r="F45" s="488">
        <f t="shared" ca="1" si="3"/>
        <v>5</v>
      </c>
      <c r="G45" s="489">
        <f t="shared" ca="1" si="4"/>
        <v>2</v>
      </c>
      <c r="H45" s="489" t="str">
        <f t="shared" ca="1" si="5"/>
        <v>–</v>
      </c>
      <c r="I45" s="489">
        <f t="shared" ca="1" si="6"/>
        <v>3</v>
      </c>
      <c r="J45" s="489" t="str">
        <f t="shared" ca="1" si="7"/>
        <v>84–56</v>
      </c>
      <c r="K45" s="490" t="str">
        <f t="shared" ca="1" si="8"/>
        <v xml:space="preserve">+28 </v>
      </c>
      <c r="L45" s="490"/>
      <c r="M45" s="490">
        <f ca="1">IF(NOT($AD$42),"",VLOOKUP($AH45,table.n.rv1,IF(ASZTAB!$AJ$44,12,11),FALSE))</f>
        <v>10</v>
      </c>
      <c r="O45" s="503" t="s">
        <v>398</v>
      </c>
      <c r="P45" s="858">
        <f ca="1">IF(SUM(AX42:AX51)=0,"–",(SUM(BB42:BC51)+SUM(BB66:BC75)+SUM(BB90:BC99))/(SUM(AX42:AX51)+SUM(AX66:AX75)+SUM(AX90:AX99)))</f>
        <v>29.72</v>
      </c>
      <c r="Q45" s="858"/>
      <c r="R45" s="858"/>
      <c r="V45" s="337">
        <f t="shared" ca="1" si="37"/>
        <v>3.6999999999999998E-2</v>
      </c>
      <c r="W45" s="338" t="str">
        <f t="shared" ca="1" si="38"/>
        <v>Zrínyigyöngye</v>
      </c>
      <c r="X45" s="337">
        <f t="shared" ca="1" si="39"/>
        <v>3.6999999999999998E-2</v>
      </c>
      <c r="Y45" s="338" t="str">
        <f t="shared" ca="1" si="9"/>
        <v>Zrínyigyöngye</v>
      </c>
      <c r="AB45" s="294"/>
      <c r="AC45" s="232" t="s">
        <v>361</v>
      </c>
      <c r="AD45" s="521" t="b">
        <v>0</v>
      </c>
      <c r="AE45" s="294"/>
      <c r="AG45" s="294"/>
      <c r="AH45" s="210" t="str">
        <f t="shared" ca="1" si="10"/>
        <v>Zrínyigyöngye</v>
      </c>
      <c r="AI45" s="340">
        <f t="shared" ca="1" si="40"/>
        <v>4</v>
      </c>
      <c r="AJ45" s="338">
        <f t="shared" ca="1" si="11"/>
        <v>84</v>
      </c>
      <c r="AK45" s="338">
        <f t="shared" ca="1" si="12"/>
        <v>56</v>
      </c>
      <c r="AL45" s="294"/>
      <c r="AS45" s="341">
        <f t="shared" ca="1" si="13"/>
        <v>10028084.037</v>
      </c>
      <c r="AT45" s="377">
        <f t="shared" ca="1" si="47"/>
        <v>4</v>
      </c>
      <c r="AU45" s="343">
        <f ca="1">IF(NOT($AD$43),0,IF(ASZTAB!$AJ$44,BI45*100,IF(ASZTAB!$AJ$43,BG45*10,BG45))*1000000+IF(ASZTAB!$AJ$52,AY45*10000,0)+IF(ASZTAB!$AJ$44,BE45,BD45)*1000/IF(OR(ASZTAB!AJ$43,ASZTAB!$AJ$52),10,1)+IF(ASZTAB!$AJ$44,0,IF(ASZTAB!AJ$43,BB45/10,BB45))+BJ45+IF($AD$74,BK45,0)-IF(AW45=0,1000000000,0))</f>
        <v>10028084.037</v>
      </c>
      <c r="AV45" s="349">
        <v>4</v>
      </c>
      <c r="AW45" s="345" t="str">
        <f ca="1">IF(NOT($AD$43),0,RCSOP!BE60)</f>
        <v>Zrínyigyöngye</v>
      </c>
      <c r="AX45" s="346">
        <f t="shared" ca="1" si="14"/>
        <v>5</v>
      </c>
      <c r="AY45" s="346">
        <f t="shared" ca="1" si="15"/>
        <v>2</v>
      </c>
      <c r="AZ45" s="346">
        <f t="shared" ca="1" si="16"/>
        <v>0</v>
      </c>
      <c r="BA45" s="346">
        <f t="shared" ca="1" si="17"/>
        <v>3</v>
      </c>
      <c r="BB45" s="346">
        <f t="shared" ca="1" si="18"/>
        <v>84</v>
      </c>
      <c r="BC45" s="346">
        <f t="shared" ca="1" si="19"/>
        <v>56</v>
      </c>
      <c r="BD45" s="346">
        <f t="shared" ca="1" si="41"/>
        <v>28</v>
      </c>
      <c r="BE45" s="347">
        <f t="shared" ca="1" si="42"/>
        <v>1.5</v>
      </c>
      <c r="BF45" s="346">
        <f t="shared" ca="1" si="20"/>
        <v>-4</v>
      </c>
      <c r="BG45" s="346">
        <f ca="1">IF(NOT($AD$43),0,ASZTAB!$AJ$48*AY45+AZ45-BF45)</f>
        <v>10</v>
      </c>
      <c r="BH45" s="346">
        <f t="shared" ca="1" si="43"/>
        <v>11</v>
      </c>
      <c r="BI45" s="347">
        <f t="shared" ca="1" si="44"/>
        <v>0.5</v>
      </c>
      <c r="BJ45" s="348">
        <v>3.6999999999999998E-2</v>
      </c>
      <c r="BK45" s="349">
        <f t="shared" ca="1" si="21"/>
        <v>0</v>
      </c>
      <c r="BM45" s="346">
        <f t="shared" ca="1" si="22"/>
        <v>0</v>
      </c>
      <c r="BN45" s="346">
        <f t="shared" ca="1" si="23"/>
        <v>1</v>
      </c>
      <c r="BO45" s="346">
        <f t="shared" ca="1" si="24"/>
        <v>0</v>
      </c>
      <c r="BP45" s="346">
        <f t="shared" ca="1" si="25"/>
        <v>1</v>
      </c>
      <c r="BQ45" s="534">
        <f t="shared" ca="1" si="26"/>
        <v>37</v>
      </c>
      <c r="BR45" s="534">
        <f t="shared" ca="1" si="27"/>
        <v>23</v>
      </c>
      <c r="BT45" s="346">
        <f t="shared" ca="1" si="28"/>
        <v>0</v>
      </c>
      <c r="BU45" s="346">
        <f t="shared" ca="1" si="29"/>
        <v>1</v>
      </c>
      <c r="BV45" s="346">
        <f t="shared" ca="1" si="30"/>
        <v>0</v>
      </c>
      <c r="BW45" s="346">
        <f t="shared" ca="1" si="31"/>
        <v>2</v>
      </c>
      <c r="BX45" s="534">
        <f t="shared" ca="1" si="32"/>
        <v>47</v>
      </c>
      <c r="BY45" s="534">
        <f t="shared" ca="1" si="33"/>
        <v>33</v>
      </c>
      <c r="CB45" s="350"/>
      <c r="CC45" s="353">
        <f ca="1">IF(ASZTAB!$AJ$44,COUNTIF($BI$54:$BI$63,CE45)*IF(OR(CE45=0,CE45=CE44),0,1),COUNTIF($BG$54:$BG$63,CD45)*IF(OR(CD45=0,CD45=CD44),0,1))+CF45/1000</f>
        <v>1.004</v>
      </c>
      <c r="CD45" s="352">
        <f t="shared" ca="1" si="45"/>
        <v>10</v>
      </c>
      <c r="CE45" s="353">
        <f t="shared" ca="1" si="46"/>
        <v>0.5</v>
      </c>
      <c r="CF45" s="354">
        <v>4</v>
      </c>
      <c r="CG45" s="350"/>
      <c r="CH45" s="300"/>
      <c r="CI45" s="356" t="str">
        <f ca="1">IF(OR(CI41=BG57,CI41=BI57),AW57,"")</f>
        <v/>
      </c>
      <c r="CJ45" s="357" t="str">
        <f t="shared" ca="1" si="34"/>
        <v/>
      </c>
      <c r="CK45" s="358" t="str">
        <f ca="1">IF(ISERR(LARGE(CJ42:CJ51,CF45)),"",LARGE(CJ42:CJ51,CF45))</f>
        <v/>
      </c>
      <c r="CL45" s="356" t="str">
        <f ca="1">IF(OR(CL41=BG57,CL41=BI57),AW57,"")</f>
        <v/>
      </c>
      <c r="CM45" s="357" t="str">
        <f t="shared" ca="1" si="35"/>
        <v/>
      </c>
      <c r="CN45" s="380"/>
      <c r="CO45" s="356" t="str">
        <f ca="1">IF(OR(CO41=BG57,CO41=BI57),AW57,"")</f>
        <v/>
      </c>
      <c r="CP45" s="357" t="str">
        <f t="shared" ca="1" si="36"/>
        <v/>
      </c>
      <c r="CQ45" s="385"/>
      <c r="CR45" s="350"/>
      <c r="CS45" s="300"/>
      <c r="CT45" s="359" t="str">
        <f ca="1">IF(CK45="","",VLOOKUP(CK45,xxx.rr1,4,FALSE))</f>
        <v/>
      </c>
      <c r="CU45" s="360" t="str">
        <f ca="1">IF(OR(CT45="",DA45="",CT45=DA45,ISNA(VLOOKUP(CONCATENATE(CT45,DA45),games.r,2,FALSE))),"",CONCATENATE(CT45,DA45))</f>
        <v/>
      </c>
      <c r="CV45" s="360" t="str">
        <f ca="1">IF(CU45="","",CONCATENATE(VLOOKUP(CU45,games.r,9,FALSE),VLOOKUP(CU45,games.r,12,FALSE)))</f>
        <v/>
      </c>
      <c r="CW45" s="354" t="str">
        <f ca="1">IF(CU45="","",VLOOKUP(CU45,games.r,10,FALSE))</f>
        <v/>
      </c>
      <c r="CX45" s="354" t="str">
        <f ca="1">IF(CU45="","",VLOOKUP(CU45,games.r,13,FALSE))</f>
        <v/>
      </c>
      <c r="CY45" s="361" t="str">
        <f ca="1">IF(CU45="","",VLOOKUP(CU45,games.r,6,FALSE))</f>
        <v/>
      </c>
      <c r="CZ45" s="362" t="str">
        <f ca="1">IF(CU45="","",VLOOKUP(CU45,games.r,7,FALSE))</f>
        <v/>
      </c>
      <c r="DA45" s="379" t="str">
        <f t="shared" ca="1" si="48"/>
        <v/>
      </c>
      <c r="DB45" s="302"/>
      <c r="DC45" s="364"/>
      <c r="DD45" s="302"/>
      <c r="DF45" s="365"/>
      <c r="DG45" s="366" t="str">
        <f ca="1">IF(AND(ASZTAB!$AJ$44,CT41,DA41&lt;&gt;2),CT45,"")</f>
        <v/>
      </c>
      <c r="DH45" s="366">
        <f ca="1">IF(DG45="",-1,COUNTIF(xxgy.rr,DG45))</f>
        <v>-1</v>
      </c>
      <c r="DI45" s="366">
        <f ca="1">IF(DG45="",0,COUNTIF(yygy.rr,DG45))</f>
        <v>0</v>
      </c>
      <c r="DK45" s="366">
        <f ca="1">IF(DG45="",0,1)*(SUMIF(yyo.rr,DG45,yyl.rr)+SUMIF(yyi.rr,DG45,yyk.rr))</f>
        <v>0</v>
      </c>
      <c r="DL45" s="366">
        <f ca="1">IF(DG45="",0,1)*(SUMIF(yyo.rr,DG45,yyk.rr)+SUMIF(yyi.rr,DG45,yyl.rr))</f>
        <v>0</v>
      </c>
      <c r="DN45" s="366">
        <f ca="1">IF(DL45=0,0,DK45/DL45)</f>
        <v>0</v>
      </c>
      <c r="DP45" s="366">
        <f ca="1">DH45*1000000+DI45*1000+DN45</f>
        <v>-1000000</v>
      </c>
      <c r="DT45" s="366">
        <f ca="1">IF(OR(ISERR(DP45),ISNA(DP45),DH45&lt;0),0,DP45)</f>
        <v>0</v>
      </c>
      <c r="DU45" s="366">
        <f ca="1">IF(DT45=0,0,RANK(DT45,DT42:DT46,1))</f>
        <v>0</v>
      </c>
      <c r="DV45" s="366">
        <f ca="1">DU45*40000*IF(COUNTIF($EN$42:$EN$51,DG45)&gt;0,0,1)</f>
        <v>0</v>
      </c>
      <c r="DW45" s="365"/>
      <c r="DX45" s="367">
        <f ca="1">IF(ASZTAB!$AJ$54,COUNTIF(DP48:DP52,DY44)*IF(OR(DY45=0,DY45=DY44),0,1),COUNTIF(DH42:DH46,DZ45)*IF(OR(DZ45=DZ44,DZ45&lt;0),0,1))+EA45/1000</f>
        <v>4.0000000000000001E-3</v>
      </c>
      <c r="DY45" s="367">
        <f ca="1">LARGE(DP48:DP52,EA45)</f>
        <v>0</v>
      </c>
      <c r="DZ45" s="369">
        <f ca="1">LARGE(DH42:DH46,EA45)</f>
        <v>-1</v>
      </c>
      <c r="EA45" s="369">
        <v>4</v>
      </c>
      <c r="EB45" s="365"/>
      <c r="EC45" s="365"/>
      <c r="ED45" s="371" t="str">
        <f ca="1">IF(DH45=ED41,DG45,IF(DP51=ED41,DG51,""))</f>
        <v/>
      </c>
      <c r="EE45" s="369" t="str">
        <f ca="1">IF(ED45="","",EA45)</f>
        <v/>
      </c>
      <c r="EF45" s="386"/>
      <c r="EG45" s="371" t="str">
        <f ca="1">IF(DH45=EG41,DG45,IF(DP51=EG41,DG51,""))</f>
        <v/>
      </c>
      <c r="EH45" s="369" t="str">
        <f ca="1">IF(EG45="","",EA45)</f>
        <v/>
      </c>
      <c r="EI45" s="386"/>
      <c r="EM45" s="365"/>
      <c r="EN45" s="366"/>
      <c r="EO45" s="373"/>
      <c r="EP45" s="333"/>
    </row>
    <row r="46" spans="2:146" ht="16.5" customHeight="1" x14ac:dyDescent="0.25">
      <c r="C46" s="511" t="str">
        <f t="shared" ca="1" si="0"/>
        <v/>
      </c>
      <c r="D46" s="510" t="str">
        <f t="shared" ca="1" si="1"/>
        <v>►</v>
      </c>
      <c r="E46" s="487" t="str">
        <f t="shared" ca="1" si="2"/>
        <v>5. Hercules-Ludovika</v>
      </c>
      <c r="F46" s="488">
        <f t="shared" ca="1" si="3"/>
        <v>5</v>
      </c>
      <c r="G46" s="489">
        <f t="shared" ca="1" si="4"/>
        <v>2</v>
      </c>
      <c r="H46" s="489" t="str">
        <f t="shared" ca="1" si="5"/>
        <v>–</v>
      </c>
      <c r="I46" s="489">
        <f t="shared" ca="1" si="6"/>
        <v>3</v>
      </c>
      <c r="J46" s="489" t="str">
        <f t="shared" ca="1" si="7"/>
        <v>65–69</v>
      </c>
      <c r="K46" s="490" t="str">
        <f t="shared" ca="1" si="8"/>
        <v xml:space="preserve">–4 </v>
      </c>
      <c r="L46" s="490"/>
      <c r="M46" s="490">
        <f ca="1">IF(NOT($AD$42),"",VLOOKUP($AH46,table.n.rv1,IF(ASZTAB!$AJ$44,12,11),FALSE))</f>
        <v>6</v>
      </c>
      <c r="O46" s="859" t="s">
        <v>147</v>
      </c>
      <c r="P46" s="859"/>
      <c r="Q46" s="859"/>
      <c r="R46" s="859"/>
      <c r="V46" s="337">
        <f t="shared" ca="1" si="37"/>
        <v>3.5999999999999997E-2</v>
      </c>
      <c r="W46" s="338" t="str">
        <f t="shared" ca="1" si="38"/>
        <v>Élelmesek</v>
      </c>
      <c r="X46" s="337">
        <f t="shared" ca="1" si="39"/>
        <v>3.5999999999999997E-2</v>
      </c>
      <c r="Y46" s="338" t="str">
        <f t="shared" ca="1" si="9"/>
        <v>Élelmesek</v>
      </c>
      <c r="AB46" s="294"/>
      <c r="AE46" s="294"/>
      <c r="AG46" s="294"/>
      <c r="AH46" s="210" t="str">
        <f t="shared" ca="1" si="10"/>
        <v>Hercules-Ludovika</v>
      </c>
      <c r="AI46" s="340">
        <f t="shared" ca="1" si="40"/>
        <v>5</v>
      </c>
      <c r="AJ46" s="338">
        <f t="shared" ca="1" si="11"/>
        <v>65</v>
      </c>
      <c r="AK46" s="338">
        <f t="shared" ca="1" si="12"/>
        <v>69</v>
      </c>
      <c r="AL46" s="294"/>
      <c r="AS46" s="341">
        <f t="shared" ca="1" si="13"/>
        <v>5996065.0350000001</v>
      </c>
      <c r="AT46" s="377">
        <f t="shared" ca="1" si="47"/>
        <v>5</v>
      </c>
      <c r="AU46" s="343">
        <f ca="1">IF(NOT($AD$43),0,IF(ASZTAB!$AJ$44,BI46*100,IF(ASZTAB!$AJ$43,BG46*10,BG46))*1000000+IF(ASZTAB!$AJ$52,AY46*10000,0)+IF(ASZTAB!$AJ$44,BE46,BD46)*1000/IF(OR(ASZTAB!AJ$43,ASZTAB!$AJ$52),10,1)+IF(ASZTAB!$AJ$44,0,IF(ASZTAB!AJ$43,BB46/10,BB46))+BJ46+IF($AD$74,BK46,0)-IF(AW46=0,1000000000,0))</f>
        <v>996068.03599999996</v>
      </c>
      <c r="AV46" s="349">
        <v>5</v>
      </c>
      <c r="AW46" s="345" t="str">
        <f ca="1">IF(NOT($AD$43),0,RCSOP!BE61)</f>
        <v>Élelmesek</v>
      </c>
      <c r="AX46" s="346">
        <f t="shared" ca="1" si="14"/>
        <v>5</v>
      </c>
      <c r="AY46" s="346">
        <f t="shared" ca="1" si="15"/>
        <v>0</v>
      </c>
      <c r="AZ46" s="346">
        <f t="shared" ca="1" si="16"/>
        <v>1</v>
      </c>
      <c r="BA46" s="346">
        <f t="shared" ca="1" si="17"/>
        <v>4</v>
      </c>
      <c r="BB46" s="346">
        <f t="shared" ca="1" si="18"/>
        <v>68</v>
      </c>
      <c r="BC46" s="346">
        <f t="shared" ca="1" si="19"/>
        <v>72</v>
      </c>
      <c r="BD46" s="346">
        <f t="shared" ca="1" si="41"/>
        <v>-4</v>
      </c>
      <c r="BE46" s="347">
        <f t="shared" ca="1" si="42"/>
        <v>0.94444444444444442</v>
      </c>
      <c r="BF46" s="346">
        <f t="shared" ca="1" si="20"/>
        <v>0</v>
      </c>
      <c r="BG46" s="346">
        <f ca="1">IF(NOT($AD$43),0,ASZTAB!$AJ$48*AY46+AZ46-BF46)</f>
        <v>1</v>
      </c>
      <c r="BH46" s="346">
        <f t="shared" ca="1" si="43"/>
        <v>4</v>
      </c>
      <c r="BI46" s="347">
        <f t="shared" ca="1" si="44"/>
        <v>0.18181818181818182</v>
      </c>
      <c r="BJ46" s="348">
        <v>3.5999999999999997E-2</v>
      </c>
      <c r="BK46" s="349">
        <f t="shared" ca="1" si="21"/>
        <v>0</v>
      </c>
      <c r="BM46" s="346">
        <f t="shared" ca="1" si="22"/>
        <v>0</v>
      </c>
      <c r="BN46" s="346">
        <f t="shared" ca="1" si="23"/>
        <v>0</v>
      </c>
      <c r="BO46" s="346">
        <f t="shared" ca="1" si="24"/>
        <v>0</v>
      </c>
      <c r="BP46" s="346">
        <f t="shared" ca="1" si="25"/>
        <v>1</v>
      </c>
      <c r="BQ46" s="534">
        <f t="shared" ca="1" si="26"/>
        <v>30</v>
      </c>
      <c r="BR46" s="534">
        <f t="shared" ca="1" si="27"/>
        <v>31</v>
      </c>
      <c r="BT46" s="346">
        <f t="shared" ca="1" si="28"/>
        <v>0</v>
      </c>
      <c r="BU46" s="346">
        <f t="shared" ca="1" si="29"/>
        <v>0</v>
      </c>
      <c r="BV46" s="346">
        <f t="shared" ca="1" si="30"/>
        <v>1</v>
      </c>
      <c r="BW46" s="346">
        <f t="shared" ca="1" si="31"/>
        <v>3</v>
      </c>
      <c r="BX46" s="534">
        <f t="shared" ca="1" si="32"/>
        <v>38</v>
      </c>
      <c r="BY46" s="534">
        <f t="shared" ca="1" si="33"/>
        <v>41</v>
      </c>
      <c r="CB46" s="350"/>
      <c r="CC46" s="353">
        <f ca="1">IF(ASZTAB!$AJ$44,COUNTIF($BI$54:$BI$63,CE46)*IF(OR(CE46=0,CE46=CE45),0,1),COUNTIF($BG$54:$BG$63,CD46)*IF(OR(CD46=0,CD46=CD45),0,1))+CF46/1000</f>
        <v>1.0049999999999999</v>
      </c>
      <c r="CD46" s="352">
        <f t="shared" ca="1" si="45"/>
        <v>6</v>
      </c>
      <c r="CE46" s="353">
        <f t="shared" ca="1" si="46"/>
        <v>0.31818181818181818</v>
      </c>
      <c r="CF46" s="354">
        <v>5</v>
      </c>
      <c r="CG46" s="350"/>
      <c r="CH46" s="300"/>
      <c r="CI46" s="356" t="str">
        <f ca="1">IF(OR(CI41=BG58,CI41=BI58),AW58,"")</f>
        <v/>
      </c>
      <c r="CJ46" s="357" t="str">
        <f t="shared" ca="1" si="34"/>
        <v/>
      </c>
      <c r="CK46" s="358" t="str">
        <f ca="1">IF(ISERR(LARGE(CJ42:CJ51,CF46)),"",LARGE(CJ42:CJ51,CF46))</f>
        <v/>
      </c>
      <c r="CL46" s="356" t="str">
        <f ca="1">IF(OR(CL41=BG58,CL41=BI58),AW58,"")</f>
        <v/>
      </c>
      <c r="CM46" s="357" t="str">
        <f t="shared" ca="1" si="35"/>
        <v/>
      </c>
      <c r="CN46" s="385"/>
      <c r="CO46" s="356" t="str">
        <f ca="1">IF(OR(CO41=BG58,CO41=BI58),AW58,"")</f>
        <v/>
      </c>
      <c r="CP46" s="357" t="str">
        <f t="shared" ca="1" si="36"/>
        <v/>
      </c>
      <c r="CQ46" s="385"/>
      <c r="CR46" s="350"/>
      <c r="CS46" s="300"/>
      <c r="CT46" s="359" t="str">
        <f ca="1">IF(CK46="","",VLOOKUP(CK46,xxx.rr1,4,FALSE))</f>
        <v/>
      </c>
      <c r="CU46" s="360" t="str">
        <f ca="1">IF(OR(CT46="",DA46="",CT46=DA46,ISNA(VLOOKUP(CONCATENATE(CT46,DA46),games.r,2,FALSE))),"",CONCATENATE(CT46,DA46))</f>
        <v/>
      </c>
      <c r="CV46" s="360" t="str">
        <f ca="1">IF(CU46="","",CONCATENATE(VLOOKUP(CU46,games.r,9,FALSE),VLOOKUP(CU46,games.r,12,FALSE)))</f>
        <v/>
      </c>
      <c r="CW46" s="354" t="str">
        <f ca="1">IF(CU46="","",VLOOKUP(CU46,games.r,10,FALSE))</f>
        <v/>
      </c>
      <c r="CX46" s="354" t="str">
        <f ca="1">IF(CU46="","",VLOOKUP(CU46,games.r,13,FALSE))</f>
        <v/>
      </c>
      <c r="CY46" s="361" t="str">
        <f ca="1">IF(CU46="","",VLOOKUP(CU46,games.r,6,FALSE))</f>
        <v/>
      </c>
      <c r="CZ46" s="362" t="str">
        <f ca="1">IF(CU46="","",VLOOKUP(CU46,games.r,7,FALSE))</f>
        <v/>
      </c>
      <c r="DA46" s="379" t="str">
        <f t="shared" ca="1" si="48"/>
        <v/>
      </c>
      <c r="DB46" s="302"/>
      <c r="DC46" s="364"/>
      <c r="DD46" s="302"/>
      <c r="DF46" s="365"/>
      <c r="DG46" s="366" t="str">
        <f ca="1">IF(AND(ASZTAB!$AJ$44,CT41,DA41&lt;&gt;2),CT46,"")</f>
        <v/>
      </c>
      <c r="DH46" s="366">
        <f ca="1">IF(DG46="",-1,COUNTIF(xxgy.rr,DG46))</f>
        <v>-1</v>
      </c>
      <c r="DI46" s="366">
        <f ca="1">IF(DG46="",0,COUNTIF(yygy.rr,DG46))</f>
        <v>0</v>
      </c>
      <c r="DK46" s="366">
        <f ca="1">IF(DG46="",0,1)*(SUMIF(yyo.rr,DG46,yyl.rr)+SUMIF(yyi.rr,DG46,yyk.rr))</f>
        <v>0</v>
      </c>
      <c r="DL46" s="366">
        <f ca="1">IF(DG46="",0,1)*(SUMIF(yyo.rr,DG46,yyk.rr)+SUMIF(yyi.rr,DG46,yyl.rr))</f>
        <v>0</v>
      </c>
      <c r="DN46" s="366">
        <f ca="1">IF(DL46=0,0,DK46/DL46)</f>
        <v>0</v>
      </c>
      <c r="DP46" s="366">
        <f ca="1">DH46*1000000+DI46*1000+DN46</f>
        <v>-1000000</v>
      </c>
      <c r="DT46" s="366">
        <f ca="1">IF(OR(ISERR(DP46),ISNA(DP46),DH46&lt;0),0,DP46)</f>
        <v>0</v>
      </c>
      <c r="DU46" s="366">
        <f ca="1">IF(DT46=0,0,RANK(DT46,DT42:DT46,1))</f>
        <v>0</v>
      </c>
      <c r="DV46" s="366">
        <f ca="1">DU46*40000*IF(COUNTIF($EN$42:$EN$51,DG46)&gt;0,0,1)</f>
        <v>0</v>
      </c>
      <c r="DW46" s="365"/>
      <c r="DX46" s="367">
        <f ca="1">IF(ASZTAB!$AJ$54,COUNTIF(DP48:DP52,DY45)*IF(OR(DY46=0,DY46=DY45),0,1),COUNTIF(DH42:DH46,DZ46)*IF(OR(DZ46=DZ45,DZ46&lt;0),0,1))+EA46/1000</f>
        <v>5.0000000000000001E-3</v>
      </c>
      <c r="DY46" s="367">
        <f ca="1">LARGE(DP48:DP52,EA46)</f>
        <v>0</v>
      </c>
      <c r="DZ46" s="369">
        <f ca="1">LARGE(DH42:DH46,EA46)</f>
        <v>-1</v>
      </c>
      <c r="EA46" s="369">
        <v>5</v>
      </c>
      <c r="EB46" s="365"/>
      <c r="EC46" s="365"/>
      <c r="ED46" s="371" t="str">
        <f ca="1">IF(DH46=ED41,DG46,IF(DP52=ED41,DG52,""))</f>
        <v/>
      </c>
      <c r="EE46" s="369" t="str">
        <f ca="1">IF(ED46="","",EA46)</f>
        <v/>
      </c>
      <c r="EF46" s="391"/>
      <c r="EG46" s="371" t="str">
        <f ca="1">IF(DH46=EG41,DG46,IF(DP52=EG41,DG52,""))</f>
        <v/>
      </c>
      <c r="EH46" s="369" t="str">
        <f ca="1">IF(EG46="","",EA46)</f>
        <v/>
      </c>
      <c r="EI46" s="391"/>
      <c r="EM46" s="365"/>
      <c r="EN46" s="366"/>
      <c r="EO46" s="373"/>
      <c r="EP46" s="333"/>
    </row>
    <row r="47" spans="2:146" ht="16.5" customHeight="1" x14ac:dyDescent="0.25">
      <c r="C47" s="511" t="str">
        <f t="shared" ca="1" si="0"/>
        <v/>
      </c>
      <c r="D47" s="510" t="str">
        <f t="shared" ca="1" si="1"/>
        <v>►</v>
      </c>
      <c r="E47" s="499" t="str">
        <f t="shared" ca="1" si="2"/>
        <v>6. Élelmesek</v>
      </c>
      <c r="F47" s="500">
        <f t="shared" ca="1" si="3"/>
        <v>5</v>
      </c>
      <c r="G47" s="501" t="str">
        <f t="shared" ca="1" si="4"/>
        <v>–</v>
      </c>
      <c r="H47" s="501">
        <f t="shared" ca="1" si="5"/>
        <v>1</v>
      </c>
      <c r="I47" s="501">
        <f t="shared" ca="1" si="6"/>
        <v>4</v>
      </c>
      <c r="J47" s="501" t="str">
        <f t="shared" ca="1" si="7"/>
        <v>68–72</v>
      </c>
      <c r="K47" s="502" t="str">
        <f t="shared" ca="1" si="8"/>
        <v xml:space="preserve">–4 </v>
      </c>
      <c r="L47" s="502"/>
      <c r="M47" s="502">
        <f ca="1">IF(NOT($AD$42),"",VLOOKUP($AH47,table.n.rv1,IF(ASZTAB!$AJ$44,12,11),FALSE))</f>
        <v>1</v>
      </c>
      <c r="O47" s="859"/>
      <c r="P47" s="859"/>
      <c r="Q47" s="859"/>
      <c r="R47" s="859"/>
      <c r="V47" s="337">
        <f t="shared" ca="1" si="37"/>
        <v>3.5000000000000003E-2</v>
      </c>
      <c r="W47" s="338" t="str">
        <f t="shared" ca="1" si="38"/>
        <v>Hercules-Ludovika</v>
      </c>
      <c r="X47" s="337">
        <f t="shared" ca="1" si="39"/>
        <v>3.5000000000000003E-2</v>
      </c>
      <c r="Y47" s="338" t="str">
        <f t="shared" ca="1" si="9"/>
        <v>Hercules-Ludovika</v>
      </c>
      <c r="AB47" s="294"/>
      <c r="AC47" s="232" t="s">
        <v>275</v>
      </c>
      <c r="AD47" s="376">
        <v>6</v>
      </c>
      <c r="AE47" s="294"/>
      <c r="AG47" s="294"/>
      <c r="AH47" s="210" t="str">
        <f t="shared" ca="1" si="10"/>
        <v>Élelmesek</v>
      </c>
      <c r="AI47" s="340">
        <f t="shared" ca="1" si="40"/>
        <v>6</v>
      </c>
      <c r="AJ47" s="338">
        <f t="shared" ca="1" si="11"/>
        <v>68</v>
      </c>
      <c r="AK47" s="338">
        <f t="shared" ca="1" si="12"/>
        <v>72</v>
      </c>
      <c r="AL47" s="294"/>
      <c r="AS47" s="341">
        <f t="shared" ca="1" si="13"/>
        <v>996068.03599999996</v>
      </c>
      <c r="AT47" s="377">
        <f t="shared" ca="1" si="47"/>
        <v>6</v>
      </c>
      <c r="AU47" s="343">
        <f ca="1">IF(NOT($AD$43),0,IF(ASZTAB!$AJ$44,BI47*100,IF(ASZTAB!$AJ$43,BG47*10,BG47))*1000000+IF(ASZTAB!$AJ$52,AY47*10000,0)+IF(ASZTAB!$AJ$44,BE47,BD47)*1000/IF(OR(ASZTAB!AJ$43,ASZTAB!$AJ$52),10,1)+IF(ASZTAB!$AJ$44,0,IF(ASZTAB!AJ$43,BB47/10,BB47))+BJ47+IF($AD$74,BK47,0)-IF(AW47=0,1000000000,0))</f>
        <v>5996065.0350000001</v>
      </c>
      <c r="AV47" s="349">
        <v>6</v>
      </c>
      <c r="AW47" s="345" t="str">
        <f ca="1">IF(NOT($AD$43),0,RCSOP!BE62)</f>
        <v>Hercules-Ludovika</v>
      </c>
      <c r="AX47" s="346">
        <f t="shared" ca="1" si="14"/>
        <v>5</v>
      </c>
      <c r="AY47" s="346">
        <f t="shared" ca="1" si="15"/>
        <v>2</v>
      </c>
      <c r="AZ47" s="346">
        <f t="shared" ca="1" si="16"/>
        <v>0</v>
      </c>
      <c r="BA47" s="346">
        <f t="shared" ca="1" si="17"/>
        <v>3</v>
      </c>
      <c r="BB47" s="346">
        <f t="shared" ca="1" si="18"/>
        <v>65</v>
      </c>
      <c r="BC47" s="346">
        <f t="shared" ca="1" si="19"/>
        <v>69</v>
      </c>
      <c r="BD47" s="346">
        <f t="shared" ca="1" si="41"/>
        <v>-4</v>
      </c>
      <c r="BE47" s="347">
        <f t="shared" ca="1" si="42"/>
        <v>0.94202898550724634</v>
      </c>
      <c r="BF47" s="346">
        <f t="shared" ca="1" si="20"/>
        <v>0</v>
      </c>
      <c r="BG47" s="346">
        <f ca="1">IF(NOT($AD$43),0,ASZTAB!$AJ$48*AY47+AZ47-BF47)</f>
        <v>6</v>
      </c>
      <c r="BH47" s="346">
        <f t="shared" ca="1" si="43"/>
        <v>7</v>
      </c>
      <c r="BI47" s="347">
        <f t="shared" ca="1" si="44"/>
        <v>0.31818181818181818</v>
      </c>
      <c r="BJ47" s="348">
        <v>3.5000000000000003E-2</v>
      </c>
      <c r="BK47" s="349">
        <f t="shared" ca="1" si="21"/>
        <v>0</v>
      </c>
      <c r="BM47" s="346">
        <f t="shared" ca="1" si="22"/>
        <v>0</v>
      </c>
      <c r="BN47" s="346">
        <f t="shared" ca="1" si="23"/>
        <v>0</v>
      </c>
      <c r="BO47" s="346">
        <f t="shared" ca="1" si="24"/>
        <v>0</v>
      </c>
      <c r="BP47" s="346">
        <f t="shared" ca="1" si="25"/>
        <v>0</v>
      </c>
      <c r="BQ47" s="534">
        <f t="shared" ca="1" si="26"/>
        <v>34</v>
      </c>
      <c r="BR47" s="534">
        <f t="shared" ca="1" si="27"/>
        <v>25</v>
      </c>
      <c r="BT47" s="346">
        <f t="shared" ca="1" si="28"/>
        <v>0</v>
      </c>
      <c r="BU47" s="346">
        <f t="shared" ca="1" si="29"/>
        <v>2</v>
      </c>
      <c r="BV47" s="346">
        <f t="shared" ca="1" si="30"/>
        <v>0</v>
      </c>
      <c r="BW47" s="346">
        <f t="shared" ca="1" si="31"/>
        <v>3</v>
      </c>
      <c r="BX47" s="534">
        <f t="shared" ca="1" si="32"/>
        <v>31</v>
      </c>
      <c r="BY47" s="534">
        <f t="shared" ca="1" si="33"/>
        <v>44</v>
      </c>
      <c r="CB47" s="350"/>
      <c r="CC47" s="353">
        <f ca="1">IF(ASZTAB!$AJ$44,COUNTIF($BI$54:$BI$63,CE47)*IF(OR(CE47=0,CE47=CE46),0,1),COUNTIF($BG$54:$BG$63,CD47)*IF(OR(CD47=0,CD47=CD46),0,1))+CF47/1000</f>
        <v>1.006</v>
      </c>
      <c r="CD47" s="352">
        <f t="shared" ca="1" si="45"/>
        <v>1</v>
      </c>
      <c r="CE47" s="353">
        <f t="shared" ca="1" si="46"/>
        <v>0.18181818181818182</v>
      </c>
      <c r="CF47" s="354">
        <v>6</v>
      </c>
      <c r="CG47" s="350"/>
      <c r="CH47" s="300"/>
      <c r="CI47" s="356" t="str">
        <f ca="1">IF(OR(CI41=BG59,CI41=BI59),AW59,"")</f>
        <v/>
      </c>
      <c r="CJ47" s="357" t="str">
        <f t="shared" ca="1" si="34"/>
        <v/>
      </c>
      <c r="CK47" s="380"/>
      <c r="CL47" s="356" t="str">
        <f ca="1">IF(OR(CL41=BG59,CL41=BI59),AW59,"")</f>
        <v/>
      </c>
      <c r="CM47" s="357" t="str">
        <f t="shared" ca="1" si="35"/>
        <v/>
      </c>
      <c r="CN47" s="385"/>
      <c r="CO47" s="356" t="str">
        <f ca="1">IF(OR(CO41=BG59,CO41=BI59),AW59,"")</f>
        <v/>
      </c>
      <c r="CP47" s="357" t="str">
        <f t="shared" ca="1" si="36"/>
        <v/>
      </c>
      <c r="CQ47" s="385"/>
      <c r="CR47" s="350"/>
      <c r="CS47" s="300"/>
      <c r="CT47" s="522" t="str">
        <f>IF(NOT($AD$98),"",CT42)</f>
        <v/>
      </c>
      <c r="CU47" s="371" t="str">
        <f ca="1">IF(OR(CT47="",DA47="",CT47=DA47,ISNA(VLOOKUP(CONCATENATE(CT47,DA47),games.a,2,FALSE))),"",CONCATENATE(CT47,DA47))</f>
        <v/>
      </c>
      <c r="CV47" s="371" t="str">
        <f ca="1">IF(CU47="","",CONCATENATE(VLOOKUP(CU47,games.a,9,FALSE),VLOOKUP(CU47,games.a,12,FALSE)))</f>
        <v/>
      </c>
      <c r="CW47" s="369" t="str">
        <f ca="1">IF(CU47="","",VLOOKUP(CU47,games.a,10,FALSE))</f>
        <v/>
      </c>
      <c r="CX47" s="369" t="str">
        <f ca="1">IF(CU47="","",VLOOKUP(CU47,games.a,13,FALSE))</f>
        <v/>
      </c>
      <c r="CY47" s="423" t="str">
        <f ca="1">IF(CU47="","",VLOOKUP(CU47,games.a,6,FALSE))</f>
        <v/>
      </c>
      <c r="CZ47" s="409" t="str">
        <f ca="1">IF(CU47="","",VLOOKUP(CU47,games.a,7,FALSE))</f>
        <v/>
      </c>
      <c r="DA47" s="523" t="str">
        <f t="shared" ca="1" si="48"/>
        <v/>
      </c>
      <c r="DB47" s="302"/>
      <c r="DC47" s="364"/>
      <c r="DD47" s="302"/>
      <c r="DF47" s="365"/>
      <c r="DG47" s="329" t="s">
        <v>229</v>
      </c>
      <c r="DH47" s="365"/>
      <c r="DI47" s="329" t="s">
        <v>152</v>
      </c>
      <c r="DJ47" s="329" t="s">
        <v>153</v>
      </c>
      <c r="DK47" s="329" t="s">
        <v>154</v>
      </c>
      <c r="DL47" s="329" t="s">
        <v>155</v>
      </c>
      <c r="DM47" s="329" t="s">
        <v>125</v>
      </c>
      <c r="DN47" s="329" t="s">
        <v>226</v>
      </c>
      <c r="DO47" s="329" t="s">
        <v>126</v>
      </c>
      <c r="DP47" s="329" t="s">
        <v>227</v>
      </c>
      <c r="DQ47" s="330" t="s">
        <v>154</v>
      </c>
      <c r="DR47" s="330" t="s">
        <v>155</v>
      </c>
      <c r="DS47" s="330" t="s">
        <v>125</v>
      </c>
      <c r="DT47" s="329" t="s">
        <v>228</v>
      </c>
      <c r="DU47" s="329" t="s">
        <v>156</v>
      </c>
      <c r="DV47" s="329" t="s">
        <v>208</v>
      </c>
      <c r="DW47" s="365"/>
      <c r="DX47" s="365"/>
      <c r="DY47" s="365"/>
      <c r="DZ47" s="365"/>
      <c r="EA47" s="365"/>
      <c r="EB47" s="365"/>
      <c r="EC47" s="365"/>
      <c r="ED47" s="365"/>
      <c r="EE47" s="365"/>
      <c r="EF47" s="365"/>
      <c r="EG47" s="365"/>
      <c r="EH47" s="365"/>
      <c r="EI47" s="365"/>
      <c r="EJ47" s="365"/>
      <c r="EK47" s="365"/>
      <c r="EL47" s="365"/>
      <c r="EM47" s="365"/>
      <c r="EN47" s="366"/>
      <c r="EO47" s="373"/>
      <c r="EP47" s="333"/>
    </row>
    <row r="48" spans="2:146" ht="16.5" customHeight="1" x14ac:dyDescent="0.25">
      <c r="C48" s="538"/>
      <c r="D48" s="539"/>
      <c r="E48" s="540"/>
      <c r="F48" s="290"/>
      <c r="G48" s="290"/>
      <c r="H48" s="290"/>
      <c r="I48" s="290"/>
      <c r="J48" s="290"/>
      <c r="K48" s="290"/>
      <c r="L48" s="290"/>
      <c r="M48" s="290"/>
      <c r="N48" s="286"/>
      <c r="O48" s="859"/>
      <c r="P48" s="859"/>
      <c r="Q48" s="859"/>
      <c r="R48" s="859"/>
      <c r="V48" s="337">
        <f t="shared" ca="1" si="37"/>
        <v>0</v>
      </c>
      <c r="W48" s="338">
        <f t="shared" ca="1" si="38"/>
        <v>0</v>
      </c>
      <c r="X48" s="337">
        <f t="shared" ca="1" si="39"/>
        <v>0.03</v>
      </c>
      <c r="Y48" s="338" t="str">
        <f t="shared" ca="1" si="9"/>
        <v>Bakafogó-Honvéd-Sashegy SE</v>
      </c>
      <c r="AB48" s="294"/>
      <c r="AC48" s="232" t="s">
        <v>273</v>
      </c>
      <c r="AD48" s="376">
        <v>5</v>
      </c>
      <c r="AE48" s="294"/>
      <c r="AG48" s="294"/>
      <c r="AH48" s="210" t="str">
        <f t="shared" ca="1" si="10"/>
        <v>–</v>
      </c>
      <c r="AI48" s="340" t="str">
        <f t="shared" ca="1" si="40"/>
        <v/>
      </c>
      <c r="AJ48" s="338" t="e">
        <f t="shared" ca="1" si="11"/>
        <v>#N/A</v>
      </c>
      <c r="AK48" s="338" t="e">
        <f t="shared" ca="1" si="12"/>
        <v>#N/A</v>
      </c>
      <c r="AL48" s="294"/>
      <c r="AS48" s="341">
        <f t="shared" ca="1" si="13"/>
        <v>-999999999.96599996</v>
      </c>
      <c r="AT48" s="377" t="str">
        <f t="shared" ca="1" si="47"/>
        <v/>
      </c>
      <c r="AU48" s="343">
        <f ca="1">IF(NOT($AD$43),0,IF(ASZTAB!$AJ$44,BI48*100,IF(ASZTAB!$AJ$43,BG48*10,BG48))*1000000+IF(ASZTAB!$AJ$52,AY48*10000,0)+IF(ASZTAB!$AJ$44,BE48,BD48)*1000/IF(OR(ASZTAB!AJ$43,ASZTAB!$AJ$52),10,1)+IF(ASZTAB!$AJ$44,0,IF(ASZTAB!AJ$43,BB48/10,BB48))+BJ48+IF($AD$74,BK48,0)-IF(AW48=0,1000000000,0))</f>
        <v>-999999999.96599996</v>
      </c>
      <c r="AV48" s="349">
        <v>7</v>
      </c>
      <c r="AW48" s="345">
        <f ca="1">IF(NOT($AD$43),0,RCSOP!BE63)</f>
        <v>0</v>
      </c>
      <c r="AX48" s="346">
        <f t="shared" ca="1" si="14"/>
        <v>0</v>
      </c>
      <c r="AY48" s="346">
        <f t="shared" ca="1" si="15"/>
        <v>0</v>
      </c>
      <c r="AZ48" s="346">
        <f t="shared" ca="1" si="16"/>
        <v>0</v>
      </c>
      <c r="BA48" s="346">
        <f t="shared" ca="1" si="17"/>
        <v>0</v>
      </c>
      <c r="BB48" s="346">
        <f t="shared" ca="1" si="18"/>
        <v>0</v>
      </c>
      <c r="BC48" s="346">
        <f t="shared" ca="1" si="19"/>
        <v>0</v>
      </c>
      <c r="BD48" s="346">
        <f t="shared" ca="1" si="41"/>
        <v>0</v>
      </c>
      <c r="BE48" s="347">
        <f t="shared" ca="1" si="42"/>
        <v>0</v>
      </c>
      <c r="BF48" s="346">
        <f t="shared" ca="1" si="20"/>
        <v>0</v>
      </c>
      <c r="BG48" s="346">
        <f ca="1">IF(NOT($AD$43),0,ASZTAB!$AJ$48*AY48+AZ48-BF48)</f>
        <v>0</v>
      </c>
      <c r="BH48" s="346">
        <f t="shared" ca="1" si="43"/>
        <v>0</v>
      </c>
      <c r="BI48" s="347">
        <f t="shared" ca="1" si="44"/>
        <v>0</v>
      </c>
      <c r="BJ48" s="348">
        <v>3.3999999999999996E-2</v>
      </c>
      <c r="BK48" s="349">
        <f t="shared" ca="1" si="21"/>
        <v>0</v>
      </c>
      <c r="BM48" s="346">
        <f t="shared" ca="1" si="22"/>
        <v>0</v>
      </c>
      <c r="BN48" s="346">
        <f t="shared" ca="1" si="23"/>
        <v>0</v>
      </c>
      <c r="BO48" s="346">
        <f t="shared" ca="1" si="24"/>
        <v>0</v>
      </c>
      <c r="BP48" s="346">
        <f t="shared" ca="1" si="25"/>
        <v>0</v>
      </c>
      <c r="BQ48" s="534">
        <f t="shared" ca="1" si="26"/>
        <v>0</v>
      </c>
      <c r="BR48" s="534">
        <f t="shared" ca="1" si="27"/>
        <v>0</v>
      </c>
      <c r="BT48" s="346">
        <f t="shared" ca="1" si="28"/>
        <v>0</v>
      </c>
      <c r="BU48" s="346">
        <f t="shared" ca="1" si="29"/>
        <v>0</v>
      </c>
      <c r="BV48" s="346">
        <f t="shared" ca="1" si="30"/>
        <v>0</v>
      </c>
      <c r="BW48" s="346">
        <f t="shared" ca="1" si="31"/>
        <v>0</v>
      </c>
      <c r="BX48" s="534">
        <f t="shared" ca="1" si="32"/>
        <v>0</v>
      </c>
      <c r="BY48" s="534">
        <f t="shared" ca="1" si="33"/>
        <v>0</v>
      </c>
      <c r="CB48" s="350"/>
      <c r="CC48" s="353">
        <f ca="1">IF(ASZTAB!$AJ$44,COUNTIF($BI$54:$BI$63,CE48)*IF(OR(CE48=0,CE48=CE47),0,1),COUNTIF($BG$54:$BG$63,CD48)*IF(OR(CD48=0,CD48=CD47),0,1))+CF48/1000</f>
        <v>7.0000000000000001E-3</v>
      </c>
      <c r="CD48" s="352">
        <f t="shared" ca="1" si="45"/>
        <v>0</v>
      </c>
      <c r="CE48" s="353">
        <f t="shared" ca="1" si="46"/>
        <v>0</v>
      </c>
      <c r="CF48" s="354">
        <v>7</v>
      </c>
      <c r="CG48" s="350"/>
      <c r="CH48" s="300"/>
      <c r="CI48" s="356" t="str">
        <f ca="1">IF(OR(CI41=BG60,CI41=BI60),AW60,"")</f>
        <v/>
      </c>
      <c r="CJ48" s="357" t="str">
        <f t="shared" ca="1" si="34"/>
        <v/>
      </c>
      <c r="CK48" s="385"/>
      <c r="CL48" s="356" t="str">
        <f ca="1">IF(OR(CL41=BG60,CL41=BI60),AW60,"")</f>
        <v/>
      </c>
      <c r="CM48" s="357" t="str">
        <f t="shared" ca="1" si="35"/>
        <v/>
      </c>
      <c r="CN48" s="385"/>
      <c r="CO48" s="356" t="str">
        <f ca="1">IF(OR(CO41=BG60,CO41=BI60),AW60,"")</f>
        <v/>
      </c>
      <c r="CP48" s="357" t="str">
        <f t="shared" ca="1" si="36"/>
        <v/>
      </c>
      <c r="CQ48" s="385"/>
      <c r="CR48" s="350"/>
      <c r="CS48" s="300"/>
      <c r="CT48" s="522" t="str">
        <f>IF(NOT($AD$98),"",CT43)</f>
        <v/>
      </c>
      <c r="CU48" s="371" t="str">
        <f ca="1">IF(OR(CT48="",DA48="",CT48=DA48,ISNA(VLOOKUP(CONCATENATE(CT48,DA48),games.a,2,FALSE))),"",CONCATENATE(CT48,DA48))</f>
        <v/>
      </c>
      <c r="CV48" s="371" t="str">
        <f ca="1">IF(CU48="","",CONCATENATE(VLOOKUP(CU48,games.a,9,FALSE),VLOOKUP(CU48,games.a,12,FALSE)))</f>
        <v/>
      </c>
      <c r="CW48" s="369" t="str">
        <f ca="1">IF(CU48="","",VLOOKUP(CU48,games.a,10,FALSE))</f>
        <v/>
      </c>
      <c r="CX48" s="369" t="str">
        <f ca="1">IF(CU48="","",VLOOKUP(CU48,games.a,13,FALSE))</f>
        <v/>
      </c>
      <c r="CY48" s="423" t="str">
        <f ca="1">IF(CU48="","",VLOOKUP(CU48,games.a,6,FALSE))</f>
        <v/>
      </c>
      <c r="CZ48" s="409" t="str">
        <f ca="1">IF(CU48="","",VLOOKUP(CU48,games.a,7,FALSE))</f>
        <v/>
      </c>
      <c r="DA48" s="523" t="str">
        <f t="shared" ca="1" si="48"/>
        <v/>
      </c>
      <c r="DB48" s="302"/>
      <c r="DC48" s="364"/>
      <c r="DD48" s="302"/>
      <c r="DF48" s="365"/>
      <c r="DG48" s="366" t="str">
        <f ca="1">IF(OR(NOT(ASZTAB!$AJ$44),AND(CT41,DG42="")),CT42,"")</f>
        <v/>
      </c>
      <c r="DH48" s="365"/>
      <c r="DI48" s="366">
        <f ca="1">IF(DG48="",0,COUNTIF(xxgy.rr,DG48))</f>
        <v>0</v>
      </c>
      <c r="DJ48" s="366">
        <f ca="1">IF(DG48="",0,COUNTIF(xxd.rr,DG48))</f>
        <v>0</v>
      </c>
      <c r="DK48" s="366">
        <f ca="1">IF(DG48="",0,1)*(SUMIF(xxo.rr,DG48,xxl.rr)+SUMIF(xxi.rr,DG48,xxk.rr))</f>
        <v>0</v>
      </c>
      <c r="DL48" s="366">
        <f ca="1">IF(DG48="",0,1)*(SUMIF(xxo.rr,DG48,xxk.rr)+SUMIF(xxi.rr,DG48,xxl.rr))</f>
        <v>0</v>
      </c>
      <c r="DM48" s="366">
        <f ca="1">DK48-DL48</f>
        <v>0</v>
      </c>
      <c r="DN48" s="366">
        <f ca="1">IF(DL48=0,0,DK48/DL48)</f>
        <v>0</v>
      </c>
      <c r="DO48" s="366">
        <f ca="1">ASZTAB!$AJ$48*DI48+IF(ASZTAB!$AJ$44,0,1)*DJ48</f>
        <v>0</v>
      </c>
      <c r="DP48" s="396">
        <f ca="1">DO48*1000000+IF(ASZTAB!$AJ$44,DN48,DM48)*1000*0</f>
        <v>0</v>
      </c>
      <c r="DQ48" s="366">
        <f ca="1">IF(DG48="",0,1)*(SUMIF(yyo.rr,DG48,yyl.rr)+SUMIF(yyi.rr,DG48,yyk.rr))</f>
        <v>0</v>
      </c>
      <c r="DR48" s="366">
        <f ca="1">IF(DG48="",0,1)*(SUMIF(yyo.rr,DG48,yyk.rr)+SUMIF(yyi.rr,DG48,yyl.rr))</f>
        <v>0</v>
      </c>
      <c r="DS48" s="366">
        <f ca="1">DQ48-DR48</f>
        <v>0</v>
      </c>
      <c r="DT48" s="366">
        <f ca="1">IF(OR(ISERR(DP48),ISNA(DP48)),0,DP48)+IF(ASZTAB!$AJ$54,DS48,0)</f>
        <v>0</v>
      </c>
      <c r="DU48" s="366">
        <f ca="1">IF(DT48=0,0,RANK(DT48,DT48:DT52,1))</f>
        <v>0</v>
      </c>
      <c r="DV48" s="366">
        <f ca="1">DU48*40000*IF(COUNTIF($EN$42:$EN$51,DG48)&gt;0,0,1)</f>
        <v>0</v>
      </c>
      <c r="DW48" s="365"/>
      <c r="DZ48" s="365"/>
      <c r="EA48" s="365"/>
      <c r="EB48" s="365"/>
      <c r="EC48" s="398"/>
      <c r="ED48" s="329" t="s">
        <v>157</v>
      </c>
      <c r="EE48" s="329" t="s">
        <v>158</v>
      </c>
      <c r="EF48" s="399"/>
      <c r="EG48" s="400"/>
      <c r="EH48" s="401" t="s">
        <v>160</v>
      </c>
      <c r="EI48" s="402" t="s">
        <v>135</v>
      </c>
      <c r="EJ48" s="403">
        <f ca="1">COUNT(EF42:EF44)</f>
        <v>0</v>
      </c>
      <c r="EK48" s="365"/>
      <c r="EL48" s="365"/>
      <c r="EM48" s="365"/>
      <c r="EN48" s="366"/>
      <c r="EO48" s="373"/>
      <c r="EP48" s="333"/>
    </row>
    <row r="49" spans="2:146" ht="16.5" customHeight="1" x14ac:dyDescent="0.25">
      <c r="C49" s="538"/>
      <c r="D49" s="539"/>
      <c r="E49" s="535" t="s">
        <v>507</v>
      </c>
      <c r="F49" s="535" t="s">
        <v>120</v>
      </c>
      <c r="G49" s="536" t="s">
        <v>121</v>
      </c>
      <c r="H49" s="536" t="s">
        <v>134</v>
      </c>
      <c r="I49" s="536" t="s">
        <v>122</v>
      </c>
      <c r="J49" s="536" t="s">
        <v>248</v>
      </c>
      <c r="K49" s="537" t="s">
        <v>230</v>
      </c>
      <c r="L49" s="537"/>
      <c r="M49" s="537" t="s">
        <v>434</v>
      </c>
      <c r="N49" s="286"/>
      <c r="O49" s="390"/>
      <c r="P49" s="390"/>
      <c r="Q49" s="390"/>
      <c r="R49" s="390"/>
      <c r="V49" s="337">
        <f t="shared" ca="1" si="37"/>
        <v>0</v>
      </c>
      <c r="W49" s="338">
        <f t="shared" ca="1" si="38"/>
        <v>0</v>
      </c>
      <c r="X49" s="337">
        <f t="shared" ca="1" si="39"/>
        <v>2.8999999999999998E-2</v>
      </c>
      <c r="Y49" s="338" t="str">
        <f t="shared" ca="1" si="9"/>
        <v>Vakana</v>
      </c>
      <c r="AB49" s="294"/>
      <c r="AD49" s="232"/>
      <c r="AE49" s="232"/>
      <c r="AG49" s="232"/>
      <c r="AH49" s="210" t="str">
        <f t="shared" ca="1" si="10"/>
        <v>–</v>
      </c>
      <c r="AI49" s="340" t="str">
        <f t="shared" ca="1" si="40"/>
        <v/>
      </c>
      <c r="AJ49" s="338" t="e">
        <f t="shared" ca="1" si="11"/>
        <v>#N/A</v>
      </c>
      <c r="AK49" s="338" t="e">
        <f t="shared" ca="1" si="12"/>
        <v>#N/A</v>
      </c>
      <c r="AL49" s="232"/>
      <c r="AS49" s="341">
        <f t="shared" ca="1" si="13"/>
        <v>-999999999.96700001</v>
      </c>
      <c r="AT49" s="377" t="str">
        <f t="shared" ca="1" si="47"/>
        <v/>
      </c>
      <c r="AU49" s="343">
        <f ca="1">IF(NOT($AD$43),0,IF(ASZTAB!$AJ$44,BI49*100,IF(ASZTAB!$AJ$43,BG49*10,BG49))*1000000+IF(ASZTAB!$AJ$52,AY49*10000,0)+IF(ASZTAB!$AJ$44,BE49,BD49)*1000/IF(OR(ASZTAB!AJ$43,ASZTAB!$AJ$52),10,1)+IF(ASZTAB!$AJ$44,0,IF(ASZTAB!AJ$43,BB49/10,BB49))+BJ49+IF($AD$74,BK49,0)-IF(AW49=0,1000000000,0))</f>
        <v>-999999999.96700001</v>
      </c>
      <c r="AV49" s="349">
        <v>8</v>
      </c>
      <c r="AW49" s="345">
        <f ca="1">IF(NOT($AD$43),0,RCSOP!BE64)</f>
        <v>0</v>
      </c>
      <c r="AX49" s="346">
        <f t="shared" ca="1" si="14"/>
        <v>0</v>
      </c>
      <c r="AY49" s="346">
        <f t="shared" ca="1" si="15"/>
        <v>0</v>
      </c>
      <c r="AZ49" s="346">
        <f t="shared" ca="1" si="16"/>
        <v>0</v>
      </c>
      <c r="BA49" s="346">
        <f t="shared" ca="1" si="17"/>
        <v>0</v>
      </c>
      <c r="BB49" s="346">
        <f t="shared" ca="1" si="18"/>
        <v>0</v>
      </c>
      <c r="BC49" s="346">
        <f t="shared" ca="1" si="19"/>
        <v>0</v>
      </c>
      <c r="BD49" s="346">
        <f t="shared" ca="1" si="41"/>
        <v>0</v>
      </c>
      <c r="BE49" s="347">
        <f t="shared" ca="1" si="42"/>
        <v>0</v>
      </c>
      <c r="BF49" s="346">
        <f t="shared" ca="1" si="20"/>
        <v>0</v>
      </c>
      <c r="BG49" s="346">
        <f ca="1">IF(NOT($AD$43),0,ASZTAB!$AJ$48*AY49+AZ49-BF49)</f>
        <v>0</v>
      </c>
      <c r="BH49" s="346">
        <f t="shared" ca="1" si="43"/>
        <v>0</v>
      </c>
      <c r="BI49" s="347">
        <f t="shared" ca="1" si="44"/>
        <v>0</v>
      </c>
      <c r="BJ49" s="348">
        <v>3.2999999999999995E-2</v>
      </c>
      <c r="BK49" s="349">
        <f t="shared" ca="1" si="21"/>
        <v>0</v>
      </c>
      <c r="BM49" s="346">
        <f t="shared" ca="1" si="22"/>
        <v>0</v>
      </c>
      <c r="BN49" s="346">
        <f t="shared" ca="1" si="23"/>
        <v>0</v>
      </c>
      <c r="BO49" s="346">
        <f t="shared" ca="1" si="24"/>
        <v>0</v>
      </c>
      <c r="BP49" s="346">
        <f t="shared" ca="1" si="25"/>
        <v>0</v>
      </c>
      <c r="BQ49" s="534">
        <f t="shared" ca="1" si="26"/>
        <v>0</v>
      </c>
      <c r="BR49" s="534">
        <f t="shared" ca="1" si="27"/>
        <v>0</v>
      </c>
      <c r="BT49" s="346">
        <f t="shared" ca="1" si="28"/>
        <v>0</v>
      </c>
      <c r="BU49" s="346">
        <f t="shared" ca="1" si="29"/>
        <v>0</v>
      </c>
      <c r="BV49" s="346">
        <f t="shared" ca="1" si="30"/>
        <v>0</v>
      </c>
      <c r="BW49" s="346">
        <f t="shared" ca="1" si="31"/>
        <v>0</v>
      </c>
      <c r="BX49" s="534">
        <f t="shared" ca="1" si="32"/>
        <v>0</v>
      </c>
      <c r="BY49" s="534">
        <f t="shared" ca="1" si="33"/>
        <v>0</v>
      </c>
      <c r="CB49" s="350"/>
      <c r="CC49" s="353">
        <f ca="1">IF(ASZTAB!$AJ$44,COUNTIF($BI$54:$BI$63,CE49)*IF(OR(CE49=0,CE49=CE48),0,1),COUNTIF($BG$54:$BG$63,CD49)*IF(OR(CD49=0,CD49=CD48),0,1))+CF49/1000</f>
        <v>8.0000000000000002E-3</v>
      </c>
      <c r="CD49" s="352">
        <f t="shared" ca="1" si="45"/>
        <v>0</v>
      </c>
      <c r="CE49" s="353">
        <f t="shared" ca="1" si="46"/>
        <v>0</v>
      </c>
      <c r="CF49" s="354">
        <v>8</v>
      </c>
      <c r="CG49" s="350"/>
      <c r="CH49" s="300"/>
      <c r="CI49" s="356" t="str">
        <f ca="1">IF(OR(CI41=BG61,CI41=BI61),AW61,"")</f>
        <v/>
      </c>
      <c r="CJ49" s="357" t="str">
        <f t="shared" ca="1" si="34"/>
        <v/>
      </c>
      <c r="CK49" s="385"/>
      <c r="CL49" s="356" t="str">
        <f ca="1">IF(OR(CL41=BG61,CL41=BI61),AW61,"")</f>
        <v/>
      </c>
      <c r="CM49" s="357" t="str">
        <f t="shared" ca="1" si="35"/>
        <v/>
      </c>
      <c r="CN49" s="385"/>
      <c r="CO49" s="356" t="str">
        <f ca="1">IF(OR(CO41=BG61,CO41=BI61),AW61,"")</f>
        <v/>
      </c>
      <c r="CP49" s="357" t="str">
        <f t="shared" ca="1" si="36"/>
        <v/>
      </c>
      <c r="CQ49" s="385"/>
      <c r="CR49" s="350"/>
      <c r="CS49" s="300"/>
      <c r="CT49" s="522" t="str">
        <f>IF(NOT($AD$98),"",CT44)</f>
        <v/>
      </c>
      <c r="CU49" s="371" t="str">
        <f ca="1">IF(OR(CT49="",DA49="",CT49=DA49,ISNA(VLOOKUP(CONCATENATE(CT49,DA49),games.a,2,FALSE))),"",CONCATENATE(CT49,DA49))</f>
        <v/>
      </c>
      <c r="CV49" s="371" t="str">
        <f ca="1">IF(CU49="","",CONCATENATE(VLOOKUP(CU49,games.a,9,FALSE),VLOOKUP(CU49,games.a,12,FALSE)))</f>
        <v/>
      </c>
      <c r="CW49" s="369" t="str">
        <f ca="1">IF(CU49="","",VLOOKUP(CU49,games.a,10,FALSE))</f>
        <v/>
      </c>
      <c r="CX49" s="369" t="str">
        <f ca="1">IF(CU49="","",VLOOKUP(CU49,games.a,13,FALSE))</f>
        <v/>
      </c>
      <c r="CY49" s="423" t="str">
        <f ca="1">IF(CU49="","",VLOOKUP(CU49,games.a,6,FALSE))</f>
        <v/>
      </c>
      <c r="CZ49" s="409" t="str">
        <f ca="1">IF(CU49="","",VLOOKUP(CU49,games.a,7,FALSE))</f>
        <v/>
      </c>
      <c r="DA49" s="523" t="str">
        <f t="shared" ca="1" si="48"/>
        <v/>
      </c>
      <c r="DB49" s="302"/>
      <c r="DC49" s="364"/>
      <c r="DD49" s="302"/>
      <c r="DF49" s="365"/>
      <c r="DG49" s="366" t="str">
        <f ca="1">IF(OR(NOT(ASZTAB!$AJ$44),AND(CT41,DG43="")),CT43,"")</f>
        <v/>
      </c>
      <c r="DH49" s="365"/>
      <c r="DI49" s="366">
        <f ca="1">IF(DG49="",0,COUNTIF(xxgy.rr,DG49))</f>
        <v>0</v>
      </c>
      <c r="DJ49" s="366">
        <f ca="1">IF(DG49="",0,COUNTIF(xxd.rr,DG49))</f>
        <v>0</v>
      </c>
      <c r="DK49" s="366">
        <f ca="1">IF(DG49="",0,1)*(SUMIF(xxo.rr,DG49,xxl.rr)+SUMIF(xxi.rr,DG49,xxk.rr))</f>
        <v>0</v>
      </c>
      <c r="DL49" s="366">
        <f ca="1">IF(DG49="",0,1)*(SUMIF(xxo.rr,DG49,xxk.rr)+SUMIF(xxi.rr,DG49,xxl.rr))</f>
        <v>0</v>
      </c>
      <c r="DM49" s="366">
        <f ca="1">DK49-DL49</f>
        <v>0</v>
      </c>
      <c r="DN49" s="366">
        <f ca="1">IF(DL49=0,0,DK49/DL49)</f>
        <v>0</v>
      </c>
      <c r="DO49" s="366">
        <f ca="1">ASZTAB!$AJ$48*DI49+IF(ASZTAB!$AJ$44,0,1)*DJ49</f>
        <v>0</v>
      </c>
      <c r="DP49" s="396">
        <f ca="1">DO49*1000000+IF(ASZTAB!$AJ$44,DN49,DM49)*1000*0</f>
        <v>0</v>
      </c>
      <c r="DQ49" s="366">
        <f ca="1">IF(DG49="",0,1)*(SUMIF(yyo.rr,DG49,yyl.rr)+SUMIF(yyi.rr,DG49,yyk.rr))</f>
        <v>0</v>
      </c>
      <c r="DR49" s="366">
        <f ca="1">IF(DG49="",0,1)*(SUMIF(yyo.rr,DG49,yyk.rr)+SUMIF(yyi.rr,DG49,yyl.rr))</f>
        <v>0</v>
      </c>
      <c r="DS49" s="366">
        <f ca="1">DQ49-DR49</f>
        <v>0</v>
      </c>
      <c r="DT49" s="366">
        <f ca="1">IF(OR(ISERR(DP49),ISNA(DP49)),0,DP49)+IF(ASZTAB!$AJ$54,DS49,0)</f>
        <v>0</v>
      </c>
      <c r="DU49" s="366">
        <f ca="1">IF(DT49=0,0,RANK(DT49,DT48:DT52,1))</f>
        <v>0</v>
      </c>
      <c r="DV49" s="366">
        <f ca="1">DU49*40000*IF(COUNTIF($EN$42:$EN$51,DG49)&gt;0,0,1)</f>
        <v>0</v>
      </c>
      <c r="DW49" s="365"/>
      <c r="DZ49" s="365"/>
      <c r="EA49" s="365"/>
      <c r="EB49" s="365"/>
      <c r="EC49" s="404" t="str">
        <f ca="1">IF(EF42="","",VLOOKUP(EF42,yyy.rr1,4,FALSE))</f>
        <v/>
      </c>
      <c r="ED49" s="371" t="str">
        <f ca="1">IF(OR(EC49="",EJ49="",EC49=EJ49,ISNA(VLOOKUP(CONCATENATE(EC49,EJ49),games.r,2,FALSE))),"",CONCATENATE(EC49,EJ49))</f>
        <v/>
      </c>
      <c r="EE49" s="405" t="str">
        <f ca="1">IF(OR(ED49="",EJ48&gt;2),"",CONCATENATE(VLOOKUP(ED49,games.r,9,FALSE),VLOOKUP(ED49,games.r,12,FALSE)))</f>
        <v/>
      </c>
      <c r="EF49" s="406"/>
      <c r="EG49" s="407"/>
      <c r="EH49" s="408" t="str">
        <f ca="1">IF(ED49="","",VLOOKUP(ED49,games.r,6,FALSE))</f>
        <v/>
      </c>
      <c r="EI49" s="409" t="str">
        <f ca="1">IF(ED49="","",VLOOKUP(ED49,games.r,7,FALSE))</f>
        <v/>
      </c>
      <c r="EJ49" s="410" t="str">
        <f ca="1">EC49</f>
        <v/>
      </c>
      <c r="EK49" s="411"/>
      <c r="EL49" s="412"/>
      <c r="EM49" s="365"/>
      <c r="EN49" s="366"/>
      <c r="EO49" s="373"/>
      <c r="EP49" s="333"/>
    </row>
    <row r="50" spans="2:146" ht="16.5" customHeight="1" x14ac:dyDescent="0.25">
      <c r="C50" s="511" t="str">
        <f ca="1">IF(OR(NOT($AD$82),D50="►"),"",TEXT(ABS(VLOOKUP(AH66,$AH$155:$AK$164,3,FALSE)-VLOOKUP(AH66,$AH$155:$AK$164,4,FALSE)),"0"))</f>
        <v/>
      </c>
      <c r="D50" s="510" t="str">
        <f ca="1">IF($AD$82,VLOOKUP(AH66,$AH$155:$AI$164,2,FALSE),"")</f>
        <v>►</v>
      </c>
      <c r="E50" s="483" t="str">
        <f ca="1">IF(NOT($AD$42),"",CONCATENATE(AI66,". ",AH66))</f>
        <v>7. Vakana</v>
      </c>
      <c r="F50" s="484">
        <f ca="1">IF(NOT($AD$42),"",VLOOKUP($AH66,table.n.rv2,2,FALSE))</f>
        <v>4</v>
      </c>
      <c r="G50" s="485">
        <f ca="1">IF(NOT($AD$42),"",IF(VLOOKUP($AH66,table.n.rv2,3,FALSE)=0,"–",VLOOKUP($AH66,table.n.rv2,3,FALSE)))</f>
        <v>3</v>
      </c>
      <c r="H50" s="485">
        <f ca="1">IF(NOT($AD$42),"",IF(VLOOKUP($AH66,table.n.rv2,4,FALSE)=0,"–",VLOOKUP($AH66,table.n.rv2,4,FALSE)))</f>
        <v>1</v>
      </c>
      <c r="I50" s="485" t="str">
        <f ca="1">IF(NOT($AD$42),"",IF(VLOOKUP($AH66,table.n.rv2,5,FALSE)=0,"–",VLOOKUP($AH66,table.n.rv2,5,FALSE)))</f>
        <v>–</v>
      </c>
      <c r="J50" s="485" t="str">
        <f ca="1">IF(NOT($AD$42),"",CONCATENATE(AJ66,"–",AK66))</f>
        <v>47–71</v>
      </c>
      <c r="K50" s="486" t="str">
        <f ca="1">IF(NOT($AD$42),"",IF(VLOOKUP($AH66,table.n.rv2,8,FALSE)=0,0,IF(VLOOKUP($AH66,table.n.rv2,8,FALSE)&gt;0,CONCATENATE("+",VLOOKUP($AH66,table.n.rv2,8,FALSE)," "),CONCATENATE("–",VLOOKUP($AH66,table.n.rv2,8,FALSE)*-1," "))))</f>
        <v xml:space="preserve">–24 </v>
      </c>
      <c r="L50" s="486"/>
      <c r="M50" s="486">
        <f ca="1">IF(NOT($AD$42),"",VLOOKUP($AH66,table.n.rv2,IF(ASZTAB!$AJ$44,12,11),FALSE))</f>
        <v>16</v>
      </c>
      <c r="N50" s="286"/>
      <c r="O50" s="390"/>
      <c r="P50" s="390"/>
      <c r="Q50" s="390"/>
      <c r="R50" s="390"/>
      <c r="V50" s="337">
        <f t="shared" ca="1" si="37"/>
        <v>0</v>
      </c>
      <c r="W50" s="338">
        <f t="shared" ca="1" si="38"/>
        <v>0</v>
      </c>
      <c r="X50" s="337">
        <f t="shared" ca="1" si="39"/>
        <v>2.7999999999999997E-2</v>
      </c>
      <c r="Y50" s="338" t="str">
        <f t="shared" ca="1" si="9"/>
        <v>Carbonász</v>
      </c>
      <c r="AB50" s="294"/>
      <c r="AC50" s="232" t="s">
        <v>276</v>
      </c>
      <c r="AD50" s="376">
        <v>5</v>
      </c>
      <c r="AE50" s="294"/>
      <c r="AG50" s="294"/>
      <c r="AH50" s="210" t="str">
        <f t="shared" ca="1" si="10"/>
        <v>–</v>
      </c>
      <c r="AI50" s="340" t="str">
        <f t="shared" ca="1" si="40"/>
        <v/>
      </c>
      <c r="AJ50" s="338" t="e">
        <f t="shared" ca="1" si="11"/>
        <v>#N/A</v>
      </c>
      <c r="AK50" s="338" t="e">
        <f t="shared" ca="1" si="12"/>
        <v>#N/A</v>
      </c>
      <c r="AL50" s="294"/>
      <c r="AS50" s="341">
        <f t="shared" ca="1" si="13"/>
        <v>-999999999.96800005</v>
      </c>
      <c r="AT50" s="377" t="str">
        <f t="shared" ca="1" si="47"/>
        <v/>
      </c>
      <c r="AU50" s="343">
        <f ca="1">IF(NOT($AD$43),0,IF(ASZTAB!$AJ$44,BI50*100,IF(ASZTAB!$AJ$43,BG50*10,BG50))*1000000+IF(ASZTAB!$AJ$52,AY50*10000,0)+IF(ASZTAB!$AJ$44,BE50,BD50)*1000/IF(OR(ASZTAB!AJ$43,ASZTAB!$AJ$52),10,1)+IF(ASZTAB!$AJ$44,0,IF(ASZTAB!AJ$43,BB50/10,BB50))+BJ50+IF($AD$74,BK50,0)-IF(AW50=0,1000000000,0))</f>
        <v>-999999999.96800005</v>
      </c>
      <c r="AV50" s="349">
        <v>9</v>
      </c>
      <c r="AW50" s="345">
        <f ca="1">IF(NOT($AD$43),0,RCSOP!BE65)</f>
        <v>0</v>
      </c>
      <c r="AX50" s="346">
        <f t="shared" ca="1" si="14"/>
        <v>0</v>
      </c>
      <c r="AY50" s="346">
        <f t="shared" ca="1" si="15"/>
        <v>0</v>
      </c>
      <c r="AZ50" s="346">
        <f t="shared" ca="1" si="16"/>
        <v>0</v>
      </c>
      <c r="BA50" s="346">
        <f t="shared" ca="1" si="17"/>
        <v>0</v>
      </c>
      <c r="BB50" s="346">
        <f t="shared" ca="1" si="18"/>
        <v>0</v>
      </c>
      <c r="BC50" s="346">
        <f t="shared" ca="1" si="19"/>
        <v>0</v>
      </c>
      <c r="BD50" s="346">
        <f t="shared" ca="1" si="41"/>
        <v>0</v>
      </c>
      <c r="BE50" s="347">
        <f t="shared" ca="1" si="42"/>
        <v>0</v>
      </c>
      <c r="BF50" s="346">
        <f t="shared" ca="1" si="20"/>
        <v>0</v>
      </c>
      <c r="BG50" s="346">
        <f ca="1">IF(NOT($AD$43),0,ASZTAB!$AJ$48*AY50+AZ50-BF50)</f>
        <v>0</v>
      </c>
      <c r="BH50" s="346">
        <f t="shared" ca="1" si="43"/>
        <v>0</v>
      </c>
      <c r="BI50" s="347">
        <f t="shared" ca="1" si="44"/>
        <v>0</v>
      </c>
      <c r="BJ50" s="348">
        <v>3.1999999999999994E-2</v>
      </c>
      <c r="BK50" s="349">
        <f t="shared" ca="1" si="21"/>
        <v>0</v>
      </c>
      <c r="BM50" s="346">
        <f t="shared" ca="1" si="22"/>
        <v>0</v>
      </c>
      <c r="BN50" s="346">
        <f t="shared" ca="1" si="23"/>
        <v>0</v>
      </c>
      <c r="BO50" s="346">
        <f t="shared" ca="1" si="24"/>
        <v>0</v>
      </c>
      <c r="BP50" s="346">
        <f t="shared" ca="1" si="25"/>
        <v>0</v>
      </c>
      <c r="BQ50" s="534">
        <f t="shared" ca="1" si="26"/>
        <v>0</v>
      </c>
      <c r="BR50" s="534">
        <f t="shared" ca="1" si="27"/>
        <v>0</v>
      </c>
      <c r="BT50" s="346">
        <f t="shared" ca="1" si="28"/>
        <v>0</v>
      </c>
      <c r="BU50" s="346">
        <f t="shared" ca="1" si="29"/>
        <v>0</v>
      </c>
      <c r="BV50" s="346">
        <f t="shared" ca="1" si="30"/>
        <v>0</v>
      </c>
      <c r="BW50" s="346">
        <f t="shared" ca="1" si="31"/>
        <v>0</v>
      </c>
      <c r="BX50" s="534">
        <f t="shared" ca="1" si="32"/>
        <v>0</v>
      </c>
      <c r="BY50" s="534">
        <f t="shared" ca="1" si="33"/>
        <v>0</v>
      </c>
      <c r="CB50" s="350"/>
      <c r="CC50" s="353">
        <f ca="1">IF(ASZTAB!$AJ$44,COUNTIF($BI$54:$BI$63,CE50)*IF(OR(CE50=0,CE50=CE49),0,1),COUNTIF($BG$54:$BG$63,CD50)*IF(OR(CD50=0,CD50=CD49),0,1))+CF50/1000</f>
        <v>8.9999999999999993E-3</v>
      </c>
      <c r="CD50" s="352">
        <f t="shared" ca="1" si="45"/>
        <v>0</v>
      </c>
      <c r="CE50" s="353">
        <f t="shared" ca="1" si="46"/>
        <v>0</v>
      </c>
      <c r="CF50" s="354">
        <v>9</v>
      </c>
      <c r="CG50" s="350"/>
      <c r="CH50" s="300"/>
      <c r="CI50" s="356" t="str">
        <f ca="1">IF(OR(CI41=BG62,CI41=BI62),AW62,"")</f>
        <v/>
      </c>
      <c r="CJ50" s="357" t="str">
        <f t="shared" ca="1" si="34"/>
        <v/>
      </c>
      <c r="CK50" s="385"/>
      <c r="CL50" s="356" t="str">
        <f ca="1">IF(OR(CL41=BG62,CL41=BI62),AW62,"")</f>
        <v/>
      </c>
      <c r="CM50" s="357" t="str">
        <f t="shared" ca="1" si="35"/>
        <v/>
      </c>
      <c r="CN50" s="385"/>
      <c r="CO50" s="356" t="str">
        <f ca="1">IF(OR(CO41=BG62,CO41=BI62),AW62,"")</f>
        <v/>
      </c>
      <c r="CP50" s="357" t="str">
        <f t="shared" ca="1" si="36"/>
        <v/>
      </c>
      <c r="CQ50" s="385"/>
      <c r="CR50" s="350"/>
      <c r="CS50" s="300"/>
      <c r="CT50" s="522" t="str">
        <f>IF(NOT($AD$98),"",CT45)</f>
        <v/>
      </c>
      <c r="CU50" s="371" t="str">
        <f ca="1">IF(OR(CT50="",DA50="",CT50=DA50,ISNA(VLOOKUP(CONCATENATE(CT50,DA50),games.a,2,FALSE))),"",CONCATENATE(CT50,DA50))</f>
        <v/>
      </c>
      <c r="CV50" s="371" t="str">
        <f ca="1">IF(CU50="","",CONCATENATE(VLOOKUP(CU50,games.a,9,FALSE),VLOOKUP(CU50,games.a,12,FALSE)))</f>
        <v/>
      </c>
      <c r="CW50" s="369" t="str">
        <f ca="1">IF(CU50="","",VLOOKUP(CU50,games.a,10,FALSE))</f>
        <v/>
      </c>
      <c r="CX50" s="369" t="str">
        <f ca="1">IF(CU50="","",VLOOKUP(CU50,games.a,13,FALSE))</f>
        <v/>
      </c>
      <c r="CY50" s="423" t="str">
        <f ca="1">IF(CU50="","",VLOOKUP(CU50,games.a,6,FALSE))</f>
        <v/>
      </c>
      <c r="CZ50" s="409" t="str">
        <f ca="1">IF(CU50="","",VLOOKUP(CU50,games.a,7,FALSE))</f>
        <v/>
      </c>
      <c r="DA50" s="523" t="str">
        <f t="shared" ca="1" si="48"/>
        <v/>
      </c>
      <c r="DB50" s="302"/>
      <c r="DC50" s="364"/>
      <c r="DD50" s="302"/>
      <c r="DF50" s="365"/>
      <c r="DG50" s="366" t="str">
        <f ca="1">IF(OR(NOT(ASZTAB!$AJ$44),AND(CT41,DG44="")),CT44,"")</f>
        <v/>
      </c>
      <c r="DH50" s="365"/>
      <c r="DI50" s="366">
        <f ca="1">IF(DG50="",0,COUNTIF(xxgy.rr,DG50))</f>
        <v>0</v>
      </c>
      <c r="DJ50" s="366">
        <f ca="1">IF(DG50="",0,COUNTIF(xxd.rr,DG50))</f>
        <v>0</v>
      </c>
      <c r="DK50" s="366">
        <f ca="1">IF(DG50="",0,1)*(SUMIF(xxo.rr,DG50,xxl.rr)+SUMIF(xxi.rr,DG50,xxk.rr))</f>
        <v>0</v>
      </c>
      <c r="DL50" s="366">
        <f ca="1">IF(DG50="",0,1)*(SUMIF(xxo.rr,DG50,xxk.rr)+SUMIF(xxi.rr,DG50,xxl.rr))</f>
        <v>0</v>
      </c>
      <c r="DM50" s="366">
        <f ca="1">DK50-DL50</f>
        <v>0</v>
      </c>
      <c r="DN50" s="366">
        <f ca="1">IF(DL50=0,0,DK50/DL50)</f>
        <v>0</v>
      </c>
      <c r="DO50" s="366">
        <f ca="1">ASZTAB!$AJ$48*DI50+IF(ASZTAB!$AJ$44,0,1)*DJ50</f>
        <v>0</v>
      </c>
      <c r="DP50" s="396">
        <f ca="1">DO50*1000000+IF(ASZTAB!$AJ$44,DN50,DM50)*1000*0</f>
        <v>0</v>
      </c>
      <c r="DQ50" s="366">
        <f ca="1">IF(DG50="",0,1)*(SUMIF(yyo.rr,DG50,yyl.rr)+SUMIF(yyi.rr,DG50,yyk.rr))</f>
        <v>0</v>
      </c>
      <c r="DR50" s="366">
        <f ca="1">IF(DG50="",0,1)*(SUMIF(yyo.rr,DG50,yyk.rr)+SUMIF(yyi.rr,DG50,yyl.rr))</f>
        <v>0</v>
      </c>
      <c r="DS50" s="366">
        <f ca="1">DQ50-DR50</f>
        <v>0</v>
      </c>
      <c r="DT50" s="366">
        <f ca="1">IF(OR(ISERR(DP50),ISNA(DP50)),0,DP50)+IF(ASZTAB!$AJ$54,DS50,0)</f>
        <v>0</v>
      </c>
      <c r="DU50" s="366">
        <f ca="1">IF(DT50=0,0,RANK(DT50,DT48:DT52,1))</f>
        <v>0</v>
      </c>
      <c r="DV50" s="366">
        <f ca="1">DU50*40000*IF(COUNTIF($EN$42:$EN$51,DG50)&gt;0,0,1)</f>
        <v>0</v>
      </c>
      <c r="DW50" s="365"/>
      <c r="DZ50" s="365"/>
      <c r="EA50" s="365"/>
      <c r="EB50" s="365"/>
      <c r="EC50" s="404" t="str">
        <f ca="1">IF(EF43="","",VLOOKUP(EF43,yyy.rr1,4,FALSE))</f>
        <v/>
      </c>
      <c r="ED50" s="371" t="str">
        <f ca="1">IF(OR(EC50="",EJ50="",EC50=EJ50,ISNA(VLOOKUP(CONCATENATE(EC50,EJ50),games.r,2,FALSE))),"",CONCATENATE(EC50,EJ50))</f>
        <v/>
      </c>
      <c r="EE50" s="405" t="str">
        <f ca="1">IF(OR(ED50="",EJ48&gt;2),"",CONCATENATE(VLOOKUP(ED50,games.r,9,FALSE),VLOOKUP(ED50,games.r,12,FALSE)))</f>
        <v/>
      </c>
      <c r="EF50" s="413"/>
      <c r="EG50" s="414"/>
      <c r="EH50" s="408" t="str">
        <f ca="1">IF(ED50="","",VLOOKUP(ED50,games.r,6,FALSE))</f>
        <v/>
      </c>
      <c r="EI50" s="409" t="str">
        <f ca="1">IF(ED50="","",VLOOKUP(ED50,games.r,7,FALSE))</f>
        <v/>
      </c>
      <c r="EJ50" s="415" t="str">
        <f ca="1">EJ49</f>
        <v/>
      </c>
      <c r="EK50" s="416"/>
      <c r="EL50" s="417"/>
      <c r="EM50" s="365"/>
      <c r="EN50" s="366"/>
      <c r="EO50" s="373"/>
      <c r="EP50" s="333"/>
    </row>
    <row r="51" spans="2:146" ht="16.5" customHeight="1" x14ac:dyDescent="0.25">
      <c r="C51" s="511" t="str">
        <f ca="1">IF(OR(NOT($AD$82),D51="►"),"",TEXT(ABS(VLOOKUP(AH67,$AH$155:$AK$164,3,FALSE)-VLOOKUP(AH67,$AH$155:$AK$164,4,FALSE)),"0"))</f>
        <v/>
      </c>
      <c r="D51" s="510" t="str">
        <f ca="1">IF($AD$82,VLOOKUP(AH67,$AH$155:$AI$164,2,FALSE),"")</f>
        <v>►</v>
      </c>
      <c r="E51" s="487" t="str">
        <f ca="1">IF(NOT($AD$42),"",CONCATENATE(AI67,". ",AH67))</f>
        <v>8. Bakafogó-Honvéd-Sashegy SE</v>
      </c>
      <c r="F51" s="488">
        <f ca="1">IF(NOT($AD$42),"",VLOOKUP($AH67,table.n.rv2,2,FALSE))</f>
        <v>4</v>
      </c>
      <c r="G51" s="489">
        <f ca="1">IF(NOT($AD$42),"",IF(VLOOKUP($AH67,table.n.rv2,3,FALSE)=0,"–",VLOOKUP($AH67,table.n.rv2,3,FALSE)))</f>
        <v>1</v>
      </c>
      <c r="H51" s="489">
        <f ca="1">IF(NOT($AD$42),"",IF(VLOOKUP($AH67,table.n.rv2,4,FALSE)=0,"–",VLOOKUP($AH67,table.n.rv2,4,FALSE)))</f>
        <v>2</v>
      </c>
      <c r="I51" s="489">
        <f ca="1">IF(NOT($AD$42),"",IF(VLOOKUP($AH67,table.n.rv2,5,FALSE)=0,"–",VLOOKUP($AH67,table.n.rv2,5,FALSE)))</f>
        <v>1</v>
      </c>
      <c r="J51" s="489" t="str">
        <f ca="1">IF(NOT($AD$42),"",CONCATENATE(AJ67,"–",AK67))</f>
        <v>54–73</v>
      </c>
      <c r="K51" s="490" t="str">
        <f ca="1">IF(NOT($AD$42),"",IF(VLOOKUP($AH67,table.n.rv2,8,FALSE)=0,0,IF(VLOOKUP($AH67,table.n.rv2,8,FALSE)&gt;0,CONCATENATE("+",VLOOKUP($AH67,table.n.rv2,8,FALSE)," "),CONCATENATE("–",VLOOKUP($AH67,table.n.rv2,8,FALSE)*-1," "))))</f>
        <v xml:space="preserve">–19 </v>
      </c>
      <c r="L51" s="490"/>
      <c r="M51" s="490">
        <f ca="1">IF(NOT($AD$42),"",VLOOKUP($AH67,table.n.rv2,IF(ASZTAB!$AJ$44,12,11),FALSE))</f>
        <v>11</v>
      </c>
      <c r="N51" s="286"/>
      <c r="P51" s="286"/>
      <c r="Q51" s="286"/>
      <c r="R51" s="286"/>
      <c r="V51" s="337">
        <f t="shared" ca="1" si="37"/>
        <v>0</v>
      </c>
      <c r="W51" s="338">
        <f t="shared" ca="1" si="38"/>
        <v>0</v>
      </c>
      <c r="X51" s="337">
        <f t="shared" ca="1" si="39"/>
        <v>2.6999999999999996E-2</v>
      </c>
      <c r="Y51" s="338" t="str">
        <f t="shared" ca="1" si="9"/>
        <v>Bőrdíszmű</v>
      </c>
      <c r="AB51" s="294"/>
      <c r="AC51" s="232" t="s">
        <v>274</v>
      </c>
      <c r="AD51" s="376">
        <v>4</v>
      </c>
      <c r="AE51" s="294"/>
      <c r="AG51" s="294"/>
      <c r="AH51" s="210" t="str">
        <f t="shared" ca="1" si="10"/>
        <v>–</v>
      </c>
      <c r="AI51" s="340" t="str">
        <f t="shared" ca="1" si="40"/>
        <v/>
      </c>
      <c r="AJ51" s="338" t="e">
        <f t="shared" ca="1" si="11"/>
        <v>#N/A</v>
      </c>
      <c r="AK51" s="338" t="e">
        <f t="shared" ca="1" si="12"/>
        <v>#N/A</v>
      </c>
      <c r="AL51" s="294"/>
      <c r="AS51" s="341">
        <f t="shared" ca="1" si="13"/>
        <v>-999999999.96899998</v>
      </c>
      <c r="AT51" s="377" t="str">
        <f t="shared" ca="1" si="47"/>
        <v/>
      </c>
      <c r="AU51" s="343">
        <f ca="1">IF(NOT($AD$43),0,IF(ASZTAB!$AJ$44,BI51*100,IF(ASZTAB!$AJ$43,BG51*10,BG51))*1000000+IF(ASZTAB!$AJ$52,AY51*10000,0)+IF(ASZTAB!$AJ$44,BE51,BD51)*1000/IF(OR(ASZTAB!AJ$43,ASZTAB!$AJ$52),10,1)+IF(ASZTAB!$AJ$44,0,IF(ASZTAB!AJ$43,BB51/10,BB51))+BJ51+IF($AD$74,BK51,0)-IF(AW51=0,1000000000,0))</f>
        <v>-999999999.96899998</v>
      </c>
      <c r="AV51" s="349">
        <v>10</v>
      </c>
      <c r="AW51" s="345">
        <f ca="1">IF(NOT($AD$43),0,RCSOP!BE66)</f>
        <v>0</v>
      </c>
      <c r="AX51" s="346">
        <f t="shared" ca="1" si="14"/>
        <v>0</v>
      </c>
      <c r="AY51" s="346">
        <f t="shared" ca="1" si="15"/>
        <v>0</v>
      </c>
      <c r="AZ51" s="346">
        <f t="shared" ca="1" si="16"/>
        <v>0</v>
      </c>
      <c r="BA51" s="346">
        <f t="shared" ca="1" si="17"/>
        <v>0</v>
      </c>
      <c r="BB51" s="346">
        <f t="shared" ca="1" si="18"/>
        <v>0</v>
      </c>
      <c r="BC51" s="346">
        <f t="shared" ca="1" si="19"/>
        <v>0</v>
      </c>
      <c r="BD51" s="346">
        <f t="shared" ca="1" si="41"/>
        <v>0</v>
      </c>
      <c r="BE51" s="347">
        <f t="shared" ca="1" si="42"/>
        <v>0</v>
      </c>
      <c r="BF51" s="346">
        <f t="shared" ca="1" si="20"/>
        <v>0</v>
      </c>
      <c r="BG51" s="346">
        <f ca="1">IF(NOT($AD$43),0,ASZTAB!$AJ$48*AY51+AZ51-BF51)</f>
        <v>0</v>
      </c>
      <c r="BH51" s="346">
        <f t="shared" ca="1" si="43"/>
        <v>0</v>
      </c>
      <c r="BI51" s="347">
        <f t="shared" ca="1" si="44"/>
        <v>0</v>
      </c>
      <c r="BJ51" s="348">
        <v>3.0999999999999993E-2</v>
      </c>
      <c r="BK51" s="349">
        <f t="shared" ca="1" si="21"/>
        <v>0</v>
      </c>
      <c r="BM51" s="346">
        <f t="shared" ca="1" si="22"/>
        <v>0</v>
      </c>
      <c r="BN51" s="346">
        <f t="shared" ca="1" si="23"/>
        <v>0</v>
      </c>
      <c r="BO51" s="346">
        <f t="shared" ca="1" si="24"/>
        <v>0</v>
      </c>
      <c r="BP51" s="346">
        <f t="shared" ca="1" si="25"/>
        <v>0</v>
      </c>
      <c r="BQ51" s="534">
        <f t="shared" ca="1" si="26"/>
        <v>0</v>
      </c>
      <c r="BR51" s="534">
        <f t="shared" ca="1" si="27"/>
        <v>0</v>
      </c>
      <c r="BT51" s="346">
        <f t="shared" ca="1" si="28"/>
        <v>0</v>
      </c>
      <c r="BU51" s="346">
        <f t="shared" ca="1" si="29"/>
        <v>0</v>
      </c>
      <c r="BV51" s="346">
        <f t="shared" ca="1" si="30"/>
        <v>0</v>
      </c>
      <c r="BW51" s="346">
        <f t="shared" ca="1" si="31"/>
        <v>0</v>
      </c>
      <c r="BX51" s="534">
        <f t="shared" ca="1" si="32"/>
        <v>0</v>
      </c>
      <c r="BY51" s="534">
        <f t="shared" ca="1" si="33"/>
        <v>0</v>
      </c>
      <c r="CB51" s="350"/>
      <c r="CC51" s="353">
        <f ca="1">IF(ASZTAB!$AJ$44,COUNTIF($BI$54:$BI$63,CE51)*IF(OR(CE51=0,CE51=CE50),0,1),COUNTIF($BG$54:$BG$63,CD51)*IF(OR(CD51=0,CD51=CD50),0,1))+CF51/1000</f>
        <v>0.01</v>
      </c>
      <c r="CD51" s="352">
        <f t="shared" ca="1" si="45"/>
        <v>0</v>
      </c>
      <c r="CE51" s="353">
        <f t="shared" ca="1" si="46"/>
        <v>0</v>
      </c>
      <c r="CF51" s="354">
        <v>10</v>
      </c>
      <c r="CG51" s="350"/>
      <c r="CH51" s="300"/>
      <c r="CI51" s="356" t="str">
        <f ca="1">IF(OR(CI41=BG63,CI41=BI63),AW63,"")</f>
        <v/>
      </c>
      <c r="CJ51" s="357" t="str">
        <f t="shared" ca="1" si="34"/>
        <v/>
      </c>
      <c r="CK51" s="357"/>
      <c r="CL51" s="356" t="str">
        <f ca="1">IF(OR(CL41=BG63,CL41=BI63),AW63,"")</f>
        <v/>
      </c>
      <c r="CM51" s="357" t="str">
        <f t="shared" ca="1" si="35"/>
        <v/>
      </c>
      <c r="CN51" s="357"/>
      <c r="CO51" s="356" t="str">
        <f ca="1">IF(OR(CO41=BG63,CO41=BI63),AW63,"")</f>
        <v/>
      </c>
      <c r="CP51" s="357" t="str">
        <f t="shared" ca="1" si="36"/>
        <v/>
      </c>
      <c r="CQ51" s="357"/>
      <c r="CR51" s="350"/>
      <c r="CS51" s="300"/>
      <c r="CT51" s="522" t="str">
        <f>IF(NOT($AD$98),"",CT46)</f>
        <v/>
      </c>
      <c r="CU51" s="371" t="str">
        <f ca="1">IF(OR(CT51="",DA51="",CT51=DA51,ISNA(VLOOKUP(CONCATENATE(CT51,DA51),games.a,2,FALSE))),"",CONCATENATE(CT51,DA51))</f>
        <v/>
      </c>
      <c r="CV51" s="371" t="str">
        <f ca="1">IF(CU51="","",CONCATENATE(VLOOKUP(CU51,games.a,9,FALSE),VLOOKUP(CU51,games.a,12,FALSE)))</f>
        <v/>
      </c>
      <c r="CW51" s="369" t="str">
        <f ca="1">IF(CU51="","",VLOOKUP(CU51,games.a,10,FALSE))</f>
        <v/>
      </c>
      <c r="CX51" s="369" t="str">
        <f ca="1">IF(CU51="","",VLOOKUP(CU51,games.a,13,FALSE))</f>
        <v/>
      </c>
      <c r="CY51" s="423" t="str">
        <f ca="1">IF(CU51="","",VLOOKUP(CU51,games.a,6,FALSE))</f>
        <v/>
      </c>
      <c r="CZ51" s="409" t="str">
        <f ca="1">IF(CU51="","",VLOOKUP(CU51,games.a,7,FALSE))</f>
        <v/>
      </c>
      <c r="DA51" s="523" t="str">
        <f t="shared" ca="1" si="48"/>
        <v/>
      </c>
      <c r="DB51" s="302"/>
      <c r="DC51" s="364"/>
      <c r="DD51" s="302"/>
      <c r="DF51" s="365"/>
      <c r="DG51" s="366" t="str">
        <f ca="1">IF(OR(NOT(ASZTAB!$AJ$44),AND(CT41,DG45="")),CT45,"")</f>
        <v/>
      </c>
      <c r="DH51" s="365"/>
      <c r="DI51" s="366">
        <f ca="1">IF(DG51="",0,COUNTIF(xxgy.rr,DG51))</f>
        <v>0</v>
      </c>
      <c r="DJ51" s="366">
        <f ca="1">IF(DG51="",0,COUNTIF(xxd.rr,DG51))</f>
        <v>0</v>
      </c>
      <c r="DK51" s="366">
        <f ca="1">IF(DG51="",0,1)*(SUMIF(xxo.rr,DG51,xxl.rr)+SUMIF(xxi.rr,DG51,xxk.rr))</f>
        <v>0</v>
      </c>
      <c r="DL51" s="366">
        <f ca="1">IF(DG51="",0,1)*(SUMIF(xxo.rr,DG51,xxk.rr)+SUMIF(xxi.rr,DG51,xxl.rr))</f>
        <v>0</v>
      </c>
      <c r="DM51" s="366">
        <f ca="1">DK51-DL51</f>
        <v>0</v>
      </c>
      <c r="DN51" s="366">
        <f ca="1">IF(DL51=0,0,DK51/DL51)</f>
        <v>0</v>
      </c>
      <c r="DO51" s="366">
        <f ca="1">ASZTAB!$AJ$48*DI51+IF(ASZTAB!$AJ$44,0,1)*DJ51</f>
        <v>0</v>
      </c>
      <c r="DP51" s="396">
        <f ca="1">DO51*1000000+IF(ASZTAB!$AJ$44,DN51,DM51)*1000*0</f>
        <v>0</v>
      </c>
      <c r="DQ51" s="366">
        <f ca="1">IF(DG51="",0,1)*(SUMIF(yyo.rr,DG51,yyl.rr)+SUMIF(yyi.rr,DG51,yyk.rr))</f>
        <v>0</v>
      </c>
      <c r="DR51" s="366">
        <f ca="1">IF(DG51="",0,1)*(SUMIF(yyo.rr,DG51,yyk.rr)+SUMIF(yyi.rr,DG51,yyl.rr))</f>
        <v>0</v>
      </c>
      <c r="DS51" s="366">
        <f ca="1">DQ51-DR51</f>
        <v>0</v>
      </c>
      <c r="DT51" s="366">
        <f ca="1">IF(OR(ISERR(DP51),ISNA(DP51)),0,DP51)+IF(ASZTAB!$AJ$54,DS51,0)</f>
        <v>0</v>
      </c>
      <c r="DU51" s="366">
        <f ca="1">IF(DT51=0,0,RANK(DT51,DT48:DT52,1))</f>
        <v>0</v>
      </c>
      <c r="DV51" s="366">
        <f ca="1">DU51*40000*IF(COUNTIF($EN$42:$EN$51,DG51)&gt;0,0,1)</f>
        <v>0</v>
      </c>
      <c r="DW51" s="365"/>
      <c r="DZ51" s="365"/>
      <c r="EA51" s="365"/>
      <c r="EB51" s="365"/>
      <c r="EC51" s="404" t="str">
        <f ca="1">IF(EF44="","",VLOOKUP(EF44,yyy.rr1,4,FALSE))</f>
        <v/>
      </c>
      <c r="ED51" s="371" t="str">
        <f ca="1">IF(OR(EC51="",EJ51="",EC51=EJ51,ISNA(VLOOKUP(CONCATENATE(EC51,EJ51),games.r,2,FALSE))),"",CONCATENATE(EC51,EJ51))</f>
        <v/>
      </c>
      <c r="EE51" s="405" t="str">
        <f ca="1">IF(OR(ED51="",EJ48&gt;2),"",CONCATENATE(VLOOKUP(ED51,games.r,9,FALSE),VLOOKUP(ED51,games.r,12,FALSE)))</f>
        <v/>
      </c>
      <c r="EF51" s="413"/>
      <c r="EG51" s="414"/>
      <c r="EH51" s="408" t="str">
        <f ca="1">IF(ED51="","",VLOOKUP(ED51,games.r,6,FALSE))</f>
        <v/>
      </c>
      <c r="EI51" s="409" t="str">
        <f ca="1">IF(ED51="","",VLOOKUP(ED51,games.r,7,FALSE))</f>
        <v/>
      </c>
      <c r="EJ51" s="415" t="str">
        <f ca="1">EJ50</f>
        <v/>
      </c>
      <c r="EK51" s="416"/>
      <c r="EL51" s="417"/>
      <c r="EM51" s="365"/>
      <c r="EN51" s="366"/>
      <c r="EO51" s="373"/>
      <c r="EP51" s="333"/>
    </row>
    <row r="52" spans="2:146" ht="16.5" customHeight="1" x14ac:dyDescent="0.25">
      <c r="C52" s="511" t="str">
        <f ca="1">IF(OR(NOT($AD$82),D52="►"),"",TEXT(ABS(VLOOKUP(AH68,$AH$155:$AK$164,3,FALSE)-VLOOKUP(AH68,$AH$155:$AK$164,4,FALSE)),"0"))</f>
        <v/>
      </c>
      <c r="D52" s="510" t="str">
        <f ca="1">IF($AD$82,VLOOKUP(AH68,$AH$155:$AI$164,2,FALSE),"")</f>
        <v>►</v>
      </c>
      <c r="E52" s="487" t="str">
        <f ca="1">IF(NOT($AD$42),"",CONCATENATE(AI68,". ",AH68))</f>
        <v>9. Bőrdíszmű</v>
      </c>
      <c r="F52" s="488">
        <f ca="1">IF(NOT($AD$42),"",VLOOKUP($AH68,table.n.rv2,2,FALSE))</f>
        <v>4</v>
      </c>
      <c r="G52" s="489">
        <f ca="1">IF(NOT($AD$42),"",IF(VLOOKUP($AH68,table.n.rv2,3,FALSE)=0,"–",VLOOKUP($AH68,table.n.rv2,3,FALSE)))</f>
        <v>2</v>
      </c>
      <c r="H52" s="489" t="str">
        <f ca="1">IF(NOT($AD$42),"",IF(VLOOKUP($AH68,table.n.rv2,4,FALSE)=0,"–",VLOOKUP($AH68,table.n.rv2,4,FALSE)))</f>
        <v>–</v>
      </c>
      <c r="I52" s="489">
        <f ca="1">IF(NOT($AD$42),"",IF(VLOOKUP($AH68,table.n.rv2,5,FALSE)=0,"–",VLOOKUP($AH68,table.n.rv2,5,FALSE)))</f>
        <v>2</v>
      </c>
      <c r="J52" s="489" t="str">
        <f ca="1">IF(NOT($AD$42),"",CONCATENATE(AJ68,"–",AK68))</f>
        <v>37–99</v>
      </c>
      <c r="K52" s="490" t="str">
        <f ca="1">IF(NOT($AD$42),"",IF(VLOOKUP($AH68,table.n.rv2,8,FALSE)=0,0,IF(VLOOKUP($AH68,table.n.rv2,8,FALSE)&gt;0,CONCATENATE("+",VLOOKUP($AH68,table.n.rv2,8,FALSE)," "),CONCATENATE("–",VLOOKUP($AH68,table.n.rv2,8,FALSE)*-1," "))))</f>
        <v xml:space="preserve">–62 </v>
      </c>
      <c r="L52" s="490"/>
      <c r="M52" s="490">
        <f ca="1">IF(NOT($AD$42),"",VLOOKUP($AH68,table.n.rv2,IF(ASZTAB!$AJ$44,12,11),FALSE))</f>
        <v>7</v>
      </c>
      <c r="N52" s="286"/>
      <c r="O52" s="859" t="s">
        <v>375</v>
      </c>
      <c r="P52" s="859"/>
      <c r="Q52" s="859"/>
      <c r="R52" s="859"/>
      <c r="V52" s="337">
        <f ca="1">IF(AW66=0,0,BJ66)</f>
        <v>0.03</v>
      </c>
      <c r="W52" s="338" t="str">
        <f ca="1">AW66</f>
        <v>Bakafogó-Honvéd-Sashegy SE</v>
      </c>
      <c r="X52" s="337">
        <f t="shared" ref="X52:X61" ca="1" si="49">LARGE($V$42:$V$61,AV$51+AV54)</f>
        <v>2.5999999999999995E-2</v>
      </c>
      <c r="Y52" s="338" t="str">
        <f t="shared" ca="1" si="9"/>
        <v>Royal Guard's</v>
      </c>
      <c r="AB52" s="294"/>
      <c r="AD52" s="232"/>
      <c r="AE52" s="294"/>
      <c r="AG52" s="294"/>
      <c r="AH52" s="294"/>
      <c r="AI52" s="294"/>
      <c r="AJ52" s="294"/>
      <c r="AK52" s="294"/>
      <c r="AL52" s="294"/>
      <c r="AS52" s="179"/>
      <c r="AT52" s="179"/>
      <c r="AU52" s="179"/>
      <c r="AV52" s="179"/>
      <c r="AW52" s="179"/>
      <c r="AX52" s="179"/>
      <c r="AY52" s="179"/>
      <c r="AZ52" s="179"/>
      <c r="BA52" s="179"/>
      <c r="BB52" s="179"/>
      <c r="BC52" s="179"/>
      <c r="BD52" s="179"/>
      <c r="BE52" s="179"/>
      <c r="BF52" s="179"/>
      <c r="BG52" s="179"/>
      <c r="BH52" s="179"/>
      <c r="BI52" s="179"/>
      <c r="BJ52" s="179"/>
      <c r="BK52" s="179"/>
      <c r="BL52" s="179"/>
      <c r="BM52" s="179"/>
      <c r="BN52" s="179"/>
      <c r="BO52" s="179"/>
      <c r="BP52" s="179"/>
      <c r="BQ52" s="179"/>
      <c r="BR52" s="179"/>
      <c r="BS52" s="179"/>
      <c r="BT52" s="179"/>
      <c r="BU52" s="179"/>
      <c r="BV52" s="179"/>
      <c r="BW52" s="179"/>
      <c r="BX52" s="179"/>
      <c r="BY52" s="179"/>
      <c r="BZ52" s="179"/>
      <c r="CB52" s="350"/>
      <c r="CC52" s="350"/>
      <c r="CD52" s="350"/>
      <c r="CE52" s="350"/>
      <c r="CF52" s="350"/>
      <c r="CG52" s="350"/>
      <c r="CR52" s="350"/>
      <c r="CS52" s="300"/>
      <c r="CT52" s="301"/>
      <c r="CU52" s="324" t="s">
        <v>157</v>
      </c>
      <c r="CV52" s="324" t="s">
        <v>158</v>
      </c>
      <c r="CW52" s="325" t="s">
        <v>159</v>
      </c>
      <c r="CX52" s="325"/>
      <c r="CY52" s="326" t="s">
        <v>160</v>
      </c>
      <c r="CZ52" s="325" t="s">
        <v>135</v>
      </c>
      <c r="DA52" s="302"/>
      <c r="DB52" s="302"/>
      <c r="DC52" s="364"/>
      <c r="DD52" s="302"/>
      <c r="DF52" s="365"/>
      <c r="DG52" s="366" t="str">
        <f ca="1">IF(OR(NOT(ASZTAB!$AJ$44),AND(CT41,DG46="")),CT46,"")</f>
        <v/>
      </c>
      <c r="DH52" s="365"/>
      <c r="DI52" s="366">
        <f ca="1">IF(DG52="",0,COUNTIF(xxgy.rr,DG52))</f>
        <v>0</v>
      </c>
      <c r="DJ52" s="366">
        <f ca="1">IF(DG52="",0,COUNTIF(xxd.rr,DG52))</f>
        <v>0</v>
      </c>
      <c r="DK52" s="366">
        <f ca="1">IF(DG52="",0,1)*(SUMIF(xxo.rr,DG52,xxl.rr)+SUMIF(xxi.rr,DG52,xxk.rr))</f>
        <v>0</v>
      </c>
      <c r="DL52" s="366">
        <f ca="1">IF(DG52="",0,1)*(SUMIF(xxo.rr,DG52,xxk.rr)+SUMIF(xxi.rr,DG52,xxl.rr))</f>
        <v>0</v>
      </c>
      <c r="DM52" s="366">
        <f ca="1">DK52-DL52</f>
        <v>0</v>
      </c>
      <c r="DN52" s="366">
        <f ca="1">IF(DL52=0,0,DK52/DL52)</f>
        <v>0</v>
      </c>
      <c r="DO52" s="366">
        <f ca="1">ASZTAB!$AJ$48*DI52+IF(ASZTAB!$AJ$44,0,1)*DJ52</f>
        <v>0</v>
      </c>
      <c r="DP52" s="396">
        <f ca="1">DO52*1000000+IF(ASZTAB!$AJ$44,DN52,DM52)*1000*0</f>
        <v>0</v>
      </c>
      <c r="DQ52" s="366">
        <f ca="1">IF(DG52="",0,1)*(SUMIF(yyo.rr,DG52,yyl.rr)+SUMIF(yyi.rr,DG52,yyk.rr))</f>
        <v>0</v>
      </c>
      <c r="DR52" s="366">
        <f ca="1">IF(DG52="",0,1)*(SUMIF(yyo.rr,DG52,yyk.rr)+SUMIF(yyi.rr,DG52,yyl.rr))</f>
        <v>0</v>
      </c>
      <c r="DS52" s="366">
        <f ca="1">DQ52-DR52</f>
        <v>0</v>
      </c>
      <c r="DT52" s="366">
        <f ca="1">IF(OR(ISERR(DP52),ISNA(DP52)),0,DP52)+IF(ASZTAB!$AJ$54,DS52,0)</f>
        <v>0</v>
      </c>
      <c r="DU52" s="366">
        <f ca="1">IF(DT52=0,0,RANK(DT52,DT48:DT52,1))</f>
        <v>0</v>
      </c>
      <c r="DV52" s="366">
        <f ca="1">DU52*40000*IF(COUNTIF($EN$42:$EN$51,DG52)&gt;0,0,1)</f>
        <v>0</v>
      </c>
      <c r="DW52" s="365"/>
      <c r="DZ52" s="365"/>
      <c r="EA52" s="365"/>
      <c r="EB52" s="365"/>
      <c r="EC52" s="404" t="str">
        <f>IF(NOT($AD$98),"",EC49)</f>
        <v/>
      </c>
      <c r="ED52" s="360" t="str">
        <f ca="1">IF(OR(EC52="",EJ52="",EC52=EJ52,ISNA(VLOOKUP(CONCATENATE(EC52,EJ52),games.a,2,FALSE))),"",CONCATENATE(EC52,EJ52))</f>
        <v/>
      </c>
      <c r="EE52" s="524" t="str">
        <f ca="1">IF(OR(ED52="",EJ48&gt;2),"",CONCATENATE(VLOOKUP(ED52,games.a,9,FALSE),VLOOKUP(ED52,games.a,12,FALSE)))</f>
        <v/>
      </c>
      <c r="EF52" s="413"/>
      <c r="EG52" s="414"/>
      <c r="EH52" s="525" t="str">
        <f ca="1">IF(ED52="","",VLOOKUP(ED52,games.a,6,FALSE))</f>
        <v/>
      </c>
      <c r="EI52" s="362" t="str">
        <f ca="1">IF(ED52="","",VLOOKUP(ED52,games.a,7,FALSE))</f>
        <v/>
      </c>
      <c r="EJ52" s="526" t="str">
        <f ca="1">EJ51</f>
        <v/>
      </c>
      <c r="EK52" s="527"/>
      <c r="EL52" s="528"/>
      <c r="EM52" s="365"/>
      <c r="EN52" s="365"/>
      <c r="EO52" s="373"/>
      <c r="EP52" s="333"/>
    </row>
    <row r="53" spans="2:146" ht="16.5" customHeight="1" x14ac:dyDescent="0.25">
      <c r="C53" s="511" t="str">
        <f ca="1">IF(OR(NOT($AD$82),D53="►"),"",TEXT(ABS(VLOOKUP(AH69,$AH$155:$AK$164,3,FALSE)-VLOOKUP(AH69,$AH$155:$AK$164,4,FALSE)),"0"))</f>
        <v/>
      </c>
      <c r="D53" s="510" t="str">
        <f ca="1">IF($AD$82,VLOOKUP(AH69,$AH$155:$AI$164,2,FALSE),"")</f>
        <v>►</v>
      </c>
      <c r="E53" s="487" t="str">
        <f ca="1">IF(NOT($AD$42),"",CONCATENATE(AI69,". ",AH69))</f>
        <v>10. Carbonász</v>
      </c>
      <c r="F53" s="488">
        <f ca="1">IF(NOT($AD$42),"",VLOOKUP($AH69,table.n.rv2,2,FALSE))</f>
        <v>4</v>
      </c>
      <c r="G53" s="489" t="str">
        <f ca="1">IF(NOT($AD$42),"",IF(VLOOKUP($AH69,table.n.rv2,3,FALSE)=0,"–",VLOOKUP($AH69,table.n.rv2,3,FALSE)))</f>
        <v>–</v>
      </c>
      <c r="H53" s="489">
        <f ca="1">IF(NOT($AD$42),"",IF(VLOOKUP($AH69,table.n.rv2,4,FALSE)=0,"–",VLOOKUP($AH69,table.n.rv2,4,FALSE)))</f>
        <v>2</v>
      </c>
      <c r="I53" s="489">
        <f ca="1">IF(NOT($AD$42),"",IF(VLOOKUP($AH69,table.n.rv2,5,FALSE)=0,"–",VLOOKUP($AH69,table.n.rv2,5,FALSE)))</f>
        <v>2</v>
      </c>
      <c r="J53" s="489" t="str">
        <f ca="1">IF(NOT($AD$42),"",CONCATENATE(AJ69,"–",AK69))</f>
        <v>50–113</v>
      </c>
      <c r="K53" s="490" t="str">
        <f ca="1">IF(NOT($AD$42),"",IF(VLOOKUP($AH69,table.n.rv2,8,FALSE)=0,0,IF(VLOOKUP($AH69,table.n.rv2,8,FALSE)&gt;0,CONCATENATE("+",VLOOKUP($AH69,table.n.rv2,8,FALSE)," "),CONCATENATE("–",VLOOKUP($AH69,table.n.rv2,8,FALSE)*-1," "))))</f>
        <v xml:space="preserve">–63 </v>
      </c>
      <c r="L53" s="490"/>
      <c r="M53" s="490">
        <f ca="1">IF(NOT($AD$42),"",VLOOKUP($AH69,table.n.rv2,IF(ASZTAB!$AJ$44,12,11),FALSE))</f>
        <v>4</v>
      </c>
      <c r="N53" s="286"/>
      <c r="O53" s="859"/>
      <c r="P53" s="859"/>
      <c r="Q53" s="859"/>
      <c r="R53" s="859"/>
      <c r="V53" s="337">
        <f t="shared" ref="V53:V61" ca="1" si="50">IF(AW67=0,0,BJ67)</f>
        <v>2.8999999999999998E-2</v>
      </c>
      <c r="W53" s="338" t="str">
        <f t="shared" ref="W53:W61" ca="1" si="51">AW67</f>
        <v>Vakana</v>
      </c>
      <c r="X53" s="337">
        <f t="shared" ca="1" si="49"/>
        <v>0</v>
      </c>
      <c r="Y53" s="338">
        <f t="shared" ca="1" si="9"/>
        <v>0</v>
      </c>
      <c r="AB53" s="294"/>
      <c r="AC53" s="232" t="s">
        <v>362</v>
      </c>
      <c r="AD53" s="376">
        <v>0</v>
      </c>
      <c r="AE53" s="294"/>
      <c r="AG53" s="294"/>
      <c r="AH53" s="294"/>
      <c r="AI53" s="294"/>
      <c r="AJ53" s="294"/>
      <c r="AK53" s="294"/>
      <c r="AL53" s="294"/>
      <c r="AS53" s="313" t="s">
        <v>261</v>
      </c>
      <c r="AT53" s="314"/>
      <c r="AU53" s="315"/>
      <c r="AV53" s="315"/>
      <c r="AW53" s="316" t="s">
        <v>261</v>
      </c>
      <c r="AX53" s="317" t="s">
        <v>120</v>
      </c>
      <c r="AY53" s="318" t="s">
        <v>121</v>
      </c>
      <c r="AZ53" s="318" t="s">
        <v>134</v>
      </c>
      <c r="BA53" s="318" t="s">
        <v>122</v>
      </c>
      <c r="BB53" s="318" t="s">
        <v>123</v>
      </c>
      <c r="BC53" s="318" t="s">
        <v>124</v>
      </c>
      <c r="BD53" s="318" t="s">
        <v>125</v>
      </c>
      <c r="BE53" s="318" t="s">
        <v>191</v>
      </c>
      <c r="BF53" s="318" t="s">
        <v>207</v>
      </c>
      <c r="BG53" s="318" t="s">
        <v>126</v>
      </c>
      <c r="BH53" s="318" t="s">
        <v>197</v>
      </c>
      <c r="BI53" s="318" t="s">
        <v>192</v>
      </c>
      <c r="BJ53" s="318" t="s">
        <v>127</v>
      </c>
      <c r="BK53" s="318" t="s">
        <v>208</v>
      </c>
      <c r="BM53" s="318" t="s">
        <v>196</v>
      </c>
      <c r="BN53" s="318" t="s">
        <v>121</v>
      </c>
      <c r="BO53" s="318" t="s">
        <v>134</v>
      </c>
      <c r="BP53" s="318" t="s">
        <v>122</v>
      </c>
      <c r="BQ53" s="318" t="s">
        <v>123</v>
      </c>
      <c r="BR53" s="318" t="s">
        <v>124</v>
      </c>
      <c r="BT53" s="318" t="s">
        <v>196</v>
      </c>
      <c r="BU53" s="318" t="s">
        <v>121</v>
      </c>
      <c r="BV53" s="318" t="s">
        <v>134</v>
      </c>
      <c r="BW53" s="318" t="s">
        <v>122</v>
      </c>
      <c r="BX53" s="318" t="s">
        <v>123</v>
      </c>
      <c r="BY53" s="318" t="s">
        <v>124</v>
      </c>
      <c r="BZ53" s="179"/>
      <c r="CB53" s="350"/>
      <c r="CC53" s="350"/>
      <c r="CD53" s="350"/>
      <c r="CE53" s="350"/>
      <c r="CF53" s="350"/>
      <c r="CG53" s="350"/>
      <c r="CR53" s="350"/>
      <c r="CS53" s="300"/>
      <c r="CT53" s="395" t="str">
        <f ca="1">CT42</f>
        <v/>
      </c>
      <c r="CU53" s="360" t="str">
        <f ca="1">IF(OR(CT53="",DA53="",CT53=DA53,ISNA(VLOOKUP(CONCATENATE(CT53,DA53),games.r,2,FALSE))),"",CONCATENATE(CT53,DA53))</f>
        <v/>
      </c>
      <c r="CV53" s="360" t="str">
        <f ca="1">IF(CU53="","",CONCATENATE(VLOOKUP(CU53,games.r,9,FALSE),VLOOKUP(CU53,games.r,12,FALSE)))</f>
        <v/>
      </c>
      <c r="CW53" s="354" t="str">
        <f ca="1">IF(CU53="","",VLOOKUP(CU53,games.r,10,FALSE))</f>
        <v/>
      </c>
      <c r="CX53" s="354" t="str">
        <f ca="1">IF(CU53="","",VLOOKUP(CU53,games.r,13,FALSE))</f>
        <v/>
      </c>
      <c r="CY53" s="361" t="str">
        <f ca="1">IF(CU53="","",VLOOKUP(CU53,games.r,6,FALSE))</f>
        <v/>
      </c>
      <c r="CZ53" s="362" t="str">
        <f ca="1">IF(CU53="","",VLOOKUP(CU53,games.r,7,FALSE))</f>
        <v/>
      </c>
      <c r="DA53" s="363" t="str">
        <f ca="1">CT43</f>
        <v/>
      </c>
      <c r="DB53" s="302"/>
      <c r="DC53" s="364"/>
      <c r="DD53" s="302"/>
      <c r="DF53" s="424"/>
      <c r="DW53" s="365"/>
      <c r="DX53" s="424"/>
      <c r="DZ53" s="365"/>
      <c r="EA53" s="365"/>
      <c r="EB53" s="365"/>
      <c r="EC53" s="404" t="str">
        <f>IF(NOT($AD$98),"",EC50)</f>
        <v/>
      </c>
      <c r="ED53" s="360" t="str">
        <f ca="1">IF(OR(EC53="",EJ53="",EC53=EJ53,ISNA(VLOOKUP(CONCATENATE(EC53,EJ53),games.a,2,FALSE))),"",CONCATENATE(EC53,EJ53))</f>
        <v/>
      </c>
      <c r="EE53" s="524" t="str">
        <f ca="1">IF(OR(ED53="",EJ48&gt;2),"",CONCATENATE(VLOOKUP(ED53,games.a,9,FALSE),VLOOKUP(ED53,games.a,12,FALSE)))</f>
        <v/>
      </c>
      <c r="EF53" s="413"/>
      <c r="EG53" s="414"/>
      <c r="EH53" s="525" t="str">
        <f ca="1">IF(ED53="","",VLOOKUP(ED53,games.a,6,FALSE))</f>
        <v/>
      </c>
      <c r="EI53" s="362" t="str">
        <f ca="1">IF(ED53="","",VLOOKUP(ED53,games.a,7,FALSE))</f>
        <v/>
      </c>
      <c r="EJ53" s="526" t="str">
        <f ca="1">EJ52</f>
        <v/>
      </c>
      <c r="EK53" s="527"/>
      <c r="EL53" s="528"/>
      <c r="EM53" s="365"/>
      <c r="EN53" s="365"/>
      <c r="EO53" s="373"/>
      <c r="EP53" s="333"/>
    </row>
    <row r="54" spans="2:146" ht="16.5" customHeight="1" x14ac:dyDescent="0.25">
      <c r="C54" s="511" t="str">
        <f ca="1">IF(OR(NOT($AD$82),D54="►"),"",TEXT(ABS(VLOOKUP(AH70,$AH$155:$AK$164,3,FALSE)-VLOOKUP(AH70,$AH$155:$AK$164,4,FALSE)),"0"))</f>
        <v/>
      </c>
      <c r="D54" s="510" t="str">
        <f ca="1">IF($AD$82,VLOOKUP(AH70,$AH$155:$AI$164,2,FALSE),"")</f>
        <v>►</v>
      </c>
      <c r="E54" s="499" t="str">
        <f ca="1">IF(NOT($AD$42),"",CONCATENATE(AI70,". ",AH70))</f>
        <v>11. Royal Guard's</v>
      </c>
      <c r="F54" s="500">
        <f ca="1">IF(NOT($AD$42),"",VLOOKUP($AH70,table.n.rv2,2,FALSE))</f>
        <v>4</v>
      </c>
      <c r="G54" s="501" t="str">
        <f ca="1">IF(NOT($AD$42),"",IF(VLOOKUP($AH70,table.n.rv2,3,FALSE)=0,"–",VLOOKUP($AH70,table.n.rv2,3,FALSE)))</f>
        <v>–</v>
      </c>
      <c r="H54" s="501">
        <f ca="1">IF(NOT($AD$42),"",IF(VLOOKUP($AH70,table.n.rv2,4,FALSE)=0,"–",VLOOKUP($AH70,table.n.rv2,4,FALSE)))</f>
        <v>3</v>
      </c>
      <c r="I54" s="501">
        <f ca="1">IF(NOT($AD$42),"",IF(VLOOKUP($AH70,table.n.rv2,5,FALSE)=0,"–",VLOOKUP($AH70,table.n.rv2,5,FALSE)))</f>
        <v>1</v>
      </c>
      <c r="J54" s="501" t="str">
        <f ca="1">IF(NOT($AD$42),"",CONCATENATE(AJ70,"–",AK70))</f>
        <v>35–82</v>
      </c>
      <c r="K54" s="502" t="str">
        <f ca="1">IF(NOT($AD$42),"",IF(VLOOKUP($AH70,table.n.rv2,8,FALSE)=0,0,IF(VLOOKUP($AH70,table.n.rv2,8,FALSE)&gt;0,CONCATENATE("+",VLOOKUP($AH70,table.n.rv2,8,FALSE)," "),CONCATENATE("–",VLOOKUP($AH70,table.n.rv2,8,FALSE)*-1," "))))</f>
        <v xml:space="preserve">–47 </v>
      </c>
      <c r="L54" s="502"/>
      <c r="M54" s="502">
        <f ca="1">IF(NOT($AD$42),"",VLOOKUP($AH70,table.n.rv2,IF(ASZTAB!$AJ$44,12,11),FALSE))</f>
        <v>3</v>
      </c>
      <c r="N54" s="286"/>
      <c r="O54" s="859"/>
      <c r="P54" s="859"/>
      <c r="Q54" s="859"/>
      <c r="R54" s="859"/>
      <c r="V54" s="337">
        <f t="shared" ca="1" si="50"/>
        <v>2.7999999999999997E-2</v>
      </c>
      <c r="W54" s="338" t="str">
        <f t="shared" ca="1" si="51"/>
        <v>Carbonász</v>
      </c>
      <c r="X54" s="337">
        <f t="shared" ca="1" si="49"/>
        <v>0</v>
      </c>
      <c r="Y54" s="338">
        <f t="shared" ca="1" si="9"/>
        <v>0</v>
      </c>
      <c r="AB54" s="294"/>
      <c r="AC54" s="232" t="s">
        <v>363</v>
      </c>
      <c r="AD54" s="376">
        <v>0</v>
      </c>
      <c r="AE54" s="294"/>
      <c r="AG54" s="294"/>
      <c r="AH54" s="294"/>
      <c r="AI54" s="294"/>
      <c r="AJ54" s="294"/>
      <c r="AK54" s="294"/>
      <c r="AL54" s="294"/>
      <c r="AO54" s="349">
        <v>1</v>
      </c>
      <c r="AP54" s="430" t="str">
        <f t="shared" ref="AP54:AP63" ca="1" si="52">VLOOKUP($AS54,table.rr1,3,FALSE)</f>
        <v>BBK</v>
      </c>
      <c r="AQ54" s="349">
        <v>1</v>
      </c>
      <c r="AS54" s="529">
        <f ca="1">LARGE(AU$54:AU$63,AV54)</f>
        <v>24014018.039999999</v>
      </c>
      <c r="AT54" s="342">
        <v>1</v>
      </c>
      <c r="AU54" s="343">
        <f ca="1">IF(NOT($AD$43),0,IF(ASZTAB!$AJ$44,BI54*100,IF(ASZTAB!$AJ$43,BG54*10,BG54))*1000000+IF(ASZTAB!$AJ$52,AY54*10000,0)+IF(ASZTAB!$AJ$44,BE54,BD54)*1000/IF(OR(ASZTAB!AJ$43,ASZTAB!$AJ$52),10,1)+IF(ASZTAB!$AJ$44,0,IF(ASZTAB!AJ$43,BB54/10,BB54))+BJ54+BK54-IF(AW54=0,1000000000,0))</f>
        <v>24014018.039999999</v>
      </c>
      <c r="AV54" s="344">
        <v>1</v>
      </c>
      <c r="AW54" s="345" t="str">
        <f ca="1">AW42</f>
        <v>BBK</v>
      </c>
      <c r="AX54" s="346">
        <f t="shared" ref="AX54:AX63" ca="1" si="53">AY54+AZ54+BA54</f>
        <v>5</v>
      </c>
      <c r="AY54" s="346">
        <f ca="1">IF(NOT($AD$43),0,BN54+BU54)</f>
        <v>4</v>
      </c>
      <c r="AZ54" s="346">
        <f ca="1">IF(NOT($AD$43),0,BO54+BV54)</f>
        <v>0</v>
      </c>
      <c r="BA54" s="346">
        <f ca="1">IF(NOT($AD$43),0,BP54+BW54)</f>
        <v>1</v>
      </c>
      <c r="BB54" s="346">
        <f ca="1">IF(NOT($AD$43),0,BQ54+BX54)</f>
        <v>18</v>
      </c>
      <c r="BC54" s="346">
        <f ca="1">IF(NOT($AD$43),0,BR54+BY54)</f>
        <v>4</v>
      </c>
      <c r="BD54" s="346">
        <f ca="1">BB54-BC54</f>
        <v>14</v>
      </c>
      <c r="BE54" s="347">
        <f ca="1">IF(BC54=0,0,BB54/BC54)</f>
        <v>4.5</v>
      </c>
      <c r="BF54" s="346">
        <f t="shared" ref="BF54:BF63" ca="1" si="54">IF(NOT($AD$43),0,IF(ISNA(VLOOKUP(AW54,penalty.r,2,FALSE)),0,VLOOKUP(AW54,penalty.r,2,FALSE))-IF(OR(NOT($AD$96),ISNA(VLOOKUP(AW54,zpoint,2,FALSE))),0,VLOOKUP(AW54,zpoint,2,FALSE)))</f>
        <v>-12</v>
      </c>
      <c r="BG54" s="346">
        <f ca="1">IF(NOT($AD$43),0,ASZTAB!$AJ$48*AY54+AZ54-BF54)</f>
        <v>24</v>
      </c>
      <c r="BH54" s="346">
        <f ca="1">IF(NOT($AD$43),0,AY54*2+BA54-BF54)</f>
        <v>21</v>
      </c>
      <c r="BI54" s="347">
        <f ca="1">IF(NOT($AD$43),0,IF(AND(AX54=0,BH54=0),0,BH54/(AX54*2+$AD$97)))</f>
        <v>0.95454545454545459</v>
      </c>
      <c r="BJ54" s="348">
        <v>0.04</v>
      </c>
      <c r="BK54" s="349">
        <f t="shared" ref="BK54:BK63" ca="1" si="55">IF(ISNA(VLOOKUP(AW54,eee.rr,16,FALSE)),0,VLOOKUP(AW54,eee.rr,16,FALSE))</f>
        <v>0</v>
      </c>
      <c r="BM54" s="346">
        <f t="shared" ref="BM54:BM63" ca="1" si="56">IF(NOT($AD$43),0,COUNTIF(lossh.rr,CONCATENATE($AW54,"ooo"))+IF(NOT($AD$94),0,IF($AD$95,COUNTIF(lossh.aa,CONCATENATE($AW54,"ooo")),COUNTIF(zlossh,CONCATENATE($AW54,"ooo")))))</f>
        <v>0</v>
      </c>
      <c r="BN54" s="346">
        <f t="shared" ref="BN54:BN63" ca="1" si="57">IF(NOT($AD$43),0,COUNTIF(winh.rr,$AW54)+IF(NOT($AD$94),0,IF($AD$95,COUNTIF(winh.aa,$AW54),COUNTIF(zwinh,$AW54))))</f>
        <v>4</v>
      </c>
      <c r="BO54" s="346">
        <f t="shared" ref="BO54:BO63" ca="1" si="58">IF(NOT($AD$43),0,COUNTIF(drawh.rr,$AW54)+IF(NOT($AD$94),0,IF($AD$95,COUNTIF(drawh.aa,$AW54),COUNTIF(zdrawh,$AW54))))</f>
        <v>0</v>
      </c>
      <c r="BP54" s="346">
        <f t="shared" ref="BP54:BP63" ca="1" si="59">IF(NOT($AD$43),0,COUNTIF(lossh.rr,$AW54)+BM54+IF(NOT($AD$94),0,IF($AD$95,COUNTIF(lossh.aa,$AW54),COUNTIF(zlossh,$AW54))))</f>
        <v>1</v>
      </c>
      <c r="BQ54" s="346">
        <f t="shared" ref="BQ54:BQ63" ca="1" si="60">IF(NOT($AD$43),0,SUMIF(home.rr,$AW54,GAA.rr)+IF(NOT($AD$94),0,IF($AD$95,SUMIF(home.aa,$AW54,GAA.aa),SUMIF(zhome,$AW54,zfor))))</f>
        <v>18</v>
      </c>
      <c r="BR54" s="346">
        <f t="shared" ref="BR54:BR63" ca="1" si="61">IF(NOT($AD$43),0,SUMIF(home.rr,$AW54,GBB.rr)+IF(NOT($AD$94),0,IF($AD$95,SUMIF(home.aa,$AW54,GBB.aa),SUMIF(zhome,$AW54,zagainst))))</f>
        <v>4</v>
      </c>
      <c r="BT54" s="346">
        <f t="shared" ref="BT54:BT63" ca="1" si="62">IF(NOT($AD$43),0,COUNTIF(lossa.rr,CONCATENATE($AW54,"ooo"))+IF(NOT($AD$94),0,IF($AD$95,COUNTIF(lossa.aa,CONCATENATE($AW54,"ooo")),COUNTIF(zlossa,CONCATENATE($AW54,"ooo")))))</f>
        <v>0</v>
      </c>
      <c r="BU54" s="346">
        <f t="shared" ref="BU54:BU63" ca="1" si="63">IF(NOT($AD$43),0,COUNTIF(wina.rr,$AW54)+IF(NOT($AD$94),0,IF($AD$95,COUNTIF(wina.aa,$AW54),COUNTIF(zwina,$AW54))))</f>
        <v>0</v>
      </c>
      <c r="BV54" s="346">
        <f t="shared" ref="BV54:BV63" ca="1" si="64">IF(NOT($AD$43),0,COUNTIF(drawa.rr,$AW54)+IF(NOT($AD$94),0,IF($AD$95,COUNTIF(drawa.aa,$AW54),COUNTIF(zdrawa,$AW54))))</f>
        <v>0</v>
      </c>
      <c r="BW54" s="346">
        <f t="shared" ref="BW54:BW63" ca="1" si="65">IF(NOT($AD$43),0,COUNTIF(lossa.rr,$AW54)+BT54+IF(NOT($AD$94),0,IF($AD$95,COUNTIF(lossa.aa,$AW54),COUNTIF(zlossa,$AW54))))</f>
        <v>0</v>
      </c>
      <c r="BX54" s="346">
        <f t="shared" ref="BX54:BX63" ca="1" si="66">IF(NOT($AD$43),0,SUMIF(away.rr,$AW54,GBB.rr)+IF(NOT($AD$94),0,IF($AD$95,SUMIF(away.aa,$AW54,GBB.aa),SUMIF(zaway,$AW54,zagainst))))</f>
        <v>0</v>
      </c>
      <c r="BY54" s="346">
        <f t="shared" ref="BY54:BY63" ca="1" si="67">IF(NOT($AD$43),0,SUMIF(away.rr,$AW54,GAA.rr)+IF(NOT($AD$94),0,IF($AD$95,SUMIF(away.aa,$AW54,GAA.aa),SUMIF(zaway,$AW54,zfor))))</f>
        <v>0</v>
      </c>
      <c r="BZ54" s="179"/>
      <c r="CB54" s="350"/>
      <c r="CC54" s="350"/>
      <c r="CD54" s="350"/>
      <c r="CE54" s="350"/>
      <c r="CF54" s="350"/>
      <c r="CG54" s="350"/>
      <c r="CR54" s="350"/>
      <c r="CS54" s="300"/>
      <c r="CT54" s="395" t="str">
        <f t="shared" ref="CT54:CT62" ca="1" si="68">CT43</f>
        <v/>
      </c>
      <c r="CU54" s="360" t="str">
        <f ca="1">IF(OR(CT54="",DA54="",CT54=DA54,ISNA(VLOOKUP(CONCATENATE(CT54,DA54),games.r,2,FALSE))),"",CONCATENATE(CT54,DA54))</f>
        <v/>
      </c>
      <c r="CV54" s="360" t="str">
        <f ca="1">IF(CU54="","",CONCATENATE(VLOOKUP(CU54,games.r,9,FALSE),VLOOKUP(CU54,games.r,12,FALSE)))</f>
        <v/>
      </c>
      <c r="CW54" s="354" t="str">
        <f ca="1">IF(CU54="","",VLOOKUP(CU54,games.r,10,FALSE))</f>
        <v/>
      </c>
      <c r="CX54" s="354" t="str">
        <f ca="1">IF(CU54="","",VLOOKUP(CU54,games.r,13,FALSE))</f>
        <v/>
      </c>
      <c r="CY54" s="361" t="str">
        <f ca="1">IF(CU54="","",VLOOKUP(CU54,games.r,6,FALSE))</f>
        <v/>
      </c>
      <c r="CZ54" s="362" t="str">
        <f ca="1">IF(CU54="","",VLOOKUP(CU54,games.r,7,FALSE))</f>
        <v/>
      </c>
      <c r="DA54" s="379" t="str">
        <f ca="1">DA53</f>
        <v/>
      </c>
      <c r="DB54" s="302"/>
      <c r="DC54" s="364"/>
      <c r="DD54" s="302"/>
      <c r="DF54" s="424"/>
      <c r="DW54" s="365"/>
      <c r="DX54" s="424"/>
      <c r="DZ54" s="365"/>
      <c r="EC54" s="404" t="str">
        <f>IF(NOT($AD$98),"",EC51)</f>
        <v/>
      </c>
      <c r="ED54" s="360" t="str">
        <f ca="1">IF(OR(EC54="",EJ54="",EC54=EJ54,ISNA(VLOOKUP(CONCATENATE(EC54,EJ54),games.a,2,FALSE))),"",CONCATENATE(EC54,EJ54))</f>
        <v/>
      </c>
      <c r="EE54" s="524" t="str">
        <f ca="1">IF(OR(ED54="",EJ48&gt;2),"",CONCATENATE(VLOOKUP(ED54,games.a,9,FALSE),VLOOKUP(ED54,games.a,12,FALSE)))</f>
        <v/>
      </c>
      <c r="EF54" s="413"/>
      <c r="EG54" s="414"/>
      <c r="EH54" s="525" t="str">
        <f ca="1">IF(ED54="","",VLOOKUP(ED54,games.a,6,FALSE))</f>
        <v/>
      </c>
      <c r="EI54" s="362" t="str">
        <f ca="1">IF(ED54="","",VLOOKUP(ED54,games.a,7,FALSE))</f>
        <v/>
      </c>
      <c r="EJ54" s="526" t="str">
        <f ca="1">EJ53</f>
        <v/>
      </c>
      <c r="EK54" s="527"/>
      <c r="EL54" s="528"/>
      <c r="EO54" s="373"/>
      <c r="EP54" s="333"/>
    </row>
    <row r="55" spans="2:146" ht="16.5" customHeight="1" x14ac:dyDescent="0.25">
      <c r="E55" s="286"/>
      <c r="F55" s="286"/>
      <c r="G55" s="286"/>
      <c r="H55" s="286"/>
      <c r="I55" s="286"/>
      <c r="J55" s="286"/>
      <c r="K55" s="286"/>
      <c r="L55" s="286"/>
      <c r="M55" s="286"/>
      <c r="N55" s="286"/>
      <c r="V55" s="337">
        <f t="shared" ca="1" si="50"/>
        <v>2.6999999999999996E-2</v>
      </c>
      <c r="W55" s="338" t="str">
        <f t="shared" ca="1" si="51"/>
        <v>Bőrdíszmű</v>
      </c>
      <c r="X55" s="337">
        <f t="shared" ca="1" si="49"/>
        <v>0</v>
      </c>
      <c r="Y55" s="338">
        <f t="shared" ca="1" si="9"/>
        <v>0</v>
      </c>
      <c r="AB55" s="294"/>
      <c r="AE55" s="294"/>
      <c r="AG55" s="294"/>
      <c r="AH55" s="294"/>
      <c r="AI55" s="294"/>
      <c r="AJ55" s="530"/>
      <c r="AK55" s="294"/>
      <c r="AL55" s="294"/>
      <c r="AO55" s="349">
        <v>2</v>
      </c>
      <c r="AP55" s="430" t="str">
        <f t="shared" ca="1" si="52"/>
        <v>BHD</v>
      </c>
      <c r="AQ55" s="349">
        <v>2</v>
      </c>
      <c r="AS55" s="529">
        <f t="shared" ref="AS55:AS63" ca="1" si="69">LARGE(AU$54:AU$63,AV55)</f>
        <v>21007014.037999999</v>
      </c>
      <c r="AT55" s="377">
        <f ca="1">IF(AS55&lt;-999999990,"",IF(ABS(AS54-AS55)&lt;0.015,AT54,AV55))</f>
        <v>2</v>
      </c>
      <c r="AU55" s="343">
        <f ca="1">IF(NOT($AD$43),0,IF(ASZTAB!$AJ$44,BI55*100,IF(ASZTAB!$AJ$43,BG55*10,BG55))*1000000+IF(ASZTAB!$AJ$52,AY55*10000,0)+IF(ASZTAB!$AJ$44,BE55,BD55)*1000/IF(OR(ASZTAB!AJ$43,ASZTAB!$AJ$52),10,1)+IF(ASZTAB!$AJ$44,0,IF(ASZTAB!AJ$43,BB55/10,BB55))+BJ55+BK55-IF(AW55=0,1000000000,0))</f>
        <v>17997008.039000001</v>
      </c>
      <c r="AV55" s="349">
        <v>2</v>
      </c>
      <c r="AW55" s="345" t="str">
        <f t="shared" ref="AW55:AW63" ca="1" si="70">AW43</f>
        <v>K&amp;H</v>
      </c>
      <c r="AX55" s="346">
        <f t="shared" ca="1" si="53"/>
        <v>5</v>
      </c>
      <c r="AY55" s="346">
        <f t="shared" ref="AY55:AY63" ca="1" si="71">IF(NOT($AD$43),0,BN55+BU55)</f>
        <v>2</v>
      </c>
      <c r="AZ55" s="346">
        <f t="shared" ref="AZ55:AZ63" ca="1" si="72">IF(NOT($AD$43),0,BO55+BV55)</f>
        <v>0</v>
      </c>
      <c r="BA55" s="346">
        <f t="shared" ref="BA55:BA63" ca="1" si="73">IF(NOT($AD$43),0,BP55+BW55)</f>
        <v>3</v>
      </c>
      <c r="BB55" s="346">
        <f t="shared" ref="BB55:BB63" ca="1" si="74">IF(NOT($AD$43),0,BQ55+BX55)</f>
        <v>8</v>
      </c>
      <c r="BC55" s="346">
        <f t="shared" ref="BC55:BC63" ca="1" si="75">IF(NOT($AD$43),0,BR55+BY55)</f>
        <v>11</v>
      </c>
      <c r="BD55" s="346">
        <f t="shared" ref="BD55:BD63" ca="1" si="76">BB55-BC55</f>
        <v>-3</v>
      </c>
      <c r="BE55" s="347">
        <f t="shared" ref="BE55:BE63" ca="1" si="77">IF(BC55=0,0,BB55/BC55)</f>
        <v>0.72727272727272729</v>
      </c>
      <c r="BF55" s="346">
        <f t="shared" ca="1" si="54"/>
        <v>-12</v>
      </c>
      <c r="BG55" s="346">
        <f ca="1">IF(NOT($AD$43),0,ASZTAB!$AJ$48*AY55+AZ55-BF55)</f>
        <v>18</v>
      </c>
      <c r="BH55" s="346">
        <f t="shared" ref="BH55:BH63" ca="1" si="78">IF(NOT($AD$43),0,AY55*2+BA55-BF55)</f>
        <v>19</v>
      </c>
      <c r="BI55" s="347">
        <f t="shared" ref="BI55:BI63" ca="1" si="79">IF(NOT($AD$43),0,IF(AND(AX55=0,BH55=0),0,BH55/(AX55*2+$AD$97)))</f>
        <v>0.86363636363636365</v>
      </c>
      <c r="BJ55" s="348">
        <v>3.9E-2</v>
      </c>
      <c r="BK55" s="349">
        <f t="shared" ca="1" si="55"/>
        <v>0</v>
      </c>
      <c r="BM55" s="346">
        <f t="shared" ca="1" si="56"/>
        <v>0</v>
      </c>
      <c r="BN55" s="346">
        <f t="shared" ca="1" si="57"/>
        <v>2</v>
      </c>
      <c r="BO55" s="346">
        <f t="shared" ca="1" si="58"/>
        <v>0</v>
      </c>
      <c r="BP55" s="346">
        <f t="shared" ca="1" si="59"/>
        <v>2</v>
      </c>
      <c r="BQ55" s="346">
        <f t="shared" ca="1" si="60"/>
        <v>7</v>
      </c>
      <c r="BR55" s="346">
        <f t="shared" ca="1" si="61"/>
        <v>9</v>
      </c>
      <c r="BT55" s="346">
        <f t="shared" ca="1" si="62"/>
        <v>0</v>
      </c>
      <c r="BU55" s="346">
        <f t="shared" ca="1" si="63"/>
        <v>0</v>
      </c>
      <c r="BV55" s="346">
        <f t="shared" ca="1" si="64"/>
        <v>0</v>
      </c>
      <c r="BW55" s="346">
        <f t="shared" ca="1" si="65"/>
        <v>1</v>
      </c>
      <c r="BX55" s="346">
        <f t="shared" ca="1" si="66"/>
        <v>1</v>
      </c>
      <c r="BY55" s="346">
        <f t="shared" ca="1" si="67"/>
        <v>2</v>
      </c>
      <c r="BZ55" s="179"/>
      <c r="CB55" s="350"/>
      <c r="CC55" s="350"/>
      <c r="CD55" s="350"/>
      <c r="CE55" s="350"/>
      <c r="CF55" s="350"/>
      <c r="CG55" s="350"/>
      <c r="CR55" s="350"/>
      <c r="CS55" s="300"/>
      <c r="CT55" s="395" t="str">
        <f t="shared" ca="1" si="68"/>
        <v/>
      </c>
      <c r="CU55" s="360" t="str">
        <f ca="1">IF(OR(CT55="",DA55="",CT55=DA55,ISNA(VLOOKUP(CONCATENATE(CT55,DA55),games.r,2,FALSE))),"",CONCATENATE(CT55,DA55))</f>
        <v/>
      </c>
      <c r="CV55" s="360" t="str">
        <f ca="1">IF(CU55="","",CONCATENATE(VLOOKUP(CU55,games.r,9,FALSE),VLOOKUP(CU55,games.r,12,FALSE)))</f>
        <v/>
      </c>
      <c r="CW55" s="354" t="str">
        <f ca="1">IF(CU55="","",VLOOKUP(CU55,games.r,10,FALSE))</f>
        <v/>
      </c>
      <c r="CX55" s="354" t="str">
        <f ca="1">IF(CU55="","",VLOOKUP(CU55,games.r,13,FALSE))</f>
        <v/>
      </c>
      <c r="CY55" s="361" t="str">
        <f ca="1">IF(CU55="","",VLOOKUP(CU55,games.r,6,FALSE))</f>
        <v/>
      </c>
      <c r="CZ55" s="362" t="str">
        <f ca="1">IF(CU55="","",VLOOKUP(CU55,games.r,7,FALSE))</f>
        <v/>
      </c>
      <c r="DA55" s="379" t="str">
        <f t="shared" ref="DA55:DA62" ca="1" si="80">DA54</f>
        <v/>
      </c>
      <c r="DB55" s="302"/>
      <c r="DC55" s="364"/>
      <c r="DD55" s="302"/>
      <c r="DF55" s="424"/>
      <c r="DW55" s="365"/>
      <c r="DX55" s="424"/>
      <c r="DZ55" s="365"/>
      <c r="EA55" s="365"/>
      <c r="EB55" s="365"/>
      <c r="EC55" s="398"/>
      <c r="ED55" s="329" t="s">
        <v>157</v>
      </c>
      <c r="EE55" s="329" t="s">
        <v>158</v>
      </c>
      <c r="EF55" s="399"/>
      <c r="EG55" s="400"/>
      <c r="EH55" s="401" t="s">
        <v>160</v>
      </c>
      <c r="EI55" s="402" t="s">
        <v>135</v>
      </c>
      <c r="EJ55" s="398"/>
      <c r="EK55" s="365"/>
      <c r="EL55" s="365"/>
      <c r="EM55" s="365"/>
      <c r="EN55" s="365"/>
      <c r="EO55" s="373"/>
      <c r="EP55" s="333"/>
    </row>
    <row r="56" spans="2:146" ht="16.5" customHeight="1" x14ac:dyDescent="0.25">
      <c r="E56" s="626" t="s">
        <v>508</v>
      </c>
      <c r="F56" s="515">
        <f ca="1">IF(RCSOP!AR117=0,23,RCSOP!AR117)</f>
        <v>1000</v>
      </c>
      <c r="G56" s="853" t="e">
        <f ca="1">IF(F56="","",VLOOKUP(F56,RCSOP!$AP$71:$AQ$116,2,FALSE))</f>
        <v>#N/A</v>
      </c>
      <c r="H56" s="854"/>
      <c r="I56" s="854"/>
      <c r="J56" s="854"/>
      <c r="K56" s="854"/>
      <c r="L56" s="854"/>
      <c r="M56" s="854"/>
      <c r="N56" s="286"/>
      <c r="V56" s="337">
        <f t="shared" ca="1" si="50"/>
        <v>2.5999999999999995E-2</v>
      </c>
      <c r="W56" s="338" t="str">
        <f t="shared" ca="1" si="51"/>
        <v>Royal Guard's</v>
      </c>
      <c r="X56" s="337">
        <f t="shared" ca="1" si="49"/>
        <v>0</v>
      </c>
      <c r="Y56" s="338">
        <f t="shared" ca="1" si="9"/>
        <v>0</v>
      </c>
      <c r="AC56" s="310" t="s">
        <v>198</v>
      </c>
      <c r="AD56" s="311"/>
      <c r="AJ56" s="530"/>
      <c r="AO56" s="349">
        <v>3</v>
      </c>
      <c r="AP56" s="430" t="str">
        <f t="shared" ca="1" si="52"/>
        <v>K&amp;H</v>
      </c>
      <c r="AQ56" s="349">
        <v>3</v>
      </c>
      <c r="AS56" s="529">
        <f t="shared" ca="1" si="69"/>
        <v>17997008.039000001</v>
      </c>
      <c r="AT56" s="377">
        <f t="shared" ref="AT56:AT63" ca="1" si="81">IF(AS56&lt;-999999990,"",IF(ABS(AS55-AS56)&lt;0.015,AT55,AV56))</f>
        <v>3</v>
      </c>
      <c r="AU56" s="343">
        <f ca="1">IF(NOT($AD$43),0,IF(ASZTAB!$AJ$44,BI56*100,IF(ASZTAB!$AJ$43,BG56*10,BG56))*1000000+IF(ASZTAB!$AJ$52,AY56*10000,0)+IF(ASZTAB!$AJ$44,BE56,BD56)*1000/IF(OR(ASZTAB!AJ$43,ASZTAB!$AJ$52),10,1)+IF(ASZTAB!$AJ$44,0,IF(ASZTAB!AJ$43,BB56/10,BB56))+BJ56+BK56-IF(AW56=0,1000000000,0))</f>
        <v>21007014.037999999</v>
      </c>
      <c r="AV56" s="349">
        <v>3</v>
      </c>
      <c r="AW56" s="345" t="str">
        <f t="shared" ca="1" si="70"/>
        <v>BHD</v>
      </c>
      <c r="AX56" s="346">
        <f t="shared" ca="1" si="53"/>
        <v>5</v>
      </c>
      <c r="AY56" s="346">
        <f t="shared" ca="1" si="71"/>
        <v>4</v>
      </c>
      <c r="AZ56" s="346">
        <f t="shared" ca="1" si="72"/>
        <v>1</v>
      </c>
      <c r="BA56" s="346">
        <f t="shared" ca="1" si="73"/>
        <v>0</v>
      </c>
      <c r="BB56" s="346">
        <f t="shared" ca="1" si="74"/>
        <v>14</v>
      </c>
      <c r="BC56" s="346">
        <f t="shared" ca="1" si="75"/>
        <v>7</v>
      </c>
      <c r="BD56" s="346">
        <f t="shared" ca="1" si="76"/>
        <v>7</v>
      </c>
      <c r="BE56" s="347">
        <f t="shared" ca="1" si="77"/>
        <v>2</v>
      </c>
      <c r="BF56" s="346">
        <f t="shared" ca="1" si="54"/>
        <v>-8</v>
      </c>
      <c r="BG56" s="346">
        <f ca="1">IF(NOT($AD$43),0,ASZTAB!$AJ$48*AY56+AZ56-BF56)</f>
        <v>21</v>
      </c>
      <c r="BH56" s="346">
        <f t="shared" ca="1" si="78"/>
        <v>16</v>
      </c>
      <c r="BI56" s="347">
        <f t="shared" ca="1" si="79"/>
        <v>0.72727272727272729</v>
      </c>
      <c r="BJ56" s="348">
        <v>3.7999999999999999E-2</v>
      </c>
      <c r="BK56" s="349">
        <f t="shared" ca="1" si="55"/>
        <v>0</v>
      </c>
      <c r="BM56" s="346">
        <f t="shared" ca="1" si="56"/>
        <v>0</v>
      </c>
      <c r="BN56" s="346">
        <f t="shared" ca="1" si="57"/>
        <v>2</v>
      </c>
      <c r="BO56" s="346">
        <f t="shared" ca="1" si="58"/>
        <v>1</v>
      </c>
      <c r="BP56" s="346">
        <f t="shared" ca="1" si="59"/>
        <v>0</v>
      </c>
      <c r="BQ56" s="346">
        <f t="shared" ca="1" si="60"/>
        <v>11</v>
      </c>
      <c r="BR56" s="346">
        <f t="shared" ca="1" si="61"/>
        <v>7</v>
      </c>
      <c r="BT56" s="346">
        <f t="shared" ca="1" si="62"/>
        <v>0</v>
      </c>
      <c r="BU56" s="346">
        <f t="shared" ca="1" si="63"/>
        <v>2</v>
      </c>
      <c r="BV56" s="346">
        <f t="shared" ca="1" si="64"/>
        <v>0</v>
      </c>
      <c r="BW56" s="346">
        <f t="shared" ca="1" si="65"/>
        <v>0</v>
      </c>
      <c r="BX56" s="346">
        <f t="shared" ca="1" si="66"/>
        <v>3</v>
      </c>
      <c r="BY56" s="346">
        <f t="shared" ca="1" si="67"/>
        <v>0</v>
      </c>
      <c r="BZ56" s="179"/>
      <c r="CB56" s="350"/>
      <c r="CC56" s="350"/>
      <c r="CD56" s="350"/>
      <c r="CE56" s="350"/>
      <c r="CF56" s="350"/>
      <c r="CG56" s="350"/>
      <c r="CR56" s="350"/>
      <c r="CS56" s="300"/>
      <c r="CT56" s="395" t="str">
        <f t="shared" ca="1" si="68"/>
        <v/>
      </c>
      <c r="CU56" s="360" t="str">
        <f ca="1">IF(OR(CT56="",DA56="",CT56=DA56,ISNA(VLOOKUP(CONCATENATE(CT56,DA56),games.r,2,FALSE))),"",CONCATENATE(CT56,DA56))</f>
        <v/>
      </c>
      <c r="CV56" s="360" t="str">
        <f ca="1">IF(CU56="","",CONCATENATE(VLOOKUP(CU56,games.r,9,FALSE),VLOOKUP(CU56,games.r,12,FALSE)))</f>
        <v/>
      </c>
      <c r="CW56" s="354" t="str">
        <f ca="1">IF(CU56="","",VLOOKUP(CU56,games.r,10,FALSE))</f>
        <v/>
      </c>
      <c r="CX56" s="354" t="str">
        <f ca="1">IF(CU56="","",VLOOKUP(CU56,games.r,13,FALSE))</f>
        <v/>
      </c>
      <c r="CY56" s="361" t="str">
        <f ca="1">IF(CU56="","",VLOOKUP(CU56,games.r,6,FALSE))</f>
        <v/>
      </c>
      <c r="CZ56" s="362" t="str">
        <f ca="1">IF(CU56="","",VLOOKUP(CU56,games.r,7,FALSE))</f>
        <v/>
      </c>
      <c r="DA56" s="379" t="str">
        <f t="shared" ca="1" si="80"/>
        <v/>
      </c>
      <c r="DB56" s="302"/>
      <c r="DC56" s="364"/>
      <c r="DD56" s="302"/>
      <c r="DF56" s="424"/>
      <c r="DW56" s="365"/>
      <c r="DX56" s="424"/>
      <c r="DZ56" s="365"/>
      <c r="EA56" s="365"/>
      <c r="EB56" s="365"/>
      <c r="EC56" s="404" t="str">
        <f t="shared" ref="EC56:EC61" ca="1" si="82">EC49</f>
        <v/>
      </c>
      <c r="ED56" s="371" t="str">
        <f ca="1">IF(OR(EC56="",EJ56="",EC56=EJ56,ISNA(VLOOKUP(CONCATENATE(EC56,EJ56),games.r,2,FALSE))),"",CONCATENATE(EC56,EJ56))</f>
        <v/>
      </c>
      <c r="EE56" s="405" t="str">
        <f ca="1">IF(OR(ED56="",EJ48&gt;2),"",CONCATENATE(VLOOKUP(ED56,games.r,9,FALSE),VLOOKUP(ED56,games.r,12,FALSE)))</f>
        <v/>
      </c>
      <c r="EF56" s="406"/>
      <c r="EG56" s="407"/>
      <c r="EH56" s="408" t="str">
        <f ca="1">IF(ED56="","",VLOOKUP(ED56,games.r,6,FALSE))</f>
        <v/>
      </c>
      <c r="EI56" s="409" t="str">
        <f ca="1">IF(ED56="","",VLOOKUP(ED56,games.r,7,FALSE))</f>
        <v/>
      </c>
      <c r="EJ56" s="410" t="str">
        <f ca="1">EC50</f>
        <v/>
      </c>
      <c r="EK56" s="411"/>
      <c r="EL56" s="412"/>
      <c r="EM56" s="365"/>
      <c r="EN56" s="365"/>
      <c r="EO56" s="373"/>
      <c r="EP56" s="333"/>
    </row>
    <row r="57" spans="2:146" ht="16.5" customHeight="1" x14ac:dyDescent="0.25">
      <c r="E57" s="514" t="s">
        <v>497</v>
      </c>
      <c r="F57" s="863" t="str">
        <f t="shared" ref="F57:F62" ca="1" si="83">IF(ISNA(T57),"–",VLOOKUP(T57,games.r,4,FALSE)&amp;"–"&amp;VLOOKUP(T57,games.r,5,FALSE)&amp;IF(VLOOKUP(T57,games.r,6,FALSE)="",""," "&amp;VLOOKUP(T57,games.r,6,FALSE)&amp;"–"&amp;VLOOKUP(T57,games.r,7,FALSE)))</f>
        <v>–</v>
      </c>
      <c r="G57" s="863"/>
      <c r="H57" s="863"/>
      <c r="I57" s="863"/>
      <c r="J57" s="863"/>
      <c r="K57" s="863"/>
      <c r="L57" s="863"/>
      <c r="M57" s="863"/>
      <c r="N57" s="286"/>
      <c r="T57" s="629" t="e">
        <f ca="1">VLOOKUP($G$56&amp;E57,RCSOP!$BN$57:$BP$135,3,FALSE)</f>
        <v>#N/A</v>
      </c>
      <c r="V57" s="337">
        <f t="shared" ca="1" si="50"/>
        <v>0</v>
      </c>
      <c r="W57" s="338">
        <f t="shared" ca="1" si="51"/>
        <v>0</v>
      </c>
      <c r="X57" s="337">
        <f t="shared" ca="1" si="49"/>
        <v>0</v>
      </c>
      <c r="Y57" s="338">
        <f t="shared" ca="1" si="9"/>
        <v>0</v>
      </c>
      <c r="AC57" s="232" t="s">
        <v>181</v>
      </c>
      <c r="AD57" s="418">
        <v>1</v>
      </c>
      <c r="AO57" s="349">
        <v>4</v>
      </c>
      <c r="AP57" s="430" t="str">
        <f t="shared" ca="1" si="52"/>
        <v>Zrínyigyöngye</v>
      </c>
      <c r="AQ57" s="349">
        <v>4</v>
      </c>
      <c r="AS57" s="529">
        <f t="shared" ca="1" si="69"/>
        <v>9996011.0370000005</v>
      </c>
      <c r="AT57" s="377">
        <f t="shared" ca="1" si="81"/>
        <v>4</v>
      </c>
      <c r="AU57" s="343">
        <f ca="1">IF(NOT($AD$43),0,IF(ASZTAB!$AJ$44,BI57*100,IF(ASZTAB!$AJ$43,BG57*10,BG57))*1000000+IF(ASZTAB!$AJ$52,AY57*10000,0)+IF(ASZTAB!$AJ$44,BE57,BD57)*1000/IF(OR(ASZTAB!AJ$43,ASZTAB!$AJ$52),10,1)+IF(ASZTAB!$AJ$44,0,IF(ASZTAB!AJ$43,BB57/10,BB57))+BJ57+BK57-IF(AW57=0,1000000000,0))</f>
        <v>9996011.0370000005</v>
      </c>
      <c r="AV57" s="349">
        <v>4</v>
      </c>
      <c r="AW57" s="345" t="str">
        <f t="shared" ca="1" si="70"/>
        <v>Zrínyigyöngye</v>
      </c>
      <c r="AX57" s="346">
        <f t="shared" ca="1" si="53"/>
        <v>5</v>
      </c>
      <c r="AY57" s="346">
        <f t="shared" ca="1" si="71"/>
        <v>2</v>
      </c>
      <c r="AZ57" s="346">
        <f t="shared" ca="1" si="72"/>
        <v>0</v>
      </c>
      <c r="BA57" s="346">
        <f t="shared" ca="1" si="73"/>
        <v>3</v>
      </c>
      <c r="BB57" s="346">
        <f t="shared" ca="1" si="74"/>
        <v>11</v>
      </c>
      <c r="BC57" s="346">
        <f t="shared" ca="1" si="75"/>
        <v>15</v>
      </c>
      <c r="BD57" s="346">
        <f t="shared" ca="1" si="76"/>
        <v>-4</v>
      </c>
      <c r="BE57" s="347">
        <f t="shared" ca="1" si="77"/>
        <v>0.73333333333333328</v>
      </c>
      <c r="BF57" s="346">
        <f t="shared" ca="1" si="54"/>
        <v>-4</v>
      </c>
      <c r="BG57" s="346">
        <f ca="1">IF(NOT($AD$43),0,ASZTAB!$AJ$48*AY57+AZ57-BF57)</f>
        <v>10</v>
      </c>
      <c r="BH57" s="346">
        <f t="shared" ca="1" si="78"/>
        <v>11</v>
      </c>
      <c r="BI57" s="347">
        <f t="shared" ca="1" si="79"/>
        <v>0.5</v>
      </c>
      <c r="BJ57" s="348">
        <v>3.6999999999999998E-2</v>
      </c>
      <c r="BK57" s="349">
        <f t="shared" ca="1" si="55"/>
        <v>0</v>
      </c>
      <c r="BM57" s="346">
        <f t="shared" ca="1" si="56"/>
        <v>0</v>
      </c>
      <c r="BN57" s="346">
        <f t="shared" ca="1" si="57"/>
        <v>1</v>
      </c>
      <c r="BO57" s="346">
        <f t="shared" ca="1" si="58"/>
        <v>0</v>
      </c>
      <c r="BP57" s="346">
        <f t="shared" ca="1" si="59"/>
        <v>1</v>
      </c>
      <c r="BQ57" s="346">
        <f t="shared" ca="1" si="60"/>
        <v>3</v>
      </c>
      <c r="BR57" s="346">
        <f t="shared" ca="1" si="61"/>
        <v>4</v>
      </c>
      <c r="BT57" s="346">
        <f t="shared" ca="1" si="62"/>
        <v>0</v>
      </c>
      <c r="BU57" s="346">
        <f t="shared" ca="1" si="63"/>
        <v>1</v>
      </c>
      <c r="BV57" s="346">
        <f t="shared" ca="1" si="64"/>
        <v>0</v>
      </c>
      <c r="BW57" s="346">
        <f t="shared" ca="1" si="65"/>
        <v>2</v>
      </c>
      <c r="BX57" s="346">
        <f t="shared" ca="1" si="66"/>
        <v>8</v>
      </c>
      <c r="BY57" s="346">
        <f t="shared" ca="1" si="67"/>
        <v>11</v>
      </c>
      <c r="BZ57" s="179"/>
      <c r="CB57" s="350"/>
      <c r="CC57" s="350"/>
      <c r="CD57" s="350"/>
      <c r="CE57" s="350"/>
      <c r="CF57" s="350"/>
      <c r="CG57" s="350"/>
      <c r="CR57" s="350"/>
      <c r="CS57" s="300"/>
      <c r="CT57" s="395" t="str">
        <f t="shared" ca="1" si="68"/>
        <v/>
      </c>
      <c r="CU57" s="360" t="str">
        <f ca="1">IF(OR(CT57="",DA57="",CT57=DA57,ISNA(VLOOKUP(CONCATENATE(CT57,DA57),games.r,2,FALSE))),"",CONCATENATE(CT57,DA57))</f>
        <v/>
      </c>
      <c r="CV57" s="360" t="str">
        <f ca="1">IF(CU57="","",CONCATENATE(VLOOKUP(CU57,games.r,9,FALSE),VLOOKUP(CU57,games.r,12,FALSE)))</f>
        <v/>
      </c>
      <c r="CW57" s="354" t="str">
        <f ca="1">IF(CU57="","",VLOOKUP(CU57,games.r,10,FALSE))</f>
        <v/>
      </c>
      <c r="CX57" s="354" t="str">
        <f ca="1">IF(CU57="","",VLOOKUP(CU57,games.r,13,FALSE))</f>
        <v/>
      </c>
      <c r="CY57" s="361" t="str">
        <f ca="1">IF(CU57="","",VLOOKUP(CU57,games.r,6,FALSE))</f>
        <v/>
      </c>
      <c r="CZ57" s="362" t="str">
        <f ca="1">IF(CU57="","",VLOOKUP(CU57,games.r,7,FALSE))</f>
        <v/>
      </c>
      <c r="DA57" s="379" t="str">
        <f t="shared" ca="1" si="80"/>
        <v/>
      </c>
      <c r="DB57" s="302"/>
      <c r="DC57" s="364"/>
      <c r="DD57" s="302"/>
      <c r="DF57" s="424"/>
      <c r="DW57" s="365"/>
      <c r="DX57" s="424"/>
      <c r="DZ57" s="424"/>
      <c r="EA57" s="365"/>
      <c r="EB57" s="365"/>
      <c r="EC57" s="404" t="str">
        <f t="shared" ca="1" si="82"/>
        <v/>
      </c>
      <c r="ED57" s="371" t="str">
        <f ca="1">IF(OR(EC57="",EJ57="",EC57=EJ57,ISNA(VLOOKUP(CONCATENATE(EC57,EJ57),games.r,2,FALSE))),"",CONCATENATE(EC57,EJ57))</f>
        <v/>
      </c>
      <c r="EE57" s="405" t="str">
        <f ca="1">IF(OR(ED57="",EJ48&gt;2),"",CONCATENATE(VLOOKUP(ED57,games.r,9,FALSE),VLOOKUP(ED57,games.r,12,FALSE)))</f>
        <v/>
      </c>
      <c r="EF57" s="413"/>
      <c r="EG57" s="414"/>
      <c r="EH57" s="408" t="str">
        <f ca="1">IF(ED57="","",VLOOKUP(ED57,games.r,6,FALSE))</f>
        <v/>
      </c>
      <c r="EI57" s="409" t="str">
        <f ca="1">IF(ED57="","",VLOOKUP(ED57,games.r,7,FALSE))</f>
        <v/>
      </c>
      <c r="EJ57" s="415" t="str">
        <f ca="1">EJ56</f>
        <v/>
      </c>
      <c r="EK57" s="416"/>
      <c r="EL57" s="417"/>
      <c r="EM57" s="365"/>
      <c r="EN57" s="365"/>
      <c r="EO57" s="373"/>
      <c r="EP57" s="333"/>
    </row>
    <row r="58" spans="2:146" ht="16.5" customHeight="1" x14ac:dyDescent="0.25">
      <c r="E58" s="514" t="s">
        <v>498</v>
      </c>
      <c r="F58" s="862" t="str">
        <f t="shared" ca="1" si="83"/>
        <v>–</v>
      </c>
      <c r="G58" s="862"/>
      <c r="H58" s="862"/>
      <c r="I58" s="862"/>
      <c r="J58" s="862"/>
      <c r="K58" s="862"/>
      <c r="L58" s="862"/>
      <c r="M58" s="862"/>
      <c r="N58" s="286"/>
      <c r="T58" s="629" t="e">
        <f ca="1">VLOOKUP($G$56&amp;E58,RCSOP!$BN$57:$BP$135,3,FALSE)</f>
        <v>#N/A</v>
      </c>
      <c r="V58" s="337">
        <f t="shared" ca="1" si="50"/>
        <v>0</v>
      </c>
      <c r="W58" s="338">
        <f t="shared" ca="1" si="51"/>
        <v>0</v>
      </c>
      <c r="X58" s="337">
        <f t="shared" ca="1" si="49"/>
        <v>0</v>
      </c>
      <c r="Y58" s="338">
        <f t="shared" ca="1" si="9"/>
        <v>0</v>
      </c>
      <c r="AC58" s="232" t="s">
        <v>376</v>
      </c>
      <c r="AD58" s="531">
        <v>1</v>
      </c>
      <c r="AO58" s="349">
        <v>5</v>
      </c>
      <c r="AP58" s="430" t="str">
        <f t="shared" ca="1" si="52"/>
        <v>Hercules-Ludovika</v>
      </c>
      <c r="AQ58" s="349">
        <v>5</v>
      </c>
      <c r="AS58" s="529">
        <f t="shared" ca="1" si="69"/>
        <v>5999009.0350000001</v>
      </c>
      <c r="AT58" s="377">
        <f t="shared" ca="1" si="81"/>
        <v>5</v>
      </c>
      <c r="AU58" s="343">
        <f ca="1">IF(NOT($AD$43),0,IF(ASZTAB!$AJ$44,BI58*100,IF(ASZTAB!$AJ$43,BG58*10,BG58))*1000000+IF(ASZTAB!$AJ$52,AY58*10000,0)+IF(ASZTAB!$AJ$44,BE58,BD58)*1000/IF(OR(ASZTAB!AJ$43,ASZTAB!$AJ$52),10,1)+IF(ASZTAB!$AJ$44,0,IF(ASZTAB!AJ$43,BB58/10,BB58))+BJ58+BK58-IF(AW58=0,1000000000,0))</f>
        <v>987013.03599999996</v>
      </c>
      <c r="AV58" s="349">
        <v>5</v>
      </c>
      <c r="AW58" s="345" t="str">
        <f t="shared" ca="1" si="70"/>
        <v>Élelmesek</v>
      </c>
      <c r="AX58" s="346">
        <f t="shared" ca="1" si="53"/>
        <v>5</v>
      </c>
      <c r="AY58" s="346">
        <f t="shared" ca="1" si="71"/>
        <v>0</v>
      </c>
      <c r="AZ58" s="346">
        <f t="shared" ca="1" si="72"/>
        <v>1</v>
      </c>
      <c r="BA58" s="346">
        <f t="shared" ca="1" si="73"/>
        <v>4</v>
      </c>
      <c r="BB58" s="346">
        <f t="shared" ca="1" si="74"/>
        <v>13</v>
      </c>
      <c r="BC58" s="346">
        <f t="shared" ca="1" si="75"/>
        <v>26</v>
      </c>
      <c r="BD58" s="346">
        <f t="shared" ca="1" si="76"/>
        <v>-13</v>
      </c>
      <c r="BE58" s="347">
        <f t="shared" ca="1" si="77"/>
        <v>0.5</v>
      </c>
      <c r="BF58" s="346">
        <f t="shared" ca="1" si="54"/>
        <v>0</v>
      </c>
      <c r="BG58" s="346">
        <f ca="1">IF(NOT($AD$43),0,ASZTAB!$AJ$48*AY58+AZ58-BF58)</f>
        <v>1</v>
      </c>
      <c r="BH58" s="346">
        <f t="shared" ca="1" si="78"/>
        <v>4</v>
      </c>
      <c r="BI58" s="347">
        <f t="shared" ca="1" si="79"/>
        <v>0.18181818181818182</v>
      </c>
      <c r="BJ58" s="348">
        <v>3.5999999999999997E-2</v>
      </c>
      <c r="BK58" s="349">
        <f t="shared" ca="1" si="55"/>
        <v>0</v>
      </c>
      <c r="BM58" s="346">
        <f t="shared" ca="1" si="56"/>
        <v>0</v>
      </c>
      <c r="BN58" s="346">
        <f t="shared" ca="1" si="57"/>
        <v>0</v>
      </c>
      <c r="BO58" s="346">
        <f t="shared" ca="1" si="58"/>
        <v>0</v>
      </c>
      <c r="BP58" s="346">
        <f t="shared" ca="1" si="59"/>
        <v>1</v>
      </c>
      <c r="BQ58" s="346">
        <f t="shared" ca="1" si="60"/>
        <v>3</v>
      </c>
      <c r="BR58" s="346">
        <f t="shared" ca="1" si="61"/>
        <v>7</v>
      </c>
      <c r="BT58" s="346">
        <f t="shared" ca="1" si="62"/>
        <v>0</v>
      </c>
      <c r="BU58" s="346">
        <f t="shared" ca="1" si="63"/>
        <v>0</v>
      </c>
      <c r="BV58" s="346">
        <f t="shared" ca="1" si="64"/>
        <v>1</v>
      </c>
      <c r="BW58" s="346">
        <f t="shared" ca="1" si="65"/>
        <v>3</v>
      </c>
      <c r="BX58" s="346">
        <f t="shared" ca="1" si="66"/>
        <v>10</v>
      </c>
      <c r="BY58" s="346">
        <f t="shared" ca="1" si="67"/>
        <v>19</v>
      </c>
      <c r="BZ58" s="179"/>
      <c r="CB58" s="350"/>
      <c r="CC58" s="350"/>
      <c r="CD58" s="350"/>
      <c r="CE58" s="350"/>
      <c r="CF58" s="350"/>
      <c r="CG58" s="350"/>
      <c r="CR58" s="350"/>
      <c r="CS58" s="300"/>
      <c r="CT58" s="522" t="str">
        <f t="shared" si="68"/>
        <v/>
      </c>
      <c r="CU58" s="371" t="str">
        <f ca="1">IF(OR(CT58="",DA58="",CT58=DA58,ISNA(VLOOKUP(CONCATENATE(CT58,DA58),games.a,2,FALSE))),"",CONCATENATE(CT58,DA58))</f>
        <v/>
      </c>
      <c r="CV58" s="371" t="str">
        <f ca="1">IF(CU58="","",CONCATENATE(VLOOKUP(CU58,games.a,9,FALSE),VLOOKUP(CU58,games.a,12,FALSE)))</f>
        <v/>
      </c>
      <c r="CW58" s="369" t="str">
        <f ca="1">IF(CU58="","",VLOOKUP(CU58,games.a,10,FALSE))</f>
        <v/>
      </c>
      <c r="CX58" s="369" t="str">
        <f ca="1">IF(CU58="","",VLOOKUP(CU58,games.a,13,FALSE))</f>
        <v/>
      </c>
      <c r="CY58" s="423" t="str">
        <f ca="1">IF(CU58="","",VLOOKUP(CU58,games.a,6,FALSE))</f>
        <v/>
      </c>
      <c r="CZ58" s="409" t="str">
        <f ca="1">IF(CU58="","",VLOOKUP(CU58,games.a,7,FALSE))</f>
        <v/>
      </c>
      <c r="DA58" s="523" t="str">
        <f t="shared" ca="1" si="80"/>
        <v/>
      </c>
      <c r="DB58" s="302"/>
      <c r="DC58" s="364"/>
      <c r="DD58" s="302"/>
      <c r="DF58" s="424"/>
      <c r="DW58" s="365"/>
      <c r="DX58" s="424"/>
      <c r="DZ58" s="424"/>
      <c r="EA58" s="424"/>
      <c r="EB58" s="424"/>
      <c r="EC58" s="404" t="str">
        <f t="shared" ca="1" si="82"/>
        <v/>
      </c>
      <c r="ED58" s="371" t="str">
        <f ca="1">IF(OR(EC58="",EJ58="",EC58=EJ58,ISNA(VLOOKUP(CONCATENATE(EC58,EJ58),games.r,2,FALSE))),"",CONCATENATE(EC58,EJ58))</f>
        <v/>
      </c>
      <c r="EE58" s="405" t="str">
        <f ca="1">IF(OR(ED58="",EJ48&gt;2),"",CONCATENATE(VLOOKUP(ED58,games.r,9,FALSE),VLOOKUP(ED58,games.r,12,FALSE)))</f>
        <v/>
      </c>
      <c r="EF58" s="413"/>
      <c r="EG58" s="414"/>
      <c r="EH58" s="408" t="str">
        <f ca="1">IF(ED58="","",VLOOKUP(ED58,games.r,6,FALSE))</f>
        <v/>
      </c>
      <c r="EI58" s="409" t="str">
        <f ca="1">IF(ED58="","",VLOOKUP(ED58,games.r,7,FALSE))</f>
        <v/>
      </c>
      <c r="EJ58" s="415" t="str">
        <f ca="1">EJ57</f>
        <v/>
      </c>
      <c r="EK58" s="416"/>
      <c r="EL58" s="417"/>
      <c r="EM58" s="424"/>
      <c r="EN58" s="424"/>
      <c r="EO58" s="373"/>
      <c r="EP58" s="333"/>
    </row>
    <row r="59" spans="2:146" ht="16.5" customHeight="1" x14ac:dyDescent="0.25">
      <c r="B59" s="290"/>
      <c r="C59" s="290"/>
      <c r="D59" s="290"/>
      <c r="E59" s="514" t="s">
        <v>499</v>
      </c>
      <c r="F59" s="862" t="str">
        <f t="shared" ca="1" si="83"/>
        <v>–</v>
      </c>
      <c r="G59" s="862"/>
      <c r="H59" s="862"/>
      <c r="I59" s="862"/>
      <c r="J59" s="862"/>
      <c r="K59" s="862"/>
      <c r="L59" s="862"/>
      <c r="M59" s="862"/>
      <c r="N59" s="286"/>
      <c r="T59" s="629" t="e">
        <f ca="1">VLOOKUP($G$56&amp;E59,RCSOP!$BN$57:$BP$135,3,FALSE)</f>
        <v>#N/A</v>
      </c>
      <c r="V59" s="337">
        <f t="shared" ca="1" si="50"/>
        <v>0</v>
      </c>
      <c r="W59" s="338">
        <f t="shared" ca="1" si="51"/>
        <v>0</v>
      </c>
      <c r="X59" s="337">
        <f t="shared" ca="1" si="49"/>
        <v>0</v>
      </c>
      <c r="Y59" s="338">
        <f t="shared" ca="1" si="9"/>
        <v>0</v>
      </c>
      <c r="AC59" s="232" t="s">
        <v>376</v>
      </c>
      <c r="AD59" s="419" t="str">
        <f>IF($AD$58=1,"table.rv","table.ad.rv")</f>
        <v>table.rv</v>
      </c>
      <c r="AO59" s="349">
        <v>6</v>
      </c>
      <c r="AP59" s="430" t="str">
        <f t="shared" ca="1" si="52"/>
        <v>Élelmesek</v>
      </c>
      <c r="AQ59" s="349">
        <v>6</v>
      </c>
      <c r="AS59" s="529">
        <f t="shared" ca="1" si="69"/>
        <v>987013.03599999996</v>
      </c>
      <c r="AT59" s="377">
        <f t="shared" ca="1" si="81"/>
        <v>6</v>
      </c>
      <c r="AU59" s="343">
        <f ca="1">IF(NOT($AD$43),0,IF(ASZTAB!$AJ$44,BI59*100,IF(ASZTAB!$AJ$43,BG59*10,BG59))*1000000+IF(ASZTAB!$AJ$52,AY59*10000,0)+IF(ASZTAB!$AJ$44,BE59,BD59)*1000/IF(OR(ASZTAB!AJ$43,ASZTAB!$AJ$52),10,1)+IF(ASZTAB!$AJ$44,0,IF(ASZTAB!AJ$43,BB59/10,BB59))+BJ59+BK59-IF(AW59=0,1000000000,0))</f>
        <v>5999009.0350000001</v>
      </c>
      <c r="AV59" s="349">
        <v>6</v>
      </c>
      <c r="AW59" s="345" t="str">
        <f t="shared" ca="1" si="70"/>
        <v>Hercules-Ludovika</v>
      </c>
      <c r="AX59" s="346">
        <f t="shared" ca="1" si="53"/>
        <v>5</v>
      </c>
      <c r="AY59" s="346">
        <f t="shared" ca="1" si="71"/>
        <v>2</v>
      </c>
      <c r="AZ59" s="346">
        <f t="shared" ca="1" si="72"/>
        <v>0</v>
      </c>
      <c r="BA59" s="346">
        <f t="shared" ca="1" si="73"/>
        <v>3</v>
      </c>
      <c r="BB59" s="346">
        <f t="shared" ca="1" si="74"/>
        <v>9</v>
      </c>
      <c r="BC59" s="346">
        <f t="shared" ca="1" si="75"/>
        <v>10</v>
      </c>
      <c r="BD59" s="346">
        <f t="shared" ca="1" si="76"/>
        <v>-1</v>
      </c>
      <c r="BE59" s="347">
        <f t="shared" ca="1" si="77"/>
        <v>0.9</v>
      </c>
      <c r="BF59" s="346">
        <f t="shared" ca="1" si="54"/>
        <v>0</v>
      </c>
      <c r="BG59" s="346">
        <f ca="1">IF(NOT($AD$43),0,ASZTAB!$AJ$48*AY59+AZ59-BF59)</f>
        <v>6</v>
      </c>
      <c r="BH59" s="346">
        <f t="shared" ca="1" si="78"/>
        <v>7</v>
      </c>
      <c r="BI59" s="347">
        <f t="shared" ca="1" si="79"/>
        <v>0.31818181818181818</v>
      </c>
      <c r="BJ59" s="348">
        <v>3.5000000000000003E-2</v>
      </c>
      <c r="BK59" s="349">
        <f t="shared" ca="1" si="55"/>
        <v>0</v>
      </c>
      <c r="BM59" s="346">
        <f t="shared" ca="1" si="56"/>
        <v>0</v>
      </c>
      <c r="BN59" s="346">
        <f t="shared" ca="1" si="57"/>
        <v>0</v>
      </c>
      <c r="BO59" s="346">
        <f t="shared" ca="1" si="58"/>
        <v>0</v>
      </c>
      <c r="BP59" s="346">
        <f t="shared" ca="1" si="59"/>
        <v>0</v>
      </c>
      <c r="BQ59" s="346">
        <f t="shared" ca="1" si="60"/>
        <v>0</v>
      </c>
      <c r="BR59" s="346">
        <f t="shared" ca="1" si="61"/>
        <v>0</v>
      </c>
      <c r="BT59" s="346">
        <f t="shared" ca="1" si="62"/>
        <v>0</v>
      </c>
      <c r="BU59" s="346">
        <f t="shared" ca="1" si="63"/>
        <v>2</v>
      </c>
      <c r="BV59" s="346">
        <f t="shared" ca="1" si="64"/>
        <v>0</v>
      </c>
      <c r="BW59" s="346">
        <f t="shared" ca="1" si="65"/>
        <v>3</v>
      </c>
      <c r="BX59" s="346">
        <f t="shared" ca="1" si="66"/>
        <v>9</v>
      </c>
      <c r="BY59" s="346">
        <f t="shared" ca="1" si="67"/>
        <v>10</v>
      </c>
      <c r="BZ59" s="179"/>
      <c r="CB59" s="350"/>
      <c r="CC59" s="350"/>
      <c r="CD59" s="350"/>
      <c r="CE59" s="350"/>
      <c r="CF59" s="350"/>
      <c r="CG59" s="350"/>
      <c r="CR59" s="350"/>
      <c r="CS59" s="300"/>
      <c r="CT59" s="522" t="str">
        <f t="shared" si="68"/>
        <v/>
      </c>
      <c r="CU59" s="371" t="str">
        <f ca="1">IF(OR(CT59="",DA59="",CT59=DA59,ISNA(VLOOKUP(CONCATENATE(CT59,DA59),games.a,2,FALSE))),"",CONCATENATE(CT59,DA59))</f>
        <v/>
      </c>
      <c r="CV59" s="371" t="str">
        <f ca="1">IF(CU59="","",CONCATENATE(VLOOKUP(CU59,games.a,9,FALSE),VLOOKUP(CU59,games.a,12,FALSE)))</f>
        <v/>
      </c>
      <c r="CW59" s="369" t="str">
        <f ca="1">IF(CU59="","",VLOOKUP(CU59,games.a,10,FALSE))</f>
        <v/>
      </c>
      <c r="CX59" s="369" t="str">
        <f ca="1">IF(CU59="","",VLOOKUP(CU59,games.a,13,FALSE))</f>
        <v/>
      </c>
      <c r="CY59" s="423" t="str">
        <f ca="1">IF(CU59="","",VLOOKUP(CU59,games.a,6,FALSE))</f>
        <v/>
      </c>
      <c r="CZ59" s="409" t="str">
        <f ca="1">IF(CU59="","",VLOOKUP(CU59,games.a,7,FALSE))</f>
        <v/>
      </c>
      <c r="DA59" s="523" t="str">
        <f t="shared" ca="1" si="80"/>
        <v/>
      </c>
      <c r="DB59" s="302"/>
      <c r="DC59" s="364"/>
      <c r="DD59" s="302"/>
      <c r="DF59" s="424"/>
      <c r="DW59" s="365"/>
      <c r="DX59" s="424"/>
      <c r="DY59" s="424"/>
      <c r="DZ59" s="424"/>
      <c r="EA59" s="424"/>
      <c r="EB59" s="424"/>
      <c r="EC59" s="404" t="str">
        <f t="shared" si="82"/>
        <v/>
      </c>
      <c r="ED59" s="360" t="str">
        <f ca="1">IF(OR(EC59="",EJ59="",EC59=EJ59,ISNA(VLOOKUP(CONCATENATE(EC59,EJ59),games.a,2,FALSE))),"",CONCATENATE(EC59,EJ59))</f>
        <v/>
      </c>
      <c r="EE59" s="524" t="str">
        <f ca="1">IF(OR(ED59="",EJ48&gt;2),"",CONCATENATE(VLOOKUP(ED59,games.a,9,FALSE),VLOOKUP(ED59,games.a,12,FALSE)))</f>
        <v/>
      </c>
      <c r="EF59" s="413"/>
      <c r="EG59" s="414"/>
      <c r="EH59" s="525" t="str">
        <f ca="1">IF(ED59="","",VLOOKUP(ED59,games.a,6,FALSE))</f>
        <v/>
      </c>
      <c r="EI59" s="362" t="str">
        <f ca="1">IF(ED59="","",VLOOKUP(ED59,games.a,7,FALSE))</f>
        <v/>
      </c>
      <c r="EJ59" s="526" t="str">
        <f ca="1">EJ58</f>
        <v/>
      </c>
      <c r="EK59" s="527"/>
      <c r="EL59" s="528"/>
      <c r="EM59" s="424"/>
      <c r="EN59" s="424"/>
      <c r="EO59" s="373"/>
      <c r="EP59" s="333"/>
    </row>
    <row r="60" spans="2:146" ht="16.5" customHeight="1" x14ac:dyDescent="0.25">
      <c r="B60" s="290"/>
      <c r="C60" s="290"/>
      <c r="D60" s="290"/>
      <c r="E60" s="514" t="s">
        <v>500</v>
      </c>
      <c r="F60" s="862" t="str">
        <f t="shared" ca="1" si="83"/>
        <v>–</v>
      </c>
      <c r="G60" s="862"/>
      <c r="H60" s="862"/>
      <c r="I60" s="862"/>
      <c r="J60" s="862"/>
      <c r="K60" s="862"/>
      <c r="L60" s="862"/>
      <c r="M60" s="862"/>
      <c r="N60" s="286"/>
      <c r="O60" s="506" t="s">
        <v>450</v>
      </c>
      <c r="P60" s="851" t="s">
        <v>451</v>
      </c>
      <c r="Q60" s="852"/>
      <c r="R60" s="852"/>
      <c r="T60" s="629" t="e">
        <f ca="1">VLOOKUP($G$56&amp;E60,RCSOP!$BN$57:$BP$135,3,FALSE)</f>
        <v>#N/A</v>
      </c>
      <c r="V60" s="337">
        <f t="shared" ca="1" si="50"/>
        <v>0</v>
      </c>
      <c r="W60" s="338">
        <f t="shared" ca="1" si="51"/>
        <v>0</v>
      </c>
      <c r="X60" s="337">
        <f t="shared" ca="1" si="49"/>
        <v>0</v>
      </c>
      <c r="Y60" s="338">
        <f t="shared" ca="1" si="9"/>
        <v>0</v>
      </c>
      <c r="AC60" s="232"/>
      <c r="AO60" s="349">
        <v>7</v>
      </c>
      <c r="AP60" s="430">
        <f t="shared" ca="1" si="52"/>
        <v>0</v>
      </c>
      <c r="AQ60" s="349">
        <v>7</v>
      </c>
      <c r="AS60" s="529">
        <f t="shared" ca="1" si="69"/>
        <v>-999999999.96599996</v>
      </c>
      <c r="AT60" s="377" t="str">
        <f t="shared" ca="1" si="81"/>
        <v/>
      </c>
      <c r="AU60" s="343">
        <f ca="1">IF(NOT($AD$43),0,IF(ASZTAB!$AJ$44,BI60*100,IF(ASZTAB!$AJ$43,BG60*10,BG60))*1000000+IF(ASZTAB!$AJ$52,AY60*10000,0)+IF(ASZTAB!$AJ$44,BE60,BD60)*1000/IF(OR(ASZTAB!AJ$43,ASZTAB!$AJ$52),10,1)+IF(ASZTAB!$AJ$44,0,IF(ASZTAB!AJ$43,BB60/10,BB60))+BJ60+BK60-IF(AW60=0,1000000000,0))</f>
        <v>-999999999.96599996</v>
      </c>
      <c r="AV60" s="349">
        <v>7</v>
      </c>
      <c r="AW60" s="345">
        <f t="shared" ca="1" si="70"/>
        <v>0</v>
      </c>
      <c r="AX60" s="346">
        <f t="shared" ca="1" si="53"/>
        <v>0</v>
      </c>
      <c r="AY60" s="346">
        <f t="shared" ca="1" si="71"/>
        <v>0</v>
      </c>
      <c r="AZ60" s="346">
        <f t="shared" ca="1" si="72"/>
        <v>0</v>
      </c>
      <c r="BA60" s="346">
        <f t="shared" ca="1" si="73"/>
        <v>0</v>
      </c>
      <c r="BB60" s="346">
        <f t="shared" ca="1" si="74"/>
        <v>0</v>
      </c>
      <c r="BC60" s="346">
        <f t="shared" ca="1" si="75"/>
        <v>0</v>
      </c>
      <c r="BD60" s="346">
        <f t="shared" ca="1" si="76"/>
        <v>0</v>
      </c>
      <c r="BE60" s="347">
        <f t="shared" ca="1" si="77"/>
        <v>0</v>
      </c>
      <c r="BF60" s="346">
        <f t="shared" ca="1" si="54"/>
        <v>0</v>
      </c>
      <c r="BG60" s="346">
        <f ca="1">IF(NOT($AD$43),0,ASZTAB!$AJ$48*AY60+AZ60-BF60)</f>
        <v>0</v>
      </c>
      <c r="BH60" s="346">
        <f t="shared" ca="1" si="78"/>
        <v>0</v>
      </c>
      <c r="BI60" s="347">
        <f t="shared" ca="1" si="79"/>
        <v>0</v>
      </c>
      <c r="BJ60" s="348">
        <v>3.3999999999999996E-2</v>
      </c>
      <c r="BK60" s="349">
        <f t="shared" ca="1" si="55"/>
        <v>0</v>
      </c>
      <c r="BM60" s="346">
        <f t="shared" ca="1" si="56"/>
        <v>0</v>
      </c>
      <c r="BN60" s="346">
        <f t="shared" ca="1" si="57"/>
        <v>0</v>
      </c>
      <c r="BO60" s="346">
        <f t="shared" ca="1" si="58"/>
        <v>0</v>
      </c>
      <c r="BP60" s="346">
        <f t="shared" ca="1" si="59"/>
        <v>0</v>
      </c>
      <c r="BQ60" s="346">
        <f t="shared" ca="1" si="60"/>
        <v>0</v>
      </c>
      <c r="BR60" s="346">
        <f t="shared" ca="1" si="61"/>
        <v>0</v>
      </c>
      <c r="BT60" s="346">
        <f t="shared" ca="1" si="62"/>
        <v>0</v>
      </c>
      <c r="BU60" s="346">
        <f t="shared" ca="1" si="63"/>
        <v>0</v>
      </c>
      <c r="BV60" s="346">
        <f t="shared" ca="1" si="64"/>
        <v>0</v>
      </c>
      <c r="BW60" s="346">
        <f t="shared" ca="1" si="65"/>
        <v>0</v>
      </c>
      <c r="BX60" s="346">
        <f t="shared" ca="1" si="66"/>
        <v>0</v>
      </c>
      <c r="BY60" s="346">
        <f t="shared" ca="1" si="67"/>
        <v>0</v>
      </c>
      <c r="BZ60" s="179"/>
      <c r="CB60" s="350"/>
      <c r="CC60" s="350"/>
      <c r="CD60" s="350"/>
      <c r="CE60" s="350"/>
      <c r="CF60" s="350"/>
      <c r="CG60" s="350"/>
      <c r="CR60" s="350"/>
      <c r="CS60" s="300"/>
      <c r="CT60" s="522" t="str">
        <f t="shared" si="68"/>
        <v/>
      </c>
      <c r="CU60" s="371" t="str">
        <f ca="1">IF(OR(CT60="",DA60="",CT60=DA60,ISNA(VLOOKUP(CONCATENATE(CT60,DA60),games.a,2,FALSE))),"",CONCATENATE(CT60,DA60))</f>
        <v/>
      </c>
      <c r="CV60" s="371" t="str">
        <f ca="1">IF(CU60="","",CONCATENATE(VLOOKUP(CU60,games.a,9,FALSE),VLOOKUP(CU60,games.a,12,FALSE)))</f>
        <v/>
      </c>
      <c r="CW60" s="369" t="str">
        <f ca="1">IF(CU60="","",VLOOKUP(CU60,games.a,10,FALSE))</f>
        <v/>
      </c>
      <c r="CX60" s="369" t="str">
        <f ca="1">IF(CU60="","",VLOOKUP(CU60,games.a,13,FALSE))</f>
        <v/>
      </c>
      <c r="CY60" s="423" t="str">
        <f ca="1">IF(CU60="","",VLOOKUP(CU60,games.a,6,FALSE))</f>
        <v/>
      </c>
      <c r="CZ60" s="409" t="str">
        <f ca="1">IF(CU60="","",VLOOKUP(CU60,games.a,7,FALSE))</f>
        <v/>
      </c>
      <c r="DA60" s="523" t="str">
        <f t="shared" ca="1" si="80"/>
        <v/>
      </c>
      <c r="DB60" s="302"/>
      <c r="DC60" s="364"/>
      <c r="DD60" s="302"/>
      <c r="DF60" s="424"/>
      <c r="DW60" s="365"/>
      <c r="DX60" s="424"/>
      <c r="DY60" s="424"/>
      <c r="DZ60" s="424"/>
      <c r="EA60" s="424"/>
      <c r="EB60" s="424"/>
      <c r="EC60" s="404" t="str">
        <f t="shared" si="82"/>
        <v/>
      </c>
      <c r="ED60" s="360" t="str">
        <f ca="1">IF(OR(EC60="",EJ60="",EC60=EJ60,ISNA(VLOOKUP(CONCATENATE(EC60,EJ60),games.a,2,FALSE))),"",CONCATENATE(EC60,EJ60))</f>
        <v/>
      </c>
      <c r="EE60" s="524" t="str">
        <f ca="1">IF(OR(ED60="",EJ48&gt;2),"",CONCATENATE(VLOOKUP(ED60,games.a,9,FALSE),VLOOKUP(ED60,games.a,12,FALSE)))</f>
        <v/>
      </c>
      <c r="EF60" s="413"/>
      <c r="EG60" s="414"/>
      <c r="EH60" s="525" t="str">
        <f ca="1">IF(ED60="","",VLOOKUP(ED60,games.a,6,FALSE))</f>
        <v/>
      </c>
      <c r="EI60" s="362" t="str">
        <f ca="1">IF(ED60="","",VLOOKUP(ED60,games.a,7,FALSE))</f>
        <v/>
      </c>
      <c r="EJ60" s="526" t="str">
        <f ca="1">EJ59</f>
        <v/>
      </c>
      <c r="EK60" s="527"/>
      <c r="EL60" s="528"/>
      <c r="EM60" s="424"/>
      <c r="EN60" s="424"/>
      <c r="EO60" s="373"/>
      <c r="EP60" s="333"/>
    </row>
    <row r="61" spans="2:146" ht="16.5" customHeight="1" x14ac:dyDescent="0.25">
      <c r="B61" s="290"/>
      <c r="C61" s="290"/>
      <c r="D61" s="290"/>
      <c r="E61" s="514" t="s">
        <v>501</v>
      </c>
      <c r="F61" s="862" t="str">
        <f t="shared" ca="1" si="83"/>
        <v>–</v>
      </c>
      <c r="G61" s="862"/>
      <c r="H61" s="862"/>
      <c r="I61" s="862"/>
      <c r="J61" s="862"/>
      <c r="K61" s="862"/>
      <c r="L61" s="862"/>
      <c r="M61" s="862"/>
      <c r="N61" s="286"/>
      <c r="O61" s="507"/>
      <c r="P61" s="845"/>
      <c r="Q61" s="846"/>
      <c r="R61" s="847"/>
      <c r="T61" s="629" t="e">
        <f ca="1">VLOOKUP($G$56&amp;E61,RCSOP!$BN$57:$BP$135,3,FALSE)</f>
        <v>#N/A</v>
      </c>
      <c r="V61" s="337">
        <f t="shared" ca="1" si="50"/>
        <v>0</v>
      </c>
      <c r="W61" s="338">
        <f t="shared" ca="1" si="51"/>
        <v>0</v>
      </c>
      <c r="X61" s="337">
        <f t="shared" ca="1" si="49"/>
        <v>0</v>
      </c>
      <c r="Y61" s="338">
        <f t="shared" ca="1" si="9"/>
        <v>0</v>
      </c>
      <c r="AC61" s="232" t="s">
        <v>182</v>
      </c>
      <c r="AD61" s="389">
        <v>1</v>
      </c>
      <c r="AO61" s="349">
        <v>8</v>
      </c>
      <c r="AP61" s="430">
        <f t="shared" ca="1" si="52"/>
        <v>0</v>
      </c>
      <c r="AQ61" s="349">
        <v>8</v>
      </c>
      <c r="AS61" s="529">
        <f t="shared" ca="1" si="69"/>
        <v>-999999999.96700001</v>
      </c>
      <c r="AT61" s="377" t="str">
        <f t="shared" ca="1" si="81"/>
        <v/>
      </c>
      <c r="AU61" s="343">
        <f ca="1">IF(NOT($AD$43),0,IF(ASZTAB!$AJ$44,BI61*100,IF(ASZTAB!$AJ$43,BG61*10,BG61))*1000000+IF(ASZTAB!$AJ$52,AY61*10000,0)+IF(ASZTAB!$AJ$44,BE61,BD61)*1000/IF(OR(ASZTAB!AJ$43,ASZTAB!$AJ$52),10,1)+IF(ASZTAB!$AJ$44,0,IF(ASZTAB!AJ$43,BB61/10,BB61))+BJ61+BK61-IF(AW61=0,1000000000,0))</f>
        <v>-999999999.96700001</v>
      </c>
      <c r="AV61" s="349">
        <v>8</v>
      </c>
      <c r="AW61" s="345">
        <f t="shared" ca="1" si="70"/>
        <v>0</v>
      </c>
      <c r="AX61" s="346">
        <f t="shared" ca="1" si="53"/>
        <v>0</v>
      </c>
      <c r="AY61" s="346">
        <f t="shared" ca="1" si="71"/>
        <v>0</v>
      </c>
      <c r="AZ61" s="346">
        <f t="shared" ca="1" si="72"/>
        <v>0</v>
      </c>
      <c r="BA61" s="346">
        <f t="shared" ca="1" si="73"/>
        <v>0</v>
      </c>
      <c r="BB61" s="346">
        <f t="shared" ca="1" si="74"/>
        <v>0</v>
      </c>
      <c r="BC61" s="346">
        <f t="shared" ca="1" si="75"/>
        <v>0</v>
      </c>
      <c r="BD61" s="346">
        <f t="shared" ca="1" si="76"/>
        <v>0</v>
      </c>
      <c r="BE61" s="347">
        <f t="shared" ca="1" si="77"/>
        <v>0</v>
      </c>
      <c r="BF61" s="346">
        <f t="shared" ca="1" si="54"/>
        <v>0</v>
      </c>
      <c r="BG61" s="346">
        <f ca="1">IF(NOT($AD$43),0,ASZTAB!$AJ$48*AY61+AZ61-BF61)</f>
        <v>0</v>
      </c>
      <c r="BH61" s="346">
        <f t="shared" ca="1" si="78"/>
        <v>0</v>
      </c>
      <c r="BI61" s="347">
        <f t="shared" ca="1" si="79"/>
        <v>0</v>
      </c>
      <c r="BJ61" s="348">
        <v>3.2999999999999995E-2</v>
      </c>
      <c r="BK61" s="349">
        <f t="shared" ca="1" si="55"/>
        <v>0</v>
      </c>
      <c r="BM61" s="346">
        <f t="shared" ca="1" si="56"/>
        <v>0</v>
      </c>
      <c r="BN61" s="346">
        <f t="shared" ca="1" si="57"/>
        <v>0</v>
      </c>
      <c r="BO61" s="346">
        <f t="shared" ca="1" si="58"/>
        <v>0</v>
      </c>
      <c r="BP61" s="346">
        <f t="shared" ca="1" si="59"/>
        <v>0</v>
      </c>
      <c r="BQ61" s="346">
        <f t="shared" ca="1" si="60"/>
        <v>0</v>
      </c>
      <c r="BR61" s="346">
        <f t="shared" ca="1" si="61"/>
        <v>0</v>
      </c>
      <c r="BT61" s="346">
        <f t="shared" ca="1" si="62"/>
        <v>0</v>
      </c>
      <c r="BU61" s="346">
        <f t="shared" ca="1" si="63"/>
        <v>0</v>
      </c>
      <c r="BV61" s="346">
        <f t="shared" ca="1" si="64"/>
        <v>0</v>
      </c>
      <c r="BW61" s="346">
        <f t="shared" ca="1" si="65"/>
        <v>0</v>
      </c>
      <c r="BX61" s="346">
        <f t="shared" ca="1" si="66"/>
        <v>0</v>
      </c>
      <c r="BY61" s="346">
        <f t="shared" ca="1" si="67"/>
        <v>0</v>
      </c>
      <c r="BZ61" s="179"/>
      <c r="CB61" s="350"/>
      <c r="CC61" s="350"/>
      <c r="CD61" s="350"/>
      <c r="CE61" s="350"/>
      <c r="CF61" s="350"/>
      <c r="CG61" s="350"/>
      <c r="CR61" s="350"/>
      <c r="CS61" s="300"/>
      <c r="CT61" s="522" t="str">
        <f t="shared" si="68"/>
        <v/>
      </c>
      <c r="CU61" s="371" t="str">
        <f ca="1">IF(OR(CT61="",DA61="",CT61=DA61,ISNA(VLOOKUP(CONCATENATE(CT61,DA61),games.a,2,FALSE))),"",CONCATENATE(CT61,DA61))</f>
        <v/>
      </c>
      <c r="CV61" s="371" t="str">
        <f ca="1">IF(CU61="","",CONCATENATE(VLOOKUP(CU61,games.a,9,FALSE),VLOOKUP(CU61,games.a,12,FALSE)))</f>
        <v/>
      </c>
      <c r="CW61" s="369" t="str">
        <f ca="1">IF(CU61="","",VLOOKUP(CU61,games.a,10,FALSE))</f>
        <v/>
      </c>
      <c r="CX61" s="369" t="str">
        <f ca="1">IF(CU61="","",VLOOKUP(CU61,games.a,13,FALSE))</f>
        <v/>
      </c>
      <c r="CY61" s="423" t="str">
        <f ca="1">IF(CU61="","",VLOOKUP(CU61,games.a,6,FALSE))</f>
        <v/>
      </c>
      <c r="CZ61" s="409" t="str">
        <f ca="1">IF(CU61="","",VLOOKUP(CU61,games.a,7,FALSE))</f>
        <v/>
      </c>
      <c r="DA61" s="523" t="str">
        <f t="shared" ca="1" si="80"/>
        <v/>
      </c>
      <c r="DB61" s="302"/>
      <c r="DC61" s="364"/>
      <c r="DD61" s="302"/>
      <c r="DF61" s="424"/>
      <c r="DW61" s="365"/>
      <c r="DX61" s="424"/>
      <c r="DY61" s="424"/>
      <c r="DZ61" s="424"/>
      <c r="EC61" s="404" t="str">
        <f t="shared" si="82"/>
        <v/>
      </c>
      <c r="ED61" s="360" t="str">
        <f ca="1">IF(OR(EC61="",EJ61="",EC61=EJ61,ISNA(VLOOKUP(CONCATENATE(EC61,EJ61),games.a,2,FALSE))),"",CONCATENATE(EC61,EJ61))</f>
        <v/>
      </c>
      <c r="EE61" s="524" t="str">
        <f ca="1">IF(OR(ED61="",EJ48&gt;2),"",CONCATENATE(VLOOKUP(ED61,games.a,9,FALSE),VLOOKUP(ED61,games.a,12,FALSE)))</f>
        <v/>
      </c>
      <c r="EF61" s="413"/>
      <c r="EG61" s="414"/>
      <c r="EH61" s="525" t="str">
        <f ca="1">IF(ED61="","",VLOOKUP(ED61,games.a,6,FALSE))</f>
        <v/>
      </c>
      <c r="EI61" s="362" t="str">
        <f ca="1">IF(ED61="","",VLOOKUP(ED61,games.a,7,FALSE))</f>
        <v/>
      </c>
      <c r="EJ61" s="526" t="str">
        <f ca="1">EJ60</f>
        <v/>
      </c>
      <c r="EK61" s="527"/>
      <c r="EL61" s="528"/>
      <c r="EO61" s="373"/>
      <c r="EP61" s="333"/>
    </row>
    <row r="62" spans="2:146" ht="16.5" customHeight="1" x14ac:dyDescent="0.25">
      <c r="B62" s="290"/>
      <c r="C62" s="290"/>
      <c r="D62" s="290"/>
      <c r="E62" s="514" t="s">
        <v>502</v>
      </c>
      <c r="F62" s="862" t="str">
        <f t="shared" ca="1" si="83"/>
        <v>–</v>
      </c>
      <c r="G62" s="862"/>
      <c r="H62" s="862"/>
      <c r="I62" s="862"/>
      <c r="J62" s="862"/>
      <c r="K62" s="862"/>
      <c r="L62" s="862"/>
      <c r="M62" s="862"/>
      <c r="N62" s="286"/>
      <c r="O62" s="508"/>
      <c r="P62" s="848"/>
      <c r="Q62" s="849"/>
      <c r="R62" s="850"/>
      <c r="T62" s="629" t="e">
        <f ca="1">VLOOKUP($G$56&amp;E62,RCSOP!$BN$57:$BP$135,3,FALSE)</f>
        <v>#N/A</v>
      </c>
      <c r="AC62" s="232" t="s">
        <v>183</v>
      </c>
      <c r="AD62" s="376">
        <v>23</v>
      </c>
      <c r="AO62" s="349">
        <v>9</v>
      </c>
      <c r="AP62" s="430">
        <f t="shared" ca="1" si="52"/>
        <v>0</v>
      </c>
      <c r="AQ62" s="349">
        <v>9</v>
      </c>
      <c r="AS62" s="529">
        <f t="shared" ca="1" si="69"/>
        <v>-999999999.96800005</v>
      </c>
      <c r="AT62" s="377" t="str">
        <f t="shared" ca="1" si="81"/>
        <v/>
      </c>
      <c r="AU62" s="343">
        <f ca="1">IF(NOT($AD$43),0,IF(ASZTAB!$AJ$44,BI62*100,IF(ASZTAB!$AJ$43,BG62*10,BG62))*1000000+IF(ASZTAB!$AJ$52,AY62*10000,0)+IF(ASZTAB!$AJ$44,BE62,BD62)*1000/IF(OR(ASZTAB!AJ$43,ASZTAB!$AJ$52),10,1)+IF(ASZTAB!$AJ$44,0,IF(ASZTAB!AJ$43,BB62/10,BB62))+BJ62+BK62-IF(AW62=0,1000000000,0))</f>
        <v>-999999999.96800005</v>
      </c>
      <c r="AV62" s="349">
        <v>9</v>
      </c>
      <c r="AW62" s="345">
        <f t="shared" ca="1" si="70"/>
        <v>0</v>
      </c>
      <c r="AX62" s="346">
        <f t="shared" ca="1" si="53"/>
        <v>0</v>
      </c>
      <c r="AY62" s="346">
        <f t="shared" ca="1" si="71"/>
        <v>0</v>
      </c>
      <c r="AZ62" s="346">
        <f t="shared" ca="1" si="72"/>
        <v>0</v>
      </c>
      <c r="BA62" s="346">
        <f t="shared" ca="1" si="73"/>
        <v>0</v>
      </c>
      <c r="BB62" s="346">
        <f t="shared" ca="1" si="74"/>
        <v>0</v>
      </c>
      <c r="BC62" s="346">
        <f t="shared" ca="1" si="75"/>
        <v>0</v>
      </c>
      <c r="BD62" s="346">
        <f t="shared" ca="1" si="76"/>
        <v>0</v>
      </c>
      <c r="BE62" s="347">
        <f t="shared" ca="1" si="77"/>
        <v>0</v>
      </c>
      <c r="BF62" s="346">
        <f t="shared" ca="1" si="54"/>
        <v>0</v>
      </c>
      <c r="BG62" s="346">
        <f ca="1">IF(NOT($AD$43),0,ASZTAB!$AJ$48*AY62+AZ62-BF62)</f>
        <v>0</v>
      </c>
      <c r="BH62" s="346">
        <f t="shared" ca="1" si="78"/>
        <v>0</v>
      </c>
      <c r="BI62" s="347">
        <f t="shared" ca="1" si="79"/>
        <v>0</v>
      </c>
      <c r="BJ62" s="348">
        <v>3.1999999999999994E-2</v>
      </c>
      <c r="BK62" s="349">
        <f t="shared" ca="1" si="55"/>
        <v>0</v>
      </c>
      <c r="BM62" s="346">
        <f t="shared" ca="1" si="56"/>
        <v>0</v>
      </c>
      <c r="BN62" s="346">
        <f t="shared" ca="1" si="57"/>
        <v>0</v>
      </c>
      <c r="BO62" s="346">
        <f t="shared" ca="1" si="58"/>
        <v>0</v>
      </c>
      <c r="BP62" s="346">
        <f t="shared" ca="1" si="59"/>
        <v>0</v>
      </c>
      <c r="BQ62" s="346">
        <f t="shared" ca="1" si="60"/>
        <v>0</v>
      </c>
      <c r="BR62" s="346">
        <f t="shared" ca="1" si="61"/>
        <v>0</v>
      </c>
      <c r="BT62" s="346">
        <f t="shared" ca="1" si="62"/>
        <v>0</v>
      </c>
      <c r="BU62" s="346">
        <f t="shared" ca="1" si="63"/>
        <v>0</v>
      </c>
      <c r="BV62" s="346">
        <f t="shared" ca="1" si="64"/>
        <v>0</v>
      </c>
      <c r="BW62" s="346">
        <f t="shared" ca="1" si="65"/>
        <v>0</v>
      </c>
      <c r="BX62" s="346">
        <f t="shared" ca="1" si="66"/>
        <v>0</v>
      </c>
      <c r="BY62" s="346">
        <f t="shared" ca="1" si="67"/>
        <v>0</v>
      </c>
      <c r="BZ62" s="179"/>
      <c r="CB62" s="350"/>
      <c r="CC62" s="350"/>
      <c r="CD62" s="350"/>
      <c r="CE62" s="350"/>
      <c r="CF62" s="350"/>
      <c r="CG62" s="350"/>
      <c r="CR62" s="350"/>
      <c r="CS62" s="300"/>
      <c r="CT62" s="522" t="str">
        <f t="shared" si="68"/>
        <v/>
      </c>
      <c r="CU62" s="371" t="str">
        <f ca="1">IF(OR(CT62="",DA62="",CT62=DA62,ISNA(VLOOKUP(CONCATENATE(CT62,DA62),games.a,2,FALSE))),"",CONCATENATE(CT62,DA62))</f>
        <v/>
      </c>
      <c r="CV62" s="371" t="str">
        <f ca="1">IF(CU62="","",CONCATENATE(VLOOKUP(CU62,games.a,9,FALSE),VLOOKUP(CU62,games.a,12,FALSE)))</f>
        <v/>
      </c>
      <c r="CW62" s="369" t="str">
        <f ca="1">IF(CU62="","",VLOOKUP(CU62,games.a,10,FALSE))</f>
        <v/>
      </c>
      <c r="CX62" s="369" t="str">
        <f ca="1">IF(CU62="","",VLOOKUP(CU62,games.a,13,FALSE))</f>
        <v/>
      </c>
      <c r="CY62" s="423" t="str">
        <f ca="1">IF(CU62="","",VLOOKUP(CU62,games.a,6,FALSE))</f>
        <v/>
      </c>
      <c r="CZ62" s="409" t="str">
        <f ca="1">IF(CU62="","",VLOOKUP(CU62,games.a,7,FALSE))</f>
        <v/>
      </c>
      <c r="DA62" s="523" t="str">
        <f t="shared" ca="1" si="80"/>
        <v/>
      </c>
      <c r="DB62" s="302"/>
      <c r="DC62" s="364"/>
      <c r="DD62" s="302"/>
      <c r="DF62" s="424"/>
      <c r="DW62" s="424"/>
      <c r="DX62" s="424"/>
      <c r="DY62" s="424"/>
      <c r="DZ62" s="424"/>
      <c r="EA62" s="424"/>
      <c r="EB62" s="424"/>
      <c r="EC62" s="398"/>
      <c r="ED62" s="329" t="s">
        <v>157</v>
      </c>
      <c r="EE62" s="329" t="s">
        <v>158</v>
      </c>
      <c r="EF62" s="399"/>
      <c r="EG62" s="400"/>
      <c r="EH62" s="401" t="s">
        <v>160</v>
      </c>
      <c r="EI62" s="402" t="s">
        <v>135</v>
      </c>
      <c r="EJ62" s="398"/>
      <c r="EK62" s="365"/>
      <c r="EL62" s="365"/>
      <c r="EM62" s="424"/>
      <c r="EN62" s="424"/>
      <c r="EO62" s="425"/>
      <c r="EP62" s="333"/>
    </row>
    <row r="63" spans="2:146" ht="16.5" hidden="1" customHeight="1" x14ac:dyDescent="0.25">
      <c r="B63" s="290"/>
      <c r="C63" s="290"/>
      <c r="D63" s="290"/>
      <c r="E63" s="393"/>
      <c r="F63" s="174"/>
      <c r="G63" s="174"/>
      <c r="H63" s="174"/>
      <c r="I63" s="174"/>
      <c r="J63" s="174"/>
      <c r="K63" s="394"/>
      <c r="L63" s="394"/>
      <c r="M63" s="394"/>
      <c r="N63" s="286"/>
      <c r="O63" s="508"/>
      <c r="P63" s="848"/>
      <c r="Q63" s="849"/>
      <c r="R63" s="850"/>
      <c r="Y63" s="389">
        <f ca="1">20-COUNT(Y42:Y61)</f>
        <v>11</v>
      </c>
      <c r="AC63" s="232" t="s">
        <v>180</v>
      </c>
      <c r="AD63" s="389" t="b">
        <f>P43=AD62</f>
        <v>1</v>
      </c>
      <c r="AE63" s="312"/>
      <c r="AG63" s="312"/>
      <c r="AH63" s="312"/>
      <c r="AI63" s="312"/>
      <c r="AJ63" s="312"/>
      <c r="AK63" s="312"/>
      <c r="AL63" s="312"/>
      <c r="AO63" s="349">
        <v>10</v>
      </c>
      <c r="AP63" s="430">
        <f t="shared" ca="1" si="52"/>
        <v>0</v>
      </c>
      <c r="AQ63" s="349">
        <v>10</v>
      </c>
      <c r="AS63" s="529">
        <f t="shared" ca="1" si="69"/>
        <v>-999999999.96899998</v>
      </c>
      <c r="AT63" s="377" t="str">
        <f t="shared" ca="1" si="81"/>
        <v/>
      </c>
      <c r="AU63" s="343">
        <f ca="1">IF(NOT($AD$43),0,IF(ASZTAB!$AJ$44,BI63*100,IF(ASZTAB!$AJ$43,BG63*10,BG63))*1000000+IF(ASZTAB!$AJ$52,AY63*10000,0)+IF(ASZTAB!$AJ$44,BE63,BD63)*1000/IF(OR(ASZTAB!AJ$43,ASZTAB!$AJ$52),10,1)+IF(ASZTAB!$AJ$44,0,IF(ASZTAB!AJ$43,BB63/10,BB63))+BJ63+BK63-IF(AW63=0,1000000000,0))</f>
        <v>-999999999.96899998</v>
      </c>
      <c r="AV63" s="349">
        <v>10</v>
      </c>
      <c r="AW63" s="345">
        <f t="shared" ca="1" si="70"/>
        <v>0</v>
      </c>
      <c r="AX63" s="346">
        <f t="shared" ca="1" si="53"/>
        <v>0</v>
      </c>
      <c r="AY63" s="346">
        <f t="shared" ca="1" si="71"/>
        <v>0</v>
      </c>
      <c r="AZ63" s="346">
        <f t="shared" ca="1" si="72"/>
        <v>0</v>
      </c>
      <c r="BA63" s="346">
        <f t="shared" ca="1" si="73"/>
        <v>0</v>
      </c>
      <c r="BB63" s="346">
        <f t="shared" ca="1" si="74"/>
        <v>0</v>
      </c>
      <c r="BC63" s="346">
        <f t="shared" ca="1" si="75"/>
        <v>0</v>
      </c>
      <c r="BD63" s="346">
        <f t="shared" ca="1" si="76"/>
        <v>0</v>
      </c>
      <c r="BE63" s="347">
        <f t="shared" ca="1" si="77"/>
        <v>0</v>
      </c>
      <c r="BF63" s="346">
        <f t="shared" ca="1" si="54"/>
        <v>0</v>
      </c>
      <c r="BG63" s="346">
        <f ca="1">IF(NOT($AD$43),0,ASZTAB!$AJ$48*AY63+AZ63-BF63)</f>
        <v>0</v>
      </c>
      <c r="BH63" s="346">
        <f t="shared" ca="1" si="78"/>
        <v>0</v>
      </c>
      <c r="BI63" s="347">
        <f t="shared" ca="1" si="79"/>
        <v>0</v>
      </c>
      <c r="BJ63" s="348">
        <v>3.0999999999999993E-2</v>
      </c>
      <c r="BK63" s="349">
        <f t="shared" ca="1" si="55"/>
        <v>0</v>
      </c>
      <c r="BM63" s="346">
        <f t="shared" ca="1" si="56"/>
        <v>0</v>
      </c>
      <c r="BN63" s="346">
        <f t="shared" ca="1" si="57"/>
        <v>0</v>
      </c>
      <c r="BO63" s="346">
        <f t="shared" ca="1" si="58"/>
        <v>0</v>
      </c>
      <c r="BP63" s="346">
        <f t="shared" ca="1" si="59"/>
        <v>0</v>
      </c>
      <c r="BQ63" s="346">
        <f t="shared" ca="1" si="60"/>
        <v>0</v>
      </c>
      <c r="BR63" s="346">
        <f t="shared" ca="1" si="61"/>
        <v>0</v>
      </c>
      <c r="BT63" s="346">
        <f t="shared" ca="1" si="62"/>
        <v>0</v>
      </c>
      <c r="BU63" s="346">
        <f t="shared" ca="1" si="63"/>
        <v>0</v>
      </c>
      <c r="BV63" s="346">
        <f t="shared" ca="1" si="64"/>
        <v>0</v>
      </c>
      <c r="BW63" s="346">
        <f t="shared" ca="1" si="65"/>
        <v>0</v>
      </c>
      <c r="BX63" s="346">
        <f t="shared" ca="1" si="66"/>
        <v>0</v>
      </c>
      <c r="BY63" s="346">
        <f t="shared" ca="1" si="67"/>
        <v>0</v>
      </c>
      <c r="BZ63" s="179"/>
      <c r="CB63" s="350"/>
      <c r="CC63" s="350"/>
      <c r="CD63" s="350"/>
      <c r="CE63" s="350"/>
      <c r="CF63" s="350"/>
      <c r="CG63" s="350"/>
      <c r="CR63" s="350"/>
      <c r="CS63" s="300"/>
      <c r="CT63" s="301"/>
      <c r="CU63" s="324" t="s">
        <v>157</v>
      </c>
      <c r="CV63" s="324" t="s">
        <v>158</v>
      </c>
      <c r="CW63" s="325" t="s">
        <v>159</v>
      </c>
      <c r="CX63" s="325"/>
      <c r="CY63" s="326" t="s">
        <v>160</v>
      </c>
      <c r="CZ63" s="325" t="s">
        <v>135</v>
      </c>
      <c r="DA63" s="302"/>
      <c r="DB63" s="302"/>
      <c r="DC63" s="364"/>
      <c r="DD63" s="302"/>
      <c r="DF63" s="424"/>
      <c r="DW63" s="424"/>
      <c r="DX63" s="424"/>
      <c r="DY63" s="424"/>
      <c r="DZ63" s="424"/>
      <c r="EA63" s="424"/>
      <c r="EB63" s="424"/>
      <c r="EC63" s="404" t="str">
        <f t="shared" ref="EC63:EC68" ca="1" si="84">EC56</f>
        <v/>
      </c>
      <c r="ED63" s="371" t="str">
        <f ca="1">IF(OR(EC63="",EJ63="",EC63=EJ63,ISNA(VLOOKUP(CONCATENATE(EC63,EJ63),games.r,2,FALSE))),"",CONCATENATE(EC63,EJ63))</f>
        <v/>
      </c>
      <c r="EE63" s="405" t="str">
        <f ca="1">IF(OR(ED63="",EJ48&gt;2),"",CONCATENATE(VLOOKUP(ED63,games.r,9,FALSE),VLOOKUP(ED63,games.r,12,FALSE)))</f>
        <v/>
      </c>
      <c r="EF63" s="406"/>
      <c r="EG63" s="407"/>
      <c r="EH63" s="408" t="str">
        <f ca="1">IF(ED63="","",VLOOKUP(ED63,games.r,6,FALSE))</f>
        <v/>
      </c>
      <c r="EI63" s="409" t="str">
        <f ca="1">IF(ED63="","",VLOOKUP(ED63,games.r,7,FALSE))</f>
        <v/>
      </c>
      <c r="EJ63" s="410" t="str">
        <f ca="1">EC51</f>
        <v/>
      </c>
      <c r="EK63" s="411"/>
      <c r="EL63" s="412"/>
      <c r="EM63" s="424"/>
      <c r="EN63" s="424"/>
      <c r="EO63" s="425"/>
      <c r="EP63" s="333"/>
    </row>
    <row r="64" spans="2:146" ht="16.5" hidden="1" customHeight="1" x14ac:dyDescent="0.25">
      <c r="B64" s="290"/>
      <c r="C64" s="290"/>
      <c r="D64" s="290"/>
      <c r="E64" s="393"/>
      <c r="F64" s="174"/>
      <c r="G64" s="174"/>
      <c r="H64" s="174"/>
      <c r="I64" s="174"/>
      <c r="J64" s="174"/>
      <c r="K64" s="394"/>
      <c r="L64" s="394"/>
      <c r="M64" s="394"/>
      <c r="N64" s="286"/>
      <c r="O64" s="508"/>
      <c r="P64" s="848"/>
      <c r="Q64" s="849"/>
      <c r="R64" s="850"/>
      <c r="Y64" s="389" t="str">
        <f ca="1">CONCATENATE("RTAB!",ADDRESS(ROW(Y42)-IF(Y63=0,1,0),COLUMN(Y42)),":",ADDRESS(Y63+ROW(Y42)-1,COLUMN(Y42)))</f>
        <v>RTAB!$Y$42:$Y$52</v>
      </c>
      <c r="AC64" s="179"/>
      <c r="AD64" s="179"/>
      <c r="AS64" s="179"/>
      <c r="AT64" s="179"/>
      <c r="AU64" s="179"/>
      <c r="AV64" s="179"/>
      <c r="AW64" s="179"/>
      <c r="AX64" s="179"/>
      <c r="AY64" s="179"/>
      <c r="AZ64" s="179"/>
      <c r="BA64" s="179"/>
      <c r="BB64" s="179"/>
      <c r="BC64" s="179"/>
      <c r="BD64" s="179"/>
      <c r="BE64" s="179"/>
      <c r="BF64" s="179"/>
      <c r="BG64" s="179"/>
      <c r="BH64" s="179"/>
      <c r="BI64" s="179"/>
      <c r="BJ64" s="179"/>
      <c r="BK64" s="179"/>
      <c r="BL64" s="179"/>
      <c r="BM64" s="179"/>
      <c r="BN64" s="179"/>
      <c r="BO64" s="179"/>
      <c r="BP64" s="179"/>
      <c r="BQ64" s="179"/>
      <c r="BR64" s="179"/>
      <c r="BS64" s="179"/>
      <c r="BT64" s="179"/>
      <c r="BU64" s="179"/>
      <c r="BV64" s="179"/>
      <c r="BW64" s="179"/>
      <c r="BX64" s="179"/>
      <c r="BY64" s="179"/>
      <c r="BZ64" s="179"/>
      <c r="CB64" s="350"/>
      <c r="CC64" s="350"/>
      <c r="CD64" s="350"/>
      <c r="CE64" s="350"/>
      <c r="CF64" s="350"/>
      <c r="CG64" s="350"/>
      <c r="CR64" s="350"/>
      <c r="CS64" s="300"/>
      <c r="CT64" s="395" t="str">
        <f ca="1">CT53</f>
        <v/>
      </c>
      <c r="CU64" s="360" t="str">
        <f ca="1">IF(OR(CT64="",DA64="",CT64=DA64,ISNA(VLOOKUP(CONCATENATE(CT64,DA64),games.r,2,FALSE))),"",CONCATENATE(CT64,DA64))</f>
        <v/>
      </c>
      <c r="CV64" s="360" t="str">
        <f ca="1">IF(CU64="","",CONCATENATE(VLOOKUP(CU64,games.r,9,FALSE),VLOOKUP(CU64,games.r,12,FALSE)))</f>
        <v/>
      </c>
      <c r="CW64" s="354" t="str">
        <f ca="1">IF(CU64="","",VLOOKUP(CU64,games.r,10,FALSE))</f>
        <v/>
      </c>
      <c r="CX64" s="354" t="str">
        <f ca="1">IF(CU64="","",VLOOKUP(CU64,games.r,13,FALSE))</f>
        <v/>
      </c>
      <c r="CY64" s="361" t="str">
        <f ca="1">IF(CU64="","",VLOOKUP(CU64,games.r,6,FALSE))</f>
        <v/>
      </c>
      <c r="CZ64" s="362" t="str">
        <f ca="1">IF(CU64="","",VLOOKUP(CU64,games.r,7,FALSE))</f>
        <v/>
      </c>
      <c r="DA64" s="363" t="str">
        <f ca="1">CT44</f>
        <v/>
      </c>
      <c r="DB64" s="302"/>
      <c r="DC64" s="364"/>
      <c r="DD64" s="302"/>
      <c r="DF64" s="424"/>
      <c r="DW64" s="424"/>
      <c r="DX64" s="424"/>
      <c r="DY64" s="424"/>
      <c r="DZ64" s="424"/>
      <c r="EA64" s="424"/>
      <c r="EB64" s="424"/>
      <c r="EC64" s="404" t="str">
        <f t="shared" ca="1" si="84"/>
        <v/>
      </c>
      <c r="ED64" s="371" t="str">
        <f ca="1">IF(OR(EC64="",EJ64="",EC64=EJ64,ISNA(VLOOKUP(CONCATENATE(EC64,EJ64),games.r,2,FALSE))),"",CONCATENATE(EC64,EJ64))</f>
        <v/>
      </c>
      <c r="EE64" s="405" t="str">
        <f ca="1">IF(OR(ED64="",EJ48&gt;2),"",CONCATENATE(VLOOKUP(ED64,games.r,9,FALSE),VLOOKUP(ED64,games.r,12,FALSE)))</f>
        <v/>
      </c>
      <c r="EF64" s="413"/>
      <c r="EG64" s="414"/>
      <c r="EH64" s="408" t="str">
        <f ca="1">IF(ED64="","",VLOOKUP(ED64,games.r,6,FALSE))</f>
        <v/>
      </c>
      <c r="EI64" s="409" t="str">
        <f ca="1">IF(ED64="","",VLOOKUP(ED64,games.r,7,FALSE))</f>
        <v/>
      </c>
      <c r="EJ64" s="415" t="str">
        <f ca="1">EJ63</f>
        <v/>
      </c>
      <c r="EK64" s="416"/>
      <c r="EL64" s="417"/>
      <c r="EM64" s="424"/>
      <c r="EN64" s="424"/>
      <c r="EO64" s="425"/>
      <c r="EP64" s="333"/>
    </row>
    <row r="65" spans="14:146" ht="16.5" hidden="1" customHeight="1" x14ac:dyDescent="0.25">
      <c r="N65" s="286"/>
      <c r="O65" s="508"/>
      <c r="P65" s="848"/>
      <c r="Q65" s="849"/>
      <c r="R65" s="850"/>
      <c r="AC65" s="232" t="s">
        <v>269</v>
      </c>
      <c r="AD65" s="376">
        <f>AD62+AD48-1</f>
        <v>27</v>
      </c>
      <c r="AH65" s="310" t="s">
        <v>377</v>
      </c>
      <c r="AS65" s="313" t="s">
        <v>259</v>
      </c>
      <c r="AT65" s="314"/>
      <c r="AU65" s="315"/>
      <c r="AV65" s="315"/>
      <c r="AW65" s="316" t="s">
        <v>259</v>
      </c>
      <c r="AX65" s="318" t="s">
        <v>120</v>
      </c>
      <c r="AY65" s="318" t="s">
        <v>121</v>
      </c>
      <c r="AZ65" s="318" t="s">
        <v>134</v>
      </c>
      <c r="BA65" s="318" t="s">
        <v>122</v>
      </c>
      <c r="BB65" s="318" t="s">
        <v>123</v>
      </c>
      <c r="BC65" s="318" t="s">
        <v>124</v>
      </c>
      <c r="BD65" s="318" t="s">
        <v>125</v>
      </c>
      <c r="BE65" s="318" t="s">
        <v>191</v>
      </c>
      <c r="BF65" s="318" t="s">
        <v>207</v>
      </c>
      <c r="BG65" s="318" t="s">
        <v>126</v>
      </c>
      <c r="BH65" s="318" t="s">
        <v>197</v>
      </c>
      <c r="BI65" s="318" t="s">
        <v>192</v>
      </c>
      <c r="BJ65" s="318" t="s">
        <v>127</v>
      </c>
      <c r="BK65" s="318" t="s">
        <v>208</v>
      </c>
      <c r="BM65" s="318" t="s">
        <v>196</v>
      </c>
      <c r="BN65" s="318" t="s">
        <v>121</v>
      </c>
      <c r="BO65" s="318" t="s">
        <v>134</v>
      </c>
      <c r="BP65" s="318" t="s">
        <v>122</v>
      </c>
      <c r="BQ65" s="318" t="s">
        <v>123</v>
      </c>
      <c r="BR65" s="318" t="s">
        <v>124</v>
      </c>
      <c r="BT65" s="318" t="s">
        <v>196</v>
      </c>
      <c r="BU65" s="318" t="s">
        <v>121</v>
      </c>
      <c r="BV65" s="318" t="s">
        <v>134</v>
      </c>
      <c r="BW65" s="318" t="s">
        <v>122</v>
      </c>
      <c r="BX65" s="318" t="s">
        <v>123</v>
      </c>
      <c r="BY65" s="318" t="s">
        <v>124</v>
      </c>
      <c r="BZ65" s="179"/>
      <c r="CB65" s="350"/>
      <c r="CC65" s="318" t="s">
        <v>212</v>
      </c>
      <c r="CD65" s="318" t="s">
        <v>414</v>
      </c>
      <c r="CE65" s="318" t="s">
        <v>415</v>
      </c>
      <c r="CF65" s="296"/>
      <c r="CG65" s="296"/>
      <c r="CI65" s="320" t="str">
        <f ca="1">IF(CH66=0,"xxx",VLOOKUP(CH66,CC66:CF75,IF(ASZTAB!$AJ$44,3,2),FALSE))</f>
        <v>xxx</v>
      </c>
      <c r="CJ65" s="321"/>
      <c r="CK65" s="322" t="s">
        <v>220</v>
      </c>
      <c r="CL65" s="320" t="str">
        <f ca="1">IF(CH67=0,"xxx",VLOOKUP(CH67,CC66:CF75,IF(ASZTAB!$AJ$44,3,2),FALSE))</f>
        <v>xxx</v>
      </c>
      <c r="CM65" s="321"/>
      <c r="CN65" s="322" t="s">
        <v>221</v>
      </c>
      <c r="CO65" s="320" t="str">
        <f ca="1">IF(CH68=0,"xxx",VLOOKUP(CH68,CC66:CF75,IF(ASZTAB!$AJ$44,3,2),FALSE))</f>
        <v>xxx</v>
      </c>
      <c r="CP65" s="321"/>
      <c r="CQ65" s="322" t="s">
        <v>222</v>
      </c>
      <c r="CR65" s="350"/>
      <c r="CS65" s="300"/>
      <c r="CT65" s="395" t="str">
        <f t="shared" ref="CT65:CT73" ca="1" si="85">CT54</f>
        <v/>
      </c>
      <c r="CU65" s="360" t="str">
        <f ca="1">IF(OR(CT65="",DA65="",CT65=DA65,ISNA(VLOOKUP(CONCATENATE(CT65,DA65),games.r,2,FALSE))),"",CONCATENATE(CT65,DA65))</f>
        <v/>
      </c>
      <c r="CV65" s="360" t="str">
        <f ca="1">IF(CU65="","",CONCATENATE(VLOOKUP(CU65,games.r,9,FALSE),VLOOKUP(CU65,games.r,12,FALSE)))</f>
        <v/>
      </c>
      <c r="CW65" s="354" t="str">
        <f ca="1">IF(CU65="","",VLOOKUP(CU65,games.r,10,FALSE))</f>
        <v/>
      </c>
      <c r="CX65" s="354" t="str">
        <f ca="1">IF(CU65="","",VLOOKUP(CU65,games.r,13,FALSE))</f>
        <v/>
      </c>
      <c r="CY65" s="361" t="str">
        <f ca="1">IF(CU65="","",VLOOKUP(CU65,games.r,6,FALSE))</f>
        <v/>
      </c>
      <c r="CZ65" s="362" t="str">
        <f ca="1">IF(CU65="","",VLOOKUP(CU65,games.r,7,FALSE))</f>
        <v/>
      </c>
      <c r="DA65" s="379" t="str">
        <f ca="1">DA64</f>
        <v/>
      </c>
      <c r="DB65" s="302"/>
      <c r="DC65" s="364"/>
      <c r="DD65" s="302"/>
      <c r="DF65" s="424"/>
      <c r="DW65" s="424"/>
      <c r="DX65" s="424"/>
      <c r="DY65" s="424"/>
      <c r="DZ65" s="424"/>
      <c r="EA65" s="424"/>
      <c r="EB65" s="424"/>
      <c r="EC65" s="404" t="str">
        <f t="shared" ca="1" si="84"/>
        <v/>
      </c>
      <c r="ED65" s="371" t="str">
        <f ca="1">IF(OR(EC65="",EJ65="",EC65=EJ65,ISNA(VLOOKUP(CONCATENATE(EC65,EJ65),games.r,2,FALSE))),"",CONCATENATE(EC65,EJ65))</f>
        <v/>
      </c>
      <c r="EE65" s="405" t="str">
        <f ca="1">IF(OR(ED65="",EJ48&gt;2),"",CONCATENATE(VLOOKUP(ED65,games.r,9,FALSE),VLOOKUP(ED65,games.r,12,FALSE)))</f>
        <v/>
      </c>
      <c r="EF65" s="413"/>
      <c r="EG65" s="414"/>
      <c r="EH65" s="408" t="str">
        <f ca="1">IF(ED65="","",VLOOKUP(ED65,games.r,6,FALSE))</f>
        <v/>
      </c>
      <c r="EI65" s="409" t="str">
        <f ca="1">IF(ED65="","",VLOOKUP(ED65,games.r,7,FALSE))</f>
        <v/>
      </c>
      <c r="EJ65" s="415" t="str">
        <f ca="1">EJ64</f>
        <v/>
      </c>
      <c r="EK65" s="416"/>
      <c r="EL65" s="417"/>
      <c r="EM65" s="424"/>
      <c r="EN65" s="424"/>
      <c r="EO65" s="425"/>
      <c r="EP65" s="333"/>
    </row>
    <row r="66" spans="14:146" ht="16.5" hidden="1" customHeight="1" x14ac:dyDescent="0.25">
      <c r="N66" s="286"/>
      <c r="O66" s="508"/>
      <c r="P66" s="848"/>
      <c r="Q66" s="849"/>
      <c r="R66" s="850"/>
      <c r="AC66" s="232" t="s">
        <v>270</v>
      </c>
      <c r="AD66" s="376">
        <f>AD62+AD51-1</f>
        <v>26</v>
      </c>
      <c r="AH66" s="210" t="str">
        <f t="shared" ref="AH66:AH75" ca="1" si="86">IF(VLOOKUP($AS66,INDIRECT(CONCATENATE($AD$59,2)),3,FALSE)=0,"–",VLOOKUP($AS66,INDIRECT(CONCATENATE($AD$59,2)),3,FALSE))</f>
        <v>Vakana</v>
      </c>
      <c r="AI66" s="340">
        <f>AT66</f>
        <v>7</v>
      </c>
      <c r="AJ66" s="338">
        <f t="shared" ref="AJ66:AJ75" ca="1" si="87">VLOOKUP($AH66,table.n.rv2,6,FALSE)</f>
        <v>47</v>
      </c>
      <c r="AK66" s="338">
        <f t="shared" ref="AK66:AK75" ca="1" si="88">VLOOKUP($AH66,table.n.rv2,7,FALSE)</f>
        <v>71</v>
      </c>
      <c r="AS66" s="341">
        <f t="shared" ref="AS66:AS75" ca="1" si="89">LARGE(IF($AD$58=1,AU$66:AU$75,$AU$142:$AU$151),AV66)</f>
        <v>15976047.028999999</v>
      </c>
      <c r="AT66" s="377">
        <v>7</v>
      </c>
      <c r="AU66" s="343">
        <f ca="1">IF(NOT($AD$44),0,IF(ASZTAB!$AJ$44,BI66*100,IF(ASZTAB!$AJ$43,BG66*10,BG66))*1000000+IF(ASZTAB!$AJ$52,AY66*10000,0)+IF(ASZTAB!$AJ$44,BE66,BD66)*1000/IF(OR(ASZTAB!AJ$43,ASZTAB!$AJ$52),10,1)+IF(ASZTAB!$AJ$44,0,IF(ASZTAB!AJ$43,BB66/10,BB66))+BJ66+IF($AD$80,BK66,0)-IF(AW66=0,1000000000,0))</f>
        <v>10981054.029999999</v>
      </c>
      <c r="AV66" s="349">
        <v>1</v>
      </c>
      <c r="AW66" s="345" t="str">
        <f ca="1">IF(NOT($AD$44),0,RCSOP!BE69)</f>
        <v>Bakafogó-Honvéd-Sashegy SE</v>
      </c>
      <c r="AX66" s="346">
        <f ca="1">AY66+AZ66+BA66</f>
        <v>4</v>
      </c>
      <c r="AY66" s="346">
        <f t="shared" ref="AY66:AY75" ca="1" si="90">IF(NOT($AD$44),0,IF($AD$57=1,BN66+BU66,IF($AD$57=2,BN66,IF($AD$57=3,BU66,""))))</f>
        <v>1</v>
      </c>
      <c r="AZ66" s="346">
        <f t="shared" ref="AZ66:AZ75" ca="1" si="91">IF(NOT($AD$44),0,IF($AD$57=1,BO66+BV66,IF($AD$57=2,BO66,IF($AD$57=3,BV66,""))))</f>
        <v>2</v>
      </c>
      <c r="BA66" s="346">
        <f t="shared" ref="BA66:BA75" ca="1" si="92">IF(NOT($AD$44),0,IF($AD$57=1,BP66+BW66,IF($AD$57=2,BP66,IF($AD$57=3,BW66,""))))</f>
        <v>1</v>
      </c>
      <c r="BB66" s="346">
        <f t="shared" ref="BB66:BB75" ca="1" si="93">IF(NOT($AD$44),0,IF($AD$57=1,BQ66+BX66,IF($AD$57=2,BQ66,IF($AD$57=3,BX66,""))))</f>
        <v>54</v>
      </c>
      <c r="BC66" s="346">
        <f t="shared" ref="BC66:BC75" ca="1" si="94">IF(NOT($AD$44),0,IF($AD$57=1,BR66+BY66,IF($AD$57=2,BR66,IF($AD$57=3,BY66,""))))</f>
        <v>73</v>
      </c>
      <c r="BD66" s="346">
        <f t="shared" ref="BD66:BD75" ca="1" si="95">BB66-BC66</f>
        <v>-19</v>
      </c>
      <c r="BE66" s="347">
        <f t="shared" ref="BE66:BE75" ca="1" si="96">IF(BC66=0,0,BB66/BC66)</f>
        <v>0.73972602739726023</v>
      </c>
      <c r="BF66" s="346">
        <f t="shared" ref="BF66:BF75" ca="1" si="97">IF(NOT($AD$44),0,IF(OR(NOT($AD$81),ISNA(VLOOKUP(AW66,penalty.r,2,FALSE))),0,VLOOKUP(AW66,penalty.r,2,FALSE))-IF(OR(NOT($AD$91),NOT($AD$103),ISNA(VLOOKUP(AW66,zpoint,2,FALSE))),0,VLOOKUP(AW66,zpoint,2,FALSE)))</f>
        <v>-6</v>
      </c>
      <c r="BG66" s="346">
        <f ca="1">IF(NOT($AD$44),0,ASZTAB!$AJ$48*AY66+AZ66-BF66)</f>
        <v>11</v>
      </c>
      <c r="BH66" s="346">
        <f ca="1">IF(NOT($AD$44),0,AY66*2+BA66-BF66)</f>
        <v>9</v>
      </c>
      <c r="BI66" s="347">
        <f ca="1">IF(NOT($AD$44),0,IF(AND(AX66=0,BH66=0),0,BH66/(AX66*2+IF($AD$91,$AD$104,0))))</f>
        <v>0.45</v>
      </c>
      <c r="BJ66" s="348">
        <v>0.03</v>
      </c>
      <c r="BK66" s="349">
        <f t="shared" ref="BK66:BK75" ca="1" si="98">IF(ISNA(VLOOKUP(AW66,eee.rv,16,FALSE)),0,VLOOKUP(AW66,eee.rv,16,FALSE))</f>
        <v>0</v>
      </c>
      <c r="BM66" s="346">
        <f t="shared" ref="BM66:BM75" ca="1" si="99">IF(NOT($AD$44),0,COUNTIF(lossh.rv,CONCATENATE($AW66,"ooo"))+IF(OR(NOT($AD$91),NOT($AD$101)),0,IF($AD$102,COUNTIF(lossh.aa,CONCATENATE($AW66,"ooo")),COUNTIF(zlossh,CONCATENATE($AW66,"ooo")))))</f>
        <v>0</v>
      </c>
      <c r="BN66" s="346">
        <f t="shared" ref="BN66:BN75" ca="1" si="100">IF(NOT($AD$44),0,COUNTIF(winh.rv,$AW66)+IF(OR(NOT($AD$91),NOT($AD$101)),0,IF($AD$102,COUNTIF(winh.aa,$AW66),COUNTIF(zwinh,$AW66))))</f>
        <v>1</v>
      </c>
      <c r="BO66" s="346">
        <f t="shared" ref="BO66:BO75" ca="1" si="101">IF(NOT($AD$44),0,COUNTIF(drawh.rv,$AW66)+IF(OR(NOT($AD$91),NOT($AD$101)),0,IF($AD$102,COUNTIF(drawh.aa,$AW66),COUNTIF(zdrawh,$AW66))))</f>
        <v>2</v>
      </c>
      <c r="BP66" s="346">
        <f t="shared" ref="BP66:BP75" ca="1" si="102">IF(NOT($AD$44),0,COUNTIF(lossh.rv,$AW66)+BM66+IF(OR(NOT($AD$91),NOT($AD$101)),0,IF($AD$102,COUNTIF(lossh.aa,$AW66),COUNTIF(zlossh,$AW66))))</f>
        <v>1</v>
      </c>
      <c r="BQ66" s="534">
        <f t="shared" ref="BQ66:BQ75" ca="1" si="103">IF(NOT($AD$44),0,SUMIF(home.rv,$AW66,GAA.rv)+IF(OR(NOT($AD$91),NOT($AD$101)),0,IF(TRUE,SUMIF(home.aa,$AW66,GAA.aa),SUMIF(zhome,$AW66,zfor))))</f>
        <v>34</v>
      </c>
      <c r="BR66" s="534">
        <f t="shared" ref="BR66:BR75" ca="1" si="104">IF(NOT($AD$44),0,SUMIF(home.rv,$AW66,GBB.rv)+IF(OR(NOT($AD$91),NOT($AD$101)),0,IF(TRUE,SUMIF(home.aa,$AW66,GBB.aa),SUMIF(zhome,$AW66,zagainst))))</f>
        <v>39</v>
      </c>
      <c r="BT66" s="346">
        <f t="shared" ref="BT66:BT75" ca="1" si="105">IF(NOT($AD$44),0,COUNTIF(lossa.rv,CONCATENATE($AW66,"ooo"))+IF(OR(NOT($AD$91),NOT($AD$101)),0,IF($AD$102,COUNTIF(lossa.aa,CONCATENATE($AW66,"ooo")),COUNTIF(zlossa,CONCATENATE($AW66,"ooo")))))</f>
        <v>0</v>
      </c>
      <c r="BU66" s="346">
        <f t="shared" ref="BU66:BU75" ca="1" si="106">IF(NOT($AD$44),0,COUNTIF(wina.rv,$AW66)+IF(OR(NOT($AD$91),NOT($AD$101)),0,IF($AD$102,COUNTIF(wina.aa,$AW66),COUNTIF(zwina,$AW66))))</f>
        <v>0</v>
      </c>
      <c r="BV66" s="346">
        <f t="shared" ref="BV66:BV75" ca="1" si="107">IF(NOT($AD$44),0,COUNTIF(drawa.rv,$AW66)+IF(OR(NOT($AD$91),NOT($AD$101)),0,IF($AD$102,COUNTIF(drawa.aa,$AW66),COUNTIF(zdrawa,$AW66))))</f>
        <v>0</v>
      </c>
      <c r="BW66" s="346">
        <f t="shared" ref="BW66:BW75" ca="1" si="108">IF(NOT($AD$44),0,COUNTIF(lossa.rv,$AW66)+BT66+IF(OR(NOT($AD$91),NOT($AD$101)),0,IF($AD$102,COUNTIF(lossa.aa,$AW66),COUNTIF(zlossa,$AW66))))</f>
        <v>0</v>
      </c>
      <c r="BX66" s="534">
        <f t="shared" ref="BX66:BX75" ca="1" si="109">IF(NOT($AD$44),0,SUMIF(away.rv,$AW66,GBB.rv)+IF(OR(NOT($AD$91),NOT($AD$101)),0,IF(TRUE,SUMIF(away.aa,$AW66,GBB.aa),SUMIF(zaway,$AW66,zagainst))))</f>
        <v>20</v>
      </c>
      <c r="BY66" s="534">
        <f t="shared" ref="BY66:BY75" ca="1" si="110">IF(NOT($AD$44),0,SUMIF(away.rv,$AW66,GAA.rv)+IF(OR(NOT($AD$91),NOT($AD$101)),0,IF(TRUE,SUMIF(away.aa,$AW66,GAA.aa),SUMIF(zaway,$AW66,zfor))))</f>
        <v>34</v>
      </c>
      <c r="CB66" s="350"/>
      <c r="CC66" s="351">
        <f ca="1">IF(ASZTAB!$AJ$44,COUNTIF($BI$78:$BI$87,CE66)*IF(CE66=0,0,1),COUNTIF($BG$78:$BG$87,CD66)*IF(CD66=0,0,1))+CF66/1000</f>
        <v>1.0009999999999999</v>
      </c>
      <c r="CD66" s="352">
        <f ca="1">LARGE($BG$78:$BG$87,CF66)</f>
        <v>16</v>
      </c>
      <c r="CE66" s="353">
        <f ca="1">LARGE($BI$78:$BI$87,CF66)</f>
        <v>0.6</v>
      </c>
      <c r="CF66" s="354">
        <v>1</v>
      </c>
      <c r="CG66" s="350"/>
      <c r="CH66" s="355">
        <f ca="1">IF(LARGE(CC66:CC75,CF66)&lt;2,0,LARGE(CC66:CC75,CF66))</f>
        <v>0</v>
      </c>
      <c r="CI66" s="356" t="str">
        <f ca="1">IF(OR(CI65=BG78,CI65=BI78),AW78,"")</f>
        <v/>
      </c>
      <c r="CJ66" s="357" t="str">
        <f t="shared" ref="CJ66:CJ75" ca="1" si="111">IF(CI66="","",CF66)</f>
        <v/>
      </c>
      <c r="CK66" s="358" t="str">
        <f ca="1">IF(ISERR(LARGE(CJ66:CJ75,CF66)),"",LARGE(CJ66:CJ75,CF66))</f>
        <v/>
      </c>
      <c r="CL66" s="356" t="str">
        <f ca="1">IF(OR(CL65=BG78,CL65=BI78),AW78,"")</f>
        <v/>
      </c>
      <c r="CM66" s="357" t="str">
        <f t="shared" ref="CM66:CM75" ca="1" si="112">IF(CL66="","",CF66)</f>
        <v/>
      </c>
      <c r="CN66" s="358" t="str">
        <f ca="1">IF(ISERR(LARGE(CM66:CM75,CF66)),"",LARGE(CM66:CM75,CF66))</f>
        <v/>
      </c>
      <c r="CO66" s="356" t="str">
        <f ca="1">IF(OR(CO65=BG78,CO65=BI78),AW78,"")</f>
        <v/>
      </c>
      <c r="CP66" s="357" t="str">
        <f t="shared" ref="CP66:CP75" ca="1" si="113">IF(CO66="","",CF66)</f>
        <v/>
      </c>
      <c r="CQ66" s="358" t="str">
        <f ca="1">IF(ISERR(LARGE(CP66:CP75,CF66)),"",LARGE(CP66:CP75,CF66))</f>
        <v/>
      </c>
      <c r="CR66" s="350"/>
      <c r="CS66" s="300"/>
      <c r="CT66" s="395" t="str">
        <f t="shared" ca="1" si="85"/>
        <v/>
      </c>
      <c r="CU66" s="360" t="str">
        <f ca="1">IF(OR(CT66="",DA66="",CT66=DA66,ISNA(VLOOKUP(CONCATENATE(CT66,DA66),games.r,2,FALSE))),"",CONCATENATE(CT66,DA66))</f>
        <v/>
      </c>
      <c r="CV66" s="360" t="str">
        <f ca="1">IF(CU66="","",CONCATENATE(VLOOKUP(CU66,games.r,9,FALSE),VLOOKUP(CU66,games.r,12,FALSE)))</f>
        <v/>
      </c>
      <c r="CW66" s="354" t="str">
        <f ca="1">IF(CU66="","",VLOOKUP(CU66,games.r,10,FALSE))</f>
        <v/>
      </c>
      <c r="CX66" s="354" t="str">
        <f ca="1">IF(CU66="","",VLOOKUP(CU66,games.r,13,FALSE))</f>
        <v/>
      </c>
      <c r="CY66" s="361" t="str">
        <f ca="1">IF(CU66="","",VLOOKUP(CU66,games.r,6,FALSE))</f>
        <v/>
      </c>
      <c r="CZ66" s="362" t="str">
        <f ca="1">IF(CU66="","",VLOOKUP(CU66,games.r,7,FALSE))</f>
        <v/>
      </c>
      <c r="DA66" s="379" t="str">
        <f t="shared" ref="DA66:DA73" ca="1" si="114">DA65</f>
        <v/>
      </c>
      <c r="DB66" s="302"/>
      <c r="DC66" s="364"/>
      <c r="DD66" s="302"/>
      <c r="DF66" s="424"/>
      <c r="DW66" s="424"/>
      <c r="DX66" s="424"/>
      <c r="DY66" s="424"/>
      <c r="DZ66" s="424"/>
      <c r="EA66" s="424"/>
      <c r="EB66" s="424"/>
      <c r="EC66" s="404" t="str">
        <f t="shared" si="84"/>
        <v/>
      </c>
      <c r="ED66" s="360" t="str">
        <f ca="1">IF(OR(EC66="",EJ66="",EC66=EJ66,ISNA(VLOOKUP(CONCATENATE(EC66,EJ66),games.a,2,FALSE))),"",CONCATENATE(EC66,EJ66))</f>
        <v/>
      </c>
      <c r="EE66" s="524" t="str">
        <f ca="1">IF(OR(ED66="",EJ48&gt;2),"",CONCATENATE(VLOOKUP(ED66,games.a,9,FALSE),VLOOKUP(ED66,games.a,12,FALSE)))</f>
        <v/>
      </c>
      <c r="EF66" s="413"/>
      <c r="EG66" s="414"/>
      <c r="EH66" s="525" t="str">
        <f ca="1">IF(ED66="","",VLOOKUP(ED66,games.a,6,FALSE))</f>
        <v/>
      </c>
      <c r="EI66" s="362" t="str">
        <f ca="1">IF(ED66="","",VLOOKUP(ED66,games.a,7,FALSE))</f>
        <v/>
      </c>
      <c r="EJ66" s="526" t="str">
        <f ca="1">EJ65</f>
        <v/>
      </c>
      <c r="EK66" s="527"/>
      <c r="EL66" s="528"/>
      <c r="EM66" s="424"/>
      <c r="EN66" s="424"/>
      <c r="EO66" s="425"/>
      <c r="EP66" s="333"/>
    </row>
    <row r="67" spans="14:146" ht="16.5" hidden="1" customHeight="1" x14ac:dyDescent="0.25">
      <c r="O67" s="508"/>
      <c r="P67" s="848"/>
      <c r="Q67" s="849"/>
      <c r="R67" s="850"/>
      <c r="V67" s="310" t="s">
        <v>175</v>
      </c>
      <c r="W67" s="311"/>
      <c r="X67" s="311"/>
      <c r="Y67" s="311"/>
      <c r="AC67" s="232" t="s">
        <v>364</v>
      </c>
      <c r="AD67" s="376">
        <f>AD62+AD54-1</f>
        <v>22</v>
      </c>
      <c r="AH67" s="210" t="str">
        <f t="shared" ca="1" si="86"/>
        <v>Bakafogó-Honvéd-Sashegy SE</v>
      </c>
      <c r="AI67" s="340">
        <f t="shared" ref="AI67:AI75" ca="1" si="115">AT67</f>
        <v>8</v>
      </c>
      <c r="AJ67" s="338">
        <f t="shared" ca="1" si="87"/>
        <v>54</v>
      </c>
      <c r="AK67" s="338">
        <f t="shared" ca="1" si="88"/>
        <v>73</v>
      </c>
      <c r="AS67" s="341">
        <f t="shared" ca="1" si="89"/>
        <v>10981054.029999999</v>
      </c>
      <c r="AT67" s="377">
        <f ca="1">IF(AW67=0,"",IF(ABS(AS66-AS67)&lt;0.015,AT66,AV67)+6)</f>
        <v>8</v>
      </c>
      <c r="AU67" s="343">
        <f ca="1">IF(NOT($AD$44),0,IF(ASZTAB!$AJ$44,BI67*100,IF(ASZTAB!$AJ$43,BG67*10,BG67))*1000000+IF(ASZTAB!$AJ$52,AY67*10000,0)+IF(ASZTAB!$AJ$44,BE67,BD67)*1000/IF(OR(ASZTAB!AJ$43,ASZTAB!$AJ$52),10,1)+IF(ASZTAB!$AJ$44,0,IF(ASZTAB!AJ$43,BB67/10,BB67))+BJ67+IF($AD$80,BK67,0)-IF(AW67=0,1000000000,0))</f>
        <v>15976047.028999999</v>
      </c>
      <c r="AV67" s="349">
        <v>2</v>
      </c>
      <c r="AW67" s="345" t="str">
        <f ca="1">IF(NOT($AD$44),0,RCSOP!BE70)</f>
        <v>Vakana</v>
      </c>
      <c r="AX67" s="346">
        <f t="shared" ref="AX67:AX75" ca="1" si="116">AY67+AZ67+BA67</f>
        <v>4</v>
      </c>
      <c r="AY67" s="346">
        <f t="shared" ca="1" si="90"/>
        <v>3</v>
      </c>
      <c r="AZ67" s="346">
        <f t="shared" ca="1" si="91"/>
        <v>1</v>
      </c>
      <c r="BA67" s="346">
        <f t="shared" ca="1" si="92"/>
        <v>0</v>
      </c>
      <c r="BB67" s="346">
        <f t="shared" ca="1" si="93"/>
        <v>47</v>
      </c>
      <c r="BC67" s="346">
        <f t="shared" ca="1" si="94"/>
        <v>71</v>
      </c>
      <c r="BD67" s="346">
        <f t="shared" ca="1" si="95"/>
        <v>-24</v>
      </c>
      <c r="BE67" s="347">
        <f t="shared" ca="1" si="96"/>
        <v>0.6619718309859155</v>
      </c>
      <c r="BF67" s="346">
        <f t="shared" ca="1" si="97"/>
        <v>-6</v>
      </c>
      <c r="BG67" s="346">
        <f ca="1">IF(NOT($AD$44),0,ASZTAB!$AJ$48*AY67+AZ67-BF67)</f>
        <v>16</v>
      </c>
      <c r="BH67" s="346">
        <f t="shared" ref="BH67:BH75" ca="1" si="117">IF(NOT($AD$44),0,AY67*2+BA67-BF67)</f>
        <v>12</v>
      </c>
      <c r="BI67" s="347">
        <f t="shared" ref="BI67:BI75" ca="1" si="118">IF(NOT($AD$44),0,IF(AND(AX67=0,BH67=0),0,BH67/(AX67*2+IF($AD$91,$AD$104,0))))</f>
        <v>0.6</v>
      </c>
      <c r="BJ67" s="348">
        <v>2.8999999999999998E-2</v>
      </c>
      <c r="BK67" s="349">
        <f t="shared" ca="1" si="98"/>
        <v>0</v>
      </c>
      <c r="BM67" s="346">
        <f t="shared" ca="1" si="99"/>
        <v>0</v>
      </c>
      <c r="BN67" s="346">
        <f t="shared" ca="1" si="100"/>
        <v>2</v>
      </c>
      <c r="BO67" s="346">
        <f t="shared" ca="1" si="101"/>
        <v>1</v>
      </c>
      <c r="BP67" s="346">
        <f t="shared" ca="1" si="102"/>
        <v>0</v>
      </c>
      <c r="BQ67" s="534">
        <f t="shared" ca="1" si="103"/>
        <v>24</v>
      </c>
      <c r="BR67" s="534">
        <f t="shared" ca="1" si="104"/>
        <v>39</v>
      </c>
      <c r="BT67" s="346">
        <f t="shared" ca="1" si="105"/>
        <v>0</v>
      </c>
      <c r="BU67" s="346">
        <f t="shared" ca="1" si="106"/>
        <v>1</v>
      </c>
      <c r="BV67" s="346">
        <f t="shared" ca="1" si="107"/>
        <v>0</v>
      </c>
      <c r="BW67" s="346">
        <f t="shared" ca="1" si="108"/>
        <v>0</v>
      </c>
      <c r="BX67" s="534">
        <f t="shared" ca="1" si="109"/>
        <v>23</v>
      </c>
      <c r="BY67" s="534">
        <f t="shared" ca="1" si="110"/>
        <v>32</v>
      </c>
      <c r="CB67" s="350"/>
      <c r="CC67" s="353">
        <f ca="1">IF(ASZTAB!$AJ$44,COUNTIF($BI$78:$BI$87,CE67)*IF(OR(CE67=CE66,CE67=0),0,1),COUNTIF($BG$78:$BG$87,CD67)*IF(OR(CD67=CD66,CD67=0),0,1))+CF67/1000</f>
        <v>1.002</v>
      </c>
      <c r="CD67" s="352">
        <f t="shared" ref="CD67:CD75" ca="1" si="119">LARGE($BG$78:$BG$87,CF67)</f>
        <v>11</v>
      </c>
      <c r="CE67" s="353">
        <f t="shared" ref="CE67:CE75" ca="1" si="120">LARGE($BI$78:$BI$87,CF67)</f>
        <v>0.45</v>
      </c>
      <c r="CF67" s="354">
        <v>2</v>
      </c>
      <c r="CG67" s="350"/>
      <c r="CH67" s="355">
        <f ca="1">IF(LARGE(CC66:CC75,CF67)&lt;2,0,LARGE(CC66:CC75,CF67))</f>
        <v>0</v>
      </c>
      <c r="CI67" s="356" t="str">
        <f ca="1">IF(OR(CI65=BG79,CI65=BI79),AW79,"")</f>
        <v/>
      </c>
      <c r="CJ67" s="357" t="str">
        <f t="shared" ca="1" si="111"/>
        <v/>
      </c>
      <c r="CK67" s="358" t="str">
        <f ca="1">IF(ISERR(LARGE(CJ66:CJ75,CF67)),"",LARGE(CJ66:CJ75,CF67))</f>
        <v/>
      </c>
      <c r="CL67" s="356" t="str">
        <f ca="1">IF(OR(CL65=BG79,CL65=BI79),AW79,"")</f>
        <v/>
      </c>
      <c r="CM67" s="357" t="str">
        <f t="shared" ca="1" si="112"/>
        <v/>
      </c>
      <c r="CN67" s="358" t="str">
        <f ca="1">IF(ISERR(LARGE(CM66:CM75,CF67)),"",LARGE(CM66:CM75,CF67))</f>
        <v/>
      </c>
      <c r="CO67" s="356" t="str">
        <f ca="1">IF(OR(CO65=BG79,CO65=BI79),AW79,"")</f>
        <v/>
      </c>
      <c r="CP67" s="357" t="str">
        <f t="shared" ca="1" si="113"/>
        <v/>
      </c>
      <c r="CQ67" s="358" t="str">
        <f ca="1">IF(ISERR(LARGE(CP66:CP75,CF67)),"",LARGE(CP66:CP75,CF67))</f>
        <v/>
      </c>
      <c r="CR67" s="350"/>
      <c r="CS67" s="300"/>
      <c r="CT67" s="395" t="str">
        <f t="shared" ca="1" si="85"/>
        <v/>
      </c>
      <c r="CU67" s="360" t="str">
        <f ca="1">IF(OR(CT67="",DA67="",CT67=DA67,ISNA(VLOOKUP(CONCATENATE(CT67,DA67),games.r,2,FALSE))),"",CONCATENATE(CT67,DA67))</f>
        <v/>
      </c>
      <c r="CV67" s="360" t="str">
        <f ca="1">IF(CU67="","",CONCATENATE(VLOOKUP(CU67,games.r,9,FALSE),VLOOKUP(CU67,games.r,12,FALSE)))</f>
        <v/>
      </c>
      <c r="CW67" s="354" t="str">
        <f ca="1">IF(CU67="","",VLOOKUP(CU67,games.r,10,FALSE))</f>
        <v/>
      </c>
      <c r="CX67" s="354" t="str">
        <f ca="1">IF(CU67="","",VLOOKUP(CU67,games.r,13,FALSE))</f>
        <v/>
      </c>
      <c r="CY67" s="361" t="str">
        <f ca="1">IF(CU67="","",VLOOKUP(CU67,games.r,6,FALSE))</f>
        <v/>
      </c>
      <c r="CZ67" s="362" t="str">
        <f ca="1">IF(CU67="","",VLOOKUP(CU67,games.r,7,FALSE))</f>
        <v/>
      </c>
      <c r="DA67" s="379" t="str">
        <f t="shared" ca="1" si="114"/>
        <v/>
      </c>
      <c r="DB67" s="302"/>
      <c r="DC67" s="364"/>
      <c r="DD67" s="302"/>
      <c r="DF67" s="424"/>
      <c r="DW67" s="424"/>
      <c r="DX67" s="424"/>
      <c r="DY67" s="424"/>
      <c r="DZ67" s="424"/>
      <c r="EA67" s="424"/>
      <c r="EB67" s="424"/>
      <c r="EC67" s="404" t="str">
        <f t="shared" si="84"/>
        <v/>
      </c>
      <c r="ED67" s="360" t="str">
        <f ca="1">IF(OR(EC67="",EJ67="",EC67=EJ67,ISNA(VLOOKUP(CONCATENATE(EC67,EJ67),games.a,2,FALSE))),"",CONCATENATE(EC67,EJ67))</f>
        <v/>
      </c>
      <c r="EE67" s="524" t="str">
        <f ca="1">IF(OR(ED67="",EJ48&gt;2),"",CONCATENATE(VLOOKUP(ED67,games.a,9,FALSE),VLOOKUP(ED67,games.a,12,FALSE)))</f>
        <v/>
      </c>
      <c r="EF67" s="413"/>
      <c r="EG67" s="414"/>
      <c r="EH67" s="525" t="str">
        <f ca="1">IF(ED67="","",VLOOKUP(ED67,games.a,6,FALSE))</f>
        <v/>
      </c>
      <c r="EI67" s="362" t="str">
        <f ca="1">IF(ED67="","",VLOOKUP(ED67,games.a,7,FALSE))</f>
        <v/>
      </c>
      <c r="EJ67" s="526" t="str">
        <f ca="1">EJ66</f>
        <v/>
      </c>
      <c r="EK67" s="527"/>
      <c r="EL67" s="528"/>
      <c r="EM67" s="424"/>
      <c r="EN67" s="424"/>
      <c r="EO67" s="425"/>
      <c r="EP67" s="333"/>
    </row>
    <row r="68" spans="14:146" ht="16.5" hidden="1" customHeight="1" x14ac:dyDescent="0.25">
      <c r="O68" s="508"/>
      <c r="P68" s="848"/>
      <c r="Q68" s="849"/>
      <c r="R68" s="850"/>
      <c r="W68" s="433" t="b">
        <v>1</v>
      </c>
      <c r="AC68" s="232" t="s">
        <v>271</v>
      </c>
      <c r="AD68" s="389" t="b">
        <f>R43&gt;=AD65</f>
        <v>1</v>
      </c>
      <c r="AH68" s="210" t="str">
        <f t="shared" ca="1" si="86"/>
        <v>Bőrdíszmű</v>
      </c>
      <c r="AI68" s="340">
        <f t="shared" ca="1" si="115"/>
        <v>9</v>
      </c>
      <c r="AJ68" s="338">
        <f t="shared" ca="1" si="87"/>
        <v>37</v>
      </c>
      <c r="AK68" s="338">
        <f t="shared" ca="1" si="88"/>
        <v>99</v>
      </c>
      <c r="AS68" s="341">
        <f t="shared" ca="1" si="89"/>
        <v>6938037.0269999998</v>
      </c>
      <c r="AT68" s="377">
        <f t="shared" ref="AT68:AT75" ca="1" si="121">IF(AW68=0,"",IF(ABS(AS67-AS68)&lt;0.015,AT67,AV68)+6)</f>
        <v>9</v>
      </c>
      <c r="AU68" s="343">
        <f ca="1">IF(NOT($AD$44),0,IF(ASZTAB!$AJ$44,BI68*100,IF(ASZTAB!$AJ$43,BG68*10,BG68))*1000000+IF(ASZTAB!$AJ$52,AY68*10000,0)+IF(ASZTAB!$AJ$44,BE68,BD68)*1000/IF(OR(ASZTAB!AJ$43,ASZTAB!$AJ$52),10,1)+IF(ASZTAB!$AJ$44,0,IF(ASZTAB!AJ$43,BB68/10,BB68))+BJ68+IF($AD$80,BK68,0)-IF(AW68=0,1000000000,0))</f>
        <v>3937050.0279999999</v>
      </c>
      <c r="AV68" s="349">
        <v>3</v>
      </c>
      <c r="AW68" s="345" t="str">
        <f ca="1">IF(NOT($AD$44),0,RCSOP!BE71)</f>
        <v>Carbonász</v>
      </c>
      <c r="AX68" s="346">
        <f t="shared" ca="1" si="116"/>
        <v>4</v>
      </c>
      <c r="AY68" s="346">
        <f t="shared" ca="1" si="90"/>
        <v>0</v>
      </c>
      <c r="AZ68" s="346">
        <f t="shared" ca="1" si="91"/>
        <v>2</v>
      </c>
      <c r="BA68" s="346">
        <f t="shared" ca="1" si="92"/>
        <v>2</v>
      </c>
      <c r="BB68" s="346">
        <f t="shared" ca="1" si="93"/>
        <v>50</v>
      </c>
      <c r="BC68" s="346">
        <f t="shared" ca="1" si="94"/>
        <v>113</v>
      </c>
      <c r="BD68" s="346">
        <f t="shared" ca="1" si="95"/>
        <v>-63</v>
      </c>
      <c r="BE68" s="347">
        <f t="shared" ca="1" si="96"/>
        <v>0.44247787610619471</v>
      </c>
      <c r="BF68" s="346">
        <f t="shared" ca="1" si="97"/>
        <v>-2</v>
      </c>
      <c r="BG68" s="346">
        <f ca="1">IF(NOT($AD$44),0,ASZTAB!$AJ$48*AY68+AZ68-BF68)</f>
        <v>4</v>
      </c>
      <c r="BH68" s="346">
        <f t="shared" ca="1" si="117"/>
        <v>4</v>
      </c>
      <c r="BI68" s="347">
        <f t="shared" ca="1" si="118"/>
        <v>0.2</v>
      </c>
      <c r="BJ68" s="348">
        <v>2.7999999999999997E-2</v>
      </c>
      <c r="BK68" s="349">
        <f t="shared" ca="1" si="98"/>
        <v>0</v>
      </c>
      <c r="BM68" s="346">
        <f t="shared" ca="1" si="99"/>
        <v>0</v>
      </c>
      <c r="BN68" s="346">
        <f t="shared" ca="1" si="100"/>
        <v>0</v>
      </c>
      <c r="BO68" s="346">
        <f t="shared" ca="1" si="101"/>
        <v>1</v>
      </c>
      <c r="BP68" s="346">
        <f t="shared" ca="1" si="102"/>
        <v>1</v>
      </c>
      <c r="BQ68" s="534">
        <f t="shared" ca="1" si="103"/>
        <v>27</v>
      </c>
      <c r="BR68" s="534">
        <f t="shared" ca="1" si="104"/>
        <v>57</v>
      </c>
      <c r="BT68" s="346">
        <f t="shared" ca="1" si="105"/>
        <v>0</v>
      </c>
      <c r="BU68" s="346">
        <f t="shared" ca="1" si="106"/>
        <v>0</v>
      </c>
      <c r="BV68" s="346">
        <f t="shared" ca="1" si="107"/>
        <v>1</v>
      </c>
      <c r="BW68" s="346">
        <f t="shared" ca="1" si="108"/>
        <v>1</v>
      </c>
      <c r="BX68" s="534">
        <f t="shared" ca="1" si="109"/>
        <v>23</v>
      </c>
      <c r="BY68" s="534">
        <f t="shared" ca="1" si="110"/>
        <v>56</v>
      </c>
      <c r="CB68" s="350"/>
      <c r="CC68" s="353">
        <f ca="1">IF(ASZTAB!$AJ$44,COUNTIF($BI$78:$BI$87,CE68)*IF(OR(CE68=CE67,CE68=0),0,1),COUNTIF($BG$78:$BG$87,CD68)*IF(OR(CD68=CD67,CD68=0),0,1))+CF68/1000</f>
        <v>1.0029999999999999</v>
      </c>
      <c r="CD68" s="352">
        <f t="shared" ca="1" si="119"/>
        <v>7</v>
      </c>
      <c r="CE68" s="353">
        <f t="shared" ca="1" si="120"/>
        <v>0.35</v>
      </c>
      <c r="CF68" s="354">
        <v>3</v>
      </c>
      <c r="CG68" s="350"/>
      <c r="CH68" s="355">
        <f ca="1">IF(LARGE(CC66:CC75,CF68)&lt;2,0,LARGE(CC66:CC75,CF68))</f>
        <v>0</v>
      </c>
      <c r="CI68" s="356" t="str">
        <f ca="1">IF(OR(CI65=BG80,CI65=BI80),AW80,"")</f>
        <v/>
      </c>
      <c r="CJ68" s="357" t="str">
        <f t="shared" ca="1" si="111"/>
        <v/>
      </c>
      <c r="CK68" s="358" t="str">
        <f ca="1">IF(ISERR(LARGE(CJ66:CJ75,CF68)),"",LARGE(CJ66:CJ75,CF68))</f>
        <v/>
      </c>
      <c r="CL68" s="356" t="str">
        <f ca="1">IF(OR(CL65=BG80,CL65=BI80),AW80,"")</f>
        <v/>
      </c>
      <c r="CM68" s="357" t="str">
        <f t="shared" ca="1" si="112"/>
        <v/>
      </c>
      <c r="CN68" s="358" t="str">
        <f ca="1">IF(ISERR(LARGE(CM66:CM75,CF68)),"",LARGE(CM66:CM75,CF68))</f>
        <v/>
      </c>
      <c r="CO68" s="356" t="str">
        <f ca="1">IF(OR(CO65=BG80,CO65=BI80),AW80,"")</f>
        <v/>
      </c>
      <c r="CP68" s="357" t="str">
        <f t="shared" ca="1" si="113"/>
        <v/>
      </c>
      <c r="CQ68" s="380"/>
      <c r="CR68" s="350"/>
      <c r="CS68" s="300"/>
      <c r="CT68" s="395" t="str">
        <f t="shared" ca="1" si="85"/>
        <v/>
      </c>
      <c r="CU68" s="360" t="str">
        <f ca="1">IF(OR(CT68="",DA68="",CT68=DA68,ISNA(VLOOKUP(CONCATENATE(CT68,DA68),games.r,2,FALSE))),"",CONCATENATE(CT68,DA68))</f>
        <v/>
      </c>
      <c r="CV68" s="360" t="str">
        <f ca="1">IF(CU68="","",CONCATENATE(VLOOKUP(CU68,games.r,9,FALSE),VLOOKUP(CU68,games.r,12,FALSE)))</f>
        <v/>
      </c>
      <c r="CW68" s="354" t="str">
        <f ca="1">IF(CU68="","",VLOOKUP(CU68,games.r,10,FALSE))</f>
        <v/>
      </c>
      <c r="CX68" s="354" t="str">
        <f ca="1">IF(CU68="","",VLOOKUP(CU68,games.r,13,FALSE))</f>
        <v/>
      </c>
      <c r="CY68" s="361" t="str">
        <f ca="1">IF(CU68="","",VLOOKUP(CU68,games.r,6,FALSE))</f>
        <v/>
      </c>
      <c r="CZ68" s="362" t="str">
        <f ca="1">IF(CU68="","",VLOOKUP(CU68,games.r,7,FALSE))</f>
        <v/>
      </c>
      <c r="DA68" s="379" t="str">
        <f t="shared" ca="1" si="114"/>
        <v/>
      </c>
      <c r="DB68" s="302"/>
      <c r="DC68" s="364"/>
      <c r="DD68" s="302"/>
      <c r="DF68" s="424"/>
      <c r="DW68" s="424"/>
      <c r="DX68" s="424"/>
      <c r="DY68" s="424"/>
      <c r="DZ68" s="424"/>
      <c r="EA68" s="424"/>
      <c r="EC68" s="404" t="str">
        <f t="shared" si="84"/>
        <v/>
      </c>
      <c r="ED68" s="360" t="str">
        <f ca="1">IF(OR(EC68="",EJ68="",EC68=EJ68,ISNA(VLOOKUP(CONCATENATE(EC68,EJ68),games.a,2,FALSE))),"",CONCATENATE(EC68,EJ68))</f>
        <v/>
      </c>
      <c r="EE68" s="524" t="str">
        <f ca="1">IF(OR(ED68="",EJ48&gt;2),"",CONCATENATE(VLOOKUP(ED68,games.a,9,FALSE),VLOOKUP(ED68,games.a,12,FALSE)))</f>
        <v/>
      </c>
      <c r="EF68" s="413"/>
      <c r="EG68" s="414"/>
      <c r="EH68" s="525" t="str">
        <f ca="1">IF(ED68="","",VLOOKUP(ED68,games.a,6,FALSE))</f>
        <v/>
      </c>
      <c r="EI68" s="362" t="str">
        <f ca="1">IF(ED68="","",VLOOKUP(ED68,games.a,7,FALSE))</f>
        <v/>
      </c>
      <c r="EJ68" s="526" t="str">
        <f ca="1">EJ67</f>
        <v/>
      </c>
      <c r="EK68" s="527"/>
      <c r="EL68" s="528"/>
      <c r="EM68" s="424"/>
      <c r="EN68" s="424"/>
      <c r="EO68" s="425"/>
      <c r="EP68" s="333"/>
    </row>
    <row r="69" spans="14:146" ht="16.5" hidden="1" customHeight="1" x14ac:dyDescent="0.25">
      <c r="O69" s="508"/>
      <c r="P69" s="848"/>
      <c r="Q69" s="849"/>
      <c r="R69" s="850"/>
      <c r="W69" s="336" t="b">
        <v>0</v>
      </c>
      <c r="AC69" s="232" t="s">
        <v>272</v>
      </c>
      <c r="AD69" s="389" t="b">
        <f>R43&gt;=AD66</f>
        <v>1</v>
      </c>
      <c r="AH69" s="210" t="str">
        <f t="shared" ca="1" si="86"/>
        <v>Carbonász</v>
      </c>
      <c r="AI69" s="340">
        <f t="shared" ca="1" si="115"/>
        <v>10</v>
      </c>
      <c r="AJ69" s="338">
        <f t="shared" ca="1" si="87"/>
        <v>50</v>
      </c>
      <c r="AK69" s="338">
        <f t="shared" ca="1" si="88"/>
        <v>113</v>
      </c>
      <c r="AS69" s="341">
        <f t="shared" ca="1" si="89"/>
        <v>3937050.0279999999</v>
      </c>
      <c r="AT69" s="377">
        <f t="shared" ca="1" si="121"/>
        <v>10</v>
      </c>
      <c r="AU69" s="343">
        <f ca="1">IF(NOT($AD$44),0,IF(ASZTAB!$AJ$44,BI69*100,IF(ASZTAB!$AJ$43,BG69*10,BG69))*1000000+IF(ASZTAB!$AJ$52,AY69*10000,0)+IF(ASZTAB!$AJ$44,BE69,BD69)*1000/IF(OR(ASZTAB!AJ$43,ASZTAB!$AJ$52),10,1)+IF(ASZTAB!$AJ$44,0,IF(ASZTAB!AJ$43,BB69/10,BB69))+BJ69+IF($AD$80,BK69,0)-IF(AW69=0,1000000000,0))</f>
        <v>6938037.0269999998</v>
      </c>
      <c r="AV69" s="349">
        <v>4</v>
      </c>
      <c r="AW69" s="345" t="str">
        <f ca="1">IF(NOT($AD$44),0,RCSOP!BE72)</f>
        <v>Bőrdíszmű</v>
      </c>
      <c r="AX69" s="346">
        <f t="shared" ca="1" si="116"/>
        <v>4</v>
      </c>
      <c r="AY69" s="346">
        <f t="shared" ca="1" si="90"/>
        <v>2</v>
      </c>
      <c r="AZ69" s="346">
        <f t="shared" ca="1" si="91"/>
        <v>0</v>
      </c>
      <c r="BA69" s="346">
        <f t="shared" ca="1" si="92"/>
        <v>2</v>
      </c>
      <c r="BB69" s="346">
        <f t="shared" ca="1" si="93"/>
        <v>37</v>
      </c>
      <c r="BC69" s="346">
        <f t="shared" ca="1" si="94"/>
        <v>99</v>
      </c>
      <c r="BD69" s="346">
        <f t="shared" ca="1" si="95"/>
        <v>-62</v>
      </c>
      <c r="BE69" s="347">
        <f t="shared" ca="1" si="96"/>
        <v>0.37373737373737376</v>
      </c>
      <c r="BF69" s="346">
        <f t="shared" ca="1" si="97"/>
        <v>-1</v>
      </c>
      <c r="BG69" s="346">
        <f ca="1">IF(NOT($AD$44),0,ASZTAB!$AJ$48*AY69+AZ69-BF69)</f>
        <v>7</v>
      </c>
      <c r="BH69" s="346">
        <f t="shared" ca="1" si="117"/>
        <v>7</v>
      </c>
      <c r="BI69" s="347">
        <f t="shared" ca="1" si="118"/>
        <v>0.35</v>
      </c>
      <c r="BJ69" s="348">
        <v>2.6999999999999996E-2</v>
      </c>
      <c r="BK69" s="349">
        <f t="shared" ca="1" si="98"/>
        <v>0</v>
      </c>
      <c r="BM69" s="346">
        <f t="shared" ca="1" si="99"/>
        <v>0</v>
      </c>
      <c r="BN69" s="346">
        <f t="shared" ca="1" si="100"/>
        <v>1</v>
      </c>
      <c r="BO69" s="346">
        <f t="shared" ca="1" si="101"/>
        <v>0</v>
      </c>
      <c r="BP69" s="346">
        <f t="shared" ca="1" si="102"/>
        <v>0</v>
      </c>
      <c r="BQ69" s="534">
        <f t="shared" ca="1" si="103"/>
        <v>14</v>
      </c>
      <c r="BR69" s="534">
        <f t="shared" ca="1" si="104"/>
        <v>52</v>
      </c>
      <c r="BT69" s="346">
        <f t="shared" ca="1" si="105"/>
        <v>0</v>
      </c>
      <c r="BU69" s="346">
        <f t="shared" ca="1" si="106"/>
        <v>1</v>
      </c>
      <c r="BV69" s="346">
        <f t="shared" ca="1" si="107"/>
        <v>0</v>
      </c>
      <c r="BW69" s="346">
        <f t="shared" ca="1" si="108"/>
        <v>2</v>
      </c>
      <c r="BX69" s="534">
        <f t="shared" ca="1" si="109"/>
        <v>23</v>
      </c>
      <c r="BY69" s="534">
        <f t="shared" ca="1" si="110"/>
        <v>47</v>
      </c>
      <c r="CB69" s="350"/>
      <c r="CC69" s="353">
        <f ca="1">IF(ASZTAB!$AJ$44,COUNTIF($BI$78:$BI$87,CE69)*IF(OR(CE69=CE68,CE69=0),0,1),COUNTIF($BG$78:$BG$87,CD69)*IF(OR(CD69=CD68,CD69=0),0,1))+CF69/1000</f>
        <v>1.004</v>
      </c>
      <c r="CD69" s="352">
        <f t="shared" ca="1" si="119"/>
        <v>4</v>
      </c>
      <c r="CE69" s="353">
        <f t="shared" ca="1" si="120"/>
        <v>0.2</v>
      </c>
      <c r="CF69" s="354">
        <v>4</v>
      </c>
      <c r="CG69" s="350"/>
      <c r="CH69" s="300"/>
      <c r="CI69" s="356" t="str">
        <f ca="1">IF(OR(CI65=BG81,CI65=BI81),AW81,"")</f>
        <v/>
      </c>
      <c r="CJ69" s="357" t="str">
        <f t="shared" ca="1" si="111"/>
        <v/>
      </c>
      <c r="CK69" s="358" t="str">
        <f ca="1">IF(ISERR(LARGE(CJ66:CJ75,CF69)),"",LARGE(CJ66:CJ75,CF69))</f>
        <v/>
      </c>
      <c r="CL69" s="356" t="str">
        <f ca="1">IF(OR(CL65=BG81,CL65=BI81),AW81,"")</f>
        <v/>
      </c>
      <c r="CM69" s="357" t="str">
        <f t="shared" ca="1" si="112"/>
        <v/>
      </c>
      <c r="CN69" s="380"/>
      <c r="CO69" s="356" t="str">
        <f ca="1">IF(OR(CO65=BG81,CO65=BI81),AW81,"")</f>
        <v/>
      </c>
      <c r="CP69" s="357" t="str">
        <f t="shared" ca="1" si="113"/>
        <v/>
      </c>
      <c r="CQ69" s="385"/>
      <c r="CR69" s="350"/>
      <c r="CS69" s="300"/>
      <c r="CT69" s="522" t="str">
        <f t="shared" si="85"/>
        <v/>
      </c>
      <c r="CU69" s="371" t="str">
        <f ca="1">IF(OR(CT69="",DA69="",CT69=DA69,ISNA(VLOOKUP(CONCATENATE(CT69,DA69),games.a,2,FALSE))),"",CONCATENATE(CT69,DA69))</f>
        <v/>
      </c>
      <c r="CV69" s="371" t="str">
        <f ca="1">IF(CU69="","",CONCATENATE(VLOOKUP(CU69,games.a,9,FALSE),VLOOKUP(CU69,games.a,12,FALSE)))</f>
        <v/>
      </c>
      <c r="CW69" s="369" t="str">
        <f ca="1">IF(CU69="","",VLOOKUP(CU69,games.a,10,FALSE))</f>
        <v/>
      </c>
      <c r="CX69" s="369" t="str">
        <f ca="1">IF(CU69="","",VLOOKUP(CU69,games.a,13,FALSE))</f>
        <v/>
      </c>
      <c r="CY69" s="423" t="str">
        <f ca="1">IF(CU69="","",VLOOKUP(CU69,games.a,6,FALSE))</f>
        <v/>
      </c>
      <c r="CZ69" s="409" t="str">
        <f ca="1">IF(CU69="","",VLOOKUP(CU69,games.a,7,FALSE))</f>
        <v/>
      </c>
      <c r="DA69" s="523" t="str">
        <f t="shared" ca="1" si="114"/>
        <v/>
      </c>
      <c r="DB69" s="302"/>
      <c r="DC69" s="364"/>
      <c r="DD69" s="302"/>
      <c r="DF69" s="424"/>
      <c r="DW69" s="424"/>
      <c r="DX69" s="424"/>
      <c r="DY69" s="424"/>
      <c r="DZ69" s="424"/>
      <c r="EA69" s="424"/>
      <c r="EB69" s="424"/>
      <c r="EC69" s="424"/>
      <c r="ED69" s="424"/>
      <c r="EE69" s="424"/>
      <c r="EF69" s="424"/>
      <c r="EG69" s="424"/>
      <c r="EH69" s="424"/>
      <c r="EI69" s="424"/>
      <c r="EJ69" s="424"/>
      <c r="EK69" s="424"/>
      <c r="EL69" s="424"/>
      <c r="EM69" s="424"/>
      <c r="EN69" s="424"/>
      <c r="EO69" s="424"/>
      <c r="EP69" s="333"/>
    </row>
    <row r="70" spans="14:146" ht="16.5" customHeight="1" x14ac:dyDescent="0.25">
      <c r="O70" s="507"/>
      <c r="P70" s="845"/>
      <c r="Q70" s="846"/>
      <c r="R70" s="847"/>
      <c r="AC70" s="232" t="s">
        <v>365</v>
      </c>
      <c r="AD70" s="389" t="b">
        <f>R43&gt;=AD67</f>
        <v>1</v>
      </c>
      <c r="AH70" s="210" t="str">
        <f t="shared" ca="1" si="86"/>
        <v>Royal Guard's</v>
      </c>
      <c r="AI70" s="340">
        <f t="shared" ca="1" si="115"/>
        <v>11</v>
      </c>
      <c r="AJ70" s="338">
        <f t="shared" ca="1" si="87"/>
        <v>35</v>
      </c>
      <c r="AK70" s="338">
        <f t="shared" ca="1" si="88"/>
        <v>82</v>
      </c>
      <c r="AS70" s="341">
        <f t="shared" ca="1" si="89"/>
        <v>2953035.0260000001</v>
      </c>
      <c r="AT70" s="377">
        <f t="shared" ca="1" si="121"/>
        <v>11</v>
      </c>
      <c r="AU70" s="343">
        <f ca="1">IF(NOT($AD$44),0,IF(ASZTAB!$AJ$44,BI70*100,IF(ASZTAB!$AJ$43,BG70*10,BG70))*1000000+IF(ASZTAB!$AJ$52,AY70*10000,0)+IF(ASZTAB!$AJ$44,BE70,BD70)*1000/IF(OR(ASZTAB!AJ$43,ASZTAB!$AJ$52),10,1)+IF(ASZTAB!$AJ$44,0,IF(ASZTAB!AJ$43,BB70/10,BB70))+BJ70+IF($AD$80,BK70,0)-IF(AW70=0,1000000000,0))</f>
        <v>2953035.0260000001</v>
      </c>
      <c r="AV70" s="349">
        <v>5</v>
      </c>
      <c r="AW70" s="345" t="str">
        <f ca="1">IF(NOT($AD$44),0,RCSOP!BE73)</f>
        <v>Royal Guard's</v>
      </c>
      <c r="AX70" s="346">
        <f t="shared" ca="1" si="116"/>
        <v>4</v>
      </c>
      <c r="AY70" s="346">
        <f t="shared" ca="1" si="90"/>
        <v>0</v>
      </c>
      <c r="AZ70" s="346">
        <f t="shared" ca="1" si="91"/>
        <v>3</v>
      </c>
      <c r="BA70" s="346">
        <f t="shared" ca="1" si="92"/>
        <v>1</v>
      </c>
      <c r="BB70" s="346">
        <f t="shared" ca="1" si="93"/>
        <v>35</v>
      </c>
      <c r="BC70" s="346">
        <f t="shared" ca="1" si="94"/>
        <v>82</v>
      </c>
      <c r="BD70" s="346">
        <f t="shared" ca="1" si="95"/>
        <v>-47</v>
      </c>
      <c r="BE70" s="347">
        <f t="shared" ca="1" si="96"/>
        <v>0.42682926829268292</v>
      </c>
      <c r="BF70" s="346">
        <f t="shared" ca="1" si="97"/>
        <v>0</v>
      </c>
      <c r="BG70" s="346">
        <f ca="1">IF(NOT($AD$44),0,ASZTAB!$AJ$48*AY70+AZ70-BF70)</f>
        <v>3</v>
      </c>
      <c r="BH70" s="346">
        <f t="shared" ca="1" si="117"/>
        <v>1</v>
      </c>
      <c r="BI70" s="347">
        <f t="shared" ca="1" si="118"/>
        <v>0.05</v>
      </c>
      <c r="BJ70" s="348">
        <v>2.5999999999999995E-2</v>
      </c>
      <c r="BK70" s="349">
        <f t="shared" ca="1" si="98"/>
        <v>0</v>
      </c>
      <c r="BM70" s="346">
        <f t="shared" ca="1" si="99"/>
        <v>0</v>
      </c>
      <c r="BN70" s="346">
        <f t="shared" ca="1" si="100"/>
        <v>0</v>
      </c>
      <c r="BO70" s="346">
        <f t="shared" ca="1" si="101"/>
        <v>0</v>
      </c>
      <c r="BP70" s="346">
        <f t="shared" ca="1" si="102"/>
        <v>0</v>
      </c>
      <c r="BQ70" s="534">
        <f t="shared" ca="1" si="103"/>
        <v>15</v>
      </c>
      <c r="BR70" s="534">
        <f t="shared" ca="1" si="104"/>
        <v>26</v>
      </c>
      <c r="BT70" s="346">
        <f t="shared" ca="1" si="105"/>
        <v>0</v>
      </c>
      <c r="BU70" s="346">
        <f t="shared" ca="1" si="106"/>
        <v>0</v>
      </c>
      <c r="BV70" s="346">
        <f t="shared" ca="1" si="107"/>
        <v>3</v>
      </c>
      <c r="BW70" s="346">
        <f t="shared" ca="1" si="108"/>
        <v>1</v>
      </c>
      <c r="BX70" s="534">
        <f t="shared" ca="1" si="109"/>
        <v>20</v>
      </c>
      <c r="BY70" s="534">
        <f t="shared" ca="1" si="110"/>
        <v>56</v>
      </c>
      <c r="CB70" s="350"/>
      <c r="CC70" s="353">
        <f ca="1">IF(ASZTAB!$AJ$44,COUNTIF($BI$78:$BI$87,CE70)*IF(OR(CE70=CE69,CE70=0),0,1),COUNTIF($BG$78:$BG$87,CD70)*IF(OR(CD70=CD69,CD70=0),0,1))+CF70/1000</f>
        <v>1.0049999999999999</v>
      </c>
      <c r="CD70" s="352">
        <f t="shared" ca="1" si="119"/>
        <v>3</v>
      </c>
      <c r="CE70" s="353">
        <f t="shared" ca="1" si="120"/>
        <v>0.05</v>
      </c>
      <c r="CF70" s="354">
        <v>5</v>
      </c>
      <c r="CG70" s="350"/>
      <c r="CH70" s="300"/>
      <c r="CI70" s="356" t="str">
        <f ca="1">IF(OR(CI65=BG82,CI65=BI82),AW82,"")</f>
        <v/>
      </c>
      <c r="CJ70" s="357" t="str">
        <f t="shared" ca="1" si="111"/>
        <v/>
      </c>
      <c r="CK70" s="358" t="str">
        <f ca="1">IF(ISERR(LARGE(CJ66:CJ75,CF70)),"",LARGE(CJ66:CJ75,CF70))</f>
        <v/>
      </c>
      <c r="CL70" s="356" t="str">
        <f ca="1">IF(OR(CL65=BG82,CL65=BI82),AW82,"")</f>
        <v/>
      </c>
      <c r="CM70" s="357" t="str">
        <f t="shared" ca="1" si="112"/>
        <v/>
      </c>
      <c r="CN70" s="385"/>
      <c r="CO70" s="356" t="str">
        <f ca="1">IF(OR(CO65=BG82,CO65=BI82),AW82,"")</f>
        <v/>
      </c>
      <c r="CP70" s="357" t="str">
        <f t="shared" ca="1" si="113"/>
        <v/>
      </c>
      <c r="CQ70" s="385"/>
      <c r="CR70" s="350"/>
      <c r="CS70" s="300"/>
      <c r="CT70" s="522" t="str">
        <f t="shared" si="85"/>
        <v/>
      </c>
      <c r="CU70" s="371" t="str">
        <f ca="1">IF(OR(CT70="",DA70="",CT70=DA70,ISNA(VLOOKUP(CONCATENATE(CT70,DA70),games.a,2,FALSE))),"",CONCATENATE(CT70,DA70))</f>
        <v/>
      </c>
      <c r="CV70" s="371" t="str">
        <f ca="1">IF(CU70="","",CONCATENATE(VLOOKUP(CU70,games.a,9,FALSE),VLOOKUP(CU70,games.a,12,FALSE)))</f>
        <v/>
      </c>
      <c r="CW70" s="369" t="str">
        <f ca="1">IF(CU70="","",VLOOKUP(CU70,games.a,10,FALSE))</f>
        <v/>
      </c>
      <c r="CX70" s="369" t="str">
        <f ca="1">IF(CU70="","",VLOOKUP(CU70,games.a,13,FALSE))</f>
        <v/>
      </c>
      <c r="CY70" s="423" t="str">
        <f ca="1">IF(CU70="","",VLOOKUP(CU70,games.a,6,FALSE))</f>
        <v/>
      </c>
      <c r="CZ70" s="409" t="str">
        <f ca="1">IF(CU70="","",VLOOKUP(CU70,games.a,7,FALSE))</f>
        <v/>
      </c>
      <c r="DA70" s="523" t="str">
        <f t="shared" ca="1" si="114"/>
        <v/>
      </c>
      <c r="DB70" s="302"/>
      <c r="DC70" s="364"/>
      <c r="DD70" s="302"/>
      <c r="DF70" s="424"/>
      <c r="DG70" s="424"/>
      <c r="DH70" s="424"/>
      <c r="DI70" s="424"/>
      <c r="DJ70" s="424"/>
      <c r="DK70" s="424"/>
      <c r="DL70" s="424"/>
      <c r="DM70" s="424"/>
      <c r="DN70" s="424"/>
      <c r="DO70" s="424"/>
      <c r="DP70" s="424"/>
      <c r="DQ70" s="424"/>
      <c r="DR70" s="424"/>
      <c r="DS70" s="424"/>
      <c r="DT70" s="424"/>
      <c r="DU70" s="424"/>
      <c r="DV70" s="424"/>
      <c r="DW70" s="424"/>
      <c r="DX70" s="424"/>
      <c r="DY70" s="424"/>
      <c r="DZ70" s="424"/>
      <c r="EA70" s="424"/>
      <c r="EB70" s="424"/>
      <c r="EC70" s="424"/>
      <c r="ED70" s="424"/>
      <c r="EE70" s="424"/>
      <c r="EF70" s="424"/>
      <c r="EG70" s="424"/>
      <c r="EH70" s="424"/>
      <c r="EI70" s="424"/>
      <c r="EJ70" s="424"/>
      <c r="EK70" s="424"/>
      <c r="EL70" s="424"/>
      <c r="EM70" s="424"/>
      <c r="EN70" s="424"/>
      <c r="EO70" s="424"/>
      <c r="EP70" s="333"/>
    </row>
    <row r="71" spans="14:146" ht="16.5" customHeight="1" x14ac:dyDescent="0.25">
      <c r="AC71" s="179"/>
      <c r="AD71" s="179"/>
      <c r="AH71" s="210" t="str">
        <f t="shared" ca="1" si="86"/>
        <v>–</v>
      </c>
      <c r="AI71" s="340" t="str">
        <f t="shared" ca="1" si="115"/>
        <v/>
      </c>
      <c r="AJ71" s="338" t="e">
        <f t="shared" ca="1" si="87"/>
        <v>#N/A</v>
      </c>
      <c r="AK71" s="338" t="e">
        <f t="shared" ca="1" si="88"/>
        <v>#N/A</v>
      </c>
      <c r="AS71" s="341">
        <f t="shared" ca="1" si="89"/>
        <v>-999999999.97500002</v>
      </c>
      <c r="AT71" s="377" t="str">
        <f t="shared" ca="1" si="121"/>
        <v/>
      </c>
      <c r="AU71" s="343">
        <f ca="1">IF(NOT($AD$44),0,IF(ASZTAB!$AJ$44,BI71*100,IF(ASZTAB!$AJ$43,BG71*10,BG71))*1000000+IF(ASZTAB!$AJ$52,AY71*10000,0)+IF(ASZTAB!$AJ$44,BE71,BD71)*1000/IF(OR(ASZTAB!AJ$43,ASZTAB!$AJ$52),10,1)+IF(ASZTAB!$AJ$44,0,IF(ASZTAB!AJ$43,BB71/10,BB71))+BJ71+IF($AD$80,BK71,0)-IF(AW71=0,1000000000,0))</f>
        <v>-999999999.97500002</v>
      </c>
      <c r="AV71" s="349">
        <v>6</v>
      </c>
      <c r="AW71" s="345">
        <f ca="1">IF(NOT($AD$44),0,RCSOP!BE74)</f>
        <v>0</v>
      </c>
      <c r="AX71" s="346">
        <f t="shared" ca="1" si="116"/>
        <v>0</v>
      </c>
      <c r="AY71" s="346">
        <f t="shared" ca="1" si="90"/>
        <v>0</v>
      </c>
      <c r="AZ71" s="346">
        <f t="shared" ca="1" si="91"/>
        <v>0</v>
      </c>
      <c r="BA71" s="346">
        <f t="shared" ca="1" si="92"/>
        <v>0</v>
      </c>
      <c r="BB71" s="346">
        <f t="shared" ca="1" si="93"/>
        <v>0</v>
      </c>
      <c r="BC71" s="346">
        <f t="shared" ca="1" si="94"/>
        <v>0</v>
      </c>
      <c r="BD71" s="346">
        <f t="shared" ca="1" si="95"/>
        <v>0</v>
      </c>
      <c r="BE71" s="347">
        <f t="shared" ca="1" si="96"/>
        <v>0</v>
      </c>
      <c r="BF71" s="346">
        <f t="shared" ca="1" si="97"/>
        <v>0</v>
      </c>
      <c r="BG71" s="346">
        <f ca="1">IF(NOT($AD$44),0,ASZTAB!$AJ$48*AY71+AZ71-BF71)</f>
        <v>0</v>
      </c>
      <c r="BH71" s="346">
        <f t="shared" ca="1" si="117"/>
        <v>0</v>
      </c>
      <c r="BI71" s="347">
        <f t="shared" ca="1" si="118"/>
        <v>0</v>
      </c>
      <c r="BJ71" s="348">
        <v>2.5000000000000001E-2</v>
      </c>
      <c r="BK71" s="349">
        <f t="shared" ca="1" si="98"/>
        <v>0</v>
      </c>
      <c r="BM71" s="346">
        <f t="shared" ca="1" si="99"/>
        <v>0</v>
      </c>
      <c r="BN71" s="346">
        <f t="shared" ca="1" si="100"/>
        <v>0</v>
      </c>
      <c r="BO71" s="346">
        <f t="shared" ca="1" si="101"/>
        <v>0</v>
      </c>
      <c r="BP71" s="346">
        <f t="shared" ca="1" si="102"/>
        <v>0</v>
      </c>
      <c r="BQ71" s="534">
        <f t="shared" ca="1" si="103"/>
        <v>0</v>
      </c>
      <c r="BR71" s="534">
        <f t="shared" ca="1" si="104"/>
        <v>0</v>
      </c>
      <c r="BT71" s="346">
        <f t="shared" ca="1" si="105"/>
        <v>0</v>
      </c>
      <c r="BU71" s="346">
        <f t="shared" ca="1" si="106"/>
        <v>0</v>
      </c>
      <c r="BV71" s="346">
        <f t="shared" ca="1" si="107"/>
        <v>0</v>
      </c>
      <c r="BW71" s="346">
        <f t="shared" ca="1" si="108"/>
        <v>0</v>
      </c>
      <c r="BX71" s="534">
        <f t="shared" ca="1" si="109"/>
        <v>0</v>
      </c>
      <c r="BY71" s="534">
        <f t="shared" ca="1" si="110"/>
        <v>0</v>
      </c>
      <c r="CB71" s="350"/>
      <c r="CC71" s="353">
        <f ca="1">IF(ASZTAB!$AJ$44,COUNTIF($BI$78:$BI$87,CE71)*IF(OR(CE71=CE70,CE71=0),0,1),COUNTIF($BG$78:$BG$87,CD71)*IF(OR(CD71=CD70,CD71=0),0,1))+CF71/1000</f>
        <v>6.0000000000000001E-3</v>
      </c>
      <c r="CD71" s="352">
        <f t="shared" ca="1" si="119"/>
        <v>0</v>
      </c>
      <c r="CE71" s="353">
        <f t="shared" ca="1" si="120"/>
        <v>0</v>
      </c>
      <c r="CF71" s="354">
        <v>6</v>
      </c>
      <c r="CG71" s="350"/>
      <c r="CH71" s="300"/>
      <c r="CI71" s="356" t="str">
        <f ca="1">IF(OR(CI65=BG83,CI65=BI83),AW83,"")</f>
        <v/>
      </c>
      <c r="CJ71" s="357" t="str">
        <f t="shared" ca="1" si="111"/>
        <v/>
      </c>
      <c r="CK71" s="380"/>
      <c r="CL71" s="356" t="str">
        <f ca="1">IF(OR(CL65=BG83,CL65=BI83),AW83,"")</f>
        <v/>
      </c>
      <c r="CM71" s="357" t="str">
        <f t="shared" ca="1" si="112"/>
        <v/>
      </c>
      <c r="CN71" s="385"/>
      <c r="CO71" s="356" t="str">
        <f ca="1">IF(OR(CO65=BG83,CO65=BI83),AW83,"")</f>
        <v/>
      </c>
      <c r="CP71" s="357" t="str">
        <f t="shared" ca="1" si="113"/>
        <v/>
      </c>
      <c r="CQ71" s="385"/>
      <c r="CR71" s="350"/>
      <c r="CS71" s="300"/>
      <c r="CT71" s="522" t="str">
        <f t="shared" si="85"/>
        <v/>
      </c>
      <c r="CU71" s="371" t="str">
        <f ca="1">IF(OR(CT71="",DA71="",CT71=DA71,ISNA(VLOOKUP(CONCATENATE(CT71,DA71),games.a,2,FALSE))),"",CONCATENATE(CT71,DA71))</f>
        <v/>
      </c>
      <c r="CV71" s="371" t="str">
        <f ca="1">IF(CU71="","",CONCATENATE(VLOOKUP(CU71,games.a,9,FALSE),VLOOKUP(CU71,games.a,12,FALSE)))</f>
        <v/>
      </c>
      <c r="CW71" s="369" t="str">
        <f ca="1">IF(CU71="","",VLOOKUP(CU71,games.a,10,FALSE))</f>
        <v/>
      </c>
      <c r="CX71" s="369" t="str">
        <f ca="1">IF(CU71="","",VLOOKUP(CU71,games.a,13,FALSE))</f>
        <v/>
      </c>
      <c r="CY71" s="423" t="str">
        <f ca="1">IF(CU71="","",VLOOKUP(CU71,games.a,6,FALSE))</f>
        <v/>
      </c>
      <c r="CZ71" s="409" t="str">
        <f ca="1">IF(CU71="","",VLOOKUP(CU71,games.a,7,FALSE))</f>
        <v/>
      </c>
      <c r="DA71" s="523" t="str">
        <f t="shared" ca="1" si="114"/>
        <v/>
      </c>
      <c r="DB71" s="302"/>
      <c r="DC71" s="364"/>
      <c r="DD71" s="302"/>
      <c r="DF71" s="424"/>
      <c r="DG71" s="424"/>
      <c r="DH71" s="424"/>
      <c r="DI71" s="424"/>
      <c r="DJ71" s="424"/>
      <c r="DK71" s="424"/>
      <c r="DL71" s="424"/>
      <c r="DM71" s="424"/>
      <c r="DN71" s="424"/>
      <c r="DO71" s="424"/>
      <c r="DP71" s="424"/>
      <c r="DQ71" s="424"/>
      <c r="DR71" s="424"/>
      <c r="DS71" s="424"/>
      <c r="DT71" s="424"/>
      <c r="DU71" s="424"/>
      <c r="DV71" s="424"/>
      <c r="DW71" s="424"/>
      <c r="DX71" s="424"/>
      <c r="DY71" s="424"/>
      <c r="DZ71" s="424"/>
      <c r="EA71" s="424"/>
      <c r="EB71" s="424"/>
      <c r="EC71" s="398"/>
      <c r="ED71" s="329" t="s">
        <v>157</v>
      </c>
      <c r="EE71" s="329" t="s">
        <v>158</v>
      </c>
      <c r="EF71" s="399"/>
      <c r="EG71" s="400"/>
      <c r="EH71" s="401" t="s">
        <v>160</v>
      </c>
      <c r="EI71" s="402" t="s">
        <v>135</v>
      </c>
      <c r="EJ71" s="424"/>
      <c r="EK71" s="365"/>
      <c r="EL71" s="365"/>
      <c r="EM71" s="424"/>
      <c r="EN71" s="424"/>
      <c r="EO71" s="425"/>
      <c r="EP71" s="333"/>
    </row>
    <row r="72" spans="14:146" ht="16.5" customHeight="1" x14ac:dyDescent="0.25">
      <c r="AC72" s="232" t="s">
        <v>199</v>
      </c>
      <c r="AD72" s="389" t="b">
        <f ca="1">AND(AD43,(SUM(AX42:AX51)-AD93*AD47)*2/IF(AD47=0,1,AD47)&gt;=AD48)</f>
        <v>0</v>
      </c>
      <c r="AH72" s="210" t="str">
        <f t="shared" ca="1" si="86"/>
        <v>–</v>
      </c>
      <c r="AI72" s="340" t="str">
        <f t="shared" ca="1" si="115"/>
        <v/>
      </c>
      <c r="AJ72" s="338" t="e">
        <f t="shared" ca="1" si="87"/>
        <v>#N/A</v>
      </c>
      <c r="AK72" s="338" t="e">
        <f t="shared" ca="1" si="88"/>
        <v>#N/A</v>
      </c>
      <c r="AS72" s="341">
        <f t="shared" ca="1" si="89"/>
        <v>-999999999.97599995</v>
      </c>
      <c r="AT72" s="377" t="str">
        <f t="shared" ca="1" si="121"/>
        <v/>
      </c>
      <c r="AU72" s="343">
        <f ca="1">IF(NOT($AD$44),0,IF(ASZTAB!$AJ$44,BI72*100,IF(ASZTAB!$AJ$43,BG72*10,BG72))*1000000+IF(ASZTAB!$AJ$52,AY72*10000,0)+IF(ASZTAB!$AJ$44,BE72,BD72)*1000/IF(OR(ASZTAB!AJ$43,ASZTAB!$AJ$52),10,1)+IF(ASZTAB!$AJ$44,0,IF(ASZTAB!AJ$43,BB72/10,BB72))+BJ72+IF($AD$80,BK72,0)-IF(AW72=0,1000000000,0))</f>
        <v>-999999999.97599995</v>
      </c>
      <c r="AV72" s="349">
        <v>7</v>
      </c>
      <c r="AW72" s="345">
        <f ca="1">IF(NOT($AD$44),0,RCSOP!BE75)</f>
        <v>0</v>
      </c>
      <c r="AX72" s="346">
        <f t="shared" ca="1" si="116"/>
        <v>0</v>
      </c>
      <c r="AY72" s="346">
        <f t="shared" ca="1" si="90"/>
        <v>0</v>
      </c>
      <c r="AZ72" s="346">
        <f t="shared" ca="1" si="91"/>
        <v>0</v>
      </c>
      <c r="BA72" s="346">
        <f t="shared" ca="1" si="92"/>
        <v>0</v>
      </c>
      <c r="BB72" s="346">
        <f t="shared" ca="1" si="93"/>
        <v>0</v>
      </c>
      <c r="BC72" s="346">
        <f t="shared" ca="1" si="94"/>
        <v>0</v>
      </c>
      <c r="BD72" s="346">
        <f t="shared" ca="1" si="95"/>
        <v>0</v>
      </c>
      <c r="BE72" s="347">
        <f t="shared" ca="1" si="96"/>
        <v>0</v>
      </c>
      <c r="BF72" s="346">
        <f t="shared" ca="1" si="97"/>
        <v>0</v>
      </c>
      <c r="BG72" s="346">
        <f ca="1">IF(NOT($AD$44),0,ASZTAB!$AJ$48*AY72+AZ72-BF72)</f>
        <v>0</v>
      </c>
      <c r="BH72" s="346">
        <f t="shared" ca="1" si="117"/>
        <v>0</v>
      </c>
      <c r="BI72" s="347">
        <f t="shared" ca="1" si="118"/>
        <v>0</v>
      </c>
      <c r="BJ72" s="348">
        <v>2.3999999999999994E-2</v>
      </c>
      <c r="BK72" s="349">
        <f t="shared" ca="1" si="98"/>
        <v>0</v>
      </c>
      <c r="BM72" s="346">
        <f t="shared" ca="1" si="99"/>
        <v>0</v>
      </c>
      <c r="BN72" s="346">
        <f t="shared" ca="1" si="100"/>
        <v>0</v>
      </c>
      <c r="BO72" s="346">
        <f t="shared" ca="1" si="101"/>
        <v>0</v>
      </c>
      <c r="BP72" s="346">
        <f t="shared" ca="1" si="102"/>
        <v>0</v>
      </c>
      <c r="BQ72" s="534">
        <f t="shared" ca="1" si="103"/>
        <v>0</v>
      </c>
      <c r="BR72" s="534">
        <f t="shared" ca="1" si="104"/>
        <v>0</v>
      </c>
      <c r="BT72" s="346">
        <f t="shared" ca="1" si="105"/>
        <v>0</v>
      </c>
      <c r="BU72" s="346">
        <f t="shared" ca="1" si="106"/>
        <v>0</v>
      </c>
      <c r="BV72" s="346">
        <f t="shared" ca="1" si="107"/>
        <v>0</v>
      </c>
      <c r="BW72" s="346">
        <f t="shared" ca="1" si="108"/>
        <v>0</v>
      </c>
      <c r="BX72" s="534">
        <f t="shared" ca="1" si="109"/>
        <v>0</v>
      </c>
      <c r="BY72" s="534">
        <f t="shared" ca="1" si="110"/>
        <v>0</v>
      </c>
      <c r="CB72" s="350"/>
      <c r="CC72" s="353">
        <f ca="1">IF(ASZTAB!$AJ$44,COUNTIF($BI$78:$BI$87,CE72)*IF(OR(CE72=CE71,CE72=0),0,1),COUNTIF($BG$78:$BG$87,CD72)*IF(OR(CD72=CD71,CD72=0),0,1))+CF72/1000</f>
        <v>7.0000000000000001E-3</v>
      </c>
      <c r="CD72" s="352">
        <f t="shared" ca="1" si="119"/>
        <v>0</v>
      </c>
      <c r="CE72" s="353">
        <f t="shared" ca="1" si="120"/>
        <v>0</v>
      </c>
      <c r="CF72" s="354">
        <v>7</v>
      </c>
      <c r="CG72" s="350"/>
      <c r="CH72" s="300"/>
      <c r="CI72" s="356" t="str">
        <f ca="1">IF(OR(CI65=BG84,CI65=BI84),AW84,"")</f>
        <v/>
      </c>
      <c r="CJ72" s="357" t="str">
        <f t="shared" ca="1" si="111"/>
        <v/>
      </c>
      <c r="CK72" s="385"/>
      <c r="CL72" s="356" t="str">
        <f ca="1">IF(OR(CL65=BG84,CL65=BI84),AW84,"")</f>
        <v/>
      </c>
      <c r="CM72" s="357" t="str">
        <f t="shared" ca="1" si="112"/>
        <v/>
      </c>
      <c r="CN72" s="385"/>
      <c r="CO72" s="356" t="str">
        <f ca="1">IF(OR(CO65=BG84,CO65=BI84),AW84,"")</f>
        <v/>
      </c>
      <c r="CP72" s="357" t="str">
        <f t="shared" ca="1" si="113"/>
        <v/>
      </c>
      <c r="CQ72" s="385"/>
      <c r="CR72" s="350"/>
      <c r="CS72" s="300"/>
      <c r="CT72" s="522" t="str">
        <f t="shared" si="85"/>
        <v/>
      </c>
      <c r="CU72" s="371" t="str">
        <f ca="1">IF(OR(CT72="",DA72="",CT72=DA72,ISNA(VLOOKUP(CONCATENATE(CT72,DA72),games.a,2,FALSE))),"",CONCATENATE(CT72,DA72))</f>
        <v/>
      </c>
      <c r="CV72" s="371" t="str">
        <f ca="1">IF(CU72="","",CONCATENATE(VLOOKUP(CU72,games.a,9,FALSE),VLOOKUP(CU72,games.a,12,FALSE)))</f>
        <v/>
      </c>
      <c r="CW72" s="369" t="str">
        <f ca="1">IF(CU72="","",VLOOKUP(CU72,games.a,10,FALSE))</f>
        <v/>
      </c>
      <c r="CX72" s="369" t="str">
        <f ca="1">IF(CU72="","",VLOOKUP(CU72,games.a,13,FALSE))</f>
        <v/>
      </c>
      <c r="CY72" s="423" t="str">
        <f ca="1">IF(CU72="","",VLOOKUP(CU72,games.a,6,FALSE))</f>
        <v/>
      </c>
      <c r="CZ72" s="409" t="str">
        <f ca="1">IF(CU72="","",VLOOKUP(CU72,games.a,7,FALSE))</f>
        <v/>
      </c>
      <c r="DA72" s="523" t="str">
        <f t="shared" ca="1" si="114"/>
        <v/>
      </c>
      <c r="DB72" s="302"/>
      <c r="DC72" s="364"/>
      <c r="DD72" s="302"/>
      <c r="DF72" s="424"/>
      <c r="DG72" s="424"/>
      <c r="DH72" s="424"/>
      <c r="DI72" s="424"/>
      <c r="DJ72" s="424"/>
      <c r="DK72" s="424"/>
      <c r="DL72" s="424"/>
      <c r="DM72" s="424"/>
      <c r="DN72" s="424"/>
      <c r="DO72" s="424"/>
      <c r="DP72" s="424"/>
      <c r="DQ72" s="424"/>
      <c r="DR72" s="424"/>
      <c r="DS72" s="424"/>
      <c r="DT72" s="424"/>
      <c r="DU72" s="424"/>
      <c r="DV72" s="424"/>
      <c r="DW72" s="424"/>
      <c r="DX72" s="424"/>
      <c r="DY72" s="424"/>
      <c r="DZ72" s="424"/>
      <c r="EA72" s="424"/>
      <c r="EB72" s="424"/>
      <c r="EC72" s="404" t="str">
        <f ca="1">IF(EI42="","",VLOOKUP(EI42,yyy.rr1,7,FALSE))</f>
        <v/>
      </c>
      <c r="ED72" s="371" t="str">
        <f ca="1">IF(OR(EC72="",EJ72="",EC72=EJ72,ISNA(VLOOKUP(CONCATENATE(EC72,EJ72),games.r,2,FALSE))),"",CONCATENATE(EC72,EJ72))</f>
        <v/>
      </c>
      <c r="EE72" s="371" t="str">
        <f ca="1">IF(ED72="","",CONCATENATE(VLOOKUP(ED72,games.r,9,FALSE),VLOOKUP(ED72,games.r,12,FALSE)))</f>
        <v/>
      </c>
      <c r="EF72" s="406"/>
      <c r="EG72" s="407"/>
      <c r="EH72" s="408" t="str">
        <f ca="1">IF(ED72="","",VLOOKUP(ED72,games.r,6,FALSE))</f>
        <v/>
      </c>
      <c r="EI72" s="409" t="str">
        <f ca="1">IF(ED72="","",VLOOKUP(ED72,games.r,7,FALSE))</f>
        <v/>
      </c>
      <c r="EJ72" s="410" t="str">
        <f ca="1">EC72</f>
        <v/>
      </c>
      <c r="EK72" s="411"/>
      <c r="EL72" s="412"/>
      <c r="EM72" s="424"/>
      <c r="EN72" s="424"/>
      <c r="EO72" s="425"/>
      <c r="EP72" s="333"/>
    </row>
    <row r="73" spans="14:146" ht="16.5" customHeight="1" x14ac:dyDescent="0.25">
      <c r="AC73" s="232" t="s">
        <v>200</v>
      </c>
      <c r="AD73" s="389" t="b">
        <f ca="1">AND(AD43,SUM(AX54:AX63)/IF(AD47=0,1,AD47)=AD48+AD93)</f>
        <v>0</v>
      </c>
      <c r="AH73" s="210" t="str">
        <f t="shared" ca="1" si="86"/>
        <v>–</v>
      </c>
      <c r="AI73" s="340" t="str">
        <f t="shared" ca="1" si="115"/>
        <v/>
      </c>
      <c r="AJ73" s="338" t="e">
        <f t="shared" ca="1" si="87"/>
        <v>#N/A</v>
      </c>
      <c r="AK73" s="338" t="e">
        <f t="shared" ca="1" si="88"/>
        <v>#N/A</v>
      </c>
      <c r="AS73" s="341">
        <f t="shared" ca="1" si="89"/>
        <v>-999999999.977</v>
      </c>
      <c r="AT73" s="377" t="str">
        <f t="shared" ca="1" si="121"/>
        <v/>
      </c>
      <c r="AU73" s="343">
        <f ca="1">IF(NOT($AD$44),0,IF(ASZTAB!$AJ$44,BI73*100,IF(ASZTAB!$AJ$43,BG73*10,BG73))*1000000+IF(ASZTAB!$AJ$52,AY73*10000,0)+IF(ASZTAB!$AJ$44,BE73,BD73)*1000/IF(OR(ASZTAB!AJ$43,ASZTAB!$AJ$52),10,1)+IF(ASZTAB!$AJ$44,0,IF(ASZTAB!AJ$43,BB73/10,BB73))+BJ73+IF($AD$80,BK73,0)-IF(AW73=0,1000000000,0))</f>
        <v>-999999999.977</v>
      </c>
      <c r="AV73" s="349">
        <v>8</v>
      </c>
      <c r="AW73" s="345">
        <f ca="1">IF(NOT($AD$44),0,RCSOP!BE76)</f>
        <v>0</v>
      </c>
      <c r="AX73" s="346">
        <f t="shared" ca="1" si="116"/>
        <v>0</v>
      </c>
      <c r="AY73" s="346">
        <f t="shared" ca="1" si="90"/>
        <v>0</v>
      </c>
      <c r="AZ73" s="346">
        <f t="shared" ca="1" si="91"/>
        <v>0</v>
      </c>
      <c r="BA73" s="346">
        <f t="shared" ca="1" si="92"/>
        <v>0</v>
      </c>
      <c r="BB73" s="346">
        <f t="shared" ca="1" si="93"/>
        <v>0</v>
      </c>
      <c r="BC73" s="346">
        <f t="shared" ca="1" si="94"/>
        <v>0</v>
      </c>
      <c r="BD73" s="346">
        <f t="shared" ca="1" si="95"/>
        <v>0</v>
      </c>
      <c r="BE73" s="347">
        <f t="shared" ca="1" si="96"/>
        <v>0</v>
      </c>
      <c r="BF73" s="346">
        <f t="shared" ca="1" si="97"/>
        <v>0</v>
      </c>
      <c r="BG73" s="346">
        <f ca="1">IF(NOT($AD$44),0,ASZTAB!$AJ$48*AY73+AZ73-BF73)</f>
        <v>0</v>
      </c>
      <c r="BH73" s="346">
        <f t="shared" ca="1" si="117"/>
        <v>0</v>
      </c>
      <c r="BI73" s="347">
        <f t="shared" ca="1" si="118"/>
        <v>0</v>
      </c>
      <c r="BJ73" s="348">
        <v>2.2999999999999993E-2</v>
      </c>
      <c r="BK73" s="349">
        <f t="shared" ca="1" si="98"/>
        <v>0</v>
      </c>
      <c r="BM73" s="346">
        <f t="shared" ca="1" si="99"/>
        <v>0</v>
      </c>
      <c r="BN73" s="346">
        <f t="shared" ca="1" si="100"/>
        <v>0</v>
      </c>
      <c r="BO73" s="346">
        <f t="shared" ca="1" si="101"/>
        <v>0</v>
      </c>
      <c r="BP73" s="346">
        <f t="shared" ca="1" si="102"/>
        <v>0</v>
      </c>
      <c r="BQ73" s="534">
        <f t="shared" ca="1" si="103"/>
        <v>0</v>
      </c>
      <c r="BR73" s="534">
        <f t="shared" ca="1" si="104"/>
        <v>0</v>
      </c>
      <c r="BT73" s="346">
        <f t="shared" ca="1" si="105"/>
        <v>0</v>
      </c>
      <c r="BU73" s="346">
        <f t="shared" ca="1" si="106"/>
        <v>0</v>
      </c>
      <c r="BV73" s="346">
        <f t="shared" ca="1" si="107"/>
        <v>0</v>
      </c>
      <c r="BW73" s="346">
        <f t="shared" ca="1" si="108"/>
        <v>0</v>
      </c>
      <c r="BX73" s="534">
        <f t="shared" ca="1" si="109"/>
        <v>0</v>
      </c>
      <c r="BY73" s="534">
        <f t="shared" ca="1" si="110"/>
        <v>0</v>
      </c>
      <c r="CB73" s="350"/>
      <c r="CC73" s="353">
        <f ca="1">IF(ASZTAB!$AJ$44,COUNTIF($BI$78:$BI$87,CE73)*IF(OR(CE73=CE72,CE73=0),0,1),COUNTIF($BG$78:$BG$87,CD73)*IF(OR(CD73=CD72,CD73=0),0,1))+CF73/1000</f>
        <v>8.0000000000000002E-3</v>
      </c>
      <c r="CD73" s="352">
        <f t="shared" ca="1" si="119"/>
        <v>0</v>
      </c>
      <c r="CE73" s="353">
        <f t="shared" ca="1" si="120"/>
        <v>0</v>
      </c>
      <c r="CF73" s="354">
        <v>8</v>
      </c>
      <c r="CG73" s="350"/>
      <c r="CH73" s="300"/>
      <c r="CI73" s="356" t="str">
        <f ca="1">IF(OR(CI65=BG85,CI65=BI85),AW85,"")</f>
        <v/>
      </c>
      <c r="CJ73" s="357" t="str">
        <f t="shared" ca="1" si="111"/>
        <v/>
      </c>
      <c r="CK73" s="385"/>
      <c r="CL73" s="356" t="str">
        <f ca="1">IF(OR(CL65=BG85,CL65=BI85),AW85,"")</f>
        <v/>
      </c>
      <c r="CM73" s="357" t="str">
        <f t="shared" ca="1" si="112"/>
        <v/>
      </c>
      <c r="CN73" s="385"/>
      <c r="CO73" s="356" t="str">
        <f ca="1">IF(OR(CO65=BG85,CO65=BI85),AW85,"")</f>
        <v/>
      </c>
      <c r="CP73" s="357" t="str">
        <f t="shared" ca="1" si="113"/>
        <v/>
      </c>
      <c r="CQ73" s="385"/>
      <c r="CR73" s="350"/>
      <c r="CS73" s="300"/>
      <c r="CT73" s="522" t="str">
        <f t="shared" si="85"/>
        <v/>
      </c>
      <c r="CU73" s="371" t="str">
        <f ca="1">IF(OR(CT73="",DA73="",CT73=DA73,ISNA(VLOOKUP(CONCATENATE(CT73,DA73),games.a,2,FALSE))),"",CONCATENATE(CT73,DA73))</f>
        <v/>
      </c>
      <c r="CV73" s="371" t="str">
        <f ca="1">IF(CU73="","",CONCATENATE(VLOOKUP(CU73,games.a,9,FALSE),VLOOKUP(CU73,games.a,12,FALSE)))</f>
        <v/>
      </c>
      <c r="CW73" s="369" t="str">
        <f ca="1">IF(CU73="","",VLOOKUP(CU73,games.a,10,FALSE))</f>
        <v/>
      </c>
      <c r="CX73" s="369" t="str">
        <f ca="1">IF(CU73="","",VLOOKUP(CU73,games.a,13,FALSE))</f>
        <v/>
      </c>
      <c r="CY73" s="423" t="str">
        <f ca="1">IF(CU73="","",VLOOKUP(CU73,games.a,6,FALSE))</f>
        <v/>
      </c>
      <c r="CZ73" s="409" t="str">
        <f ca="1">IF(CU73="","",VLOOKUP(CU73,games.a,7,FALSE))</f>
        <v/>
      </c>
      <c r="DA73" s="523" t="str">
        <f t="shared" ca="1" si="114"/>
        <v/>
      </c>
      <c r="DB73" s="302"/>
      <c r="DC73" s="364"/>
      <c r="DD73" s="302"/>
      <c r="DF73" s="424"/>
      <c r="DG73" s="424"/>
      <c r="DH73" s="424"/>
      <c r="DI73" s="424"/>
      <c r="DJ73" s="424"/>
      <c r="DK73" s="424"/>
      <c r="DL73" s="424"/>
      <c r="DM73" s="424"/>
      <c r="DN73" s="424"/>
      <c r="DO73" s="424"/>
      <c r="DP73" s="424"/>
      <c r="DQ73" s="424"/>
      <c r="DR73" s="424"/>
      <c r="DS73" s="424"/>
      <c r="DT73" s="424"/>
      <c r="DU73" s="424"/>
      <c r="DV73" s="424"/>
      <c r="DW73" s="424"/>
      <c r="DX73" s="424"/>
      <c r="DY73" s="424"/>
      <c r="DZ73" s="424"/>
      <c r="EA73" s="424"/>
      <c r="EB73" s="424"/>
      <c r="EC73" s="404" t="str">
        <f ca="1">IF(EI43="","",VLOOKUP(EI43,yyy.rr1,7,FALSE))</f>
        <v/>
      </c>
      <c r="ED73" s="371" t="str">
        <f ca="1">IF(OR(EC73="",EJ73="",EC73=EJ73,ISNA(VLOOKUP(CONCATENATE(EC73,EJ73),games.r,2,FALSE))),"",CONCATENATE(EC73,EJ73))</f>
        <v/>
      </c>
      <c r="EE73" s="371" t="str">
        <f ca="1">IF(ED73="","",CONCATENATE(VLOOKUP(ED73,games.r,9,FALSE),VLOOKUP(ED73,games.r,12,FALSE)))</f>
        <v/>
      </c>
      <c r="EF73" s="413"/>
      <c r="EG73" s="414"/>
      <c r="EH73" s="408" t="str">
        <f ca="1">IF(ED73="","",VLOOKUP(ED73,games.r,6,FALSE))</f>
        <v/>
      </c>
      <c r="EI73" s="409" t="str">
        <f ca="1">IF(ED73="","",VLOOKUP(ED73,games.r,7,FALSE))</f>
        <v/>
      </c>
      <c r="EJ73" s="415" t="str">
        <f ca="1">EJ72</f>
        <v/>
      </c>
      <c r="EK73" s="416"/>
      <c r="EL73" s="417"/>
      <c r="EM73" s="424"/>
      <c r="EN73" s="424"/>
      <c r="EO73" s="425"/>
      <c r="EP73" s="333"/>
    </row>
    <row r="74" spans="14:146" ht="16.5" customHeight="1" x14ac:dyDescent="0.25">
      <c r="AC74" s="232" t="s">
        <v>201</v>
      </c>
      <c r="AD74" s="389" t="b">
        <f ca="1">AND(AD43,$AD$57=1,$AD$63,OR(IF(ASZTAB!$AJ$44,TRUE,$AD$72),$AD$94,AD95),OR(ASZTAB!$AJ$53,ASZTAB!$AJ$54))</f>
        <v>1</v>
      </c>
      <c r="AE74" s="532"/>
      <c r="AG74" s="532"/>
      <c r="AH74" s="210" t="str">
        <f t="shared" ca="1" si="86"/>
        <v>–</v>
      </c>
      <c r="AI74" s="340" t="str">
        <f t="shared" ca="1" si="115"/>
        <v/>
      </c>
      <c r="AJ74" s="338" t="e">
        <f t="shared" ca="1" si="87"/>
        <v>#N/A</v>
      </c>
      <c r="AK74" s="338" t="e">
        <f t="shared" ca="1" si="88"/>
        <v>#N/A</v>
      </c>
      <c r="AL74" s="532"/>
      <c r="AS74" s="341">
        <f t="shared" ca="1" si="89"/>
        <v>-999999999.97800004</v>
      </c>
      <c r="AT74" s="377" t="str">
        <f t="shared" ca="1" si="121"/>
        <v/>
      </c>
      <c r="AU74" s="343">
        <f ca="1">IF(NOT($AD$44),0,IF(ASZTAB!$AJ$44,BI74*100,IF(ASZTAB!$AJ$43,BG74*10,BG74))*1000000+IF(ASZTAB!$AJ$52,AY74*10000,0)+IF(ASZTAB!$AJ$44,BE74,BD74)*1000/IF(OR(ASZTAB!AJ$43,ASZTAB!$AJ$52),10,1)+IF(ASZTAB!$AJ$44,0,IF(ASZTAB!AJ$43,BB74/10,BB74))+BJ74+IF($AD$80,BK74,0)-IF(AW74=0,1000000000,0))</f>
        <v>-999999999.97800004</v>
      </c>
      <c r="AV74" s="349">
        <v>9</v>
      </c>
      <c r="AW74" s="345">
        <f ca="1">IF(NOT($AD$44),0,RCSOP!BE77)</f>
        <v>0</v>
      </c>
      <c r="AX74" s="346">
        <f t="shared" ca="1" si="116"/>
        <v>0</v>
      </c>
      <c r="AY74" s="346">
        <f t="shared" ca="1" si="90"/>
        <v>0</v>
      </c>
      <c r="AZ74" s="346">
        <f t="shared" ca="1" si="91"/>
        <v>0</v>
      </c>
      <c r="BA74" s="346">
        <f t="shared" ca="1" si="92"/>
        <v>0</v>
      </c>
      <c r="BB74" s="346">
        <f t="shared" ca="1" si="93"/>
        <v>0</v>
      </c>
      <c r="BC74" s="346">
        <f t="shared" ca="1" si="94"/>
        <v>0</v>
      </c>
      <c r="BD74" s="346">
        <f t="shared" ca="1" si="95"/>
        <v>0</v>
      </c>
      <c r="BE74" s="347">
        <f t="shared" ca="1" si="96"/>
        <v>0</v>
      </c>
      <c r="BF74" s="346">
        <f t="shared" ca="1" si="97"/>
        <v>0</v>
      </c>
      <c r="BG74" s="346">
        <f ca="1">IF(NOT($AD$44),0,ASZTAB!$AJ$48*AY74+AZ74-BF74)</f>
        <v>0</v>
      </c>
      <c r="BH74" s="346">
        <f t="shared" ca="1" si="117"/>
        <v>0</v>
      </c>
      <c r="BI74" s="347">
        <f t="shared" ca="1" si="118"/>
        <v>0</v>
      </c>
      <c r="BJ74" s="348">
        <v>2.1999999999999992E-2</v>
      </c>
      <c r="BK74" s="349">
        <f t="shared" ca="1" si="98"/>
        <v>0</v>
      </c>
      <c r="BM74" s="346">
        <f t="shared" ca="1" si="99"/>
        <v>0</v>
      </c>
      <c r="BN74" s="346">
        <f t="shared" ca="1" si="100"/>
        <v>0</v>
      </c>
      <c r="BO74" s="346">
        <f t="shared" ca="1" si="101"/>
        <v>0</v>
      </c>
      <c r="BP74" s="346">
        <f t="shared" ca="1" si="102"/>
        <v>0</v>
      </c>
      <c r="BQ74" s="534">
        <f t="shared" ca="1" si="103"/>
        <v>0</v>
      </c>
      <c r="BR74" s="534">
        <f t="shared" ca="1" si="104"/>
        <v>0</v>
      </c>
      <c r="BT74" s="346">
        <f t="shared" ca="1" si="105"/>
        <v>0</v>
      </c>
      <c r="BU74" s="346">
        <f t="shared" ca="1" si="106"/>
        <v>0</v>
      </c>
      <c r="BV74" s="346">
        <f t="shared" ca="1" si="107"/>
        <v>0</v>
      </c>
      <c r="BW74" s="346">
        <f t="shared" ca="1" si="108"/>
        <v>0</v>
      </c>
      <c r="BX74" s="534">
        <f t="shared" ca="1" si="109"/>
        <v>0</v>
      </c>
      <c r="BY74" s="534">
        <f t="shared" ca="1" si="110"/>
        <v>0</v>
      </c>
      <c r="CB74" s="350"/>
      <c r="CC74" s="353">
        <f ca="1">IF(ASZTAB!$AJ$44,COUNTIF($BI$78:$BI$87,CE74)*IF(OR(CE74=CE73,CE74=0),0,1),COUNTIF($BG$78:$BG$87,CD74)*IF(OR(CD74=CD73,CD74=0),0,1))+CF74/1000</f>
        <v>8.9999999999999993E-3</v>
      </c>
      <c r="CD74" s="352">
        <f t="shared" ca="1" si="119"/>
        <v>0</v>
      </c>
      <c r="CE74" s="353">
        <f t="shared" ca="1" si="120"/>
        <v>0</v>
      </c>
      <c r="CF74" s="354">
        <v>9</v>
      </c>
      <c r="CG74" s="350"/>
      <c r="CH74" s="300"/>
      <c r="CI74" s="356" t="str">
        <f ca="1">IF(OR(CI65=BG86,CI65=BI86),AW86,"")</f>
        <v/>
      </c>
      <c r="CJ74" s="357" t="str">
        <f t="shared" ca="1" si="111"/>
        <v/>
      </c>
      <c r="CK74" s="385"/>
      <c r="CL74" s="356" t="str">
        <f ca="1">IF(OR(CL65=BG86,CL65=BI86),AW86,"")</f>
        <v/>
      </c>
      <c r="CM74" s="357" t="str">
        <f t="shared" ca="1" si="112"/>
        <v/>
      </c>
      <c r="CN74" s="385"/>
      <c r="CO74" s="356" t="str">
        <f ca="1">IF(OR(CO65=BG86,CO65=BI86),AW86,"")</f>
        <v/>
      </c>
      <c r="CP74" s="357" t="str">
        <f t="shared" ca="1" si="113"/>
        <v/>
      </c>
      <c r="CQ74" s="385"/>
      <c r="CR74" s="350"/>
      <c r="CS74" s="300"/>
      <c r="CT74" s="301"/>
      <c r="CU74" s="324" t="s">
        <v>157</v>
      </c>
      <c r="CV74" s="324" t="s">
        <v>158</v>
      </c>
      <c r="CW74" s="325" t="s">
        <v>159</v>
      </c>
      <c r="CX74" s="325"/>
      <c r="CY74" s="326" t="s">
        <v>160</v>
      </c>
      <c r="CZ74" s="325" t="s">
        <v>135</v>
      </c>
      <c r="DA74" s="302"/>
      <c r="DB74" s="302"/>
      <c r="DC74" s="364"/>
      <c r="DD74" s="302"/>
      <c r="DF74" s="424"/>
      <c r="DG74" s="424"/>
      <c r="DH74" s="424"/>
      <c r="DI74" s="424"/>
      <c r="DJ74" s="424"/>
      <c r="DK74" s="424"/>
      <c r="DL74" s="424"/>
      <c r="DM74" s="424"/>
      <c r="DN74" s="424"/>
      <c r="DO74" s="424"/>
      <c r="DP74" s="424"/>
      <c r="DQ74" s="424"/>
      <c r="DR74" s="424"/>
      <c r="DS74" s="424"/>
      <c r="DT74" s="424"/>
      <c r="DU74" s="424"/>
      <c r="DV74" s="424"/>
      <c r="DW74" s="424"/>
      <c r="DX74" s="424"/>
      <c r="DY74" s="424"/>
      <c r="DZ74" s="424"/>
      <c r="EA74" s="424"/>
      <c r="EB74" s="424"/>
      <c r="EC74" s="404" t="str">
        <f>IF(NOT($AD$98),"",EC72)</f>
        <v/>
      </c>
      <c r="ED74" s="360" t="str">
        <f ca="1">IF(OR(EC74="",EJ74="",EC74=EJ74,ISNA(VLOOKUP(CONCATENATE(EC74,EJ74),games.a,2,FALSE))),"",CONCATENATE(EC74,EJ74))</f>
        <v/>
      </c>
      <c r="EE74" s="360" t="str">
        <f ca="1">IF(ED74="","",CONCATENATE(VLOOKUP(ED74,games.a,9,FALSE),VLOOKUP(ED74,games.a,12,FALSE)))</f>
        <v/>
      </c>
      <c r="EF74" s="413"/>
      <c r="EG74" s="414"/>
      <c r="EH74" s="525" t="str">
        <f ca="1">IF(ED74="","",VLOOKUP(ED74,games.a,6,FALSE))</f>
        <v/>
      </c>
      <c r="EI74" s="362" t="str">
        <f ca="1">IF(ED74="","",VLOOKUP(ED74,games.a,7,FALSE))</f>
        <v/>
      </c>
      <c r="EJ74" s="526" t="str">
        <f ca="1">EJ73</f>
        <v/>
      </c>
      <c r="EK74" s="527"/>
      <c r="EL74" s="528"/>
      <c r="EM74" s="424"/>
      <c r="EN74" s="424"/>
      <c r="EO74" s="425"/>
      <c r="EP74" s="333"/>
    </row>
    <row r="75" spans="14:146" ht="16.5" customHeight="1" x14ac:dyDescent="0.25">
      <c r="AC75" s="232" t="s">
        <v>202</v>
      </c>
      <c r="AD75" s="389" t="b">
        <f>AND(AD43,$AD$57=1,$AD$63)</f>
        <v>1</v>
      </c>
      <c r="AH75" s="210" t="str">
        <f t="shared" ca="1" si="86"/>
        <v>–</v>
      </c>
      <c r="AI75" s="340" t="str">
        <f t="shared" ca="1" si="115"/>
        <v/>
      </c>
      <c r="AJ75" s="338" t="e">
        <f t="shared" ca="1" si="87"/>
        <v>#N/A</v>
      </c>
      <c r="AK75" s="338" t="e">
        <f t="shared" ca="1" si="88"/>
        <v>#N/A</v>
      </c>
      <c r="AS75" s="341">
        <f t="shared" ca="1" si="89"/>
        <v>-999999999.97899997</v>
      </c>
      <c r="AT75" s="377" t="str">
        <f t="shared" ca="1" si="121"/>
        <v/>
      </c>
      <c r="AU75" s="343">
        <f ca="1">IF(NOT($AD$44),0,IF(ASZTAB!$AJ$44,BI75*100,IF(ASZTAB!$AJ$43,BG75*10,BG75))*1000000+IF(ASZTAB!$AJ$52,AY75*10000,0)+IF(ASZTAB!$AJ$44,BE75,BD75)*1000/IF(OR(ASZTAB!AJ$43,ASZTAB!$AJ$52),10,1)+IF(ASZTAB!$AJ$44,0,IF(ASZTAB!AJ$43,BB75/10,BB75))+BJ75+IF($AD$80,BK75,0)-IF(AW75=0,1000000000,0))</f>
        <v>-999999999.97899997</v>
      </c>
      <c r="AV75" s="349">
        <v>10</v>
      </c>
      <c r="AW75" s="345">
        <f ca="1">IF(NOT($AD$44),0,RCSOP!BE78)</f>
        <v>0</v>
      </c>
      <c r="AX75" s="346">
        <f t="shared" ca="1" si="116"/>
        <v>0</v>
      </c>
      <c r="AY75" s="346">
        <f t="shared" ca="1" si="90"/>
        <v>0</v>
      </c>
      <c r="AZ75" s="346">
        <f t="shared" ca="1" si="91"/>
        <v>0</v>
      </c>
      <c r="BA75" s="346">
        <f t="shared" ca="1" si="92"/>
        <v>0</v>
      </c>
      <c r="BB75" s="346">
        <f t="shared" ca="1" si="93"/>
        <v>0</v>
      </c>
      <c r="BC75" s="346">
        <f t="shared" ca="1" si="94"/>
        <v>0</v>
      </c>
      <c r="BD75" s="346">
        <f t="shared" ca="1" si="95"/>
        <v>0</v>
      </c>
      <c r="BE75" s="347">
        <f t="shared" ca="1" si="96"/>
        <v>0</v>
      </c>
      <c r="BF75" s="346">
        <f t="shared" ca="1" si="97"/>
        <v>0</v>
      </c>
      <c r="BG75" s="346">
        <f ca="1">IF(NOT($AD$44),0,ASZTAB!$AJ$48*AY75+AZ75-BF75)</f>
        <v>0</v>
      </c>
      <c r="BH75" s="346">
        <f t="shared" ca="1" si="117"/>
        <v>0</v>
      </c>
      <c r="BI75" s="347">
        <f t="shared" ca="1" si="118"/>
        <v>0</v>
      </c>
      <c r="BJ75" s="348">
        <v>2.0999999999999991E-2</v>
      </c>
      <c r="BK75" s="349">
        <f t="shared" ca="1" si="98"/>
        <v>0</v>
      </c>
      <c r="BM75" s="346">
        <f t="shared" ca="1" si="99"/>
        <v>0</v>
      </c>
      <c r="BN75" s="346">
        <f t="shared" ca="1" si="100"/>
        <v>0</v>
      </c>
      <c r="BO75" s="346">
        <f t="shared" ca="1" si="101"/>
        <v>0</v>
      </c>
      <c r="BP75" s="346">
        <f t="shared" ca="1" si="102"/>
        <v>0</v>
      </c>
      <c r="BQ75" s="534">
        <f t="shared" ca="1" si="103"/>
        <v>0</v>
      </c>
      <c r="BR75" s="534">
        <f t="shared" ca="1" si="104"/>
        <v>0</v>
      </c>
      <c r="BT75" s="346">
        <f t="shared" ca="1" si="105"/>
        <v>0</v>
      </c>
      <c r="BU75" s="346">
        <f t="shared" ca="1" si="106"/>
        <v>0</v>
      </c>
      <c r="BV75" s="346">
        <f t="shared" ca="1" si="107"/>
        <v>0</v>
      </c>
      <c r="BW75" s="346">
        <f t="shared" ca="1" si="108"/>
        <v>0</v>
      </c>
      <c r="BX75" s="534">
        <f t="shared" ca="1" si="109"/>
        <v>0</v>
      </c>
      <c r="BY75" s="534">
        <f t="shared" ca="1" si="110"/>
        <v>0</v>
      </c>
      <c r="CB75" s="350"/>
      <c r="CC75" s="353">
        <f ca="1">IF(ASZTAB!$AJ$44,COUNTIF($BI$78:$BI$87,CE75)*IF(OR(CE75=CE74,CE75=0),0,1),COUNTIF($BG$78:$BG$87,CD75)*IF(OR(CD75=CD74,CD75=0),0,1))+CF75/1000</f>
        <v>0.01</v>
      </c>
      <c r="CD75" s="352">
        <f t="shared" ca="1" si="119"/>
        <v>0</v>
      </c>
      <c r="CE75" s="353">
        <f t="shared" ca="1" si="120"/>
        <v>0</v>
      </c>
      <c r="CF75" s="354">
        <v>10</v>
      </c>
      <c r="CG75" s="350"/>
      <c r="CH75" s="300"/>
      <c r="CI75" s="356" t="str">
        <f ca="1">IF(OR(CI65=BG87,CI65=BI87),AW87,"")</f>
        <v/>
      </c>
      <c r="CJ75" s="357" t="str">
        <f t="shared" ca="1" si="111"/>
        <v/>
      </c>
      <c r="CK75" s="357"/>
      <c r="CL75" s="356" t="str">
        <f ca="1">IF(OR(CL65=BG87,CL65=BI87),AW87,"")</f>
        <v/>
      </c>
      <c r="CM75" s="357" t="str">
        <f t="shared" ca="1" si="112"/>
        <v/>
      </c>
      <c r="CN75" s="357"/>
      <c r="CO75" s="356" t="str">
        <f ca="1">IF(OR(CO65=BG87,CO65=BI87),AW87,"")</f>
        <v/>
      </c>
      <c r="CP75" s="357" t="str">
        <f t="shared" ca="1" si="113"/>
        <v/>
      </c>
      <c r="CQ75" s="357"/>
      <c r="CR75" s="350"/>
      <c r="CS75" s="300"/>
      <c r="CT75" s="395" t="str">
        <f ca="1">CT64</f>
        <v/>
      </c>
      <c r="CU75" s="360" t="str">
        <f ca="1">IF(OR(CT75="",DA75="",CT75=DA75,ISNA(VLOOKUP(CONCATENATE(CT75,DA75),games.r,2,FALSE))),"",CONCATENATE(CT75,DA75))</f>
        <v/>
      </c>
      <c r="CV75" s="360" t="str">
        <f ca="1">IF(CU75="","",CONCATENATE(VLOOKUP(CU75,games.r,9,FALSE),VLOOKUP(CU75,games.r,12,FALSE)))</f>
        <v/>
      </c>
      <c r="CW75" s="354" t="str">
        <f ca="1">IF(CU75="","",VLOOKUP(CU75,games.r,10,FALSE))</f>
        <v/>
      </c>
      <c r="CX75" s="354" t="str">
        <f ca="1">IF(CU75="","",VLOOKUP(CU75,games.r,13,FALSE))</f>
        <v/>
      </c>
      <c r="CY75" s="361" t="str">
        <f ca="1">IF(CU75="","",VLOOKUP(CU75,games.r,6,FALSE))</f>
        <v/>
      </c>
      <c r="CZ75" s="362" t="str">
        <f ca="1">IF(CU75="","",VLOOKUP(CU75,games.r,7,FALSE))</f>
        <v/>
      </c>
      <c r="DA75" s="363" t="str">
        <f ca="1">CT45</f>
        <v/>
      </c>
      <c r="DB75" s="302"/>
      <c r="DC75" s="364"/>
      <c r="DD75" s="302"/>
      <c r="DF75" s="424"/>
      <c r="DG75" s="424"/>
      <c r="DH75" s="424"/>
      <c r="DI75" s="424"/>
      <c r="DJ75" s="424"/>
      <c r="DK75" s="424"/>
      <c r="DL75" s="424"/>
      <c r="DM75" s="424"/>
      <c r="DN75" s="424"/>
      <c r="DO75" s="424"/>
      <c r="DP75" s="424"/>
      <c r="DQ75" s="424"/>
      <c r="DR75" s="424"/>
      <c r="DS75" s="424"/>
      <c r="DT75" s="424"/>
      <c r="DU75" s="424"/>
      <c r="DV75" s="424"/>
      <c r="DW75" s="424"/>
      <c r="DX75" s="424"/>
      <c r="DY75" s="424"/>
      <c r="DZ75" s="424"/>
      <c r="EA75" s="424"/>
      <c r="EB75" s="424"/>
      <c r="EC75" s="404" t="str">
        <f>IF(NOT($AD$98),"",EC73)</f>
        <v/>
      </c>
      <c r="ED75" s="360" t="str">
        <f ca="1">IF(OR(EC75="",EJ75="",EC75=EJ75,ISNA(VLOOKUP(CONCATENATE(EC75,EJ75),games.a,2,FALSE))),"",CONCATENATE(EC75,EJ75))</f>
        <v/>
      </c>
      <c r="EE75" s="360" t="str">
        <f ca="1">IF(ED75="","",CONCATENATE(VLOOKUP(ED75,games.a,9,FALSE),VLOOKUP(ED75,games.a,12,FALSE)))</f>
        <v/>
      </c>
      <c r="EF75" s="413"/>
      <c r="EG75" s="414"/>
      <c r="EH75" s="525" t="str">
        <f ca="1">IF(ED75="","",VLOOKUP(ED75,games.a,6,FALSE))</f>
        <v/>
      </c>
      <c r="EI75" s="362" t="str">
        <f ca="1">IF(ED75="","",VLOOKUP(ED75,games.a,7,FALSE))</f>
        <v/>
      </c>
      <c r="EJ75" s="526" t="str">
        <f ca="1">EJ74</f>
        <v/>
      </c>
      <c r="EK75" s="527"/>
      <c r="EL75" s="528"/>
      <c r="EM75" s="424"/>
      <c r="EN75" s="424"/>
      <c r="EO75" s="425"/>
      <c r="EP75" s="333"/>
    </row>
    <row r="76" spans="14:146" ht="16.5" customHeight="1" x14ac:dyDescent="0.25">
      <c r="AC76" s="232" t="s">
        <v>393</v>
      </c>
      <c r="AD76" s="389" t="b">
        <f ca="1">AND($AD$63,OR(AND($R$43&gt;$AD$62,RCSOP!$AS$117&gt;$AD$62),AND($AD$91,AD94,RCSOP!$AS$117&gt;0)))</f>
        <v>1</v>
      </c>
      <c r="AY76" s="179"/>
      <c r="AZ76" s="179"/>
      <c r="BA76" s="179"/>
      <c r="BB76" s="179"/>
      <c r="BC76" s="179"/>
      <c r="BD76" s="179"/>
      <c r="BE76" s="179"/>
      <c r="BF76" s="179"/>
      <c r="BG76" s="179"/>
      <c r="BH76" s="179"/>
      <c r="BI76" s="179"/>
      <c r="BM76" s="179"/>
      <c r="BN76" s="179"/>
      <c r="BO76" s="179"/>
      <c r="BP76" s="179"/>
      <c r="BQ76" s="179"/>
      <c r="BR76" s="179"/>
      <c r="BS76" s="179"/>
      <c r="BT76" s="179"/>
      <c r="BU76" s="179"/>
      <c r="BV76" s="179"/>
      <c r="BW76" s="179"/>
      <c r="BX76" s="179"/>
      <c r="BY76" s="179"/>
      <c r="CB76" s="350"/>
      <c r="CC76" s="350"/>
      <c r="CD76" s="350"/>
      <c r="CE76" s="350"/>
      <c r="CF76" s="350"/>
      <c r="CG76" s="350"/>
      <c r="CH76" s="300"/>
      <c r="CR76" s="350"/>
      <c r="CS76" s="300"/>
      <c r="CT76" s="395" t="str">
        <f t="shared" ref="CT76:CT84" ca="1" si="122">CT65</f>
        <v/>
      </c>
      <c r="CU76" s="360" t="str">
        <f ca="1">IF(OR(CT76="",DA76="",CT76=DA76,ISNA(VLOOKUP(CONCATENATE(CT76,DA76),games.r,2,FALSE))),"",CONCATENATE(CT76,DA76))</f>
        <v/>
      </c>
      <c r="CV76" s="360" t="str">
        <f ca="1">IF(CU76="","",CONCATENATE(VLOOKUP(CU76,games.r,9,FALSE),VLOOKUP(CU76,games.r,12,FALSE)))</f>
        <v/>
      </c>
      <c r="CW76" s="354" t="str">
        <f ca="1">IF(CU76="","",VLOOKUP(CU76,games.r,10,FALSE))</f>
        <v/>
      </c>
      <c r="CX76" s="354" t="str">
        <f ca="1">IF(CU76="","",VLOOKUP(CU76,games.r,13,FALSE))</f>
        <v/>
      </c>
      <c r="CY76" s="361" t="str">
        <f ca="1">IF(CU76="","",VLOOKUP(CU76,games.r,6,FALSE))</f>
        <v/>
      </c>
      <c r="CZ76" s="362" t="str">
        <f ca="1">IF(CU76="","",VLOOKUP(CU76,games.r,7,FALSE))</f>
        <v/>
      </c>
      <c r="DA76" s="379" t="str">
        <f ca="1">DA75</f>
        <v/>
      </c>
      <c r="DB76" s="302"/>
      <c r="DC76" s="364"/>
      <c r="DD76" s="302"/>
      <c r="DF76" s="424"/>
      <c r="DG76" s="424"/>
      <c r="DH76" s="424"/>
      <c r="DI76" s="424"/>
      <c r="DJ76" s="424"/>
      <c r="DK76" s="424"/>
      <c r="DL76" s="424"/>
      <c r="DM76" s="424"/>
      <c r="DN76" s="424"/>
      <c r="DO76" s="424"/>
      <c r="DP76" s="424"/>
      <c r="DQ76" s="424"/>
      <c r="DR76" s="424"/>
      <c r="DS76" s="424"/>
      <c r="DT76" s="424"/>
      <c r="DU76" s="424"/>
      <c r="DV76" s="424"/>
      <c r="DW76" s="424"/>
      <c r="DX76" s="424"/>
      <c r="DY76" s="424"/>
      <c r="DZ76" s="424"/>
      <c r="EA76" s="424"/>
      <c r="EB76" s="424"/>
      <c r="EC76" s="404"/>
      <c r="ED76" s="329" t="s">
        <v>157</v>
      </c>
      <c r="EE76" s="329" t="s">
        <v>158</v>
      </c>
      <c r="EF76" s="399"/>
      <c r="EG76" s="400"/>
      <c r="EH76" s="401" t="s">
        <v>160</v>
      </c>
      <c r="EI76" s="402" t="s">
        <v>135</v>
      </c>
      <c r="EJ76" s="398"/>
      <c r="EK76" s="365"/>
      <c r="EL76" s="365"/>
      <c r="EM76" s="424"/>
      <c r="EN76" s="424"/>
      <c r="EO76" s="425"/>
      <c r="EP76" s="333"/>
    </row>
    <row r="77" spans="14:146" ht="16.5" customHeight="1" x14ac:dyDescent="0.25">
      <c r="AS77" s="313" t="s">
        <v>262</v>
      </c>
      <c r="AT77" s="314"/>
      <c r="AU77" s="315"/>
      <c r="AV77" s="315"/>
      <c r="AW77" s="316" t="s">
        <v>262</v>
      </c>
      <c r="AX77" s="318" t="s">
        <v>120</v>
      </c>
      <c r="AY77" s="318" t="s">
        <v>121</v>
      </c>
      <c r="AZ77" s="318" t="s">
        <v>134</v>
      </c>
      <c r="BA77" s="318" t="s">
        <v>122</v>
      </c>
      <c r="BB77" s="318" t="s">
        <v>123</v>
      </c>
      <c r="BC77" s="318" t="s">
        <v>124</v>
      </c>
      <c r="BD77" s="318" t="s">
        <v>125</v>
      </c>
      <c r="BE77" s="318" t="s">
        <v>191</v>
      </c>
      <c r="BF77" s="318" t="s">
        <v>207</v>
      </c>
      <c r="BG77" s="318" t="s">
        <v>126</v>
      </c>
      <c r="BH77" s="318" t="s">
        <v>197</v>
      </c>
      <c r="BI77" s="318" t="s">
        <v>192</v>
      </c>
      <c r="BJ77" s="318" t="s">
        <v>127</v>
      </c>
      <c r="BK77" s="318" t="s">
        <v>208</v>
      </c>
      <c r="BM77" s="318" t="s">
        <v>196</v>
      </c>
      <c r="BN77" s="318" t="s">
        <v>121</v>
      </c>
      <c r="BO77" s="318" t="s">
        <v>134</v>
      </c>
      <c r="BP77" s="318" t="s">
        <v>122</v>
      </c>
      <c r="BQ77" s="318" t="s">
        <v>123</v>
      </c>
      <c r="BR77" s="318" t="s">
        <v>124</v>
      </c>
      <c r="BT77" s="318" t="s">
        <v>196</v>
      </c>
      <c r="BU77" s="318" t="s">
        <v>121</v>
      </c>
      <c r="BV77" s="318" t="s">
        <v>134</v>
      </c>
      <c r="BW77" s="318" t="s">
        <v>122</v>
      </c>
      <c r="BX77" s="318" t="s">
        <v>123</v>
      </c>
      <c r="BY77" s="318" t="s">
        <v>124</v>
      </c>
      <c r="CB77" s="350"/>
      <c r="CC77" s="350"/>
      <c r="CD77" s="350"/>
      <c r="CE77" s="350"/>
      <c r="CF77" s="350"/>
      <c r="CG77" s="350"/>
      <c r="CH77" s="300"/>
      <c r="CR77" s="350"/>
      <c r="CS77" s="300"/>
      <c r="CT77" s="395" t="str">
        <f t="shared" ca="1" si="122"/>
        <v/>
      </c>
      <c r="CU77" s="360" t="str">
        <f ca="1">IF(OR(CT77="",DA77="",CT77=DA77,ISNA(VLOOKUP(CONCATENATE(CT77,DA77),games.r,2,FALSE))),"",CONCATENATE(CT77,DA77))</f>
        <v/>
      </c>
      <c r="CV77" s="360" t="str">
        <f ca="1">IF(CU77="","",CONCATENATE(VLOOKUP(CU77,games.r,9,FALSE),VLOOKUP(CU77,games.r,12,FALSE)))</f>
        <v/>
      </c>
      <c r="CW77" s="354" t="str">
        <f ca="1">IF(CU77="","",VLOOKUP(CU77,games.r,10,FALSE))</f>
        <v/>
      </c>
      <c r="CX77" s="354" t="str">
        <f ca="1">IF(CU77="","",VLOOKUP(CU77,games.r,13,FALSE))</f>
        <v/>
      </c>
      <c r="CY77" s="361" t="str">
        <f ca="1">IF(CU77="","",VLOOKUP(CU77,games.r,6,FALSE))</f>
        <v/>
      </c>
      <c r="CZ77" s="362" t="str">
        <f ca="1">IF(CU77="","",VLOOKUP(CU77,games.r,7,FALSE))</f>
        <v/>
      </c>
      <c r="DA77" s="379" t="str">
        <f t="shared" ref="DA77:DA84" ca="1" si="123">DA76</f>
        <v/>
      </c>
      <c r="DB77" s="302"/>
      <c r="DC77" s="364"/>
      <c r="DD77" s="302"/>
      <c r="DF77" s="424"/>
      <c r="DG77" s="424"/>
      <c r="DH77" s="424"/>
      <c r="DI77" s="424"/>
      <c r="DJ77" s="424"/>
      <c r="DK77" s="424"/>
      <c r="DL77" s="424"/>
      <c r="DM77" s="424"/>
      <c r="DN77" s="424"/>
      <c r="DO77" s="424"/>
      <c r="DP77" s="424"/>
      <c r="DQ77" s="424"/>
      <c r="DR77" s="424"/>
      <c r="DS77" s="424"/>
      <c r="DT77" s="424"/>
      <c r="DU77" s="424"/>
      <c r="DV77" s="424"/>
      <c r="DW77" s="424"/>
      <c r="DX77" s="424"/>
      <c r="DY77" s="424"/>
      <c r="DZ77" s="424"/>
      <c r="EA77" s="424"/>
      <c r="EB77" s="424"/>
      <c r="EC77" s="404" t="str">
        <f ca="1">EC72</f>
        <v/>
      </c>
      <c r="ED77" s="371" t="str">
        <f ca="1">IF(OR(EC77="",EJ77="",EC77=EJ77,ISNA(VLOOKUP(CONCATENATE(EC77,EJ77),games.r,2,FALSE))),"",CONCATENATE(EC77,EJ77))</f>
        <v/>
      </c>
      <c r="EE77" s="371" t="str">
        <f ca="1">IF(ED77="","",CONCATENATE(VLOOKUP(ED77,games.r,9,FALSE),VLOOKUP(ED77,games.r,12,FALSE)))</f>
        <v/>
      </c>
      <c r="EF77" s="406"/>
      <c r="EG77" s="407"/>
      <c r="EH77" s="408" t="str">
        <f ca="1">IF(ED77="","",VLOOKUP(ED77,games.r,6,FALSE))</f>
        <v/>
      </c>
      <c r="EI77" s="409" t="str">
        <f ca="1">IF(ED77="","",VLOOKUP(ED77,games.r,7,FALSE))</f>
        <v/>
      </c>
      <c r="EJ77" s="410" t="str">
        <f ca="1">EC73</f>
        <v/>
      </c>
      <c r="EK77" s="411"/>
      <c r="EL77" s="412"/>
      <c r="EM77" s="424"/>
      <c r="EN77" s="424"/>
      <c r="EO77" s="425"/>
      <c r="EP77" s="333"/>
    </row>
    <row r="78" spans="14:146" ht="16.5" customHeight="1" x14ac:dyDescent="0.25">
      <c r="AC78" s="232" t="s">
        <v>203</v>
      </c>
      <c r="AD78" s="389" t="b">
        <f ca="1">AND(AD44,(SUM(AX66:AX75)*2-AD100*AD50)/IF(AD50=0,1,AD50)&gt;=AD51)</f>
        <v>1</v>
      </c>
      <c r="AO78" s="349">
        <v>1</v>
      </c>
      <c r="AP78" s="430" t="str">
        <f t="shared" ref="AP78:AP87" ca="1" si="124">VLOOKUP($AS78,table.rr2,3,FALSE)</f>
        <v>Vakana</v>
      </c>
      <c r="AQ78" s="349">
        <v>1</v>
      </c>
      <c r="AS78" s="431">
        <f ca="1">LARGE(AU$78:AU$87,AV78)</f>
        <v>16007013.028999999</v>
      </c>
      <c r="AT78" s="377">
        <v>1</v>
      </c>
      <c r="AU78" s="343">
        <f ca="1">IF(NOT($AD$44),0,IF(ASZTAB!$AJ$44,BI78*100,IF(ASZTAB!$AJ$43,BG78*10,BG78))*1000000+IF(ASZTAB!$AJ$52,AY78*10000,0)+IF(ASZTAB!$AJ$44,BE78,BD78)*1000/IF(OR(ASZTAB!AJ$43,ASZTAB!$AJ$52),10,1)+IF(ASZTAB!$AJ$44,0,IF(ASZTAB!AJ$43,BB78/10,BB78))+BJ78+BK78-IF(AW78=0,1000000000,0))</f>
        <v>11005013.029999999</v>
      </c>
      <c r="AV78" s="349">
        <v>1</v>
      </c>
      <c r="AW78" s="345" t="str">
        <f ca="1">AW66</f>
        <v>Bakafogó-Honvéd-Sashegy SE</v>
      </c>
      <c r="AX78" s="346">
        <f ca="1">AY78+AZ78+BA78</f>
        <v>4</v>
      </c>
      <c r="AY78" s="346">
        <f t="shared" ref="AY78:AY87" ca="1" si="125">IF(NOT($AD$44),0,BN78+BU78)</f>
        <v>1</v>
      </c>
      <c r="AZ78" s="346">
        <f t="shared" ref="AZ78:AZ87" ca="1" si="126">IF(NOT($AD$44),0,BO78+BV78)</f>
        <v>2</v>
      </c>
      <c r="BA78" s="346">
        <f t="shared" ref="BA78:BA87" ca="1" si="127">IF(NOT($AD$44),0,BP78+BW78)</f>
        <v>1</v>
      </c>
      <c r="BB78" s="346">
        <f t="shared" ref="BB78:BB87" ca="1" si="128">IF(NOT($AD$44),0,BQ78+BX78)</f>
        <v>13</v>
      </c>
      <c r="BC78" s="346">
        <f t="shared" ref="BC78:BC87" ca="1" si="129">IF(NOT($AD$44),0,BR78+BY78)</f>
        <v>8</v>
      </c>
      <c r="BD78" s="346">
        <f t="shared" ref="BD78:BD87" ca="1" si="130">BB78-BC78</f>
        <v>5</v>
      </c>
      <c r="BE78" s="347">
        <f t="shared" ref="BE78:BE87" ca="1" si="131">IF(BC78=0,0,BB78/BC78)</f>
        <v>1.625</v>
      </c>
      <c r="BF78" s="346">
        <f t="shared" ref="BF78:BF87" ca="1" si="132">IF(NOT($AD$44),0,IF(ISNA(VLOOKUP(AW78,penalty.r,2,FALSE)),0,VLOOKUP(AW78,penalty.r,2,FALSE))-IF(OR(NOT($AD$103),ISNA(VLOOKUP(AW78,zpoint,2,FALSE))),0,VLOOKUP(AW78,zpoint,2,FALSE)))</f>
        <v>-6</v>
      </c>
      <c r="BG78" s="346">
        <f ca="1">IF(NOT($AD$44),0,ASZTAB!$AJ$48*AY78+AZ78-BF78)</f>
        <v>11</v>
      </c>
      <c r="BH78" s="346">
        <f ca="1">IF(NOT($AD$44),0,AY78*2+BA78-BF78)</f>
        <v>9</v>
      </c>
      <c r="BI78" s="347">
        <f ca="1">IF(NOT($AD$44),0,IF(AND(AX78=0,BH78=0),0,BH78/(AX78*2+$AD$104)))</f>
        <v>0.45</v>
      </c>
      <c r="BJ78" s="348">
        <v>0.03</v>
      </c>
      <c r="BK78" s="349">
        <f t="shared" ref="BK78:BK87" ca="1" si="133">IF(ISNA(VLOOKUP(AW78,eee.rr,16,FALSE)),0,VLOOKUP(AW78,eee.rr,16,FALSE))</f>
        <v>0</v>
      </c>
      <c r="BM78" s="346">
        <f t="shared" ref="BM78:BM87" ca="1" si="134">IF(NOT($AD$44),0,COUNTIF(lossh.rr,CONCATENATE($AW78,"ooo"))+IF(NOT($AD$101),0,IF($AD$102,COUNTIF(lossh.aa,CONCATENATE($AW78,"ooo")),COUNTIF(zlossh,CONCATENATE($AW78,"ooo")))))</f>
        <v>0</v>
      </c>
      <c r="BN78" s="346">
        <f t="shared" ref="BN78:BN87" ca="1" si="135">IF(NOT($AD$44),0,COUNTIF(winh.rr,$AW78)+IF(NOT($AD$101),0,IF($AD$102,COUNTIF(winh.aa,$AW78),COUNTIF(zwinh,$AW78))))</f>
        <v>1</v>
      </c>
      <c r="BO78" s="346">
        <f t="shared" ref="BO78:BO87" ca="1" si="136">IF(NOT($AD$44),0,COUNTIF(drawh.rr,$AW78)+IF(NOT($AD$101),0,IF($AD$102,COUNTIF(drawh.aa,$AW78),COUNTIF(zdrawh,$AW78))))</f>
        <v>2</v>
      </c>
      <c r="BP78" s="346">
        <f t="shared" ref="BP78:BP87" ca="1" si="137">IF(NOT($AD$44),0,COUNTIF(lossh.rr,$AW78)+BM78+IF(NOT($AD$101),0,IF($AD$102,COUNTIF(lossh.aa,$AW78),COUNTIF(zlossh,$AW78))))</f>
        <v>1</v>
      </c>
      <c r="BQ78" s="346">
        <f t="shared" ref="BQ78:BQ87" ca="1" si="138">IF(NOT($AD$44),0,SUMIF(home.rr,$AW78,GAA.rr)+IF(NOT($AD$101),0,IF($AD$102,SUMIF(home.aa,$AW78,GAA.aa),SUMIF(zhome,$AW78,zfor))))</f>
        <v>13</v>
      </c>
      <c r="BR78" s="346">
        <f t="shared" ref="BR78:BR87" ca="1" si="139">IF(NOT($AD$44),0,SUMIF(home.rr,$AW78,GBB.rr)+IF(NOT($AD$101),0,IF($AD$102,SUMIF(home.aa,$AW78,GBB.aa),SUMIF(zhome,$AW78,zagainst))))</f>
        <v>8</v>
      </c>
      <c r="BT78" s="346">
        <f t="shared" ref="BT78:BT87" ca="1" si="140">IF(NOT($AD$44),0,COUNTIF(lossa.rr,CONCATENATE($AW78,"ooo"))+IF(NOT($AD$101),0,IF($AD$102,COUNTIF(lossa.aa,CONCATENATE($AW78,"ooo")),COUNTIF(zlossa,CONCATENATE($AW78,"ooo")))))</f>
        <v>0</v>
      </c>
      <c r="BU78" s="346">
        <f t="shared" ref="BU78:BU87" ca="1" si="141">IF(NOT($AD$44),0,COUNTIF(wina.rr,$AW78)+IF(NOT($AD$101),0,IF($AD$102,COUNTIF(wina.aa,$AW78),COUNTIF(zwina,$AW78))))</f>
        <v>0</v>
      </c>
      <c r="BV78" s="346">
        <f t="shared" ref="BV78:BV87" ca="1" si="142">IF(NOT($AD$44),0,COUNTIF(drawa.rr,$AW78)+IF(NOT($AD$101),0,IF($AD$102,COUNTIF(drawa.aa,$AW78),COUNTIF(zdrawa,$AW78))))</f>
        <v>0</v>
      </c>
      <c r="BW78" s="346">
        <f t="shared" ref="BW78:BW87" ca="1" si="143">IF(NOT($AD$44),0,COUNTIF(lossa.rr,$AW78)+BT78+IF(NOT($AD$101),0,IF($AD$102,COUNTIF(lossa.aa,$AW78),COUNTIF(zlossa,$AW78))))</f>
        <v>0</v>
      </c>
      <c r="BX78" s="346">
        <f t="shared" ref="BX78:BX87" ca="1" si="144">IF(NOT($AD$44),0,SUMIF(away.rr,$AW78,GBB.rr)+IF(NOT($AD$101),0,IF($AD$102,SUMIF(away.aa,$AW78,GBB.aa),SUMIF(zaway,$AW78,zagainst))))</f>
        <v>0</v>
      </c>
      <c r="BY78" s="346">
        <f t="shared" ref="BY78:BY87" ca="1" si="145">IF(NOT($AD$44),0,SUMIF(away.rr,$AW78,GAA.rr)+IF(NOT($AD$101),0,IF($AD$102,SUMIF(away.aa,$AW78,GAA.aa),SUMIF(zaway,$AW78,zfor))))</f>
        <v>0</v>
      </c>
      <c r="CB78" s="350"/>
      <c r="CC78" s="350"/>
      <c r="CD78" s="350"/>
      <c r="CE78" s="350"/>
      <c r="CF78" s="350"/>
      <c r="CG78" s="350"/>
      <c r="CH78" s="300"/>
      <c r="CR78" s="350"/>
      <c r="CS78" s="300"/>
      <c r="CT78" s="395" t="str">
        <f t="shared" ca="1" si="122"/>
        <v/>
      </c>
      <c r="CU78" s="360" t="str">
        <f ca="1">IF(OR(CT78="",DA78="",CT78=DA78,ISNA(VLOOKUP(CONCATENATE(CT78,DA78),games.r,2,FALSE))),"",CONCATENATE(CT78,DA78))</f>
        <v/>
      </c>
      <c r="CV78" s="360" t="str">
        <f ca="1">IF(CU78="","",CONCATENATE(VLOOKUP(CU78,games.r,9,FALSE),VLOOKUP(CU78,games.r,12,FALSE)))</f>
        <v/>
      </c>
      <c r="CW78" s="354" t="str">
        <f ca="1">IF(CU78="","",VLOOKUP(CU78,games.r,10,FALSE))</f>
        <v/>
      </c>
      <c r="CX78" s="354" t="str">
        <f ca="1">IF(CU78="","",VLOOKUP(CU78,games.r,13,FALSE))</f>
        <v/>
      </c>
      <c r="CY78" s="361" t="str">
        <f ca="1">IF(CU78="","",VLOOKUP(CU78,games.r,6,FALSE))</f>
        <v/>
      </c>
      <c r="CZ78" s="362" t="str">
        <f ca="1">IF(CU78="","",VLOOKUP(CU78,games.r,7,FALSE))</f>
        <v/>
      </c>
      <c r="DA78" s="379" t="str">
        <f t="shared" ca="1" si="123"/>
        <v/>
      </c>
      <c r="DB78" s="302"/>
      <c r="DC78" s="364"/>
      <c r="DD78" s="302"/>
      <c r="DF78" s="424"/>
      <c r="DG78" s="424"/>
      <c r="DH78" s="424"/>
      <c r="DI78" s="424"/>
      <c r="DJ78" s="424"/>
      <c r="DK78" s="424"/>
      <c r="DL78" s="424"/>
      <c r="DM78" s="424"/>
      <c r="DN78" s="424"/>
      <c r="DO78" s="424"/>
      <c r="DP78" s="424"/>
      <c r="DQ78" s="424"/>
      <c r="DR78" s="424"/>
      <c r="DS78" s="424"/>
      <c r="DT78" s="424"/>
      <c r="DU78" s="424"/>
      <c r="DV78" s="424"/>
      <c r="DW78" s="424"/>
      <c r="DX78" s="424"/>
      <c r="DY78" s="424"/>
      <c r="DZ78" s="424"/>
      <c r="EA78" s="424"/>
      <c r="EB78" s="424"/>
      <c r="EC78" s="404" t="str">
        <f ca="1">EC73</f>
        <v/>
      </c>
      <c r="ED78" s="371" t="str">
        <f ca="1">IF(OR(EC78="",EJ78="",EC78=EJ78,ISNA(VLOOKUP(CONCATENATE(EC78,EJ78),games.r,2,FALSE))),"",CONCATENATE(EC78,EJ78))</f>
        <v/>
      </c>
      <c r="EE78" s="371" t="str">
        <f ca="1">IF(ED78="","",CONCATENATE(VLOOKUP(ED78,games.r,9,FALSE),VLOOKUP(ED78,games.r,12,FALSE)))</f>
        <v/>
      </c>
      <c r="EF78" s="413"/>
      <c r="EG78" s="414"/>
      <c r="EH78" s="408" t="str">
        <f ca="1">IF(ED78="","",VLOOKUP(ED78,games.r,6,FALSE))</f>
        <v/>
      </c>
      <c r="EI78" s="409" t="str">
        <f ca="1">IF(ED78="","",VLOOKUP(ED78,games.r,7,FALSE))</f>
        <v/>
      </c>
      <c r="EJ78" s="415" t="str">
        <f ca="1">EJ77</f>
        <v/>
      </c>
      <c r="EK78" s="416"/>
      <c r="EL78" s="417"/>
      <c r="EM78" s="424"/>
      <c r="EN78" s="424"/>
      <c r="EO78" s="425"/>
      <c r="EP78" s="333"/>
    </row>
    <row r="79" spans="14:146" ht="16.5" customHeight="1" x14ac:dyDescent="0.25">
      <c r="AC79" s="232" t="s">
        <v>204</v>
      </c>
      <c r="AD79" s="389" t="b">
        <f ca="1">AND(AD44,SUM(AX78:AX87)/IF(AD50=0,1,AD50)=AD51+AD100)</f>
        <v>1</v>
      </c>
      <c r="AO79" s="349">
        <v>2</v>
      </c>
      <c r="AP79" s="430" t="str">
        <f t="shared" ca="1" si="124"/>
        <v>Bakafogó-Honvéd-Sashegy SE</v>
      </c>
      <c r="AQ79" s="349">
        <v>2</v>
      </c>
      <c r="AS79" s="431">
        <f t="shared" ref="AS79:AS87" ca="1" si="146">LARGE(AU$78:AU$87,AV79)</f>
        <v>11005013.029999999</v>
      </c>
      <c r="AT79" s="377">
        <f ca="1">IF(AS79&lt;-999999990,"",IF(ABS(AS78-AS79)&lt;0.015,AT78,AV79))</f>
        <v>2</v>
      </c>
      <c r="AU79" s="343">
        <f ca="1">IF(NOT($AD$44),0,IF(ASZTAB!$AJ$44,BI79*100,IF(ASZTAB!$AJ$43,BG79*10,BG79))*1000000+IF(ASZTAB!$AJ$52,AY79*10000,0)+IF(ASZTAB!$AJ$44,BE79,BD79)*1000/IF(OR(ASZTAB!AJ$43,ASZTAB!$AJ$52),10,1)+IF(ASZTAB!$AJ$44,0,IF(ASZTAB!AJ$43,BB79/10,BB79))+BJ79+BK79-IF(AW79=0,1000000000,0))</f>
        <v>16007013.028999999</v>
      </c>
      <c r="AV79" s="349">
        <v>2</v>
      </c>
      <c r="AW79" s="345" t="str">
        <f t="shared" ref="AW79:AW87" ca="1" si="147">AW67</f>
        <v>Vakana</v>
      </c>
      <c r="AX79" s="346">
        <f t="shared" ref="AX79:AX87" ca="1" si="148">AY79+AZ79+BA79</f>
        <v>4</v>
      </c>
      <c r="AY79" s="346">
        <f t="shared" ca="1" si="125"/>
        <v>3</v>
      </c>
      <c r="AZ79" s="346">
        <f t="shared" ca="1" si="126"/>
        <v>1</v>
      </c>
      <c r="BA79" s="346">
        <f t="shared" ca="1" si="127"/>
        <v>0</v>
      </c>
      <c r="BB79" s="346">
        <f t="shared" ca="1" si="128"/>
        <v>13</v>
      </c>
      <c r="BC79" s="346">
        <f t="shared" ca="1" si="129"/>
        <v>6</v>
      </c>
      <c r="BD79" s="346">
        <f t="shared" ca="1" si="130"/>
        <v>7</v>
      </c>
      <c r="BE79" s="347">
        <f t="shared" ca="1" si="131"/>
        <v>2.1666666666666665</v>
      </c>
      <c r="BF79" s="346">
        <f t="shared" ca="1" si="132"/>
        <v>-6</v>
      </c>
      <c r="BG79" s="346">
        <f ca="1">IF(NOT($AD$44),0,ASZTAB!$AJ$48*AY79+AZ79-BF79)</f>
        <v>16</v>
      </c>
      <c r="BH79" s="346">
        <f t="shared" ref="BH79:BH87" ca="1" si="149">IF(NOT($AD$44),0,AY79*2+BA79-BF79)</f>
        <v>12</v>
      </c>
      <c r="BI79" s="347">
        <f t="shared" ref="BI79:BI87" ca="1" si="150">IF(NOT($AD$44),0,IF(AND(AX79=0,BH79=0),0,BH79/(AX79*2+$AD$104)))</f>
        <v>0.6</v>
      </c>
      <c r="BJ79" s="348">
        <v>2.8999999999999998E-2</v>
      </c>
      <c r="BK79" s="349">
        <f t="shared" ca="1" si="133"/>
        <v>0</v>
      </c>
      <c r="BM79" s="346">
        <f t="shared" ca="1" si="134"/>
        <v>0</v>
      </c>
      <c r="BN79" s="346">
        <f t="shared" ca="1" si="135"/>
        <v>2</v>
      </c>
      <c r="BO79" s="346">
        <f t="shared" ca="1" si="136"/>
        <v>1</v>
      </c>
      <c r="BP79" s="346">
        <f t="shared" ca="1" si="137"/>
        <v>0</v>
      </c>
      <c r="BQ79" s="346">
        <f t="shared" ca="1" si="138"/>
        <v>10</v>
      </c>
      <c r="BR79" s="346">
        <f t="shared" ca="1" si="139"/>
        <v>5</v>
      </c>
      <c r="BT79" s="346">
        <f t="shared" ca="1" si="140"/>
        <v>0</v>
      </c>
      <c r="BU79" s="346">
        <f t="shared" ca="1" si="141"/>
        <v>1</v>
      </c>
      <c r="BV79" s="346">
        <f t="shared" ca="1" si="142"/>
        <v>0</v>
      </c>
      <c r="BW79" s="346">
        <f t="shared" ca="1" si="143"/>
        <v>0</v>
      </c>
      <c r="BX79" s="346">
        <f t="shared" ca="1" si="144"/>
        <v>3</v>
      </c>
      <c r="BY79" s="346">
        <f t="shared" ca="1" si="145"/>
        <v>1</v>
      </c>
      <c r="CB79" s="350"/>
      <c r="CC79" s="350"/>
      <c r="CD79" s="350"/>
      <c r="CE79" s="350"/>
      <c r="CF79" s="350"/>
      <c r="CG79" s="350"/>
      <c r="CH79" s="300"/>
      <c r="CR79" s="350"/>
      <c r="CS79" s="300"/>
      <c r="CT79" s="395" t="str">
        <f t="shared" ca="1" si="122"/>
        <v/>
      </c>
      <c r="CU79" s="360" t="str">
        <f ca="1">IF(OR(CT79="",DA79="",CT79=DA79,ISNA(VLOOKUP(CONCATENATE(CT79,DA79),games.r,2,FALSE))),"",CONCATENATE(CT79,DA79))</f>
        <v/>
      </c>
      <c r="CV79" s="360" t="str">
        <f ca="1">IF(CU79="","",CONCATENATE(VLOOKUP(CU79,games.r,9,FALSE),VLOOKUP(CU79,games.r,12,FALSE)))</f>
        <v/>
      </c>
      <c r="CW79" s="354" t="str">
        <f ca="1">IF(CU79="","",VLOOKUP(CU79,games.r,10,FALSE))</f>
        <v/>
      </c>
      <c r="CX79" s="354" t="str">
        <f ca="1">IF(CU79="","",VLOOKUP(CU79,games.r,13,FALSE))</f>
        <v/>
      </c>
      <c r="CY79" s="361" t="str">
        <f ca="1">IF(CU79="","",VLOOKUP(CU79,games.r,6,FALSE))</f>
        <v/>
      </c>
      <c r="CZ79" s="362" t="str">
        <f ca="1">IF(CU79="","",VLOOKUP(CU79,games.r,7,FALSE))</f>
        <v/>
      </c>
      <c r="DA79" s="379" t="str">
        <f t="shared" ca="1" si="123"/>
        <v/>
      </c>
      <c r="DB79" s="302"/>
      <c r="DC79" s="364"/>
      <c r="DD79" s="302"/>
      <c r="DF79" s="424"/>
      <c r="DG79" s="424"/>
      <c r="DH79" s="424"/>
      <c r="DI79" s="424"/>
      <c r="DJ79" s="424"/>
      <c r="DK79" s="424"/>
      <c r="DL79" s="424"/>
      <c r="DM79" s="424"/>
      <c r="DN79" s="424"/>
      <c r="DO79" s="424"/>
      <c r="DP79" s="424"/>
      <c r="DQ79" s="424"/>
      <c r="DR79" s="424"/>
      <c r="DS79" s="424"/>
      <c r="DT79" s="424"/>
      <c r="DU79" s="424"/>
      <c r="DV79" s="424"/>
      <c r="DW79" s="424"/>
      <c r="DX79" s="424"/>
      <c r="DY79" s="424"/>
      <c r="DZ79" s="424"/>
      <c r="EA79" s="424"/>
      <c r="EB79" s="424"/>
      <c r="EC79" s="404" t="str">
        <f>EC74</f>
        <v/>
      </c>
      <c r="ED79" s="360" t="str">
        <f ca="1">IF(OR(EC79="",EJ79="",EC79=EJ79,ISNA(VLOOKUP(CONCATENATE(EC79,EJ79),games.a,2,FALSE))),"",CONCATENATE(EC79,EJ79))</f>
        <v/>
      </c>
      <c r="EE79" s="360" t="str">
        <f ca="1">IF(ED79="","",CONCATENATE(VLOOKUP(ED79,games.a,9,FALSE),VLOOKUP(ED79,games.a,12,FALSE)))</f>
        <v/>
      </c>
      <c r="EF79" s="413"/>
      <c r="EG79" s="414"/>
      <c r="EH79" s="525" t="str">
        <f ca="1">IF(ED79="","",VLOOKUP(ED79,games.a,6,FALSE))</f>
        <v/>
      </c>
      <c r="EI79" s="362" t="str">
        <f ca="1">IF(ED79="","",VLOOKUP(ED79,games.a,7,FALSE))</f>
        <v/>
      </c>
      <c r="EJ79" s="526" t="str">
        <f ca="1">EJ78</f>
        <v/>
      </c>
      <c r="EK79" s="527"/>
      <c r="EL79" s="528"/>
      <c r="EM79" s="424"/>
      <c r="EN79" s="424"/>
      <c r="EO79" s="425"/>
      <c r="EP79" s="333"/>
    </row>
    <row r="80" spans="14:146" ht="16.5" customHeight="1" x14ac:dyDescent="0.25">
      <c r="AC80" s="232" t="s">
        <v>205</v>
      </c>
      <c r="AD80" s="389" t="b">
        <f ca="1">AND(AD44,$AD$57=1,$AD$63,OR(IF(ASZTAB!$AJ$44,TRUE,$AD$78),$AD$101,AD102),OR(ASZTAB!$AJ$53,ASZTAB!$AJ$54))</f>
        <v>1</v>
      </c>
      <c r="AO80" s="349">
        <v>3</v>
      </c>
      <c r="AP80" s="430" t="str">
        <f t="shared" ca="1" si="124"/>
        <v>Bőrdíszmű</v>
      </c>
      <c r="AQ80" s="349">
        <v>3</v>
      </c>
      <c r="AS80" s="431">
        <f t="shared" ca="1" si="146"/>
        <v>6995010.0269999998</v>
      </c>
      <c r="AT80" s="377">
        <f t="shared" ref="AT80:AT87" ca="1" si="151">IF(AS80&lt;-999999990,"",IF(ABS(AS79-AS80)&lt;0.015,AT79,AV80))</f>
        <v>3</v>
      </c>
      <c r="AU80" s="343">
        <f ca="1">IF(NOT($AD$44),0,IF(ASZTAB!$AJ$44,BI80*100,IF(ASZTAB!$AJ$43,BG80*10,BG80))*1000000+IF(ASZTAB!$AJ$52,AY80*10000,0)+IF(ASZTAB!$AJ$44,BE80,BD80)*1000/IF(OR(ASZTAB!AJ$43,ASZTAB!$AJ$52),10,1)+IF(ASZTAB!$AJ$44,0,IF(ASZTAB!AJ$43,BB80/10,BB80))+BJ80+BK80-IF(AW80=0,1000000000,0))</f>
        <v>3994006.0279999999</v>
      </c>
      <c r="AV80" s="349">
        <v>3</v>
      </c>
      <c r="AW80" s="345" t="str">
        <f t="shared" ca="1" si="147"/>
        <v>Carbonász</v>
      </c>
      <c r="AX80" s="346">
        <f t="shared" ca="1" si="148"/>
        <v>4</v>
      </c>
      <c r="AY80" s="346">
        <f t="shared" ca="1" si="125"/>
        <v>0</v>
      </c>
      <c r="AZ80" s="346">
        <f t="shared" ca="1" si="126"/>
        <v>2</v>
      </c>
      <c r="BA80" s="346">
        <f t="shared" ca="1" si="127"/>
        <v>2</v>
      </c>
      <c r="BB80" s="346">
        <f t="shared" ca="1" si="128"/>
        <v>6</v>
      </c>
      <c r="BC80" s="346">
        <f t="shared" ca="1" si="129"/>
        <v>12</v>
      </c>
      <c r="BD80" s="346">
        <f t="shared" ca="1" si="130"/>
        <v>-6</v>
      </c>
      <c r="BE80" s="347">
        <f t="shared" ca="1" si="131"/>
        <v>0.5</v>
      </c>
      <c r="BF80" s="346">
        <f t="shared" ca="1" si="132"/>
        <v>-2</v>
      </c>
      <c r="BG80" s="346">
        <f ca="1">IF(NOT($AD$44),0,ASZTAB!$AJ$48*AY80+AZ80-BF80)</f>
        <v>4</v>
      </c>
      <c r="BH80" s="346">
        <f t="shared" ca="1" si="149"/>
        <v>4</v>
      </c>
      <c r="BI80" s="347">
        <f t="shared" ca="1" si="150"/>
        <v>0.2</v>
      </c>
      <c r="BJ80" s="348">
        <v>2.7999999999999997E-2</v>
      </c>
      <c r="BK80" s="349">
        <f t="shared" ca="1" si="133"/>
        <v>0</v>
      </c>
      <c r="BM80" s="346">
        <f t="shared" ca="1" si="134"/>
        <v>0</v>
      </c>
      <c r="BN80" s="346">
        <f t="shared" ca="1" si="135"/>
        <v>0</v>
      </c>
      <c r="BO80" s="346">
        <f t="shared" ca="1" si="136"/>
        <v>1</v>
      </c>
      <c r="BP80" s="346">
        <f t="shared" ca="1" si="137"/>
        <v>1</v>
      </c>
      <c r="BQ80" s="346">
        <f t="shared" ca="1" si="138"/>
        <v>3</v>
      </c>
      <c r="BR80" s="346">
        <f t="shared" ca="1" si="139"/>
        <v>6</v>
      </c>
      <c r="BT80" s="346">
        <f t="shared" ca="1" si="140"/>
        <v>0</v>
      </c>
      <c r="BU80" s="346">
        <f t="shared" ca="1" si="141"/>
        <v>0</v>
      </c>
      <c r="BV80" s="346">
        <f t="shared" ca="1" si="142"/>
        <v>1</v>
      </c>
      <c r="BW80" s="346">
        <f t="shared" ca="1" si="143"/>
        <v>1</v>
      </c>
      <c r="BX80" s="346">
        <f t="shared" ca="1" si="144"/>
        <v>3</v>
      </c>
      <c r="BY80" s="346">
        <f t="shared" ca="1" si="145"/>
        <v>6</v>
      </c>
      <c r="CB80" s="350"/>
      <c r="CC80" s="350"/>
      <c r="CD80" s="350"/>
      <c r="CE80" s="350"/>
      <c r="CF80" s="350"/>
      <c r="CG80" s="350"/>
      <c r="CH80" s="300"/>
      <c r="CR80" s="350"/>
      <c r="CS80" s="300"/>
      <c r="CT80" s="522" t="str">
        <f t="shared" si="122"/>
        <v/>
      </c>
      <c r="CU80" s="371" t="str">
        <f ca="1">IF(OR(CT80="",DA80="",CT80=DA80,ISNA(VLOOKUP(CONCATENATE(CT80,DA80),games.a,2,FALSE))),"",CONCATENATE(CT80,DA80))</f>
        <v/>
      </c>
      <c r="CV80" s="371" t="str">
        <f ca="1">IF(CU80="","",CONCATENATE(VLOOKUP(CU80,games.a,9,FALSE),VLOOKUP(CU80,games.a,12,FALSE)))</f>
        <v/>
      </c>
      <c r="CW80" s="369" t="str">
        <f ca="1">IF(CU80="","",VLOOKUP(CU80,games.a,10,FALSE))</f>
        <v/>
      </c>
      <c r="CX80" s="369" t="str">
        <f ca="1">IF(CU80="","",VLOOKUP(CU80,games.a,13,FALSE))</f>
        <v/>
      </c>
      <c r="CY80" s="423" t="str">
        <f ca="1">IF(CU80="","",VLOOKUP(CU80,games.a,6,FALSE))</f>
        <v/>
      </c>
      <c r="CZ80" s="409" t="str">
        <f ca="1">IF(CU80="","",VLOOKUP(CU80,games.a,7,FALSE))</f>
        <v/>
      </c>
      <c r="DA80" s="523" t="str">
        <f t="shared" ca="1" si="123"/>
        <v/>
      </c>
      <c r="DB80" s="302"/>
      <c r="DC80" s="364"/>
      <c r="DD80" s="302"/>
      <c r="DF80" s="424"/>
      <c r="DG80" s="424"/>
      <c r="DH80" s="424"/>
      <c r="DI80" s="424"/>
      <c r="DJ80" s="424"/>
      <c r="DK80" s="424"/>
      <c r="DL80" s="424"/>
      <c r="DM80" s="424"/>
      <c r="DN80" s="424"/>
      <c r="DO80" s="424"/>
      <c r="DP80" s="424"/>
      <c r="DQ80" s="424"/>
      <c r="DR80" s="424"/>
      <c r="DS80" s="424"/>
      <c r="DT80" s="424"/>
      <c r="DU80" s="424"/>
      <c r="DV80" s="424"/>
      <c r="DW80" s="424"/>
      <c r="DX80" s="424"/>
      <c r="DY80" s="424"/>
      <c r="DZ80" s="424"/>
      <c r="EA80" s="424"/>
      <c r="EB80" s="424"/>
      <c r="EC80" s="404" t="str">
        <f>EC75</f>
        <v/>
      </c>
      <c r="ED80" s="360" t="str">
        <f ca="1">IF(OR(EC80="",EJ80="",EC80=EJ80,ISNA(VLOOKUP(CONCATENATE(EC80,EJ80),games.a,2,FALSE))),"",CONCATENATE(EC80,EJ80))</f>
        <v/>
      </c>
      <c r="EE80" s="360" t="str">
        <f ca="1">IF(ED80="","",CONCATENATE(VLOOKUP(ED80,games.a,9,FALSE),VLOOKUP(ED80,games.a,12,FALSE)))</f>
        <v/>
      </c>
      <c r="EF80" s="420"/>
      <c r="EG80" s="421"/>
      <c r="EH80" s="525" t="str">
        <f ca="1">IF(ED80="","",VLOOKUP(ED80,games.a,6,FALSE))</f>
        <v/>
      </c>
      <c r="EI80" s="362" t="str">
        <f ca="1">IF(ED80="","",VLOOKUP(ED80,games.a,7,FALSE))</f>
        <v/>
      </c>
      <c r="EJ80" s="526" t="str">
        <f ca="1">EJ79</f>
        <v/>
      </c>
      <c r="EK80" s="527"/>
      <c r="EL80" s="528"/>
      <c r="EM80" s="424"/>
      <c r="EN80" s="424"/>
      <c r="EO80" s="425"/>
      <c r="EP80" s="333"/>
    </row>
    <row r="81" spans="29:146" ht="16.5" customHeight="1" x14ac:dyDescent="0.25">
      <c r="AC81" s="232" t="s">
        <v>206</v>
      </c>
      <c r="AD81" s="389" t="b">
        <f>AND(AD44,$AD$57=1,$AD$63)</f>
        <v>1</v>
      </c>
      <c r="AO81" s="349">
        <v>4</v>
      </c>
      <c r="AP81" s="430" t="str">
        <f t="shared" ca="1" si="124"/>
        <v>Carbonász</v>
      </c>
      <c r="AQ81" s="349">
        <v>4</v>
      </c>
      <c r="AS81" s="431">
        <f t="shared" ca="1" si="146"/>
        <v>3994006.0279999999</v>
      </c>
      <c r="AT81" s="377">
        <f t="shared" ca="1" si="151"/>
        <v>4</v>
      </c>
      <c r="AU81" s="343">
        <f ca="1">IF(NOT($AD$44),0,IF(ASZTAB!$AJ$44,BI81*100,IF(ASZTAB!$AJ$43,BG81*10,BG81))*1000000+IF(ASZTAB!$AJ$52,AY81*10000,0)+IF(ASZTAB!$AJ$44,BE81,BD81)*1000/IF(OR(ASZTAB!AJ$43,ASZTAB!$AJ$52),10,1)+IF(ASZTAB!$AJ$44,0,IF(ASZTAB!AJ$43,BB81/10,BB81))+BJ81+BK81-IF(AW81=0,1000000000,0))</f>
        <v>6995010.0269999998</v>
      </c>
      <c r="AV81" s="349">
        <v>4</v>
      </c>
      <c r="AW81" s="345" t="str">
        <f t="shared" ca="1" si="147"/>
        <v>Bőrdíszmű</v>
      </c>
      <c r="AX81" s="346">
        <f t="shared" ca="1" si="148"/>
        <v>4</v>
      </c>
      <c r="AY81" s="346">
        <f t="shared" ca="1" si="125"/>
        <v>2</v>
      </c>
      <c r="AZ81" s="346">
        <f t="shared" ca="1" si="126"/>
        <v>0</v>
      </c>
      <c r="BA81" s="346">
        <f t="shared" ca="1" si="127"/>
        <v>2</v>
      </c>
      <c r="BB81" s="346">
        <f t="shared" ca="1" si="128"/>
        <v>10</v>
      </c>
      <c r="BC81" s="346">
        <f t="shared" ca="1" si="129"/>
        <v>15</v>
      </c>
      <c r="BD81" s="346">
        <f t="shared" ca="1" si="130"/>
        <v>-5</v>
      </c>
      <c r="BE81" s="347">
        <f t="shared" ca="1" si="131"/>
        <v>0.66666666666666663</v>
      </c>
      <c r="BF81" s="346">
        <f t="shared" ca="1" si="132"/>
        <v>-1</v>
      </c>
      <c r="BG81" s="346">
        <f ca="1">IF(NOT($AD$44),0,ASZTAB!$AJ$48*AY81+AZ81-BF81)</f>
        <v>7</v>
      </c>
      <c r="BH81" s="346">
        <f t="shared" ca="1" si="149"/>
        <v>7</v>
      </c>
      <c r="BI81" s="347">
        <f t="shared" ca="1" si="150"/>
        <v>0.35</v>
      </c>
      <c r="BJ81" s="348">
        <v>2.6999999999999996E-2</v>
      </c>
      <c r="BK81" s="349">
        <f t="shared" ca="1" si="133"/>
        <v>0</v>
      </c>
      <c r="BM81" s="346">
        <f t="shared" ca="1" si="134"/>
        <v>0</v>
      </c>
      <c r="BN81" s="346">
        <f t="shared" ca="1" si="135"/>
        <v>1</v>
      </c>
      <c r="BO81" s="346">
        <f t="shared" ca="1" si="136"/>
        <v>0</v>
      </c>
      <c r="BP81" s="346">
        <f t="shared" ca="1" si="137"/>
        <v>0</v>
      </c>
      <c r="BQ81" s="346">
        <f t="shared" ca="1" si="138"/>
        <v>3</v>
      </c>
      <c r="BR81" s="346">
        <f t="shared" ca="1" si="139"/>
        <v>2</v>
      </c>
      <c r="BT81" s="346">
        <f t="shared" ca="1" si="140"/>
        <v>0</v>
      </c>
      <c r="BU81" s="346">
        <f t="shared" ca="1" si="141"/>
        <v>1</v>
      </c>
      <c r="BV81" s="346">
        <f t="shared" ca="1" si="142"/>
        <v>0</v>
      </c>
      <c r="BW81" s="346">
        <f t="shared" ca="1" si="143"/>
        <v>2</v>
      </c>
      <c r="BX81" s="346">
        <f t="shared" ca="1" si="144"/>
        <v>7</v>
      </c>
      <c r="BY81" s="346">
        <f t="shared" ca="1" si="145"/>
        <v>13</v>
      </c>
      <c r="CB81" s="350"/>
      <c r="CC81" s="350"/>
      <c r="CD81" s="350"/>
      <c r="CE81" s="350"/>
      <c r="CF81" s="350"/>
      <c r="CG81" s="350"/>
      <c r="CH81" s="300"/>
      <c r="CR81" s="350"/>
      <c r="CS81" s="300"/>
      <c r="CT81" s="522" t="str">
        <f t="shared" si="122"/>
        <v/>
      </c>
      <c r="CU81" s="371" t="str">
        <f ca="1">IF(OR(CT81="",DA81="",CT81=DA81,ISNA(VLOOKUP(CONCATENATE(CT81,DA81),games.a,2,FALSE))),"",CONCATENATE(CT81,DA81))</f>
        <v/>
      </c>
      <c r="CV81" s="371" t="str">
        <f ca="1">IF(CU81="","",CONCATENATE(VLOOKUP(CU81,games.a,9,FALSE),VLOOKUP(CU81,games.a,12,FALSE)))</f>
        <v/>
      </c>
      <c r="CW81" s="369" t="str">
        <f ca="1">IF(CU81="","",VLOOKUP(CU81,games.a,10,FALSE))</f>
        <v/>
      </c>
      <c r="CX81" s="369" t="str">
        <f ca="1">IF(CU81="","",VLOOKUP(CU81,games.a,13,FALSE))</f>
        <v/>
      </c>
      <c r="CY81" s="423" t="str">
        <f ca="1">IF(CU81="","",VLOOKUP(CU81,games.a,6,FALSE))</f>
        <v/>
      </c>
      <c r="CZ81" s="409" t="str">
        <f ca="1">IF(CU81="","",VLOOKUP(CU81,games.a,7,FALSE))</f>
        <v/>
      </c>
      <c r="DA81" s="523" t="str">
        <f t="shared" ca="1" si="123"/>
        <v/>
      </c>
      <c r="DB81" s="302"/>
      <c r="DC81" s="364"/>
      <c r="DD81" s="302"/>
      <c r="DF81" s="424"/>
      <c r="DG81" s="424"/>
      <c r="DH81" s="424"/>
      <c r="DI81" s="424"/>
      <c r="DJ81" s="424"/>
      <c r="DK81" s="424"/>
      <c r="DL81" s="424"/>
      <c r="DM81" s="424"/>
      <c r="DN81" s="424"/>
      <c r="DO81" s="424"/>
      <c r="DP81" s="424"/>
      <c r="DQ81" s="424"/>
      <c r="DR81" s="424"/>
      <c r="DS81" s="424"/>
      <c r="DT81" s="424"/>
      <c r="DU81" s="424"/>
      <c r="DV81" s="424"/>
      <c r="DW81" s="424"/>
      <c r="DX81" s="424"/>
      <c r="DY81" s="424"/>
      <c r="DZ81" s="424"/>
      <c r="EA81" s="424"/>
      <c r="EB81" s="424"/>
      <c r="EC81" s="424"/>
      <c r="ED81" s="424"/>
      <c r="EE81" s="424"/>
      <c r="EF81" s="424"/>
      <c r="EG81" s="424"/>
      <c r="EH81" s="424"/>
      <c r="EI81" s="424"/>
      <c r="EJ81" s="424"/>
      <c r="EK81" s="424"/>
      <c r="EL81" s="424"/>
      <c r="EM81" s="424"/>
      <c r="EN81" s="424"/>
      <c r="EO81" s="425"/>
      <c r="EP81" s="333"/>
    </row>
    <row r="82" spans="29:146" ht="16.5" customHeight="1" x14ac:dyDescent="0.25">
      <c r="AC82" s="232" t="s">
        <v>395</v>
      </c>
      <c r="AD82" s="389" t="b">
        <f ca="1">AND($AD$63,OR(AND($R$43&gt;$AD$62,RCSOP!$AS$117&gt;$AD$62),AND($AD$91,AD101,RCSOP!$AS$117&gt;0)))</f>
        <v>1</v>
      </c>
      <c r="AO82" s="349">
        <v>5</v>
      </c>
      <c r="AP82" s="430" t="str">
        <f t="shared" ca="1" si="124"/>
        <v>Royal Guard's</v>
      </c>
      <c r="AQ82" s="349">
        <v>5</v>
      </c>
      <c r="AS82" s="431">
        <f t="shared" ca="1" si="146"/>
        <v>2999008.0260000001</v>
      </c>
      <c r="AT82" s="377">
        <f t="shared" ca="1" si="151"/>
        <v>5</v>
      </c>
      <c r="AU82" s="343">
        <f ca="1">IF(NOT($AD$44),0,IF(ASZTAB!$AJ$44,BI82*100,IF(ASZTAB!$AJ$43,BG82*10,BG82))*1000000+IF(ASZTAB!$AJ$52,AY82*10000,0)+IF(ASZTAB!$AJ$44,BE82,BD82)*1000/IF(OR(ASZTAB!AJ$43,ASZTAB!$AJ$52),10,1)+IF(ASZTAB!$AJ$44,0,IF(ASZTAB!AJ$43,BB82/10,BB82))+BJ82+BK82-IF(AW82=0,1000000000,0))</f>
        <v>2999008.0260000001</v>
      </c>
      <c r="AV82" s="349">
        <v>5</v>
      </c>
      <c r="AW82" s="345" t="str">
        <f t="shared" ca="1" si="147"/>
        <v>Royal Guard's</v>
      </c>
      <c r="AX82" s="346">
        <f t="shared" ca="1" si="148"/>
        <v>4</v>
      </c>
      <c r="AY82" s="346">
        <f t="shared" ca="1" si="125"/>
        <v>0</v>
      </c>
      <c r="AZ82" s="346">
        <f t="shared" ca="1" si="126"/>
        <v>3</v>
      </c>
      <c r="BA82" s="346">
        <f t="shared" ca="1" si="127"/>
        <v>1</v>
      </c>
      <c r="BB82" s="346">
        <f t="shared" ca="1" si="128"/>
        <v>8</v>
      </c>
      <c r="BC82" s="346">
        <f t="shared" ca="1" si="129"/>
        <v>9</v>
      </c>
      <c r="BD82" s="346">
        <f t="shared" ca="1" si="130"/>
        <v>-1</v>
      </c>
      <c r="BE82" s="347">
        <f t="shared" ca="1" si="131"/>
        <v>0.88888888888888884</v>
      </c>
      <c r="BF82" s="346">
        <f t="shared" ca="1" si="132"/>
        <v>0</v>
      </c>
      <c r="BG82" s="346">
        <f ca="1">IF(NOT($AD$44),0,ASZTAB!$AJ$48*AY82+AZ82-BF82)</f>
        <v>3</v>
      </c>
      <c r="BH82" s="346">
        <f t="shared" ca="1" si="149"/>
        <v>1</v>
      </c>
      <c r="BI82" s="347">
        <f t="shared" ca="1" si="150"/>
        <v>0.05</v>
      </c>
      <c r="BJ82" s="348">
        <v>2.5999999999999995E-2</v>
      </c>
      <c r="BK82" s="349">
        <f t="shared" ca="1" si="133"/>
        <v>0</v>
      </c>
      <c r="BM82" s="346">
        <f t="shared" ca="1" si="134"/>
        <v>0</v>
      </c>
      <c r="BN82" s="346">
        <f t="shared" ca="1" si="135"/>
        <v>0</v>
      </c>
      <c r="BO82" s="346">
        <f t="shared" ca="1" si="136"/>
        <v>0</v>
      </c>
      <c r="BP82" s="346">
        <f t="shared" ca="1" si="137"/>
        <v>0</v>
      </c>
      <c r="BQ82" s="346">
        <f t="shared" ca="1" si="138"/>
        <v>0</v>
      </c>
      <c r="BR82" s="346">
        <f t="shared" ca="1" si="139"/>
        <v>0</v>
      </c>
      <c r="BT82" s="346">
        <f t="shared" ca="1" si="140"/>
        <v>0</v>
      </c>
      <c r="BU82" s="346">
        <f t="shared" ca="1" si="141"/>
        <v>0</v>
      </c>
      <c r="BV82" s="346">
        <f t="shared" ca="1" si="142"/>
        <v>3</v>
      </c>
      <c r="BW82" s="346">
        <f t="shared" ca="1" si="143"/>
        <v>1</v>
      </c>
      <c r="BX82" s="346">
        <f t="shared" ca="1" si="144"/>
        <v>8</v>
      </c>
      <c r="BY82" s="346">
        <f t="shared" ca="1" si="145"/>
        <v>9</v>
      </c>
      <c r="CB82" s="350"/>
      <c r="CC82" s="350"/>
      <c r="CD82" s="350"/>
      <c r="CE82" s="350"/>
      <c r="CF82" s="350"/>
      <c r="CG82" s="350"/>
      <c r="CH82" s="300"/>
      <c r="CR82" s="350"/>
      <c r="CS82" s="300"/>
      <c r="CT82" s="522" t="str">
        <f t="shared" si="122"/>
        <v/>
      </c>
      <c r="CU82" s="371" t="str">
        <f ca="1">IF(OR(CT82="",DA82="",CT82=DA82,ISNA(VLOOKUP(CONCATENATE(CT82,DA82),games.a,2,FALSE))),"",CONCATENATE(CT82,DA82))</f>
        <v/>
      </c>
      <c r="CV82" s="371" t="str">
        <f ca="1">IF(CU82="","",CONCATENATE(VLOOKUP(CU82,games.a,9,FALSE),VLOOKUP(CU82,games.a,12,FALSE)))</f>
        <v/>
      </c>
      <c r="CW82" s="369" t="str">
        <f ca="1">IF(CU82="","",VLOOKUP(CU82,games.a,10,FALSE))</f>
        <v/>
      </c>
      <c r="CX82" s="369" t="str">
        <f ca="1">IF(CU82="","",VLOOKUP(CU82,games.a,13,FALSE))</f>
        <v/>
      </c>
      <c r="CY82" s="423" t="str">
        <f ca="1">IF(CU82="","",VLOOKUP(CU82,games.a,6,FALSE))</f>
        <v/>
      </c>
      <c r="CZ82" s="409" t="str">
        <f ca="1">IF(CU82="","",VLOOKUP(CU82,games.a,7,FALSE))</f>
        <v/>
      </c>
      <c r="DA82" s="523" t="str">
        <f t="shared" ca="1" si="123"/>
        <v/>
      </c>
      <c r="DB82" s="302"/>
      <c r="DC82" s="364"/>
      <c r="DD82" s="302"/>
      <c r="DF82" s="424"/>
      <c r="DG82" s="424"/>
      <c r="DH82" s="424"/>
      <c r="DI82" s="424"/>
      <c r="DJ82" s="424"/>
      <c r="DK82" s="424"/>
      <c r="DL82" s="424"/>
      <c r="DM82" s="424"/>
      <c r="DN82" s="424"/>
      <c r="DO82" s="424"/>
      <c r="DP82" s="424"/>
      <c r="DQ82" s="424"/>
      <c r="DR82" s="424"/>
      <c r="DS82" s="424"/>
      <c r="DT82" s="424"/>
      <c r="DU82" s="424"/>
      <c r="DV82" s="424"/>
      <c r="DW82" s="424"/>
      <c r="DX82" s="424"/>
      <c r="DY82" s="424"/>
      <c r="DZ82" s="424"/>
      <c r="EA82" s="424"/>
      <c r="EB82" s="424"/>
      <c r="EC82" s="424"/>
      <c r="ED82" s="424"/>
      <c r="EE82" s="424"/>
      <c r="EF82" s="424"/>
      <c r="EG82" s="424"/>
      <c r="EH82" s="424"/>
      <c r="EI82" s="424"/>
      <c r="EJ82" s="424"/>
      <c r="EK82" s="424"/>
      <c r="EL82" s="424"/>
      <c r="EM82" s="424"/>
      <c r="EN82" s="424"/>
      <c r="EO82" s="425"/>
      <c r="EP82" s="333"/>
    </row>
    <row r="83" spans="29:146" ht="16.5" customHeight="1" x14ac:dyDescent="0.25">
      <c r="AO83" s="349">
        <v>6</v>
      </c>
      <c r="AP83" s="430">
        <f t="shared" ca="1" si="124"/>
        <v>0</v>
      </c>
      <c r="AQ83" s="349">
        <v>6</v>
      </c>
      <c r="AS83" s="431">
        <f t="shared" ca="1" si="146"/>
        <v>-999999999.97500002</v>
      </c>
      <c r="AT83" s="377" t="str">
        <f t="shared" ca="1" si="151"/>
        <v/>
      </c>
      <c r="AU83" s="343">
        <f ca="1">IF(NOT($AD$44),0,IF(ASZTAB!$AJ$44,BI83*100,IF(ASZTAB!$AJ$43,BG83*10,BG83))*1000000+IF(ASZTAB!$AJ$52,AY83*10000,0)+IF(ASZTAB!$AJ$44,BE83,BD83)*1000/IF(OR(ASZTAB!AJ$43,ASZTAB!$AJ$52),10,1)+IF(ASZTAB!$AJ$44,0,IF(ASZTAB!AJ$43,BB83/10,BB83))+BJ83+BK83-IF(AW83=0,1000000000,0))</f>
        <v>-999999999.97500002</v>
      </c>
      <c r="AV83" s="349">
        <v>6</v>
      </c>
      <c r="AW83" s="345">
        <f t="shared" ca="1" si="147"/>
        <v>0</v>
      </c>
      <c r="AX83" s="346">
        <f t="shared" ca="1" si="148"/>
        <v>0</v>
      </c>
      <c r="AY83" s="346">
        <f t="shared" ca="1" si="125"/>
        <v>0</v>
      </c>
      <c r="AZ83" s="346">
        <f t="shared" ca="1" si="126"/>
        <v>0</v>
      </c>
      <c r="BA83" s="346">
        <f t="shared" ca="1" si="127"/>
        <v>0</v>
      </c>
      <c r="BB83" s="346">
        <f t="shared" ca="1" si="128"/>
        <v>0</v>
      </c>
      <c r="BC83" s="346">
        <f t="shared" ca="1" si="129"/>
        <v>0</v>
      </c>
      <c r="BD83" s="346">
        <f t="shared" ca="1" si="130"/>
        <v>0</v>
      </c>
      <c r="BE83" s="347">
        <f t="shared" ca="1" si="131"/>
        <v>0</v>
      </c>
      <c r="BF83" s="346">
        <f t="shared" ca="1" si="132"/>
        <v>0</v>
      </c>
      <c r="BG83" s="346">
        <f ca="1">IF(NOT($AD$44),0,ASZTAB!$AJ$48*AY83+AZ83-BF83)</f>
        <v>0</v>
      </c>
      <c r="BH83" s="346">
        <f t="shared" ca="1" si="149"/>
        <v>0</v>
      </c>
      <c r="BI83" s="347">
        <f t="shared" ca="1" si="150"/>
        <v>0</v>
      </c>
      <c r="BJ83" s="348">
        <v>2.5000000000000001E-2</v>
      </c>
      <c r="BK83" s="349">
        <f t="shared" ca="1" si="133"/>
        <v>0</v>
      </c>
      <c r="BM83" s="346">
        <f t="shared" ca="1" si="134"/>
        <v>0</v>
      </c>
      <c r="BN83" s="346">
        <f t="shared" ca="1" si="135"/>
        <v>0</v>
      </c>
      <c r="BO83" s="346">
        <f t="shared" ca="1" si="136"/>
        <v>0</v>
      </c>
      <c r="BP83" s="346">
        <f t="shared" ca="1" si="137"/>
        <v>0</v>
      </c>
      <c r="BQ83" s="346">
        <f t="shared" ca="1" si="138"/>
        <v>0</v>
      </c>
      <c r="BR83" s="346">
        <f t="shared" ca="1" si="139"/>
        <v>0</v>
      </c>
      <c r="BT83" s="346">
        <f t="shared" ca="1" si="140"/>
        <v>0</v>
      </c>
      <c r="BU83" s="346">
        <f t="shared" ca="1" si="141"/>
        <v>0</v>
      </c>
      <c r="BV83" s="346">
        <f t="shared" ca="1" si="142"/>
        <v>0</v>
      </c>
      <c r="BW83" s="346">
        <f t="shared" ca="1" si="143"/>
        <v>0</v>
      </c>
      <c r="BX83" s="346">
        <f t="shared" ca="1" si="144"/>
        <v>0</v>
      </c>
      <c r="BY83" s="346">
        <f t="shared" ca="1" si="145"/>
        <v>0</v>
      </c>
      <c r="CB83" s="350"/>
      <c r="CC83" s="350"/>
      <c r="CD83" s="350"/>
      <c r="CE83" s="350"/>
      <c r="CF83" s="350"/>
      <c r="CG83" s="350"/>
      <c r="CH83" s="300"/>
      <c r="CR83" s="350"/>
      <c r="CS83" s="300"/>
      <c r="CT83" s="522" t="str">
        <f t="shared" si="122"/>
        <v/>
      </c>
      <c r="CU83" s="371" t="str">
        <f ca="1">IF(OR(CT83="",DA83="",CT83=DA83,ISNA(VLOOKUP(CONCATENATE(CT83,DA83),games.a,2,FALSE))),"",CONCATENATE(CT83,DA83))</f>
        <v/>
      </c>
      <c r="CV83" s="371" t="str">
        <f ca="1">IF(CU83="","",CONCATENATE(VLOOKUP(CU83,games.a,9,FALSE),VLOOKUP(CU83,games.a,12,FALSE)))</f>
        <v/>
      </c>
      <c r="CW83" s="369" t="str">
        <f ca="1">IF(CU83="","",VLOOKUP(CU83,games.a,10,FALSE))</f>
        <v/>
      </c>
      <c r="CX83" s="369" t="str">
        <f ca="1">IF(CU83="","",VLOOKUP(CU83,games.a,13,FALSE))</f>
        <v/>
      </c>
      <c r="CY83" s="423" t="str">
        <f ca="1">IF(CU83="","",VLOOKUP(CU83,games.a,6,FALSE))</f>
        <v/>
      </c>
      <c r="CZ83" s="409" t="str">
        <f ca="1">IF(CU83="","",VLOOKUP(CU83,games.a,7,FALSE))</f>
        <v/>
      </c>
      <c r="DA83" s="523" t="str">
        <f t="shared" ca="1" si="123"/>
        <v/>
      </c>
      <c r="DB83" s="302"/>
      <c r="DC83" s="364"/>
      <c r="DD83" s="302"/>
      <c r="DF83" s="424"/>
      <c r="DG83" s="424"/>
      <c r="DH83" s="424"/>
      <c r="DI83" s="424"/>
      <c r="DJ83" s="424"/>
      <c r="DK83" s="424"/>
      <c r="DL83" s="424"/>
      <c r="DM83" s="424"/>
      <c r="DN83" s="424"/>
      <c r="DO83" s="424"/>
      <c r="DP83" s="424"/>
      <c r="DQ83" s="424"/>
      <c r="DR83" s="424"/>
      <c r="DS83" s="424"/>
      <c r="DT83" s="424"/>
      <c r="DU83" s="424"/>
      <c r="DV83" s="424"/>
      <c r="DW83" s="424"/>
      <c r="DX83" s="424"/>
      <c r="DY83" s="424"/>
      <c r="DZ83" s="424"/>
      <c r="EA83" s="424"/>
      <c r="EB83" s="424"/>
      <c r="EC83" s="424"/>
      <c r="ED83" s="424"/>
      <c r="EE83" s="424"/>
      <c r="EF83" s="424"/>
      <c r="EG83" s="424"/>
      <c r="EH83" s="424"/>
      <c r="EI83" s="424"/>
      <c r="EJ83" s="424"/>
      <c r="EK83" s="424"/>
      <c r="EL83" s="424"/>
      <c r="EM83" s="424"/>
      <c r="EN83" s="424"/>
      <c r="EO83" s="425"/>
      <c r="EP83" s="333"/>
    </row>
    <row r="84" spans="29:146" ht="16.5" customHeight="1" x14ac:dyDescent="0.25">
      <c r="AC84" s="232" t="s">
        <v>403</v>
      </c>
      <c r="AD84" s="389" t="b">
        <f>AND(AD45,(SUM(AX90:AX99)-AD107*AD53)*2/IF(AD53=0,1,AD53)&gt;=AD54)</f>
        <v>0</v>
      </c>
      <c r="AO84" s="349">
        <v>7</v>
      </c>
      <c r="AP84" s="430">
        <f t="shared" ca="1" si="124"/>
        <v>0</v>
      </c>
      <c r="AQ84" s="349">
        <v>7</v>
      </c>
      <c r="AS84" s="431">
        <f t="shared" ca="1" si="146"/>
        <v>-999999999.97599995</v>
      </c>
      <c r="AT84" s="377" t="str">
        <f t="shared" ca="1" si="151"/>
        <v/>
      </c>
      <c r="AU84" s="343">
        <f ca="1">IF(NOT($AD$44),0,IF(ASZTAB!$AJ$44,BI84*100,IF(ASZTAB!$AJ$43,BG84*10,BG84))*1000000+IF(ASZTAB!$AJ$52,AY84*10000,0)+IF(ASZTAB!$AJ$44,BE84,BD84)*1000/IF(OR(ASZTAB!AJ$43,ASZTAB!$AJ$52),10,1)+IF(ASZTAB!$AJ$44,0,IF(ASZTAB!AJ$43,BB84/10,BB84))+BJ84+BK84-IF(AW84=0,1000000000,0))</f>
        <v>-999999999.97599995</v>
      </c>
      <c r="AV84" s="349">
        <v>7</v>
      </c>
      <c r="AW84" s="345">
        <f t="shared" ca="1" si="147"/>
        <v>0</v>
      </c>
      <c r="AX84" s="346">
        <f t="shared" ca="1" si="148"/>
        <v>0</v>
      </c>
      <c r="AY84" s="346">
        <f t="shared" ca="1" si="125"/>
        <v>0</v>
      </c>
      <c r="AZ84" s="346">
        <f t="shared" ca="1" si="126"/>
        <v>0</v>
      </c>
      <c r="BA84" s="346">
        <f t="shared" ca="1" si="127"/>
        <v>0</v>
      </c>
      <c r="BB84" s="346">
        <f t="shared" ca="1" si="128"/>
        <v>0</v>
      </c>
      <c r="BC84" s="346">
        <f t="shared" ca="1" si="129"/>
        <v>0</v>
      </c>
      <c r="BD84" s="346">
        <f t="shared" ca="1" si="130"/>
        <v>0</v>
      </c>
      <c r="BE84" s="347">
        <f t="shared" ca="1" si="131"/>
        <v>0</v>
      </c>
      <c r="BF84" s="346">
        <f t="shared" ca="1" si="132"/>
        <v>0</v>
      </c>
      <c r="BG84" s="346">
        <f ca="1">IF(NOT($AD$44),0,ASZTAB!$AJ$48*AY84+AZ84-BF84)</f>
        <v>0</v>
      </c>
      <c r="BH84" s="346">
        <f t="shared" ca="1" si="149"/>
        <v>0</v>
      </c>
      <c r="BI84" s="347">
        <f t="shared" ca="1" si="150"/>
        <v>0</v>
      </c>
      <c r="BJ84" s="348">
        <v>2.3999999999999994E-2</v>
      </c>
      <c r="BK84" s="349">
        <f t="shared" ca="1" si="133"/>
        <v>0</v>
      </c>
      <c r="BM84" s="346">
        <f t="shared" ca="1" si="134"/>
        <v>0</v>
      </c>
      <c r="BN84" s="346">
        <f t="shared" ca="1" si="135"/>
        <v>0</v>
      </c>
      <c r="BO84" s="346">
        <f t="shared" ca="1" si="136"/>
        <v>0</v>
      </c>
      <c r="BP84" s="346">
        <f t="shared" ca="1" si="137"/>
        <v>0</v>
      </c>
      <c r="BQ84" s="346">
        <f t="shared" ca="1" si="138"/>
        <v>0</v>
      </c>
      <c r="BR84" s="346">
        <f t="shared" ca="1" si="139"/>
        <v>0</v>
      </c>
      <c r="BT84" s="346">
        <f t="shared" ca="1" si="140"/>
        <v>0</v>
      </c>
      <c r="BU84" s="346">
        <f t="shared" ca="1" si="141"/>
        <v>0</v>
      </c>
      <c r="BV84" s="346">
        <f t="shared" ca="1" si="142"/>
        <v>0</v>
      </c>
      <c r="BW84" s="346">
        <f t="shared" ca="1" si="143"/>
        <v>0</v>
      </c>
      <c r="BX84" s="346">
        <f t="shared" ca="1" si="144"/>
        <v>0</v>
      </c>
      <c r="BY84" s="346">
        <f t="shared" ca="1" si="145"/>
        <v>0</v>
      </c>
      <c r="CB84" s="350"/>
      <c r="CC84" s="350"/>
      <c r="CD84" s="350"/>
      <c r="CE84" s="350"/>
      <c r="CF84" s="350"/>
      <c r="CG84" s="350"/>
      <c r="CH84" s="300"/>
      <c r="CR84" s="350"/>
      <c r="CS84" s="300"/>
      <c r="CT84" s="522" t="str">
        <f t="shared" si="122"/>
        <v/>
      </c>
      <c r="CU84" s="371" t="str">
        <f ca="1">IF(OR(CT84="",DA84="",CT84=DA84,ISNA(VLOOKUP(CONCATENATE(CT84,DA84),games.a,2,FALSE))),"",CONCATENATE(CT84,DA84))</f>
        <v/>
      </c>
      <c r="CV84" s="371" t="str">
        <f ca="1">IF(CU84="","",CONCATENATE(VLOOKUP(CU84,games.a,9,FALSE),VLOOKUP(CU84,games.a,12,FALSE)))</f>
        <v/>
      </c>
      <c r="CW84" s="369" t="str">
        <f ca="1">IF(CU84="","",VLOOKUP(CU84,games.a,10,FALSE))</f>
        <v/>
      </c>
      <c r="CX84" s="369" t="str">
        <f ca="1">IF(CU84="","",VLOOKUP(CU84,games.a,13,FALSE))</f>
        <v/>
      </c>
      <c r="CY84" s="423" t="str">
        <f ca="1">IF(CU84="","",VLOOKUP(CU84,games.a,6,FALSE))</f>
        <v/>
      </c>
      <c r="CZ84" s="409" t="str">
        <f ca="1">IF(CU84="","",VLOOKUP(CU84,games.a,7,FALSE))</f>
        <v/>
      </c>
      <c r="DA84" s="523" t="str">
        <f t="shared" ca="1" si="123"/>
        <v/>
      </c>
      <c r="DB84" s="302"/>
      <c r="DC84" s="364"/>
      <c r="DD84" s="302"/>
      <c r="DF84" s="424"/>
      <c r="DG84" s="424"/>
      <c r="DH84" s="424"/>
      <c r="DI84" s="424"/>
      <c r="DJ84" s="424"/>
      <c r="DK84" s="424"/>
      <c r="DL84" s="424"/>
      <c r="DM84" s="424"/>
      <c r="DN84" s="424"/>
      <c r="DO84" s="424"/>
      <c r="DP84" s="424"/>
      <c r="DQ84" s="424"/>
      <c r="DR84" s="424"/>
      <c r="DS84" s="424"/>
      <c r="DT84" s="424"/>
      <c r="DU84" s="424"/>
      <c r="DV84" s="424"/>
      <c r="DW84" s="424"/>
      <c r="DX84" s="424"/>
      <c r="DY84" s="424"/>
      <c r="DZ84" s="424"/>
      <c r="EA84" s="424"/>
      <c r="EB84" s="424"/>
      <c r="EC84" s="424"/>
      <c r="ED84" s="424"/>
      <c r="EE84" s="424"/>
      <c r="EF84" s="424"/>
      <c r="EG84" s="424"/>
      <c r="EH84" s="424"/>
      <c r="EI84" s="424"/>
      <c r="EJ84" s="424"/>
      <c r="EK84" s="424"/>
      <c r="EL84" s="424"/>
      <c r="EM84" s="424"/>
      <c r="EN84" s="424"/>
      <c r="EO84" s="425"/>
      <c r="EP84" s="333"/>
    </row>
    <row r="85" spans="29:146" ht="16.5" customHeight="1" x14ac:dyDescent="0.25">
      <c r="AC85" s="232" t="s">
        <v>402</v>
      </c>
      <c r="AD85" s="389" t="b">
        <f>AND(AD45,SUM(AX102:AX111)/IF(AD53=0,1,AD53)=AD54+AD107)</f>
        <v>0</v>
      </c>
      <c r="AO85" s="349">
        <v>8</v>
      </c>
      <c r="AP85" s="430">
        <f t="shared" ca="1" si="124"/>
        <v>0</v>
      </c>
      <c r="AQ85" s="349">
        <v>8</v>
      </c>
      <c r="AS85" s="431">
        <f t="shared" ca="1" si="146"/>
        <v>-999999999.977</v>
      </c>
      <c r="AT85" s="377" t="str">
        <f t="shared" ca="1" si="151"/>
        <v/>
      </c>
      <c r="AU85" s="343">
        <f ca="1">IF(NOT($AD$44),0,IF(ASZTAB!$AJ$44,BI85*100,IF(ASZTAB!$AJ$43,BG85*10,BG85))*1000000+IF(ASZTAB!$AJ$52,AY85*10000,0)+IF(ASZTAB!$AJ$44,BE85,BD85)*1000/IF(OR(ASZTAB!AJ$43,ASZTAB!$AJ$52),10,1)+IF(ASZTAB!$AJ$44,0,IF(ASZTAB!AJ$43,BB85/10,BB85))+BJ85+BK85-IF(AW85=0,1000000000,0))</f>
        <v>-999999999.977</v>
      </c>
      <c r="AV85" s="349">
        <v>8</v>
      </c>
      <c r="AW85" s="345">
        <f t="shared" ca="1" si="147"/>
        <v>0</v>
      </c>
      <c r="AX85" s="346">
        <f t="shared" ca="1" si="148"/>
        <v>0</v>
      </c>
      <c r="AY85" s="346">
        <f t="shared" ca="1" si="125"/>
        <v>0</v>
      </c>
      <c r="AZ85" s="346">
        <f t="shared" ca="1" si="126"/>
        <v>0</v>
      </c>
      <c r="BA85" s="346">
        <f t="shared" ca="1" si="127"/>
        <v>0</v>
      </c>
      <c r="BB85" s="346">
        <f t="shared" ca="1" si="128"/>
        <v>0</v>
      </c>
      <c r="BC85" s="346">
        <f t="shared" ca="1" si="129"/>
        <v>0</v>
      </c>
      <c r="BD85" s="346">
        <f t="shared" ca="1" si="130"/>
        <v>0</v>
      </c>
      <c r="BE85" s="347">
        <f t="shared" ca="1" si="131"/>
        <v>0</v>
      </c>
      <c r="BF85" s="346">
        <f t="shared" ca="1" si="132"/>
        <v>0</v>
      </c>
      <c r="BG85" s="346">
        <f ca="1">IF(NOT($AD$44),0,ASZTAB!$AJ$48*AY85+AZ85-BF85)</f>
        <v>0</v>
      </c>
      <c r="BH85" s="346">
        <f t="shared" ca="1" si="149"/>
        <v>0</v>
      </c>
      <c r="BI85" s="347">
        <f t="shared" ca="1" si="150"/>
        <v>0</v>
      </c>
      <c r="BJ85" s="348">
        <v>2.2999999999999993E-2</v>
      </c>
      <c r="BK85" s="349">
        <f t="shared" ca="1" si="133"/>
        <v>0</v>
      </c>
      <c r="BM85" s="346">
        <f t="shared" ca="1" si="134"/>
        <v>0</v>
      </c>
      <c r="BN85" s="346">
        <f t="shared" ca="1" si="135"/>
        <v>0</v>
      </c>
      <c r="BO85" s="346">
        <f t="shared" ca="1" si="136"/>
        <v>0</v>
      </c>
      <c r="BP85" s="346">
        <f t="shared" ca="1" si="137"/>
        <v>0</v>
      </c>
      <c r="BQ85" s="346">
        <f t="shared" ca="1" si="138"/>
        <v>0</v>
      </c>
      <c r="BR85" s="346">
        <f t="shared" ca="1" si="139"/>
        <v>0</v>
      </c>
      <c r="BT85" s="346">
        <f t="shared" ca="1" si="140"/>
        <v>0</v>
      </c>
      <c r="BU85" s="346">
        <f t="shared" ca="1" si="141"/>
        <v>0</v>
      </c>
      <c r="BV85" s="346">
        <f t="shared" ca="1" si="142"/>
        <v>0</v>
      </c>
      <c r="BW85" s="346">
        <f t="shared" ca="1" si="143"/>
        <v>0</v>
      </c>
      <c r="BX85" s="346">
        <f t="shared" ca="1" si="144"/>
        <v>0</v>
      </c>
      <c r="BY85" s="346">
        <f t="shared" ca="1" si="145"/>
        <v>0</v>
      </c>
      <c r="CB85" s="350"/>
      <c r="CC85" s="350"/>
      <c r="CD85" s="350"/>
      <c r="CE85" s="350"/>
      <c r="CF85" s="350"/>
      <c r="CG85" s="350"/>
      <c r="CH85" s="300"/>
      <c r="CR85" s="350"/>
      <c r="CS85" s="300"/>
      <c r="CT85" s="301"/>
      <c r="CU85" s="324" t="s">
        <v>157</v>
      </c>
      <c r="CV85" s="324" t="s">
        <v>158</v>
      </c>
      <c r="CW85" s="325" t="s">
        <v>159</v>
      </c>
      <c r="CX85" s="325"/>
      <c r="CY85" s="326" t="s">
        <v>160</v>
      </c>
      <c r="CZ85" s="325" t="s">
        <v>135</v>
      </c>
      <c r="DA85" s="302"/>
      <c r="DB85" s="302"/>
      <c r="DC85" s="364"/>
      <c r="DD85" s="302"/>
      <c r="DF85" s="424"/>
      <c r="DG85" s="424"/>
      <c r="DH85" s="424"/>
      <c r="DI85" s="424"/>
      <c r="DJ85" s="424"/>
      <c r="DK85" s="424"/>
      <c r="DL85" s="424"/>
      <c r="DM85" s="424"/>
      <c r="DN85" s="424"/>
      <c r="DO85" s="424"/>
      <c r="DP85" s="424"/>
      <c r="DQ85" s="424"/>
      <c r="DR85" s="424"/>
      <c r="DS85" s="424"/>
      <c r="DT85" s="424"/>
      <c r="DU85" s="424"/>
      <c r="DV85" s="424"/>
      <c r="DW85" s="424"/>
      <c r="DX85" s="424"/>
      <c r="DY85" s="424"/>
      <c r="DZ85" s="424"/>
      <c r="EA85" s="424"/>
      <c r="EB85" s="424"/>
      <c r="EC85" s="424"/>
      <c r="ED85" s="424"/>
      <c r="EE85" s="424"/>
      <c r="EF85" s="424"/>
      <c r="EG85" s="424"/>
      <c r="EH85" s="424"/>
      <c r="EI85" s="424"/>
      <c r="EJ85" s="424"/>
      <c r="EK85" s="424"/>
      <c r="EL85" s="424"/>
      <c r="EM85" s="424"/>
      <c r="EN85" s="424"/>
      <c r="EO85" s="425"/>
      <c r="EP85" s="333"/>
    </row>
    <row r="86" spans="29:146" ht="16.5" customHeight="1" x14ac:dyDescent="0.25">
      <c r="AC86" s="232" t="s">
        <v>401</v>
      </c>
      <c r="AD86" s="389" t="b">
        <f>AND(AD45,$AD$57=1,$AD$63,OR(IF(ASZTAB!$AJ$44,TRUE,$AD$84),AD108,AD109),OR(ASZTAB!$AJ$53,ASZTAB!$AJ$54))</f>
        <v>0</v>
      </c>
      <c r="AO86" s="349">
        <v>9</v>
      </c>
      <c r="AP86" s="430">
        <f t="shared" ca="1" si="124"/>
        <v>0</v>
      </c>
      <c r="AQ86" s="349">
        <v>9</v>
      </c>
      <c r="AS86" s="431">
        <f t="shared" ca="1" si="146"/>
        <v>-999999999.97800004</v>
      </c>
      <c r="AT86" s="377" t="str">
        <f t="shared" ca="1" si="151"/>
        <v/>
      </c>
      <c r="AU86" s="343">
        <f ca="1">IF(NOT($AD$44),0,IF(ASZTAB!$AJ$44,BI86*100,IF(ASZTAB!$AJ$43,BG86*10,BG86))*1000000+IF(ASZTAB!$AJ$52,AY86*10000,0)+IF(ASZTAB!$AJ$44,BE86,BD86)*1000/IF(OR(ASZTAB!AJ$43,ASZTAB!$AJ$52),10,1)+IF(ASZTAB!$AJ$44,0,IF(ASZTAB!AJ$43,BB86/10,BB86))+BJ86+BK86-IF(AW86=0,1000000000,0))</f>
        <v>-999999999.97800004</v>
      </c>
      <c r="AV86" s="349">
        <v>9</v>
      </c>
      <c r="AW86" s="345">
        <f t="shared" ca="1" si="147"/>
        <v>0</v>
      </c>
      <c r="AX86" s="346">
        <f t="shared" ca="1" si="148"/>
        <v>0</v>
      </c>
      <c r="AY86" s="346">
        <f t="shared" ca="1" si="125"/>
        <v>0</v>
      </c>
      <c r="AZ86" s="346">
        <f t="shared" ca="1" si="126"/>
        <v>0</v>
      </c>
      <c r="BA86" s="346">
        <f t="shared" ca="1" si="127"/>
        <v>0</v>
      </c>
      <c r="BB86" s="346">
        <f t="shared" ca="1" si="128"/>
        <v>0</v>
      </c>
      <c r="BC86" s="346">
        <f t="shared" ca="1" si="129"/>
        <v>0</v>
      </c>
      <c r="BD86" s="346">
        <f t="shared" ca="1" si="130"/>
        <v>0</v>
      </c>
      <c r="BE86" s="347">
        <f t="shared" ca="1" si="131"/>
        <v>0</v>
      </c>
      <c r="BF86" s="346">
        <f t="shared" ca="1" si="132"/>
        <v>0</v>
      </c>
      <c r="BG86" s="346">
        <f ca="1">IF(NOT($AD$44),0,ASZTAB!$AJ$48*AY86+AZ86-BF86)</f>
        <v>0</v>
      </c>
      <c r="BH86" s="346">
        <f t="shared" ca="1" si="149"/>
        <v>0</v>
      </c>
      <c r="BI86" s="347">
        <f t="shared" ca="1" si="150"/>
        <v>0</v>
      </c>
      <c r="BJ86" s="348">
        <v>2.1999999999999992E-2</v>
      </c>
      <c r="BK86" s="349">
        <f t="shared" ca="1" si="133"/>
        <v>0</v>
      </c>
      <c r="BM86" s="346">
        <f t="shared" ca="1" si="134"/>
        <v>0</v>
      </c>
      <c r="BN86" s="346">
        <f t="shared" ca="1" si="135"/>
        <v>0</v>
      </c>
      <c r="BO86" s="346">
        <f t="shared" ca="1" si="136"/>
        <v>0</v>
      </c>
      <c r="BP86" s="346">
        <f t="shared" ca="1" si="137"/>
        <v>0</v>
      </c>
      <c r="BQ86" s="346">
        <f t="shared" ca="1" si="138"/>
        <v>0</v>
      </c>
      <c r="BR86" s="346">
        <f t="shared" ca="1" si="139"/>
        <v>0</v>
      </c>
      <c r="BT86" s="346">
        <f t="shared" ca="1" si="140"/>
        <v>0</v>
      </c>
      <c r="BU86" s="346">
        <f t="shared" ca="1" si="141"/>
        <v>0</v>
      </c>
      <c r="BV86" s="346">
        <f t="shared" ca="1" si="142"/>
        <v>0</v>
      </c>
      <c r="BW86" s="346">
        <f t="shared" ca="1" si="143"/>
        <v>0</v>
      </c>
      <c r="BX86" s="346">
        <f t="shared" ca="1" si="144"/>
        <v>0</v>
      </c>
      <c r="BY86" s="346">
        <f t="shared" ca="1" si="145"/>
        <v>0</v>
      </c>
      <c r="CB86" s="350"/>
      <c r="CC86" s="350"/>
      <c r="CD86" s="350"/>
      <c r="CE86" s="350"/>
      <c r="CF86" s="350"/>
      <c r="CG86" s="350"/>
      <c r="CR86" s="350"/>
      <c r="CS86" s="300"/>
      <c r="CT86" s="395" t="str">
        <f ca="1">CT75</f>
        <v/>
      </c>
      <c r="CU86" s="360" t="str">
        <f ca="1">IF(OR(CT86="",DA86="",CT86=DA86,ISNA(VLOOKUP(CONCATENATE(CT86,DA86),games.r,2,FALSE))),"",CONCATENATE(CT86,DA86))</f>
        <v/>
      </c>
      <c r="CV86" s="360" t="str">
        <f ca="1">IF(CU86="","",CONCATENATE(VLOOKUP(CU86,games.r,9,FALSE),VLOOKUP(CU86,games.r,12,FALSE)))</f>
        <v/>
      </c>
      <c r="CW86" s="354" t="str">
        <f ca="1">IF(CU86="","",VLOOKUP(CU86,games.r,10,FALSE))</f>
        <v/>
      </c>
      <c r="CX86" s="354" t="str">
        <f ca="1">IF(CU86="","",VLOOKUP(CU86,games.r,13,FALSE))</f>
        <v/>
      </c>
      <c r="CY86" s="361" t="str">
        <f ca="1">IF(CU86="","",VLOOKUP(CU86,games.r,6,FALSE))</f>
        <v/>
      </c>
      <c r="CZ86" s="362" t="str">
        <f ca="1">IF(CU86="","",VLOOKUP(CU86,games.r,7,FALSE))</f>
        <v/>
      </c>
      <c r="DA86" s="363" t="str">
        <f ca="1">CT46</f>
        <v/>
      </c>
      <c r="DB86" s="302"/>
      <c r="DC86" s="364"/>
      <c r="DD86" s="302"/>
      <c r="DF86" s="424"/>
      <c r="DG86" s="424"/>
      <c r="DH86" s="424"/>
      <c r="DI86" s="424"/>
      <c r="DJ86" s="424"/>
      <c r="DK86" s="424"/>
      <c r="DL86" s="424"/>
      <c r="DM86" s="424"/>
      <c r="DN86" s="424"/>
      <c r="DO86" s="424"/>
      <c r="DP86" s="424"/>
      <c r="DQ86" s="424"/>
      <c r="DR86" s="424"/>
      <c r="DS86" s="424"/>
      <c r="DT86" s="424"/>
      <c r="DU86" s="424"/>
      <c r="DV86" s="424"/>
      <c r="DW86" s="424"/>
      <c r="DX86" s="424"/>
      <c r="DY86" s="424"/>
      <c r="DZ86" s="424"/>
      <c r="EA86" s="424"/>
      <c r="EB86" s="424"/>
      <c r="EC86" s="424"/>
      <c r="ED86" s="424"/>
      <c r="EE86" s="424"/>
      <c r="EF86" s="424"/>
      <c r="EG86" s="424"/>
      <c r="EH86" s="424"/>
      <c r="EI86" s="424"/>
      <c r="EJ86" s="424"/>
      <c r="EK86" s="424"/>
      <c r="EL86" s="424"/>
      <c r="EM86" s="424"/>
      <c r="EN86" s="424"/>
      <c r="EO86" s="425"/>
      <c r="EP86" s="333"/>
    </row>
    <row r="87" spans="29:146" ht="16.5" customHeight="1" x14ac:dyDescent="0.25">
      <c r="AC87" s="232" t="s">
        <v>400</v>
      </c>
      <c r="AD87" s="389" t="b">
        <f>AND(AD45,$AD$57=1,$AD$63)</f>
        <v>0</v>
      </c>
      <c r="AO87" s="349">
        <v>10</v>
      </c>
      <c r="AP87" s="430">
        <f t="shared" ca="1" si="124"/>
        <v>0</v>
      </c>
      <c r="AQ87" s="349">
        <v>10</v>
      </c>
      <c r="AS87" s="431">
        <f t="shared" ca="1" si="146"/>
        <v>-999999999.97899997</v>
      </c>
      <c r="AT87" s="377" t="str">
        <f t="shared" ca="1" si="151"/>
        <v/>
      </c>
      <c r="AU87" s="343">
        <f ca="1">IF(NOT($AD$44),0,IF(ASZTAB!$AJ$44,BI87*100,IF(ASZTAB!$AJ$43,BG87*10,BG87))*1000000+IF(ASZTAB!$AJ$52,AY87*10000,0)+IF(ASZTAB!$AJ$44,BE87,BD87)*1000/IF(OR(ASZTAB!AJ$43,ASZTAB!$AJ$52),10,1)+IF(ASZTAB!$AJ$44,0,IF(ASZTAB!AJ$43,BB87/10,BB87))+BJ87+BK87-IF(AW87=0,1000000000,0))</f>
        <v>-999999999.97899997</v>
      </c>
      <c r="AV87" s="349">
        <v>10</v>
      </c>
      <c r="AW87" s="345">
        <f t="shared" ca="1" si="147"/>
        <v>0</v>
      </c>
      <c r="AX87" s="346">
        <f t="shared" ca="1" si="148"/>
        <v>0</v>
      </c>
      <c r="AY87" s="346">
        <f t="shared" ca="1" si="125"/>
        <v>0</v>
      </c>
      <c r="AZ87" s="346">
        <f t="shared" ca="1" si="126"/>
        <v>0</v>
      </c>
      <c r="BA87" s="346">
        <f t="shared" ca="1" si="127"/>
        <v>0</v>
      </c>
      <c r="BB87" s="346">
        <f t="shared" ca="1" si="128"/>
        <v>0</v>
      </c>
      <c r="BC87" s="346">
        <f t="shared" ca="1" si="129"/>
        <v>0</v>
      </c>
      <c r="BD87" s="346">
        <f t="shared" ca="1" si="130"/>
        <v>0</v>
      </c>
      <c r="BE87" s="347">
        <f t="shared" ca="1" si="131"/>
        <v>0</v>
      </c>
      <c r="BF87" s="346">
        <f t="shared" ca="1" si="132"/>
        <v>0</v>
      </c>
      <c r="BG87" s="346">
        <f ca="1">IF(NOT($AD$44),0,ASZTAB!$AJ$48*AY87+AZ87-BF87)</f>
        <v>0</v>
      </c>
      <c r="BH87" s="346">
        <f t="shared" ca="1" si="149"/>
        <v>0</v>
      </c>
      <c r="BI87" s="347">
        <f t="shared" ca="1" si="150"/>
        <v>0</v>
      </c>
      <c r="BJ87" s="348">
        <v>2.0999999999999991E-2</v>
      </c>
      <c r="BK87" s="349">
        <f t="shared" ca="1" si="133"/>
        <v>0</v>
      </c>
      <c r="BM87" s="346">
        <f t="shared" ca="1" si="134"/>
        <v>0</v>
      </c>
      <c r="BN87" s="346">
        <f t="shared" ca="1" si="135"/>
        <v>0</v>
      </c>
      <c r="BO87" s="346">
        <f t="shared" ca="1" si="136"/>
        <v>0</v>
      </c>
      <c r="BP87" s="346">
        <f t="shared" ca="1" si="137"/>
        <v>0</v>
      </c>
      <c r="BQ87" s="346">
        <f t="shared" ca="1" si="138"/>
        <v>0</v>
      </c>
      <c r="BR87" s="346">
        <f t="shared" ca="1" si="139"/>
        <v>0</v>
      </c>
      <c r="BT87" s="346">
        <f t="shared" ca="1" si="140"/>
        <v>0</v>
      </c>
      <c r="BU87" s="346">
        <f t="shared" ca="1" si="141"/>
        <v>0</v>
      </c>
      <c r="BV87" s="346">
        <f t="shared" ca="1" si="142"/>
        <v>0</v>
      </c>
      <c r="BW87" s="346">
        <f t="shared" ca="1" si="143"/>
        <v>0</v>
      </c>
      <c r="BX87" s="346">
        <f t="shared" ca="1" si="144"/>
        <v>0</v>
      </c>
      <c r="BY87" s="346">
        <f t="shared" ca="1" si="145"/>
        <v>0</v>
      </c>
      <c r="CB87" s="350"/>
      <c r="CC87" s="350"/>
      <c r="CD87" s="350"/>
      <c r="CE87" s="350"/>
      <c r="CF87" s="350"/>
      <c r="CG87" s="350"/>
      <c r="CR87" s="350"/>
      <c r="CS87" s="300"/>
      <c r="CT87" s="395" t="str">
        <f t="shared" ref="CT87:CT95" ca="1" si="152">CT76</f>
        <v/>
      </c>
      <c r="CU87" s="360" t="str">
        <f ca="1">IF(OR(CT87="",DA87="",CT87=DA87,ISNA(VLOOKUP(CONCATENATE(CT87,DA87),games.r,2,FALSE))),"",CONCATENATE(CT87,DA87))</f>
        <v/>
      </c>
      <c r="CV87" s="360" t="str">
        <f ca="1">IF(CU87="","",CONCATENATE(VLOOKUP(CU87,games.r,9,FALSE),VLOOKUP(CU87,games.r,12,FALSE)))</f>
        <v/>
      </c>
      <c r="CW87" s="354" t="str">
        <f ca="1">IF(CU87="","",VLOOKUP(CU87,games.r,10,FALSE))</f>
        <v/>
      </c>
      <c r="CX87" s="354" t="str">
        <f ca="1">IF(CU87="","",VLOOKUP(CU87,games.r,13,FALSE))</f>
        <v/>
      </c>
      <c r="CY87" s="361" t="str">
        <f ca="1">IF(CU87="","",VLOOKUP(CU87,games.r,6,FALSE))</f>
        <v/>
      </c>
      <c r="CZ87" s="362" t="str">
        <f ca="1">IF(CU87="","",VLOOKUP(CU87,games.r,7,FALSE))</f>
        <v/>
      </c>
      <c r="DA87" s="379" t="str">
        <f ca="1">DA86</f>
        <v/>
      </c>
      <c r="DB87" s="302"/>
      <c r="DC87" s="364"/>
      <c r="DD87" s="302"/>
      <c r="DF87" s="424"/>
      <c r="DG87" s="424"/>
      <c r="DH87" s="424"/>
      <c r="DI87" s="424"/>
      <c r="DJ87" s="424"/>
      <c r="DK87" s="424"/>
      <c r="DL87" s="424"/>
      <c r="DM87" s="424"/>
      <c r="DN87" s="424"/>
      <c r="DO87" s="424"/>
      <c r="DP87" s="424"/>
      <c r="DQ87" s="424"/>
      <c r="DR87" s="424"/>
      <c r="DS87" s="424"/>
      <c r="DT87" s="424"/>
      <c r="DU87" s="424"/>
      <c r="DV87" s="424"/>
      <c r="DW87" s="424"/>
      <c r="DX87" s="424"/>
      <c r="DY87" s="424"/>
      <c r="DZ87" s="424"/>
      <c r="EA87" s="424"/>
      <c r="EB87" s="424"/>
      <c r="EC87" s="424"/>
      <c r="ED87" s="424"/>
      <c r="EE87" s="424"/>
      <c r="EF87" s="424"/>
      <c r="EG87" s="424"/>
      <c r="EH87" s="424"/>
      <c r="EI87" s="424"/>
      <c r="EJ87" s="424"/>
      <c r="EK87" s="424"/>
      <c r="EL87" s="424"/>
      <c r="EM87" s="424"/>
      <c r="EN87" s="424"/>
      <c r="EO87" s="425"/>
      <c r="EP87" s="333"/>
    </row>
    <row r="88" spans="29:146" ht="16.5" customHeight="1" x14ac:dyDescent="0.25">
      <c r="AC88" s="232" t="s">
        <v>399</v>
      </c>
      <c r="AD88" s="389" t="b">
        <f ca="1">AND($AD$63,OR(AND($R$43&gt;$AD$62,RCSOP!$AS$117&gt;$AD$62),AND($AD$91,AD108,RCSOP!$AS$117&gt;0)))</f>
        <v>1</v>
      </c>
      <c r="CB88" s="350"/>
      <c r="CC88" s="350"/>
      <c r="CD88" s="350"/>
      <c r="CE88" s="350"/>
      <c r="CF88" s="350"/>
      <c r="CG88" s="350"/>
      <c r="CR88" s="350"/>
      <c r="CS88" s="300"/>
      <c r="CT88" s="395" t="str">
        <f t="shared" ca="1" si="152"/>
        <v/>
      </c>
      <c r="CU88" s="360" t="str">
        <f ca="1">IF(OR(CT88="",DA88="",CT88=DA88,ISNA(VLOOKUP(CONCATENATE(CT88,DA88),games.r,2,FALSE))),"",CONCATENATE(CT88,DA88))</f>
        <v/>
      </c>
      <c r="CV88" s="360" t="str">
        <f ca="1">IF(CU88="","",CONCATENATE(VLOOKUP(CU88,games.r,9,FALSE),VLOOKUP(CU88,games.r,12,FALSE)))</f>
        <v/>
      </c>
      <c r="CW88" s="354" t="str">
        <f ca="1">IF(CU88="","",VLOOKUP(CU88,games.r,10,FALSE))</f>
        <v/>
      </c>
      <c r="CX88" s="354" t="str">
        <f ca="1">IF(CU88="","",VLOOKUP(CU88,games.r,13,FALSE))</f>
        <v/>
      </c>
      <c r="CY88" s="361" t="str">
        <f ca="1">IF(CU88="","",VLOOKUP(CU88,games.r,6,FALSE))</f>
        <v/>
      </c>
      <c r="CZ88" s="362" t="str">
        <f ca="1">IF(CU88="","",VLOOKUP(CU88,games.r,7,FALSE))</f>
        <v/>
      </c>
      <c r="DA88" s="379" t="str">
        <f t="shared" ref="DA88:DA95" ca="1" si="153">DA87</f>
        <v/>
      </c>
      <c r="DB88" s="302"/>
      <c r="DC88" s="364"/>
      <c r="DD88" s="302"/>
      <c r="DF88" s="424"/>
      <c r="DG88" s="424"/>
      <c r="DH88" s="424"/>
      <c r="DI88" s="424"/>
      <c r="DJ88" s="424"/>
      <c r="DK88" s="424"/>
      <c r="DL88" s="424"/>
      <c r="DM88" s="424"/>
      <c r="DN88" s="424"/>
      <c r="DO88" s="424"/>
      <c r="DP88" s="424"/>
      <c r="DQ88" s="424"/>
      <c r="DR88" s="424"/>
      <c r="DS88" s="424"/>
      <c r="DT88" s="424"/>
      <c r="DU88" s="424"/>
      <c r="DV88" s="424"/>
      <c r="DW88" s="424"/>
      <c r="DX88" s="424"/>
      <c r="DY88" s="424"/>
      <c r="DZ88" s="424"/>
      <c r="EA88" s="424"/>
      <c r="EB88" s="424"/>
      <c r="EC88" s="424"/>
      <c r="ED88" s="424"/>
      <c r="EE88" s="424"/>
      <c r="EF88" s="424"/>
      <c r="EG88" s="424"/>
      <c r="EH88" s="424"/>
      <c r="EI88" s="424"/>
      <c r="EJ88" s="424"/>
      <c r="EK88" s="424"/>
      <c r="EL88" s="424"/>
      <c r="EM88" s="424"/>
      <c r="EN88" s="424"/>
      <c r="EO88" s="425"/>
      <c r="EP88" s="333"/>
    </row>
    <row r="89" spans="29:146" ht="16.5" customHeight="1" x14ac:dyDescent="0.25">
      <c r="AE89" s="312"/>
      <c r="AG89" s="312"/>
      <c r="AH89" s="310" t="s">
        <v>377</v>
      </c>
      <c r="AL89" s="312"/>
      <c r="AS89" s="313" t="s">
        <v>368</v>
      </c>
      <c r="AT89" s="314"/>
      <c r="AU89" s="315"/>
      <c r="AV89" s="315"/>
      <c r="AW89" s="316" t="s">
        <v>368</v>
      </c>
      <c r="AX89" s="318" t="s">
        <v>120</v>
      </c>
      <c r="AY89" s="318" t="s">
        <v>121</v>
      </c>
      <c r="AZ89" s="318" t="s">
        <v>134</v>
      </c>
      <c r="BA89" s="318" t="s">
        <v>122</v>
      </c>
      <c r="BB89" s="318" t="s">
        <v>123</v>
      </c>
      <c r="BC89" s="318" t="s">
        <v>124</v>
      </c>
      <c r="BD89" s="318" t="s">
        <v>125</v>
      </c>
      <c r="BE89" s="318" t="s">
        <v>191</v>
      </c>
      <c r="BF89" s="318" t="s">
        <v>207</v>
      </c>
      <c r="BG89" s="318" t="s">
        <v>126</v>
      </c>
      <c r="BH89" s="318" t="s">
        <v>197</v>
      </c>
      <c r="BI89" s="318" t="s">
        <v>192</v>
      </c>
      <c r="BJ89" s="318" t="s">
        <v>127</v>
      </c>
      <c r="BK89" s="318" t="s">
        <v>208</v>
      </c>
      <c r="BM89" s="318" t="s">
        <v>196</v>
      </c>
      <c r="BN89" s="318" t="s">
        <v>121</v>
      </c>
      <c r="BO89" s="318" t="s">
        <v>134</v>
      </c>
      <c r="BP89" s="318" t="s">
        <v>122</v>
      </c>
      <c r="BQ89" s="318" t="s">
        <v>123</v>
      </c>
      <c r="BR89" s="318" t="s">
        <v>124</v>
      </c>
      <c r="BT89" s="318" t="s">
        <v>196</v>
      </c>
      <c r="BU89" s="318" t="s">
        <v>121</v>
      </c>
      <c r="BV89" s="318" t="s">
        <v>134</v>
      </c>
      <c r="BW89" s="318" t="s">
        <v>122</v>
      </c>
      <c r="BX89" s="318" t="s">
        <v>123</v>
      </c>
      <c r="BY89" s="318" t="s">
        <v>124</v>
      </c>
      <c r="CB89" s="350"/>
      <c r="CC89" s="318" t="s">
        <v>212</v>
      </c>
      <c r="CD89" s="318" t="s">
        <v>416</v>
      </c>
      <c r="CE89" s="318" t="s">
        <v>417</v>
      </c>
      <c r="CF89" s="296"/>
      <c r="CG89" s="296"/>
      <c r="CI89" s="320" t="str">
        <f>IF(CH90=0,"xxx",VLOOKUP(CH90,CC90:CF99,IF(ASZTAB!$AJ$44,3,2),FALSE))</f>
        <v>xxx</v>
      </c>
      <c r="CJ89" s="321"/>
      <c r="CK89" s="322" t="s">
        <v>370</v>
      </c>
      <c r="CL89" s="320" t="str">
        <f>IF(CH91=0,"xxx",VLOOKUP(CH91,CC90:CF99,IF(ASZTAB!$AJ$44,3,2),FALSE))</f>
        <v>xxx</v>
      </c>
      <c r="CM89" s="321"/>
      <c r="CN89" s="322" t="s">
        <v>371</v>
      </c>
      <c r="CO89" s="320" t="str">
        <f>IF(CH92=0,"xxx",VLOOKUP(CH92,CC90:CF99,IF(ASZTAB!$AJ$44,3,2),FALSE))</f>
        <v>xxx</v>
      </c>
      <c r="CP89" s="321"/>
      <c r="CQ89" s="322" t="s">
        <v>372</v>
      </c>
      <c r="CR89" s="350"/>
      <c r="CS89" s="300"/>
      <c r="CT89" s="395" t="str">
        <f t="shared" ca="1" si="152"/>
        <v/>
      </c>
      <c r="CU89" s="360" t="str">
        <f ca="1">IF(OR(CT89="",DA89="",CT89=DA89,ISNA(VLOOKUP(CONCATENATE(CT89,DA89),games.r,2,FALSE))),"",CONCATENATE(CT89,DA89))</f>
        <v/>
      </c>
      <c r="CV89" s="360" t="str">
        <f ca="1">IF(CU89="","",CONCATENATE(VLOOKUP(CU89,games.r,9,FALSE),VLOOKUP(CU89,games.r,12,FALSE)))</f>
        <v/>
      </c>
      <c r="CW89" s="354" t="str">
        <f ca="1">IF(CU89="","",VLOOKUP(CU89,games.r,10,FALSE))</f>
        <v/>
      </c>
      <c r="CX89" s="354" t="str">
        <f ca="1">IF(CU89="","",VLOOKUP(CU89,games.r,13,FALSE))</f>
        <v/>
      </c>
      <c r="CY89" s="361" t="str">
        <f ca="1">IF(CU89="","",VLOOKUP(CU89,games.r,6,FALSE))</f>
        <v/>
      </c>
      <c r="CZ89" s="362" t="str">
        <f ca="1">IF(CU89="","",VLOOKUP(CU89,games.r,7,FALSE))</f>
        <v/>
      </c>
      <c r="DA89" s="379" t="str">
        <f t="shared" ca="1" si="153"/>
        <v/>
      </c>
      <c r="DB89" s="302"/>
      <c r="DC89" s="364"/>
      <c r="DD89" s="302"/>
      <c r="DF89" s="424"/>
      <c r="DG89" s="424"/>
      <c r="DH89" s="424"/>
      <c r="DI89" s="424"/>
      <c r="DJ89" s="424"/>
      <c r="DK89" s="424"/>
      <c r="DL89" s="424"/>
      <c r="DM89" s="424"/>
      <c r="DN89" s="424"/>
      <c r="DO89" s="424"/>
      <c r="DP89" s="424"/>
      <c r="DQ89" s="424"/>
      <c r="DR89" s="424"/>
      <c r="DS89" s="424"/>
      <c r="DT89" s="424"/>
      <c r="DU89" s="424"/>
      <c r="DV89" s="424"/>
      <c r="DW89" s="424"/>
      <c r="DX89" s="424"/>
      <c r="DY89" s="424"/>
      <c r="DZ89" s="424"/>
      <c r="EA89" s="424"/>
      <c r="EB89" s="424"/>
      <c r="EC89" s="424"/>
      <c r="ED89" s="424"/>
      <c r="EE89" s="424"/>
      <c r="EF89" s="424"/>
      <c r="EG89" s="424"/>
      <c r="EH89" s="424"/>
      <c r="EI89" s="424"/>
      <c r="EJ89" s="424"/>
      <c r="EK89" s="424"/>
      <c r="EL89" s="424"/>
      <c r="EM89" s="424"/>
      <c r="EN89" s="424"/>
      <c r="EO89" s="425"/>
      <c r="EP89" s="333"/>
    </row>
    <row r="90" spans="29:146" ht="16.5" customHeight="1" x14ac:dyDescent="0.25">
      <c r="AC90" s="310" t="s">
        <v>279</v>
      </c>
      <c r="AD90" s="311"/>
      <c r="AE90" s="312"/>
      <c r="AG90" s="312"/>
      <c r="AH90" s="210" t="str">
        <f t="shared" ref="AH90:AH99" ca="1" si="154">IF(VLOOKUP($AS90,INDIRECT(CONCATENATE($AD$59,3)),3,FALSE)=0,"–",VLOOKUP($AS90,INDIRECT(CONCATENATE($AD$59,3)),3,FALSE))</f>
        <v>–</v>
      </c>
      <c r="AI90" s="340">
        <f>AT90</f>
        <v>1</v>
      </c>
      <c r="AJ90" s="338" t="e">
        <f t="shared" ref="AJ90:AJ99" ca="1" si="155">VLOOKUP($AH90,table.n.rv3,6,FALSE)</f>
        <v>#N/A</v>
      </c>
      <c r="AK90" s="338" t="e">
        <f t="shared" ref="AK90:AK99" ca="1" si="156">VLOOKUP($AH90,table.n.rv3,7,FALSE)</f>
        <v>#N/A</v>
      </c>
      <c r="AL90" s="312"/>
      <c r="AS90" s="341">
        <f t="shared" ref="AS90:AS99" si="157">LARGE(IF($AD$58=1,AU$90:AU$99,$AU$168:$AU$177),AV90)</f>
        <v>0</v>
      </c>
      <c r="AT90" s="377">
        <v>1</v>
      </c>
      <c r="AU90" s="343">
        <f>IF(NOT($AD$45),0,IF(ASZTAB!$AJ$44,BI90*100,IF(ASZTAB!$AJ$43,BG90*10,BG90))*1000000+IF(ASZTAB!$AJ$52,AY90*10000,0)+IF(ASZTAB!$AJ$44,BE90,BD90)*1000/IF(OR(ASZTAB!AJ$43,ASZTAB!$AJ$52),10,1)+IF(ASZTAB!$AJ$44,0,IF(ASZTAB!AJ$43,BB90/10,BB90))+BJ90+IF($AD$86,BK90,0)-IF(AW90=0,1000000000,0))</f>
        <v>0</v>
      </c>
      <c r="AV90" s="349">
        <v>1</v>
      </c>
      <c r="AW90" s="345">
        <f>IF(NOT($AD$45),0,RCSOP!BE81)</f>
        <v>0</v>
      </c>
      <c r="AX90" s="346">
        <f>AY90+AZ90+BA90</f>
        <v>0</v>
      </c>
      <c r="AY90" s="346">
        <f t="shared" ref="AY90:AY99" si="158">IF(NOT($AD$45),0,IF($AD$57=1,BN90+BU90,IF($AD$57=2,BN90,IF($AD$57=3,BU90,""))))</f>
        <v>0</v>
      </c>
      <c r="AZ90" s="346">
        <f t="shared" ref="AZ90:AZ99" si="159">IF(NOT($AD$45),0,IF($AD$57=1,BO90+BV90,IF($AD$57=2,BO90,IF($AD$57=3,BV90,""))))</f>
        <v>0</v>
      </c>
      <c r="BA90" s="346">
        <f t="shared" ref="BA90:BA99" si="160">IF(NOT($AD$45),0,IF($AD$57=1,BP90+BW90,IF($AD$57=2,BP90,IF($AD$57=3,BW90,""))))</f>
        <v>0</v>
      </c>
      <c r="BB90" s="346">
        <f t="shared" ref="BB90:BB99" si="161">IF(NOT($AD$45),0,IF($AD$57=1,BQ90+BX90,IF($AD$57=2,BQ90,IF($AD$57=3,BX90,""))))</f>
        <v>0</v>
      </c>
      <c r="BC90" s="346">
        <f t="shared" ref="BC90:BC99" si="162">IF(NOT($AD$45),0,IF($AD$57=1,BR90+BY90,IF($AD$57=2,BR90,IF($AD$57=3,BY90,""))))</f>
        <v>0</v>
      </c>
      <c r="BD90" s="346">
        <f t="shared" ref="BD90:BD99" si="163">BB90-BC90</f>
        <v>0</v>
      </c>
      <c r="BE90" s="347">
        <f t="shared" ref="BE90:BE99" si="164">IF(BC90=0,0,BB90/BC90)</f>
        <v>0</v>
      </c>
      <c r="BF90" s="346">
        <f t="shared" ref="BF90:BF99" si="165">IF(NOT($AD$45),0,IF(OR(NOT($AD$87),ISNA(VLOOKUP(AW90,penalty.r,2,FALSE))),0,VLOOKUP(AW90,penalty.r,2,FALSE))-IF(OR(NOT($AD$91),NOT($AD$103),ISNA(VLOOKUP(AW90,zpoint,2,FALSE))),0,VLOOKUP(AW90,zpoint,2,FALSE)))</f>
        <v>0</v>
      </c>
      <c r="BG90" s="346">
        <f>IF(NOT($AD$45),0,ASZTAB!$AJ$48*AY90+AZ90-BF90)</f>
        <v>0</v>
      </c>
      <c r="BH90" s="346">
        <f>IF(NOT($AD$45),0,AY90*2+BA90-BF90)</f>
        <v>0</v>
      </c>
      <c r="BI90" s="347">
        <f>IF(NOT($AD$45),0,IF(AND(AX90=0,BH90=0),0,BH90/(AX90*2+IF($AD$91,$AD$111,0))))</f>
        <v>0</v>
      </c>
      <c r="BJ90" s="348">
        <v>0.03</v>
      </c>
      <c r="BK90" s="349">
        <f t="shared" ref="BK90:BK99" ca="1" si="166">IF(ISNA(VLOOKUP(AW90,eee.rv,16,FALSE)),0,VLOOKUP(AW90,eee.rv,16,FALSE))</f>
        <v>0</v>
      </c>
      <c r="BM90" s="346">
        <f t="shared" ref="BM90:BM99" si="167">IF(NOT($AD$45),0,COUNTIF(lossh.rv,CONCATENATE($AW90,"ooo"))+IF(OR(NOT($AD$91),NOT($AD$108)),0,IF($AD$109,COUNTIF(lossh.aa,CONCATENATE($AW90,"ooo")),COUNTIF(zlossh,CONCATENATE($AW90,"ooo")))))</f>
        <v>0</v>
      </c>
      <c r="BN90" s="346">
        <f t="shared" ref="BN90:BN99" si="168">IF(NOT($AD$45),0,COUNTIF(winh.rv,$AW90)+IF(OR(NOT($AD$91),NOT($AD$108)),0,IF($AD$109,COUNTIF(winh.aa,$AW90),COUNTIF(zwinh,$AW90))))</f>
        <v>0</v>
      </c>
      <c r="BO90" s="346">
        <f t="shared" ref="BO90:BO99" si="169">IF(NOT($AD$45),0,COUNTIF(drawh.rv,$AW90)+IF(OR(NOT($AD$91),NOT($AD$108)),0,IF($AD$109,COUNTIF(drawh.aa,$AW90),COUNTIF(zdrawh,$AW90))))</f>
        <v>0</v>
      </c>
      <c r="BP90" s="346">
        <f t="shared" ref="BP90:BP99" si="170">IF(NOT($AD$45),0,COUNTIF(lossh.rv,$AW90)+BM90+IF(OR(NOT($AD$91),NOT($AD$108)),0,IF($AD$109,COUNTIF(lossh.aa,$AW90),COUNTIF(zlossh,$AW90))))</f>
        <v>0</v>
      </c>
      <c r="BQ90" s="346">
        <f t="shared" ref="BQ90:BQ99" si="171">IF(NOT($AD$45),0,SUMIF(home.rv,$AW90,GAA.rv)+IF(OR(NOT($AD$91),NOT($AD$108)),0,IF($AD$109,SUMIF(home.aa,$AW90,GAA.aa),SUMIF(zhome,$AW90,zfor))))</f>
        <v>0</v>
      </c>
      <c r="BR90" s="346">
        <f t="shared" ref="BR90:BR99" si="172">IF(NOT($AD$45),0,SUMIF(home.rv,$AW90,GBB.rv)+IF(OR(NOT($AD$91),NOT($AD$108)),0,IF($AD$109,SUMIF(home.aa,$AW90,GBB.aa),SUMIF(zhome,$AW90,zagainst))))</f>
        <v>0</v>
      </c>
      <c r="BT90" s="346">
        <f t="shared" ref="BT90:BT99" si="173">IF(NOT($AD$45),0,COUNTIF(lossa.rv,CONCATENATE($AW90,"ooo"))+IF(OR(NOT($AD$91),NOT($AD$108)),0,IF($AD$109,COUNTIF(lossa.aa,CONCATENATE($AW90,"ooo")),COUNTIF(zlossa,CONCATENATE($AW90,"ooo")))))</f>
        <v>0</v>
      </c>
      <c r="BU90" s="346">
        <f t="shared" ref="BU90:BU99" si="174">IF(NOT($AD$45),0,COUNTIF(wina.rv,$AW90)+IF(OR(NOT($AD$91),NOT($AD$108)),0,IF($AD$109,COUNTIF(wina.aa,$AW90),COUNTIF(zwina,$AW90))))</f>
        <v>0</v>
      </c>
      <c r="BV90" s="346">
        <f t="shared" ref="BV90:BV99" si="175">IF(NOT($AD$45),0,COUNTIF(drawa.rv,$AW90)+IF(OR(NOT($AD$91),NOT($AD$108)),0,IF($AD$109,COUNTIF(drawa.aa,$AW90),COUNTIF(zdrawa,$AW90))))</f>
        <v>0</v>
      </c>
      <c r="BW90" s="346">
        <f t="shared" ref="BW90:BW99" si="176">IF(NOT($AD$45),0,COUNTIF(lossa.rv,$AW90)+BT90+IF(OR(NOT($AD$91),NOT($AD$108)),0,IF($AD$109,COUNTIF(lossa.aa,$AW90),COUNTIF(zlossa,$AW90))))</f>
        <v>0</v>
      </c>
      <c r="BX90" s="346">
        <f t="shared" ref="BX90:BX99" si="177">IF(NOT($AD$45),0,SUMIF(away.rv,$AW90,GBB.rv)+IF(OR(NOT($AD$91),NOT($AD$108)),0,IF($AD$109,SUMIF(away.aa,$AW90,GBB.aa),SUMIF(zaway,$AW90,zagainst))))</f>
        <v>0</v>
      </c>
      <c r="BY90" s="346">
        <f t="shared" ref="BY90:BY99" si="178">IF(NOT($AD$45),0,SUMIF(away.rv,$AW90,GAA.rv)+IF(OR(NOT($AD$91),NOT($AD$108)),0,IF($AD$109,SUMIF(away.aa,$AW90,GAA.aa),SUMIF(zaway,$AW90,zfor))))</f>
        <v>0</v>
      </c>
      <c r="CB90" s="350"/>
      <c r="CC90" s="351">
        <f>IF(ASZTAB!$AJ$44,COUNTIF($BI$102:$BI$111,CE90)*IF(CE90=0,0,1),COUNTIF($BG$102:$BG$111,CD90)*IF(CD90=0,0,1))+CF90/1000</f>
        <v>1E-3</v>
      </c>
      <c r="CD90" s="352">
        <f>LARGE($BG$102:$BG$111,CF90)</f>
        <v>0</v>
      </c>
      <c r="CE90" s="353">
        <f>LARGE($BI$102:$BI$111,CF90)</f>
        <v>0</v>
      </c>
      <c r="CF90" s="354">
        <v>1</v>
      </c>
      <c r="CG90" s="350"/>
      <c r="CH90" s="355">
        <f>IF(LARGE(CC90:CC99,CF90)&lt;2,0,LARGE(CC90:CC99,CF90))</f>
        <v>0</v>
      </c>
      <c r="CI90" s="356" t="str">
        <f>IF(OR(CI89=BG102,CI89=BI102),AW102,"")</f>
        <v/>
      </c>
      <c r="CJ90" s="357" t="str">
        <f t="shared" ref="CJ90:CJ99" si="179">IF(CI90="","",CF90)</f>
        <v/>
      </c>
      <c r="CK90" s="358" t="str">
        <f>IF(ISERR(LARGE(CJ90:CJ99,CF90)),"",LARGE(CJ90:CJ99,CF90))</f>
        <v/>
      </c>
      <c r="CL90" s="356" t="str">
        <f>IF(OR(CL89=BG102,CL89=BI102),AW102,"")</f>
        <v/>
      </c>
      <c r="CM90" s="357" t="str">
        <f t="shared" ref="CM90:CM99" si="180">IF(CL90="","",CF90)</f>
        <v/>
      </c>
      <c r="CN90" s="358" t="str">
        <f>IF(ISERR(LARGE(CM90:CM99,CF90)),"",LARGE(CM90:CM99,CF90))</f>
        <v/>
      </c>
      <c r="CO90" s="356" t="str">
        <f>IF(OR(CO89=BG102,CO89=BI102),AW102,"")</f>
        <v/>
      </c>
      <c r="CP90" s="357" t="str">
        <f t="shared" ref="CP90:CP99" si="181">IF(CO90="","",CF90)</f>
        <v/>
      </c>
      <c r="CQ90" s="358" t="str">
        <f>IF(ISERR(LARGE(CP90:CP99,CF90)),"",LARGE(CP90:CP99,CF90))</f>
        <v/>
      </c>
      <c r="CR90" s="350"/>
      <c r="CS90" s="300"/>
      <c r="CT90" s="395" t="str">
        <f t="shared" ca="1" si="152"/>
        <v/>
      </c>
      <c r="CU90" s="360" t="str">
        <f ca="1">IF(OR(CT90="",DA90="",CT90=DA90,ISNA(VLOOKUP(CONCATENATE(CT90,DA90),games.r,2,FALSE))),"",CONCATENATE(CT90,DA90))</f>
        <v/>
      </c>
      <c r="CV90" s="360" t="str">
        <f ca="1">IF(CU90="","",CONCATENATE(VLOOKUP(CU90,games.r,9,FALSE),VLOOKUP(CU90,games.r,12,FALSE)))</f>
        <v/>
      </c>
      <c r="CW90" s="354" t="str">
        <f ca="1">IF(CU90="","",VLOOKUP(CU90,games.r,10,FALSE))</f>
        <v/>
      </c>
      <c r="CX90" s="354" t="str">
        <f ca="1">IF(CU90="","",VLOOKUP(CU90,games.r,13,FALSE))</f>
        <v/>
      </c>
      <c r="CY90" s="361" t="str">
        <f ca="1">IF(CU90="","",VLOOKUP(CU90,games.r,6,FALSE))</f>
        <v/>
      </c>
      <c r="CZ90" s="362" t="str">
        <f ca="1">IF(CU90="","",VLOOKUP(CU90,games.r,7,FALSE))</f>
        <v/>
      </c>
      <c r="DA90" s="379" t="str">
        <f t="shared" ca="1" si="153"/>
        <v/>
      </c>
      <c r="DB90" s="302"/>
      <c r="DC90" s="364"/>
      <c r="DD90" s="302"/>
      <c r="DF90" s="424"/>
      <c r="DG90" s="424"/>
      <c r="DH90" s="424"/>
      <c r="DI90" s="424"/>
      <c r="DJ90" s="424"/>
      <c r="DK90" s="424"/>
      <c r="DL90" s="424"/>
      <c r="DM90" s="424"/>
      <c r="DN90" s="424"/>
      <c r="DO90" s="424"/>
      <c r="DP90" s="424"/>
      <c r="DQ90" s="424"/>
      <c r="DR90" s="424"/>
      <c r="DS90" s="424"/>
      <c r="DT90" s="424"/>
      <c r="DU90" s="424"/>
      <c r="DV90" s="424"/>
      <c r="DW90" s="424"/>
      <c r="DX90" s="424"/>
      <c r="DY90" s="424"/>
      <c r="DZ90" s="424"/>
      <c r="EA90" s="424"/>
      <c r="EB90" s="424"/>
      <c r="EC90" s="424"/>
      <c r="ED90" s="424"/>
      <c r="EE90" s="424"/>
      <c r="EF90" s="424"/>
      <c r="EG90" s="424"/>
      <c r="EH90" s="424"/>
      <c r="EI90" s="424"/>
      <c r="EJ90" s="424"/>
      <c r="EK90" s="424"/>
      <c r="EL90" s="424"/>
      <c r="EM90" s="424"/>
      <c r="EN90" s="424"/>
      <c r="EO90" s="425"/>
      <c r="EP90" s="333"/>
    </row>
    <row r="91" spans="29:146" ht="16.5" customHeight="1" x14ac:dyDescent="0.25">
      <c r="AC91" s="232" t="s">
        <v>260</v>
      </c>
      <c r="AD91" s="531" t="b">
        <v>1</v>
      </c>
      <c r="AE91" s="312"/>
      <c r="AG91" s="312"/>
      <c r="AH91" s="210" t="str">
        <f t="shared" ca="1" si="154"/>
        <v>–</v>
      </c>
      <c r="AI91" s="340" t="str">
        <f t="shared" ref="AI91:AI99" si="182">AT91</f>
        <v/>
      </c>
      <c r="AJ91" s="338" t="e">
        <f t="shared" ca="1" si="155"/>
        <v>#N/A</v>
      </c>
      <c r="AK91" s="338" t="e">
        <f t="shared" ca="1" si="156"/>
        <v>#N/A</v>
      </c>
      <c r="AL91" s="312"/>
      <c r="AS91" s="341">
        <f t="shared" si="157"/>
        <v>0</v>
      </c>
      <c r="AT91" s="377" t="str">
        <f>IF(AW91=0,"",IF(ABS(AS90-AS91)&lt;0.015,AT90,AV91))</f>
        <v/>
      </c>
      <c r="AU91" s="343">
        <f>IF(NOT($AD$45),0,IF(ASZTAB!$AJ$44,BI91*100,IF(ASZTAB!$AJ$43,BG91*10,BG91))*1000000+IF(ASZTAB!$AJ$52,AY91*10000,0)+IF(ASZTAB!$AJ$44,BE91,BD91)*1000/IF(OR(ASZTAB!AJ$43,ASZTAB!$AJ$52),10,1)+IF(ASZTAB!$AJ$44,0,IF(ASZTAB!AJ$43,BB91/10,BB91))+BJ91+IF($AD$86,BK91,0)-IF(AW91=0,1000000000,0))</f>
        <v>0</v>
      </c>
      <c r="AV91" s="349">
        <v>2</v>
      </c>
      <c r="AW91" s="345">
        <f>IF(NOT($AD$45),0,RCSOP!BE82)</f>
        <v>0</v>
      </c>
      <c r="AX91" s="346">
        <f t="shared" ref="AX91:AX99" si="183">AY91+AZ91+BA91</f>
        <v>0</v>
      </c>
      <c r="AY91" s="346">
        <f t="shared" si="158"/>
        <v>0</v>
      </c>
      <c r="AZ91" s="346">
        <f t="shared" si="159"/>
        <v>0</v>
      </c>
      <c r="BA91" s="346">
        <f t="shared" si="160"/>
        <v>0</v>
      </c>
      <c r="BB91" s="346">
        <f t="shared" si="161"/>
        <v>0</v>
      </c>
      <c r="BC91" s="346">
        <f t="shared" si="162"/>
        <v>0</v>
      </c>
      <c r="BD91" s="346">
        <f t="shared" si="163"/>
        <v>0</v>
      </c>
      <c r="BE91" s="347">
        <f t="shared" si="164"/>
        <v>0</v>
      </c>
      <c r="BF91" s="346">
        <f t="shared" si="165"/>
        <v>0</v>
      </c>
      <c r="BG91" s="346">
        <f>IF(NOT($AD$45),0,ASZTAB!$AJ$48*AY91+AZ91-BF91)</f>
        <v>0</v>
      </c>
      <c r="BH91" s="346">
        <f t="shared" ref="BH91:BH99" si="184">IF(NOT($AD$45),0,AY91*2+BA91-BF91)</f>
        <v>0</v>
      </c>
      <c r="BI91" s="347">
        <f t="shared" ref="BI91:BI99" si="185">IF(NOT($AD$45),0,IF(AND(AX91=0,BH91=0),0,BH91/(AX91*2+IF($AD$91,$AD$111,0))))</f>
        <v>0</v>
      </c>
      <c r="BJ91" s="348">
        <v>2.8999999999999998E-2</v>
      </c>
      <c r="BK91" s="349">
        <f t="shared" ca="1" si="166"/>
        <v>0</v>
      </c>
      <c r="BM91" s="346">
        <f t="shared" si="167"/>
        <v>0</v>
      </c>
      <c r="BN91" s="346">
        <f t="shared" si="168"/>
        <v>0</v>
      </c>
      <c r="BO91" s="346">
        <f t="shared" si="169"/>
        <v>0</v>
      </c>
      <c r="BP91" s="346">
        <f t="shared" si="170"/>
        <v>0</v>
      </c>
      <c r="BQ91" s="346">
        <f t="shared" si="171"/>
        <v>0</v>
      </c>
      <c r="BR91" s="346">
        <f t="shared" si="172"/>
        <v>0</v>
      </c>
      <c r="BT91" s="346">
        <f t="shared" si="173"/>
        <v>0</v>
      </c>
      <c r="BU91" s="346">
        <f t="shared" si="174"/>
        <v>0</v>
      </c>
      <c r="BV91" s="346">
        <f t="shared" si="175"/>
        <v>0</v>
      </c>
      <c r="BW91" s="346">
        <f t="shared" si="176"/>
        <v>0</v>
      </c>
      <c r="BX91" s="346">
        <f t="shared" si="177"/>
        <v>0</v>
      </c>
      <c r="BY91" s="346">
        <f t="shared" si="178"/>
        <v>0</v>
      </c>
      <c r="CB91" s="350"/>
      <c r="CC91" s="353">
        <f>IF(ASZTAB!$AJ$44,COUNTIF($BI$102:$BI$111,CE91)*IF(OR(CE91=CE90,CE91=0),0,1),COUNTIF($BG$102:$BG$111,CD91)*IF(OR(CD91=CD90,CD91=0),0,1))+CF91/1000</f>
        <v>2E-3</v>
      </c>
      <c r="CD91" s="352">
        <f t="shared" ref="CD91:CD99" si="186">LARGE($BG$102:$BG$111,CF91)</f>
        <v>0</v>
      </c>
      <c r="CE91" s="353">
        <f t="shared" ref="CE91:CE99" si="187">LARGE($BI$102:$BI$111,CF91)</f>
        <v>0</v>
      </c>
      <c r="CF91" s="354">
        <v>2</v>
      </c>
      <c r="CG91" s="350"/>
      <c r="CH91" s="355">
        <f>IF(LARGE(CC90:CC99,CF91)&lt;2,0,LARGE(CC90:CC99,CF91))</f>
        <v>0</v>
      </c>
      <c r="CI91" s="356" t="str">
        <f>IF(OR(CI89=BG103,CI89=BI103),AW103,"")</f>
        <v/>
      </c>
      <c r="CJ91" s="357" t="str">
        <f t="shared" si="179"/>
        <v/>
      </c>
      <c r="CK91" s="358" t="str">
        <f>IF(ISERR(LARGE(CJ90:CJ99,CF91)),"",LARGE(CJ90:CJ99,CF91))</f>
        <v/>
      </c>
      <c r="CL91" s="356" t="str">
        <f>IF(OR(CL89=BG103,CL89=BI103),AW103,"")</f>
        <v/>
      </c>
      <c r="CM91" s="357" t="str">
        <f t="shared" si="180"/>
        <v/>
      </c>
      <c r="CN91" s="358" t="str">
        <f>IF(ISERR(LARGE(CM90:CM99,CF91)),"",LARGE(CM90:CM99,CF91))</f>
        <v/>
      </c>
      <c r="CO91" s="356" t="str">
        <f>IF(OR(CO89=BG103,CO89=BI103),AW103,"")</f>
        <v/>
      </c>
      <c r="CP91" s="357" t="str">
        <f t="shared" si="181"/>
        <v/>
      </c>
      <c r="CQ91" s="358" t="str">
        <f>IF(ISERR(LARGE(CP90:CP99,CF91)),"",LARGE(CP90:CP99,CF91))</f>
        <v/>
      </c>
      <c r="CR91" s="350"/>
      <c r="CS91" s="300"/>
      <c r="CT91" s="522" t="str">
        <f t="shared" si="152"/>
        <v/>
      </c>
      <c r="CU91" s="371" t="str">
        <f ca="1">IF(OR(CT91="",DA91="",CT91=DA91,ISNA(VLOOKUP(CONCATENATE(CT91,DA91),games.a,2,FALSE))),"",CONCATENATE(CT91,DA91))</f>
        <v/>
      </c>
      <c r="CV91" s="371" t="str">
        <f ca="1">IF(CU91="","",CONCATENATE(VLOOKUP(CU91,games.a,9,FALSE),VLOOKUP(CU91,games.a,12,FALSE)))</f>
        <v/>
      </c>
      <c r="CW91" s="369" t="str">
        <f ca="1">IF(CU91="","",VLOOKUP(CU91,games.a,10,FALSE))</f>
        <v/>
      </c>
      <c r="CX91" s="369" t="str">
        <f ca="1">IF(CU91="","",VLOOKUP(CU91,games.a,13,FALSE))</f>
        <v/>
      </c>
      <c r="CY91" s="423" t="str">
        <f ca="1">IF(CU91="","",VLOOKUP(CU91,games.a,6,FALSE))</f>
        <v/>
      </c>
      <c r="CZ91" s="409" t="str">
        <f ca="1">IF(CU91="","",VLOOKUP(CU91,games.a,7,FALSE))</f>
        <v/>
      </c>
      <c r="DA91" s="523" t="str">
        <f t="shared" ca="1" si="153"/>
        <v/>
      </c>
      <c r="DB91" s="302"/>
      <c r="DC91" s="364"/>
      <c r="DD91" s="302"/>
      <c r="DF91" s="424"/>
      <c r="DG91" s="424"/>
      <c r="DH91" s="424"/>
      <c r="DI91" s="424"/>
      <c r="DJ91" s="424"/>
      <c r="DK91" s="424"/>
      <c r="DL91" s="424"/>
      <c r="DM91" s="424"/>
      <c r="DN91" s="424"/>
      <c r="DO91" s="424"/>
      <c r="DP91" s="424"/>
      <c r="DQ91" s="424"/>
      <c r="DR91" s="424"/>
      <c r="DS91" s="424"/>
      <c r="DT91" s="424"/>
      <c r="DU91" s="424"/>
      <c r="DV91" s="424"/>
      <c r="DW91" s="424"/>
      <c r="DX91" s="424"/>
      <c r="DY91" s="424"/>
      <c r="DZ91" s="424"/>
      <c r="EA91" s="424"/>
      <c r="EB91" s="424"/>
      <c r="EC91" s="424"/>
      <c r="ED91" s="424"/>
      <c r="EE91" s="424"/>
      <c r="EF91" s="424"/>
      <c r="EG91" s="424"/>
      <c r="EH91" s="424"/>
      <c r="EI91" s="424"/>
      <c r="EJ91" s="424"/>
      <c r="EK91" s="424"/>
      <c r="EL91" s="424"/>
      <c r="EM91" s="424"/>
      <c r="EN91" s="424"/>
      <c r="EO91" s="425"/>
      <c r="EP91" s="333"/>
    </row>
    <row r="92" spans="29:146" ht="16.5" customHeight="1" x14ac:dyDescent="0.25">
      <c r="AE92" s="312"/>
      <c r="AG92" s="312"/>
      <c r="AH92" s="210" t="str">
        <f t="shared" ca="1" si="154"/>
        <v>–</v>
      </c>
      <c r="AI92" s="340" t="str">
        <f t="shared" si="182"/>
        <v/>
      </c>
      <c r="AJ92" s="338" t="e">
        <f t="shared" ca="1" si="155"/>
        <v>#N/A</v>
      </c>
      <c r="AK92" s="338" t="e">
        <f t="shared" ca="1" si="156"/>
        <v>#N/A</v>
      </c>
      <c r="AL92" s="312"/>
      <c r="AS92" s="341">
        <f t="shared" si="157"/>
        <v>0</v>
      </c>
      <c r="AT92" s="377" t="str">
        <f t="shared" ref="AT92:AT99" si="188">IF(AW92=0,"",IF(ABS(AS91-AS92)&lt;0.015,AT91,AV92))</f>
        <v/>
      </c>
      <c r="AU92" s="343">
        <f>IF(NOT($AD$45),0,IF(ASZTAB!$AJ$44,BI92*100,IF(ASZTAB!$AJ$43,BG92*10,BG92))*1000000+IF(ASZTAB!$AJ$52,AY92*10000,0)+IF(ASZTAB!$AJ$44,BE92,BD92)*1000/IF(OR(ASZTAB!AJ$43,ASZTAB!$AJ$52),10,1)+IF(ASZTAB!$AJ$44,0,IF(ASZTAB!AJ$43,BB92/10,BB92))+BJ92+IF($AD$86,BK92,0)-IF(AW92=0,1000000000,0))</f>
        <v>0</v>
      </c>
      <c r="AV92" s="349">
        <v>3</v>
      </c>
      <c r="AW92" s="345">
        <f>IF(NOT($AD$45),0,RCSOP!BE83)</f>
        <v>0</v>
      </c>
      <c r="AX92" s="346">
        <f t="shared" si="183"/>
        <v>0</v>
      </c>
      <c r="AY92" s="346">
        <f t="shared" si="158"/>
        <v>0</v>
      </c>
      <c r="AZ92" s="346">
        <f t="shared" si="159"/>
        <v>0</v>
      </c>
      <c r="BA92" s="346">
        <f t="shared" si="160"/>
        <v>0</v>
      </c>
      <c r="BB92" s="346">
        <f t="shared" si="161"/>
        <v>0</v>
      </c>
      <c r="BC92" s="346">
        <f t="shared" si="162"/>
        <v>0</v>
      </c>
      <c r="BD92" s="346">
        <f t="shared" si="163"/>
        <v>0</v>
      </c>
      <c r="BE92" s="347">
        <f t="shared" si="164"/>
        <v>0</v>
      </c>
      <c r="BF92" s="346">
        <f t="shared" si="165"/>
        <v>0</v>
      </c>
      <c r="BG92" s="346">
        <f>IF(NOT($AD$45),0,ASZTAB!$AJ$48*AY92+AZ92-BF92)</f>
        <v>0</v>
      </c>
      <c r="BH92" s="346">
        <f t="shared" si="184"/>
        <v>0</v>
      </c>
      <c r="BI92" s="347">
        <f t="shared" si="185"/>
        <v>0</v>
      </c>
      <c r="BJ92" s="348">
        <v>2.7999999999999997E-2</v>
      </c>
      <c r="BK92" s="349">
        <f t="shared" ca="1" si="166"/>
        <v>0</v>
      </c>
      <c r="BM92" s="346">
        <f t="shared" si="167"/>
        <v>0</v>
      </c>
      <c r="BN92" s="346">
        <f t="shared" si="168"/>
        <v>0</v>
      </c>
      <c r="BO92" s="346">
        <f t="shared" si="169"/>
        <v>0</v>
      </c>
      <c r="BP92" s="346">
        <f t="shared" si="170"/>
        <v>0</v>
      </c>
      <c r="BQ92" s="346">
        <f t="shared" si="171"/>
        <v>0</v>
      </c>
      <c r="BR92" s="346">
        <f t="shared" si="172"/>
        <v>0</v>
      </c>
      <c r="BT92" s="346">
        <f t="shared" si="173"/>
        <v>0</v>
      </c>
      <c r="BU92" s="346">
        <f t="shared" si="174"/>
        <v>0</v>
      </c>
      <c r="BV92" s="346">
        <f t="shared" si="175"/>
        <v>0</v>
      </c>
      <c r="BW92" s="346">
        <f t="shared" si="176"/>
        <v>0</v>
      </c>
      <c r="BX92" s="346">
        <f t="shared" si="177"/>
        <v>0</v>
      </c>
      <c r="BY92" s="346">
        <f t="shared" si="178"/>
        <v>0</v>
      </c>
      <c r="CB92" s="350"/>
      <c r="CC92" s="353">
        <f>IF(ASZTAB!$AJ$44,COUNTIF($BI$102:$BI$111,CE92)*IF(OR(CE92=CE91,CE92=0),0,1),COUNTIF($BG$102:$BG$111,CD92)*IF(OR(CD92=CD91,CD92=0),0,1))+CF92/1000</f>
        <v>3.0000000000000001E-3</v>
      </c>
      <c r="CD92" s="352">
        <f t="shared" si="186"/>
        <v>0</v>
      </c>
      <c r="CE92" s="353">
        <f t="shared" si="187"/>
        <v>0</v>
      </c>
      <c r="CF92" s="354">
        <v>3</v>
      </c>
      <c r="CG92" s="350"/>
      <c r="CH92" s="355">
        <f>IF(LARGE(CC90:CC99,CF92)&lt;2,0,LARGE(CC90:CC99,CF92))</f>
        <v>0</v>
      </c>
      <c r="CI92" s="356" t="str">
        <f>IF(OR(CI89=BG104,CI89=BI104),AW104,"")</f>
        <v/>
      </c>
      <c r="CJ92" s="357" t="str">
        <f t="shared" si="179"/>
        <v/>
      </c>
      <c r="CK92" s="358" t="str">
        <f>IF(ISERR(LARGE(CJ90:CJ99,CF92)),"",LARGE(CJ90:CJ99,CF92))</f>
        <v/>
      </c>
      <c r="CL92" s="356" t="str">
        <f>IF(OR(CL89=BG104,CL89=BI104),AW104,"")</f>
        <v/>
      </c>
      <c r="CM92" s="357" t="str">
        <f t="shared" si="180"/>
        <v/>
      </c>
      <c r="CN92" s="358" t="str">
        <f>IF(ISERR(LARGE(CM90:CM99,CF92)),"",LARGE(CM90:CM99,CF92))</f>
        <v/>
      </c>
      <c r="CO92" s="356" t="str">
        <f>IF(OR(CO89=BG104,CO89=BI104),AW104,"")</f>
        <v/>
      </c>
      <c r="CP92" s="357" t="str">
        <f t="shared" si="181"/>
        <v/>
      </c>
      <c r="CQ92" s="380"/>
      <c r="CR92" s="350"/>
      <c r="CS92" s="300"/>
      <c r="CT92" s="522" t="str">
        <f t="shared" si="152"/>
        <v/>
      </c>
      <c r="CU92" s="371" t="str">
        <f ca="1">IF(OR(CT92="",DA92="",CT92=DA92,ISNA(VLOOKUP(CONCATENATE(CT92,DA92),games.a,2,FALSE))),"",CONCATENATE(CT92,DA92))</f>
        <v/>
      </c>
      <c r="CV92" s="371" t="str">
        <f ca="1">IF(CU92="","",CONCATENATE(VLOOKUP(CU92,games.a,9,FALSE),VLOOKUP(CU92,games.a,12,FALSE)))</f>
        <v/>
      </c>
      <c r="CW92" s="369" t="str">
        <f ca="1">IF(CU92="","",VLOOKUP(CU92,games.a,10,FALSE))</f>
        <v/>
      </c>
      <c r="CX92" s="369" t="str">
        <f ca="1">IF(CU92="","",VLOOKUP(CU92,games.a,13,FALSE))</f>
        <v/>
      </c>
      <c r="CY92" s="423" t="str">
        <f ca="1">IF(CU92="","",VLOOKUP(CU92,games.a,6,FALSE))</f>
        <v/>
      </c>
      <c r="CZ92" s="409" t="str">
        <f ca="1">IF(CU92="","",VLOOKUP(CU92,games.a,7,FALSE))</f>
        <v/>
      </c>
      <c r="DA92" s="523" t="str">
        <f t="shared" ca="1" si="153"/>
        <v/>
      </c>
      <c r="DB92" s="302"/>
      <c r="DC92" s="364"/>
      <c r="DD92" s="302"/>
      <c r="DF92" s="424"/>
      <c r="DG92" s="424"/>
      <c r="DH92" s="424"/>
      <c r="DI92" s="424"/>
      <c r="DJ92" s="424"/>
      <c r="DK92" s="424"/>
      <c r="DL92" s="424"/>
      <c r="DM92" s="424"/>
      <c r="DN92" s="424"/>
      <c r="DO92" s="424"/>
      <c r="DP92" s="424"/>
      <c r="DQ92" s="424"/>
      <c r="DR92" s="424"/>
      <c r="DS92" s="424"/>
      <c r="DT92" s="424"/>
      <c r="DU92" s="424"/>
      <c r="DV92" s="424"/>
      <c r="DW92" s="424"/>
      <c r="DX92" s="424"/>
      <c r="DY92" s="424"/>
      <c r="DZ92" s="424"/>
      <c r="EA92" s="424"/>
      <c r="EB92" s="424"/>
      <c r="EC92" s="424"/>
      <c r="ED92" s="424"/>
      <c r="EE92" s="424"/>
      <c r="EF92" s="424"/>
      <c r="EG92" s="424"/>
      <c r="EH92" s="424"/>
      <c r="EI92" s="424"/>
      <c r="EJ92" s="424"/>
      <c r="EK92" s="424"/>
      <c r="EL92" s="424"/>
      <c r="EM92" s="424"/>
      <c r="EN92" s="424"/>
      <c r="EO92" s="425"/>
      <c r="EP92" s="333"/>
    </row>
    <row r="93" spans="29:146" ht="16.5" customHeight="1" x14ac:dyDescent="0.25">
      <c r="AC93" s="232" t="s">
        <v>277</v>
      </c>
      <c r="AD93" s="376">
        <v>6</v>
      </c>
      <c r="AE93" s="312"/>
      <c r="AG93" s="312"/>
      <c r="AH93" s="210" t="str">
        <f t="shared" ca="1" si="154"/>
        <v>–</v>
      </c>
      <c r="AI93" s="340" t="str">
        <f t="shared" si="182"/>
        <v/>
      </c>
      <c r="AJ93" s="338" t="e">
        <f t="shared" ca="1" si="155"/>
        <v>#N/A</v>
      </c>
      <c r="AK93" s="338" t="e">
        <f t="shared" ca="1" si="156"/>
        <v>#N/A</v>
      </c>
      <c r="AL93" s="312"/>
      <c r="AS93" s="341">
        <f t="shared" si="157"/>
        <v>0</v>
      </c>
      <c r="AT93" s="377" t="str">
        <f t="shared" si="188"/>
        <v/>
      </c>
      <c r="AU93" s="343">
        <f>IF(NOT($AD$45),0,IF(ASZTAB!$AJ$44,BI93*100,IF(ASZTAB!$AJ$43,BG93*10,BG93))*1000000+IF(ASZTAB!$AJ$52,AY93*10000,0)+IF(ASZTAB!$AJ$44,BE93,BD93)*1000/IF(OR(ASZTAB!AJ$43,ASZTAB!$AJ$52),10,1)+IF(ASZTAB!$AJ$44,0,IF(ASZTAB!AJ$43,BB93/10,BB93))+BJ93+IF($AD$86,BK93,0)-IF(AW93=0,1000000000,0))</f>
        <v>0</v>
      </c>
      <c r="AV93" s="349">
        <v>4</v>
      </c>
      <c r="AW93" s="345">
        <f>IF(NOT($AD$45),0,RCSOP!BE84)</f>
        <v>0</v>
      </c>
      <c r="AX93" s="346">
        <f t="shared" si="183"/>
        <v>0</v>
      </c>
      <c r="AY93" s="346">
        <f t="shared" si="158"/>
        <v>0</v>
      </c>
      <c r="AZ93" s="346">
        <f t="shared" si="159"/>
        <v>0</v>
      </c>
      <c r="BA93" s="346">
        <f t="shared" si="160"/>
        <v>0</v>
      </c>
      <c r="BB93" s="346">
        <f t="shared" si="161"/>
        <v>0</v>
      </c>
      <c r="BC93" s="346">
        <f t="shared" si="162"/>
        <v>0</v>
      </c>
      <c r="BD93" s="346">
        <f t="shared" si="163"/>
        <v>0</v>
      </c>
      <c r="BE93" s="347">
        <f t="shared" si="164"/>
        <v>0</v>
      </c>
      <c r="BF93" s="346">
        <f t="shared" si="165"/>
        <v>0</v>
      </c>
      <c r="BG93" s="346">
        <f>IF(NOT($AD$45),0,ASZTAB!$AJ$48*AY93+AZ93-BF93)</f>
        <v>0</v>
      </c>
      <c r="BH93" s="346">
        <f t="shared" si="184"/>
        <v>0</v>
      </c>
      <c r="BI93" s="347">
        <f t="shared" si="185"/>
        <v>0</v>
      </c>
      <c r="BJ93" s="348">
        <v>2.6999999999999996E-2</v>
      </c>
      <c r="BK93" s="349">
        <f t="shared" ca="1" si="166"/>
        <v>0</v>
      </c>
      <c r="BM93" s="346">
        <f t="shared" si="167"/>
        <v>0</v>
      </c>
      <c r="BN93" s="346">
        <f t="shared" si="168"/>
        <v>0</v>
      </c>
      <c r="BO93" s="346">
        <f t="shared" si="169"/>
        <v>0</v>
      </c>
      <c r="BP93" s="346">
        <f t="shared" si="170"/>
        <v>0</v>
      </c>
      <c r="BQ93" s="346">
        <f t="shared" si="171"/>
        <v>0</v>
      </c>
      <c r="BR93" s="346">
        <f t="shared" si="172"/>
        <v>0</v>
      </c>
      <c r="BT93" s="346">
        <f t="shared" si="173"/>
        <v>0</v>
      </c>
      <c r="BU93" s="346">
        <f t="shared" si="174"/>
        <v>0</v>
      </c>
      <c r="BV93" s="346">
        <f t="shared" si="175"/>
        <v>0</v>
      </c>
      <c r="BW93" s="346">
        <f t="shared" si="176"/>
        <v>0</v>
      </c>
      <c r="BX93" s="346">
        <f t="shared" si="177"/>
        <v>0</v>
      </c>
      <c r="BY93" s="346">
        <f t="shared" si="178"/>
        <v>0</v>
      </c>
      <c r="CB93" s="350"/>
      <c r="CC93" s="353">
        <f>IF(ASZTAB!$AJ$44,COUNTIF($BI$102:$BI$111,CE93)*IF(OR(CE93=CE92,CE93=0),0,1),COUNTIF($BG$102:$BG$111,CD93)*IF(OR(CD93=CD92,CD93=0),0,1))+CF93/1000</f>
        <v>4.0000000000000001E-3</v>
      </c>
      <c r="CD93" s="352">
        <f t="shared" si="186"/>
        <v>0</v>
      </c>
      <c r="CE93" s="353">
        <f t="shared" si="187"/>
        <v>0</v>
      </c>
      <c r="CF93" s="354">
        <v>4</v>
      </c>
      <c r="CG93" s="350"/>
      <c r="CH93" s="300"/>
      <c r="CI93" s="356" t="str">
        <f>IF(OR(CI89=BG105,CI89=BI105),AW105,"")</f>
        <v/>
      </c>
      <c r="CJ93" s="357" t="str">
        <f t="shared" si="179"/>
        <v/>
      </c>
      <c r="CK93" s="358" t="str">
        <f>IF(ISERR(LARGE(CJ90:CJ99,CF93)),"",LARGE(CJ90:CJ99,CF93))</f>
        <v/>
      </c>
      <c r="CL93" s="356" t="str">
        <f>IF(OR(CL89=BG105,CL89=BI105),AW105,"")</f>
        <v/>
      </c>
      <c r="CM93" s="357" t="str">
        <f t="shared" si="180"/>
        <v/>
      </c>
      <c r="CN93" s="380"/>
      <c r="CO93" s="356" t="str">
        <f>IF(OR(CO89=BG105,CO89=BI105),AW105,"")</f>
        <v/>
      </c>
      <c r="CP93" s="357" t="str">
        <f t="shared" si="181"/>
        <v/>
      </c>
      <c r="CQ93" s="385"/>
      <c r="CR93" s="350"/>
      <c r="CS93" s="300"/>
      <c r="CT93" s="522" t="str">
        <f t="shared" si="152"/>
        <v/>
      </c>
      <c r="CU93" s="371" t="str">
        <f ca="1">IF(OR(CT93="",DA93="",CT93=DA93,ISNA(VLOOKUP(CONCATENATE(CT93,DA93),games.a,2,FALSE))),"",CONCATENATE(CT93,DA93))</f>
        <v/>
      </c>
      <c r="CV93" s="371" t="str">
        <f ca="1">IF(CU93="","",CONCATENATE(VLOOKUP(CU93,games.a,9,FALSE),VLOOKUP(CU93,games.a,12,FALSE)))</f>
        <v/>
      </c>
      <c r="CW93" s="369" t="str">
        <f ca="1">IF(CU93="","",VLOOKUP(CU93,games.a,10,FALSE))</f>
        <v/>
      </c>
      <c r="CX93" s="369" t="str">
        <f ca="1">IF(CU93="","",VLOOKUP(CU93,games.a,13,FALSE))</f>
        <v/>
      </c>
      <c r="CY93" s="423" t="str">
        <f ca="1">IF(CU93="","",VLOOKUP(CU93,games.a,6,FALSE))</f>
        <v/>
      </c>
      <c r="CZ93" s="409" t="str">
        <f ca="1">IF(CU93="","",VLOOKUP(CU93,games.a,7,FALSE))</f>
        <v/>
      </c>
      <c r="DA93" s="523" t="str">
        <f t="shared" ca="1" si="153"/>
        <v/>
      </c>
      <c r="DB93" s="302"/>
      <c r="DC93" s="364"/>
      <c r="DD93" s="302"/>
      <c r="DF93" s="424"/>
      <c r="DG93" s="424"/>
      <c r="DH93" s="424"/>
      <c r="DI93" s="424"/>
      <c r="DJ93" s="424"/>
      <c r="DK93" s="424"/>
      <c r="DL93" s="424"/>
      <c r="DM93" s="424"/>
      <c r="DN93" s="424"/>
      <c r="DO93" s="424"/>
      <c r="DP93" s="424"/>
      <c r="DQ93" s="424"/>
      <c r="DR93" s="424"/>
      <c r="DS93" s="424"/>
      <c r="DT93" s="424"/>
      <c r="DU93" s="424"/>
      <c r="DV93" s="424"/>
      <c r="DW93" s="424"/>
      <c r="DX93" s="424"/>
      <c r="DY93" s="424"/>
      <c r="DZ93" s="424"/>
      <c r="EA93" s="424"/>
      <c r="EB93" s="424"/>
      <c r="EC93" s="424"/>
      <c r="ED93" s="424"/>
      <c r="EE93" s="424"/>
      <c r="EF93" s="424"/>
      <c r="EG93" s="424"/>
      <c r="EH93" s="424"/>
      <c r="EI93" s="424"/>
      <c r="EJ93" s="424"/>
      <c r="EK93" s="424"/>
      <c r="EL93" s="424"/>
      <c r="EM93" s="424"/>
      <c r="EN93" s="424"/>
      <c r="EO93" s="425"/>
      <c r="EP93" s="333"/>
    </row>
    <row r="94" spans="29:146" ht="16.5" customHeight="1" x14ac:dyDescent="0.25">
      <c r="AC94" s="232" t="s">
        <v>283</v>
      </c>
      <c r="AD94" s="376" t="b">
        <v>1</v>
      </c>
      <c r="AE94" s="312"/>
      <c r="AG94" s="312"/>
      <c r="AH94" s="210" t="str">
        <f t="shared" ca="1" si="154"/>
        <v>–</v>
      </c>
      <c r="AI94" s="340" t="str">
        <f t="shared" si="182"/>
        <v/>
      </c>
      <c r="AJ94" s="338" t="e">
        <f t="shared" ca="1" si="155"/>
        <v>#N/A</v>
      </c>
      <c r="AK94" s="338" t="e">
        <f t="shared" ca="1" si="156"/>
        <v>#N/A</v>
      </c>
      <c r="AL94" s="312"/>
      <c r="AS94" s="341">
        <f t="shared" si="157"/>
        <v>0</v>
      </c>
      <c r="AT94" s="377" t="str">
        <f t="shared" si="188"/>
        <v/>
      </c>
      <c r="AU94" s="343">
        <f>IF(NOT($AD$45),0,IF(ASZTAB!$AJ$44,BI94*100,IF(ASZTAB!$AJ$43,BG94*10,BG94))*1000000+IF(ASZTAB!$AJ$52,AY94*10000,0)+IF(ASZTAB!$AJ$44,BE94,BD94)*1000/IF(OR(ASZTAB!AJ$43,ASZTAB!$AJ$52),10,1)+IF(ASZTAB!$AJ$44,0,IF(ASZTAB!AJ$43,BB94/10,BB94))+BJ94+IF($AD$86,BK94,0)-IF(AW94=0,1000000000,0))</f>
        <v>0</v>
      </c>
      <c r="AV94" s="349">
        <v>5</v>
      </c>
      <c r="AW94" s="345">
        <f>IF(NOT($AD$45),0,RCSOP!BE85)</f>
        <v>0</v>
      </c>
      <c r="AX94" s="346">
        <f t="shared" si="183"/>
        <v>0</v>
      </c>
      <c r="AY94" s="346">
        <f t="shared" si="158"/>
        <v>0</v>
      </c>
      <c r="AZ94" s="346">
        <f t="shared" si="159"/>
        <v>0</v>
      </c>
      <c r="BA94" s="346">
        <f t="shared" si="160"/>
        <v>0</v>
      </c>
      <c r="BB94" s="346">
        <f t="shared" si="161"/>
        <v>0</v>
      </c>
      <c r="BC94" s="346">
        <f t="shared" si="162"/>
        <v>0</v>
      </c>
      <c r="BD94" s="346">
        <f t="shared" si="163"/>
        <v>0</v>
      </c>
      <c r="BE94" s="347">
        <f t="shared" si="164"/>
        <v>0</v>
      </c>
      <c r="BF94" s="346">
        <f t="shared" si="165"/>
        <v>0</v>
      </c>
      <c r="BG94" s="346">
        <f>IF(NOT($AD$45),0,ASZTAB!$AJ$48*AY94+AZ94-BF94)</f>
        <v>0</v>
      </c>
      <c r="BH94" s="346">
        <f t="shared" si="184"/>
        <v>0</v>
      </c>
      <c r="BI94" s="347">
        <f t="shared" si="185"/>
        <v>0</v>
      </c>
      <c r="BJ94" s="348">
        <v>2.5999999999999995E-2</v>
      </c>
      <c r="BK94" s="349">
        <f t="shared" ca="1" si="166"/>
        <v>0</v>
      </c>
      <c r="BM94" s="346">
        <f t="shared" si="167"/>
        <v>0</v>
      </c>
      <c r="BN94" s="346">
        <f t="shared" si="168"/>
        <v>0</v>
      </c>
      <c r="BO94" s="346">
        <f t="shared" si="169"/>
        <v>0</v>
      </c>
      <c r="BP94" s="346">
        <f t="shared" si="170"/>
        <v>0</v>
      </c>
      <c r="BQ94" s="346">
        <f t="shared" si="171"/>
        <v>0</v>
      </c>
      <c r="BR94" s="346">
        <f t="shared" si="172"/>
        <v>0</v>
      </c>
      <c r="BT94" s="346">
        <f t="shared" si="173"/>
        <v>0</v>
      </c>
      <c r="BU94" s="346">
        <f t="shared" si="174"/>
        <v>0</v>
      </c>
      <c r="BV94" s="346">
        <f t="shared" si="175"/>
        <v>0</v>
      </c>
      <c r="BW94" s="346">
        <f t="shared" si="176"/>
        <v>0</v>
      </c>
      <c r="BX94" s="346">
        <f t="shared" si="177"/>
        <v>0</v>
      </c>
      <c r="BY94" s="346">
        <f t="shared" si="178"/>
        <v>0</v>
      </c>
      <c r="CB94" s="350"/>
      <c r="CC94" s="353">
        <f>IF(ASZTAB!$AJ$44,COUNTIF($BI$102:$BI$111,CE94)*IF(OR(CE94=CE93,CE94=0),0,1),COUNTIF($BG$102:$BG$111,CD94)*IF(OR(CD94=CD93,CD94=0),0,1))+CF94/1000</f>
        <v>5.0000000000000001E-3</v>
      </c>
      <c r="CD94" s="352">
        <f t="shared" si="186"/>
        <v>0</v>
      </c>
      <c r="CE94" s="353">
        <f t="shared" si="187"/>
        <v>0</v>
      </c>
      <c r="CF94" s="354">
        <v>5</v>
      </c>
      <c r="CG94" s="350"/>
      <c r="CH94" s="300"/>
      <c r="CI94" s="356" t="str">
        <f>IF(OR(CI89=BG106,CI89=BI106),AW106,"")</f>
        <v/>
      </c>
      <c r="CJ94" s="357" t="str">
        <f t="shared" si="179"/>
        <v/>
      </c>
      <c r="CK94" s="358" t="str">
        <f>IF(ISERR(LARGE(CJ90:CJ99,CF94)),"",LARGE(CJ90:CJ99,CF94))</f>
        <v/>
      </c>
      <c r="CL94" s="356" t="str">
        <f>IF(OR(CL89=BG106,CL89=BI106),AW106,"")</f>
        <v/>
      </c>
      <c r="CM94" s="357" t="str">
        <f t="shared" si="180"/>
        <v/>
      </c>
      <c r="CN94" s="385"/>
      <c r="CO94" s="356" t="str">
        <f>IF(OR(CO89=BG106,CO89=BI106),AW106,"")</f>
        <v/>
      </c>
      <c r="CP94" s="357" t="str">
        <f t="shared" si="181"/>
        <v/>
      </c>
      <c r="CQ94" s="385"/>
      <c r="CR94" s="350"/>
      <c r="CS94" s="300"/>
      <c r="CT94" s="522" t="str">
        <f t="shared" si="152"/>
        <v/>
      </c>
      <c r="CU94" s="371" t="str">
        <f ca="1">IF(OR(CT94="",DA94="",CT94=DA94,ISNA(VLOOKUP(CONCATENATE(CT94,DA94),games.a,2,FALSE))),"",CONCATENATE(CT94,DA94))</f>
        <v/>
      </c>
      <c r="CV94" s="371" t="str">
        <f ca="1">IF(CU94="","",CONCATENATE(VLOOKUP(CU94,games.a,9,FALSE),VLOOKUP(CU94,games.a,12,FALSE)))</f>
        <v/>
      </c>
      <c r="CW94" s="369" t="str">
        <f ca="1">IF(CU94="","",VLOOKUP(CU94,games.a,10,FALSE))</f>
        <v/>
      </c>
      <c r="CX94" s="369" t="str">
        <f ca="1">IF(CU94="","",VLOOKUP(CU94,games.a,13,FALSE))</f>
        <v/>
      </c>
      <c r="CY94" s="423" t="str">
        <f ca="1">IF(CU94="","",VLOOKUP(CU94,games.a,6,FALSE))</f>
        <v/>
      </c>
      <c r="CZ94" s="409" t="str">
        <f ca="1">IF(CU94="","",VLOOKUP(CU94,games.a,7,FALSE))</f>
        <v/>
      </c>
      <c r="DA94" s="523" t="str">
        <f t="shared" ca="1" si="153"/>
        <v/>
      </c>
      <c r="DB94" s="302"/>
      <c r="DC94" s="364"/>
      <c r="DD94" s="302"/>
      <c r="DF94" s="424"/>
      <c r="DG94" s="424"/>
      <c r="DH94" s="424"/>
      <c r="DI94" s="424"/>
      <c r="DJ94" s="424"/>
      <c r="DK94" s="424"/>
      <c r="DL94" s="424"/>
      <c r="DM94" s="424"/>
      <c r="DN94" s="424"/>
      <c r="DO94" s="424"/>
      <c r="DP94" s="424"/>
      <c r="DQ94" s="424"/>
      <c r="DR94" s="424"/>
      <c r="DS94" s="424"/>
      <c r="DT94" s="424"/>
      <c r="DU94" s="424"/>
      <c r="DV94" s="424"/>
      <c r="DW94" s="424"/>
      <c r="DX94" s="424"/>
      <c r="DY94" s="424"/>
      <c r="DZ94" s="424"/>
      <c r="EA94" s="424"/>
      <c r="EB94" s="424"/>
      <c r="EC94" s="424"/>
      <c r="ED94" s="424"/>
      <c r="EE94" s="424"/>
      <c r="EF94" s="424"/>
      <c r="EG94" s="424"/>
      <c r="EH94" s="424"/>
      <c r="EI94" s="424"/>
      <c r="EJ94" s="424"/>
      <c r="EK94" s="424"/>
      <c r="EL94" s="424"/>
      <c r="EM94" s="424"/>
      <c r="EN94" s="424"/>
      <c r="EO94" s="425"/>
      <c r="EP94" s="333"/>
    </row>
    <row r="95" spans="29:146" ht="16.5" customHeight="1" x14ac:dyDescent="0.25">
      <c r="AC95" s="232" t="s">
        <v>405</v>
      </c>
      <c r="AD95" s="376" t="b">
        <v>0</v>
      </c>
      <c r="AE95" s="312"/>
      <c r="AG95" s="312"/>
      <c r="AH95" s="210" t="str">
        <f t="shared" ca="1" si="154"/>
        <v>–</v>
      </c>
      <c r="AI95" s="340" t="str">
        <f t="shared" si="182"/>
        <v/>
      </c>
      <c r="AJ95" s="338" t="e">
        <f t="shared" ca="1" si="155"/>
        <v>#N/A</v>
      </c>
      <c r="AK95" s="338" t="e">
        <f t="shared" ca="1" si="156"/>
        <v>#N/A</v>
      </c>
      <c r="AL95" s="312"/>
      <c r="AS95" s="341">
        <f t="shared" si="157"/>
        <v>0</v>
      </c>
      <c r="AT95" s="377" t="str">
        <f t="shared" si="188"/>
        <v/>
      </c>
      <c r="AU95" s="343">
        <f>IF(NOT($AD$45),0,IF(ASZTAB!$AJ$44,BI95*100,IF(ASZTAB!$AJ$43,BG95*10,BG95))*1000000+IF(ASZTAB!$AJ$52,AY95*10000,0)+IF(ASZTAB!$AJ$44,BE95,BD95)*1000/IF(OR(ASZTAB!AJ$43,ASZTAB!$AJ$52),10,1)+IF(ASZTAB!$AJ$44,0,IF(ASZTAB!AJ$43,BB95/10,BB95))+BJ95+IF($AD$86,BK95,0)-IF(AW95=0,1000000000,0))</f>
        <v>0</v>
      </c>
      <c r="AV95" s="349">
        <v>6</v>
      </c>
      <c r="AW95" s="345">
        <f>IF(NOT($AD$45),0,RCSOP!BE86)</f>
        <v>0</v>
      </c>
      <c r="AX95" s="346">
        <f t="shared" si="183"/>
        <v>0</v>
      </c>
      <c r="AY95" s="346">
        <f t="shared" si="158"/>
        <v>0</v>
      </c>
      <c r="AZ95" s="346">
        <f t="shared" si="159"/>
        <v>0</v>
      </c>
      <c r="BA95" s="346">
        <f t="shared" si="160"/>
        <v>0</v>
      </c>
      <c r="BB95" s="346">
        <f t="shared" si="161"/>
        <v>0</v>
      </c>
      <c r="BC95" s="346">
        <f t="shared" si="162"/>
        <v>0</v>
      </c>
      <c r="BD95" s="346">
        <f t="shared" si="163"/>
        <v>0</v>
      </c>
      <c r="BE95" s="347">
        <f t="shared" si="164"/>
        <v>0</v>
      </c>
      <c r="BF95" s="346">
        <f t="shared" si="165"/>
        <v>0</v>
      </c>
      <c r="BG95" s="346">
        <f>IF(NOT($AD$45),0,ASZTAB!$AJ$48*AY95+AZ95-BF95)</f>
        <v>0</v>
      </c>
      <c r="BH95" s="346">
        <f t="shared" si="184"/>
        <v>0</v>
      </c>
      <c r="BI95" s="347">
        <f t="shared" si="185"/>
        <v>0</v>
      </c>
      <c r="BJ95" s="348">
        <v>2.5000000000000001E-2</v>
      </c>
      <c r="BK95" s="349">
        <f t="shared" ca="1" si="166"/>
        <v>0</v>
      </c>
      <c r="BM95" s="346">
        <f t="shared" si="167"/>
        <v>0</v>
      </c>
      <c r="BN95" s="346">
        <f t="shared" si="168"/>
        <v>0</v>
      </c>
      <c r="BO95" s="346">
        <f t="shared" si="169"/>
        <v>0</v>
      </c>
      <c r="BP95" s="346">
        <f t="shared" si="170"/>
        <v>0</v>
      </c>
      <c r="BQ95" s="346">
        <f t="shared" si="171"/>
        <v>0</v>
      </c>
      <c r="BR95" s="346">
        <f t="shared" si="172"/>
        <v>0</v>
      </c>
      <c r="BT95" s="346">
        <f t="shared" si="173"/>
        <v>0</v>
      </c>
      <c r="BU95" s="346">
        <f t="shared" si="174"/>
        <v>0</v>
      </c>
      <c r="BV95" s="346">
        <f t="shared" si="175"/>
        <v>0</v>
      </c>
      <c r="BW95" s="346">
        <f t="shared" si="176"/>
        <v>0</v>
      </c>
      <c r="BX95" s="346">
        <f t="shared" si="177"/>
        <v>0</v>
      </c>
      <c r="BY95" s="346">
        <f t="shared" si="178"/>
        <v>0</v>
      </c>
      <c r="CB95" s="350"/>
      <c r="CC95" s="353">
        <f>IF(ASZTAB!$AJ$44,COUNTIF($BI$102:$BI$111,CE95)*IF(OR(CE95=CE94,CE95=0),0,1),COUNTIF($BG$102:$BG$111,CD95)*IF(OR(CD95=CD94,CD95=0),0,1))+CF95/1000</f>
        <v>6.0000000000000001E-3</v>
      </c>
      <c r="CD95" s="352">
        <f t="shared" si="186"/>
        <v>0</v>
      </c>
      <c r="CE95" s="353">
        <f t="shared" si="187"/>
        <v>0</v>
      </c>
      <c r="CF95" s="354">
        <v>6</v>
      </c>
      <c r="CG95" s="350"/>
      <c r="CH95" s="300"/>
      <c r="CI95" s="356" t="str">
        <f>IF(OR(CI89=BG107,CI89=BI107),AW107,"")</f>
        <v/>
      </c>
      <c r="CJ95" s="357" t="str">
        <f t="shared" si="179"/>
        <v/>
      </c>
      <c r="CK95" s="380"/>
      <c r="CL95" s="356" t="str">
        <f>IF(OR(CL89=BG107,CL89=BI107),AW107,"")</f>
        <v/>
      </c>
      <c r="CM95" s="357" t="str">
        <f t="shared" si="180"/>
        <v/>
      </c>
      <c r="CN95" s="385"/>
      <c r="CO95" s="356" t="str">
        <f>IF(OR(CO89=BG107,CO89=BI107),AW107,"")</f>
        <v/>
      </c>
      <c r="CP95" s="357" t="str">
        <f t="shared" si="181"/>
        <v/>
      </c>
      <c r="CQ95" s="385"/>
      <c r="CR95" s="350"/>
      <c r="CS95" s="300"/>
      <c r="CT95" s="522" t="str">
        <f t="shared" si="152"/>
        <v/>
      </c>
      <c r="CU95" s="371" t="str">
        <f ca="1">IF(OR(CT95="",DA95="",CT95=DA95,ISNA(VLOOKUP(CONCATENATE(CT95,DA95),games.a,2,FALSE))),"",CONCATENATE(CT95,DA95))</f>
        <v/>
      </c>
      <c r="CV95" s="371" t="str">
        <f ca="1">IF(CU95="","",CONCATENATE(VLOOKUP(CU95,games.a,9,FALSE),VLOOKUP(CU95,games.a,12,FALSE)))</f>
        <v/>
      </c>
      <c r="CW95" s="369" t="str">
        <f ca="1">IF(CU95="","",VLOOKUP(CU95,games.a,10,FALSE))</f>
        <v/>
      </c>
      <c r="CX95" s="369" t="str">
        <f ca="1">IF(CU95="","",VLOOKUP(CU95,games.a,13,FALSE))</f>
        <v/>
      </c>
      <c r="CY95" s="423" t="str">
        <f ca="1">IF(CU95="","",VLOOKUP(CU95,games.a,6,FALSE))</f>
        <v/>
      </c>
      <c r="CZ95" s="409" t="str">
        <f ca="1">IF(CU95="","",VLOOKUP(CU95,games.a,7,FALSE))</f>
        <v/>
      </c>
      <c r="DA95" s="523" t="str">
        <f t="shared" ca="1" si="153"/>
        <v/>
      </c>
      <c r="DB95" s="302"/>
      <c r="DC95" s="364"/>
      <c r="DD95" s="302"/>
      <c r="DF95" s="424"/>
      <c r="DG95" s="424"/>
      <c r="DH95" s="424"/>
      <c r="DI95" s="424"/>
      <c r="DJ95" s="424"/>
      <c r="DK95" s="424"/>
      <c r="DL95" s="424"/>
      <c r="DM95" s="424"/>
      <c r="DN95" s="424"/>
      <c r="DO95" s="424"/>
      <c r="DP95" s="424"/>
      <c r="DQ95" s="424"/>
      <c r="DR95" s="424"/>
      <c r="DS95" s="424"/>
      <c r="DT95" s="424"/>
      <c r="DU95" s="424"/>
      <c r="DV95" s="424"/>
      <c r="DW95" s="424"/>
      <c r="DX95" s="424"/>
      <c r="DY95" s="424"/>
      <c r="DZ95" s="424"/>
      <c r="EA95" s="424"/>
      <c r="EB95" s="424"/>
      <c r="EC95" s="424"/>
      <c r="ED95" s="424"/>
      <c r="EE95" s="424"/>
      <c r="EF95" s="424"/>
      <c r="EG95" s="424"/>
      <c r="EH95" s="424"/>
      <c r="EI95" s="424"/>
      <c r="EJ95" s="424"/>
      <c r="EK95" s="424"/>
      <c r="EL95" s="424"/>
      <c r="EM95" s="424"/>
      <c r="EN95" s="424"/>
      <c r="EO95" s="425"/>
      <c r="EP95" s="333"/>
    </row>
    <row r="96" spans="29:146" x14ac:dyDescent="0.25">
      <c r="AC96" s="232" t="s">
        <v>280</v>
      </c>
      <c r="AD96" s="376" t="b">
        <v>1</v>
      </c>
      <c r="AH96" s="210" t="str">
        <f t="shared" ca="1" si="154"/>
        <v>–</v>
      </c>
      <c r="AI96" s="340" t="str">
        <f t="shared" si="182"/>
        <v/>
      </c>
      <c r="AJ96" s="338" t="e">
        <f t="shared" ca="1" si="155"/>
        <v>#N/A</v>
      </c>
      <c r="AK96" s="338" t="e">
        <f t="shared" ca="1" si="156"/>
        <v>#N/A</v>
      </c>
      <c r="AS96" s="341">
        <f t="shared" si="157"/>
        <v>0</v>
      </c>
      <c r="AT96" s="377" t="str">
        <f t="shared" si="188"/>
        <v/>
      </c>
      <c r="AU96" s="343">
        <f>IF(NOT($AD$45),0,IF(ASZTAB!$AJ$44,BI96*100,IF(ASZTAB!$AJ$43,BG96*10,BG96))*1000000+IF(ASZTAB!$AJ$52,AY96*10000,0)+IF(ASZTAB!$AJ$44,BE96,BD96)*1000/IF(OR(ASZTAB!AJ$43,ASZTAB!$AJ$52),10,1)+IF(ASZTAB!$AJ$44,0,IF(ASZTAB!AJ$43,BB96/10,BB96))+BJ96+IF($AD$86,BK96,0)-IF(AW96=0,1000000000,0))</f>
        <v>0</v>
      </c>
      <c r="AV96" s="349">
        <v>7</v>
      </c>
      <c r="AW96" s="345">
        <f>IF(NOT($AD$45),0,RCSOP!BE87)</f>
        <v>0</v>
      </c>
      <c r="AX96" s="346">
        <f t="shared" si="183"/>
        <v>0</v>
      </c>
      <c r="AY96" s="346">
        <f t="shared" si="158"/>
        <v>0</v>
      </c>
      <c r="AZ96" s="346">
        <f t="shared" si="159"/>
        <v>0</v>
      </c>
      <c r="BA96" s="346">
        <f t="shared" si="160"/>
        <v>0</v>
      </c>
      <c r="BB96" s="346">
        <f t="shared" si="161"/>
        <v>0</v>
      </c>
      <c r="BC96" s="346">
        <f t="shared" si="162"/>
        <v>0</v>
      </c>
      <c r="BD96" s="346">
        <f t="shared" si="163"/>
        <v>0</v>
      </c>
      <c r="BE96" s="347">
        <f t="shared" si="164"/>
        <v>0</v>
      </c>
      <c r="BF96" s="346">
        <f t="shared" si="165"/>
        <v>0</v>
      </c>
      <c r="BG96" s="346">
        <f>IF(NOT($AD$45),0,ASZTAB!$AJ$48*AY96+AZ96-BF96)</f>
        <v>0</v>
      </c>
      <c r="BH96" s="346">
        <f t="shared" si="184"/>
        <v>0</v>
      </c>
      <c r="BI96" s="347">
        <f t="shared" si="185"/>
        <v>0</v>
      </c>
      <c r="BJ96" s="348">
        <v>2.3999999999999994E-2</v>
      </c>
      <c r="BK96" s="349">
        <f t="shared" ca="1" si="166"/>
        <v>0</v>
      </c>
      <c r="BM96" s="346">
        <f t="shared" si="167"/>
        <v>0</v>
      </c>
      <c r="BN96" s="346">
        <f t="shared" si="168"/>
        <v>0</v>
      </c>
      <c r="BO96" s="346">
        <f t="shared" si="169"/>
        <v>0</v>
      </c>
      <c r="BP96" s="346">
        <f t="shared" si="170"/>
        <v>0</v>
      </c>
      <c r="BQ96" s="346">
        <f t="shared" si="171"/>
        <v>0</v>
      </c>
      <c r="BR96" s="346">
        <f t="shared" si="172"/>
        <v>0</v>
      </c>
      <c r="BT96" s="346">
        <f t="shared" si="173"/>
        <v>0</v>
      </c>
      <c r="BU96" s="346">
        <f t="shared" si="174"/>
        <v>0</v>
      </c>
      <c r="BV96" s="346">
        <f t="shared" si="175"/>
        <v>0</v>
      </c>
      <c r="BW96" s="346">
        <f t="shared" si="176"/>
        <v>0</v>
      </c>
      <c r="BX96" s="346">
        <f t="shared" si="177"/>
        <v>0</v>
      </c>
      <c r="BY96" s="346">
        <f t="shared" si="178"/>
        <v>0</v>
      </c>
      <c r="CB96" s="350"/>
      <c r="CC96" s="353">
        <f>IF(ASZTAB!$AJ$44,COUNTIF($BI$102:$BI$111,CE96)*IF(OR(CE96=CE95,CE96=0),0,1),COUNTIF($BG$102:$BG$111,CD96)*IF(OR(CD96=CD95,CD96=0),0,1))+CF96/1000</f>
        <v>7.0000000000000001E-3</v>
      </c>
      <c r="CD96" s="352">
        <f t="shared" si="186"/>
        <v>0</v>
      </c>
      <c r="CE96" s="353">
        <f t="shared" si="187"/>
        <v>0</v>
      </c>
      <c r="CF96" s="354">
        <v>7</v>
      </c>
      <c r="CG96" s="350"/>
      <c r="CH96" s="300"/>
      <c r="CI96" s="356" t="str">
        <f>IF(OR(CI89=BG108,CI89=BI108),AW108,"")</f>
        <v/>
      </c>
      <c r="CJ96" s="357" t="str">
        <f t="shared" si="179"/>
        <v/>
      </c>
      <c r="CK96" s="385"/>
      <c r="CL96" s="356" t="str">
        <f>IF(OR(CL89=BG108,CL89=BI108),AW108,"")</f>
        <v/>
      </c>
      <c r="CM96" s="357" t="str">
        <f t="shared" si="180"/>
        <v/>
      </c>
      <c r="CN96" s="385"/>
      <c r="CO96" s="356" t="str">
        <f>IF(OR(CO89=BG108,CO89=BI108),AW108,"")</f>
        <v/>
      </c>
      <c r="CP96" s="357" t="str">
        <f t="shared" si="181"/>
        <v/>
      </c>
      <c r="CQ96" s="385"/>
      <c r="CR96" s="350"/>
      <c r="CS96" s="445"/>
      <c r="CT96" s="301"/>
      <c r="CU96" s="302"/>
      <c r="CV96" s="302"/>
      <c r="CW96" s="302"/>
      <c r="CX96" s="302"/>
      <c r="CY96" s="302"/>
      <c r="CZ96" s="302"/>
      <c r="DA96" s="302"/>
      <c r="DB96" s="302"/>
      <c r="DC96" s="446" t="s">
        <v>216</v>
      </c>
      <c r="DD96" s="302"/>
      <c r="DF96" s="424"/>
      <c r="DG96" s="424"/>
      <c r="DH96" s="424"/>
      <c r="DI96" s="424"/>
      <c r="DJ96" s="424"/>
      <c r="DK96" s="424"/>
      <c r="DL96" s="424"/>
      <c r="DM96" s="424"/>
      <c r="DN96" s="424"/>
      <c r="DO96" s="424"/>
      <c r="DP96" s="424"/>
      <c r="DQ96" s="424"/>
      <c r="DR96" s="424"/>
      <c r="DS96" s="424"/>
      <c r="DT96" s="424"/>
      <c r="DU96" s="424"/>
      <c r="DV96" s="424"/>
      <c r="DW96" s="424"/>
      <c r="DX96" s="424"/>
      <c r="DY96" s="424"/>
      <c r="DZ96" s="424"/>
      <c r="EA96" s="424"/>
      <c r="EB96" s="424"/>
      <c r="EC96" s="424"/>
      <c r="ED96" s="424"/>
      <c r="EE96" s="424"/>
      <c r="EF96" s="424"/>
      <c r="EG96" s="424"/>
      <c r="EH96" s="424"/>
      <c r="EI96" s="424"/>
      <c r="EJ96" s="424"/>
      <c r="EK96" s="424"/>
      <c r="EL96" s="424"/>
      <c r="EM96" s="424"/>
      <c r="EN96" s="424"/>
      <c r="EO96" s="425"/>
      <c r="EP96" s="333"/>
    </row>
    <row r="97" spans="29:146" x14ac:dyDescent="0.25">
      <c r="AC97" s="232" t="s">
        <v>480</v>
      </c>
      <c r="AD97" s="376">
        <f ca="1">IF(AD96,MAX(zpoint),0)</f>
        <v>12</v>
      </c>
      <c r="AH97" s="210" t="str">
        <f t="shared" ca="1" si="154"/>
        <v>–</v>
      </c>
      <c r="AI97" s="340" t="str">
        <f t="shared" si="182"/>
        <v/>
      </c>
      <c r="AJ97" s="338" t="e">
        <f t="shared" ca="1" si="155"/>
        <v>#N/A</v>
      </c>
      <c r="AK97" s="338" t="e">
        <f t="shared" ca="1" si="156"/>
        <v>#N/A</v>
      </c>
      <c r="AS97" s="341">
        <f t="shared" si="157"/>
        <v>0</v>
      </c>
      <c r="AT97" s="377" t="str">
        <f t="shared" si="188"/>
        <v/>
      </c>
      <c r="AU97" s="343">
        <f>IF(NOT($AD$45),0,IF(ASZTAB!$AJ$44,BI97*100,IF(ASZTAB!$AJ$43,BG97*10,BG97))*1000000+IF(ASZTAB!$AJ$52,AY97*10000,0)+IF(ASZTAB!$AJ$44,BE97,BD97)*1000/IF(OR(ASZTAB!AJ$43,ASZTAB!$AJ$52),10,1)+IF(ASZTAB!$AJ$44,0,IF(ASZTAB!AJ$43,BB97/10,BB97))+BJ97+IF($AD$86,BK97,0)-IF(AW97=0,1000000000,0))</f>
        <v>0</v>
      </c>
      <c r="AV97" s="349">
        <v>8</v>
      </c>
      <c r="AW97" s="345">
        <f>IF(NOT($AD$45),0,RCSOP!BE88)</f>
        <v>0</v>
      </c>
      <c r="AX97" s="346">
        <f t="shared" si="183"/>
        <v>0</v>
      </c>
      <c r="AY97" s="346">
        <f t="shared" si="158"/>
        <v>0</v>
      </c>
      <c r="AZ97" s="346">
        <f t="shared" si="159"/>
        <v>0</v>
      </c>
      <c r="BA97" s="346">
        <f t="shared" si="160"/>
        <v>0</v>
      </c>
      <c r="BB97" s="346">
        <f t="shared" si="161"/>
        <v>0</v>
      </c>
      <c r="BC97" s="346">
        <f t="shared" si="162"/>
        <v>0</v>
      </c>
      <c r="BD97" s="346">
        <f t="shared" si="163"/>
        <v>0</v>
      </c>
      <c r="BE97" s="347">
        <f t="shared" si="164"/>
        <v>0</v>
      </c>
      <c r="BF97" s="346">
        <f t="shared" si="165"/>
        <v>0</v>
      </c>
      <c r="BG97" s="346">
        <f>IF(NOT($AD$45),0,ASZTAB!$AJ$48*AY97+AZ97-BF97)</f>
        <v>0</v>
      </c>
      <c r="BH97" s="346">
        <f t="shared" si="184"/>
        <v>0</v>
      </c>
      <c r="BI97" s="347">
        <f t="shared" si="185"/>
        <v>0</v>
      </c>
      <c r="BJ97" s="348">
        <v>2.2999999999999993E-2</v>
      </c>
      <c r="BK97" s="349">
        <f t="shared" ca="1" si="166"/>
        <v>0</v>
      </c>
      <c r="BM97" s="346">
        <f t="shared" si="167"/>
        <v>0</v>
      </c>
      <c r="BN97" s="346">
        <f t="shared" si="168"/>
        <v>0</v>
      </c>
      <c r="BO97" s="346">
        <f t="shared" si="169"/>
        <v>0</v>
      </c>
      <c r="BP97" s="346">
        <f t="shared" si="170"/>
        <v>0</v>
      </c>
      <c r="BQ97" s="346">
        <f t="shared" si="171"/>
        <v>0</v>
      </c>
      <c r="BR97" s="346">
        <f t="shared" si="172"/>
        <v>0</v>
      </c>
      <c r="BT97" s="346">
        <f t="shared" si="173"/>
        <v>0</v>
      </c>
      <c r="BU97" s="346">
        <f t="shared" si="174"/>
        <v>0</v>
      </c>
      <c r="BV97" s="346">
        <f t="shared" si="175"/>
        <v>0</v>
      </c>
      <c r="BW97" s="346">
        <f t="shared" si="176"/>
        <v>0</v>
      </c>
      <c r="BX97" s="346">
        <f t="shared" si="177"/>
        <v>0</v>
      </c>
      <c r="BY97" s="346">
        <f t="shared" si="178"/>
        <v>0</v>
      </c>
      <c r="CB97" s="350"/>
      <c r="CC97" s="353">
        <f>IF(ASZTAB!$AJ$44,COUNTIF($BI$102:$BI$111,CE97)*IF(OR(CE97=CE96,CE97=0),0,1),COUNTIF($BG$102:$BG$111,CD97)*IF(OR(CD97=CD96,CD97=0),0,1))+CF97/1000</f>
        <v>8.0000000000000002E-3</v>
      </c>
      <c r="CD97" s="352">
        <f t="shared" si="186"/>
        <v>0</v>
      </c>
      <c r="CE97" s="353">
        <f t="shared" si="187"/>
        <v>0</v>
      </c>
      <c r="CF97" s="354">
        <v>8</v>
      </c>
      <c r="CG97" s="350"/>
      <c r="CH97" s="300"/>
      <c r="CI97" s="356" t="str">
        <f>IF(OR(CI89=BG109,CI89=BI109),AW109,"")</f>
        <v/>
      </c>
      <c r="CJ97" s="357" t="str">
        <f t="shared" si="179"/>
        <v/>
      </c>
      <c r="CK97" s="385"/>
      <c r="CL97" s="356" t="str">
        <f>IF(OR(CL89=BG109,CL89=BI109),AW109,"")</f>
        <v/>
      </c>
      <c r="CM97" s="357" t="str">
        <f t="shared" si="180"/>
        <v/>
      </c>
      <c r="CN97" s="385"/>
      <c r="CO97" s="356" t="str">
        <f>IF(OR(CO89=BG109,CO89=BI109),AW109,"")</f>
        <v/>
      </c>
      <c r="CP97" s="357" t="str">
        <f t="shared" si="181"/>
        <v/>
      </c>
      <c r="CQ97" s="385"/>
      <c r="CR97" s="350"/>
      <c r="CS97" s="445"/>
      <c r="CT97" s="301"/>
      <c r="CU97" s="302"/>
      <c r="CV97" s="302"/>
      <c r="CW97" s="302"/>
      <c r="CX97" s="302"/>
      <c r="CY97" s="302"/>
      <c r="CZ97" s="302"/>
      <c r="DA97" s="447"/>
      <c r="DB97" s="302"/>
      <c r="DC97" s="448" t="s">
        <v>218</v>
      </c>
      <c r="DD97" s="302"/>
      <c r="DF97" s="424"/>
      <c r="DG97" s="424"/>
      <c r="DH97" s="424"/>
      <c r="DI97" s="424"/>
      <c r="DJ97" s="424"/>
      <c r="DK97" s="424"/>
      <c r="DL97" s="424"/>
      <c r="DM97" s="424"/>
      <c r="DN97" s="424"/>
      <c r="DO97" s="424"/>
      <c r="DP97" s="424"/>
      <c r="DQ97" s="424"/>
      <c r="DR97" s="424"/>
      <c r="DS97" s="424"/>
      <c r="DT97" s="424"/>
      <c r="DU97" s="424"/>
      <c r="DV97" s="424"/>
      <c r="DW97" s="424"/>
      <c r="DX97" s="424"/>
      <c r="DY97" s="424"/>
      <c r="DZ97" s="424"/>
      <c r="EA97" s="424"/>
      <c r="EB97" s="424"/>
      <c r="EC97" s="424"/>
      <c r="ED97" s="424"/>
      <c r="EE97" s="424"/>
      <c r="EF97" s="424"/>
      <c r="EG97" s="424"/>
      <c r="EH97" s="424"/>
      <c r="EI97" s="424"/>
      <c r="EJ97" s="424"/>
      <c r="EK97" s="424"/>
      <c r="EL97" s="424"/>
      <c r="EM97" s="424"/>
      <c r="EN97" s="424"/>
      <c r="EO97" s="425"/>
      <c r="EP97" s="333"/>
    </row>
    <row r="98" spans="29:146" x14ac:dyDescent="0.25">
      <c r="AC98" s="232" t="s">
        <v>446</v>
      </c>
      <c r="AD98" s="376" t="b">
        <v>0</v>
      </c>
      <c r="AH98" s="210" t="str">
        <f t="shared" ca="1" si="154"/>
        <v>–</v>
      </c>
      <c r="AI98" s="340" t="str">
        <f t="shared" si="182"/>
        <v/>
      </c>
      <c r="AJ98" s="338" t="e">
        <f t="shared" ca="1" si="155"/>
        <v>#N/A</v>
      </c>
      <c r="AK98" s="338" t="e">
        <f t="shared" ca="1" si="156"/>
        <v>#N/A</v>
      </c>
      <c r="AS98" s="341">
        <f t="shared" si="157"/>
        <v>0</v>
      </c>
      <c r="AT98" s="377" t="str">
        <f t="shared" si="188"/>
        <v/>
      </c>
      <c r="AU98" s="343">
        <f>IF(NOT($AD$45),0,IF(ASZTAB!$AJ$44,BI98*100,IF(ASZTAB!$AJ$43,BG98*10,BG98))*1000000+IF(ASZTAB!$AJ$52,AY98*10000,0)+IF(ASZTAB!$AJ$44,BE98,BD98)*1000/IF(OR(ASZTAB!AJ$43,ASZTAB!$AJ$52),10,1)+IF(ASZTAB!$AJ$44,0,IF(ASZTAB!AJ$43,BB98/10,BB98))+BJ98+IF($AD$86,BK98,0)-IF(AW98=0,1000000000,0))</f>
        <v>0</v>
      </c>
      <c r="AV98" s="349">
        <v>9</v>
      </c>
      <c r="AW98" s="345">
        <f>IF(NOT($AD$45),0,RCSOP!BE89)</f>
        <v>0</v>
      </c>
      <c r="AX98" s="346">
        <f t="shared" si="183"/>
        <v>0</v>
      </c>
      <c r="AY98" s="346">
        <f t="shared" si="158"/>
        <v>0</v>
      </c>
      <c r="AZ98" s="346">
        <f t="shared" si="159"/>
        <v>0</v>
      </c>
      <c r="BA98" s="346">
        <f t="shared" si="160"/>
        <v>0</v>
      </c>
      <c r="BB98" s="346">
        <f t="shared" si="161"/>
        <v>0</v>
      </c>
      <c r="BC98" s="346">
        <f t="shared" si="162"/>
        <v>0</v>
      </c>
      <c r="BD98" s="346">
        <f t="shared" si="163"/>
        <v>0</v>
      </c>
      <c r="BE98" s="347">
        <f t="shared" si="164"/>
        <v>0</v>
      </c>
      <c r="BF98" s="346">
        <f t="shared" si="165"/>
        <v>0</v>
      </c>
      <c r="BG98" s="346">
        <f>IF(NOT($AD$45),0,ASZTAB!$AJ$48*AY98+AZ98-BF98)</f>
        <v>0</v>
      </c>
      <c r="BH98" s="346">
        <f t="shared" si="184"/>
        <v>0</v>
      </c>
      <c r="BI98" s="347">
        <f t="shared" si="185"/>
        <v>0</v>
      </c>
      <c r="BJ98" s="348">
        <v>2.1999999999999992E-2</v>
      </c>
      <c r="BK98" s="349">
        <f t="shared" ca="1" si="166"/>
        <v>0</v>
      </c>
      <c r="BM98" s="346">
        <f t="shared" si="167"/>
        <v>0</v>
      </c>
      <c r="BN98" s="346">
        <f t="shared" si="168"/>
        <v>0</v>
      </c>
      <c r="BO98" s="346">
        <f t="shared" si="169"/>
        <v>0</v>
      </c>
      <c r="BP98" s="346">
        <f t="shared" si="170"/>
        <v>0</v>
      </c>
      <c r="BQ98" s="346">
        <f t="shared" si="171"/>
        <v>0</v>
      </c>
      <c r="BR98" s="346">
        <f t="shared" si="172"/>
        <v>0</v>
      </c>
      <c r="BT98" s="346">
        <f t="shared" si="173"/>
        <v>0</v>
      </c>
      <c r="BU98" s="346">
        <f t="shared" si="174"/>
        <v>0</v>
      </c>
      <c r="BV98" s="346">
        <f t="shared" si="175"/>
        <v>0</v>
      </c>
      <c r="BW98" s="346">
        <f t="shared" si="176"/>
        <v>0</v>
      </c>
      <c r="BX98" s="346">
        <f t="shared" si="177"/>
        <v>0</v>
      </c>
      <c r="BY98" s="346">
        <f t="shared" si="178"/>
        <v>0</v>
      </c>
      <c r="CB98" s="350"/>
      <c r="CC98" s="353">
        <f>IF(ASZTAB!$AJ$44,COUNTIF($BI$102:$BI$111,CE98)*IF(OR(CE98=CE97,CE98=0),0,1),COUNTIF($BG$102:$BG$111,CD98)*IF(OR(CD98=CD97,CD98=0),0,1))+CF98/1000</f>
        <v>8.9999999999999993E-3</v>
      </c>
      <c r="CD98" s="352">
        <f t="shared" si="186"/>
        <v>0</v>
      </c>
      <c r="CE98" s="353">
        <f t="shared" si="187"/>
        <v>0</v>
      </c>
      <c r="CF98" s="354">
        <v>9</v>
      </c>
      <c r="CG98" s="350"/>
      <c r="CH98" s="300"/>
      <c r="CI98" s="356" t="str">
        <f>IF(OR(CI89=BG110,CI89=BI110),AW110,"")</f>
        <v/>
      </c>
      <c r="CJ98" s="357" t="str">
        <f t="shared" si="179"/>
        <v/>
      </c>
      <c r="CK98" s="385"/>
      <c r="CL98" s="356" t="str">
        <f>IF(OR(CL89=BG110,CL89=BI110),AW110,"")</f>
        <v/>
      </c>
      <c r="CM98" s="357" t="str">
        <f t="shared" si="180"/>
        <v/>
      </c>
      <c r="CN98" s="385"/>
      <c r="CO98" s="356" t="str">
        <f>IF(OR(CO89=BG110,CO89=BI110),AW110,"")</f>
        <v/>
      </c>
      <c r="CP98" s="357" t="str">
        <f t="shared" si="181"/>
        <v/>
      </c>
      <c r="CQ98" s="385"/>
      <c r="CR98" s="350"/>
      <c r="CS98" s="300"/>
      <c r="CT98" s="323" t="b">
        <f ca="1">OR(NOT(ASZTAB!$AJ$44),COUNTIF(CY98:CY118,"")&lt;=18-(DA98-1)*DA98/2)</f>
        <v>1</v>
      </c>
      <c r="CU98" s="324" t="s">
        <v>157</v>
      </c>
      <c r="CV98" s="324" t="s">
        <v>158</v>
      </c>
      <c r="CW98" s="325" t="s">
        <v>159</v>
      </c>
      <c r="CX98" s="325"/>
      <c r="CY98" s="326" t="s">
        <v>160</v>
      </c>
      <c r="CZ98" s="325" t="s">
        <v>135</v>
      </c>
      <c r="DA98" s="323">
        <f ca="1">COUNT(CN42:CN44)</f>
        <v>0</v>
      </c>
      <c r="DB98" s="302"/>
      <c r="DC98" s="364"/>
      <c r="DD98" s="302"/>
      <c r="DF98" s="424"/>
      <c r="DG98" s="329" t="s">
        <v>229</v>
      </c>
      <c r="DH98" s="365"/>
      <c r="DI98" s="329" t="s">
        <v>152</v>
      </c>
      <c r="DJ98" s="329" t="s">
        <v>153</v>
      </c>
      <c r="DK98" s="329" t="s">
        <v>154</v>
      </c>
      <c r="DL98" s="329" t="s">
        <v>155</v>
      </c>
      <c r="DM98" s="329" t="s">
        <v>125</v>
      </c>
      <c r="DN98" s="329" t="s">
        <v>226</v>
      </c>
      <c r="DO98" s="329" t="s">
        <v>126</v>
      </c>
      <c r="DP98" s="329" t="s">
        <v>227</v>
      </c>
      <c r="DQ98" s="424"/>
      <c r="DR98" s="424"/>
      <c r="DS98" s="424"/>
      <c r="DT98" s="329" t="s">
        <v>228</v>
      </c>
      <c r="DU98" s="329" t="s">
        <v>156</v>
      </c>
      <c r="DV98" s="329" t="s">
        <v>208</v>
      </c>
      <c r="DW98" s="424"/>
      <c r="DX98" s="424"/>
      <c r="DY98" s="424"/>
      <c r="DZ98" s="424"/>
      <c r="EA98" s="424"/>
      <c r="EB98" s="424"/>
      <c r="EC98" s="424"/>
      <c r="ED98" s="424"/>
      <c r="EE98" s="424"/>
      <c r="EF98" s="424"/>
      <c r="EG98" s="424"/>
      <c r="EH98" s="424"/>
      <c r="EI98" s="424"/>
      <c r="EJ98" s="424"/>
      <c r="EK98" s="424"/>
      <c r="EL98" s="424"/>
      <c r="EM98" s="424"/>
      <c r="EN98" s="424"/>
      <c r="EO98" s="425"/>
      <c r="EP98" s="333"/>
    </row>
    <row r="99" spans="29:146" x14ac:dyDescent="0.25">
      <c r="AH99" s="210" t="str">
        <f t="shared" ca="1" si="154"/>
        <v>–</v>
      </c>
      <c r="AI99" s="340" t="str">
        <f t="shared" si="182"/>
        <v/>
      </c>
      <c r="AJ99" s="338" t="e">
        <f t="shared" ca="1" si="155"/>
        <v>#N/A</v>
      </c>
      <c r="AK99" s="338" t="e">
        <f t="shared" ca="1" si="156"/>
        <v>#N/A</v>
      </c>
      <c r="AS99" s="341">
        <f t="shared" si="157"/>
        <v>0</v>
      </c>
      <c r="AT99" s="377" t="str">
        <f t="shared" si="188"/>
        <v/>
      </c>
      <c r="AU99" s="343">
        <f>IF(NOT($AD$45),0,IF(ASZTAB!$AJ$44,BI99*100,IF(ASZTAB!$AJ$43,BG99*10,BG99))*1000000+IF(ASZTAB!$AJ$52,AY99*10000,0)+IF(ASZTAB!$AJ$44,BE99,BD99)*1000/IF(OR(ASZTAB!AJ$43,ASZTAB!$AJ$52),10,1)+IF(ASZTAB!$AJ$44,0,IF(ASZTAB!AJ$43,BB99/10,BB99))+BJ99+IF($AD$86,BK99,0)-IF(AW99=0,1000000000,0))</f>
        <v>0</v>
      </c>
      <c r="AV99" s="349">
        <v>10</v>
      </c>
      <c r="AW99" s="345">
        <f>IF(NOT($AD$45),0,RCSOP!BE90)</f>
        <v>0</v>
      </c>
      <c r="AX99" s="346">
        <f t="shared" si="183"/>
        <v>0</v>
      </c>
      <c r="AY99" s="346">
        <f t="shared" si="158"/>
        <v>0</v>
      </c>
      <c r="AZ99" s="346">
        <f t="shared" si="159"/>
        <v>0</v>
      </c>
      <c r="BA99" s="346">
        <f t="shared" si="160"/>
        <v>0</v>
      </c>
      <c r="BB99" s="346">
        <f t="shared" si="161"/>
        <v>0</v>
      </c>
      <c r="BC99" s="346">
        <f t="shared" si="162"/>
        <v>0</v>
      </c>
      <c r="BD99" s="346">
        <f t="shared" si="163"/>
        <v>0</v>
      </c>
      <c r="BE99" s="347">
        <f t="shared" si="164"/>
        <v>0</v>
      </c>
      <c r="BF99" s="346">
        <f t="shared" si="165"/>
        <v>0</v>
      </c>
      <c r="BG99" s="346">
        <f>IF(NOT($AD$45),0,ASZTAB!$AJ$48*AY99+AZ99-BF99)</f>
        <v>0</v>
      </c>
      <c r="BH99" s="346">
        <f t="shared" si="184"/>
        <v>0</v>
      </c>
      <c r="BI99" s="347">
        <f t="shared" si="185"/>
        <v>0</v>
      </c>
      <c r="BJ99" s="348">
        <v>2.0999999999999991E-2</v>
      </c>
      <c r="BK99" s="349">
        <f t="shared" ca="1" si="166"/>
        <v>0</v>
      </c>
      <c r="BM99" s="346">
        <f t="shared" si="167"/>
        <v>0</v>
      </c>
      <c r="BN99" s="346">
        <f t="shared" si="168"/>
        <v>0</v>
      </c>
      <c r="BO99" s="346">
        <f t="shared" si="169"/>
        <v>0</v>
      </c>
      <c r="BP99" s="346">
        <f t="shared" si="170"/>
        <v>0</v>
      </c>
      <c r="BQ99" s="346">
        <f t="shared" si="171"/>
        <v>0</v>
      </c>
      <c r="BR99" s="346">
        <f t="shared" si="172"/>
        <v>0</v>
      </c>
      <c r="BT99" s="346">
        <f t="shared" si="173"/>
        <v>0</v>
      </c>
      <c r="BU99" s="346">
        <f t="shared" si="174"/>
        <v>0</v>
      </c>
      <c r="BV99" s="346">
        <f t="shared" si="175"/>
        <v>0</v>
      </c>
      <c r="BW99" s="346">
        <f t="shared" si="176"/>
        <v>0</v>
      </c>
      <c r="BX99" s="346">
        <f t="shared" si="177"/>
        <v>0</v>
      </c>
      <c r="BY99" s="346">
        <f t="shared" si="178"/>
        <v>0</v>
      </c>
      <c r="CB99" s="350"/>
      <c r="CC99" s="353">
        <f>IF(ASZTAB!$AJ$44,COUNTIF($BI$102:$BI$111,CE99)*IF(OR(CE99=CE98,CE99=0),0,1),COUNTIF($BG$102:$BG$111,CD99)*IF(OR(CD99=CD98,CD99=0),0,1))+CF99/1000</f>
        <v>0.01</v>
      </c>
      <c r="CD99" s="352">
        <f t="shared" si="186"/>
        <v>0</v>
      </c>
      <c r="CE99" s="353">
        <f t="shared" si="187"/>
        <v>0</v>
      </c>
      <c r="CF99" s="354">
        <v>10</v>
      </c>
      <c r="CG99" s="350"/>
      <c r="CH99" s="300"/>
      <c r="CI99" s="356" t="str">
        <f>IF(OR(CI89=BG111,CI89=BI111),AW111,"")</f>
        <v/>
      </c>
      <c r="CJ99" s="357" t="str">
        <f t="shared" si="179"/>
        <v/>
      </c>
      <c r="CK99" s="357"/>
      <c r="CL99" s="356" t="str">
        <f>IF(OR(CL89=BG111,CL89=BI111),AW111,"")</f>
        <v/>
      </c>
      <c r="CM99" s="357" t="str">
        <f t="shared" si="180"/>
        <v/>
      </c>
      <c r="CN99" s="357"/>
      <c r="CO99" s="356" t="str">
        <f>IF(OR(CO89=BG111,CO89=BI111),AW111,"")</f>
        <v/>
      </c>
      <c r="CP99" s="357" t="str">
        <f t="shared" si="181"/>
        <v/>
      </c>
      <c r="CQ99" s="357"/>
      <c r="CR99" s="350"/>
      <c r="CS99" s="300"/>
      <c r="CT99" s="359" t="str">
        <f ca="1">IF(CN42="","",VLOOKUP(CN42,xxx.rr1,7,FALSE))</f>
        <v/>
      </c>
      <c r="CU99" s="360" t="str">
        <f ca="1">IF(OR(CT99="",DA99="",CT99=DA99,ISNA(VLOOKUP(CONCATENATE(CT99,DA99),games.r,2,FALSE))),"",CONCATENATE(CT99,DA99))</f>
        <v/>
      </c>
      <c r="CV99" s="360" t="str">
        <f ca="1">IF(CU99="","",CONCATENATE(VLOOKUP(CU99,games.r,9,FALSE),VLOOKUP(CU99,games.r,12,FALSE)))</f>
        <v/>
      </c>
      <c r="CW99" s="354" t="str">
        <f ca="1">IF(CU99="","",VLOOKUP(CU99,games.r,10,FALSE))</f>
        <v/>
      </c>
      <c r="CX99" s="354" t="str">
        <f ca="1">IF(CU99="","",VLOOKUP(CU99,games.r,13,FALSE))</f>
        <v/>
      </c>
      <c r="CY99" s="361" t="str">
        <f ca="1">IF(CU99="","",VLOOKUP(CU99,games.r,6,FALSE))</f>
        <v/>
      </c>
      <c r="CZ99" s="362" t="str">
        <f ca="1">IF(CU99="","",VLOOKUP(CU99,games.r,7,FALSE))</f>
        <v/>
      </c>
      <c r="DA99" s="363" t="str">
        <f ca="1">CT99</f>
        <v/>
      </c>
      <c r="DB99" s="302"/>
      <c r="DC99" s="364"/>
      <c r="DD99" s="302"/>
      <c r="DF99" s="424"/>
      <c r="DG99" s="366" t="str">
        <f ca="1">IF(OR(NOT(ASZTAB!$AJ$44),CT98),CT99,"")</f>
        <v/>
      </c>
      <c r="DH99" s="365"/>
      <c r="DI99" s="366">
        <f ca="1">IF(DG99="",0,COUNTIF(xxgy.rr,DG99))</f>
        <v>0</v>
      </c>
      <c r="DJ99" s="366">
        <f ca="1">IF(DG99="",0,COUNTIF(xxd.rr,DG99))</f>
        <v>0</v>
      </c>
      <c r="DK99" s="366">
        <f ca="1">IF(DG99="",0,1)*(SUMIF(xxo.rr,DG99,xxl.rr)+SUMIF(xxi.rr,DG99,xxk.rr))</f>
        <v>0</v>
      </c>
      <c r="DL99" s="366">
        <f ca="1">IF(DG99="",0,1)*(SUMIF(xxo.rr,DG99,xxk.rr)+SUMIF(xxi.rr,DG99,xxl.rr))</f>
        <v>0</v>
      </c>
      <c r="DM99" s="366">
        <f ca="1">DK99-DL99</f>
        <v>0</v>
      </c>
      <c r="DN99" s="366">
        <f ca="1">IF(DL99=0,0,DK99/DL99)</f>
        <v>0</v>
      </c>
      <c r="DO99" s="366">
        <f ca="1">ASZTAB!$AJ$48*DI99+IF(ASZTAB!$AJ$44,0,1)*DJ99</f>
        <v>0</v>
      </c>
      <c r="DP99" s="396">
        <f ca="1">DO99*1000000+IF(ASZTAB!$AJ$44,DN99,DM99)*1000*0</f>
        <v>0</v>
      </c>
      <c r="DQ99" s="424"/>
      <c r="DR99" s="424"/>
      <c r="DS99" s="424"/>
      <c r="DT99" s="366">
        <f ca="1">IF(OR(ISERR(DP99),ISNA(DP99)),0,DP99)</f>
        <v>0</v>
      </c>
      <c r="DU99" s="366">
        <f ca="1">IF(DT99=0,0,RANK(DT99,DT99:DT101,1))</f>
        <v>0</v>
      </c>
      <c r="DV99" s="366">
        <f ca="1">DU99*40000*IF(COUNTIF($EN$42:$EN$51,DG99)&gt;0,0,1)</f>
        <v>0</v>
      </c>
      <c r="DW99" s="424"/>
      <c r="DX99" s="424"/>
      <c r="DY99" s="424"/>
      <c r="DZ99" s="424"/>
      <c r="EA99" s="424"/>
      <c r="EB99" s="424"/>
      <c r="EC99" s="424"/>
      <c r="ED99" s="424"/>
      <c r="EE99" s="424"/>
      <c r="EF99" s="424"/>
      <c r="EG99" s="424"/>
      <c r="EH99" s="424"/>
      <c r="EI99" s="424"/>
      <c r="EJ99" s="424"/>
      <c r="EK99" s="424"/>
      <c r="EL99" s="424"/>
      <c r="EM99" s="424"/>
      <c r="EN99" s="424"/>
      <c r="EO99" s="425"/>
      <c r="EP99" s="333"/>
    </row>
    <row r="100" spans="29:146" x14ac:dyDescent="0.25">
      <c r="AC100" s="232" t="s">
        <v>278</v>
      </c>
      <c r="AD100" s="376">
        <v>0</v>
      </c>
      <c r="AY100" s="179"/>
      <c r="AZ100" s="179"/>
      <c r="BA100" s="179"/>
      <c r="BB100" s="179"/>
      <c r="BC100" s="179"/>
      <c r="BD100" s="179"/>
      <c r="BE100" s="179"/>
      <c r="BF100" s="179"/>
      <c r="BG100" s="179"/>
      <c r="BH100" s="179"/>
      <c r="BI100" s="179"/>
      <c r="BM100" s="179"/>
      <c r="BN100" s="179"/>
      <c r="BO100" s="179"/>
      <c r="BP100" s="179"/>
      <c r="BQ100" s="179"/>
      <c r="BR100" s="179"/>
      <c r="BS100" s="179"/>
      <c r="BT100" s="179"/>
      <c r="BU100" s="179"/>
      <c r="BV100" s="179"/>
      <c r="BW100" s="179"/>
      <c r="BX100" s="179"/>
      <c r="BY100" s="179"/>
      <c r="CB100" s="350"/>
      <c r="CC100" s="350"/>
      <c r="CD100" s="350"/>
      <c r="CE100" s="350"/>
      <c r="CF100" s="350"/>
      <c r="CG100" s="350"/>
      <c r="CR100" s="350"/>
      <c r="CS100" s="300"/>
      <c r="CT100" s="359" t="str">
        <f ca="1">IF(CN43="","",VLOOKUP(CN43,xxx.rr1,7,FALSE))</f>
        <v/>
      </c>
      <c r="CU100" s="360" t="str">
        <f ca="1">IF(OR(CT100="",DA100="",CT100=DA100,ISNA(VLOOKUP(CONCATENATE(CT100,DA100),games.r,2,FALSE))),"",CONCATENATE(CT100,DA100))</f>
        <v/>
      </c>
      <c r="CV100" s="360" t="str">
        <f ca="1">IF(CU100="","",CONCATENATE(VLOOKUP(CU100,games.r,9,FALSE),VLOOKUP(CU100,games.r,12,FALSE)))</f>
        <v/>
      </c>
      <c r="CW100" s="354" t="str">
        <f ca="1">IF(CU100="","",VLOOKUP(CU100,games.r,10,FALSE))</f>
        <v/>
      </c>
      <c r="CX100" s="354" t="str">
        <f ca="1">IF(CU100="","",VLOOKUP(CU100,games.r,13,FALSE))</f>
        <v/>
      </c>
      <c r="CY100" s="361" t="str">
        <f ca="1">IF(CU100="","",VLOOKUP(CU100,games.r,6,FALSE))</f>
        <v/>
      </c>
      <c r="CZ100" s="362" t="str">
        <f ca="1">IF(CU100="","",VLOOKUP(CU100,games.r,7,FALSE))</f>
        <v/>
      </c>
      <c r="DA100" s="379" t="str">
        <f ca="1">DA99</f>
        <v/>
      </c>
      <c r="DB100" s="302"/>
      <c r="DC100" s="364"/>
      <c r="DD100" s="302"/>
      <c r="DF100" s="424"/>
      <c r="DG100" s="366" t="str">
        <f ca="1">IF(OR(NOT(ASZTAB!$AJ$44),CT98),CT100,"")</f>
        <v/>
      </c>
      <c r="DH100" s="365"/>
      <c r="DI100" s="366">
        <f ca="1">IF(DG100="",0,COUNTIF(xxgy.rr,DG100))</f>
        <v>0</v>
      </c>
      <c r="DJ100" s="366">
        <f ca="1">IF(DG100="",0,COUNTIF(xxd.rr,DG100))</f>
        <v>0</v>
      </c>
      <c r="DK100" s="366">
        <f ca="1">IF(DG100="",0,1)*(SUMIF(xxo.rr,DG100,xxl.rr)+SUMIF(xxi.rr,DG100,xxk.rr))</f>
        <v>0</v>
      </c>
      <c r="DL100" s="366">
        <f ca="1">IF(DG100="",0,1)*(SUMIF(xxo.rr,DG100,xxk.rr)+SUMIF(xxi.rr,DG100,xxl.rr))</f>
        <v>0</v>
      </c>
      <c r="DM100" s="366">
        <f ca="1">DK100-DL100</f>
        <v>0</v>
      </c>
      <c r="DN100" s="366">
        <f ca="1">IF(DL100=0,0,DK100/DL100)</f>
        <v>0</v>
      </c>
      <c r="DO100" s="366">
        <f ca="1">ASZTAB!$AJ$48*DI100+IF(ASZTAB!$AJ$44,0,1)*DJ100</f>
        <v>0</v>
      </c>
      <c r="DP100" s="396">
        <f ca="1">DO100*1000000+IF(ASZTAB!$AJ$44,DN100,DM100)*1000*0</f>
        <v>0</v>
      </c>
      <c r="DQ100" s="424"/>
      <c r="DR100" s="424"/>
      <c r="DS100" s="424"/>
      <c r="DT100" s="366">
        <f ca="1">IF(OR(ISERR(DP100),ISNA(DP100)),0,DP100)</f>
        <v>0</v>
      </c>
      <c r="DU100" s="366">
        <f ca="1">IF(DT100=0,0,RANK(DT100,DT99:DT101,1))</f>
        <v>0</v>
      </c>
      <c r="DV100" s="366">
        <f ca="1">DU100*40000*IF(COUNTIF($EN$42:$EN$51,DG100)&gt;0,0,1)</f>
        <v>0</v>
      </c>
      <c r="DW100" s="424"/>
      <c r="DX100" s="424"/>
      <c r="DY100" s="424"/>
      <c r="DZ100" s="424"/>
      <c r="EA100" s="424"/>
      <c r="EB100" s="424"/>
      <c r="EC100" s="424"/>
      <c r="ED100" s="424"/>
      <c r="EE100" s="424"/>
      <c r="EF100" s="424"/>
      <c r="EG100" s="424"/>
      <c r="EH100" s="424"/>
      <c r="EI100" s="424"/>
      <c r="EJ100" s="424"/>
      <c r="EK100" s="424"/>
      <c r="EL100" s="424"/>
      <c r="EM100" s="424"/>
      <c r="EN100" s="424"/>
      <c r="EO100" s="425"/>
      <c r="EP100" s="333"/>
    </row>
    <row r="101" spans="29:146" ht="15.75" x14ac:dyDescent="0.25">
      <c r="AC101" s="232" t="s">
        <v>284</v>
      </c>
      <c r="AD101" s="376" t="b">
        <v>1</v>
      </c>
      <c r="AS101" s="313" t="s">
        <v>369</v>
      </c>
      <c r="AT101" s="314"/>
      <c r="AU101" s="315"/>
      <c r="AV101" s="315"/>
      <c r="AW101" s="316" t="s">
        <v>369</v>
      </c>
      <c r="AX101" s="318" t="s">
        <v>120</v>
      </c>
      <c r="AY101" s="318" t="s">
        <v>121</v>
      </c>
      <c r="AZ101" s="318" t="s">
        <v>134</v>
      </c>
      <c r="BA101" s="318" t="s">
        <v>122</v>
      </c>
      <c r="BB101" s="318" t="s">
        <v>123</v>
      </c>
      <c r="BC101" s="318" t="s">
        <v>124</v>
      </c>
      <c r="BD101" s="318" t="s">
        <v>125</v>
      </c>
      <c r="BE101" s="318" t="s">
        <v>191</v>
      </c>
      <c r="BF101" s="318" t="s">
        <v>207</v>
      </c>
      <c r="BG101" s="318" t="s">
        <v>126</v>
      </c>
      <c r="BH101" s="318" t="s">
        <v>197</v>
      </c>
      <c r="BI101" s="318" t="s">
        <v>192</v>
      </c>
      <c r="BJ101" s="318" t="s">
        <v>127</v>
      </c>
      <c r="BK101" s="318" t="s">
        <v>208</v>
      </c>
      <c r="BM101" s="318" t="s">
        <v>196</v>
      </c>
      <c r="BN101" s="318" t="s">
        <v>121</v>
      </c>
      <c r="BO101" s="318" t="s">
        <v>134</v>
      </c>
      <c r="BP101" s="318" t="s">
        <v>122</v>
      </c>
      <c r="BQ101" s="318" t="s">
        <v>123</v>
      </c>
      <c r="BR101" s="318" t="s">
        <v>124</v>
      </c>
      <c r="BT101" s="318" t="s">
        <v>196</v>
      </c>
      <c r="BU101" s="318" t="s">
        <v>121</v>
      </c>
      <c r="BV101" s="318" t="s">
        <v>134</v>
      </c>
      <c r="BW101" s="318" t="s">
        <v>122</v>
      </c>
      <c r="BX101" s="318" t="s">
        <v>123</v>
      </c>
      <c r="BY101" s="318" t="s">
        <v>124</v>
      </c>
      <c r="CB101" s="350"/>
      <c r="CC101" s="350"/>
      <c r="CD101" s="350"/>
      <c r="CE101" s="350"/>
      <c r="CF101" s="350"/>
      <c r="CG101" s="350"/>
      <c r="CR101" s="350"/>
      <c r="CS101" s="300"/>
      <c r="CT101" s="359" t="str">
        <f ca="1">IF(CN44="","",VLOOKUP(CN44,xxx.rr1,7,FALSE))</f>
        <v/>
      </c>
      <c r="CU101" s="360" t="str">
        <f ca="1">IF(OR(CT101="",DA101="",CT101=DA101,ISNA(VLOOKUP(CONCATENATE(CT101,DA101),games.r,2,FALSE))),"",CONCATENATE(CT101,DA101))</f>
        <v/>
      </c>
      <c r="CV101" s="360" t="str">
        <f ca="1">IF(CU101="","",CONCATENATE(VLOOKUP(CU101,games.r,9,FALSE),VLOOKUP(CU101,games.r,12,FALSE)))</f>
        <v/>
      </c>
      <c r="CW101" s="354" t="str">
        <f ca="1">IF(CU101="","",VLOOKUP(CU101,games.r,10,FALSE))</f>
        <v/>
      </c>
      <c r="CX101" s="354" t="str">
        <f ca="1">IF(CU101="","",VLOOKUP(CU101,games.r,13,FALSE))</f>
        <v/>
      </c>
      <c r="CY101" s="361" t="str">
        <f ca="1">IF(CU101="","",VLOOKUP(CU101,games.r,6,FALSE))</f>
        <v/>
      </c>
      <c r="CZ101" s="362" t="str">
        <f ca="1">IF(CU101="","",VLOOKUP(CU101,games.r,7,FALSE))</f>
        <v/>
      </c>
      <c r="DA101" s="379" t="str">
        <f t="shared" ref="DA101:DA111" ca="1" si="189">DA100</f>
        <v/>
      </c>
      <c r="DB101" s="302"/>
      <c r="DC101" s="364"/>
      <c r="DD101" s="302"/>
      <c r="DF101" s="424"/>
      <c r="DG101" s="366" t="str">
        <f ca="1">IF(OR(NOT(ASZTAB!$AJ$44),CT98),CT101,"")</f>
        <v/>
      </c>
      <c r="DH101" s="365"/>
      <c r="DI101" s="366">
        <f ca="1">IF(DG101="",0,COUNTIF(xxgy.rr,DG101))</f>
        <v>0</v>
      </c>
      <c r="DJ101" s="366">
        <f ca="1">IF(DG101="",0,COUNTIF(xxd.rr,DG101))</f>
        <v>0</v>
      </c>
      <c r="DK101" s="366">
        <f ca="1">IF(DG101="",0,1)*(SUMIF(xxo.rr,DG101,xxl.rr)+SUMIF(xxi.rr,DG101,xxk.rr))</f>
        <v>0</v>
      </c>
      <c r="DL101" s="366">
        <f ca="1">IF(DG101="",0,1)*(SUMIF(xxo.rr,DG101,xxk.rr)+SUMIF(xxi.rr,DG101,xxl.rr))</f>
        <v>0</v>
      </c>
      <c r="DM101" s="366">
        <f ca="1">DK101-DL101</f>
        <v>0</v>
      </c>
      <c r="DN101" s="366">
        <f ca="1">IF(DL101=0,0,DK101/DL101)</f>
        <v>0</v>
      </c>
      <c r="DO101" s="366">
        <f ca="1">ASZTAB!$AJ$48*DI101+IF(ASZTAB!$AJ$44,0,1)*DJ101</f>
        <v>0</v>
      </c>
      <c r="DP101" s="396">
        <f ca="1">DO101*1000000+IF(ASZTAB!$AJ$44,DN101,DM101)*1000*0</f>
        <v>0</v>
      </c>
      <c r="DQ101" s="424"/>
      <c r="DR101" s="424"/>
      <c r="DS101" s="424"/>
      <c r="DT101" s="366">
        <f ca="1">IF(OR(ISERR(DP101),ISNA(DP101)),0,DP101)</f>
        <v>0</v>
      </c>
      <c r="DU101" s="366">
        <f ca="1">IF(DT101=0,0,RANK(DT101,DT99:DT101,1))</f>
        <v>0</v>
      </c>
      <c r="DV101" s="366">
        <f ca="1">DU101*40000*IF(COUNTIF($EN$42:$EN$51,DG101)&gt;0,0,1)</f>
        <v>0</v>
      </c>
      <c r="DW101" s="424"/>
      <c r="DX101" s="424"/>
      <c r="DY101" s="424"/>
      <c r="DZ101" s="424"/>
      <c r="EA101" s="424"/>
      <c r="EB101" s="424"/>
      <c r="EC101" s="424"/>
      <c r="ED101" s="424"/>
      <c r="EE101" s="424"/>
      <c r="EF101" s="424"/>
      <c r="EG101" s="424"/>
      <c r="EH101" s="424"/>
      <c r="EI101" s="424"/>
      <c r="EJ101" s="424"/>
      <c r="EK101" s="424"/>
      <c r="EL101" s="424"/>
      <c r="EM101" s="424"/>
      <c r="EN101" s="424"/>
      <c r="EO101" s="425"/>
      <c r="EP101" s="333"/>
    </row>
    <row r="102" spans="29:146" x14ac:dyDescent="0.25">
      <c r="AC102" s="232" t="s">
        <v>406</v>
      </c>
      <c r="AD102" s="376" t="b">
        <v>0</v>
      </c>
      <c r="AO102" s="349">
        <v>1</v>
      </c>
      <c r="AP102" s="430">
        <f t="shared" ref="AP102:AP111" si="190">VLOOKUP($AS102,table.rr3,3,FALSE)</f>
        <v>0</v>
      </c>
      <c r="AQ102" s="349">
        <v>1</v>
      </c>
      <c r="AS102" s="431">
        <f>LARGE(AU$102:AU$111,AV102)</f>
        <v>0</v>
      </c>
      <c r="AT102" s="377">
        <v>1</v>
      </c>
      <c r="AU102" s="343">
        <f>IF(NOT($AD$45),0,IF(ASZTAB!$AJ$44,BI102*100,IF(ASZTAB!$AJ$43,BG102*10,BG102))*1000000+IF(ASZTAB!$AJ$52,AY102*10000,0)+IF(ASZTAB!$AJ$44,BE102,BD102)*1000/IF(OR(ASZTAB!AJ$43,ASZTAB!$AJ$52),10,1)+IF(ASZTAB!$AJ$44,0,IF(ASZTAB!AJ$43,BB102/10,BB102))+BJ102+BK102-IF(AW102=0,1000000000,0))</f>
        <v>0</v>
      </c>
      <c r="AV102" s="349">
        <v>1</v>
      </c>
      <c r="AW102" s="345">
        <f>AW90</f>
        <v>0</v>
      </c>
      <c r="AX102" s="346">
        <f>AY102+AZ102+BA102</f>
        <v>0</v>
      </c>
      <c r="AY102" s="346">
        <f t="shared" ref="AY102:AY111" si="191">IF(NOT($AD$45),0,BN102+BU102)</f>
        <v>0</v>
      </c>
      <c r="AZ102" s="346">
        <f t="shared" ref="AZ102:AZ111" si="192">IF(NOT($AD$45),0,BO102+BV102)</f>
        <v>0</v>
      </c>
      <c r="BA102" s="346">
        <f t="shared" ref="BA102:BA111" si="193">IF(NOT($AD$45),0,BP102+BW102)</f>
        <v>0</v>
      </c>
      <c r="BB102" s="346">
        <f t="shared" ref="BB102:BB111" si="194">IF(NOT($AD$45),0,BQ102+BX102)</f>
        <v>0</v>
      </c>
      <c r="BC102" s="346">
        <f t="shared" ref="BC102:BC111" si="195">IF(NOT($AD$45),0,BR102+BY102)</f>
        <v>0</v>
      </c>
      <c r="BD102" s="346">
        <f t="shared" ref="BD102:BD111" si="196">BB102-BC102</f>
        <v>0</v>
      </c>
      <c r="BE102" s="347">
        <f t="shared" ref="BE102:BE111" si="197">IF(BC102=0,0,BB102/BC102)</f>
        <v>0</v>
      </c>
      <c r="BF102" s="346">
        <f t="shared" ref="BF102:BF111" si="198">IF(NOT($AD$45),0,IF(ISNA(VLOOKUP(AW102,penalty.r,2,FALSE)),0,VLOOKUP(AW102,penalty.r,2,FALSE))-IF(OR(NOT($AD$103),ISNA(VLOOKUP(AW102,zpoint,2,FALSE))),0,VLOOKUP(AW102,zpoint,2,FALSE)))</f>
        <v>0</v>
      </c>
      <c r="BG102" s="346">
        <f>IF(NOT($AD$45),0,ASZTAB!$AJ$48*AY102+AZ102-BF102)</f>
        <v>0</v>
      </c>
      <c r="BH102" s="346">
        <f>IF(NOT($AD$45),0,AY102*2+BA102-BF102)</f>
        <v>0</v>
      </c>
      <c r="BI102" s="347">
        <f>IF(NOT($AD$45),0,IF(AND(AX102=0,BH102=0),0,BH102/(AX102*2+$AD$111)))</f>
        <v>0</v>
      </c>
      <c r="BJ102" s="348">
        <v>0.03</v>
      </c>
      <c r="BK102" s="349">
        <f t="shared" ref="BK102:BK111" ca="1" si="199">IF(ISNA(VLOOKUP(AW102,eee.rr,16,FALSE)),0,VLOOKUP(AW102,eee.rr,16,FALSE))</f>
        <v>0</v>
      </c>
      <c r="BM102" s="346">
        <f t="shared" ref="BM102:BM111" si="200">IF(NOT($AD$45),0,COUNTIF(lossh.rr,CONCATENATE($AW102,"ooo"))+IF(NOT($AD$108),0,IF($AD$109,COUNTIF(lossh.aa,CONCATENATE($AW102,"ooo")),COUNTIF(zlossh,CONCATENATE($AW102,"ooo")))))</f>
        <v>0</v>
      </c>
      <c r="BN102" s="346">
        <f t="shared" ref="BN102:BN111" si="201">IF(NOT($AD$45),0,COUNTIF(winh.rr,$AW102)+IF(NOT($AD$108),0,IF($AD$109,COUNTIF(winh.aa,$AW102),COUNTIF(zwinh,$AW102))))</f>
        <v>0</v>
      </c>
      <c r="BO102" s="346">
        <f t="shared" ref="BO102:BO111" si="202">IF(NOT($AD$45),0,COUNTIF(drawh.rr,$AW102)+IF(NOT($AD$108),0,IF($AD$109,COUNTIF(drawh.aa,$AW102),COUNTIF(zdrawh,$AW102))))</f>
        <v>0</v>
      </c>
      <c r="BP102" s="346">
        <f t="shared" ref="BP102:BP111" si="203">IF(NOT($AD$45),0,COUNTIF(lossh.rr,$AW102)+BM102+IF(NOT($AD$108),0,IF($AD$109,COUNTIF(lossh.aa,$AW102),COUNTIF(zlossh,$AW102))))</f>
        <v>0</v>
      </c>
      <c r="BQ102" s="346">
        <f t="shared" ref="BQ102:BQ111" si="204">IF(NOT($AD$45),0,SUMIF(home.rr,$AW102,GAA.rr)+IF(NOT($AD$108),0,IF($AD$109,SUMIF(home.aa,$AW102,GAA.aa),SUMIF(zhome,$AW102,zfor))))</f>
        <v>0</v>
      </c>
      <c r="BR102" s="346">
        <f t="shared" ref="BR102:BR111" si="205">IF(NOT($AD$45),0,SUMIF(home.rr,$AW102,GBB.rr)+IF(NOT($AD$108),0,IF($AD$109,SUMIF(home.aa,$AW102,GBB.aa),SUMIF(zhome,$AW102,zagainst))))</f>
        <v>0</v>
      </c>
      <c r="BT102" s="346">
        <f t="shared" ref="BT102:BT111" si="206">IF(NOT($AD$45),0,COUNTIF(lossa.rr,CONCATENATE($AW102,"ooo"))+IF(NOT($AD$108),0,IF($AD$109,COUNTIF(lossa.aa,CONCATENATE($AW102,"ooo")),COUNTIF(zlossa,CONCATENATE($AW102,"ooo")))))</f>
        <v>0</v>
      </c>
      <c r="BU102" s="346">
        <f t="shared" ref="BU102:BU111" si="207">IF(NOT($AD$45),0,COUNTIF(wina.rr,$AW102)+IF(NOT($AD$108),0,IF($AD$109,COUNTIF(wina.aa,$AW102),COUNTIF(zwina,$AW102))))</f>
        <v>0</v>
      </c>
      <c r="BV102" s="346">
        <f t="shared" ref="BV102:BV111" si="208">IF(NOT($AD$45),0,COUNTIF(drawa.rr,$AW102)+IF(NOT($AD$108),0,IF($AD$109,COUNTIF(drawa.aa,$AW102),COUNTIF(zdrawa,$AW102))))</f>
        <v>0</v>
      </c>
      <c r="BW102" s="346">
        <f t="shared" ref="BW102:BW111" si="209">IF(NOT($AD$45),0,COUNTIF(lossa.rr,$AW102)+BT102+IF(NOT($AD$108),0,IF($AD$109,COUNTIF(lossa.aa,$AW102),COUNTIF(zlossa,$AW102))))</f>
        <v>0</v>
      </c>
      <c r="BX102" s="346">
        <f t="shared" ref="BX102:BX111" si="210">IF(NOT($AD$45),0,SUMIF(away.rr,$AW102,GBB.rr)+IF(NOT($AD$108),0,IF($AD$109,SUMIF(away.aa,$AW102,GBB.aa),SUMIF(zaway,$AW102,zagainst))))</f>
        <v>0</v>
      </c>
      <c r="BY102" s="346">
        <f t="shared" ref="BY102:BY111" si="211">IF(NOT($AD$45),0,SUMIF(away.rr,$AW102,GAA.rr)+IF(NOT($AD$108),0,IF($AD$109,SUMIF(away.aa,$AW102,GAA.aa),SUMIF(zaway,$AW102,zfor))))</f>
        <v>0</v>
      </c>
      <c r="CB102" s="350"/>
      <c r="CC102" s="350"/>
      <c r="CD102" s="350"/>
      <c r="CE102" s="350"/>
      <c r="CF102" s="350"/>
      <c r="CG102" s="350"/>
      <c r="CR102" s="445"/>
      <c r="CS102" s="300"/>
      <c r="CT102" s="522" t="str">
        <f>IF(NOT($AD$98),"",CT99)</f>
        <v/>
      </c>
      <c r="CU102" s="371" t="str">
        <f ca="1">IF(OR(CT102="",DA102="",CT102=DA102,ISNA(VLOOKUP(CONCATENATE(CT102,DA102),games.a,2,FALSE))),"",CONCATENATE(CT102,DA102))</f>
        <v/>
      </c>
      <c r="CV102" s="371" t="str">
        <f ca="1">IF(CU102="","",CONCATENATE(VLOOKUP(CU102,games.a,9,FALSE),VLOOKUP(CU102,games.a,12,FALSE)))</f>
        <v/>
      </c>
      <c r="CW102" s="369" t="str">
        <f ca="1">IF(CU102="","",VLOOKUP(CU102,games.a,10,FALSE))</f>
        <v/>
      </c>
      <c r="CX102" s="369" t="str">
        <f ca="1">IF(CU102="","",VLOOKUP(CU102,games.a,13,FALSE))</f>
        <v/>
      </c>
      <c r="CY102" s="423" t="str">
        <f ca="1">IF(CU102="","",VLOOKUP(CU102,games.a,6,FALSE))</f>
        <v/>
      </c>
      <c r="CZ102" s="409" t="str">
        <f ca="1">IF(CU102="","",VLOOKUP(CU102,games.a,7,FALSE))</f>
        <v/>
      </c>
      <c r="DA102" s="523" t="str">
        <f t="shared" ca="1" si="189"/>
        <v/>
      </c>
      <c r="DB102" s="302"/>
      <c r="DC102" s="364"/>
      <c r="DD102" s="302"/>
      <c r="DF102" s="424"/>
      <c r="DG102" s="424"/>
      <c r="DH102" s="424"/>
      <c r="DI102" s="424"/>
      <c r="DJ102" s="424"/>
      <c r="DK102" s="424"/>
      <c r="DL102" s="424"/>
      <c r="DM102" s="424"/>
      <c r="DN102" s="424"/>
      <c r="DO102" s="424"/>
      <c r="DP102" s="424"/>
      <c r="DQ102" s="424"/>
      <c r="DR102" s="424"/>
      <c r="DS102" s="424"/>
      <c r="DT102" s="424"/>
      <c r="DU102" s="424"/>
      <c r="DV102" s="424"/>
      <c r="DW102" s="424"/>
      <c r="DX102" s="424"/>
      <c r="DY102" s="424"/>
      <c r="DZ102" s="424"/>
      <c r="EA102" s="424"/>
      <c r="EB102" s="424"/>
      <c r="EC102" s="424"/>
      <c r="ED102" s="424"/>
      <c r="EE102" s="424"/>
      <c r="EF102" s="424"/>
      <c r="EG102" s="424"/>
      <c r="EH102" s="424"/>
      <c r="EI102" s="424"/>
      <c r="EJ102" s="424"/>
      <c r="EK102" s="424"/>
      <c r="EL102" s="424"/>
      <c r="EM102" s="424"/>
      <c r="EN102" s="424"/>
      <c r="EO102" s="425"/>
      <c r="EP102" s="333"/>
    </row>
    <row r="103" spans="29:146" x14ac:dyDescent="0.25">
      <c r="AC103" s="232" t="s">
        <v>281</v>
      </c>
      <c r="AD103" s="376" t="b">
        <v>1</v>
      </c>
      <c r="AO103" s="349">
        <v>2</v>
      </c>
      <c r="AP103" s="430">
        <f t="shared" si="190"/>
        <v>0</v>
      </c>
      <c r="AQ103" s="349">
        <v>2</v>
      </c>
      <c r="AS103" s="431">
        <f t="shared" ref="AS103:AS111" si="212">LARGE(AU$102:AU$111,AV103)</f>
        <v>0</v>
      </c>
      <c r="AT103" s="377">
        <f>IF(AS103&lt;-999999990,"",IF(ABS(AS102-AS103)&lt;0.015,AT102,AV103))</f>
        <v>1</v>
      </c>
      <c r="AU103" s="343">
        <f>IF(NOT($AD$45),0,IF(ASZTAB!$AJ$44,BI103*100,IF(ASZTAB!$AJ$43,BG103*10,BG103))*1000000+IF(ASZTAB!$AJ$52,AY103*10000,0)+IF(ASZTAB!$AJ$44,BE103,BD103)*1000/IF(OR(ASZTAB!AJ$43,ASZTAB!$AJ$52),10,1)+IF(ASZTAB!$AJ$44,0,IF(ASZTAB!AJ$43,BB103/10,BB103))+BJ103+BK103-IF(AW103=0,1000000000,0))</f>
        <v>0</v>
      </c>
      <c r="AV103" s="349">
        <v>2</v>
      </c>
      <c r="AW103" s="345">
        <f t="shared" ref="AW103:AW111" si="213">AW91</f>
        <v>0</v>
      </c>
      <c r="AX103" s="346">
        <f t="shared" ref="AX103:AX111" si="214">AY103+AZ103+BA103</f>
        <v>0</v>
      </c>
      <c r="AY103" s="346">
        <f t="shared" si="191"/>
        <v>0</v>
      </c>
      <c r="AZ103" s="346">
        <f t="shared" si="192"/>
        <v>0</v>
      </c>
      <c r="BA103" s="346">
        <f t="shared" si="193"/>
        <v>0</v>
      </c>
      <c r="BB103" s="346">
        <f t="shared" si="194"/>
        <v>0</v>
      </c>
      <c r="BC103" s="346">
        <f t="shared" si="195"/>
        <v>0</v>
      </c>
      <c r="BD103" s="346">
        <f t="shared" si="196"/>
        <v>0</v>
      </c>
      <c r="BE103" s="347">
        <f t="shared" si="197"/>
        <v>0</v>
      </c>
      <c r="BF103" s="346">
        <f t="shared" si="198"/>
        <v>0</v>
      </c>
      <c r="BG103" s="346">
        <f>IF(NOT($AD$45),0,ASZTAB!$AJ$48*AY103+AZ103-BF103)</f>
        <v>0</v>
      </c>
      <c r="BH103" s="346">
        <f t="shared" ref="BH103:BH111" si="215">IF(NOT($AD$45),0,AY103*2+BA103-BF103)</f>
        <v>0</v>
      </c>
      <c r="BI103" s="347">
        <f t="shared" ref="BI103:BI111" si="216">IF(NOT($AD$45),0,IF(AND(AX103=0,BH103=0),0,BH103/(AX103*2+$AD$111)))</f>
        <v>0</v>
      </c>
      <c r="BJ103" s="348">
        <v>2.8999999999999998E-2</v>
      </c>
      <c r="BK103" s="349">
        <f t="shared" ca="1" si="199"/>
        <v>0</v>
      </c>
      <c r="BM103" s="346">
        <f t="shared" si="200"/>
        <v>0</v>
      </c>
      <c r="BN103" s="346">
        <f t="shared" si="201"/>
        <v>0</v>
      </c>
      <c r="BO103" s="346">
        <f t="shared" si="202"/>
        <v>0</v>
      </c>
      <c r="BP103" s="346">
        <f t="shared" si="203"/>
        <v>0</v>
      </c>
      <c r="BQ103" s="346">
        <f t="shared" si="204"/>
        <v>0</v>
      </c>
      <c r="BR103" s="346">
        <f t="shared" si="205"/>
        <v>0</v>
      </c>
      <c r="BT103" s="346">
        <f t="shared" si="206"/>
        <v>0</v>
      </c>
      <c r="BU103" s="346">
        <f t="shared" si="207"/>
        <v>0</v>
      </c>
      <c r="BV103" s="346">
        <f t="shared" si="208"/>
        <v>0</v>
      </c>
      <c r="BW103" s="346">
        <f t="shared" si="209"/>
        <v>0</v>
      </c>
      <c r="BX103" s="346">
        <f t="shared" si="210"/>
        <v>0</v>
      </c>
      <c r="BY103" s="346">
        <f t="shared" si="211"/>
        <v>0</v>
      </c>
      <c r="CB103" s="350"/>
      <c r="CC103" s="350"/>
      <c r="CD103" s="350"/>
      <c r="CE103" s="350"/>
      <c r="CF103" s="350"/>
      <c r="CG103" s="350"/>
      <c r="CR103" s="445"/>
      <c r="CS103" s="300"/>
      <c r="CT103" s="522" t="str">
        <f>IF(NOT($AD$98),"",CT100)</f>
        <v/>
      </c>
      <c r="CU103" s="371" t="str">
        <f ca="1">IF(OR(CT103="",DA103="",CT103=DA103,ISNA(VLOOKUP(CONCATENATE(CT103,DA103),games.a,2,FALSE))),"",CONCATENATE(CT103,DA103))</f>
        <v/>
      </c>
      <c r="CV103" s="371" t="str">
        <f ca="1">IF(CU103="","",CONCATENATE(VLOOKUP(CU103,games.a,9,FALSE),VLOOKUP(CU103,games.a,12,FALSE)))</f>
        <v/>
      </c>
      <c r="CW103" s="369" t="str">
        <f ca="1">IF(CU103="","",VLOOKUP(CU103,games.a,10,FALSE))</f>
        <v/>
      </c>
      <c r="CX103" s="369" t="str">
        <f ca="1">IF(CU103="","",VLOOKUP(CU103,games.a,13,FALSE))</f>
        <v/>
      </c>
      <c r="CY103" s="423" t="str">
        <f ca="1">IF(CU103="","",VLOOKUP(CU103,games.a,6,FALSE))</f>
        <v/>
      </c>
      <c r="CZ103" s="409" t="str">
        <f ca="1">IF(CU103="","",VLOOKUP(CU103,games.a,7,FALSE))</f>
        <v/>
      </c>
      <c r="DA103" s="523" t="str">
        <f t="shared" ca="1" si="189"/>
        <v/>
      </c>
      <c r="DB103" s="302"/>
      <c r="DC103" s="364"/>
      <c r="DD103" s="302"/>
      <c r="DF103" s="424"/>
      <c r="DG103" s="424"/>
      <c r="DH103" s="424"/>
      <c r="DI103" s="424"/>
      <c r="DJ103" s="424"/>
      <c r="DK103" s="424"/>
      <c r="DL103" s="424"/>
      <c r="DM103" s="424"/>
      <c r="DN103" s="424"/>
      <c r="DO103" s="424"/>
      <c r="DP103" s="424"/>
      <c r="DQ103" s="424"/>
      <c r="DR103" s="424"/>
      <c r="DS103" s="424"/>
      <c r="DT103" s="424"/>
      <c r="DU103" s="424"/>
      <c r="DV103" s="424"/>
      <c r="DW103" s="424"/>
      <c r="DX103" s="424"/>
      <c r="DY103" s="424"/>
      <c r="DZ103" s="424"/>
      <c r="EA103" s="424"/>
      <c r="EB103" s="424"/>
      <c r="EC103" s="424"/>
      <c r="ED103" s="424"/>
      <c r="EE103" s="424"/>
      <c r="EF103" s="424"/>
      <c r="EG103" s="424"/>
      <c r="EH103" s="424"/>
      <c r="EI103" s="424"/>
      <c r="EJ103" s="424"/>
      <c r="EK103" s="424"/>
      <c r="EL103" s="424"/>
      <c r="EM103" s="424"/>
      <c r="EN103" s="424"/>
      <c r="EO103" s="425"/>
      <c r="EP103" s="333"/>
    </row>
    <row r="104" spans="29:146" x14ac:dyDescent="0.25">
      <c r="AC104" s="232" t="s">
        <v>481</v>
      </c>
      <c r="AD104" s="376">
        <f ca="1">IF(AD103,MAX(zpoint),0)</f>
        <v>12</v>
      </c>
      <c r="AO104" s="349">
        <v>3</v>
      </c>
      <c r="AP104" s="430">
        <f t="shared" si="190"/>
        <v>0</v>
      </c>
      <c r="AQ104" s="349">
        <v>3</v>
      </c>
      <c r="AS104" s="431">
        <f t="shared" si="212"/>
        <v>0</v>
      </c>
      <c r="AT104" s="377">
        <f t="shared" ref="AT104:AT111" si="217">IF(AS104&lt;-999999990,"",IF(ABS(AS103-AS104)&lt;0.015,AT103,AV104))</f>
        <v>1</v>
      </c>
      <c r="AU104" s="343">
        <f>IF(NOT($AD$45),0,IF(ASZTAB!$AJ$44,BI104*100,IF(ASZTAB!$AJ$43,BG104*10,BG104))*1000000+IF(ASZTAB!$AJ$52,AY104*10000,0)+IF(ASZTAB!$AJ$44,BE104,BD104)*1000/IF(OR(ASZTAB!AJ$43,ASZTAB!$AJ$52),10,1)+IF(ASZTAB!$AJ$44,0,IF(ASZTAB!AJ$43,BB104/10,BB104))+BJ104+BK104-IF(AW104=0,1000000000,0))</f>
        <v>0</v>
      </c>
      <c r="AV104" s="349">
        <v>3</v>
      </c>
      <c r="AW104" s="345">
        <f t="shared" si="213"/>
        <v>0</v>
      </c>
      <c r="AX104" s="346">
        <f t="shared" si="214"/>
        <v>0</v>
      </c>
      <c r="AY104" s="346">
        <f t="shared" si="191"/>
        <v>0</v>
      </c>
      <c r="AZ104" s="346">
        <f t="shared" si="192"/>
        <v>0</v>
      </c>
      <c r="BA104" s="346">
        <f t="shared" si="193"/>
        <v>0</v>
      </c>
      <c r="BB104" s="346">
        <f t="shared" si="194"/>
        <v>0</v>
      </c>
      <c r="BC104" s="346">
        <f t="shared" si="195"/>
        <v>0</v>
      </c>
      <c r="BD104" s="346">
        <f t="shared" si="196"/>
        <v>0</v>
      </c>
      <c r="BE104" s="347">
        <f t="shared" si="197"/>
        <v>0</v>
      </c>
      <c r="BF104" s="346">
        <f t="shared" si="198"/>
        <v>0</v>
      </c>
      <c r="BG104" s="346">
        <f>IF(NOT($AD$45),0,ASZTAB!$AJ$48*AY104+AZ104-BF104)</f>
        <v>0</v>
      </c>
      <c r="BH104" s="346">
        <f t="shared" si="215"/>
        <v>0</v>
      </c>
      <c r="BI104" s="347">
        <f t="shared" si="216"/>
        <v>0</v>
      </c>
      <c r="BJ104" s="348">
        <v>2.7999999999999997E-2</v>
      </c>
      <c r="BK104" s="349">
        <f t="shared" ca="1" si="199"/>
        <v>0</v>
      </c>
      <c r="BM104" s="346">
        <f t="shared" si="200"/>
        <v>0</v>
      </c>
      <c r="BN104" s="346">
        <f t="shared" si="201"/>
        <v>0</v>
      </c>
      <c r="BO104" s="346">
        <f t="shared" si="202"/>
        <v>0</v>
      </c>
      <c r="BP104" s="346">
        <f t="shared" si="203"/>
        <v>0</v>
      </c>
      <c r="BQ104" s="346">
        <f t="shared" si="204"/>
        <v>0</v>
      </c>
      <c r="BR104" s="346">
        <f t="shared" si="205"/>
        <v>0</v>
      </c>
      <c r="BT104" s="346">
        <f t="shared" si="206"/>
        <v>0</v>
      </c>
      <c r="BU104" s="346">
        <f t="shared" si="207"/>
        <v>0</v>
      </c>
      <c r="BV104" s="346">
        <f t="shared" si="208"/>
        <v>0</v>
      </c>
      <c r="BW104" s="346">
        <f t="shared" si="209"/>
        <v>0</v>
      </c>
      <c r="BX104" s="346">
        <f t="shared" si="210"/>
        <v>0</v>
      </c>
      <c r="BY104" s="346">
        <f t="shared" si="211"/>
        <v>0</v>
      </c>
      <c r="CB104" s="350"/>
      <c r="CC104" s="350"/>
      <c r="CD104" s="350"/>
      <c r="CE104" s="350"/>
      <c r="CF104" s="350"/>
      <c r="CG104" s="350"/>
      <c r="CR104" s="445"/>
      <c r="CS104" s="300"/>
      <c r="CT104" s="522" t="str">
        <f>IF(NOT($AD$98),"",CT101)</f>
        <v/>
      </c>
      <c r="CU104" s="371" t="str">
        <f ca="1">IF(OR(CT104="",DA104="",CT104=DA104,ISNA(VLOOKUP(CONCATENATE(CT104,DA104),games.a,2,FALSE))),"",CONCATENATE(CT104,DA104))</f>
        <v/>
      </c>
      <c r="CV104" s="371" t="str">
        <f ca="1">IF(CU104="","",CONCATENATE(VLOOKUP(CU104,games.a,9,FALSE),VLOOKUP(CU104,games.a,12,FALSE)))</f>
        <v/>
      </c>
      <c r="CW104" s="369" t="str">
        <f ca="1">IF(CU104="","",VLOOKUP(CU104,games.a,10,FALSE))</f>
        <v/>
      </c>
      <c r="CX104" s="369" t="str">
        <f ca="1">IF(CU104="","",VLOOKUP(CU104,games.a,13,FALSE))</f>
        <v/>
      </c>
      <c r="CY104" s="423" t="str">
        <f ca="1">IF(CU104="","",VLOOKUP(CU104,games.a,6,FALSE))</f>
        <v/>
      </c>
      <c r="CZ104" s="409" t="str">
        <f ca="1">IF(CU104="","",VLOOKUP(CU104,games.a,7,FALSE))</f>
        <v/>
      </c>
      <c r="DA104" s="523" t="str">
        <f t="shared" ca="1" si="189"/>
        <v/>
      </c>
      <c r="DB104" s="302"/>
      <c r="DC104" s="364"/>
      <c r="DD104" s="302"/>
      <c r="DF104" s="424"/>
      <c r="DG104" s="424"/>
      <c r="DH104" s="424"/>
      <c r="DI104" s="424"/>
      <c r="DJ104" s="424"/>
      <c r="DK104" s="424"/>
      <c r="DL104" s="424"/>
      <c r="DM104" s="424"/>
      <c r="DN104" s="424"/>
      <c r="DO104" s="424"/>
      <c r="DP104" s="424"/>
      <c r="DQ104" s="424"/>
      <c r="DR104" s="424"/>
      <c r="DS104" s="424"/>
      <c r="DT104" s="424"/>
      <c r="DU104" s="424"/>
      <c r="DV104" s="424"/>
      <c r="DW104" s="424"/>
      <c r="DX104" s="424"/>
      <c r="DY104" s="424"/>
      <c r="DZ104" s="424"/>
      <c r="EA104" s="424"/>
      <c r="EB104" s="424"/>
      <c r="EC104" s="424"/>
      <c r="ED104" s="424"/>
      <c r="EE104" s="424"/>
      <c r="EF104" s="424"/>
      <c r="EG104" s="424"/>
      <c r="EH104" s="424"/>
      <c r="EI104" s="424"/>
      <c r="EJ104" s="424"/>
      <c r="EK104" s="424"/>
      <c r="EL104" s="424"/>
      <c r="EM104" s="424"/>
      <c r="EN104" s="424"/>
      <c r="EO104" s="425"/>
      <c r="EP104" s="333"/>
    </row>
    <row r="105" spans="29:146" x14ac:dyDescent="0.25">
      <c r="AC105" s="232" t="s">
        <v>447</v>
      </c>
      <c r="AD105" s="376" t="b">
        <v>0</v>
      </c>
      <c r="AO105" s="349">
        <v>4</v>
      </c>
      <c r="AP105" s="430">
        <f t="shared" si="190"/>
        <v>0</v>
      </c>
      <c r="AQ105" s="349">
        <v>4</v>
      </c>
      <c r="AS105" s="431">
        <f t="shared" si="212"/>
        <v>0</v>
      </c>
      <c r="AT105" s="377">
        <f t="shared" si="217"/>
        <v>1</v>
      </c>
      <c r="AU105" s="343">
        <f>IF(NOT($AD$45),0,IF(ASZTAB!$AJ$44,BI105*100,IF(ASZTAB!$AJ$43,BG105*10,BG105))*1000000+IF(ASZTAB!$AJ$52,AY105*10000,0)+IF(ASZTAB!$AJ$44,BE105,BD105)*1000/IF(OR(ASZTAB!AJ$43,ASZTAB!$AJ$52),10,1)+IF(ASZTAB!$AJ$44,0,IF(ASZTAB!AJ$43,BB105/10,BB105))+BJ105+BK105-IF(AW105=0,1000000000,0))</f>
        <v>0</v>
      </c>
      <c r="AV105" s="349">
        <v>4</v>
      </c>
      <c r="AW105" s="345">
        <f t="shared" si="213"/>
        <v>0</v>
      </c>
      <c r="AX105" s="346">
        <f t="shared" si="214"/>
        <v>0</v>
      </c>
      <c r="AY105" s="346">
        <f t="shared" si="191"/>
        <v>0</v>
      </c>
      <c r="AZ105" s="346">
        <f t="shared" si="192"/>
        <v>0</v>
      </c>
      <c r="BA105" s="346">
        <f t="shared" si="193"/>
        <v>0</v>
      </c>
      <c r="BB105" s="346">
        <f t="shared" si="194"/>
        <v>0</v>
      </c>
      <c r="BC105" s="346">
        <f t="shared" si="195"/>
        <v>0</v>
      </c>
      <c r="BD105" s="346">
        <f t="shared" si="196"/>
        <v>0</v>
      </c>
      <c r="BE105" s="347">
        <f t="shared" si="197"/>
        <v>0</v>
      </c>
      <c r="BF105" s="346">
        <f t="shared" si="198"/>
        <v>0</v>
      </c>
      <c r="BG105" s="346">
        <f>IF(NOT($AD$45),0,ASZTAB!$AJ$48*AY105+AZ105-BF105)</f>
        <v>0</v>
      </c>
      <c r="BH105" s="346">
        <f t="shared" si="215"/>
        <v>0</v>
      </c>
      <c r="BI105" s="347">
        <f t="shared" si="216"/>
        <v>0</v>
      </c>
      <c r="BJ105" s="348">
        <v>2.6999999999999996E-2</v>
      </c>
      <c r="BK105" s="349">
        <f t="shared" ca="1" si="199"/>
        <v>0</v>
      </c>
      <c r="BM105" s="346">
        <f t="shared" si="200"/>
        <v>0</v>
      </c>
      <c r="BN105" s="346">
        <f t="shared" si="201"/>
        <v>0</v>
      </c>
      <c r="BO105" s="346">
        <f t="shared" si="202"/>
        <v>0</v>
      </c>
      <c r="BP105" s="346">
        <f t="shared" si="203"/>
        <v>0</v>
      </c>
      <c r="BQ105" s="346">
        <f t="shared" si="204"/>
        <v>0</v>
      </c>
      <c r="BR105" s="346">
        <f t="shared" si="205"/>
        <v>0</v>
      </c>
      <c r="BT105" s="346">
        <f t="shared" si="206"/>
        <v>0</v>
      </c>
      <c r="BU105" s="346">
        <f t="shared" si="207"/>
        <v>0</v>
      </c>
      <c r="BV105" s="346">
        <f t="shared" si="208"/>
        <v>0</v>
      </c>
      <c r="BW105" s="346">
        <f t="shared" si="209"/>
        <v>0</v>
      </c>
      <c r="BX105" s="346">
        <f t="shared" si="210"/>
        <v>0</v>
      </c>
      <c r="BY105" s="346">
        <f t="shared" si="211"/>
        <v>0</v>
      </c>
      <c r="CB105" s="350"/>
      <c r="CC105" s="350"/>
      <c r="CD105" s="350"/>
      <c r="CE105" s="350"/>
      <c r="CF105" s="350"/>
      <c r="CG105" s="350"/>
      <c r="CR105" s="445"/>
      <c r="CS105" s="300"/>
      <c r="CT105" s="301"/>
      <c r="CU105" s="324" t="s">
        <v>157</v>
      </c>
      <c r="CV105" s="324" t="s">
        <v>158</v>
      </c>
      <c r="CW105" s="325" t="s">
        <v>159</v>
      </c>
      <c r="CX105" s="325"/>
      <c r="CY105" s="326" t="s">
        <v>160</v>
      </c>
      <c r="CZ105" s="325" t="s">
        <v>135</v>
      </c>
      <c r="DA105" s="302"/>
      <c r="DB105" s="302"/>
      <c r="DC105" s="364"/>
      <c r="DD105" s="302"/>
      <c r="DF105" s="424"/>
      <c r="DG105" s="424"/>
      <c r="DH105" s="424"/>
      <c r="DI105" s="424"/>
      <c r="DJ105" s="424"/>
      <c r="DK105" s="424"/>
      <c r="DL105" s="424"/>
      <c r="DM105" s="424"/>
      <c r="DN105" s="424"/>
      <c r="DO105" s="424"/>
      <c r="DP105" s="424"/>
      <c r="DQ105" s="424"/>
      <c r="DR105" s="424"/>
      <c r="DS105" s="424"/>
      <c r="DT105" s="424"/>
      <c r="DU105" s="424"/>
      <c r="DV105" s="424"/>
      <c r="DW105" s="424"/>
      <c r="DX105" s="424"/>
      <c r="DY105" s="424"/>
      <c r="DZ105" s="424"/>
      <c r="EA105" s="424"/>
      <c r="EB105" s="424"/>
      <c r="EC105" s="424"/>
      <c r="ED105" s="424"/>
      <c r="EE105" s="424"/>
      <c r="EF105" s="424"/>
      <c r="EG105" s="424"/>
      <c r="EH105" s="424"/>
      <c r="EI105" s="424"/>
      <c r="EJ105" s="424"/>
      <c r="EK105" s="424"/>
      <c r="EL105" s="424"/>
      <c r="EM105" s="424"/>
      <c r="EN105" s="424"/>
      <c r="EO105" s="425"/>
      <c r="EP105" s="333"/>
    </row>
    <row r="106" spans="29:146" x14ac:dyDescent="0.25">
      <c r="AO106" s="349">
        <v>5</v>
      </c>
      <c r="AP106" s="430">
        <f t="shared" si="190"/>
        <v>0</v>
      </c>
      <c r="AQ106" s="349">
        <v>5</v>
      </c>
      <c r="AS106" s="431">
        <f t="shared" si="212"/>
        <v>0</v>
      </c>
      <c r="AT106" s="377">
        <f t="shared" si="217"/>
        <v>1</v>
      </c>
      <c r="AU106" s="343">
        <f>IF(NOT($AD$45),0,IF(ASZTAB!$AJ$44,BI106*100,IF(ASZTAB!$AJ$43,BG106*10,BG106))*1000000+IF(ASZTAB!$AJ$52,AY106*10000,0)+IF(ASZTAB!$AJ$44,BE106,BD106)*1000/IF(OR(ASZTAB!AJ$43,ASZTAB!$AJ$52),10,1)+IF(ASZTAB!$AJ$44,0,IF(ASZTAB!AJ$43,BB106/10,BB106))+BJ106+BK106-IF(AW106=0,1000000000,0))</f>
        <v>0</v>
      </c>
      <c r="AV106" s="349">
        <v>5</v>
      </c>
      <c r="AW106" s="345">
        <f t="shared" si="213"/>
        <v>0</v>
      </c>
      <c r="AX106" s="346">
        <f t="shared" si="214"/>
        <v>0</v>
      </c>
      <c r="AY106" s="346">
        <f t="shared" si="191"/>
        <v>0</v>
      </c>
      <c r="AZ106" s="346">
        <f t="shared" si="192"/>
        <v>0</v>
      </c>
      <c r="BA106" s="346">
        <f t="shared" si="193"/>
        <v>0</v>
      </c>
      <c r="BB106" s="346">
        <f t="shared" si="194"/>
        <v>0</v>
      </c>
      <c r="BC106" s="346">
        <f t="shared" si="195"/>
        <v>0</v>
      </c>
      <c r="BD106" s="346">
        <f t="shared" si="196"/>
        <v>0</v>
      </c>
      <c r="BE106" s="347">
        <f t="shared" si="197"/>
        <v>0</v>
      </c>
      <c r="BF106" s="346">
        <f t="shared" si="198"/>
        <v>0</v>
      </c>
      <c r="BG106" s="346">
        <f>IF(NOT($AD$45),0,ASZTAB!$AJ$48*AY106+AZ106-BF106)</f>
        <v>0</v>
      </c>
      <c r="BH106" s="346">
        <f t="shared" si="215"/>
        <v>0</v>
      </c>
      <c r="BI106" s="347">
        <f t="shared" si="216"/>
        <v>0</v>
      </c>
      <c r="BJ106" s="348">
        <v>2.5999999999999995E-2</v>
      </c>
      <c r="BK106" s="349">
        <f t="shared" ca="1" si="199"/>
        <v>0</v>
      </c>
      <c r="BM106" s="346">
        <f t="shared" si="200"/>
        <v>0</v>
      </c>
      <c r="BN106" s="346">
        <f t="shared" si="201"/>
        <v>0</v>
      </c>
      <c r="BO106" s="346">
        <f t="shared" si="202"/>
        <v>0</v>
      </c>
      <c r="BP106" s="346">
        <f t="shared" si="203"/>
        <v>0</v>
      </c>
      <c r="BQ106" s="346">
        <f t="shared" si="204"/>
        <v>0</v>
      </c>
      <c r="BR106" s="346">
        <f t="shared" si="205"/>
        <v>0</v>
      </c>
      <c r="BT106" s="346">
        <f t="shared" si="206"/>
        <v>0</v>
      </c>
      <c r="BU106" s="346">
        <f t="shared" si="207"/>
        <v>0</v>
      </c>
      <c r="BV106" s="346">
        <f t="shared" si="208"/>
        <v>0</v>
      </c>
      <c r="BW106" s="346">
        <f t="shared" si="209"/>
        <v>0</v>
      </c>
      <c r="BX106" s="346">
        <f t="shared" si="210"/>
        <v>0</v>
      </c>
      <c r="BY106" s="346">
        <f t="shared" si="211"/>
        <v>0</v>
      </c>
      <c r="CB106" s="350"/>
      <c r="CC106" s="350"/>
      <c r="CD106" s="350"/>
      <c r="CE106" s="350"/>
      <c r="CF106" s="350"/>
      <c r="CG106" s="350"/>
      <c r="CR106" s="445"/>
      <c r="CS106" s="300"/>
      <c r="CT106" s="395" t="str">
        <f t="shared" ref="CT106:CT111" ca="1" si="218">CT99</f>
        <v/>
      </c>
      <c r="CU106" s="360" t="str">
        <f ca="1">IF(OR(CT106="",DA106="",CT106=DA106,ISNA(VLOOKUP(CONCATENATE(CT106,DA106),games.r,2,FALSE))),"",CONCATENATE(CT106,DA106))</f>
        <v/>
      </c>
      <c r="CV106" s="360" t="str">
        <f ca="1">IF(CU106="","",CONCATENATE(VLOOKUP(CU106,games.r,9,FALSE),VLOOKUP(CU106,games.r,12,FALSE)))</f>
        <v/>
      </c>
      <c r="CW106" s="354" t="str">
        <f ca="1">IF(CU106="","",VLOOKUP(CU106,games.r,10,FALSE))</f>
        <v/>
      </c>
      <c r="CX106" s="354" t="str">
        <f ca="1">IF(CU106="","",VLOOKUP(CU106,games.r,13,FALSE))</f>
        <v/>
      </c>
      <c r="CY106" s="361" t="str">
        <f ca="1">IF(CU106="","",VLOOKUP(CU106,games.r,6,FALSE))</f>
        <v/>
      </c>
      <c r="CZ106" s="362" t="str">
        <f ca="1">IF(CU106="","",VLOOKUP(CU106,games.r,7,FALSE))</f>
        <v/>
      </c>
      <c r="DA106" s="363" t="str">
        <f ca="1">CT100</f>
        <v/>
      </c>
      <c r="DB106" s="302"/>
      <c r="DC106" s="364"/>
      <c r="DD106" s="302"/>
      <c r="DF106" s="424"/>
      <c r="DG106" s="424"/>
      <c r="DH106" s="424"/>
      <c r="DI106" s="424"/>
      <c r="DJ106" s="424"/>
      <c r="DK106" s="424"/>
      <c r="DL106" s="424"/>
      <c r="DM106" s="424"/>
      <c r="DN106" s="424"/>
      <c r="DO106" s="424"/>
      <c r="DP106" s="424"/>
      <c r="DQ106" s="424"/>
      <c r="DR106" s="424"/>
      <c r="DS106" s="424"/>
      <c r="DT106" s="424"/>
      <c r="DU106" s="424"/>
      <c r="DV106" s="424"/>
      <c r="DW106" s="424"/>
      <c r="DX106" s="424"/>
      <c r="DY106" s="424"/>
      <c r="DZ106" s="424"/>
      <c r="EA106" s="424"/>
      <c r="EB106" s="424"/>
      <c r="EC106" s="424"/>
      <c r="ED106" s="424"/>
      <c r="EE106" s="424"/>
      <c r="EF106" s="424"/>
      <c r="EG106" s="424"/>
      <c r="EH106" s="424"/>
      <c r="EI106" s="424"/>
      <c r="EJ106" s="424"/>
      <c r="EK106" s="424"/>
      <c r="EL106" s="424"/>
      <c r="EM106" s="424"/>
      <c r="EN106" s="424"/>
      <c r="EO106" s="425"/>
      <c r="EP106" s="333"/>
    </row>
    <row r="107" spans="29:146" x14ac:dyDescent="0.25">
      <c r="AC107" s="232" t="s">
        <v>366</v>
      </c>
      <c r="AD107" s="376">
        <v>0</v>
      </c>
      <c r="AO107" s="349">
        <v>6</v>
      </c>
      <c r="AP107" s="430">
        <f t="shared" si="190"/>
        <v>0</v>
      </c>
      <c r="AQ107" s="349">
        <v>6</v>
      </c>
      <c r="AS107" s="431">
        <f t="shared" si="212"/>
        <v>0</v>
      </c>
      <c r="AT107" s="377">
        <f t="shared" si="217"/>
        <v>1</v>
      </c>
      <c r="AU107" s="343">
        <f>IF(NOT($AD$45),0,IF(ASZTAB!$AJ$44,BI107*100,IF(ASZTAB!$AJ$43,BG107*10,BG107))*1000000+IF(ASZTAB!$AJ$52,AY107*10000,0)+IF(ASZTAB!$AJ$44,BE107,BD107)*1000/IF(OR(ASZTAB!AJ$43,ASZTAB!$AJ$52),10,1)+IF(ASZTAB!$AJ$44,0,IF(ASZTAB!AJ$43,BB107/10,BB107))+BJ107+BK107-IF(AW107=0,1000000000,0))</f>
        <v>0</v>
      </c>
      <c r="AV107" s="349">
        <v>6</v>
      </c>
      <c r="AW107" s="345">
        <f t="shared" si="213"/>
        <v>0</v>
      </c>
      <c r="AX107" s="346">
        <f t="shared" si="214"/>
        <v>0</v>
      </c>
      <c r="AY107" s="346">
        <f t="shared" si="191"/>
        <v>0</v>
      </c>
      <c r="AZ107" s="346">
        <f t="shared" si="192"/>
        <v>0</v>
      </c>
      <c r="BA107" s="346">
        <f t="shared" si="193"/>
        <v>0</v>
      </c>
      <c r="BB107" s="346">
        <f t="shared" si="194"/>
        <v>0</v>
      </c>
      <c r="BC107" s="346">
        <f t="shared" si="195"/>
        <v>0</v>
      </c>
      <c r="BD107" s="346">
        <f t="shared" si="196"/>
        <v>0</v>
      </c>
      <c r="BE107" s="347">
        <f t="shared" si="197"/>
        <v>0</v>
      </c>
      <c r="BF107" s="346">
        <f t="shared" si="198"/>
        <v>0</v>
      </c>
      <c r="BG107" s="346">
        <f>IF(NOT($AD$45),0,ASZTAB!$AJ$48*AY107+AZ107-BF107)</f>
        <v>0</v>
      </c>
      <c r="BH107" s="346">
        <f t="shared" si="215"/>
        <v>0</v>
      </c>
      <c r="BI107" s="347">
        <f t="shared" si="216"/>
        <v>0</v>
      </c>
      <c r="BJ107" s="348">
        <v>2.5000000000000001E-2</v>
      </c>
      <c r="BK107" s="349">
        <f t="shared" ca="1" si="199"/>
        <v>0</v>
      </c>
      <c r="BM107" s="346">
        <f t="shared" si="200"/>
        <v>0</v>
      </c>
      <c r="BN107" s="346">
        <f t="shared" si="201"/>
        <v>0</v>
      </c>
      <c r="BO107" s="346">
        <f t="shared" si="202"/>
        <v>0</v>
      </c>
      <c r="BP107" s="346">
        <f t="shared" si="203"/>
        <v>0</v>
      </c>
      <c r="BQ107" s="346">
        <f t="shared" si="204"/>
        <v>0</v>
      </c>
      <c r="BR107" s="346">
        <f t="shared" si="205"/>
        <v>0</v>
      </c>
      <c r="BT107" s="346">
        <f t="shared" si="206"/>
        <v>0</v>
      </c>
      <c r="BU107" s="346">
        <f t="shared" si="207"/>
        <v>0</v>
      </c>
      <c r="BV107" s="346">
        <f t="shared" si="208"/>
        <v>0</v>
      </c>
      <c r="BW107" s="346">
        <f t="shared" si="209"/>
        <v>0</v>
      </c>
      <c r="BX107" s="346">
        <f t="shared" si="210"/>
        <v>0</v>
      </c>
      <c r="BY107" s="346">
        <f t="shared" si="211"/>
        <v>0</v>
      </c>
      <c r="CB107" s="350"/>
      <c r="CC107" s="350"/>
      <c r="CD107" s="350"/>
      <c r="CE107" s="350"/>
      <c r="CF107" s="350"/>
      <c r="CG107" s="350"/>
      <c r="CR107" s="445"/>
      <c r="CS107" s="300"/>
      <c r="CT107" s="395" t="str">
        <f t="shared" ca="1" si="218"/>
        <v/>
      </c>
      <c r="CU107" s="360" t="str">
        <f ca="1">IF(OR(CT107="",DA107="",CT107=DA107,ISNA(VLOOKUP(CONCATENATE(CT107,DA107),games.r,2,FALSE))),"",CONCATENATE(CT107,DA107))</f>
        <v/>
      </c>
      <c r="CV107" s="360" t="str">
        <f ca="1">IF(CU107="","",CONCATENATE(VLOOKUP(CU107,games.r,9,FALSE),VLOOKUP(CU107,games.r,12,FALSE)))</f>
        <v/>
      </c>
      <c r="CW107" s="354" t="str">
        <f ca="1">IF(CU107="","",VLOOKUP(CU107,games.r,10,FALSE))</f>
        <v/>
      </c>
      <c r="CX107" s="354" t="str">
        <f ca="1">IF(CU107="","",VLOOKUP(CU107,games.r,13,FALSE))</f>
        <v/>
      </c>
      <c r="CY107" s="361" t="str">
        <f ca="1">IF(CU107="","",VLOOKUP(CU107,games.r,6,FALSE))</f>
        <v/>
      </c>
      <c r="CZ107" s="362" t="str">
        <f ca="1">IF(CU107="","",VLOOKUP(CU107,games.r,7,FALSE))</f>
        <v/>
      </c>
      <c r="DA107" s="379" t="str">
        <f ca="1">DA106</f>
        <v/>
      </c>
      <c r="DB107" s="302"/>
      <c r="DC107" s="364"/>
      <c r="DD107" s="302"/>
      <c r="DF107" s="424"/>
      <c r="DG107" s="424"/>
      <c r="DH107" s="424"/>
      <c r="DI107" s="424"/>
      <c r="DJ107" s="424"/>
      <c r="DK107" s="424"/>
      <c r="DL107" s="424"/>
      <c r="DM107" s="424"/>
      <c r="DN107" s="424"/>
      <c r="DO107" s="424"/>
      <c r="DP107" s="424"/>
      <c r="DQ107" s="424"/>
      <c r="DR107" s="424"/>
      <c r="DS107" s="424"/>
      <c r="DT107" s="424"/>
      <c r="DU107" s="424"/>
      <c r="DV107" s="424"/>
      <c r="DW107" s="424"/>
      <c r="DX107" s="424"/>
      <c r="DY107" s="424"/>
      <c r="DZ107" s="424"/>
      <c r="EA107" s="424"/>
      <c r="EB107" s="424"/>
      <c r="EC107" s="424"/>
      <c r="ED107" s="424"/>
      <c r="EE107" s="424"/>
      <c r="EF107" s="424"/>
      <c r="EG107" s="424"/>
      <c r="EH107" s="424"/>
      <c r="EI107" s="424"/>
      <c r="EJ107" s="424"/>
      <c r="EK107" s="424"/>
      <c r="EL107" s="424"/>
      <c r="EM107" s="424"/>
      <c r="EN107" s="424"/>
      <c r="EO107" s="425"/>
      <c r="EP107" s="333"/>
    </row>
    <row r="108" spans="29:146" x14ac:dyDescent="0.25">
      <c r="AC108" s="232" t="s">
        <v>367</v>
      </c>
      <c r="AD108" s="376" t="b">
        <v>0</v>
      </c>
      <c r="AO108" s="349">
        <v>7</v>
      </c>
      <c r="AP108" s="430">
        <f t="shared" si="190"/>
        <v>0</v>
      </c>
      <c r="AQ108" s="349">
        <v>7</v>
      </c>
      <c r="AS108" s="431">
        <f t="shared" si="212"/>
        <v>0</v>
      </c>
      <c r="AT108" s="377">
        <f t="shared" si="217"/>
        <v>1</v>
      </c>
      <c r="AU108" s="343">
        <f>IF(NOT($AD$45),0,IF(ASZTAB!$AJ$44,BI108*100,IF(ASZTAB!$AJ$43,BG108*10,BG108))*1000000+IF(ASZTAB!$AJ$52,AY108*10000,0)+IF(ASZTAB!$AJ$44,BE108,BD108)*1000/IF(OR(ASZTAB!AJ$43,ASZTAB!$AJ$52),10,1)+IF(ASZTAB!$AJ$44,0,IF(ASZTAB!AJ$43,BB108/10,BB108))+BJ108+BK108-IF(AW108=0,1000000000,0))</f>
        <v>0</v>
      </c>
      <c r="AV108" s="349">
        <v>7</v>
      </c>
      <c r="AW108" s="345">
        <f t="shared" si="213"/>
        <v>0</v>
      </c>
      <c r="AX108" s="346">
        <f t="shared" si="214"/>
        <v>0</v>
      </c>
      <c r="AY108" s="346">
        <f t="shared" si="191"/>
        <v>0</v>
      </c>
      <c r="AZ108" s="346">
        <f t="shared" si="192"/>
        <v>0</v>
      </c>
      <c r="BA108" s="346">
        <f t="shared" si="193"/>
        <v>0</v>
      </c>
      <c r="BB108" s="346">
        <f t="shared" si="194"/>
        <v>0</v>
      </c>
      <c r="BC108" s="346">
        <f t="shared" si="195"/>
        <v>0</v>
      </c>
      <c r="BD108" s="346">
        <f t="shared" si="196"/>
        <v>0</v>
      </c>
      <c r="BE108" s="347">
        <f t="shared" si="197"/>
        <v>0</v>
      </c>
      <c r="BF108" s="346">
        <f t="shared" si="198"/>
        <v>0</v>
      </c>
      <c r="BG108" s="346">
        <f>IF(NOT($AD$45),0,ASZTAB!$AJ$48*AY108+AZ108-BF108)</f>
        <v>0</v>
      </c>
      <c r="BH108" s="346">
        <f t="shared" si="215"/>
        <v>0</v>
      </c>
      <c r="BI108" s="347">
        <f t="shared" si="216"/>
        <v>0</v>
      </c>
      <c r="BJ108" s="348">
        <v>2.3999999999999994E-2</v>
      </c>
      <c r="BK108" s="349">
        <f t="shared" ca="1" si="199"/>
        <v>0</v>
      </c>
      <c r="BM108" s="346">
        <f t="shared" si="200"/>
        <v>0</v>
      </c>
      <c r="BN108" s="346">
        <f t="shared" si="201"/>
        <v>0</v>
      </c>
      <c r="BO108" s="346">
        <f t="shared" si="202"/>
        <v>0</v>
      </c>
      <c r="BP108" s="346">
        <f t="shared" si="203"/>
        <v>0</v>
      </c>
      <c r="BQ108" s="346">
        <f t="shared" si="204"/>
        <v>0</v>
      </c>
      <c r="BR108" s="346">
        <f t="shared" si="205"/>
        <v>0</v>
      </c>
      <c r="BT108" s="346">
        <f t="shared" si="206"/>
        <v>0</v>
      </c>
      <c r="BU108" s="346">
        <f t="shared" si="207"/>
        <v>0</v>
      </c>
      <c r="BV108" s="346">
        <f t="shared" si="208"/>
        <v>0</v>
      </c>
      <c r="BW108" s="346">
        <f t="shared" si="209"/>
        <v>0</v>
      </c>
      <c r="BX108" s="346">
        <f t="shared" si="210"/>
        <v>0</v>
      </c>
      <c r="BY108" s="346">
        <f t="shared" si="211"/>
        <v>0</v>
      </c>
      <c r="CB108" s="350"/>
      <c r="CC108" s="350"/>
      <c r="CD108" s="350"/>
      <c r="CE108" s="350"/>
      <c r="CF108" s="350"/>
      <c r="CG108" s="350"/>
      <c r="CR108" s="445"/>
      <c r="CS108" s="300"/>
      <c r="CT108" s="395" t="str">
        <f t="shared" ca="1" si="218"/>
        <v/>
      </c>
      <c r="CU108" s="360" t="str">
        <f ca="1">IF(OR(CT108="",DA108="",CT108=DA108,ISNA(VLOOKUP(CONCATENATE(CT108,DA108),games.r,2,FALSE))),"",CONCATENATE(CT108,DA108))</f>
        <v/>
      </c>
      <c r="CV108" s="360" t="str">
        <f ca="1">IF(CU108="","",CONCATENATE(VLOOKUP(CU108,games.r,9,FALSE),VLOOKUP(CU108,games.r,12,FALSE)))</f>
        <v/>
      </c>
      <c r="CW108" s="354" t="str">
        <f ca="1">IF(CU108="","",VLOOKUP(CU108,games.r,10,FALSE))</f>
        <v/>
      </c>
      <c r="CX108" s="354" t="str">
        <f ca="1">IF(CU108="","",VLOOKUP(CU108,games.r,13,FALSE))</f>
        <v/>
      </c>
      <c r="CY108" s="361" t="str">
        <f ca="1">IF(CU108="","",VLOOKUP(CU108,games.r,6,FALSE))</f>
        <v/>
      </c>
      <c r="CZ108" s="362" t="str">
        <f ca="1">IF(CU108="","",VLOOKUP(CU108,games.r,7,FALSE))</f>
        <v/>
      </c>
      <c r="DA108" s="379" t="str">
        <f t="shared" ca="1" si="189"/>
        <v/>
      </c>
      <c r="DB108" s="302"/>
      <c r="DC108" s="364"/>
      <c r="DD108" s="302"/>
      <c r="DF108" s="424"/>
      <c r="DG108" s="424"/>
      <c r="DH108" s="424"/>
      <c r="DI108" s="424"/>
      <c r="DJ108" s="424"/>
      <c r="DK108" s="424"/>
      <c r="DL108" s="424"/>
      <c r="DM108" s="424"/>
      <c r="DN108" s="424"/>
      <c r="DO108" s="424"/>
      <c r="DP108" s="424"/>
      <c r="DQ108" s="424"/>
      <c r="DR108" s="424"/>
      <c r="DS108" s="424"/>
      <c r="DT108" s="424"/>
      <c r="DU108" s="424"/>
      <c r="DV108" s="424"/>
      <c r="DW108" s="424"/>
      <c r="DX108" s="424"/>
      <c r="DY108" s="424"/>
      <c r="DZ108" s="424"/>
      <c r="EA108" s="424"/>
      <c r="EB108" s="424"/>
      <c r="EC108" s="424"/>
      <c r="ED108" s="424"/>
      <c r="EE108" s="424"/>
      <c r="EF108" s="424"/>
      <c r="EG108" s="424"/>
      <c r="EH108" s="424"/>
      <c r="EI108" s="424"/>
      <c r="EJ108" s="424"/>
      <c r="EK108" s="424"/>
      <c r="EL108" s="424"/>
      <c r="EM108" s="424"/>
      <c r="EN108" s="424"/>
      <c r="EO108" s="425"/>
      <c r="EP108" s="333"/>
    </row>
    <row r="109" spans="29:146" x14ac:dyDescent="0.25">
      <c r="AC109" s="232" t="s">
        <v>407</v>
      </c>
      <c r="AD109" s="376" t="b">
        <v>0</v>
      </c>
      <c r="AO109" s="349">
        <v>8</v>
      </c>
      <c r="AP109" s="430">
        <f t="shared" si="190"/>
        <v>0</v>
      </c>
      <c r="AQ109" s="349">
        <v>8</v>
      </c>
      <c r="AS109" s="431">
        <f t="shared" si="212"/>
        <v>0</v>
      </c>
      <c r="AT109" s="377">
        <f t="shared" si="217"/>
        <v>1</v>
      </c>
      <c r="AU109" s="343">
        <f>IF(NOT($AD$45),0,IF(ASZTAB!$AJ$44,BI109*100,IF(ASZTAB!$AJ$43,BG109*10,BG109))*1000000+IF(ASZTAB!$AJ$52,AY109*10000,0)+IF(ASZTAB!$AJ$44,BE109,BD109)*1000/IF(OR(ASZTAB!AJ$43,ASZTAB!$AJ$52),10,1)+IF(ASZTAB!$AJ$44,0,IF(ASZTAB!AJ$43,BB109/10,BB109))+BJ109+BK109-IF(AW109=0,1000000000,0))</f>
        <v>0</v>
      </c>
      <c r="AV109" s="349">
        <v>8</v>
      </c>
      <c r="AW109" s="345">
        <f t="shared" si="213"/>
        <v>0</v>
      </c>
      <c r="AX109" s="346">
        <f t="shared" si="214"/>
        <v>0</v>
      </c>
      <c r="AY109" s="346">
        <f t="shared" si="191"/>
        <v>0</v>
      </c>
      <c r="AZ109" s="346">
        <f t="shared" si="192"/>
        <v>0</v>
      </c>
      <c r="BA109" s="346">
        <f t="shared" si="193"/>
        <v>0</v>
      </c>
      <c r="BB109" s="346">
        <f t="shared" si="194"/>
        <v>0</v>
      </c>
      <c r="BC109" s="346">
        <f t="shared" si="195"/>
        <v>0</v>
      </c>
      <c r="BD109" s="346">
        <f t="shared" si="196"/>
        <v>0</v>
      </c>
      <c r="BE109" s="347">
        <f t="shared" si="197"/>
        <v>0</v>
      </c>
      <c r="BF109" s="346">
        <f t="shared" si="198"/>
        <v>0</v>
      </c>
      <c r="BG109" s="346">
        <f>IF(NOT($AD$45),0,ASZTAB!$AJ$48*AY109+AZ109-BF109)</f>
        <v>0</v>
      </c>
      <c r="BH109" s="346">
        <f t="shared" si="215"/>
        <v>0</v>
      </c>
      <c r="BI109" s="347">
        <f t="shared" si="216"/>
        <v>0</v>
      </c>
      <c r="BJ109" s="348">
        <v>2.2999999999999993E-2</v>
      </c>
      <c r="BK109" s="349">
        <f t="shared" ca="1" si="199"/>
        <v>0</v>
      </c>
      <c r="BM109" s="346">
        <f t="shared" si="200"/>
        <v>0</v>
      </c>
      <c r="BN109" s="346">
        <f t="shared" si="201"/>
        <v>0</v>
      </c>
      <c r="BO109" s="346">
        <f t="shared" si="202"/>
        <v>0</v>
      </c>
      <c r="BP109" s="346">
        <f t="shared" si="203"/>
        <v>0</v>
      </c>
      <c r="BQ109" s="346">
        <f t="shared" si="204"/>
        <v>0</v>
      </c>
      <c r="BR109" s="346">
        <f t="shared" si="205"/>
        <v>0</v>
      </c>
      <c r="BT109" s="346">
        <f t="shared" si="206"/>
        <v>0</v>
      </c>
      <c r="BU109" s="346">
        <f t="shared" si="207"/>
        <v>0</v>
      </c>
      <c r="BV109" s="346">
        <f t="shared" si="208"/>
        <v>0</v>
      </c>
      <c r="BW109" s="346">
        <f t="shared" si="209"/>
        <v>0</v>
      </c>
      <c r="BX109" s="346">
        <f t="shared" si="210"/>
        <v>0</v>
      </c>
      <c r="BY109" s="346">
        <f t="shared" si="211"/>
        <v>0</v>
      </c>
      <c r="CB109" s="350"/>
      <c r="CC109" s="350"/>
      <c r="CD109" s="350"/>
      <c r="CE109" s="350"/>
      <c r="CF109" s="350"/>
      <c r="CG109" s="350"/>
      <c r="CR109" s="445"/>
      <c r="CS109" s="300"/>
      <c r="CT109" s="533" t="str">
        <f t="shared" si="218"/>
        <v/>
      </c>
      <c r="CU109" s="371" t="str">
        <f ca="1">IF(OR(CT109="",DA109="",CT109=DA109,ISNA(VLOOKUP(CONCATENATE(CT109,DA109),games.a,2,FALSE))),"",CONCATENATE(CT109,DA109))</f>
        <v/>
      </c>
      <c r="CV109" s="371" t="str">
        <f ca="1">IF(CU109="","",CONCATENATE(VLOOKUP(CU109,games.a,9,FALSE),VLOOKUP(CU109,games.a,12,FALSE)))</f>
        <v/>
      </c>
      <c r="CW109" s="369" t="str">
        <f ca="1">IF(CU109="","",VLOOKUP(CU109,games.a,10,FALSE))</f>
        <v/>
      </c>
      <c r="CX109" s="369" t="str">
        <f ca="1">IF(CU109="","",VLOOKUP(CU109,games.a,13,FALSE))</f>
        <v/>
      </c>
      <c r="CY109" s="423" t="str">
        <f ca="1">IF(CU109="","",VLOOKUP(CU109,games.a,6,FALSE))</f>
        <v/>
      </c>
      <c r="CZ109" s="409" t="str">
        <f ca="1">IF(CU109="","",VLOOKUP(CU109,games.a,7,FALSE))</f>
        <v/>
      </c>
      <c r="DA109" s="523" t="str">
        <f t="shared" ca="1" si="189"/>
        <v/>
      </c>
      <c r="DB109" s="302"/>
      <c r="DC109" s="364"/>
      <c r="DD109" s="302"/>
      <c r="DF109" s="424"/>
      <c r="DG109" s="424"/>
      <c r="DH109" s="424"/>
      <c r="DI109" s="424"/>
      <c r="DJ109" s="424"/>
      <c r="DK109" s="424"/>
      <c r="DL109" s="424"/>
      <c r="DM109" s="424"/>
      <c r="DN109" s="424"/>
      <c r="DO109" s="424"/>
      <c r="DP109" s="424"/>
      <c r="DQ109" s="424"/>
      <c r="DR109" s="424"/>
      <c r="DS109" s="424"/>
      <c r="DT109" s="424"/>
      <c r="DU109" s="424"/>
      <c r="DV109" s="424"/>
      <c r="DW109" s="424"/>
      <c r="DX109" s="424"/>
      <c r="DY109" s="424"/>
      <c r="DZ109" s="424"/>
      <c r="EA109" s="424"/>
      <c r="EB109" s="424"/>
      <c r="EC109" s="424"/>
      <c r="ED109" s="424"/>
      <c r="EE109" s="424"/>
      <c r="EF109" s="424"/>
      <c r="EG109" s="424"/>
      <c r="EH109" s="424"/>
      <c r="EI109" s="424"/>
      <c r="EJ109" s="424"/>
      <c r="EK109" s="424"/>
      <c r="EL109" s="424"/>
      <c r="EM109" s="424"/>
      <c r="EN109" s="424"/>
      <c r="EO109" s="425"/>
      <c r="EP109" s="333"/>
    </row>
    <row r="110" spans="29:146" x14ac:dyDescent="0.25">
      <c r="AC110" s="232" t="s">
        <v>483</v>
      </c>
      <c r="AD110" s="376" t="b">
        <v>1</v>
      </c>
      <c r="AO110" s="349">
        <v>9</v>
      </c>
      <c r="AP110" s="430">
        <f t="shared" si="190"/>
        <v>0</v>
      </c>
      <c r="AQ110" s="349">
        <v>9</v>
      </c>
      <c r="AS110" s="431">
        <f t="shared" si="212"/>
        <v>0</v>
      </c>
      <c r="AT110" s="377">
        <f t="shared" si="217"/>
        <v>1</v>
      </c>
      <c r="AU110" s="343">
        <f>IF(NOT($AD$45),0,IF(ASZTAB!$AJ$44,BI110*100,IF(ASZTAB!$AJ$43,BG110*10,BG110))*1000000+IF(ASZTAB!$AJ$52,AY110*10000,0)+IF(ASZTAB!$AJ$44,BE110,BD110)*1000/IF(OR(ASZTAB!AJ$43,ASZTAB!$AJ$52),10,1)+IF(ASZTAB!$AJ$44,0,IF(ASZTAB!AJ$43,BB110/10,BB110))+BJ110+BK110-IF(AW110=0,1000000000,0))</f>
        <v>0</v>
      </c>
      <c r="AV110" s="349">
        <v>9</v>
      </c>
      <c r="AW110" s="345">
        <f t="shared" si="213"/>
        <v>0</v>
      </c>
      <c r="AX110" s="346">
        <f t="shared" si="214"/>
        <v>0</v>
      </c>
      <c r="AY110" s="346">
        <f t="shared" si="191"/>
        <v>0</v>
      </c>
      <c r="AZ110" s="346">
        <f t="shared" si="192"/>
        <v>0</v>
      </c>
      <c r="BA110" s="346">
        <f t="shared" si="193"/>
        <v>0</v>
      </c>
      <c r="BB110" s="346">
        <f t="shared" si="194"/>
        <v>0</v>
      </c>
      <c r="BC110" s="346">
        <f t="shared" si="195"/>
        <v>0</v>
      </c>
      <c r="BD110" s="346">
        <f t="shared" si="196"/>
        <v>0</v>
      </c>
      <c r="BE110" s="347">
        <f t="shared" si="197"/>
        <v>0</v>
      </c>
      <c r="BF110" s="346">
        <f t="shared" si="198"/>
        <v>0</v>
      </c>
      <c r="BG110" s="346">
        <f>IF(NOT($AD$45),0,ASZTAB!$AJ$48*AY110+AZ110-BF110)</f>
        <v>0</v>
      </c>
      <c r="BH110" s="346">
        <f t="shared" si="215"/>
        <v>0</v>
      </c>
      <c r="BI110" s="347">
        <f t="shared" si="216"/>
        <v>0</v>
      </c>
      <c r="BJ110" s="348">
        <v>2.1999999999999992E-2</v>
      </c>
      <c r="BK110" s="349">
        <f t="shared" ca="1" si="199"/>
        <v>0</v>
      </c>
      <c r="BM110" s="346">
        <f t="shared" si="200"/>
        <v>0</v>
      </c>
      <c r="BN110" s="346">
        <f t="shared" si="201"/>
        <v>0</v>
      </c>
      <c r="BO110" s="346">
        <f t="shared" si="202"/>
        <v>0</v>
      </c>
      <c r="BP110" s="346">
        <f t="shared" si="203"/>
        <v>0</v>
      </c>
      <c r="BQ110" s="346">
        <f t="shared" si="204"/>
        <v>0</v>
      </c>
      <c r="BR110" s="346">
        <f t="shared" si="205"/>
        <v>0</v>
      </c>
      <c r="BT110" s="346">
        <f t="shared" si="206"/>
        <v>0</v>
      </c>
      <c r="BU110" s="346">
        <f t="shared" si="207"/>
        <v>0</v>
      </c>
      <c r="BV110" s="346">
        <f t="shared" si="208"/>
        <v>0</v>
      </c>
      <c r="BW110" s="346">
        <f t="shared" si="209"/>
        <v>0</v>
      </c>
      <c r="BX110" s="346">
        <f t="shared" si="210"/>
        <v>0</v>
      </c>
      <c r="BY110" s="346">
        <f t="shared" si="211"/>
        <v>0</v>
      </c>
      <c r="CB110" s="350"/>
      <c r="CC110" s="350"/>
      <c r="CD110" s="350"/>
      <c r="CE110" s="350"/>
      <c r="CF110" s="350"/>
      <c r="CG110" s="350"/>
      <c r="CR110" s="445"/>
      <c r="CS110" s="300"/>
      <c r="CT110" s="533" t="str">
        <f t="shared" si="218"/>
        <v/>
      </c>
      <c r="CU110" s="371" t="str">
        <f ca="1">IF(OR(CT110="",DA110="",CT110=DA110,ISNA(VLOOKUP(CONCATENATE(CT110,DA110),games.a,2,FALSE))),"",CONCATENATE(CT110,DA110))</f>
        <v/>
      </c>
      <c r="CV110" s="371" t="str">
        <f ca="1">IF(CU110="","",CONCATENATE(VLOOKUP(CU110,games.a,9,FALSE),VLOOKUP(CU110,games.a,12,FALSE)))</f>
        <v/>
      </c>
      <c r="CW110" s="369" t="str">
        <f ca="1">IF(CU110="","",VLOOKUP(CU110,games.a,10,FALSE))</f>
        <v/>
      </c>
      <c r="CX110" s="369" t="str">
        <f ca="1">IF(CU110="","",VLOOKUP(CU110,games.a,13,FALSE))</f>
        <v/>
      </c>
      <c r="CY110" s="423" t="str">
        <f ca="1">IF(CU110="","",VLOOKUP(CU110,games.a,6,FALSE))</f>
        <v/>
      </c>
      <c r="CZ110" s="409" t="str">
        <f ca="1">IF(CU110="","",VLOOKUP(CU110,games.a,7,FALSE))</f>
        <v/>
      </c>
      <c r="DA110" s="523" t="str">
        <f t="shared" ca="1" si="189"/>
        <v/>
      </c>
      <c r="DB110" s="302"/>
      <c r="DC110" s="364"/>
      <c r="DD110" s="302"/>
      <c r="DF110" s="424"/>
      <c r="DG110" s="424"/>
      <c r="DH110" s="424"/>
      <c r="DI110" s="424"/>
      <c r="DJ110" s="424"/>
      <c r="DK110" s="424"/>
      <c r="DL110" s="424"/>
      <c r="DM110" s="424"/>
      <c r="DN110" s="424"/>
      <c r="DO110" s="424"/>
      <c r="DP110" s="424"/>
      <c r="DQ110" s="424"/>
      <c r="DR110" s="424"/>
      <c r="DS110" s="424"/>
      <c r="DT110" s="424"/>
      <c r="DU110" s="424"/>
      <c r="DV110" s="424"/>
      <c r="DW110" s="424"/>
      <c r="DX110" s="424"/>
      <c r="DY110" s="424"/>
      <c r="DZ110" s="424"/>
      <c r="EA110" s="424"/>
      <c r="EB110" s="424"/>
      <c r="EC110" s="424"/>
      <c r="ED110" s="424"/>
      <c r="EE110" s="424"/>
      <c r="EF110" s="424"/>
      <c r="EG110" s="424"/>
      <c r="EH110" s="424"/>
      <c r="EI110" s="424"/>
      <c r="EJ110" s="424"/>
      <c r="EK110" s="424"/>
      <c r="EL110" s="424"/>
      <c r="EM110" s="424"/>
      <c r="EN110" s="424"/>
      <c r="EO110" s="425"/>
      <c r="EP110" s="333"/>
    </row>
    <row r="111" spans="29:146" x14ac:dyDescent="0.25">
      <c r="AC111" s="232" t="s">
        <v>482</v>
      </c>
      <c r="AD111" s="376">
        <f ca="1">IF(AD110,MAX(zpoint),0)</f>
        <v>12</v>
      </c>
      <c r="AO111" s="349">
        <v>10</v>
      </c>
      <c r="AP111" s="430">
        <f t="shared" si="190"/>
        <v>0</v>
      </c>
      <c r="AQ111" s="349">
        <v>10</v>
      </c>
      <c r="AS111" s="431">
        <f t="shared" si="212"/>
        <v>0</v>
      </c>
      <c r="AT111" s="377">
        <f t="shared" si="217"/>
        <v>1</v>
      </c>
      <c r="AU111" s="343">
        <f>IF(NOT($AD$45),0,IF(ASZTAB!$AJ$44,BI111*100,IF(ASZTAB!$AJ$43,BG111*10,BG111))*1000000+IF(ASZTAB!$AJ$52,AY111*10000,0)+IF(ASZTAB!$AJ$44,BE111,BD111)*1000/IF(OR(ASZTAB!AJ$43,ASZTAB!$AJ$52),10,1)+IF(ASZTAB!$AJ$44,0,IF(ASZTAB!AJ$43,BB111/10,BB111))+BJ111+BK111-IF(AW111=0,1000000000,0))</f>
        <v>0</v>
      </c>
      <c r="AV111" s="349">
        <v>10</v>
      </c>
      <c r="AW111" s="345">
        <f t="shared" si="213"/>
        <v>0</v>
      </c>
      <c r="AX111" s="346">
        <f t="shared" si="214"/>
        <v>0</v>
      </c>
      <c r="AY111" s="346">
        <f t="shared" si="191"/>
        <v>0</v>
      </c>
      <c r="AZ111" s="346">
        <f t="shared" si="192"/>
        <v>0</v>
      </c>
      <c r="BA111" s="346">
        <f t="shared" si="193"/>
        <v>0</v>
      </c>
      <c r="BB111" s="346">
        <f t="shared" si="194"/>
        <v>0</v>
      </c>
      <c r="BC111" s="346">
        <f t="shared" si="195"/>
        <v>0</v>
      </c>
      <c r="BD111" s="346">
        <f t="shared" si="196"/>
        <v>0</v>
      </c>
      <c r="BE111" s="347">
        <f t="shared" si="197"/>
        <v>0</v>
      </c>
      <c r="BF111" s="346">
        <f t="shared" si="198"/>
        <v>0</v>
      </c>
      <c r="BG111" s="346">
        <f>IF(NOT($AD$45),0,ASZTAB!$AJ$48*AY111+AZ111-BF111)</f>
        <v>0</v>
      </c>
      <c r="BH111" s="346">
        <f t="shared" si="215"/>
        <v>0</v>
      </c>
      <c r="BI111" s="347">
        <f t="shared" si="216"/>
        <v>0</v>
      </c>
      <c r="BJ111" s="348">
        <v>2.0999999999999991E-2</v>
      </c>
      <c r="BK111" s="349">
        <f t="shared" ca="1" si="199"/>
        <v>0</v>
      </c>
      <c r="BM111" s="346">
        <f t="shared" si="200"/>
        <v>0</v>
      </c>
      <c r="BN111" s="346">
        <f t="shared" si="201"/>
        <v>0</v>
      </c>
      <c r="BO111" s="346">
        <f t="shared" si="202"/>
        <v>0</v>
      </c>
      <c r="BP111" s="346">
        <f t="shared" si="203"/>
        <v>0</v>
      </c>
      <c r="BQ111" s="346">
        <f t="shared" si="204"/>
        <v>0</v>
      </c>
      <c r="BR111" s="346">
        <f t="shared" si="205"/>
        <v>0</v>
      </c>
      <c r="BT111" s="346">
        <f t="shared" si="206"/>
        <v>0</v>
      </c>
      <c r="BU111" s="346">
        <f t="shared" si="207"/>
        <v>0</v>
      </c>
      <c r="BV111" s="346">
        <f t="shared" si="208"/>
        <v>0</v>
      </c>
      <c r="BW111" s="346">
        <f t="shared" si="209"/>
        <v>0</v>
      </c>
      <c r="BX111" s="346">
        <f t="shared" si="210"/>
        <v>0</v>
      </c>
      <c r="BY111" s="346">
        <f t="shared" si="211"/>
        <v>0</v>
      </c>
      <c r="CB111" s="350"/>
      <c r="CC111" s="350"/>
      <c r="CD111" s="350"/>
      <c r="CE111" s="350"/>
      <c r="CF111" s="350"/>
      <c r="CG111" s="350"/>
      <c r="CR111" s="445"/>
      <c r="CS111" s="300"/>
      <c r="CT111" s="533" t="str">
        <f t="shared" si="218"/>
        <v/>
      </c>
      <c r="CU111" s="371" t="str">
        <f ca="1">IF(OR(CT111="",DA111="",CT111=DA111,ISNA(VLOOKUP(CONCATENATE(CT111,DA111),games.a,2,FALSE))),"",CONCATENATE(CT111,DA111))</f>
        <v/>
      </c>
      <c r="CV111" s="371" t="str">
        <f ca="1">IF(CU111="","",CONCATENATE(VLOOKUP(CU111,games.a,9,FALSE),VLOOKUP(CU111,games.a,12,FALSE)))</f>
        <v/>
      </c>
      <c r="CW111" s="369" t="str">
        <f ca="1">IF(CU111="","",VLOOKUP(CU111,games.a,10,FALSE))</f>
        <v/>
      </c>
      <c r="CX111" s="369" t="str">
        <f ca="1">IF(CU111="","",VLOOKUP(CU111,games.a,13,FALSE))</f>
        <v/>
      </c>
      <c r="CY111" s="423" t="str">
        <f ca="1">IF(CU111="","",VLOOKUP(CU111,games.a,6,FALSE))</f>
        <v/>
      </c>
      <c r="CZ111" s="409" t="str">
        <f ca="1">IF(CU111="","",VLOOKUP(CU111,games.a,7,FALSE))</f>
        <v/>
      </c>
      <c r="DA111" s="523" t="str">
        <f t="shared" ca="1" si="189"/>
        <v/>
      </c>
      <c r="DB111" s="302"/>
      <c r="DC111" s="364"/>
      <c r="DD111" s="302"/>
      <c r="DF111" s="424"/>
      <c r="DG111" s="424"/>
      <c r="DH111" s="424"/>
      <c r="DI111" s="424"/>
      <c r="DJ111" s="424"/>
      <c r="DK111" s="424"/>
      <c r="DL111" s="424"/>
      <c r="DM111" s="424"/>
      <c r="DN111" s="424"/>
      <c r="DO111" s="424"/>
      <c r="DP111" s="424"/>
      <c r="DQ111" s="424"/>
      <c r="DR111" s="424"/>
      <c r="DS111" s="424"/>
      <c r="DT111" s="424"/>
      <c r="DU111" s="424"/>
      <c r="DV111" s="424"/>
      <c r="DW111" s="424"/>
      <c r="DX111" s="424"/>
      <c r="DY111" s="424"/>
      <c r="DZ111" s="424"/>
      <c r="EA111" s="424"/>
      <c r="EB111" s="424"/>
      <c r="EC111" s="424"/>
      <c r="ED111" s="424"/>
      <c r="EE111" s="424"/>
      <c r="EF111" s="424"/>
      <c r="EG111" s="424"/>
      <c r="EH111" s="424"/>
      <c r="EI111" s="424"/>
      <c r="EJ111" s="424"/>
      <c r="EK111" s="424"/>
      <c r="EL111" s="424"/>
      <c r="EM111" s="424"/>
      <c r="EN111" s="424"/>
      <c r="EO111" s="425"/>
      <c r="EP111" s="437"/>
    </row>
    <row r="112" spans="29:146" x14ac:dyDescent="0.25">
      <c r="AC112" s="232" t="s">
        <v>448</v>
      </c>
      <c r="AD112" s="376" t="b">
        <v>0</v>
      </c>
      <c r="CB112" s="350"/>
      <c r="CC112" s="350"/>
      <c r="CD112" s="350"/>
      <c r="CE112" s="350"/>
      <c r="CF112" s="350"/>
      <c r="CG112" s="350"/>
      <c r="CR112" s="445"/>
      <c r="CS112" s="300"/>
      <c r="CT112" s="301"/>
      <c r="CU112" s="324" t="s">
        <v>157</v>
      </c>
      <c r="CV112" s="324" t="s">
        <v>158</v>
      </c>
      <c r="CW112" s="325" t="s">
        <v>159</v>
      </c>
      <c r="CX112" s="325"/>
      <c r="CY112" s="326" t="s">
        <v>160</v>
      </c>
      <c r="CZ112" s="325" t="s">
        <v>135</v>
      </c>
      <c r="DA112" s="302"/>
      <c r="DB112" s="302"/>
      <c r="DC112" s="364"/>
      <c r="DD112" s="302"/>
      <c r="DF112" s="424"/>
      <c r="DG112" s="424"/>
      <c r="DH112" s="424"/>
      <c r="DI112" s="424"/>
      <c r="DJ112" s="424"/>
      <c r="DK112" s="424"/>
      <c r="DL112" s="424"/>
      <c r="DM112" s="424"/>
      <c r="DN112" s="424"/>
      <c r="DO112" s="424"/>
      <c r="DP112" s="424"/>
      <c r="DQ112" s="424"/>
      <c r="DR112" s="424"/>
      <c r="DS112" s="424"/>
      <c r="DT112" s="424"/>
      <c r="DU112" s="424"/>
      <c r="DV112" s="424"/>
      <c r="DW112" s="424"/>
      <c r="DX112" s="424"/>
      <c r="DY112" s="424"/>
      <c r="DZ112" s="424"/>
      <c r="EA112" s="424"/>
      <c r="EB112" s="424"/>
      <c r="EC112" s="424"/>
      <c r="ED112" s="424"/>
      <c r="EE112" s="424"/>
      <c r="EF112" s="424"/>
      <c r="EG112" s="424"/>
      <c r="EH112" s="424"/>
      <c r="EI112" s="424"/>
      <c r="EJ112" s="424"/>
      <c r="EK112" s="424"/>
      <c r="EL112" s="424"/>
      <c r="EM112" s="424"/>
      <c r="EN112" s="424"/>
      <c r="EO112" s="425"/>
      <c r="EP112" s="437"/>
    </row>
    <row r="113" spans="30:146" x14ac:dyDescent="0.25">
      <c r="CB113" s="350"/>
      <c r="CC113" s="350"/>
      <c r="CD113" s="350"/>
      <c r="CE113" s="350"/>
      <c r="CF113" s="350"/>
      <c r="CG113" s="350"/>
      <c r="CR113" s="445"/>
      <c r="CS113" s="300"/>
      <c r="CT113" s="395" t="str">
        <f t="shared" ref="CT113:CT118" ca="1" si="219">CT106</f>
        <v/>
      </c>
      <c r="CU113" s="360" t="str">
        <f ca="1">IF(OR(CT113="",DA113="",CT113=DA113,ISNA(VLOOKUP(CONCATENATE(CT113,DA113),games.r,2,FALSE))),"",CONCATENATE(CT113,DA113))</f>
        <v/>
      </c>
      <c r="CV113" s="360" t="str">
        <f ca="1">IF(CU113="","",CONCATENATE(VLOOKUP(CU113,games.r,9,FALSE),VLOOKUP(CU113,games.r,12,FALSE)))</f>
        <v/>
      </c>
      <c r="CW113" s="354" t="str">
        <f ca="1">IF(CU113="","",VLOOKUP(CU113,games.r,10,FALSE))</f>
        <v/>
      </c>
      <c r="CX113" s="354" t="str">
        <f ca="1">IF(CU113="","",VLOOKUP(CU113,games.r,13,FALSE))</f>
        <v/>
      </c>
      <c r="CY113" s="361" t="str">
        <f ca="1">IF(CU113="","",VLOOKUP(CU113,games.r,6,FALSE))</f>
        <v/>
      </c>
      <c r="CZ113" s="362" t="str">
        <f ca="1">IF(CU113="","",VLOOKUP(CU113,games.r,7,FALSE))</f>
        <v/>
      </c>
      <c r="DA113" s="363" t="str">
        <f ca="1">CT101</f>
        <v/>
      </c>
      <c r="DB113" s="302"/>
      <c r="DC113" s="364"/>
      <c r="DD113" s="302"/>
      <c r="DF113" s="424"/>
      <c r="DG113" s="424"/>
      <c r="DH113" s="424"/>
      <c r="DI113" s="424"/>
      <c r="DJ113" s="424"/>
      <c r="DK113" s="424"/>
      <c r="DL113" s="424"/>
      <c r="DM113" s="424"/>
      <c r="DN113" s="424"/>
      <c r="DO113" s="424"/>
      <c r="DP113" s="424"/>
      <c r="DQ113" s="424"/>
      <c r="DR113" s="424"/>
      <c r="DS113" s="424"/>
      <c r="DT113" s="424"/>
      <c r="DU113" s="424"/>
      <c r="DV113" s="424"/>
      <c r="DW113" s="424"/>
      <c r="DX113" s="424"/>
      <c r="DY113" s="424"/>
      <c r="DZ113" s="424"/>
      <c r="EA113" s="424"/>
      <c r="EB113" s="424"/>
      <c r="EC113" s="424"/>
      <c r="ED113" s="424"/>
      <c r="EE113" s="424"/>
      <c r="EF113" s="424"/>
      <c r="EG113" s="424"/>
      <c r="EH113" s="424"/>
      <c r="EI113" s="424"/>
      <c r="EJ113" s="424"/>
      <c r="EK113" s="424"/>
      <c r="EL113" s="424"/>
      <c r="EM113" s="424"/>
      <c r="EN113" s="424"/>
      <c r="EO113" s="425"/>
      <c r="EP113" s="437"/>
    </row>
    <row r="114" spans="30:146" x14ac:dyDescent="0.25">
      <c r="AZ114" s="319">
        <v>1</v>
      </c>
      <c r="BA114" s="299">
        <v>4</v>
      </c>
      <c r="BB114" s="319">
        <v>5</v>
      </c>
      <c r="BC114" s="319">
        <v>6</v>
      </c>
      <c r="BD114" s="319">
        <v>7</v>
      </c>
      <c r="BE114" s="319">
        <v>9</v>
      </c>
      <c r="BF114" s="319">
        <v>10</v>
      </c>
      <c r="BG114" s="319">
        <v>11</v>
      </c>
      <c r="BH114" s="319">
        <v>12</v>
      </c>
      <c r="BI114" s="319">
        <v>13</v>
      </c>
      <c r="BJ114" s="319">
        <v>14</v>
      </c>
      <c r="CB114" s="350"/>
      <c r="CC114" s="350"/>
      <c r="CD114" s="350"/>
      <c r="CE114" s="350"/>
      <c r="CF114" s="350"/>
      <c r="CG114" s="350"/>
      <c r="CR114" s="445"/>
      <c r="CS114" s="300"/>
      <c r="CT114" s="395" t="str">
        <f t="shared" ca="1" si="219"/>
        <v/>
      </c>
      <c r="CU114" s="360" t="str">
        <f ca="1">IF(OR(CT114="",DA114="",CT114=DA114,ISNA(VLOOKUP(CONCATENATE(CT114,DA114),games.r,2,FALSE))),"",CONCATENATE(CT114,DA114))</f>
        <v/>
      </c>
      <c r="CV114" s="360" t="str">
        <f ca="1">IF(CU114="","",CONCATENATE(VLOOKUP(CU114,games.r,9,FALSE),VLOOKUP(CU114,games.r,12,FALSE)))</f>
        <v/>
      </c>
      <c r="CW114" s="354" t="str">
        <f ca="1">IF(CU114="","",VLOOKUP(CU114,games.r,10,FALSE))</f>
        <v/>
      </c>
      <c r="CX114" s="354" t="str">
        <f ca="1">IF(CU114="","",VLOOKUP(CU114,games.r,13,FALSE))</f>
        <v/>
      </c>
      <c r="CY114" s="361" t="str">
        <f ca="1">IF(CU114="","",VLOOKUP(CU114,games.r,6,FALSE))</f>
        <v/>
      </c>
      <c r="CZ114" s="362" t="str">
        <f ca="1">IF(CU114="","",VLOOKUP(CU114,games.r,7,FALSE))</f>
        <v/>
      </c>
      <c r="DA114" s="379" t="str">
        <f ca="1">DA113</f>
        <v/>
      </c>
      <c r="DB114" s="302"/>
      <c r="DC114" s="364"/>
      <c r="DD114" s="302"/>
      <c r="DF114" s="424"/>
      <c r="DG114" s="424"/>
      <c r="DH114" s="424"/>
      <c r="DI114" s="424"/>
      <c r="DJ114" s="424"/>
      <c r="DK114" s="424"/>
      <c r="DL114" s="424"/>
      <c r="DM114" s="424"/>
      <c r="DN114" s="424"/>
      <c r="DO114" s="424"/>
      <c r="DP114" s="424"/>
      <c r="DQ114" s="424"/>
      <c r="DR114" s="424"/>
      <c r="DS114" s="424"/>
      <c r="DT114" s="424"/>
      <c r="DU114" s="424"/>
      <c r="DV114" s="424"/>
      <c r="DW114" s="424"/>
      <c r="DX114" s="424"/>
      <c r="DY114" s="424"/>
      <c r="DZ114" s="424"/>
      <c r="EA114" s="424"/>
      <c r="EB114" s="424"/>
      <c r="EC114" s="424"/>
      <c r="ED114" s="424"/>
      <c r="EE114" s="424"/>
      <c r="EF114" s="424"/>
      <c r="EG114" s="424"/>
      <c r="EH114" s="424"/>
      <c r="EI114" s="424"/>
      <c r="EJ114" s="424"/>
      <c r="EK114" s="424"/>
      <c r="EL114" s="424"/>
      <c r="EM114" s="424"/>
      <c r="EN114" s="424"/>
      <c r="EO114" s="425"/>
      <c r="EP114" s="437"/>
    </row>
    <row r="115" spans="30:146" x14ac:dyDescent="0.25">
      <c r="AY115" s="319">
        <v>1</v>
      </c>
      <c r="AZ115" s="349" t="str">
        <f t="shared" ref="AZ115:BJ126" ca="1" si="220">INDEX(round.r,$AY115,AZ$114)</f>
        <v>BBKK&amp;H</v>
      </c>
      <c r="BA115" s="349" t="str">
        <f t="shared" ca="1" si="220"/>
        <v>BBK</v>
      </c>
      <c r="BB115" s="349" t="str">
        <f t="shared" ca="1" si="220"/>
        <v>K&amp;H</v>
      </c>
      <c r="BC115" s="349">
        <f t="shared" ca="1" si="220"/>
        <v>2</v>
      </c>
      <c r="BD115" s="349">
        <f t="shared" ca="1" si="220"/>
        <v>1</v>
      </c>
      <c r="BE115" s="349" t="str">
        <f t="shared" ca="1" si="220"/>
        <v>BBK</v>
      </c>
      <c r="BF115" s="349" t="str">
        <f t="shared" ca="1" si="220"/>
        <v/>
      </c>
      <c r="BG115" s="349" t="str">
        <f t="shared" ca="1" si="220"/>
        <v/>
      </c>
      <c r="BH115" s="349" t="str">
        <f t="shared" ca="1" si="220"/>
        <v/>
      </c>
      <c r="BI115" s="349" t="str">
        <f t="shared" ca="1" si="220"/>
        <v/>
      </c>
      <c r="BJ115" s="441" t="str">
        <f t="shared" ca="1" si="220"/>
        <v>K&amp;H</v>
      </c>
      <c r="CB115" s="350"/>
      <c r="CC115" s="350"/>
      <c r="CD115" s="350"/>
      <c r="CE115" s="350"/>
      <c r="CF115" s="350"/>
      <c r="CG115" s="350"/>
      <c r="CR115" s="445"/>
      <c r="CS115" s="300"/>
      <c r="CT115" s="395" t="str">
        <f t="shared" ca="1" si="219"/>
        <v/>
      </c>
      <c r="CU115" s="360" t="str">
        <f ca="1">IF(OR(CT115="",DA115="",CT115=DA115,ISNA(VLOOKUP(CONCATENATE(CT115,DA115),games.r,2,FALSE))),"",CONCATENATE(CT115,DA115))</f>
        <v/>
      </c>
      <c r="CV115" s="360" t="str">
        <f ca="1">IF(CU115="","",CONCATENATE(VLOOKUP(CU115,games.r,9,FALSE),VLOOKUP(CU115,games.r,12,FALSE)))</f>
        <v/>
      </c>
      <c r="CW115" s="354" t="str">
        <f ca="1">IF(CU115="","",VLOOKUP(CU115,games.r,10,FALSE))</f>
        <v/>
      </c>
      <c r="CX115" s="354" t="str">
        <f ca="1">IF(CU115="","",VLOOKUP(CU115,games.r,13,FALSE))</f>
        <v/>
      </c>
      <c r="CY115" s="361" t="str">
        <f ca="1">IF(CU115="","",VLOOKUP(CU115,games.r,6,FALSE))</f>
        <v/>
      </c>
      <c r="CZ115" s="362" t="str">
        <f ca="1">IF(CU115="","",VLOOKUP(CU115,games.r,7,FALSE))</f>
        <v/>
      </c>
      <c r="DA115" s="379" t="str">
        <f ca="1">DA114</f>
        <v/>
      </c>
      <c r="DB115" s="302"/>
      <c r="DC115" s="364"/>
      <c r="DD115" s="302"/>
      <c r="DF115" s="424"/>
      <c r="DG115" s="424"/>
      <c r="DH115" s="424"/>
      <c r="DI115" s="424"/>
      <c r="DJ115" s="424"/>
      <c r="DK115" s="424"/>
      <c r="DL115" s="424"/>
      <c r="DM115" s="424"/>
      <c r="DN115" s="424"/>
      <c r="DO115" s="424"/>
      <c r="DP115" s="424"/>
      <c r="DQ115" s="424"/>
      <c r="DR115" s="424"/>
      <c r="DS115" s="424"/>
      <c r="DT115" s="424"/>
      <c r="DU115" s="424"/>
      <c r="DV115" s="424"/>
      <c r="DW115" s="424"/>
      <c r="DX115" s="424"/>
      <c r="DY115" s="424"/>
      <c r="DZ115" s="424"/>
      <c r="EA115" s="424"/>
      <c r="EB115" s="424"/>
      <c r="EC115" s="424"/>
      <c r="ED115" s="424"/>
      <c r="EE115" s="424"/>
      <c r="EF115" s="424"/>
      <c r="EG115" s="424"/>
      <c r="EH115" s="424"/>
      <c r="EI115" s="424"/>
      <c r="EJ115" s="424"/>
      <c r="EK115" s="424"/>
      <c r="EL115" s="424"/>
      <c r="EM115" s="424"/>
      <c r="EN115" s="424"/>
      <c r="EO115" s="425"/>
      <c r="EP115" s="333"/>
    </row>
    <row r="116" spans="30:146" ht="15.75" x14ac:dyDescent="0.25">
      <c r="AS116" s="313" t="s">
        <v>428</v>
      </c>
      <c r="AT116" s="314"/>
      <c r="AU116" s="315"/>
      <c r="AV116" s="315"/>
      <c r="AW116" s="316" t="s">
        <v>428</v>
      </c>
      <c r="AY116" s="319">
        <f>AY115+1</f>
        <v>2</v>
      </c>
      <c r="AZ116" s="349" t="str">
        <f t="shared" ca="1" si="220"/>
        <v>ZrínyigyöngyeHercules-Ludovika</v>
      </c>
      <c r="BA116" s="349" t="str">
        <f t="shared" ca="1" si="220"/>
        <v>Zrínyigyöngye</v>
      </c>
      <c r="BB116" s="349" t="str">
        <f t="shared" ca="1" si="220"/>
        <v>Hercules-Ludovika</v>
      </c>
      <c r="BC116" s="349">
        <f t="shared" ca="1" si="220"/>
        <v>0</v>
      </c>
      <c r="BD116" s="349">
        <f t="shared" ca="1" si="220"/>
        <v>2</v>
      </c>
      <c r="BE116" s="349" t="str">
        <f t="shared" ca="1" si="220"/>
        <v/>
      </c>
      <c r="BF116" s="349" t="str">
        <f t="shared" ca="1" si="220"/>
        <v/>
      </c>
      <c r="BG116" s="349" t="str">
        <f t="shared" ca="1" si="220"/>
        <v>Zrínyigyöngye</v>
      </c>
      <c r="BH116" s="349" t="str">
        <f t="shared" ca="1" si="220"/>
        <v>Hercules-Ludovika</v>
      </c>
      <c r="BI116" s="349" t="str">
        <f t="shared" ca="1" si="220"/>
        <v/>
      </c>
      <c r="BJ116" s="441" t="str">
        <f t="shared" ca="1" si="220"/>
        <v/>
      </c>
      <c r="CB116" s="350"/>
      <c r="CC116" s="350"/>
      <c r="CD116" s="350"/>
      <c r="CE116" s="350"/>
      <c r="CF116" s="350"/>
      <c r="CG116" s="350"/>
      <c r="CR116" s="445"/>
      <c r="CS116" s="300"/>
      <c r="CT116" s="533" t="str">
        <f t="shared" si="219"/>
        <v/>
      </c>
      <c r="CU116" s="371" t="str">
        <f ca="1">IF(OR(CT116="",DA116="",CT116=DA116,ISNA(VLOOKUP(CONCATENATE(CT116,DA116),games.a,2,FALSE))),"",CONCATENATE(CT116,DA116))</f>
        <v/>
      </c>
      <c r="CV116" s="371" t="str">
        <f ca="1">IF(CU116="","",CONCATENATE(VLOOKUP(CU116,games.a,9,FALSE),VLOOKUP(CU116,games.a,12,FALSE)))</f>
        <v/>
      </c>
      <c r="CW116" s="369" t="str">
        <f ca="1">IF(CU116="","",VLOOKUP(CU116,games.a,10,FALSE))</f>
        <v/>
      </c>
      <c r="CX116" s="369" t="str">
        <f ca="1">IF(CU116="","",VLOOKUP(CU116,games.a,13,FALSE))</f>
        <v/>
      </c>
      <c r="CY116" s="423" t="str">
        <f ca="1">IF(CU116="","",VLOOKUP(CU116,games.a,6,FALSE))</f>
        <v/>
      </c>
      <c r="CZ116" s="409" t="str">
        <f ca="1">IF(CU116="","",VLOOKUP(CU116,games.a,7,FALSE))</f>
        <v/>
      </c>
      <c r="DA116" s="523" t="str">
        <f ca="1">DA115</f>
        <v/>
      </c>
      <c r="DB116" s="302"/>
      <c r="DC116" s="364"/>
      <c r="DD116" s="302"/>
      <c r="DF116" s="424"/>
      <c r="DG116" s="424"/>
      <c r="DH116" s="424"/>
      <c r="DI116" s="424"/>
      <c r="DJ116" s="424"/>
      <c r="DK116" s="424"/>
      <c r="DL116" s="424"/>
      <c r="DM116" s="424"/>
      <c r="DN116" s="424"/>
      <c r="DO116" s="424"/>
      <c r="DP116" s="424"/>
      <c r="DQ116" s="424"/>
      <c r="DR116" s="424"/>
      <c r="DS116" s="424"/>
      <c r="DT116" s="424"/>
      <c r="DU116" s="424"/>
      <c r="DV116" s="424"/>
      <c r="DW116" s="424"/>
      <c r="DX116" s="424"/>
      <c r="DY116" s="424"/>
      <c r="DZ116" s="424"/>
      <c r="EA116" s="424"/>
      <c r="EB116" s="424"/>
      <c r="EC116" s="424"/>
      <c r="ED116" s="424"/>
      <c r="EE116" s="424"/>
      <c r="EF116" s="424"/>
      <c r="EG116" s="424"/>
      <c r="EH116" s="424"/>
      <c r="EI116" s="424"/>
      <c r="EJ116" s="424"/>
      <c r="EK116" s="424"/>
      <c r="EL116" s="424"/>
      <c r="EM116" s="424"/>
      <c r="EN116" s="424"/>
      <c r="EO116" s="425"/>
      <c r="EP116" s="333"/>
    </row>
    <row r="117" spans="30:146" x14ac:dyDescent="0.25">
      <c r="AU117" s="439">
        <f ca="1">IF($AD$58=2,BB42,BC42*-1)*1000000+IF(ASZTAB!$AJ$44,BE42,BD42)*1000+BJ42-IF(AW117=0,1000000000000,0)</f>
        <v>-33929999.960000001</v>
      </c>
      <c r="AV117" s="179"/>
      <c r="AW117" s="440" t="str">
        <f ca="1">IF(NOT($AD$43),0,RCSOP!BE57)</f>
        <v>BBK</v>
      </c>
      <c r="AY117" s="319">
        <f t="shared" ref="AY117:AY126" si="221">AY116+1</f>
        <v>3</v>
      </c>
      <c r="AZ117" s="349" t="str">
        <f t="shared" ca="1" si="220"/>
        <v>BHDÉlelmesek</v>
      </c>
      <c r="BA117" s="349" t="str">
        <f t="shared" ca="1" si="220"/>
        <v>BHD</v>
      </c>
      <c r="BB117" s="349" t="str">
        <f t="shared" ca="1" si="220"/>
        <v>Élelmesek</v>
      </c>
      <c r="BC117" s="349">
        <f t="shared" ca="1" si="220"/>
        <v>4</v>
      </c>
      <c r="BD117" s="349">
        <f t="shared" ca="1" si="220"/>
        <v>4</v>
      </c>
      <c r="BE117" s="349" t="str">
        <f t="shared" ca="1" si="220"/>
        <v/>
      </c>
      <c r="BF117" s="349" t="str">
        <f t="shared" ca="1" si="220"/>
        <v>BHD</v>
      </c>
      <c r="BG117" s="349" t="str">
        <f t="shared" ca="1" si="220"/>
        <v/>
      </c>
      <c r="BH117" s="349" t="str">
        <f t="shared" ca="1" si="220"/>
        <v/>
      </c>
      <c r="BI117" s="349" t="str">
        <f t="shared" ca="1" si="220"/>
        <v>Élelmesek</v>
      </c>
      <c r="BJ117" s="441" t="str">
        <f t="shared" ca="1" si="220"/>
        <v/>
      </c>
      <c r="CB117" s="350"/>
      <c r="CC117" s="350"/>
      <c r="CD117" s="350"/>
      <c r="CE117" s="350"/>
      <c r="CF117" s="350"/>
      <c r="CG117" s="350"/>
      <c r="CR117" s="445"/>
      <c r="CS117" s="300"/>
      <c r="CT117" s="533" t="str">
        <f t="shared" si="219"/>
        <v/>
      </c>
      <c r="CU117" s="371" t="str">
        <f ca="1">IF(OR(CT117="",DA117="",CT117=DA117,ISNA(VLOOKUP(CONCATENATE(CT117,DA117),games.a,2,FALSE))),"",CONCATENATE(CT117,DA117))</f>
        <v/>
      </c>
      <c r="CV117" s="371" t="str">
        <f ca="1">IF(CU117="","",CONCATENATE(VLOOKUP(CU117,games.a,9,FALSE),VLOOKUP(CU117,games.a,12,FALSE)))</f>
        <v/>
      </c>
      <c r="CW117" s="369" t="str">
        <f ca="1">IF(CU117="","",VLOOKUP(CU117,games.a,10,FALSE))</f>
        <v/>
      </c>
      <c r="CX117" s="369" t="str">
        <f ca="1">IF(CU117="","",VLOOKUP(CU117,games.a,13,FALSE))</f>
        <v/>
      </c>
      <c r="CY117" s="423" t="str">
        <f ca="1">IF(CU117="","",VLOOKUP(CU117,games.a,6,FALSE))</f>
        <v/>
      </c>
      <c r="CZ117" s="409" t="str">
        <f ca="1">IF(CU117="","",VLOOKUP(CU117,games.a,7,FALSE))</f>
        <v/>
      </c>
      <c r="DA117" s="523" t="str">
        <f ca="1">DA116</f>
        <v/>
      </c>
      <c r="DB117" s="302"/>
      <c r="DC117" s="364"/>
      <c r="DD117" s="302"/>
      <c r="DF117" s="424"/>
      <c r="DG117" s="424"/>
      <c r="DH117" s="424"/>
      <c r="DI117" s="424"/>
      <c r="DJ117" s="424"/>
      <c r="DK117" s="424"/>
      <c r="DL117" s="424"/>
      <c r="DM117" s="424"/>
      <c r="DN117" s="424"/>
      <c r="DO117" s="424"/>
      <c r="DP117" s="424"/>
      <c r="DQ117" s="424"/>
      <c r="DR117" s="424"/>
      <c r="DS117" s="424"/>
      <c r="DT117" s="424"/>
      <c r="DU117" s="424"/>
      <c r="DV117" s="424"/>
      <c r="DW117" s="424"/>
      <c r="DX117" s="424"/>
      <c r="DY117" s="424"/>
      <c r="DZ117" s="424"/>
      <c r="EA117" s="424"/>
      <c r="EB117" s="424"/>
      <c r="EC117" s="424"/>
      <c r="ED117" s="424"/>
      <c r="EE117" s="424"/>
      <c r="EF117" s="424"/>
      <c r="EG117" s="424"/>
      <c r="EH117" s="424"/>
      <c r="EI117" s="424"/>
      <c r="EJ117" s="424"/>
      <c r="EK117" s="424"/>
      <c r="EL117" s="424"/>
      <c r="EM117" s="424"/>
      <c r="EN117" s="424"/>
      <c r="EO117" s="425"/>
      <c r="EP117" s="333"/>
    </row>
    <row r="118" spans="30:146" x14ac:dyDescent="0.25">
      <c r="AU118" s="439">
        <f ca="1">IF($AD$58=2,BB43,BC43*-1)*1000000+IF(ASZTAB!$AJ$44,BE43,BD43)*1000+BJ43-IF(AW118=0,1000000000000,0)</f>
        <v>-34919999.961000003</v>
      </c>
      <c r="AW118" s="440" t="str">
        <f ca="1">IF(NOT($AD$43),0,RCSOP!BE58)</f>
        <v>K&amp;H</v>
      </c>
      <c r="AY118" s="319">
        <f t="shared" si="221"/>
        <v>4</v>
      </c>
      <c r="AZ118" s="349" t="str">
        <f t="shared" ca="1" si="220"/>
        <v>00</v>
      </c>
      <c r="BA118" s="349">
        <f t="shared" ca="1" si="220"/>
        <v>0</v>
      </c>
      <c r="BB118" s="349">
        <f t="shared" ca="1" si="220"/>
        <v>0</v>
      </c>
      <c r="BC118" s="349" t="str">
        <f t="shared" ca="1" si="220"/>
        <v/>
      </c>
      <c r="BD118" s="349" t="str">
        <f t="shared" ca="1" si="220"/>
        <v/>
      </c>
      <c r="BE118" s="349" t="str">
        <f t="shared" ca="1" si="220"/>
        <v/>
      </c>
      <c r="BF118" s="349" t="str">
        <f t="shared" ca="1" si="220"/>
        <v/>
      </c>
      <c r="BG118" s="349" t="str">
        <f t="shared" ca="1" si="220"/>
        <v/>
      </c>
      <c r="BH118" s="349" t="str">
        <f t="shared" ca="1" si="220"/>
        <v/>
      </c>
      <c r="BI118" s="349" t="str">
        <f t="shared" ca="1" si="220"/>
        <v/>
      </c>
      <c r="BJ118" s="441" t="str">
        <f t="shared" ca="1" si="220"/>
        <v/>
      </c>
      <c r="CB118" s="350"/>
      <c r="CC118" s="350"/>
      <c r="CD118" s="350"/>
      <c r="CE118" s="350"/>
      <c r="CF118" s="350"/>
      <c r="CG118" s="350"/>
      <c r="CR118" s="445"/>
      <c r="CS118" s="300"/>
      <c r="CT118" s="533" t="str">
        <f t="shared" si="219"/>
        <v/>
      </c>
      <c r="CU118" s="371" t="str">
        <f ca="1">IF(OR(CT118="",DA118="",CT118=DA118,ISNA(VLOOKUP(CONCATENATE(CT118,DA118),games.a,2,FALSE))),"",CONCATENATE(CT118,DA118))</f>
        <v/>
      </c>
      <c r="CV118" s="371" t="str">
        <f ca="1">IF(CU118="","",CONCATENATE(VLOOKUP(CU118,games.a,9,FALSE),VLOOKUP(CU118,games.a,12,FALSE)))</f>
        <v/>
      </c>
      <c r="CW118" s="369" t="str">
        <f ca="1">IF(CU118="","",VLOOKUP(CU118,games.a,10,FALSE))</f>
        <v/>
      </c>
      <c r="CX118" s="369" t="str">
        <f ca="1">IF(CU118="","",VLOOKUP(CU118,games.a,13,FALSE))</f>
        <v/>
      </c>
      <c r="CY118" s="423" t="str">
        <f ca="1">IF(CU118="","",VLOOKUP(CU118,games.a,6,FALSE))</f>
        <v/>
      </c>
      <c r="CZ118" s="409" t="str">
        <f ca="1">IF(CU118="","",VLOOKUP(CU118,games.a,7,FALSE))</f>
        <v/>
      </c>
      <c r="DA118" s="523" t="str">
        <f ca="1">DA117</f>
        <v/>
      </c>
      <c r="DB118" s="302"/>
      <c r="DC118" s="364"/>
      <c r="DD118" s="302"/>
      <c r="DF118" s="424"/>
      <c r="DG118" s="424"/>
      <c r="DH118" s="424"/>
      <c r="DI118" s="424"/>
      <c r="DJ118" s="424"/>
      <c r="DK118" s="424"/>
      <c r="DL118" s="424"/>
      <c r="DM118" s="424"/>
      <c r="DN118" s="424"/>
      <c r="DO118" s="424"/>
      <c r="DP118" s="424"/>
      <c r="DQ118" s="424"/>
      <c r="DR118" s="424"/>
      <c r="DS118" s="424"/>
      <c r="DT118" s="424"/>
      <c r="DU118" s="424"/>
      <c r="DV118" s="424"/>
      <c r="DW118" s="424"/>
      <c r="DX118" s="424"/>
      <c r="DY118" s="424"/>
      <c r="DZ118" s="424"/>
      <c r="EA118" s="424"/>
      <c r="EB118" s="424"/>
      <c r="EC118" s="424"/>
      <c r="ED118" s="424"/>
      <c r="EE118" s="424"/>
      <c r="EF118" s="424"/>
      <c r="EG118" s="424"/>
      <c r="EH118" s="424"/>
      <c r="EI118" s="424"/>
      <c r="EJ118" s="424"/>
      <c r="EK118" s="424"/>
      <c r="EL118" s="424"/>
      <c r="EM118" s="424"/>
      <c r="EN118" s="424"/>
      <c r="EO118" s="425"/>
      <c r="EP118" s="333"/>
    </row>
    <row r="119" spans="30:146" x14ac:dyDescent="0.25">
      <c r="AU119" s="439">
        <f ca="1">IF($AD$58=2,BB44,BC44*-1)*1000000+IF(ASZTAB!$AJ$44,BE44,BD44)*1000+BJ44-IF(AW119=0,1000000000000,0)</f>
        <v>-38954999.961999997</v>
      </c>
      <c r="AW119" s="440" t="str">
        <f ca="1">IF(NOT($AD$43),0,RCSOP!BE59)</f>
        <v>BHD</v>
      </c>
      <c r="AY119" s="319">
        <v>6</v>
      </c>
      <c r="AZ119" s="349" t="str">
        <f t="shared" ca="1" si="220"/>
        <v>Bakafogó-Honvéd-Sashegy SEVakana</v>
      </c>
      <c r="BA119" s="349" t="str">
        <f t="shared" ca="1" si="220"/>
        <v>Bakafogó-Honvéd-Sashegy SE</v>
      </c>
      <c r="BB119" s="349" t="str">
        <f t="shared" ca="1" si="220"/>
        <v>Vakana</v>
      </c>
      <c r="BC119" s="349">
        <f t="shared" ca="1" si="220"/>
        <v>1</v>
      </c>
      <c r="BD119" s="349">
        <f t="shared" ca="1" si="220"/>
        <v>3</v>
      </c>
      <c r="BE119" s="349" t="str">
        <f t="shared" ca="1" si="220"/>
        <v/>
      </c>
      <c r="BF119" s="349" t="str">
        <f t="shared" ca="1" si="220"/>
        <v/>
      </c>
      <c r="BG119" s="349" t="str">
        <f t="shared" ca="1" si="220"/>
        <v>Bakafogó-Honvéd-Sashegy SE</v>
      </c>
      <c r="BH119" s="349" t="str">
        <f t="shared" ca="1" si="220"/>
        <v>Vakana</v>
      </c>
      <c r="BI119" s="349" t="str">
        <f t="shared" ca="1" si="220"/>
        <v/>
      </c>
      <c r="BJ119" s="441" t="str">
        <f t="shared" ca="1" si="220"/>
        <v/>
      </c>
      <c r="CB119" s="350"/>
      <c r="CC119" s="350"/>
      <c r="CD119" s="350"/>
      <c r="CE119" s="350"/>
      <c r="CF119" s="350"/>
      <c r="CG119" s="350"/>
      <c r="CR119" s="445"/>
      <c r="CS119" s="445"/>
      <c r="CT119" s="301"/>
      <c r="CU119" s="302"/>
      <c r="CV119" s="302"/>
      <c r="CW119" s="302"/>
      <c r="CX119" s="302"/>
      <c r="CY119" s="302"/>
      <c r="CZ119" s="302"/>
      <c r="DA119" s="447"/>
      <c r="DB119" s="302"/>
      <c r="DC119" s="446" t="s">
        <v>218</v>
      </c>
      <c r="DD119" s="302"/>
      <c r="DF119" s="424"/>
      <c r="DG119" s="424"/>
      <c r="DH119" s="424"/>
      <c r="DI119" s="424"/>
      <c r="DJ119" s="424"/>
      <c r="DK119" s="424"/>
      <c r="DL119" s="424"/>
      <c r="DM119" s="424"/>
      <c r="DN119" s="424"/>
      <c r="DO119" s="424"/>
      <c r="DP119" s="424"/>
      <c r="DQ119" s="424"/>
      <c r="DR119" s="424"/>
      <c r="DS119" s="424"/>
      <c r="DT119" s="424"/>
      <c r="DU119" s="424"/>
      <c r="DV119" s="424"/>
      <c r="DW119" s="424"/>
      <c r="DX119" s="424"/>
      <c r="DY119" s="424"/>
      <c r="DZ119" s="424"/>
      <c r="EA119" s="424"/>
      <c r="EB119" s="424"/>
      <c r="EC119" s="424"/>
      <c r="ED119" s="424"/>
      <c r="EE119" s="424"/>
      <c r="EF119" s="424"/>
      <c r="EG119" s="424"/>
      <c r="EH119" s="424"/>
      <c r="EI119" s="424"/>
      <c r="EJ119" s="424"/>
      <c r="EK119" s="424"/>
      <c r="EL119" s="424"/>
      <c r="EM119" s="424"/>
      <c r="EN119" s="424"/>
      <c r="EO119" s="425"/>
      <c r="EP119" s="333"/>
    </row>
    <row r="120" spans="30:146" x14ac:dyDescent="0.25">
      <c r="AU120" s="439">
        <f ca="1">IF($AD$58=2,BB45,BC45*-1)*1000000+IF(ASZTAB!$AJ$44,BE45,BD45)*1000+BJ45-IF(AW120=0,1000000000000,0)</f>
        <v>-55971999.963</v>
      </c>
      <c r="AW120" s="440" t="str">
        <f ca="1">IF(NOT($AD$43),0,RCSOP!BE60)</f>
        <v>Zrínyigyöngye</v>
      </c>
      <c r="AY120" s="319">
        <f t="shared" si="221"/>
        <v>7</v>
      </c>
      <c r="AZ120" s="349" t="str">
        <f t="shared" ca="1" si="220"/>
        <v>CarbonászRoyal Guard's</v>
      </c>
      <c r="BA120" s="349" t="str">
        <f t="shared" ca="1" si="220"/>
        <v>Carbonász</v>
      </c>
      <c r="BB120" s="349" t="str">
        <f t="shared" ca="1" si="220"/>
        <v>Royal Guard's</v>
      </c>
      <c r="BC120" s="349">
        <f t="shared" ca="1" si="220"/>
        <v>2</v>
      </c>
      <c r="BD120" s="349">
        <f t="shared" ca="1" si="220"/>
        <v>2</v>
      </c>
      <c r="BE120" s="349" t="str">
        <f t="shared" ca="1" si="220"/>
        <v/>
      </c>
      <c r="BF120" s="349" t="str">
        <f t="shared" ca="1" si="220"/>
        <v>Carbonász</v>
      </c>
      <c r="BG120" s="349" t="str">
        <f t="shared" ca="1" si="220"/>
        <v/>
      </c>
      <c r="BH120" s="349" t="str">
        <f t="shared" ca="1" si="220"/>
        <v/>
      </c>
      <c r="BI120" s="349" t="str">
        <f t="shared" ca="1" si="220"/>
        <v>Royal Guard's</v>
      </c>
      <c r="BJ120" s="441" t="str">
        <f t="shared" ca="1" si="220"/>
        <v/>
      </c>
      <c r="CB120" s="350"/>
      <c r="CC120" s="350"/>
      <c r="CD120" s="350"/>
      <c r="CE120" s="350"/>
      <c r="CF120" s="350"/>
      <c r="CG120" s="350"/>
      <c r="CR120" s="445"/>
      <c r="CS120" s="445"/>
      <c r="CT120" s="301"/>
      <c r="CU120" s="302"/>
      <c r="CV120" s="302"/>
      <c r="CW120" s="302"/>
      <c r="CX120" s="302"/>
      <c r="CY120" s="302"/>
      <c r="CZ120" s="302"/>
      <c r="DA120" s="447"/>
      <c r="DB120" s="302"/>
      <c r="DC120" s="450" t="s">
        <v>219</v>
      </c>
      <c r="DD120" s="302"/>
      <c r="DF120" s="424"/>
      <c r="DG120" s="424"/>
      <c r="DH120" s="424"/>
      <c r="DI120" s="424"/>
      <c r="DJ120" s="424"/>
      <c r="DK120" s="424"/>
      <c r="DL120" s="424"/>
      <c r="DM120" s="424"/>
      <c r="DN120" s="424"/>
      <c r="DO120" s="424"/>
      <c r="DP120" s="424"/>
      <c r="DQ120" s="424"/>
      <c r="DR120" s="424"/>
      <c r="DS120" s="424"/>
      <c r="DT120" s="424"/>
      <c r="DU120" s="424"/>
      <c r="DV120" s="424"/>
      <c r="DW120" s="424"/>
      <c r="DX120" s="424"/>
      <c r="DY120" s="424"/>
      <c r="DZ120" s="424"/>
      <c r="EA120" s="424"/>
      <c r="EB120" s="424"/>
      <c r="EC120" s="424"/>
      <c r="ED120" s="424"/>
      <c r="EE120" s="424"/>
      <c r="EF120" s="424"/>
      <c r="EG120" s="424"/>
      <c r="EH120" s="424"/>
      <c r="EI120" s="424"/>
      <c r="EJ120" s="424"/>
      <c r="EK120" s="424"/>
      <c r="EL120" s="424"/>
      <c r="EM120" s="424"/>
      <c r="EN120" s="424"/>
      <c r="EO120" s="425"/>
      <c r="EP120" s="333"/>
    </row>
    <row r="121" spans="30:146" x14ac:dyDescent="0.25">
      <c r="AU121" s="439">
        <f ca="1">IF($AD$58=2,BB46,BC46*-1)*1000000+IF(ASZTAB!$AJ$44,BE46,BD46)*1000+BJ46-IF(AW121=0,1000000000000,0)</f>
        <v>-72003999.964000002</v>
      </c>
      <c r="AW121" s="440" t="str">
        <f ca="1">IF(NOT($AD$43),0,RCSOP!BE61)</f>
        <v>Élelmesek</v>
      </c>
      <c r="AY121" s="319">
        <f t="shared" si="221"/>
        <v>8</v>
      </c>
      <c r="AZ121" s="349" t="str">
        <f t="shared" ca="1" si="220"/>
        <v>Bőrdíszműszabadnapos</v>
      </c>
      <c r="BA121" s="349" t="str">
        <f t="shared" ca="1" si="220"/>
        <v>Bőrdíszmű</v>
      </c>
      <c r="BB121" s="349" t="str">
        <f t="shared" ca="1" si="220"/>
        <v>szabadnapos</v>
      </c>
      <c r="BC121" s="349" t="str">
        <f t="shared" ca="1" si="220"/>
        <v/>
      </c>
      <c r="BD121" s="349" t="str">
        <f t="shared" ca="1" si="220"/>
        <v/>
      </c>
      <c r="BE121" s="349" t="str">
        <f t="shared" ca="1" si="220"/>
        <v/>
      </c>
      <c r="BF121" s="349" t="str">
        <f t="shared" ca="1" si="220"/>
        <v/>
      </c>
      <c r="BG121" s="349" t="str">
        <f t="shared" ca="1" si="220"/>
        <v/>
      </c>
      <c r="BH121" s="349" t="str">
        <f t="shared" ca="1" si="220"/>
        <v/>
      </c>
      <c r="BI121" s="349" t="str">
        <f t="shared" ca="1" si="220"/>
        <v/>
      </c>
      <c r="BJ121" s="441" t="str">
        <f t="shared" ca="1" si="220"/>
        <v/>
      </c>
      <c r="CB121" s="350"/>
      <c r="CC121" s="350"/>
      <c r="CD121" s="350"/>
      <c r="CE121" s="350"/>
      <c r="CF121" s="350"/>
      <c r="CG121" s="350"/>
      <c r="CR121" s="445"/>
      <c r="CS121" s="300"/>
      <c r="CT121" s="323" t="b">
        <f ca="1">OR(NOT(ASZTAB!$AJ$44),COUNTIF(CY121:CY130,"")&lt;=8-(DA121-1)*DA121/2)</f>
        <v>1</v>
      </c>
      <c r="CU121" s="324" t="s">
        <v>157</v>
      </c>
      <c r="CV121" s="324" t="s">
        <v>158</v>
      </c>
      <c r="CW121" s="325" t="s">
        <v>159</v>
      </c>
      <c r="CX121" s="325"/>
      <c r="CY121" s="326" t="s">
        <v>160</v>
      </c>
      <c r="CZ121" s="325" t="s">
        <v>135</v>
      </c>
      <c r="DA121" s="323">
        <f ca="1">COUNT(CQ42:CQ43)</f>
        <v>0</v>
      </c>
      <c r="DB121" s="302"/>
      <c r="DC121" s="364"/>
      <c r="DD121" s="302"/>
      <c r="DF121" s="424"/>
      <c r="DG121" s="329" t="s">
        <v>229</v>
      </c>
      <c r="DH121" s="365"/>
      <c r="DI121" s="329" t="s">
        <v>152</v>
      </c>
      <c r="DJ121" s="329" t="s">
        <v>153</v>
      </c>
      <c r="DK121" s="329" t="s">
        <v>154</v>
      </c>
      <c r="DL121" s="329" t="s">
        <v>155</v>
      </c>
      <c r="DM121" s="329" t="s">
        <v>125</v>
      </c>
      <c r="DN121" s="329" t="s">
        <v>226</v>
      </c>
      <c r="DO121" s="329" t="s">
        <v>126</v>
      </c>
      <c r="DP121" s="329" t="s">
        <v>227</v>
      </c>
      <c r="DQ121" s="424"/>
      <c r="DR121" s="424"/>
      <c r="DS121" s="424"/>
      <c r="DT121" s="329" t="s">
        <v>228</v>
      </c>
      <c r="DU121" s="329" t="s">
        <v>156</v>
      </c>
      <c r="DV121" s="329" t="s">
        <v>208</v>
      </c>
      <c r="DW121" s="424"/>
      <c r="DX121" s="424"/>
      <c r="DY121" s="424"/>
      <c r="DZ121" s="424"/>
      <c r="EA121" s="424"/>
      <c r="EB121" s="424"/>
      <c r="EC121" s="424"/>
      <c r="ED121" s="424"/>
      <c r="EE121" s="424"/>
      <c r="EF121" s="424"/>
      <c r="EG121" s="424"/>
      <c r="EH121" s="424"/>
      <c r="EI121" s="424"/>
      <c r="EJ121" s="424"/>
      <c r="EK121" s="424"/>
      <c r="EL121" s="424"/>
      <c r="EM121" s="424"/>
      <c r="EN121" s="424"/>
      <c r="EO121" s="425"/>
      <c r="EP121" s="333"/>
    </row>
    <row r="122" spans="30:146" x14ac:dyDescent="0.25">
      <c r="AU122" s="439">
        <f ca="1">IF($AD$58=2,BB47,BC47*-1)*1000000+IF(ASZTAB!$AJ$44,BE47,BD47)*1000+BJ47-IF(AW122=0,1000000000000,0)</f>
        <v>-69003999.965000004</v>
      </c>
      <c r="AW122" s="440" t="str">
        <f ca="1">IF(NOT($AD$43),0,RCSOP!BE62)</f>
        <v>Hercules-Ludovika</v>
      </c>
      <c r="AY122" s="319">
        <f t="shared" si="221"/>
        <v>9</v>
      </c>
      <c r="AZ122" s="349" t="str">
        <f t="shared" ca="1" si="220"/>
        <v>00</v>
      </c>
      <c r="BA122" s="349">
        <f t="shared" ca="1" si="220"/>
        <v>0</v>
      </c>
      <c r="BB122" s="349">
        <f t="shared" ca="1" si="220"/>
        <v>0</v>
      </c>
      <c r="BC122" s="349" t="str">
        <f t="shared" ca="1" si="220"/>
        <v/>
      </c>
      <c r="BD122" s="349" t="str">
        <f t="shared" ca="1" si="220"/>
        <v/>
      </c>
      <c r="BE122" s="349" t="str">
        <f t="shared" ca="1" si="220"/>
        <v/>
      </c>
      <c r="BF122" s="349" t="str">
        <f t="shared" ca="1" si="220"/>
        <v/>
      </c>
      <c r="BG122" s="349" t="str">
        <f t="shared" ca="1" si="220"/>
        <v/>
      </c>
      <c r="BH122" s="349" t="str">
        <f t="shared" ca="1" si="220"/>
        <v/>
      </c>
      <c r="BI122" s="349" t="str">
        <f t="shared" ca="1" si="220"/>
        <v/>
      </c>
      <c r="BJ122" s="441" t="str">
        <f t="shared" ca="1" si="220"/>
        <v/>
      </c>
      <c r="CB122" s="350"/>
      <c r="CC122" s="350"/>
      <c r="CD122" s="350"/>
      <c r="CE122" s="350"/>
      <c r="CF122" s="350"/>
      <c r="CG122" s="350"/>
      <c r="CR122" s="445"/>
      <c r="CS122" s="300"/>
      <c r="CT122" s="359" t="str">
        <f ca="1">IF(CQ42="","",VLOOKUP(CQ42,xxx.rr1,10,FALSE))</f>
        <v/>
      </c>
      <c r="CU122" s="360" t="str">
        <f ca="1">IF(OR(CT122="",DA122="",CT122=DA122,ISNA(VLOOKUP(CONCATENATE(CT122,DA122),games.r,2,FALSE))),"",CONCATENATE(CT122,DA122))</f>
        <v/>
      </c>
      <c r="CV122" s="360" t="str">
        <f ca="1">IF(CU122="","",CONCATENATE(VLOOKUP(CU122,games.r,9,FALSE),VLOOKUP(CU122,games.r,12,FALSE)))</f>
        <v/>
      </c>
      <c r="CW122" s="354" t="str">
        <f ca="1">IF(CU122="","",VLOOKUP(CU122,games.r,10,FALSE))</f>
        <v/>
      </c>
      <c r="CX122" s="354" t="str">
        <f ca="1">IF(CU122="","",VLOOKUP(CU122,games.r,13,FALSE))</f>
        <v/>
      </c>
      <c r="CY122" s="361" t="str">
        <f ca="1">IF(CU122="","",VLOOKUP(CU122,games.r,6,FALSE))</f>
        <v/>
      </c>
      <c r="CZ122" s="362" t="str">
        <f ca="1">IF(CU122="","",VLOOKUP(CU122,games.r,7,FALSE))</f>
        <v/>
      </c>
      <c r="DA122" s="363" t="str">
        <f ca="1">CT122</f>
        <v/>
      </c>
      <c r="DB122" s="302"/>
      <c r="DC122" s="364"/>
      <c r="DD122" s="302"/>
      <c r="DF122" s="424"/>
      <c r="DG122" s="366" t="str">
        <f ca="1">IF(OR(NOT(ASZTAB!$AJ$44),CT121),CT122,"")</f>
        <v/>
      </c>
      <c r="DH122" s="365"/>
      <c r="DI122" s="366">
        <f ca="1">IF(DG122="",0,COUNTIF(xxgy.rr,DG122))</f>
        <v>0</v>
      </c>
      <c r="DJ122" s="366">
        <f ca="1">IF(DG122="",0,COUNTIF(xxd.rr,DG122))</f>
        <v>0</v>
      </c>
      <c r="DK122" s="366">
        <f ca="1">IF(DG122="",0,1)*(SUMIF(xxo.rr,DG122,xxl.rr)+SUMIF(xxi.rr,DG122,xxk.rr))</f>
        <v>0</v>
      </c>
      <c r="DL122" s="366">
        <f ca="1">IF(DG122="",0,1)*(SUMIF(xxo.rr,DG122,xxk.rr)+SUMIF(xxi.rr,DG122,xxl.rr))</f>
        <v>0</v>
      </c>
      <c r="DM122" s="366">
        <f ca="1">DK122-DL122</f>
        <v>0</v>
      </c>
      <c r="DN122" s="366">
        <f ca="1">IF(DL122=0,0,DK122/DL122)</f>
        <v>0</v>
      </c>
      <c r="DO122" s="366">
        <f ca="1">ASZTAB!$AJ$48*DI122+IF(ASZTAB!$AJ$44,0,1)*DJ122</f>
        <v>0</v>
      </c>
      <c r="DP122" s="396">
        <f ca="1">DO122*1000000+IF(ASZTAB!$AJ$44,DN122,DM122)*1000*0</f>
        <v>0</v>
      </c>
      <c r="DQ122" s="424"/>
      <c r="DR122" s="424"/>
      <c r="DS122" s="424"/>
      <c r="DT122" s="366">
        <f ca="1">IF(OR(ISERR(DP122),ISNA(DP122)),0,DP122)</f>
        <v>0</v>
      </c>
      <c r="DU122" s="366">
        <f ca="1">IF(DT122=0,0,RANK(DT122,DT122:DT123,1))</f>
        <v>0</v>
      </c>
      <c r="DV122" s="366">
        <f ca="1">DU122*40000*IF(COUNTIF($EN$42:$EN$51,DG122)&gt;0,0,1)</f>
        <v>0</v>
      </c>
      <c r="DW122" s="424"/>
      <c r="DX122" s="424"/>
      <c r="DY122" s="424"/>
      <c r="DZ122" s="424"/>
      <c r="EA122" s="424"/>
      <c r="EB122" s="424"/>
      <c r="EC122" s="424"/>
      <c r="ED122" s="424"/>
      <c r="EE122" s="424"/>
      <c r="EF122" s="424"/>
      <c r="EG122" s="424"/>
      <c r="EH122" s="424"/>
      <c r="EI122" s="424"/>
      <c r="EJ122" s="424"/>
      <c r="EK122" s="424"/>
      <c r="EL122" s="424"/>
      <c r="EM122" s="424"/>
      <c r="EN122" s="424"/>
      <c r="EO122" s="425"/>
      <c r="EP122" s="333"/>
    </row>
    <row r="123" spans="30:146" x14ac:dyDescent="0.25">
      <c r="AU123" s="439">
        <f ca="1">IF($AD$58=2,BB48,BC48*-1)*1000000+IF(ASZTAB!$AJ$44,BE48,BD48)*1000+BJ48-IF(AW123=0,1000000000000,0)</f>
        <v>-999999999999.96594</v>
      </c>
      <c r="AW123" s="440">
        <f ca="1">IF(NOT($AD$43),0,RCSOP!BE63)</f>
        <v>0</v>
      </c>
      <c r="AY123" s="319">
        <v>11</v>
      </c>
      <c r="AZ123" s="349" t="str">
        <f t="shared" ca="1" si="220"/>
        <v>00</v>
      </c>
      <c r="BA123" s="349">
        <f t="shared" ca="1" si="220"/>
        <v>0</v>
      </c>
      <c r="BB123" s="349">
        <f t="shared" ca="1" si="220"/>
        <v>0</v>
      </c>
      <c r="BC123" s="349" t="str">
        <f t="shared" ca="1" si="220"/>
        <v/>
      </c>
      <c r="BD123" s="349" t="str">
        <f t="shared" ca="1" si="220"/>
        <v/>
      </c>
      <c r="BE123" s="349" t="str">
        <f t="shared" ca="1" si="220"/>
        <v/>
      </c>
      <c r="BF123" s="349" t="str">
        <f t="shared" ca="1" si="220"/>
        <v/>
      </c>
      <c r="BG123" s="349" t="str">
        <f t="shared" ca="1" si="220"/>
        <v/>
      </c>
      <c r="BH123" s="349" t="str">
        <f t="shared" ca="1" si="220"/>
        <v/>
      </c>
      <c r="BI123" s="349" t="str">
        <f t="shared" ca="1" si="220"/>
        <v/>
      </c>
      <c r="BJ123" s="441" t="str">
        <f t="shared" ca="1" si="220"/>
        <v/>
      </c>
      <c r="CB123" s="350"/>
      <c r="CC123" s="350"/>
      <c r="CD123" s="350"/>
      <c r="CE123" s="350"/>
      <c r="CF123" s="350"/>
      <c r="CG123" s="350"/>
      <c r="CR123" s="445"/>
      <c r="CS123" s="300"/>
      <c r="CT123" s="359" t="str">
        <f ca="1">IF(CQ43="","",VLOOKUP(CQ43,xxx.rr1,10,FALSE))</f>
        <v/>
      </c>
      <c r="CU123" s="360" t="str">
        <f ca="1">IF(OR(CT123="",DA123="",CT123=DA123,ISNA(VLOOKUP(CONCATENATE(CT123,DA123),games.r,2,FALSE))),"",CONCATENATE(CT123,DA123))</f>
        <v/>
      </c>
      <c r="CV123" s="360" t="str">
        <f ca="1">IF(CU123="","",CONCATENATE(VLOOKUP(CU123,games.r,9,FALSE),VLOOKUP(CU123,games.r,12,FALSE)))</f>
        <v/>
      </c>
      <c r="CW123" s="354" t="str">
        <f ca="1">IF(CU123="","",VLOOKUP(CU123,games.r,10,FALSE))</f>
        <v/>
      </c>
      <c r="CX123" s="354" t="str">
        <f ca="1">IF(CU123="","",VLOOKUP(CU123,games.r,13,FALSE))</f>
        <v/>
      </c>
      <c r="CY123" s="361" t="str">
        <f ca="1">IF(CU123="","",VLOOKUP(CU123,games.r,6,FALSE))</f>
        <v/>
      </c>
      <c r="CZ123" s="362" t="str">
        <f ca="1">IF(CU123="","",VLOOKUP(CU123,games.r,7,FALSE))</f>
        <v/>
      </c>
      <c r="DA123" s="379" t="str">
        <f ca="1">DA122</f>
        <v/>
      </c>
      <c r="DB123" s="302"/>
      <c r="DC123" s="364"/>
      <c r="DD123" s="302"/>
      <c r="DF123" s="424"/>
      <c r="DG123" s="366" t="str">
        <f ca="1">IF(OR(NOT(ASZTAB!$AJ$44),CT121),CT123,"")</f>
        <v/>
      </c>
      <c r="DH123" s="365"/>
      <c r="DI123" s="366">
        <f ca="1">IF(DG123="",0,COUNTIF(xxgy.rr,DG123))</f>
        <v>0</v>
      </c>
      <c r="DJ123" s="366">
        <f ca="1">IF(DG123="",0,COUNTIF(xxd.rr,DG123))</f>
        <v>0</v>
      </c>
      <c r="DK123" s="366">
        <f ca="1">IF(DG123="",0,1)*(SUMIF(xxo.rr,DG123,xxl.rr)+SUMIF(xxi.rr,DG123,xxk.rr))</f>
        <v>0</v>
      </c>
      <c r="DL123" s="366">
        <f ca="1">IF(DG123="",0,1)*(SUMIF(xxo.rr,DG123,xxk.rr)+SUMIF(xxi.rr,DG123,xxl.rr))</f>
        <v>0</v>
      </c>
      <c r="DM123" s="366">
        <f ca="1">DK123-DL123</f>
        <v>0</v>
      </c>
      <c r="DN123" s="366">
        <f ca="1">IF(DL123=0,0,DK123/DL123)</f>
        <v>0</v>
      </c>
      <c r="DO123" s="366">
        <f ca="1">ASZTAB!$AJ$48*DI123+IF(ASZTAB!$AJ$44,0,1)*DJ123</f>
        <v>0</v>
      </c>
      <c r="DP123" s="396">
        <f ca="1">DO123*1000000+IF(ASZTAB!$AJ$44,DN123,DM123)*1000*0</f>
        <v>0</v>
      </c>
      <c r="DQ123" s="424"/>
      <c r="DR123" s="424"/>
      <c r="DS123" s="424"/>
      <c r="DT123" s="366">
        <f ca="1">IF(OR(ISERR(DP123),ISNA(DP123)),0,DP123)</f>
        <v>0</v>
      </c>
      <c r="DU123" s="366">
        <f ca="1">IF(DT123=0,0,RANK(DT123,DT122:DT123,1))</f>
        <v>0</v>
      </c>
      <c r="DV123" s="366">
        <f ca="1">DU123*40000*IF(COUNTIF($EN$42:$EN$51,DG123)&gt;0,0,1)</f>
        <v>0</v>
      </c>
      <c r="DW123" s="424"/>
      <c r="DX123" s="424"/>
      <c r="DY123" s="424"/>
      <c r="DZ123" s="424"/>
      <c r="EA123" s="424"/>
      <c r="EB123" s="424"/>
      <c r="EC123" s="424"/>
      <c r="ED123" s="424"/>
      <c r="EE123" s="424"/>
      <c r="EF123" s="424"/>
      <c r="EG123" s="424"/>
      <c r="EH123" s="424"/>
      <c r="EI123" s="424"/>
      <c r="EJ123" s="424"/>
      <c r="EK123" s="424"/>
      <c r="EL123" s="424"/>
      <c r="EM123" s="424"/>
      <c r="EN123" s="424"/>
      <c r="EO123" s="425"/>
      <c r="EP123" s="333"/>
    </row>
    <row r="124" spans="30:146" x14ac:dyDescent="0.25">
      <c r="AU124" s="439">
        <f ca="1">IF($AD$58=2,BB49,BC49*-1)*1000000+IF(ASZTAB!$AJ$44,BE49,BD49)*1000+BJ49-IF(AW124=0,1000000000000,0)</f>
        <v>-999999999999.96704</v>
      </c>
      <c r="AW124" s="440">
        <f ca="1">IF(NOT($AD$43),0,RCSOP!BE64)</f>
        <v>0</v>
      </c>
      <c r="AY124" s="319">
        <f t="shared" si="221"/>
        <v>12</v>
      </c>
      <c r="AZ124" s="349" t="str">
        <f t="shared" ca="1" si="220"/>
        <v>00</v>
      </c>
      <c r="BA124" s="349">
        <f t="shared" ca="1" si="220"/>
        <v>0</v>
      </c>
      <c r="BB124" s="349">
        <f t="shared" ca="1" si="220"/>
        <v>0</v>
      </c>
      <c r="BC124" s="349" t="str">
        <f t="shared" ca="1" si="220"/>
        <v/>
      </c>
      <c r="BD124" s="349" t="str">
        <f t="shared" ca="1" si="220"/>
        <v/>
      </c>
      <c r="BE124" s="349" t="str">
        <f t="shared" ca="1" si="220"/>
        <v/>
      </c>
      <c r="BF124" s="349" t="str">
        <f t="shared" ca="1" si="220"/>
        <v/>
      </c>
      <c r="BG124" s="349" t="str">
        <f t="shared" ca="1" si="220"/>
        <v/>
      </c>
      <c r="BH124" s="349" t="str">
        <f t="shared" ca="1" si="220"/>
        <v/>
      </c>
      <c r="BI124" s="349" t="str">
        <f t="shared" ca="1" si="220"/>
        <v/>
      </c>
      <c r="BJ124" s="441" t="str">
        <f t="shared" ca="1" si="220"/>
        <v/>
      </c>
      <c r="CB124" s="350"/>
      <c r="CC124" s="350"/>
      <c r="CD124" s="350"/>
      <c r="CE124" s="350"/>
      <c r="CF124" s="350"/>
      <c r="CG124" s="350"/>
      <c r="CR124" s="445"/>
      <c r="CS124" s="300"/>
      <c r="CT124" s="522" t="str">
        <f>IF(NOT($AD$98),"",CT122)</f>
        <v/>
      </c>
      <c r="CU124" s="371" t="str">
        <f ca="1">IF(OR(CT124="",DA124="",CT124=DA124,ISNA(VLOOKUP(CONCATENATE(CT124,DA124),games.a,2,FALSE))),"",CONCATENATE(CT124,DA124))</f>
        <v/>
      </c>
      <c r="CV124" s="371" t="str">
        <f ca="1">IF(CU124="","",CONCATENATE(VLOOKUP(CU124,games.a,9,FALSE),VLOOKUP(CU124,games.a,12,FALSE)))</f>
        <v/>
      </c>
      <c r="CW124" s="369" t="str">
        <f ca="1">IF(CU124="","",VLOOKUP(CU124,games.a,10,FALSE))</f>
        <v/>
      </c>
      <c r="CX124" s="369" t="str">
        <f ca="1">IF(CU124="","",VLOOKUP(CU124,games.a,13,FALSE))</f>
        <v/>
      </c>
      <c r="CY124" s="423" t="str">
        <f ca="1">IF(CU124="","",VLOOKUP(CU124,games.a,6,FALSE))</f>
        <v/>
      </c>
      <c r="CZ124" s="409" t="str">
        <f ca="1">IF(CU124="","",VLOOKUP(CU124,games.a,7,FALSE))</f>
        <v/>
      </c>
      <c r="DA124" s="523" t="str">
        <f t="shared" ref="DA124:DA130" ca="1" si="222">DA123</f>
        <v/>
      </c>
      <c r="DB124" s="302"/>
      <c r="DC124" s="364"/>
      <c r="DD124" s="302"/>
      <c r="DF124" s="424"/>
      <c r="DG124" s="424"/>
      <c r="DH124" s="424"/>
      <c r="DI124" s="424"/>
      <c r="DJ124" s="424"/>
      <c r="DK124" s="424"/>
      <c r="DL124" s="424"/>
      <c r="DM124" s="424"/>
      <c r="DN124" s="424"/>
      <c r="DO124" s="424"/>
      <c r="DP124" s="424"/>
      <c r="DQ124" s="424"/>
      <c r="DR124" s="424"/>
      <c r="DS124" s="424"/>
      <c r="DT124" s="424"/>
      <c r="DU124" s="424"/>
      <c r="DV124" s="424"/>
      <c r="DW124" s="424"/>
      <c r="DX124" s="424"/>
      <c r="DY124" s="424"/>
      <c r="DZ124" s="424"/>
      <c r="EA124" s="424"/>
      <c r="EB124" s="424"/>
      <c r="EC124" s="424"/>
      <c r="ED124" s="424"/>
      <c r="EE124" s="424"/>
      <c r="EF124" s="424"/>
      <c r="EG124" s="424"/>
      <c r="EH124" s="424"/>
      <c r="EI124" s="424"/>
      <c r="EJ124" s="424"/>
      <c r="EK124" s="424"/>
      <c r="EL124" s="424"/>
      <c r="EM124" s="424"/>
      <c r="EN124" s="424"/>
      <c r="EO124" s="425"/>
      <c r="EP124" s="333"/>
    </row>
    <row r="125" spans="30:146" x14ac:dyDescent="0.25">
      <c r="AD125" s="435"/>
      <c r="AU125" s="439">
        <f ca="1">IF($AD$58=2,BB50,BC50*-1)*1000000+IF(ASZTAB!$AJ$44,BE50,BD50)*1000+BJ50-IF(AW125=0,1000000000000,0)</f>
        <v>-999999999999.96802</v>
      </c>
      <c r="AW125" s="440">
        <f ca="1">IF(NOT($AD$43),0,RCSOP!BE65)</f>
        <v>0</v>
      </c>
      <c r="AY125" s="319">
        <f t="shared" si="221"/>
        <v>13</v>
      </c>
      <c r="AZ125" s="349" t="str">
        <f t="shared" ca="1" si="220"/>
        <v>00</v>
      </c>
      <c r="BA125" s="349">
        <f t="shared" ca="1" si="220"/>
        <v>0</v>
      </c>
      <c r="BB125" s="349">
        <f t="shared" ca="1" si="220"/>
        <v>0</v>
      </c>
      <c r="BC125" s="349" t="str">
        <f t="shared" ca="1" si="220"/>
        <v/>
      </c>
      <c r="BD125" s="349" t="str">
        <f t="shared" ca="1" si="220"/>
        <v/>
      </c>
      <c r="BE125" s="349" t="str">
        <f t="shared" ca="1" si="220"/>
        <v/>
      </c>
      <c r="BF125" s="349" t="str">
        <f t="shared" ca="1" si="220"/>
        <v/>
      </c>
      <c r="BG125" s="349" t="str">
        <f t="shared" ca="1" si="220"/>
        <v/>
      </c>
      <c r="BH125" s="349" t="str">
        <f t="shared" ca="1" si="220"/>
        <v/>
      </c>
      <c r="BI125" s="349" t="str">
        <f t="shared" ca="1" si="220"/>
        <v/>
      </c>
      <c r="BJ125" s="441" t="str">
        <f t="shared" ca="1" si="220"/>
        <v/>
      </c>
      <c r="CB125" s="350"/>
      <c r="CC125" s="350"/>
      <c r="CD125" s="350"/>
      <c r="CE125" s="350"/>
      <c r="CF125" s="350"/>
      <c r="CG125" s="350"/>
      <c r="CR125" s="445"/>
      <c r="CS125" s="300"/>
      <c r="CT125" s="522" t="str">
        <f>IF(NOT($AD$98),"",CT123)</f>
        <v/>
      </c>
      <c r="CU125" s="371" t="str">
        <f ca="1">IF(OR(CT125="",DA125="",CT125=DA125,ISNA(VLOOKUP(CONCATENATE(CT125,DA125),games.a,2,FALSE))),"",CONCATENATE(CT125,DA125))</f>
        <v/>
      </c>
      <c r="CV125" s="371" t="str">
        <f ca="1">IF(CU125="","",CONCATENATE(VLOOKUP(CU125,games.a,9,FALSE),VLOOKUP(CU125,games.a,12,FALSE)))</f>
        <v/>
      </c>
      <c r="CW125" s="369" t="str">
        <f ca="1">IF(CU125="","",VLOOKUP(CU125,games.a,10,FALSE))</f>
        <v/>
      </c>
      <c r="CX125" s="369" t="str">
        <f ca="1">IF(CU125="","",VLOOKUP(CU125,games.a,13,FALSE))</f>
        <v/>
      </c>
      <c r="CY125" s="423" t="str">
        <f ca="1">IF(CU125="","",VLOOKUP(CU125,games.a,6,FALSE))</f>
        <v/>
      </c>
      <c r="CZ125" s="409" t="str">
        <f ca="1">IF(CU125="","",VLOOKUP(CU125,games.a,7,FALSE))</f>
        <v/>
      </c>
      <c r="DA125" s="523" t="str">
        <f t="shared" ca="1" si="222"/>
        <v/>
      </c>
      <c r="DB125" s="302"/>
      <c r="DC125" s="364"/>
      <c r="DD125" s="302"/>
      <c r="DF125" s="424"/>
      <c r="DG125" s="424"/>
      <c r="DH125" s="424"/>
      <c r="DI125" s="424"/>
      <c r="DJ125" s="424"/>
      <c r="DK125" s="424"/>
      <c r="DL125" s="424"/>
      <c r="DM125" s="424"/>
      <c r="DN125" s="424"/>
      <c r="DO125" s="424"/>
      <c r="DP125" s="424"/>
      <c r="DQ125" s="424"/>
      <c r="DR125" s="424"/>
      <c r="DS125" s="424"/>
      <c r="DT125" s="424"/>
      <c r="DU125" s="424"/>
      <c r="DV125" s="424"/>
      <c r="DW125" s="424"/>
      <c r="DX125" s="424"/>
      <c r="DY125" s="424"/>
      <c r="DZ125" s="424"/>
      <c r="EA125" s="424"/>
      <c r="EB125" s="424"/>
      <c r="EC125" s="424"/>
      <c r="ED125" s="424"/>
      <c r="EE125" s="424"/>
      <c r="EF125" s="424"/>
      <c r="EG125" s="424"/>
      <c r="EH125" s="424"/>
      <c r="EI125" s="424"/>
      <c r="EJ125" s="424"/>
      <c r="EK125" s="424"/>
      <c r="EL125" s="424"/>
      <c r="EM125" s="424"/>
      <c r="EN125" s="424"/>
      <c r="EO125" s="425"/>
      <c r="EP125" s="333"/>
    </row>
    <row r="126" spans="30:146" x14ac:dyDescent="0.25">
      <c r="AU126" s="439">
        <f ca="1">IF($AD$58=2,BB51,BC51*-1)*1000000+IF(ASZTAB!$AJ$44,BE51,BD51)*1000+BJ51-IF(AW126=0,1000000000000,0)</f>
        <v>-999999999999.96899</v>
      </c>
      <c r="AW126" s="440">
        <f ca="1">IF(NOT($AD$43),0,RCSOP!BE66)</f>
        <v>0</v>
      </c>
      <c r="AY126" s="319">
        <f t="shared" si="221"/>
        <v>14</v>
      </c>
      <c r="AZ126" s="349" t="str">
        <f t="shared" ca="1" si="220"/>
        <v>00</v>
      </c>
      <c r="BA126" s="349">
        <f t="shared" ca="1" si="220"/>
        <v>0</v>
      </c>
      <c r="BB126" s="349">
        <f t="shared" ca="1" si="220"/>
        <v>0</v>
      </c>
      <c r="BC126" s="349" t="str">
        <f t="shared" ca="1" si="220"/>
        <v/>
      </c>
      <c r="BD126" s="349" t="str">
        <f t="shared" ca="1" si="220"/>
        <v/>
      </c>
      <c r="BE126" s="349" t="str">
        <f t="shared" ca="1" si="220"/>
        <v/>
      </c>
      <c r="BF126" s="349" t="str">
        <f t="shared" ca="1" si="220"/>
        <v/>
      </c>
      <c r="BG126" s="349" t="str">
        <f t="shared" ca="1" si="220"/>
        <v/>
      </c>
      <c r="BH126" s="349" t="str">
        <f t="shared" ca="1" si="220"/>
        <v/>
      </c>
      <c r="BI126" s="349" t="str">
        <f t="shared" ca="1" si="220"/>
        <v/>
      </c>
      <c r="BJ126" s="441" t="str">
        <f t="shared" ca="1" si="220"/>
        <v/>
      </c>
      <c r="CB126" s="350"/>
      <c r="CC126" s="350"/>
      <c r="CD126" s="350"/>
      <c r="CE126" s="350"/>
      <c r="CF126" s="350"/>
      <c r="CG126" s="350"/>
      <c r="CR126" s="445"/>
      <c r="CS126" s="300"/>
      <c r="CT126" s="301"/>
      <c r="CU126" s="324" t="s">
        <v>157</v>
      </c>
      <c r="CV126" s="324" t="s">
        <v>158</v>
      </c>
      <c r="CW126" s="325" t="s">
        <v>159</v>
      </c>
      <c r="CX126" s="325"/>
      <c r="CY126" s="326" t="s">
        <v>160</v>
      </c>
      <c r="CZ126" s="325" t="s">
        <v>135</v>
      </c>
      <c r="DA126" s="302"/>
      <c r="DB126" s="302"/>
      <c r="DC126" s="364"/>
      <c r="DD126" s="302"/>
      <c r="DF126" s="424"/>
      <c r="DG126" s="424"/>
      <c r="DH126" s="424"/>
      <c r="DI126" s="424"/>
      <c r="DJ126" s="424"/>
      <c r="DK126" s="424"/>
      <c r="DL126" s="424"/>
      <c r="DM126" s="424"/>
      <c r="DN126" s="424"/>
      <c r="DO126" s="424"/>
      <c r="DP126" s="424"/>
      <c r="DQ126" s="424"/>
      <c r="DR126" s="424"/>
      <c r="DS126" s="424"/>
      <c r="DT126" s="424"/>
      <c r="DU126" s="424"/>
      <c r="DV126" s="424"/>
      <c r="DW126" s="424"/>
      <c r="DX126" s="424"/>
      <c r="DY126" s="424"/>
      <c r="DZ126" s="424"/>
      <c r="EA126" s="424"/>
      <c r="EB126" s="424"/>
      <c r="EC126" s="424"/>
      <c r="ED126" s="424"/>
      <c r="EE126" s="424"/>
      <c r="EF126" s="424"/>
      <c r="EG126" s="424"/>
      <c r="EH126" s="424"/>
      <c r="EI126" s="424"/>
      <c r="EJ126" s="424"/>
      <c r="EK126" s="424"/>
      <c r="EL126" s="424"/>
      <c r="EM126" s="424"/>
      <c r="EN126" s="424"/>
      <c r="EO126" s="425"/>
      <c r="EP126" s="333"/>
    </row>
    <row r="127" spans="30:146" x14ac:dyDescent="0.25">
      <c r="CB127" s="350"/>
      <c r="CC127" s="350"/>
      <c r="CD127" s="350"/>
      <c r="CE127" s="350"/>
      <c r="CF127" s="350"/>
      <c r="CG127" s="350"/>
      <c r="CR127" s="445"/>
      <c r="CS127" s="300"/>
      <c r="CT127" s="395" t="str">
        <f ca="1">CT122</f>
        <v/>
      </c>
      <c r="CU127" s="360" t="str">
        <f ca="1">IF(OR(CT127="",DA127="",CT127=DA127,ISNA(VLOOKUP(CONCATENATE(CT127,DA127),games.r,2,FALSE))),"",CONCATENATE(CT127,DA127))</f>
        <v/>
      </c>
      <c r="CV127" s="360" t="str">
        <f ca="1">IF(CU127="","",CONCATENATE(VLOOKUP(CU127,games.r,9,FALSE),VLOOKUP(CU127,games.r,12,FALSE)))</f>
        <v/>
      </c>
      <c r="CW127" s="354" t="str">
        <f ca="1">IF(CU127="","",VLOOKUP(CU127,games.r,10,FALSE))</f>
        <v/>
      </c>
      <c r="CX127" s="354" t="str">
        <f ca="1">IF(CU127="","",VLOOKUP(CU127,games.r,13,FALSE))</f>
        <v/>
      </c>
      <c r="CY127" s="361" t="str">
        <f ca="1">IF(CU127="","",VLOOKUP(CU127,games.r,6,FALSE))</f>
        <v/>
      </c>
      <c r="CZ127" s="362" t="str">
        <f ca="1">IF(CU127="","",VLOOKUP(CU127,games.r,7,FALSE))</f>
        <v/>
      </c>
      <c r="DA127" s="363" t="str">
        <f ca="1">CT123</f>
        <v/>
      </c>
      <c r="DB127" s="302"/>
      <c r="DC127" s="364"/>
      <c r="DD127" s="302"/>
      <c r="DF127" s="424"/>
      <c r="DG127" s="424"/>
      <c r="DH127" s="424"/>
      <c r="DI127" s="424"/>
      <c r="DJ127" s="424"/>
      <c r="DK127" s="424"/>
      <c r="DL127" s="424"/>
      <c r="DM127" s="424"/>
      <c r="DN127" s="424"/>
      <c r="DO127" s="424"/>
      <c r="DP127" s="424"/>
      <c r="DQ127" s="424"/>
      <c r="DR127" s="424"/>
      <c r="DS127" s="424"/>
      <c r="DT127" s="424"/>
      <c r="DU127" s="424"/>
      <c r="DV127" s="424"/>
      <c r="DW127" s="424"/>
      <c r="DX127" s="424"/>
      <c r="DY127" s="424"/>
      <c r="DZ127" s="424"/>
      <c r="EA127" s="424"/>
      <c r="EB127" s="424"/>
      <c r="EC127" s="424"/>
      <c r="ED127" s="424"/>
      <c r="EE127" s="424"/>
      <c r="EF127" s="424"/>
      <c r="EG127" s="424"/>
      <c r="EH127" s="424"/>
      <c r="EI127" s="424"/>
      <c r="EJ127" s="424"/>
      <c r="EK127" s="424"/>
      <c r="EL127" s="424"/>
      <c r="EM127" s="424"/>
      <c r="EN127" s="424"/>
      <c r="EO127" s="425"/>
      <c r="EP127" s="333"/>
    </row>
    <row r="128" spans="30:146" x14ac:dyDescent="0.25">
      <c r="AI128" s="434" t="s">
        <v>390</v>
      </c>
      <c r="AJ128" s="434" t="s">
        <v>391</v>
      </c>
      <c r="AK128" s="434" t="s">
        <v>392</v>
      </c>
      <c r="AS128" s="434" t="s">
        <v>379</v>
      </c>
      <c r="AU128" s="434" t="s">
        <v>380</v>
      </c>
      <c r="AW128" s="434" t="s">
        <v>381</v>
      </c>
      <c r="AX128" s="318" t="s">
        <v>120</v>
      </c>
      <c r="AY128" s="318" t="s">
        <v>121</v>
      </c>
      <c r="AZ128" s="318" t="s">
        <v>134</v>
      </c>
      <c r="BA128" s="318" t="s">
        <v>122</v>
      </c>
      <c r="BB128" s="318" t="s">
        <v>123</v>
      </c>
      <c r="BC128" s="318" t="s">
        <v>124</v>
      </c>
      <c r="BD128" s="318" t="s">
        <v>125</v>
      </c>
      <c r="BE128" s="318" t="s">
        <v>191</v>
      </c>
      <c r="BF128" s="318" t="s">
        <v>207</v>
      </c>
      <c r="BG128" s="318" t="s">
        <v>126</v>
      </c>
      <c r="BH128" s="318" t="s">
        <v>197</v>
      </c>
      <c r="BI128" s="318" t="s">
        <v>192</v>
      </c>
      <c r="BJ128" s="318" t="s">
        <v>127</v>
      </c>
      <c r="BK128" s="318" t="s">
        <v>208</v>
      </c>
      <c r="BM128" s="318" t="s">
        <v>196</v>
      </c>
      <c r="BN128" s="318" t="s">
        <v>121</v>
      </c>
      <c r="BO128" s="318" t="s">
        <v>134</v>
      </c>
      <c r="BP128" s="318" t="s">
        <v>122</v>
      </c>
      <c r="BQ128" s="318" t="s">
        <v>123</v>
      </c>
      <c r="BR128" s="318" t="s">
        <v>124</v>
      </c>
      <c r="BT128" s="318" t="s">
        <v>196</v>
      </c>
      <c r="BU128" s="318" t="s">
        <v>121</v>
      </c>
      <c r="BV128" s="318" t="s">
        <v>134</v>
      </c>
      <c r="BW128" s="318" t="s">
        <v>122</v>
      </c>
      <c r="BX128" s="318" t="s">
        <v>123</v>
      </c>
      <c r="BY128" s="318" t="s">
        <v>124</v>
      </c>
      <c r="CB128" s="350"/>
      <c r="CC128" s="350"/>
      <c r="CD128" s="350"/>
      <c r="CE128" s="350"/>
      <c r="CF128" s="350"/>
      <c r="CG128" s="350"/>
      <c r="CR128" s="445"/>
      <c r="CS128" s="300"/>
      <c r="CT128" s="395" t="str">
        <f ca="1">CT123</f>
        <v/>
      </c>
      <c r="CU128" s="360" t="str">
        <f ca="1">IF(OR(CT128="",DA128="",CT128=DA128,ISNA(VLOOKUP(CONCATENATE(CT128,DA128),games.r,2,FALSE))),"",CONCATENATE(CT128,DA128))</f>
        <v/>
      </c>
      <c r="CV128" s="360" t="str">
        <f ca="1">IF(CU128="","",CONCATENATE(VLOOKUP(CU128,games.r,9,FALSE),VLOOKUP(CU128,games.r,12,FALSE)))</f>
        <v/>
      </c>
      <c r="CW128" s="354" t="str">
        <f ca="1">IF(CU128="","",VLOOKUP(CU128,games.r,10,FALSE))</f>
        <v/>
      </c>
      <c r="CX128" s="354" t="str">
        <f ca="1">IF(CU128="","",VLOOKUP(CU128,games.r,13,FALSE))</f>
        <v/>
      </c>
      <c r="CY128" s="361" t="str">
        <f ca="1">IF(CU128="","",VLOOKUP(CU128,games.r,6,FALSE))</f>
        <v/>
      </c>
      <c r="CZ128" s="362" t="str">
        <f ca="1">IF(CU128="","",VLOOKUP(CU128,games.r,7,FALSE))</f>
        <v/>
      </c>
      <c r="DA128" s="379" t="str">
        <f ca="1">DA127</f>
        <v/>
      </c>
      <c r="DB128" s="302"/>
      <c r="DC128" s="364"/>
      <c r="DD128" s="302"/>
      <c r="DF128" s="424"/>
      <c r="DG128" s="424"/>
      <c r="DH128" s="424"/>
      <c r="DI128" s="424"/>
      <c r="DJ128" s="424"/>
      <c r="DK128" s="424"/>
      <c r="DL128" s="424"/>
      <c r="DM128" s="424"/>
      <c r="DN128" s="424"/>
      <c r="DO128" s="424"/>
      <c r="DP128" s="424"/>
      <c r="DQ128" s="424"/>
      <c r="DR128" s="424"/>
      <c r="DS128" s="424"/>
      <c r="DT128" s="424"/>
      <c r="DU128" s="424"/>
      <c r="DV128" s="424"/>
      <c r="DW128" s="424"/>
      <c r="DX128" s="424"/>
      <c r="DY128" s="424"/>
      <c r="DZ128" s="424"/>
      <c r="EA128" s="424"/>
      <c r="EB128" s="424"/>
      <c r="EC128" s="424"/>
      <c r="ED128" s="424"/>
      <c r="EE128" s="424"/>
      <c r="EF128" s="424"/>
      <c r="EG128" s="424"/>
      <c r="EH128" s="424"/>
      <c r="EI128" s="424"/>
      <c r="EJ128" s="424"/>
      <c r="EK128" s="424"/>
      <c r="EL128" s="424"/>
      <c r="EM128" s="424"/>
      <c r="EN128" s="424"/>
      <c r="EO128" s="425"/>
      <c r="EP128" s="333"/>
    </row>
    <row r="129" spans="34:146" x14ac:dyDescent="0.25">
      <c r="AH129" s="336" t="str">
        <f ca="1">AW129</f>
        <v>BBK</v>
      </c>
      <c r="AI129" s="443" t="str">
        <f ca="1">IF(AJ129=AK129,"►",IF(AJ129&lt;AK129,"▲","▼"))</f>
        <v>►</v>
      </c>
      <c r="AJ129" s="444">
        <f t="shared" ref="AJ129:AJ138" ca="1" si="223">IF($AD$58=1,RANK(AU129,$AU$129:$AU$138,1),RANK(AS129,$AS$129:$AS$138,1))</f>
        <v>10</v>
      </c>
      <c r="AK129" s="444">
        <f t="shared" ref="AK129:AK138" ca="1" si="224">IF($AD$58=1,RANK(AU42,$AU$42:$AU$51,1),RANK(AU117,$AU$117:$AU$126,1))</f>
        <v>10</v>
      </c>
      <c r="AS129" s="348">
        <f ca="1">IF($AD$58=2,BB129,BC129*-1)*1000000+IF(ASZTAB!$AJ$44,BE129,BD129)*1000+BJ129-IF(AW129=0,1000000000000,0)</f>
        <v>-32930999.960000001</v>
      </c>
      <c r="AU129" s="348">
        <f ca="1">IF(ASZTAB!$AJ$44,BI129*100,IF(ASZTAB!$AJ$43,BG129*10,BG129))*1000000+IF(ASZTAB!$AJ$52,AY129*10000,0)+IF(ASZTAB!$AJ$44,BE129,BD129)*1000/IF(OR(ASZTAB!AJ$43,ASZTAB!$AJ$52),10,1)+IF(ASZTAB!$AJ$44,0,IF(ASZTAB!AJ$43,BB129/10,BB129))+BJ129+IF($AD$74,BK129,0)-IF(AW129=0,1000000000,0)</f>
        <v>21069102.039999999</v>
      </c>
      <c r="AV129" s="349">
        <v>1</v>
      </c>
      <c r="AW129" s="378" t="str">
        <f ca="1">IF(NOT($AD$43),0,RCSOP!BE57)</f>
        <v>BBK</v>
      </c>
      <c r="AX129" s="346">
        <f ca="1">AY129+AZ129+BA129</f>
        <v>4</v>
      </c>
      <c r="AY129" s="346">
        <f t="shared" ref="AY129:AY138" ca="1" si="225">IF(NOT($AD$43),0,IF($AD$57=1,BN129+BU129,IF($AD$57=2,BN129,IF($AD$57=3,BU129,""))))</f>
        <v>3</v>
      </c>
      <c r="AZ129" s="346">
        <f t="shared" ref="AZ129:AZ138" ca="1" si="226">IF(NOT($AD$43),0,IF($AD$57=1,BO129+BV129,IF($AD$57=2,BO129,IF($AD$57=3,BV129,""))))</f>
        <v>0</v>
      </c>
      <c r="BA129" s="346">
        <f t="shared" ref="BA129:BA138" ca="1" si="227">IF(NOT($AD$43),0,IF($AD$57=1,BP129+BW129,IF($AD$57=2,BP129,IF($AD$57=3,BW129,""))))</f>
        <v>1</v>
      </c>
      <c r="BB129" s="346">
        <f t="shared" ref="BB129:BB138" ca="1" si="228">IF(NOT($AD$43),0,IF($AD$57=1,BQ129+BX129,IF($AD$57=2,BQ129,IF($AD$57=3,BX129,""))))</f>
        <v>102</v>
      </c>
      <c r="BC129" s="346">
        <f t="shared" ref="BC129:BC138" ca="1" si="229">IF(NOT($AD$43),0,IF($AD$57=1,BR129+BY129,IF($AD$57=2,BR129,IF($AD$57=3,BY129,""))))</f>
        <v>33</v>
      </c>
      <c r="BD129" s="346">
        <f ca="1">BB129-BC129</f>
        <v>69</v>
      </c>
      <c r="BE129" s="347">
        <f ca="1">IF(BC129=0,0,BB129/BC129)</f>
        <v>3.0909090909090908</v>
      </c>
      <c r="BF129" s="346">
        <f t="shared" ref="BF129:BF138" ca="1" si="230">IF(NOT($AD$43),0,IF(OR(NOT($AD$75),ISNA(VLOOKUP(AW129,penalty.r,2,FALSE))),0,VLOOKUP(AW129,penalty.r,2,FALSE))-IF(OR(NOT($AD$91),NOT($AD$96),ISNA(VLOOKUP(AW129,zpoint,2,FALSE))),0,VLOOKUP(AW129,zpoint,2,FALSE)))</f>
        <v>-12</v>
      </c>
      <c r="BG129" s="346">
        <f ca="1">IF(NOT($AD$43),0,ASZTAB!$AJ$48*AY129+AZ129-BF129)</f>
        <v>21</v>
      </c>
      <c r="BH129" s="346">
        <f ca="1">IF(NOT($AD$43),0,AY129*2+BA129-BF129)</f>
        <v>19</v>
      </c>
      <c r="BI129" s="347">
        <f ca="1">IF(NOT($AD$43),0,IF(AND(AX129=0,BH129=0),0,BH129/(AX129*2+IF($AD$91,$AD$97,0))))</f>
        <v>0.95</v>
      </c>
      <c r="BJ129" s="348">
        <v>0.04</v>
      </c>
      <c r="BK129" s="349">
        <f t="shared" ref="BK129:BK138" ca="1" si="231">IF(ISNA(VLOOKUP(AW129,eee.rn,16,FALSE)),0,VLOOKUP(AW129,eee.rn,16,FALSE))</f>
        <v>0</v>
      </c>
      <c r="BM129" s="346">
        <f t="shared" ref="BM129:BM138" ca="1" si="232">IF(NOT($AD$43),0,COUNTIF(lossh.rv,CONCATENATE($AW129,"ooo"))-COUNTIF($BG$115:$BG$126,CONCATENATE($AW129,"ooo"))+IF(OR(NOT($AD$91),NOT($AD$94)),0,IF($AD$95,COUNTIF(lossh.aa,CONCATENATE($AW129,"ooo")),COUNTIF(zlossh,CONCATENATE($AW129,"ooo")))))</f>
        <v>0</v>
      </c>
      <c r="BN129" s="346">
        <f t="shared" ref="BN129:BN138" ca="1" si="233">IF(NOT($AD$43),0,COUNTIF(winh.rv,$AW129)-COUNTIF($BE$115:$BE$126,$AW129)+IF(OR(NOT($AD$91),NOT($AD$94)),0,IF($AD$95,COUNTIF(winh.aa,$AW129),COUNTIF(zwinh,$AW129))))</f>
        <v>3</v>
      </c>
      <c r="BO129" s="346">
        <f t="shared" ref="BO129:BO138" ca="1" si="234">IF(NOT($AD$43),0,COUNTIF(drawh.rv,$AW129)-COUNTIF($BF$115:$BF$126,$AW129)+IF(OR(NOT($AD$91),NOT($AD$94)),0,IF($AD$95,COUNTIF(drawh.aa,$AW129),COUNTIF(zdrawh,$AW129))))</f>
        <v>0</v>
      </c>
      <c r="BP129" s="346">
        <f t="shared" ref="BP129:BP138" ca="1" si="235">IF(NOT($AD$43),0,COUNTIF(lossh.rv,$AW129)-COUNTIF($BG$115:$BG$126,$AW129)+BM129+IF(OR(NOT($AD$91),NOT($AD$94)),0,IF($AD$95,COUNTIF(lossh.aa,$AW129),COUNTIF(zlossh,$AW129))))</f>
        <v>1</v>
      </c>
      <c r="BQ129" s="534">
        <f t="shared" ref="BQ129:BQ138" ca="1" si="236">IF(NOT($AD$43),0,SUMIF(home.rv,$AW129,GAA.rv)-SUMIF($BA$115:$BA$126,$AW129,$BC$115:$BC$126)+IF(OR(NOT($AD$91),NOT($AD$94)),0,IF(TRUE,SUMIF(home.aa,$AW129,GAA.aa),SUMIF(zhome,$AW129,zfor))))</f>
        <v>51</v>
      </c>
      <c r="BR129" s="534">
        <f t="shared" ref="BR129:BR138" ca="1" si="237">IF(NOT($AD$43),0,SUMIF(home.rv,$AW129,GBB.rv)-SUMIF($BA$115:$BA$126,$AW129,$BD$115:$BD$126)+IF(OR(NOT($AD$91),NOT($AD$94)),0,IF(TRUE,SUMIF(home.aa,$AW129,GBB.aa),SUMIF(zhome,$AW129,zagainst))))</f>
        <v>19</v>
      </c>
      <c r="BT129" s="346">
        <f t="shared" ref="BT129:BT138" ca="1" si="238">IF(NOT($AD$43),0,COUNTIF(lossa.rv,CONCATENATE($AW129,"ooo"))-COUNTIF($BJ$115:$BJ$126,CONCATENATE($AW129,"ooo"))+IF(OR(NOT($AD$91),NOT($AD$94)),0,IF($AD$95,COUNTIF(lossa.aa,CONCATENATE($AW129,"ooo")),COUNTIF(zlossa,CONCATENATE($AW129,"ooo")))))</f>
        <v>0</v>
      </c>
      <c r="BU129" s="346">
        <f t="shared" ref="BU129:BU138" ca="1" si="239">IF(NOT($AD$43),0,COUNTIF(wina.rv,$AW129)-COUNTIF($BH$115:$BH$126,$AW129)+IF(OR(NOT($AD$91),NOT($AD$94)),0,IF($AD$95,COUNTIF(wina.aa,$AW129),COUNTIF(zwina,$AW129))))</f>
        <v>0</v>
      </c>
      <c r="BV129" s="346">
        <f t="shared" ref="BV129:BV138" ca="1" si="240">IF(NOT($AD$43),0,COUNTIF(drawa.rv,$AW129)-COUNTIF($BI$115:$BI$126,$AW129)+IF(OR(NOT($AD$91),NOT($AD$94)),0,IF($AD$95,COUNTIF(drawa.aa,$AW129),COUNTIF(zdrawa,$AW129))))</f>
        <v>0</v>
      </c>
      <c r="BW129" s="346">
        <f t="shared" ref="BW129:BW138" ca="1" si="241">IF(NOT($AD$43),0,COUNTIF(lossa.rv,$AW129)-COUNTIF($BJ$115:$BJ$126,$AW129)+BT129+IF(OR(NOT($AD$91),NOT($AD$94)),0,IF($AD$95,COUNTIF(lossa.aa,$AW129),COUNTIF(zlossa,$AW129))))</f>
        <v>0</v>
      </c>
      <c r="BX129" s="534">
        <f t="shared" ref="BX129:BX138" ca="1" si="242">IF(NOT($AD$43),0,SUMIF(away.rv,$AW129,GBB.rv)-SUMIF($BB$115:$BB$126,$AW129,$BD$115:$BD$126)+IF(OR(NOT($AD$91),NOT($AD$94)),0,IF(TRUE,SUMIF(away.aa,$AW129,GBB.aa),SUMIF(zaway,$AW129,zagainst))))</f>
        <v>51</v>
      </c>
      <c r="BY129" s="534">
        <f t="shared" ref="BY129:BY138" ca="1" si="243">IF(NOT($AD$43),0,SUMIF(away.rv,$AW129,GAA.rv)-SUMIF($BB$115:$BB$126,$AW129,$BC$115:$BC$126)+IF(OR(NOT($AD$91),NOT($AD$94)),0,IF(TRUE,SUMIF(away.aa,$AW129,GAA.aa),SUMIF(zaway,$AW129,zfor))))</f>
        <v>14</v>
      </c>
      <c r="CB129" s="350"/>
      <c r="CC129" s="350"/>
      <c r="CD129" s="350"/>
      <c r="CE129" s="350"/>
      <c r="CF129" s="350"/>
      <c r="CG129" s="350"/>
      <c r="CR129" s="445"/>
      <c r="CS129" s="300"/>
      <c r="CT129" s="522" t="str">
        <f>CT124</f>
        <v/>
      </c>
      <c r="CU129" s="371" t="str">
        <f ca="1">IF(OR(CT129="",DA129="",CT129=DA129,ISNA(VLOOKUP(CONCATENATE(CT129,DA129),games.a,2,FALSE))),"",CONCATENATE(CT129,DA129))</f>
        <v/>
      </c>
      <c r="CV129" s="371" t="str">
        <f ca="1">IF(CU129="","",CONCATENATE(VLOOKUP(CU129,games.a,9,FALSE),VLOOKUP(CU129,games.a,12,FALSE)))</f>
        <v/>
      </c>
      <c r="CW129" s="369" t="str">
        <f ca="1">IF(CU129="","",VLOOKUP(CU129,games.a,10,FALSE))</f>
        <v/>
      </c>
      <c r="CX129" s="369" t="str">
        <f ca="1">IF(CU129="","",VLOOKUP(CU129,games.a,13,FALSE))</f>
        <v/>
      </c>
      <c r="CY129" s="423" t="str">
        <f ca="1">IF(CU129="","",VLOOKUP(CU129,games.a,6,FALSE))</f>
        <v/>
      </c>
      <c r="CZ129" s="409" t="str">
        <f ca="1">IF(CU129="","",VLOOKUP(CU129,games.a,7,FALSE))</f>
        <v/>
      </c>
      <c r="DA129" s="523" t="str">
        <f t="shared" ca="1" si="222"/>
        <v/>
      </c>
      <c r="DB129" s="302"/>
      <c r="DC129" s="364"/>
      <c r="DD129" s="302"/>
      <c r="DF129" s="424"/>
      <c r="DG129" s="424"/>
      <c r="DH129" s="424"/>
      <c r="DI129" s="424"/>
      <c r="DJ129" s="424"/>
      <c r="DK129" s="424"/>
      <c r="DL129" s="424"/>
      <c r="DM129" s="424"/>
      <c r="DN129" s="424"/>
      <c r="DO129" s="424"/>
      <c r="DP129" s="424"/>
      <c r="DQ129" s="424"/>
      <c r="DR129" s="424"/>
      <c r="DS129" s="424"/>
      <c r="DT129" s="424"/>
      <c r="DU129" s="424"/>
      <c r="DV129" s="424"/>
      <c r="DW129" s="424"/>
      <c r="DX129" s="424"/>
      <c r="DY129" s="424"/>
      <c r="DZ129" s="424"/>
      <c r="EA129" s="424"/>
      <c r="EB129" s="424"/>
      <c r="EC129" s="424"/>
      <c r="ED129" s="424"/>
      <c r="EE129" s="424"/>
      <c r="EF129" s="424"/>
      <c r="EG129" s="424"/>
      <c r="EH129" s="424"/>
      <c r="EI129" s="424"/>
      <c r="EJ129" s="424"/>
      <c r="EK129" s="424"/>
      <c r="EL129" s="424"/>
      <c r="EM129" s="424"/>
      <c r="EN129" s="424"/>
      <c r="EO129" s="425"/>
      <c r="EP129" s="333"/>
    </row>
    <row r="130" spans="34:146" x14ac:dyDescent="0.25">
      <c r="AH130" s="336" t="str">
        <f t="shared" ref="AH130:AH138" ca="1" si="244">AW130</f>
        <v>K&amp;H</v>
      </c>
      <c r="AI130" s="443" t="str">
        <f t="shared" ref="AI130:AI138" ca="1" si="245">IF(AJ130=AK130,"►",IF(AJ130&lt;AK130,"▲","▼"))</f>
        <v>►</v>
      </c>
      <c r="AJ130" s="444">
        <f t="shared" ca="1" si="223"/>
        <v>8</v>
      </c>
      <c r="AK130" s="444">
        <f t="shared" ca="1" si="224"/>
        <v>8</v>
      </c>
      <c r="AS130" s="348">
        <f ca="1">IF($AD$58=2,BB130,BC130*-1)*1000000+IF(ASZTAB!$AJ$44,BE130,BD130)*1000+BJ130-IF(AW130=0,1000000000000,0)</f>
        <v>-32918999.960999999</v>
      </c>
      <c r="AU130" s="348">
        <f ca="1">IF(ASZTAB!$AJ$44,BI130*100,IF(ASZTAB!$AJ$43,BG130*10,BG130))*1000000+IF(ASZTAB!$AJ$52,AY130*10000,0)+IF(ASZTAB!$AJ$44,BE130,BD130)*1000/IF(OR(ASZTAB!AJ$43,ASZTAB!$AJ$52),10,1)+IF(ASZTAB!$AJ$44,0,IF(ASZTAB!AJ$43,BB130/10,BB130))+BJ130+IF($AD$74,BK130,0)-IF(AW130=0,1000000000,0)</f>
        <v>18081114.039000001</v>
      </c>
      <c r="AV130" s="349">
        <v>2</v>
      </c>
      <c r="AW130" s="378" t="str">
        <f ca="1">IF(NOT($AD$43),0,RCSOP!BE58)</f>
        <v>K&amp;H</v>
      </c>
      <c r="AX130" s="346">
        <f t="shared" ref="AX130:AX138" ca="1" si="246">AY130+AZ130+BA130</f>
        <v>4</v>
      </c>
      <c r="AY130" s="346">
        <f t="shared" ca="1" si="225"/>
        <v>2</v>
      </c>
      <c r="AZ130" s="346">
        <f t="shared" ca="1" si="226"/>
        <v>0</v>
      </c>
      <c r="BA130" s="346">
        <f t="shared" ca="1" si="227"/>
        <v>2</v>
      </c>
      <c r="BB130" s="346">
        <f t="shared" ca="1" si="228"/>
        <v>114</v>
      </c>
      <c r="BC130" s="346">
        <f t="shared" ca="1" si="229"/>
        <v>33</v>
      </c>
      <c r="BD130" s="346">
        <f t="shared" ref="BD130:BD138" ca="1" si="247">BB130-BC130</f>
        <v>81</v>
      </c>
      <c r="BE130" s="347">
        <f t="shared" ref="BE130:BE138" ca="1" si="248">IF(BC130=0,0,BB130/BC130)</f>
        <v>3.4545454545454546</v>
      </c>
      <c r="BF130" s="346">
        <f t="shared" ca="1" si="230"/>
        <v>-12</v>
      </c>
      <c r="BG130" s="346">
        <f ca="1">IF(NOT($AD$43),0,ASZTAB!$AJ$48*AY130+AZ130-BF130)</f>
        <v>18</v>
      </c>
      <c r="BH130" s="346">
        <f t="shared" ref="BH130:BH138" ca="1" si="249">IF(NOT($AD$43),0,AY130*2+BA130-BF130)</f>
        <v>18</v>
      </c>
      <c r="BI130" s="347">
        <f t="shared" ref="BI130:BI138" ca="1" si="250">IF(NOT($AD$43),0,IF(AND(AX130=0,BH130=0),0,BH130/(AX130*2+IF($AD$91,$AD$97,0))))</f>
        <v>0.9</v>
      </c>
      <c r="BJ130" s="348">
        <v>3.9E-2</v>
      </c>
      <c r="BK130" s="349">
        <f t="shared" ca="1" si="231"/>
        <v>0</v>
      </c>
      <c r="BM130" s="346">
        <f t="shared" ca="1" si="232"/>
        <v>0</v>
      </c>
      <c r="BN130" s="346">
        <f t="shared" ca="1" si="233"/>
        <v>2</v>
      </c>
      <c r="BO130" s="346">
        <f t="shared" ca="1" si="234"/>
        <v>0</v>
      </c>
      <c r="BP130" s="346">
        <f t="shared" ca="1" si="235"/>
        <v>2</v>
      </c>
      <c r="BQ130" s="534">
        <f t="shared" ca="1" si="236"/>
        <v>58</v>
      </c>
      <c r="BR130" s="534">
        <f t="shared" ca="1" si="237"/>
        <v>24</v>
      </c>
      <c r="BT130" s="346">
        <f t="shared" ca="1" si="238"/>
        <v>0</v>
      </c>
      <c r="BU130" s="346">
        <f t="shared" ca="1" si="239"/>
        <v>0</v>
      </c>
      <c r="BV130" s="346">
        <f t="shared" ca="1" si="240"/>
        <v>0</v>
      </c>
      <c r="BW130" s="346">
        <f t="shared" ca="1" si="241"/>
        <v>0</v>
      </c>
      <c r="BX130" s="534">
        <f t="shared" ca="1" si="242"/>
        <v>56</v>
      </c>
      <c r="BY130" s="534">
        <f t="shared" ca="1" si="243"/>
        <v>9</v>
      </c>
      <c r="CB130" s="350"/>
      <c r="CC130" s="350"/>
      <c r="CD130" s="350"/>
      <c r="CE130" s="350"/>
      <c r="CF130" s="350"/>
      <c r="CG130" s="350"/>
      <c r="CR130" s="445"/>
      <c r="CS130" s="300"/>
      <c r="CT130" s="522" t="str">
        <f>CT125</f>
        <v/>
      </c>
      <c r="CU130" s="371" t="str">
        <f ca="1">IF(OR(CT130="",DA130="",CT130=DA130,ISNA(VLOOKUP(CONCATENATE(CT130,DA130),games.a,2,FALSE))),"",CONCATENATE(CT130,DA130))</f>
        <v/>
      </c>
      <c r="CV130" s="371" t="str">
        <f ca="1">IF(CU130="","",CONCATENATE(VLOOKUP(CU130,games.a,9,FALSE),VLOOKUP(CU130,games.a,12,FALSE)))</f>
        <v/>
      </c>
      <c r="CW130" s="369" t="str">
        <f ca="1">IF(CU130="","",VLOOKUP(CU130,games.a,10,FALSE))</f>
        <v/>
      </c>
      <c r="CX130" s="369" t="str">
        <f ca="1">IF(CU130="","",VLOOKUP(CU130,games.a,13,FALSE))</f>
        <v/>
      </c>
      <c r="CY130" s="423" t="str">
        <f ca="1">IF(CU130="","",VLOOKUP(CU130,games.a,6,FALSE))</f>
        <v/>
      </c>
      <c r="CZ130" s="409" t="str">
        <f ca="1">IF(CU130="","",VLOOKUP(CU130,games.a,7,FALSE))</f>
        <v/>
      </c>
      <c r="DA130" s="523" t="str">
        <f t="shared" ca="1" si="222"/>
        <v/>
      </c>
      <c r="DB130" s="302"/>
      <c r="DC130" s="364"/>
      <c r="DD130" s="302"/>
      <c r="DF130" s="424"/>
      <c r="DG130" s="424"/>
      <c r="DH130" s="424"/>
      <c r="DI130" s="424"/>
      <c r="DJ130" s="424"/>
      <c r="DK130" s="424"/>
      <c r="DL130" s="424"/>
      <c r="DM130" s="424"/>
      <c r="DN130" s="424"/>
      <c r="DO130" s="424"/>
      <c r="DP130" s="424"/>
      <c r="DQ130" s="424"/>
      <c r="DR130" s="424"/>
      <c r="DS130" s="424"/>
      <c r="DT130" s="424"/>
      <c r="DU130" s="424"/>
      <c r="DV130" s="424"/>
      <c r="DW130" s="424"/>
      <c r="DX130" s="424"/>
      <c r="DY130" s="424"/>
      <c r="DZ130" s="424"/>
      <c r="EA130" s="424"/>
      <c r="EB130" s="424"/>
      <c r="EC130" s="424"/>
      <c r="ED130" s="424"/>
      <c r="EE130" s="424"/>
      <c r="EF130" s="424"/>
      <c r="EG130" s="424"/>
      <c r="EH130" s="424"/>
      <c r="EI130" s="424"/>
      <c r="EJ130" s="424"/>
      <c r="EK130" s="424"/>
      <c r="EL130" s="424"/>
      <c r="EM130" s="424"/>
      <c r="EN130" s="424"/>
      <c r="EO130" s="425"/>
      <c r="EP130" s="333"/>
    </row>
    <row r="131" spans="34:146" x14ac:dyDescent="0.25">
      <c r="AH131" s="336" t="str">
        <f t="shared" ca="1" si="244"/>
        <v>BHD</v>
      </c>
      <c r="AI131" s="443" t="str">
        <f t="shared" ca="1" si="245"/>
        <v>►</v>
      </c>
      <c r="AJ131" s="444">
        <f t="shared" ca="1" si="223"/>
        <v>9</v>
      </c>
      <c r="AK131" s="444">
        <f t="shared" ca="1" si="224"/>
        <v>9</v>
      </c>
      <c r="AS131" s="348">
        <f ca="1">IF($AD$58=2,BB131,BC131*-1)*1000000+IF(ASZTAB!$AJ$44,BE131,BD131)*1000+BJ131-IF(AW131=0,1000000000000,0)</f>
        <v>-34954999.961999997</v>
      </c>
      <c r="AU131" s="348">
        <f ca="1">IF(ASZTAB!$AJ$44,BI131*100,IF(ASZTAB!$AJ$43,BG131*10,BG131))*1000000+IF(ASZTAB!$AJ$52,AY131*10000,0)+IF(ASZTAB!$AJ$44,BE131,BD131)*1000/IF(OR(ASZTAB!AJ$43,ASZTAB!$AJ$52),10,1)+IF(ASZTAB!$AJ$44,0,IF(ASZTAB!AJ$43,BB131/10,BB131))+BJ131+IF($AD$74,BK131,0)-IF(AW131=0,1000000000,0)</f>
        <v>20045080.037999999</v>
      </c>
      <c r="AV131" s="349">
        <v>3</v>
      </c>
      <c r="AW131" s="378" t="str">
        <f ca="1">IF(NOT($AD$43),0,RCSOP!BE59)</f>
        <v>BHD</v>
      </c>
      <c r="AX131" s="346">
        <f t="shared" ca="1" si="246"/>
        <v>4</v>
      </c>
      <c r="AY131" s="346">
        <f t="shared" ca="1" si="225"/>
        <v>4</v>
      </c>
      <c r="AZ131" s="346">
        <f t="shared" ca="1" si="226"/>
        <v>0</v>
      </c>
      <c r="BA131" s="346">
        <f t="shared" ca="1" si="227"/>
        <v>0</v>
      </c>
      <c r="BB131" s="346">
        <f t="shared" ca="1" si="228"/>
        <v>80</v>
      </c>
      <c r="BC131" s="346">
        <f t="shared" ca="1" si="229"/>
        <v>35</v>
      </c>
      <c r="BD131" s="346">
        <f t="shared" ca="1" si="247"/>
        <v>45</v>
      </c>
      <c r="BE131" s="347">
        <f t="shared" ca="1" si="248"/>
        <v>2.2857142857142856</v>
      </c>
      <c r="BF131" s="346">
        <f t="shared" ca="1" si="230"/>
        <v>-8</v>
      </c>
      <c r="BG131" s="346">
        <f ca="1">IF(NOT($AD$43),0,ASZTAB!$AJ$48*AY131+AZ131-BF131)</f>
        <v>20</v>
      </c>
      <c r="BH131" s="346">
        <f t="shared" ca="1" si="249"/>
        <v>16</v>
      </c>
      <c r="BI131" s="347">
        <f t="shared" ca="1" si="250"/>
        <v>0.8</v>
      </c>
      <c r="BJ131" s="348">
        <v>3.7999999999999999E-2</v>
      </c>
      <c r="BK131" s="349">
        <f t="shared" ca="1" si="231"/>
        <v>0</v>
      </c>
      <c r="BM131" s="346">
        <f t="shared" ca="1" si="232"/>
        <v>0</v>
      </c>
      <c r="BN131" s="346">
        <f t="shared" ca="1" si="233"/>
        <v>2</v>
      </c>
      <c r="BO131" s="346">
        <f t="shared" ca="1" si="234"/>
        <v>0</v>
      </c>
      <c r="BP131" s="346">
        <f t="shared" ca="1" si="235"/>
        <v>0</v>
      </c>
      <c r="BQ131" s="534">
        <f t="shared" ca="1" si="236"/>
        <v>49</v>
      </c>
      <c r="BR131" s="534">
        <f t="shared" ca="1" si="237"/>
        <v>24</v>
      </c>
      <c r="BT131" s="346">
        <f t="shared" ca="1" si="238"/>
        <v>0</v>
      </c>
      <c r="BU131" s="346">
        <f t="shared" ca="1" si="239"/>
        <v>2</v>
      </c>
      <c r="BV131" s="346">
        <f t="shared" ca="1" si="240"/>
        <v>0</v>
      </c>
      <c r="BW131" s="346">
        <f t="shared" ca="1" si="241"/>
        <v>0</v>
      </c>
      <c r="BX131" s="534">
        <f t="shared" ca="1" si="242"/>
        <v>31</v>
      </c>
      <c r="BY131" s="534">
        <f t="shared" ca="1" si="243"/>
        <v>11</v>
      </c>
      <c r="CB131" s="350"/>
      <c r="CC131" s="350"/>
      <c r="CD131" s="350"/>
      <c r="CE131" s="350"/>
      <c r="CF131" s="350"/>
      <c r="CG131" s="350"/>
      <c r="CR131" s="445"/>
      <c r="CS131" s="445"/>
      <c r="CT131" s="301"/>
      <c r="CU131" s="302"/>
      <c r="CV131" s="302"/>
      <c r="CW131" s="302"/>
      <c r="CX131" s="302"/>
      <c r="CY131" s="302"/>
      <c r="CZ131" s="302"/>
      <c r="DA131" s="447"/>
      <c r="DB131" s="302"/>
      <c r="DC131" s="446" t="s">
        <v>219</v>
      </c>
      <c r="DD131" s="302"/>
      <c r="DF131" s="424"/>
      <c r="DG131" s="424"/>
      <c r="DH131" s="424"/>
      <c r="DI131" s="424"/>
      <c r="DJ131" s="424"/>
      <c r="DK131" s="424"/>
      <c r="DL131" s="424"/>
      <c r="DM131" s="424"/>
      <c r="DN131" s="424"/>
      <c r="DO131" s="424"/>
      <c r="DP131" s="424"/>
      <c r="DQ131" s="424"/>
      <c r="DR131" s="424"/>
      <c r="DS131" s="424"/>
      <c r="DT131" s="424"/>
      <c r="DU131" s="424"/>
      <c r="DV131" s="424"/>
      <c r="DW131" s="424"/>
      <c r="DX131" s="424"/>
      <c r="DY131" s="424"/>
      <c r="DZ131" s="424"/>
      <c r="EA131" s="424"/>
      <c r="EB131" s="424"/>
      <c r="EC131" s="424"/>
      <c r="ED131" s="424"/>
      <c r="EE131" s="424"/>
      <c r="EF131" s="424"/>
      <c r="EG131" s="424"/>
      <c r="EH131" s="424"/>
      <c r="EI131" s="424"/>
      <c r="EJ131" s="424"/>
      <c r="EK131" s="424"/>
      <c r="EL131" s="424"/>
      <c r="EM131" s="424"/>
      <c r="EN131" s="424"/>
      <c r="EO131" s="425"/>
      <c r="EP131" s="333"/>
    </row>
    <row r="132" spans="34:146" x14ac:dyDescent="0.25">
      <c r="AH132" s="336" t="str">
        <f t="shared" ca="1" si="244"/>
        <v>Zrínyigyöngye</v>
      </c>
      <c r="AI132" s="443" t="str">
        <f t="shared" ca="1" si="245"/>
        <v>►</v>
      </c>
      <c r="AJ132" s="444">
        <f t="shared" ca="1" si="223"/>
        <v>7</v>
      </c>
      <c r="AK132" s="444">
        <f t="shared" ca="1" si="224"/>
        <v>7</v>
      </c>
      <c r="AS132" s="348">
        <f ca="1">IF($AD$58=2,BB132,BC132*-1)*1000000+IF(ASZTAB!$AJ$44,BE132,BD132)*1000+BJ132-IF(AW132=0,1000000000000,0)</f>
        <v>-53969999.963</v>
      </c>
      <c r="AU132" s="348">
        <f ca="1">IF(ASZTAB!$AJ$44,BI132*100,IF(ASZTAB!$AJ$43,BG132*10,BG132))*1000000+IF(ASZTAB!$AJ$52,AY132*10000,0)+IF(ASZTAB!$AJ$44,BE132,BD132)*1000/IF(OR(ASZTAB!AJ$43,ASZTAB!$AJ$52),10,1)+IF(ASZTAB!$AJ$44,0,IF(ASZTAB!AJ$43,BB132/10,BB132))+BJ132+IF($AD$74,BK132,0)-IF(AW132=0,1000000000,0)</f>
        <v>10030084.037</v>
      </c>
      <c r="AV132" s="349">
        <v>4</v>
      </c>
      <c r="AW132" s="378" t="str">
        <f ca="1">IF(NOT($AD$43),0,RCSOP!BE60)</f>
        <v>Zrínyigyöngye</v>
      </c>
      <c r="AX132" s="346">
        <f t="shared" ca="1" si="246"/>
        <v>4</v>
      </c>
      <c r="AY132" s="346">
        <f t="shared" ca="1" si="225"/>
        <v>2</v>
      </c>
      <c r="AZ132" s="346">
        <f t="shared" ca="1" si="226"/>
        <v>0</v>
      </c>
      <c r="BA132" s="346">
        <f t="shared" ca="1" si="227"/>
        <v>2</v>
      </c>
      <c r="BB132" s="346">
        <f t="shared" ca="1" si="228"/>
        <v>84</v>
      </c>
      <c r="BC132" s="346">
        <f t="shared" ca="1" si="229"/>
        <v>54</v>
      </c>
      <c r="BD132" s="346">
        <f t="shared" ca="1" si="247"/>
        <v>30</v>
      </c>
      <c r="BE132" s="347">
        <f t="shared" ca="1" si="248"/>
        <v>1.5555555555555556</v>
      </c>
      <c r="BF132" s="346">
        <f t="shared" ca="1" si="230"/>
        <v>-4</v>
      </c>
      <c r="BG132" s="346">
        <f ca="1">IF(NOT($AD$43),0,ASZTAB!$AJ$48*AY132+AZ132-BF132)</f>
        <v>10</v>
      </c>
      <c r="BH132" s="346">
        <f t="shared" ca="1" si="249"/>
        <v>10</v>
      </c>
      <c r="BI132" s="347">
        <f t="shared" ca="1" si="250"/>
        <v>0.5</v>
      </c>
      <c r="BJ132" s="348">
        <v>3.6999999999999998E-2</v>
      </c>
      <c r="BK132" s="349">
        <f t="shared" ca="1" si="231"/>
        <v>0</v>
      </c>
      <c r="BM132" s="346">
        <f t="shared" ca="1" si="232"/>
        <v>0</v>
      </c>
      <c r="BN132" s="346">
        <f t="shared" ca="1" si="233"/>
        <v>1</v>
      </c>
      <c r="BO132" s="346">
        <f t="shared" ca="1" si="234"/>
        <v>0</v>
      </c>
      <c r="BP132" s="346">
        <f t="shared" ca="1" si="235"/>
        <v>0</v>
      </c>
      <c r="BQ132" s="534">
        <f t="shared" ca="1" si="236"/>
        <v>37</v>
      </c>
      <c r="BR132" s="534">
        <f t="shared" ca="1" si="237"/>
        <v>21</v>
      </c>
      <c r="BT132" s="346">
        <f t="shared" ca="1" si="238"/>
        <v>0</v>
      </c>
      <c r="BU132" s="346">
        <f t="shared" ca="1" si="239"/>
        <v>1</v>
      </c>
      <c r="BV132" s="346">
        <f t="shared" ca="1" si="240"/>
        <v>0</v>
      </c>
      <c r="BW132" s="346">
        <f t="shared" ca="1" si="241"/>
        <v>2</v>
      </c>
      <c r="BX132" s="534">
        <f t="shared" ca="1" si="242"/>
        <v>47</v>
      </c>
      <c r="BY132" s="534">
        <f t="shared" ca="1" si="243"/>
        <v>33</v>
      </c>
      <c r="CB132" s="350"/>
      <c r="CC132" s="350"/>
      <c r="CD132" s="350"/>
      <c r="CE132" s="350"/>
      <c r="CF132" s="350"/>
      <c r="CG132" s="350"/>
      <c r="CR132" s="445"/>
      <c r="CS132" s="300"/>
      <c r="CT132" s="301"/>
      <c r="CU132" s="302"/>
      <c r="CV132" s="302"/>
      <c r="CW132" s="302"/>
      <c r="CX132" s="302"/>
      <c r="CY132" s="302"/>
      <c r="CZ132" s="302"/>
      <c r="DA132" s="447"/>
      <c r="DB132" s="302"/>
      <c r="DC132" s="450" t="s">
        <v>220</v>
      </c>
      <c r="DD132" s="302"/>
      <c r="DF132" s="424"/>
      <c r="DG132" s="424"/>
      <c r="DH132" s="424"/>
      <c r="DI132" s="424"/>
      <c r="DJ132" s="424"/>
      <c r="DK132" s="424"/>
      <c r="DL132" s="424"/>
      <c r="DM132" s="424"/>
      <c r="DN132" s="424"/>
      <c r="DO132" s="424"/>
      <c r="DP132" s="424"/>
      <c r="DQ132" s="424"/>
      <c r="DR132" s="424"/>
      <c r="DS132" s="424"/>
      <c r="DT132" s="424"/>
      <c r="DU132" s="424"/>
      <c r="DV132" s="424"/>
      <c r="DW132" s="424"/>
      <c r="DX132" s="424"/>
      <c r="DY132" s="424"/>
      <c r="DZ132" s="424"/>
      <c r="EA132" s="424"/>
      <c r="EB132" s="424"/>
      <c r="EC132" s="424"/>
      <c r="ED132" s="424"/>
      <c r="EE132" s="424"/>
      <c r="EF132" s="424"/>
      <c r="EG132" s="424"/>
      <c r="EH132" s="424"/>
      <c r="EI132" s="424"/>
      <c r="EJ132" s="424"/>
      <c r="EK132" s="424"/>
      <c r="EL132" s="424"/>
      <c r="EM132" s="424"/>
      <c r="EN132" s="424"/>
      <c r="EO132" s="425"/>
      <c r="EP132" s="333"/>
    </row>
    <row r="133" spans="34:146" x14ac:dyDescent="0.25">
      <c r="AH133" s="336" t="str">
        <f t="shared" ca="1" si="244"/>
        <v>Élelmesek</v>
      </c>
      <c r="AI133" s="443" t="str">
        <f t="shared" ca="1" si="245"/>
        <v>►</v>
      </c>
      <c r="AJ133" s="444">
        <f t="shared" ca="1" si="223"/>
        <v>5</v>
      </c>
      <c r="AK133" s="444">
        <f t="shared" ca="1" si="224"/>
        <v>5</v>
      </c>
      <c r="AS133" s="348">
        <f ca="1">IF($AD$58=2,BB133,BC133*-1)*1000000+IF(ASZTAB!$AJ$44,BE133,BD133)*1000+BJ133-IF(AW133=0,1000000000000,0)</f>
        <v>-68003999.964000002</v>
      </c>
      <c r="AU133" s="348">
        <f ca="1">IF(ASZTAB!$AJ$44,BI133*100,IF(ASZTAB!$AJ$43,BG133*10,BG133))*1000000+IF(ASZTAB!$AJ$52,AY133*10000,0)+IF(ASZTAB!$AJ$44,BE133,BD133)*1000/IF(OR(ASZTAB!AJ$43,ASZTAB!$AJ$52),10,1)+IF(ASZTAB!$AJ$44,0,IF(ASZTAB!AJ$43,BB133/10,BB133))+BJ133+IF($AD$74,BK133,0)-IF(AW133=0,1000000000,0)</f>
        <v>-3935.9639999999999</v>
      </c>
      <c r="AV133" s="349">
        <v>5</v>
      </c>
      <c r="AW133" s="378" t="str">
        <f ca="1">IF(NOT($AD$43),0,RCSOP!BE61)</f>
        <v>Élelmesek</v>
      </c>
      <c r="AX133" s="346">
        <f t="shared" ca="1" si="246"/>
        <v>4</v>
      </c>
      <c r="AY133" s="346">
        <f t="shared" ca="1" si="225"/>
        <v>0</v>
      </c>
      <c r="AZ133" s="346">
        <f t="shared" ca="1" si="226"/>
        <v>0</v>
      </c>
      <c r="BA133" s="346">
        <f t="shared" ca="1" si="227"/>
        <v>4</v>
      </c>
      <c r="BB133" s="346">
        <f t="shared" ca="1" si="228"/>
        <v>64</v>
      </c>
      <c r="BC133" s="346">
        <f t="shared" ca="1" si="229"/>
        <v>68</v>
      </c>
      <c r="BD133" s="346">
        <f t="shared" ca="1" si="247"/>
        <v>-4</v>
      </c>
      <c r="BE133" s="347">
        <f t="shared" ca="1" si="248"/>
        <v>0.94117647058823528</v>
      </c>
      <c r="BF133" s="346">
        <f t="shared" ca="1" si="230"/>
        <v>0</v>
      </c>
      <c r="BG133" s="346">
        <f ca="1">IF(NOT($AD$43),0,ASZTAB!$AJ$48*AY133+AZ133-BF133)</f>
        <v>0</v>
      </c>
      <c r="BH133" s="346">
        <f t="shared" ca="1" si="249"/>
        <v>4</v>
      </c>
      <c r="BI133" s="347">
        <f t="shared" ca="1" si="250"/>
        <v>0.2</v>
      </c>
      <c r="BJ133" s="348">
        <v>3.5999999999999997E-2</v>
      </c>
      <c r="BK133" s="349">
        <f t="shared" ca="1" si="231"/>
        <v>0</v>
      </c>
      <c r="BM133" s="346">
        <f t="shared" ca="1" si="232"/>
        <v>0</v>
      </c>
      <c r="BN133" s="346">
        <f t="shared" ca="1" si="233"/>
        <v>0</v>
      </c>
      <c r="BO133" s="346">
        <f t="shared" ca="1" si="234"/>
        <v>0</v>
      </c>
      <c r="BP133" s="346">
        <f t="shared" ca="1" si="235"/>
        <v>1</v>
      </c>
      <c r="BQ133" s="534">
        <f t="shared" ca="1" si="236"/>
        <v>30</v>
      </c>
      <c r="BR133" s="534">
        <f t="shared" ca="1" si="237"/>
        <v>31</v>
      </c>
      <c r="BT133" s="346">
        <f t="shared" ca="1" si="238"/>
        <v>0</v>
      </c>
      <c r="BU133" s="346">
        <f t="shared" ca="1" si="239"/>
        <v>0</v>
      </c>
      <c r="BV133" s="346">
        <f t="shared" ca="1" si="240"/>
        <v>0</v>
      </c>
      <c r="BW133" s="346">
        <f t="shared" ca="1" si="241"/>
        <v>3</v>
      </c>
      <c r="BX133" s="534">
        <f t="shared" ca="1" si="242"/>
        <v>34</v>
      </c>
      <c r="BY133" s="534">
        <f t="shared" ca="1" si="243"/>
        <v>37</v>
      </c>
      <c r="CB133" s="350"/>
      <c r="CC133" s="350"/>
      <c r="CD133" s="350"/>
      <c r="CE133" s="350"/>
      <c r="CF133" s="350"/>
      <c r="CG133" s="350"/>
      <c r="CR133" s="445"/>
      <c r="CS133" s="300"/>
      <c r="CT133" s="323" t="b">
        <f ca="1">OR(NOT(ASZTAB!$AJ$44),COUNTIF(CY133:CY187,"")&lt;=50-(DA133-1)*DA133/2)</f>
        <v>1</v>
      </c>
      <c r="CU133" s="324" t="s">
        <v>157</v>
      </c>
      <c r="CV133" s="324" t="s">
        <v>158</v>
      </c>
      <c r="CW133" s="325" t="s">
        <v>159</v>
      </c>
      <c r="CX133" s="325"/>
      <c r="CY133" s="326" t="s">
        <v>160</v>
      </c>
      <c r="CZ133" s="325" t="s">
        <v>135</v>
      </c>
      <c r="DA133" s="323">
        <f ca="1">COUNT(CK66:CK70)</f>
        <v>0</v>
      </c>
      <c r="DB133" s="302"/>
      <c r="DC133" s="364"/>
      <c r="DD133" s="302"/>
      <c r="DF133" s="424"/>
      <c r="DG133" s="329" t="s">
        <v>223</v>
      </c>
      <c r="DH133" s="329" t="s">
        <v>224</v>
      </c>
      <c r="DI133" s="329" t="s">
        <v>152</v>
      </c>
      <c r="DK133" s="329" t="s">
        <v>154</v>
      </c>
      <c r="DL133" s="329" t="s">
        <v>155</v>
      </c>
      <c r="DN133" s="329" t="s">
        <v>226</v>
      </c>
      <c r="DP133" s="329" t="s">
        <v>227</v>
      </c>
      <c r="DT133" s="329" t="s">
        <v>228</v>
      </c>
      <c r="DU133" s="329" t="s">
        <v>156</v>
      </c>
      <c r="DV133" s="329" t="s">
        <v>208</v>
      </c>
      <c r="DX133" s="329" t="s">
        <v>212</v>
      </c>
      <c r="DY133" s="330" t="s">
        <v>227</v>
      </c>
      <c r="DZ133" s="329" t="s">
        <v>225</v>
      </c>
      <c r="EA133" s="328"/>
      <c r="EB133" s="328"/>
      <c r="EC133" s="328"/>
      <c r="ED133" s="331" t="str">
        <f ca="1">IF(EC134=0,"xxx",VLOOKUP(EC134,DX134:EA138,IF(ASZTAB!$AJ$54,2,3),FALSE))</f>
        <v>xxx</v>
      </c>
      <c r="EE133" s="328"/>
      <c r="EF133" s="328"/>
      <c r="EG133" s="331" t="str">
        <f ca="1">IF(EC135=0,"xxx",VLOOKUP(EC135,DX134:EA138,IF(ASZTAB!$AJ$54,2,3),FALSE))</f>
        <v>xxx</v>
      </c>
      <c r="EH133" s="328"/>
      <c r="EI133" s="328"/>
      <c r="EM133" s="424"/>
      <c r="EN133" s="324"/>
      <c r="EO133" s="425"/>
      <c r="EP133" s="333"/>
    </row>
    <row r="134" spans="34:146" x14ac:dyDescent="0.25">
      <c r="AH134" s="336" t="str">
        <f t="shared" ca="1" si="244"/>
        <v>Hercules-Ludovika</v>
      </c>
      <c r="AI134" s="443" t="str">
        <f t="shared" ca="1" si="245"/>
        <v>►</v>
      </c>
      <c r="AJ134" s="444">
        <f t="shared" ca="1" si="223"/>
        <v>6</v>
      </c>
      <c r="AK134" s="444">
        <f t="shared" ca="1" si="224"/>
        <v>6</v>
      </c>
      <c r="AS134" s="348">
        <f ca="1">IF($AD$58=2,BB134,BC134*-1)*1000000+IF(ASZTAB!$AJ$44,BE134,BD134)*1000+BJ134-IF(AW134=0,1000000000000,0)</f>
        <v>-69005999.965000004</v>
      </c>
      <c r="AU134" s="348">
        <f ca="1">IF(ASZTAB!$AJ$44,BI134*100,IF(ASZTAB!$AJ$43,BG134*10,BG134))*1000000+IF(ASZTAB!$AJ$52,AY134*10000,0)+IF(ASZTAB!$AJ$44,BE134,BD134)*1000/IF(OR(ASZTAB!AJ$43,ASZTAB!$AJ$52),10,1)+IF(ASZTAB!$AJ$44,0,IF(ASZTAB!AJ$43,BB134/10,BB134))+BJ134+IF($AD$74,BK134,0)-IF(AW134=0,1000000000,0)</f>
        <v>2994063.0350000001</v>
      </c>
      <c r="AV134" s="349">
        <v>6</v>
      </c>
      <c r="AW134" s="378" t="str">
        <f ca="1">IF(NOT($AD$43),0,RCSOP!BE62)</f>
        <v>Hercules-Ludovika</v>
      </c>
      <c r="AX134" s="346">
        <f t="shared" ca="1" si="246"/>
        <v>4</v>
      </c>
      <c r="AY134" s="346">
        <f t="shared" ca="1" si="225"/>
        <v>1</v>
      </c>
      <c r="AZ134" s="346">
        <f t="shared" ca="1" si="226"/>
        <v>0</v>
      </c>
      <c r="BA134" s="346">
        <f t="shared" ca="1" si="227"/>
        <v>3</v>
      </c>
      <c r="BB134" s="346">
        <f t="shared" ca="1" si="228"/>
        <v>63</v>
      </c>
      <c r="BC134" s="346">
        <f t="shared" ca="1" si="229"/>
        <v>69</v>
      </c>
      <c r="BD134" s="346">
        <f t="shared" ca="1" si="247"/>
        <v>-6</v>
      </c>
      <c r="BE134" s="347">
        <f t="shared" ca="1" si="248"/>
        <v>0.91304347826086951</v>
      </c>
      <c r="BF134" s="346">
        <f t="shared" ca="1" si="230"/>
        <v>0</v>
      </c>
      <c r="BG134" s="346">
        <f ca="1">IF(NOT($AD$43),0,ASZTAB!$AJ$48*AY134+AZ134-BF134)</f>
        <v>3</v>
      </c>
      <c r="BH134" s="346">
        <f t="shared" ca="1" si="249"/>
        <v>5</v>
      </c>
      <c r="BI134" s="347">
        <f t="shared" ca="1" si="250"/>
        <v>0.25</v>
      </c>
      <c r="BJ134" s="348">
        <v>3.5000000000000003E-2</v>
      </c>
      <c r="BK134" s="349">
        <f t="shared" ca="1" si="231"/>
        <v>0</v>
      </c>
      <c r="BM134" s="346">
        <f t="shared" ca="1" si="232"/>
        <v>0</v>
      </c>
      <c r="BN134" s="346">
        <f t="shared" ca="1" si="233"/>
        <v>0</v>
      </c>
      <c r="BO134" s="346">
        <f t="shared" ca="1" si="234"/>
        <v>0</v>
      </c>
      <c r="BP134" s="346">
        <f t="shared" ca="1" si="235"/>
        <v>0</v>
      </c>
      <c r="BQ134" s="534">
        <f t="shared" ca="1" si="236"/>
        <v>34</v>
      </c>
      <c r="BR134" s="534">
        <f t="shared" ca="1" si="237"/>
        <v>25</v>
      </c>
      <c r="BT134" s="346">
        <f t="shared" ca="1" si="238"/>
        <v>0</v>
      </c>
      <c r="BU134" s="346">
        <f t="shared" ca="1" si="239"/>
        <v>1</v>
      </c>
      <c r="BV134" s="346">
        <f t="shared" ca="1" si="240"/>
        <v>0</v>
      </c>
      <c r="BW134" s="346">
        <f t="shared" ca="1" si="241"/>
        <v>3</v>
      </c>
      <c r="BX134" s="534">
        <f t="shared" ca="1" si="242"/>
        <v>29</v>
      </c>
      <c r="BY134" s="534">
        <f t="shared" ca="1" si="243"/>
        <v>44</v>
      </c>
      <c r="CB134" s="350"/>
      <c r="CC134" s="350"/>
      <c r="CD134" s="350"/>
      <c r="CE134" s="350"/>
      <c r="CF134" s="350"/>
      <c r="CG134" s="350"/>
      <c r="CR134" s="445"/>
      <c r="CT134" s="359" t="str">
        <f ca="1">IF(CK66="","",VLOOKUP(CK66,xxx.rr2,4,FALSE))</f>
        <v/>
      </c>
      <c r="CU134" s="360" t="str">
        <f ca="1">IF(OR(CT134="",DA134="",CT134=DA134,ISNA(VLOOKUP(CONCATENATE(CT134,DA134),games.r,2,FALSE))),"",CONCATENATE(CT134,DA134))</f>
        <v/>
      </c>
      <c r="CV134" s="360" t="str">
        <f ca="1">IF(CU134="","",CONCATENATE(VLOOKUP(CU134,games.r,9,FALSE),VLOOKUP(CU134,games.r,12,FALSE)))</f>
        <v/>
      </c>
      <c r="CW134" s="354" t="str">
        <f ca="1">IF(CU134="","",VLOOKUP(CU134,games.r,10,FALSE))</f>
        <v/>
      </c>
      <c r="CX134" s="354" t="str">
        <f ca="1">IF(CU134="","",VLOOKUP(CU134,games.r,13,FALSE))</f>
        <v/>
      </c>
      <c r="CY134" s="361" t="str">
        <f ca="1">IF(CU134="","",VLOOKUP(CU134,games.r,6,FALSE))</f>
        <v/>
      </c>
      <c r="CZ134" s="362" t="str">
        <f ca="1">IF(CU134="","",VLOOKUP(CU134,games.r,7,FALSE))</f>
        <v/>
      </c>
      <c r="DA134" s="363" t="str">
        <f ca="1">CT134</f>
        <v/>
      </c>
      <c r="DB134" s="302"/>
      <c r="DC134" s="364"/>
      <c r="DF134" s="424"/>
      <c r="DG134" s="366" t="str">
        <f ca="1">IF(AND(ASZTAB!$AJ$44,CT133,DA133&lt;&gt;2),CT134,"")</f>
        <v/>
      </c>
      <c r="DH134" s="366">
        <f ca="1">IF(DG134="",-1,COUNTIF(xxgy.rr,DG134))</f>
        <v>-1</v>
      </c>
      <c r="DI134" s="366">
        <f ca="1">IF(DG134="",0,COUNTIF(yygy.rr,DG134))</f>
        <v>0</v>
      </c>
      <c r="DK134" s="366">
        <f ca="1">IF(DG134="",0,1)*(SUMIF(yyo.rr,DG134,yyl.rr)+SUMIF(yyi.rr,DG134,yyk.rr))</f>
        <v>0</v>
      </c>
      <c r="DL134" s="366">
        <f ca="1">IF(DG134="",0,1)*(SUMIF(yyo.rr,DG134,yyk.rr)+SUMIF(yyi.rr,DG134,yyl.rr))</f>
        <v>0</v>
      </c>
      <c r="DN134" s="366">
        <f ca="1">IF(DL134=0,0,DK134/DL134)</f>
        <v>0</v>
      </c>
      <c r="DP134" s="366">
        <f ca="1">DH134*1000000+DI134*1000+DN134</f>
        <v>-1000000</v>
      </c>
      <c r="DT134" s="366">
        <f ca="1">IF(OR(ISERR(DP134),ISNA(DP134),DH134&lt;0),0,DP134)</f>
        <v>0</v>
      </c>
      <c r="DU134" s="366">
        <f ca="1">IF(DT134=0,0,RANK(DT134,DT134:DT138,1))</f>
        <v>0</v>
      </c>
      <c r="DV134" s="366">
        <f ca="1">DU134*40000*IF(COUNTIF($EN$134:$EN$143,DG134)&gt;0,0,1)</f>
        <v>0</v>
      </c>
      <c r="DX134" s="367">
        <f ca="1">IF(ASZTAB!$AJ$54,COUNTIF(DP140:DP144,DY134)*IF(DY134=0,0,1),COUNTIF(DH134:DH138,DZ134)*IF(DZ134&lt;0,0,1))+EA134/1000</f>
        <v>1E-3</v>
      </c>
      <c r="DY134" s="367">
        <f ca="1">LARGE(DP140:DP144,EA134)</f>
        <v>0</v>
      </c>
      <c r="DZ134" s="369">
        <f ca="1">LARGE(DH134:DH138,EA134)</f>
        <v>-1</v>
      </c>
      <c r="EA134" s="369">
        <v>1</v>
      </c>
      <c r="EB134" s="365"/>
      <c r="EC134" s="370">
        <f ca="1">IF(LARGE(DX134:DX138,EA134)&lt;2,0,LARGE(DX134:DX138,EA134))</f>
        <v>0</v>
      </c>
      <c r="ED134" s="371" t="str">
        <f ca="1">IF(DH134=ED133,DG134,IF(DP140=ED133,DG140,""))</f>
        <v/>
      </c>
      <c r="EE134" s="369" t="str">
        <f ca="1">IF(ED134="","",EA134)</f>
        <v/>
      </c>
      <c r="EF134" s="372" t="str">
        <f ca="1">IF(ISERR(LARGE(EE134:EE138,EA134)),"",LARGE(EE134:EE138,EA134))</f>
        <v/>
      </c>
      <c r="EG134" s="371" t="str">
        <f ca="1">IF(DH134=EG133,DG134,IF(DP140=EG133,DG140,""))</f>
        <v/>
      </c>
      <c r="EH134" s="369" t="str">
        <f ca="1">IF(EG134="","",EA134)</f>
        <v/>
      </c>
      <c r="EI134" s="372" t="str">
        <f ca="1">IF(ISERR(LARGE(EH134:EH138,EA134)),"",LARGE(EH134:EH138,EA134))</f>
        <v/>
      </c>
      <c r="EM134" s="424"/>
      <c r="EN134" s="366"/>
      <c r="EO134" s="425"/>
      <c r="EP134" s="333"/>
    </row>
    <row r="135" spans="34:146" x14ac:dyDescent="0.25">
      <c r="AH135" s="336">
        <f t="shared" ca="1" si="244"/>
        <v>0</v>
      </c>
      <c r="AI135" s="443" t="str">
        <f t="shared" ca="1" si="245"/>
        <v>►</v>
      </c>
      <c r="AJ135" s="444">
        <f t="shared" ca="1" si="223"/>
        <v>4</v>
      </c>
      <c r="AK135" s="444">
        <f t="shared" ca="1" si="224"/>
        <v>4</v>
      </c>
      <c r="AS135" s="348">
        <f ca="1">IF($AD$58=2,BB135,BC135*-1)*1000000+IF(ASZTAB!$AJ$44,BE135,BD135)*1000+BJ135-IF(AW135=0,1000000000000,0)</f>
        <v>-999999999999.96594</v>
      </c>
      <c r="AU135" s="348">
        <f ca="1">IF(ASZTAB!$AJ$44,BI135*100,IF(ASZTAB!$AJ$43,BG135*10,BG135))*1000000+IF(ASZTAB!$AJ$52,AY135*10000,0)+IF(ASZTAB!$AJ$44,BE135,BD135)*1000/IF(OR(ASZTAB!AJ$43,ASZTAB!$AJ$52),10,1)+IF(ASZTAB!$AJ$44,0,IF(ASZTAB!AJ$43,BB135/10,BB135))+BJ135+IF($AD$74,BK135,0)-IF(AW135=0,1000000000,0)</f>
        <v>-999999999.96599996</v>
      </c>
      <c r="AV135" s="349">
        <v>7</v>
      </c>
      <c r="AW135" s="378">
        <f ca="1">IF(NOT($AD$43),0,RCSOP!BE63)</f>
        <v>0</v>
      </c>
      <c r="AX135" s="346">
        <f t="shared" ca="1" si="246"/>
        <v>0</v>
      </c>
      <c r="AY135" s="346">
        <f t="shared" ca="1" si="225"/>
        <v>0</v>
      </c>
      <c r="AZ135" s="346">
        <f t="shared" ca="1" si="226"/>
        <v>0</v>
      </c>
      <c r="BA135" s="346">
        <f t="shared" ca="1" si="227"/>
        <v>0</v>
      </c>
      <c r="BB135" s="346">
        <f t="shared" ca="1" si="228"/>
        <v>0</v>
      </c>
      <c r="BC135" s="346">
        <f t="shared" ca="1" si="229"/>
        <v>0</v>
      </c>
      <c r="BD135" s="346">
        <f t="shared" ca="1" si="247"/>
        <v>0</v>
      </c>
      <c r="BE135" s="347">
        <f t="shared" ca="1" si="248"/>
        <v>0</v>
      </c>
      <c r="BF135" s="346">
        <f t="shared" ca="1" si="230"/>
        <v>0</v>
      </c>
      <c r="BG135" s="346">
        <f ca="1">IF(NOT($AD$43),0,ASZTAB!$AJ$48*AY135+AZ135-BF135)</f>
        <v>0</v>
      </c>
      <c r="BH135" s="346">
        <f t="shared" ca="1" si="249"/>
        <v>0</v>
      </c>
      <c r="BI135" s="347">
        <f t="shared" ca="1" si="250"/>
        <v>0</v>
      </c>
      <c r="BJ135" s="348">
        <v>3.3999999999999996E-2</v>
      </c>
      <c r="BK135" s="349">
        <f t="shared" ca="1" si="231"/>
        <v>0</v>
      </c>
      <c r="BM135" s="346">
        <f t="shared" ca="1" si="232"/>
        <v>0</v>
      </c>
      <c r="BN135" s="346">
        <f t="shared" ca="1" si="233"/>
        <v>0</v>
      </c>
      <c r="BO135" s="346">
        <f t="shared" ca="1" si="234"/>
        <v>0</v>
      </c>
      <c r="BP135" s="346">
        <f t="shared" ca="1" si="235"/>
        <v>0</v>
      </c>
      <c r="BQ135" s="534">
        <f t="shared" ca="1" si="236"/>
        <v>0</v>
      </c>
      <c r="BR135" s="534">
        <f t="shared" ca="1" si="237"/>
        <v>0</v>
      </c>
      <c r="BT135" s="346">
        <f t="shared" ca="1" si="238"/>
        <v>0</v>
      </c>
      <c r="BU135" s="346">
        <f t="shared" ca="1" si="239"/>
        <v>0</v>
      </c>
      <c r="BV135" s="346">
        <f t="shared" ca="1" si="240"/>
        <v>0</v>
      </c>
      <c r="BW135" s="346">
        <f t="shared" ca="1" si="241"/>
        <v>0</v>
      </c>
      <c r="BX135" s="534">
        <f t="shared" ca="1" si="242"/>
        <v>0</v>
      </c>
      <c r="BY135" s="534">
        <f t="shared" ca="1" si="243"/>
        <v>0</v>
      </c>
      <c r="CB135" s="350"/>
      <c r="CC135" s="350"/>
      <c r="CD135" s="350"/>
      <c r="CE135" s="350"/>
      <c r="CF135" s="350"/>
      <c r="CG135" s="350"/>
      <c r="CR135" s="445"/>
      <c r="CS135" s="445"/>
      <c r="CT135" s="359" t="str">
        <f ca="1">IF(CK67="","",VLOOKUP(CK67,xxx.rr2,4,FALSE))</f>
        <v/>
      </c>
      <c r="CU135" s="360" t="str">
        <f ca="1">IF(OR(CT135="",DA135="",CT135=DA135,ISNA(VLOOKUP(CONCATENATE(CT135,DA135),games.r,2,FALSE))),"",CONCATENATE(CT135,DA135))</f>
        <v/>
      </c>
      <c r="CV135" s="360" t="str">
        <f ca="1">IF(CU135="","",CONCATENATE(VLOOKUP(CU135,games.r,9,FALSE),VLOOKUP(CU135,games.r,12,FALSE)))</f>
        <v/>
      </c>
      <c r="CW135" s="354" t="str">
        <f ca="1">IF(CU135="","",VLOOKUP(CU135,games.r,10,FALSE))</f>
        <v/>
      </c>
      <c r="CX135" s="354" t="str">
        <f ca="1">IF(CU135="","",VLOOKUP(CU135,games.r,13,FALSE))</f>
        <v/>
      </c>
      <c r="CY135" s="361" t="str">
        <f ca="1">IF(CU135="","",VLOOKUP(CU135,games.r,6,FALSE))</f>
        <v/>
      </c>
      <c r="CZ135" s="362" t="str">
        <f ca="1">IF(CU135="","",VLOOKUP(CU135,games.r,7,FALSE))</f>
        <v/>
      </c>
      <c r="DA135" s="379" t="str">
        <f t="shared" ref="DA135:DA143" ca="1" si="251">DA134</f>
        <v/>
      </c>
      <c r="DB135" s="302"/>
      <c r="DC135" s="364"/>
      <c r="DD135" s="445"/>
      <c r="DF135" s="424"/>
      <c r="DG135" s="366" t="str">
        <f ca="1">IF(AND(ASZTAB!$AJ$44,CT133,DA133&lt;&gt;2),CT135,"")</f>
        <v/>
      </c>
      <c r="DH135" s="366">
        <f ca="1">IF(DG135="",-1,COUNTIF(xxgy.rr,DG135))</f>
        <v>-1</v>
      </c>
      <c r="DI135" s="366">
        <f ca="1">IF(DG135="",0,COUNTIF(yygy.rr,DG135))</f>
        <v>0</v>
      </c>
      <c r="DK135" s="366">
        <f ca="1">IF(DG135="",0,1)*(SUMIF(yyo.rr,DG135,yyl.rr)+SUMIF(yyi.rr,DG135,yyk.rr))</f>
        <v>0</v>
      </c>
      <c r="DL135" s="366">
        <f ca="1">IF(DG135="",0,1)*(SUMIF(yyo.rr,DG135,yyk.rr)+SUMIF(yyi.rr,DG135,yyl.rr))</f>
        <v>0</v>
      </c>
      <c r="DN135" s="366">
        <f ca="1">IF(DL135=0,0,DK135/DL135)</f>
        <v>0</v>
      </c>
      <c r="DP135" s="366">
        <f ca="1">DH135*1000000+DI135*1000+DN135</f>
        <v>-1000000</v>
      </c>
      <c r="DT135" s="366">
        <f ca="1">IF(OR(ISERR(DP135),ISNA(DP135),DH135&lt;0),0,DP135)</f>
        <v>0</v>
      </c>
      <c r="DU135" s="366">
        <f ca="1">IF(DT135=0,0,RANK(DT135,DT134:DT138,1))</f>
        <v>0</v>
      </c>
      <c r="DV135" s="366">
        <f ca="1">DU135*40000*IF(COUNTIF($EN$134:$EN$143,DG135)&gt;0,0,1)</f>
        <v>0</v>
      </c>
      <c r="DX135" s="367">
        <f ca="1">IF(ASZTAB!$AJ$54,COUNTIF(DP140:DP144,DY134)*IF(OR(DY135=0,DY135=DY134),0,1),COUNTIF(DH134:DH138,DZ135)*IF(OR(DZ135=DZ134,DZ135&lt;0),0,1))+EA135/1000</f>
        <v>2E-3</v>
      </c>
      <c r="DY135" s="367">
        <f ca="1">LARGE(DP140:DP144,EA135)</f>
        <v>0</v>
      </c>
      <c r="DZ135" s="369">
        <f ca="1">LARGE(DH134:DH138,EA135)</f>
        <v>-1</v>
      </c>
      <c r="EA135" s="369">
        <v>2</v>
      </c>
      <c r="EB135" s="365"/>
      <c r="EC135" s="370">
        <f ca="1">IF(LARGE(DX134:DX138,EA135)&lt;2,0,LARGE(DX134:DX138,EA135))</f>
        <v>0</v>
      </c>
      <c r="ED135" s="371" t="str">
        <f ca="1">IF(DH135=ED133,DG135,IF(DP141=ED133,DG141,""))</f>
        <v/>
      </c>
      <c r="EE135" s="369" t="str">
        <f ca="1">IF(ED135="","",EA135)</f>
        <v/>
      </c>
      <c r="EF135" s="372" t="str">
        <f ca="1">IF(ISERR(LARGE(EE134:EE138,EA135)),"",LARGE(EE134:EE138,EA135))</f>
        <v/>
      </c>
      <c r="EG135" s="371" t="str">
        <f ca="1">IF(DH135=EG133,DG135,IF(DP141=EG133,DG141,""))</f>
        <v/>
      </c>
      <c r="EH135" s="369" t="str">
        <f ca="1">IF(EG135="","",EA135)</f>
        <v/>
      </c>
      <c r="EI135" s="372" t="str">
        <f ca="1">IF(ISERR(LARGE(EH134:EH138,EA135)),"",LARGE(EH134:EH138,EA135))</f>
        <v/>
      </c>
      <c r="EM135" s="424"/>
      <c r="EN135" s="366"/>
      <c r="EO135" s="425"/>
      <c r="EP135" s="333"/>
    </row>
    <row r="136" spans="34:146" x14ac:dyDescent="0.25">
      <c r="AH136" s="336">
        <f t="shared" ca="1" si="244"/>
        <v>0</v>
      </c>
      <c r="AI136" s="443" t="str">
        <f t="shared" ca="1" si="245"/>
        <v>►</v>
      </c>
      <c r="AJ136" s="444">
        <f t="shared" ca="1" si="223"/>
        <v>3</v>
      </c>
      <c r="AK136" s="444">
        <f t="shared" ca="1" si="224"/>
        <v>3</v>
      </c>
      <c r="AS136" s="348">
        <f ca="1">IF($AD$58=2,BB136,BC136*-1)*1000000+IF(ASZTAB!$AJ$44,BE136,BD136)*1000+BJ136-IF(AW136=0,1000000000000,0)</f>
        <v>-999999999999.96704</v>
      </c>
      <c r="AU136" s="348">
        <f ca="1">IF(ASZTAB!$AJ$44,BI136*100,IF(ASZTAB!$AJ$43,BG136*10,BG136))*1000000+IF(ASZTAB!$AJ$52,AY136*10000,0)+IF(ASZTAB!$AJ$44,BE136,BD136)*1000/IF(OR(ASZTAB!AJ$43,ASZTAB!$AJ$52),10,1)+IF(ASZTAB!$AJ$44,0,IF(ASZTAB!AJ$43,BB136/10,BB136))+BJ136+IF($AD$74,BK136,0)-IF(AW136=0,1000000000,0)</f>
        <v>-999999999.96700001</v>
      </c>
      <c r="AV136" s="349">
        <v>8</v>
      </c>
      <c r="AW136" s="378">
        <f ca="1">IF(NOT($AD$43),0,RCSOP!BE64)</f>
        <v>0</v>
      </c>
      <c r="AX136" s="346">
        <f t="shared" ca="1" si="246"/>
        <v>0</v>
      </c>
      <c r="AY136" s="346">
        <f t="shared" ca="1" si="225"/>
        <v>0</v>
      </c>
      <c r="AZ136" s="346">
        <f t="shared" ca="1" si="226"/>
        <v>0</v>
      </c>
      <c r="BA136" s="346">
        <f t="shared" ca="1" si="227"/>
        <v>0</v>
      </c>
      <c r="BB136" s="346">
        <f t="shared" ca="1" si="228"/>
        <v>0</v>
      </c>
      <c r="BC136" s="346">
        <f t="shared" ca="1" si="229"/>
        <v>0</v>
      </c>
      <c r="BD136" s="346">
        <f t="shared" ca="1" si="247"/>
        <v>0</v>
      </c>
      <c r="BE136" s="347">
        <f t="shared" ca="1" si="248"/>
        <v>0</v>
      </c>
      <c r="BF136" s="346">
        <f t="shared" ca="1" si="230"/>
        <v>0</v>
      </c>
      <c r="BG136" s="346">
        <f ca="1">IF(NOT($AD$43),0,ASZTAB!$AJ$48*AY136+AZ136-BF136)</f>
        <v>0</v>
      </c>
      <c r="BH136" s="346">
        <f t="shared" ca="1" si="249"/>
        <v>0</v>
      </c>
      <c r="BI136" s="347">
        <f t="shared" ca="1" si="250"/>
        <v>0</v>
      </c>
      <c r="BJ136" s="348">
        <v>3.2999999999999995E-2</v>
      </c>
      <c r="BK136" s="349">
        <f t="shared" ca="1" si="231"/>
        <v>0</v>
      </c>
      <c r="BM136" s="346">
        <f t="shared" ca="1" si="232"/>
        <v>0</v>
      </c>
      <c r="BN136" s="346">
        <f t="shared" ca="1" si="233"/>
        <v>0</v>
      </c>
      <c r="BO136" s="346">
        <f t="shared" ca="1" si="234"/>
        <v>0</v>
      </c>
      <c r="BP136" s="346">
        <f t="shared" ca="1" si="235"/>
        <v>0</v>
      </c>
      <c r="BQ136" s="534">
        <f t="shared" ca="1" si="236"/>
        <v>0</v>
      </c>
      <c r="BR136" s="534">
        <f t="shared" ca="1" si="237"/>
        <v>0</v>
      </c>
      <c r="BT136" s="346">
        <f t="shared" ca="1" si="238"/>
        <v>0</v>
      </c>
      <c r="BU136" s="346">
        <f t="shared" ca="1" si="239"/>
        <v>0</v>
      </c>
      <c r="BV136" s="346">
        <f t="shared" ca="1" si="240"/>
        <v>0</v>
      </c>
      <c r="BW136" s="346">
        <f t="shared" ca="1" si="241"/>
        <v>0</v>
      </c>
      <c r="BX136" s="534">
        <f t="shared" ca="1" si="242"/>
        <v>0</v>
      </c>
      <c r="BY136" s="534">
        <f t="shared" ca="1" si="243"/>
        <v>0</v>
      </c>
      <c r="CB136" s="350"/>
      <c r="CC136" s="350"/>
      <c r="CD136" s="350"/>
      <c r="CE136" s="350"/>
      <c r="CF136" s="350"/>
      <c r="CG136" s="350"/>
      <c r="CR136" s="445"/>
      <c r="CS136" s="445"/>
      <c r="CT136" s="359" t="str">
        <f ca="1">IF(CK68="","",VLOOKUP(CK68,xxx.rr2,4,FALSE))</f>
        <v/>
      </c>
      <c r="CU136" s="360" t="str">
        <f ca="1">IF(OR(CT136="",DA136="",CT136=DA136,ISNA(VLOOKUP(CONCATENATE(CT136,DA136),games.r,2,FALSE))),"",CONCATENATE(CT136,DA136))</f>
        <v/>
      </c>
      <c r="CV136" s="360" t="str">
        <f ca="1">IF(CU136="","",CONCATENATE(VLOOKUP(CU136,games.r,9,FALSE),VLOOKUP(CU136,games.r,12,FALSE)))</f>
        <v/>
      </c>
      <c r="CW136" s="354" t="str">
        <f ca="1">IF(CU136="","",VLOOKUP(CU136,games.r,10,FALSE))</f>
        <v/>
      </c>
      <c r="CX136" s="354" t="str">
        <f ca="1">IF(CU136="","",VLOOKUP(CU136,games.r,13,FALSE))</f>
        <v/>
      </c>
      <c r="CY136" s="361" t="str">
        <f ca="1">IF(CU136="","",VLOOKUP(CU136,games.r,6,FALSE))</f>
        <v/>
      </c>
      <c r="CZ136" s="362" t="str">
        <f ca="1">IF(CU136="","",VLOOKUP(CU136,games.r,7,FALSE))</f>
        <v/>
      </c>
      <c r="DA136" s="379" t="str">
        <f t="shared" ca="1" si="251"/>
        <v/>
      </c>
      <c r="DB136" s="302"/>
      <c r="DC136" s="364"/>
      <c r="DD136" s="445"/>
      <c r="DF136" s="424"/>
      <c r="DG136" s="366" t="str">
        <f ca="1">IF(AND(ASZTAB!$AJ$44,CT133,DA133&lt;&gt;2),CT136,"")</f>
        <v/>
      </c>
      <c r="DH136" s="366">
        <f ca="1">IF(DG136="",-1,COUNTIF(xxgy.rr,DG136))</f>
        <v>-1</v>
      </c>
      <c r="DI136" s="366">
        <f ca="1">IF(DG136="",0,COUNTIF(yygy.rr,DG136))</f>
        <v>0</v>
      </c>
      <c r="DK136" s="366">
        <f ca="1">IF(DG136="",0,1)*(SUMIF(yyo.rr,DG136,yyl.rr)+SUMIF(yyi.rr,DG136,yyk.rr))</f>
        <v>0</v>
      </c>
      <c r="DL136" s="366">
        <f ca="1">IF(DG136="",0,1)*(SUMIF(yyo.rr,DG136,yyk.rr)+SUMIF(yyi.rr,DG136,yyl.rr))</f>
        <v>0</v>
      </c>
      <c r="DN136" s="366">
        <f ca="1">IF(DL136=0,0,DK136/DL136)</f>
        <v>0</v>
      </c>
      <c r="DP136" s="366">
        <f ca="1">DH136*1000000+DI136*1000+DN136</f>
        <v>-1000000</v>
      </c>
      <c r="DT136" s="366">
        <f ca="1">IF(OR(ISERR(DP136),ISNA(DP136),DH136&lt;0),0,DP136)</f>
        <v>0</v>
      </c>
      <c r="DU136" s="366">
        <f ca="1">IF(DT136=0,0,RANK(DT136,DT134:DT138,1))</f>
        <v>0</v>
      </c>
      <c r="DV136" s="366">
        <f ca="1">DU136*40000*IF(COUNTIF($EN$134:$EN$143,DG136)&gt;0,0,1)</f>
        <v>0</v>
      </c>
      <c r="DW136" s="365"/>
      <c r="DX136" s="367">
        <f ca="1">IF(ASZTAB!$AJ$54,COUNTIF(DP140:DP144,DY135)*IF(OR(DY136=0,DY136=DY135),0,1),COUNTIF(DH134:DH138,DZ136)*IF(OR(DZ136=DZ135,DZ136&lt;0),0,1))+EA136/1000</f>
        <v>3.0000000000000001E-3</v>
      </c>
      <c r="DY136" s="367">
        <f ca="1">LARGE(DP140:DP144,EA136)</f>
        <v>0</v>
      </c>
      <c r="DZ136" s="369">
        <f ca="1">LARGE(DH134:DH138,EA136)</f>
        <v>-1</v>
      </c>
      <c r="EA136" s="369">
        <v>3</v>
      </c>
      <c r="EB136" s="365"/>
      <c r="EC136" s="365"/>
      <c r="ED136" s="371" t="str">
        <f ca="1">IF(DH136=ED133,DG136,IF(DP142=ED133,DG142,""))</f>
        <v/>
      </c>
      <c r="EE136" s="369" t="str">
        <f ca="1">IF(ED136="","",EA136)</f>
        <v/>
      </c>
      <c r="EF136" s="388" t="str">
        <f ca="1">IF(ISERR(LARGE(EE134:EE138,EA136)),"",LARGE(EE134:EE138,EA136))</f>
        <v/>
      </c>
      <c r="EG136" s="371" t="str">
        <f ca="1">IF(DH136=EG133,DG136,IF(DP142=EG133,DG142,""))</f>
        <v/>
      </c>
      <c r="EH136" s="369" t="str">
        <f ca="1">IF(EG136="","",EA136)</f>
        <v/>
      </c>
      <c r="EI136" s="381"/>
      <c r="EM136" s="424"/>
      <c r="EN136" s="366"/>
      <c r="EO136" s="425"/>
      <c r="EP136" s="333"/>
    </row>
    <row r="137" spans="34:146" x14ac:dyDescent="0.25">
      <c r="AH137" s="336">
        <f t="shared" ca="1" si="244"/>
        <v>0</v>
      </c>
      <c r="AI137" s="443" t="str">
        <f t="shared" ca="1" si="245"/>
        <v>►</v>
      </c>
      <c r="AJ137" s="444">
        <f t="shared" ca="1" si="223"/>
        <v>2</v>
      </c>
      <c r="AK137" s="444">
        <f t="shared" ca="1" si="224"/>
        <v>2</v>
      </c>
      <c r="AS137" s="348">
        <f ca="1">IF($AD$58=2,BB137,BC137*-1)*1000000+IF(ASZTAB!$AJ$44,BE137,BD137)*1000+BJ137-IF(AW137=0,1000000000000,0)</f>
        <v>-999999999999.96802</v>
      </c>
      <c r="AU137" s="348">
        <f ca="1">IF(ASZTAB!$AJ$44,BI137*100,IF(ASZTAB!$AJ$43,BG137*10,BG137))*1000000+IF(ASZTAB!$AJ$52,AY137*10000,0)+IF(ASZTAB!$AJ$44,BE137,BD137)*1000/IF(OR(ASZTAB!AJ$43,ASZTAB!$AJ$52),10,1)+IF(ASZTAB!$AJ$44,0,IF(ASZTAB!AJ$43,BB137/10,BB137))+BJ137+IF($AD$74,BK137,0)-IF(AW137=0,1000000000,0)</f>
        <v>-999999999.96800005</v>
      </c>
      <c r="AV137" s="349">
        <v>9</v>
      </c>
      <c r="AW137" s="378">
        <f ca="1">IF(NOT($AD$43),0,RCSOP!BE65)</f>
        <v>0</v>
      </c>
      <c r="AX137" s="346">
        <f t="shared" ca="1" si="246"/>
        <v>0</v>
      </c>
      <c r="AY137" s="346">
        <f t="shared" ca="1" si="225"/>
        <v>0</v>
      </c>
      <c r="AZ137" s="346">
        <f t="shared" ca="1" si="226"/>
        <v>0</v>
      </c>
      <c r="BA137" s="346">
        <f t="shared" ca="1" si="227"/>
        <v>0</v>
      </c>
      <c r="BB137" s="346">
        <f t="shared" ca="1" si="228"/>
        <v>0</v>
      </c>
      <c r="BC137" s="346">
        <f t="shared" ca="1" si="229"/>
        <v>0</v>
      </c>
      <c r="BD137" s="346">
        <f t="shared" ca="1" si="247"/>
        <v>0</v>
      </c>
      <c r="BE137" s="347">
        <f t="shared" ca="1" si="248"/>
        <v>0</v>
      </c>
      <c r="BF137" s="346">
        <f t="shared" ca="1" si="230"/>
        <v>0</v>
      </c>
      <c r="BG137" s="346">
        <f ca="1">IF(NOT($AD$43),0,ASZTAB!$AJ$48*AY137+AZ137-BF137)</f>
        <v>0</v>
      </c>
      <c r="BH137" s="346">
        <f t="shared" ca="1" si="249"/>
        <v>0</v>
      </c>
      <c r="BI137" s="347">
        <f t="shared" ca="1" si="250"/>
        <v>0</v>
      </c>
      <c r="BJ137" s="348">
        <v>3.1999999999999994E-2</v>
      </c>
      <c r="BK137" s="349">
        <f t="shared" ca="1" si="231"/>
        <v>0</v>
      </c>
      <c r="BM137" s="346">
        <f t="shared" ca="1" si="232"/>
        <v>0</v>
      </c>
      <c r="BN137" s="346">
        <f t="shared" ca="1" si="233"/>
        <v>0</v>
      </c>
      <c r="BO137" s="346">
        <f t="shared" ca="1" si="234"/>
        <v>0</v>
      </c>
      <c r="BP137" s="346">
        <f t="shared" ca="1" si="235"/>
        <v>0</v>
      </c>
      <c r="BQ137" s="534">
        <f t="shared" ca="1" si="236"/>
        <v>0</v>
      </c>
      <c r="BR137" s="534">
        <f t="shared" ca="1" si="237"/>
        <v>0</v>
      </c>
      <c r="BT137" s="346">
        <f t="shared" ca="1" si="238"/>
        <v>0</v>
      </c>
      <c r="BU137" s="346">
        <f t="shared" ca="1" si="239"/>
        <v>0</v>
      </c>
      <c r="BV137" s="346">
        <f t="shared" ca="1" si="240"/>
        <v>0</v>
      </c>
      <c r="BW137" s="346">
        <f t="shared" ca="1" si="241"/>
        <v>0</v>
      </c>
      <c r="BX137" s="534">
        <f t="shared" ca="1" si="242"/>
        <v>0</v>
      </c>
      <c r="BY137" s="534">
        <f t="shared" ca="1" si="243"/>
        <v>0</v>
      </c>
      <c r="CB137" s="350"/>
      <c r="CC137" s="350"/>
      <c r="CD137" s="350"/>
      <c r="CE137" s="350"/>
      <c r="CF137" s="350"/>
      <c r="CG137" s="350"/>
      <c r="CR137" s="445"/>
      <c r="CS137" s="445"/>
      <c r="CT137" s="359" t="str">
        <f ca="1">IF(CK69="","",VLOOKUP(CK69,xxx.rr2,4,FALSE))</f>
        <v/>
      </c>
      <c r="CU137" s="360" t="str">
        <f ca="1">IF(OR(CT137="",DA137="",CT137=DA137,ISNA(VLOOKUP(CONCATENATE(CT137,DA137),games.r,2,FALSE))),"",CONCATENATE(CT137,DA137))</f>
        <v/>
      </c>
      <c r="CV137" s="360" t="str">
        <f ca="1">IF(CU137="","",CONCATENATE(VLOOKUP(CU137,games.r,9,FALSE),VLOOKUP(CU137,games.r,12,FALSE)))</f>
        <v/>
      </c>
      <c r="CW137" s="354" t="str">
        <f ca="1">IF(CU137="","",VLOOKUP(CU137,games.r,10,FALSE))</f>
        <v/>
      </c>
      <c r="CX137" s="354" t="str">
        <f ca="1">IF(CU137="","",VLOOKUP(CU137,games.r,13,FALSE))</f>
        <v/>
      </c>
      <c r="CY137" s="361" t="str">
        <f ca="1">IF(CU137="","",VLOOKUP(CU137,games.r,6,FALSE))</f>
        <v/>
      </c>
      <c r="CZ137" s="362" t="str">
        <f ca="1">IF(CU137="","",VLOOKUP(CU137,games.r,7,FALSE))</f>
        <v/>
      </c>
      <c r="DA137" s="379" t="str">
        <f t="shared" ca="1" si="251"/>
        <v/>
      </c>
      <c r="DB137" s="302"/>
      <c r="DC137" s="364"/>
      <c r="DD137" s="445"/>
      <c r="DF137" s="424"/>
      <c r="DG137" s="366" t="str">
        <f ca="1">IF(AND(ASZTAB!$AJ$44,CT133,DA133&lt;&gt;2),CT137,"")</f>
        <v/>
      </c>
      <c r="DH137" s="366">
        <f ca="1">IF(DG137="",-1,COUNTIF(xxgy.rr,DG137))</f>
        <v>-1</v>
      </c>
      <c r="DI137" s="366">
        <f ca="1">IF(DG137="",0,COUNTIF(yygy.rr,DG137))</f>
        <v>0</v>
      </c>
      <c r="DK137" s="366">
        <f ca="1">IF(DG137="",0,1)*(SUMIF(yyo.rr,DG137,yyl.rr)+SUMIF(yyi.rr,DG137,yyk.rr))</f>
        <v>0</v>
      </c>
      <c r="DL137" s="366">
        <f ca="1">IF(DG137="",0,1)*(SUMIF(yyo.rr,DG137,yyk.rr)+SUMIF(yyi.rr,DG137,yyl.rr))</f>
        <v>0</v>
      </c>
      <c r="DN137" s="366">
        <f ca="1">IF(DL137=0,0,DK137/DL137)</f>
        <v>0</v>
      </c>
      <c r="DP137" s="366">
        <f ca="1">DH137*1000000+DI137*1000+DN137</f>
        <v>-1000000</v>
      </c>
      <c r="DT137" s="366">
        <f ca="1">IF(OR(ISERR(DP137),ISNA(DP137),DH137&lt;0),0,DP137)</f>
        <v>0</v>
      </c>
      <c r="DU137" s="366">
        <f ca="1">IF(DT137=0,0,RANK(DT137,DT134:DT138,1))</f>
        <v>0</v>
      </c>
      <c r="DV137" s="366">
        <f ca="1">DU137*40000*IF(COUNTIF($EN$134:$EN$143,DG137)&gt;0,0,1)</f>
        <v>0</v>
      </c>
      <c r="DW137" s="365"/>
      <c r="DX137" s="367">
        <f ca="1">IF(ASZTAB!$AJ$54,COUNTIF(DP140:DP144,DY136)*IF(OR(DY137=0,DY137=DY136),0,1),COUNTIF(DH134:DH138,DZ137)*IF(OR(DZ137=DZ136,DZ137&lt;0),0,1))+EA137/1000</f>
        <v>4.0000000000000001E-3</v>
      </c>
      <c r="DY137" s="367">
        <f ca="1">LARGE(DP140:DP144,EA137)</f>
        <v>0</v>
      </c>
      <c r="DZ137" s="369">
        <f ca="1">LARGE(DH134:DH138,EA137)</f>
        <v>-1</v>
      </c>
      <c r="EA137" s="369">
        <v>4</v>
      </c>
      <c r="EB137" s="365"/>
      <c r="EC137" s="365"/>
      <c r="ED137" s="371" t="str">
        <f ca="1">IF(DH137=ED133,DG137,IF(DP143=ED133,DG143,""))</f>
        <v/>
      </c>
      <c r="EE137" s="369" t="str">
        <f ca="1">IF(ED137="","",EA137)</f>
        <v/>
      </c>
      <c r="EF137" s="386"/>
      <c r="EG137" s="371" t="str">
        <f ca="1">IF(DH137=EG133,DG137,IF(DP143=EG133,DG143,""))</f>
        <v/>
      </c>
      <c r="EH137" s="369" t="str">
        <f ca="1">IF(EG137="","",EA137)</f>
        <v/>
      </c>
      <c r="EI137" s="386"/>
      <c r="EM137" s="424"/>
      <c r="EN137" s="366"/>
      <c r="EO137" s="425"/>
      <c r="EP137" s="333"/>
    </row>
    <row r="138" spans="34:146" x14ac:dyDescent="0.25">
      <c r="AH138" s="336">
        <f t="shared" ca="1" si="244"/>
        <v>0</v>
      </c>
      <c r="AI138" s="443" t="str">
        <f t="shared" ca="1" si="245"/>
        <v>►</v>
      </c>
      <c r="AJ138" s="444">
        <f t="shared" ca="1" si="223"/>
        <v>1</v>
      </c>
      <c r="AK138" s="444">
        <f t="shared" ca="1" si="224"/>
        <v>1</v>
      </c>
      <c r="AS138" s="348">
        <f ca="1">IF($AD$58=2,BB138,BC138*-1)*1000000+IF(ASZTAB!$AJ$44,BE138,BD138)*1000+BJ138-IF(AW138=0,1000000000000,0)</f>
        <v>-999999999999.96899</v>
      </c>
      <c r="AU138" s="348">
        <f ca="1">IF(ASZTAB!$AJ$44,BI138*100,IF(ASZTAB!$AJ$43,BG138*10,BG138))*1000000+IF(ASZTAB!$AJ$52,AY138*10000,0)+IF(ASZTAB!$AJ$44,BE138,BD138)*1000/IF(OR(ASZTAB!AJ$43,ASZTAB!$AJ$52),10,1)+IF(ASZTAB!$AJ$44,0,IF(ASZTAB!AJ$43,BB138/10,BB138))+BJ138+IF($AD$74,BK138,0)-IF(AW138=0,1000000000,0)</f>
        <v>-999999999.96899998</v>
      </c>
      <c r="AV138" s="349">
        <v>10</v>
      </c>
      <c r="AW138" s="378">
        <f ca="1">IF(NOT($AD$43),0,RCSOP!BE66)</f>
        <v>0</v>
      </c>
      <c r="AX138" s="346">
        <f t="shared" ca="1" si="246"/>
        <v>0</v>
      </c>
      <c r="AY138" s="346">
        <f t="shared" ca="1" si="225"/>
        <v>0</v>
      </c>
      <c r="AZ138" s="346">
        <f t="shared" ca="1" si="226"/>
        <v>0</v>
      </c>
      <c r="BA138" s="346">
        <f t="shared" ca="1" si="227"/>
        <v>0</v>
      </c>
      <c r="BB138" s="346">
        <f t="shared" ca="1" si="228"/>
        <v>0</v>
      </c>
      <c r="BC138" s="346">
        <f t="shared" ca="1" si="229"/>
        <v>0</v>
      </c>
      <c r="BD138" s="346">
        <f t="shared" ca="1" si="247"/>
        <v>0</v>
      </c>
      <c r="BE138" s="347">
        <f t="shared" ca="1" si="248"/>
        <v>0</v>
      </c>
      <c r="BF138" s="346">
        <f t="shared" ca="1" si="230"/>
        <v>0</v>
      </c>
      <c r="BG138" s="346">
        <f ca="1">IF(NOT($AD$43),0,ASZTAB!$AJ$48*AY138+AZ138-BF138)</f>
        <v>0</v>
      </c>
      <c r="BH138" s="346">
        <f t="shared" ca="1" si="249"/>
        <v>0</v>
      </c>
      <c r="BI138" s="347">
        <f t="shared" ca="1" si="250"/>
        <v>0</v>
      </c>
      <c r="BJ138" s="348">
        <v>3.0999999999999993E-2</v>
      </c>
      <c r="BK138" s="349">
        <f t="shared" ca="1" si="231"/>
        <v>0</v>
      </c>
      <c r="BM138" s="346">
        <f t="shared" ca="1" si="232"/>
        <v>0</v>
      </c>
      <c r="BN138" s="346">
        <f t="shared" ca="1" si="233"/>
        <v>0</v>
      </c>
      <c r="BO138" s="346">
        <f t="shared" ca="1" si="234"/>
        <v>0</v>
      </c>
      <c r="BP138" s="346">
        <f t="shared" ca="1" si="235"/>
        <v>0</v>
      </c>
      <c r="BQ138" s="534">
        <f t="shared" ca="1" si="236"/>
        <v>0</v>
      </c>
      <c r="BR138" s="534">
        <f t="shared" ca="1" si="237"/>
        <v>0</v>
      </c>
      <c r="BT138" s="346">
        <f t="shared" ca="1" si="238"/>
        <v>0</v>
      </c>
      <c r="BU138" s="346">
        <f t="shared" ca="1" si="239"/>
        <v>0</v>
      </c>
      <c r="BV138" s="346">
        <f t="shared" ca="1" si="240"/>
        <v>0</v>
      </c>
      <c r="BW138" s="346">
        <f t="shared" ca="1" si="241"/>
        <v>0</v>
      </c>
      <c r="BX138" s="534">
        <f t="shared" ca="1" si="242"/>
        <v>0</v>
      </c>
      <c r="BY138" s="534">
        <f t="shared" ca="1" si="243"/>
        <v>0</v>
      </c>
      <c r="CB138" s="350"/>
      <c r="CC138" s="350"/>
      <c r="CD138" s="350"/>
      <c r="CE138" s="350"/>
      <c r="CF138" s="350"/>
      <c r="CG138" s="350"/>
      <c r="CR138" s="445"/>
      <c r="CS138" s="445"/>
      <c r="CT138" s="359" t="str">
        <f ca="1">IF(CK70="","",VLOOKUP(CK70,xxx.rr2,4,FALSE))</f>
        <v/>
      </c>
      <c r="CU138" s="360" t="str">
        <f ca="1">IF(OR(CT138="",DA138="",CT138=DA138,ISNA(VLOOKUP(CONCATENATE(CT138,DA138),games.r,2,FALSE))),"",CONCATENATE(CT138,DA138))</f>
        <v/>
      </c>
      <c r="CV138" s="360" t="str">
        <f ca="1">IF(CU138="","",CONCATENATE(VLOOKUP(CU138,games.r,9,FALSE),VLOOKUP(CU138,games.r,12,FALSE)))</f>
        <v/>
      </c>
      <c r="CW138" s="354" t="str">
        <f ca="1">IF(CU138="","",VLOOKUP(CU138,games.r,10,FALSE))</f>
        <v/>
      </c>
      <c r="CX138" s="354" t="str">
        <f ca="1">IF(CU138="","",VLOOKUP(CU138,games.r,13,FALSE))</f>
        <v/>
      </c>
      <c r="CY138" s="361" t="str">
        <f ca="1">IF(CU138="","",VLOOKUP(CU138,games.r,6,FALSE))</f>
        <v/>
      </c>
      <c r="CZ138" s="362" t="str">
        <f ca="1">IF(CU138="","",VLOOKUP(CU138,games.r,7,FALSE))</f>
        <v/>
      </c>
      <c r="DA138" s="379" t="str">
        <f t="shared" ca="1" si="251"/>
        <v/>
      </c>
      <c r="DB138" s="302"/>
      <c r="DC138" s="364"/>
      <c r="DD138" s="445"/>
      <c r="DF138" s="424"/>
      <c r="DG138" s="366" t="str">
        <f ca="1">IF(AND(ASZTAB!$AJ$44,CT133,DA133&lt;&gt;2),CT138,"")</f>
        <v/>
      </c>
      <c r="DH138" s="366">
        <f ca="1">IF(DG138="",-1,COUNTIF(xxgy.rr,DG138))</f>
        <v>-1</v>
      </c>
      <c r="DI138" s="366">
        <f ca="1">IF(DG138="",0,COUNTIF(yygy.rr,DG138))</f>
        <v>0</v>
      </c>
      <c r="DK138" s="366">
        <f ca="1">IF(DG138="",0,1)*(SUMIF(yyo.rr,DG138,yyl.rr)+SUMIF(yyi.rr,DG138,yyk.rr))</f>
        <v>0</v>
      </c>
      <c r="DL138" s="366">
        <f ca="1">IF(DG138="",0,1)*(SUMIF(yyo.rr,DG138,yyk.rr)+SUMIF(yyi.rr,DG138,yyl.rr))</f>
        <v>0</v>
      </c>
      <c r="DN138" s="366">
        <f ca="1">IF(DL138=0,0,DK138/DL138)</f>
        <v>0</v>
      </c>
      <c r="DP138" s="366">
        <f ca="1">DH138*1000000+DI138*1000+DN138</f>
        <v>-1000000</v>
      </c>
      <c r="DT138" s="366">
        <f ca="1">IF(OR(ISERR(DP138),ISNA(DP138),DH138&lt;0),0,DP138)</f>
        <v>0</v>
      </c>
      <c r="DU138" s="366">
        <f ca="1">IF(DT138=0,0,RANK(DT138,DT134:DT138,1))</f>
        <v>0</v>
      </c>
      <c r="DV138" s="366">
        <f ca="1">DU138*40000*IF(COUNTIF($EN$134:$EN$143,DG138)&gt;0,0,1)</f>
        <v>0</v>
      </c>
      <c r="DW138" s="365"/>
      <c r="DX138" s="367">
        <f ca="1">IF(ASZTAB!$AJ$54,COUNTIF(DP140:DP144,DY137)*IF(OR(DY138=0,DY138=DY137),0,1),COUNTIF(DH134:DH138,DZ138)*IF(OR(DZ138=DZ137,DZ138&lt;0),0,1))+EA138/1000</f>
        <v>5.0000000000000001E-3</v>
      </c>
      <c r="DY138" s="367">
        <f ca="1">LARGE(DP140:DP144,EA138)</f>
        <v>0</v>
      </c>
      <c r="DZ138" s="369">
        <f ca="1">LARGE(DH134:DH138,EA138)</f>
        <v>-1</v>
      </c>
      <c r="EA138" s="369">
        <v>5</v>
      </c>
      <c r="EB138" s="365"/>
      <c r="EC138" s="365"/>
      <c r="ED138" s="371" t="str">
        <f ca="1">IF(DH138=ED133,DG138,IF(DP144=ED133,DG144,""))</f>
        <v/>
      </c>
      <c r="EE138" s="369" t="str">
        <f ca="1">IF(ED138="","",EA138)</f>
        <v/>
      </c>
      <c r="EF138" s="391"/>
      <c r="EG138" s="371" t="str">
        <f ca="1">IF(DH138=EG133,DG138,IF(DP144=EG133,DG144,""))</f>
        <v/>
      </c>
      <c r="EH138" s="369" t="str">
        <f ca="1">IF(EG138="","",EA138)</f>
        <v/>
      </c>
      <c r="EI138" s="391"/>
      <c r="EM138" s="424"/>
      <c r="EN138" s="366"/>
      <c r="EO138" s="425"/>
      <c r="EP138" s="333"/>
    </row>
    <row r="139" spans="34:146" x14ac:dyDescent="0.25">
      <c r="CB139" s="350"/>
      <c r="CC139" s="350"/>
      <c r="CD139" s="350"/>
      <c r="CE139" s="350"/>
      <c r="CF139" s="350"/>
      <c r="CG139" s="350"/>
      <c r="CR139" s="445"/>
      <c r="CS139" s="445"/>
      <c r="CT139" s="522" t="str">
        <f>IF(NOT($AD$105),"",CT134)</f>
        <v/>
      </c>
      <c r="CU139" s="371" t="str">
        <f ca="1">IF(OR(CT139="",DA139="",CT139=DA139,ISNA(VLOOKUP(CONCATENATE(CT139,DA139),games.a,2,FALSE))),"",CONCATENATE(CT139,DA139))</f>
        <v/>
      </c>
      <c r="CV139" s="371" t="str">
        <f ca="1">IF(CU139="","",CONCATENATE(VLOOKUP(CU139,games.a,9,FALSE),VLOOKUP(CU139,games.a,12,FALSE)))</f>
        <v/>
      </c>
      <c r="CW139" s="369" t="str">
        <f ca="1">IF(CU139="","",VLOOKUP(CU139,games.a,10,FALSE))</f>
        <v/>
      </c>
      <c r="CX139" s="369" t="str">
        <f ca="1">IF(CU139="","",VLOOKUP(CU139,games.a,13,FALSE))</f>
        <v/>
      </c>
      <c r="CY139" s="423" t="str">
        <f ca="1">IF(CU139="","",VLOOKUP(CU139,games.a,6,FALSE))</f>
        <v/>
      </c>
      <c r="CZ139" s="409" t="str">
        <f ca="1">IF(CU139="","",VLOOKUP(CU139,games.a,7,FALSE))</f>
        <v/>
      </c>
      <c r="DA139" s="523" t="str">
        <f t="shared" ca="1" si="251"/>
        <v/>
      </c>
      <c r="DB139" s="302"/>
      <c r="DC139" s="364"/>
      <c r="DD139" s="445"/>
      <c r="DF139" s="424"/>
      <c r="DG139" s="329" t="s">
        <v>229</v>
      </c>
      <c r="DH139" s="365"/>
      <c r="DI139" s="329" t="s">
        <v>152</v>
      </c>
      <c r="DJ139" s="329" t="s">
        <v>153</v>
      </c>
      <c r="DK139" s="329" t="s">
        <v>154</v>
      </c>
      <c r="DL139" s="329" t="s">
        <v>155</v>
      </c>
      <c r="DM139" s="329" t="s">
        <v>125</v>
      </c>
      <c r="DN139" s="329" t="s">
        <v>226</v>
      </c>
      <c r="DO139" s="329" t="s">
        <v>126</v>
      </c>
      <c r="DP139" s="329" t="s">
        <v>227</v>
      </c>
      <c r="DQ139" s="330" t="s">
        <v>154</v>
      </c>
      <c r="DR139" s="330" t="s">
        <v>155</v>
      </c>
      <c r="DS139" s="330" t="s">
        <v>125</v>
      </c>
      <c r="DT139" s="329" t="s">
        <v>228</v>
      </c>
      <c r="DU139" s="329" t="s">
        <v>156</v>
      </c>
      <c r="DV139" s="329" t="s">
        <v>208</v>
      </c>
      <c r="DW139" s="365"/>
      <c r="DX139" s="365"/>
      <c r="DY139" s="365"/>
      <c r="DZ139" s="365"/>
      <c r="EA139" s="365"/>
      <c r="EB139" s="365"/>
      <c r="EC139" s="365"/>
      <c r="ED139" s="365"/>
      <c r="EE139" s="365"/>
      <c r="EF139" s="365"/>
      <c r="EG139" s="365"/>
      <c r="EH139" s="365"/>
      <c r="EI139" s="365"/>
      <c r="EJ139" s="365"/>
      <c r="EK139" s="365"/>
      <c r="EL139" s="365"/>
      <c r="EM139" s="424"/>
      <c r="EN139" s="366"/>
      <c r="EO139" s="425"/>
      <c r="EP139" s="333"/>
    </row>
    <row r="140" spans="34:146" x14ac:dyDescent="0.25">
      <c r="CB140" s="350"/>
      <c r="CC140" s="350"/>
      <c r="CD140" s="350"/>
      <c r="CE140" s="350"/>
      <c r="CF140" s="350"/>
      <c r="CG140" s="350"/>
      <c r="CR140" s="445"/>
      <c r="CS140" s="445"/>
      <c r="CT140" s="522" t="str">
        <f>IF(NOT($AD$105),"",CT135)</f>
        <v/>
      </c>
      <c r="CU140" s="371" t="str">
        <f ca="1">IF(OR(CT140="",DA140="",CT140=DA140,ISNA(VLOOKUP(CONCATENATE(CT140,DA140),games.a,2,FALSE))),"",CONCATENATE(CT140,DA140))</f>
        <v/>
      </c>
      <c r="CV140" s="371" t="str">
        <f ca="1">IF(CU140="","",CONCATENATE(VLOOKUP(CU140,games.a,9,FALSE),VLOOKUP(CU140,games.a,12,FALSE)))</f>
        <v/>
      </c>
      <c r="CW140" s="369" t="str">
        <f ca="1">IF(CU140="","",VLOOKUP(CU140,games.a,10,FALSE))</f>
        <v/>
      </c>
      <c r="CX140" s="369" t="str">
        <f ca="1">IF(CU140="","",VLOOKUP(CU140,games.a,13,FALSE))</f>
        <v/>
      </c>
      <c r="CY140" s="423" t="str">
        <f ca="1">IF(CU140="","",VLOOKUP(CU140,games.a,6,FALSE))</f>
        <v/>
      </c>
      <c r="CZ140" s="409" t="str">
        <f ca="1">IF(CU140="","",VLOOKUP(CU140,games.a,7,FALSE))</f>
        <v/>
      </c>
      <c r="DA140" s="523" t="str">
        <f t="shared" ca="1" si="251"/>
        <v/>
      </c>
      <c r="DB140" s="302"/>
      <c r="DC140" s="364"/>
      <c r="DD140" s="445"/>
      <c r="DF140" s="424"/>
      <c r="DG140" s="366" t="str">
        <f ca="1">IF(OR(NOT(ASZTAB!$AJ$44),AND(CT133,DG134="")),CT134,"")</f>
        <v/>
      </c>
      <c r="DH140" s="365"/>
      <c r="DI140" s="366">
        <f ca="1">IF(DG140="",0,COUNTIF(xxgy.rr,DG140))</f>
        <v>0</v>
      </c>
      <c r="DJ140" s="366">
        <f ca="1">IF(DG140="",0,COUNTIF(xxd.rr,DG140))</f>
        <v>0</v>
      </c>
      <c r="DK140" s="366">
        <f ca="1">IF(DG140="",0,1)*(SUMIF(xxo.rr,DG140,xxl.rr)+SUMIF(xxi.rr,DG140,xxk.rr))</f>
        <v>0</v>
      </c>
      <c r="DL140" s="366">
        <f ca="1">IF(DG140="",0,1)*(SUMIF(xxo.rr,DG140,xxk.rr)+SUMIF(xxi.rr,DG140,xxl.rr))</f>
        <v>0</v>
      </c>
      <c r="DM140" s="366">
        <f ca="1">DK140-DL140</f>
        <v>0</v>
      </c>
      <c r="DN140" s="366">
        <f ca="1">IF(DL140=0,0,DK140/DL140)</f>
        <v>0</v>
      </c>
      <c r="DO140" s="366">
        <f ca="1">ASZTAB!$AJ$48*DI140+IF(ASZTAB!$AJ$44,0,1)*DJ140</f>
        <v>0</v>
      </c>
      <c r="DP140" s="396">
        <f ca="1">DO140*1000000+IF(ASZTAB!$AJ$44,DN140,DM140)*1000*0</f>
        <v>0</v>
      </c>
      <c r="DQ140" s="366">
        <f ca="1">IF(DG140="",0,1)*(SUMIF(yyo.rr,DG140,yyl.rr)+SUMIF(yyi.rr,DG140,yyk.rr))</f>
        <v>0</v>
      </c>
      <c r="DR140" s="366">
        <f ca="1">IF(DG140="",0,1)*(SUMIF(yyo.rr,DG140,yyk.rr)+SUMIF(yyi.rr,DG140,yyl.rr))</f>
        <v>0</v>
      </c>
      <c r="DS140" s="366">
        <f ca="1">DQ140-DR140</f>
        <v>0</v>
      </c>
      <c r="DT140" s="366">
        <f ca="1">IF(OR(ISERR(DP140),ISNA(DP140)),0,DP140)+IF(ASZTAB!$AJ$54,DS140,0)</f>
        <v>0</v>
      </c>
      <c r="DU140" s="366">
        <f ca="1">IF(DT140=0,0,RANK(DT140,DT140:DT144,1))</f>
        <v>0</v>
      </c>
      <c r="DV140" s="366">
        <f ca="1">DU140*40000*IF(COUNTIF($EN$134:$EN$143,DG140)&gt;0,0,1)</f>
        <v>0</v>
      </c>
      <c r="DW140" s="365"/>
      <c r="DZ140" s="365"/>
      <c r="EA140" s="365"/>
      <c r="EB140" s="365"/>
      <c r="EC140" s="398"/>
      <c r="ED140" s="329" t="s">
        <v>157</v>
      </c>
      <c r="EE140" s="329" t="s">
        <v>158</v>
      </c>
      <c r="EF140" s="399"/>
      <c r="EG140" s="400"/>
      <c r="EH140" s="401" t="s">
        <v>160</v>
      </c>
      <c r="EI140" s="402" t="s">
        <v>135</v>
      </c>
      <c r="EJ140" s="403">
        <f ca="1">COUNT(EF134:EF136)</f>
        <v>0</v>
      </c>
      <c r="EK140" s="365"/>
      <c r="EL140" s="365"/>
      <c r="EM140" s="424"/>
      <c r="EN140" s="366"/>
      <c r="EO140" s="425"/>
      <c r="EP140" s="333"/>
    </row>
    <row r="141" spans="34:146" ht="15.75" x14ac:dyDescent="0.25">
      <c r="AS141" s="313" t="s">
        <v>429</v>
      </c>
      <c r="AT141" s="314"/>
      <c r="AU141" s="315"/>
      <c r="AV141" s="315"/>
      <c r="AW141" s="316" t="s">
        <v>429</v>
      </c>
      <c r="CB141" s="350"/>
      <c r="CC141" s="350"/>
      <c r="CD141" s="350"/>
      <c r="CE141" s="350"/>
      <c r="CF141" s="350"/>
      <c r="CG141" s="350"/>
      <c r="CR141" s="445"/>
      <c r="CS141" s="445"/>
      <c r="CT141" s="522" t="str">
        <f>IF(NOT($AD$105),"",CT136)</f>
        <v/>
      </c>
      <c r="CU141" s="371" t="str">
        <f ca="1">IF(OR(CT141="",DA141="",CT141=DA141,ISNA(VLOOKUP(CONCATENATE(CT141,DA141),games.a,2,FALSE))),"",CONCATENATE(CT141,DA141))</f>
        <v/>
      </c>
      <c r="CV141" s="371" t="str">
        <f ca="1">IF(CU141="","",CONCATENATE(VLOOKUP(CU141,games.a,9,FALSE),VLOOKUP(CU141,games.a,12,FALSE)))</f>
        <v/>
      </c>
      <c r="CW141" s="369" t="str">
        <f ca="1">IF(CU141="","",VLOOKUP(CU141,games.a,10,FALSE))</f>
        <v/>
      </c>
      <c r="CX141" s="369" t="str">
        <f ca="1">IF(CU141="","",VLOOKUP(CU141,games.a,13,FALSE))</f>
        <v/>
      </c>
      <c r="CY141" s="423" t="str">
        <f ca="1">IF(CU141="","",VLOOKUP(CU141,games.a,6,FALSE))</f>
        <v/>
      </c>
      <c r="CZ141" s="409" t="str">
        <f ca="1">IF(CU141="","",VLOOKUP(CU141,games.a,7,FALSE))</f>
        <v/>
      </c>
      <c r="DA141" s="523" t="str">
        <f t="shared" ca="1" si="251"/>
        <v/>
      </c>
      <c r="DB141" s="302"/>
      <c r="DC141" s="364"/>
      <c r="DD141" s="445"/>
      <c r="DF141" s="424"/>
      <c r="DG141" s="366" t="str">
        <f ca="1">IF(OR(NOT(ASZTAB!$AJ$44),AND(CT133,DG135="")),CT135,"")</f>
        <v/>
      </c>
      <c r="DH141" s="365"/>
      <c r="DI141" s="366">
        <f ca="1">IF(DG141="",0,COUNTIF(xxgy.rr,DG141))</f>
        <v>0</v>
      </c>
      <c r="DJ141" s="366">
        <f ca="1">IF(DG141="",0,COUNTIF(xxd.rr,DG141))</f>
        <v>0</v>
      </c>
      <c r="DK141" s="366">
        <f ca="1">IF(DG141="",0,1)*(SUMIF(xxo.rr,DG141,xxl.rr)+SUMIF(xxi.rr,DG141,xxk.rr))</f>
        <v>0</v>
      </c>
      <c r="DL141" s="366">
        <f ca="1">IF(DG141="",0,1)*(SUMIF(xxo.rr,DG141,xxk.rr)+SUMIF(xxi.rr,DG141,xxl.rr))</f>
        <v>0</v>
      </c>
      <c r="DM141" s="366">
        <f ca="1">DK141-DL141</f>
        <v>0</v>
      </c>
      <c r="DN141" s="366">
        <f ca="1">IF(DL141=0,0,DK141/DL141)</f>
        <v>0</v>
      </c>
      <c r="DO141" s="366">
        <f ca="1">ASZTAB!$AJ$48*DI141+IF(ASZTAB!$AJ$44,0,1)*DJ141</f>
        <v>0</v>
      </c>
      <c r="DP141" s="396">
        <f ca="1">DO141*1000000+IF(ASZTAB!$AJ$44,DN141,DM141)*1000*0</f>
        <v>0</v>
      </c>
      <c r="DQ141" s="366">
        <f ca="1">IF(DG141="",0,1)*(SUMIF(yyo.rr,DG141,yyl.rr)+SUMIF(yyi.rr,DG141,yyk.rr))</f>
        <v>0</v>
      </c>
      <c r="DR141" s="366">
        <f ca="1">IF(DG141="",0,1)*(SUMIF(yyo.rr,DG141,yyk.rr)+SUMIF(yyi.rr,DG141,yyl.rr))</f>
        <v>0</v>
      </c>
      <c r="DS141" s="366">
        <f ca="1">DQ141-DR141</f>
        <v>0</v>
      </c>
      <c r="DT141" s="366">
        <f ca="1">IF(OR(ISERR(DP141),ISNA(DP141)),0,DP141)+IF(ASZTAB!$AJ$54,DS141,0)</f>
        <v>0</v>
      </c>
      <c r="DU141" s="366">
        <f ca="1">IF(DT141=0,0,RANK(DT141,DT140:DT144,1))</f>
        <v>0</v>
      </c>
      <c r="DV141" s="366">
        <f ca="1">DU141*40000*IF(COUNTIF($EN$134:$EN$143,DG141)&gt;0,0,1)</f>
        <v>0</v>
      </c>
      <c r="DW141" s="365"/>
      <c r="DZ141" s="365"/>
      <c r="EA141" s="365"/>
      <c r="EB141" s="365"/>
      <c r="EC141" s="404" t="str">
        <f ca="1">IF(EF134="","",VLOOKUP(EF134,yyy.rr2,4,FALSE))</f>
        <v/>
      </c>
      <c r="ED141" s="371" t="str">
        <f ca="1">IF(OR(EC141="",EJ141="",EC141=EJ141,ISNA(VLOOKUP(CONCATENATE(EC141,EJ141),games.r,2,FALSE))),"",CONCATENATE(EC141,EJ141))</f>
        <v/>
      </c>
      <c r="EE141" s="405" t="str">
        <f ca="1">IF(OR(ED141="",EJ140&gt;2),"",CONCATENATE(VLOOKUP(ED141,games.r,9,FALSE),VLOOKUP(ED141,games.r,12,FALSE)))</f>
        <v/>
      </c>
      <c r="EF141" s="406"/>
      <c r="EG141" s="407"/>
      <c r="EH141" s="408" t="str">
        <f ca="1">IF(ED141="","",VLOOKUP(ED141,games.r,6,FALSE))</f>
        <v/>
      </c>
      <c r="EI141" s="409" t="str">
        <f ca="1">IF(ED141="","",VLOOKUP(ED141,games.r,7,FALSE))</f>
        <v/>
      </c>
      <c r="EJ141" s="410" t="str">
        <f ca="1">EC141</f>
        <v/>
      </c>
      <c r="EK141" s="411"/>
      <c r="EL141" s="412"/>
      <c r="EM141" s="424"/>
      <c r="EN141" s="366"/>
      <c r="EO141" s="425"/>
      <c r="EP141" s="333"/>
    </row>
    <row r="142" spans="34:146" x14ac:dyDescent="0.25">
      <c r="AU142" s="439">
        <f ca="1">IF($AD$58=2,BB66,BC66*-1)*1000000+IF(ASZTAB!$AJ$44,BE66,BD66)*1000+BJ66-IF(AW142=0,1000000000000,0)</f>
        <v>-73018999.969999999</v>
      </c>
      <c r="AV142" s="179"/>
      <c r="AW142" s="440" t="str">
        <f ca="1">IF(NOT($AD$44),0,RCSOP!BE69)</f>
        <v>Bakafogó-Honvéd-Sashegy SE</v>
      </c>
      <c r="CB142" s="350"/>
      <c r="CC142" s="350"/>
      <c r="CD142" s="350"/>
      <c r="CE142" s="350"/>
      <c r="CF142" s="350"/>
      <c r="CG142" s="350"/>
      <c r="CR142" s="445"/>
      <c r="CS142" s="445"/>
      <c r="CT142" s="522" t="str">
        <f>IF(NOT($AD$105),"",CT137)</f>
        <v/>
      </c>
      <c r="CU142" s="371" t="str">
        <f ca="1">IF(OR(CT142="",DA142="",CT142=DA142,ISNA(VLOOKUP(CONCATENATE(CT142,DA142),games.a,2,FALSE))),"",CONCATENATE(CT142,DA142))</f>
        <v/>
      </c>
      <c r="CV142" s="371" t="str">
        <f ca="1">IF(CU142="","",CONCATENATE(VLOOKUP(CU142,games.a,9,FALSE),VLOOKUP(CU142,games.a,12,FALSE)))</f>
        <v/>
      </c>
      <c r="CW142" s="369" t="str">
        <f ca="1">IF(CU142="","",VLOOKUP(CU142,games.a,10,FALSE))</f>
        <v/>
      </c>
      <c r="CX142" s="369" t="str">
        <f ca="1">IF(CU142="","",VLOOKUP(CU142,games.a,13,FALSE))</f>
        <v/>
      </c>
      <c r="CY142" s="423" t="str">
        <f ca="1">IF(CU142="","",VLOOKUP(CU142,games.a,6,FALSE))</f>
        <v/>
      </c>
      <c r="CZ142" s="409" t="str">
        <f ca="1">IF(CU142="","",VLOOKUP(CU142,games.a,7,FALSE))</f>
        <v/>
      </c>
      <c r="DA142" s="523" t="str">
        <f t="shared" ca="1" si="251"/>
        <v/>
      </c>
      <c r="DB142" s="302"/>
      <c r="DC142" s="364"/>
      <c r="DD142" s="445"/>
      <c r="DF142" s="424"/>
      <c r="DG142" s="366" t="str">
        <f ca="1">IF(OR(NOT(ASZTAB!$AJ$44),AND(CT133,DG136="")),CT136,"")</f>
        <v/>
      </c>
      <c r="DH142" s="365"/>
      <c r="DI142" s="366">
        <f ca="1">IF(DG142="",0,COUNTIF(xxgy.rr,DG142))</f>
        <v>0</v>
      </c>
      <c r="DJ142" s="366">
        <f ca="1">IF(DG142="",0,COUNTIF(xxd.rr,DG142))</f>
        <v>0</v>
      </c>
      <c r="DK142" s="366">
        <f ca="1">IF(DG142="",0,1)*(SUMIF(xxo.rr,DG142,xxl.rr)+SUMIF(xxi.rr,DG142,xxk.rr))</f>
        <v>0</v>
      </c>
      <c r="DL142" s="366">
        <f ca="1">IF(DG142="",0,1)*(SUMIF(xxo.rr,DG142,xxk.rr)+SUMIF(xxi.rr,DG142,xxl.rr))</f>
        <v>0</v>
      </c>
      <c r="DM142" s="366">
        <f ca="1">DK142-DL142</f>
        <v>0</v>
      </c>
      <c r="DN142" s="366">
        <f ca="1">IF(DL142=0,0,DK142/DL142)</f>
        <v>0</v>
      </c>
      <c r="DO142" s="366">
        <f ca="1">ASZTAB!$AJ$48*DI142+IF(ASZTAB!$AJ$44,0,1)*DJ142</f>
        <v>0</v>
      </c>
      <c r="DP142" s="396">
        <f ca="1">DO142*1000000+IF(ASZTAB!$AJ$44,DN142,DM142)*1000*0</f>
        <v>0</v>
      </c>
      <c r="DQ142" s="366">
        <f ca="1">IF(DG142="",0,1)*(SUMIF(yyo.rr,DG142,yyl.rr)+SUMIF(yyi.rr,DG142,yyk.rr))</f>
        <v>0</v>
      </c>
      <c r="DR142" s="366">
        <f ca="1">IF(DG142="",0,1)*(SUMIF(yyo.rr,DG142,yyk.rr)+SUMIF(yyi.rr,DG142,yyl.rr))</f>
        <v>0</v>
      </c>
      <c r="DS142" s="366">
        <f ca="1">DQ142-DR142</f>
        <v>0</v>
      </c>
      <c r="DT142" s="366">
        <f ca="1">IF(OR(ISERR(DP142),ISNA(DP142)),0,DP142)+IF(ASZTAB!$AJ$54,DS142,0)</f>
        <v>0</v>
      </c>
      <c r="DU142" s="366">
        <f ca="1">IF(DT142=0,0,RANK(DT142,DT140:DT144,1))</f>
        <v>0</v>
      </c>
      <c r="DV142" s="366">
        <f ca="1">DU142*40000*IF(COUNTIF($EN$134:$EN$143,DG142)&gt;0,0,1)</f>
        <v>0</v>
      </c>
      <c r="DW142" s="365"/>
      <c r="DZ142" s="365"/>
      <c r="EA142" s="365"/>
      <c r="EB142" s="365"/>
      <c r="EC142" s="404" t="str">
        <f ca="1">IF(EF135="","",VLOOKUP(EF135,yyy.rr2,4,FALSE))</f>
        <v/>
      </c>
      <c r="ED142" s="371" t="str">
        <f ca="1">IF(OR(EC142="",EJ142="",EC142=EJ142,ISNA(VLOOKUP(CONCATENATE(EC142,EJ142),games.r,2,FALSE))),"",CONCATENATE(EC142,EJ142))</f>
        <v/>
      </c>
      <c r="EE142" s="405" t="str">
        <f ca="1">IF(OR(ED142="",EJ140&gt;2),"",CONCATENATE(VLOOKUP(ED142,games.r,9,FALSE),VLOOKUP(ED142,games.r,12,FALSE)))</f>
        <v/>
      </c>
      <c r="EF142" s="413"/>
      <c r="EG142" s="414"/>
      <c r="EH142" s="408" t="str">
        <f ca="1">IF(ED142="","",VLOOKUP(ED142,games.r,6,FALSE))</f>
        <v/>
      </c>
      <c r="EI142" s="409" t="str">
        <f ca="1">IF(ED142="","",VLOOKUP(ED142,games.r,7,FALSE))</f>
        <v/>
      </c>
      <c r="EJ142" s="415" t="str">
        <f ca="1">EJ141</f>
        <v/>
      </c>
      <c r="EK142" s="416"/>
      <c r="EL142" s="417"/>
      <c r="EM142" s="424"/>
      <c r="EN142" s="366"/>
      <c r="EO142" s="425"/>
      <c r="EP142" s="333"/>
    </row>
    <row r="143" spans="34:146" x14ac:dyDescent="0.25">
      <c r="AU143" s="439">
        <f ca="1">IF($AD$58=2,BB67,BC67*-1)*1000000+IF(ASZTAB!$AJ$44,BE67,BD67)*1000+BJ67-IF(AW143=0,1000000000000,0)</f>
        <v>-71023999.971000001</v>
      </c>
      <c r="AW143" s="440" t="str">
        <f ca="1">IF(NOT($AD$44),0,RCSOP!BE70)</f>
        <v>Vakana</v>
      </c>
      <c r="CB143" s="350"/>
      <c r="CC143" s="350"/>
      <c r="CD143" s="350"/>
      <c r="CE143" s="350"/>
      <c r="CF143" s="350"/>
      <c r="CG143" s="350"/>
      <c r="CR143" s="445"/>
      <c r="CS143" s="445"/>
      <c r="CT143" s="522" t="str">
        <f>IF(NOT($AD$105),"",CT138)</f>
        <v/>
      </c>
      <c r="CU143" s="371" t="str">
        <f ca="1">IF(OR(CT143="",DA143="",CT143=DA143,ISNA(VLOOKUP(CONCATENATE(CT143,DA143),games.a,2,FALSE))),"",CONCATENATE(CT143,DA143))</f>
        <v/>
      </c>
      <c r="CV143" s="371" t="str">
        <f ca="1">IF(CU143="","",CONCATENATE(VLOOKUP(CU143,games.a,9,FALSE),VLOOKUP(CU143,games.a,12,FALSE)))</f>
        <v/>
      </c>
      <c r="CW143" s="369" t="str">
        <f ca="1">IF(CU143="","",VLOOKUP(CU143,games.a,10,FALSE))</f>
        <v/>
      </c>
      <c r="CX143" s="369" t="str">
        <f ca="1">IF(CU143="","",VLOOKUP(CU143,games.a,13,FALSE))</f>
        <v/>
      </c>
      <c r="CY143" s="423" t="str">
        <f ca="1">IF(CU143="","",VLOOKUP(CU143,games.a,6,FALSE))</f>
        <v/>
      </c>
      <c r="CZ143" s="409" t="str">
        <f ca="1">IF(CU143="","",VLOOKUP(CU143,games.a,7,FALSE))</f>
        <v/>
      </c>
      <c r="DA143" s="523" t="str">
        <f t="shared" ca="1" si="251"/>
        <v/>
      </c>
      <c r="DB143" s="302"/>
      <c r="DC143" s="364"/>
      <c r="DD143" s="445"/>
      <c r="DF143" s="424"/>
      <c r="DG143" s="366" t="str">
        <f ca="1">IF(OR(NOT(ASZTAB!$AJ$44),AND(CT133,DG137="")),CT137,"")</f>
        <v/>
      </c>
      <c r="DH143" s="365"/>
      <c r="DI143" s="366">
        <f ca="1">IF(DG143="",0,COUNTIF(xxgy.rr,DG143))</f>
        <v>0</v>
      </c>
      <c r="DJ143" s="366">
        <f ca="1">IF(DG143="",0,COUNTIF(xxd.rr,DG143))</f>
        <v>0</v>
      </c>
      <c r="DK143" s="366">
        <f ca="1">IF(DG143="",0,1)*(SUMIF(xxo.rr,DG143,xxl.rr)+SUMIF(xxi.rr,DG143,xxk.rr))</f>
        <v>0</v>
      </c>
      <c r="DL143" s="366">
        <f ca="1">IF(DG143="",0,1)*(SUMIF(xxo.rr,DG143,xxk.rr)+SUMIF(xxi.rr,DG143,xxl.rr))</f>
        <v>0</v>
      </c>
      <c r="DM143" s="366">
        <f ca="1">DK143-DL143</f>
        <v>0</v>
      </c>
      <c r="DN143" s="366">
        <f ca="1">IF(DL143=0,0,DK143/DL143)</f>
        <v>0</v>
      </c>
      <c r="DO143" s="366">
        <f ca="1">ASZTAB!$AJ$48*DI143+IF(ASZTAB!$AJ$44,0,1)*DJ143</f>
        <v>0</v>
      </c>
      <c r="DP143" s="396">
        <f ca="1">DO143*1000000+IF(ASZTAB!$AJ$44,DN143,DM143)*1000*0</f>
        <v>0</v>
      </c>
      <c r="DQ143" s="366">
        <f ca="1">IF(DG143="",0,1)*(SUMIF(yyo.rr,DG143,yyl.rr)+SUMIF(yyi.rr,DG143,yyk.rr))</f>
        <v>0</v>
      </c>
      <c r="DR143" s="366">
        <f ca="1">IF(DG143="",0,1)*(SUMIF(yyo.rr,DG143,yyk.rr)+SUMIF(yyi.rr,DG143,yyl.rr))</f>
        <v>0</v>
      </c>
      <c r="DS143" s="366">
        <f ca="1">DQ143-DR143</f>
        <v>0</v>
      </c>
      <c r="DT143" s="366">
        <f ca="1">IF(OR(ISERR(DP143),ISNA(DP143)),0,DP143)+IF(ASZTAB!$AJ$54,DS143,0)</f>
        <v>0</v>
      </c>
      <c r="DU143" s="366">
        <f ca="1">IF(DT143=0,0,RANK(DT143,DT140:DT144,1))</f>
        <v>0</v>
      </c>
      <c r="DV143" s="366">
        <f ca="1">DU143*40000*IF(COUNTIF($EN$134:$EN$143,DG143)&gt;0,0,1)</f>
        <v>0</v>
      </c>
      <c r="DW143" s="365"/>
      <c r="DZ143" s="365"/>
      <c r="EA143" s="365"/>
      <c r="EB143" s="365"/>
      <c r="EC143" s="404" t="str">
        <f ca="1">IF(EF136="","",VLOOKUP(EF136,yyy.rr2,4,FALSE))</f>
        <v/>
      </c>
      <c r="ED143" s="371" t="str">
        <f ca="1">IF(OR(EC143="",EJ143="",EC143=EJ143,ISNA(VLOOKUP(CONCATENATE(EC143,EJ143),games.r,2,FALSE))),"",CONCATENATE(EC143,EJ143))</f>
        <v/>
      </c>
      <c r="EE143" s="405" t="str">
        <f ca="1">IF(OR(ED143="",EJ140&gt;2),"",CONCATENATE(VLOOKUP(ED143,games.r,9,FALSE),VLOOKUP(ED143,games.r,12,FALSE)))</f>
        <v/>
      </c>
      <c r="EF143" s="413"/>
      <c r="EG143" s="414"/>
      <c r="EH143" s="408" t="str">
        <f ca="1">IF(ED143="","",VLOOKUP(ED143,games.r,6,FALSE))</f>
        <v/>
      </c>
      <c r="EI143" s="409" t="str">
        <f ca="1">IF(ED143="","",VLOOKUP(ED143,games.r,7,FALSE))</f>
        <v/>
      </c>
      <c r="EJ143" s="415" t="str">
        <f ca="1">EJ142</f>
        <v/>
      </c>
      <c r="EK143" s="416"/>
      <c r="EL143" s="417"/>
      <c r="EM143" s="424"/>
      <c r="EN143" s="366"/>
      <c r="EO143" s="425"/>
      <c r="EP143" s="333"/>
    </row>
    <row r="144" spans="34:146" x14ac:dyDescent="0.25">
      <c r="AU144" s="439">
        <f ca="1">IF($AD$58=2,BB68,BC68*-1)*1000000+IF(ASZTAB!$AJ$44,BE68,BD68)*1000+BJ68-IF(AW144=0,1000000000000,0)</f>
        <v>-113062999.972</v>
      </c>
      <c r="AW144" s="440" t="str">
        <f ca="1">IF(NOT($AD$44),0,RCSOP!BE71)</f>
        <v>Carbonász</v>
      </c>
      <c r="CB144" s="350"/>
      <c r="CC144" s="350"/>
      <c r="CD144" s="350"/>
      <c r="CE144" s="350"/>
      <c r="CF144" s="350"/>
      <c r="CG144" s="350"/>
      <c r="CR144" s="445"/>
      <c r="CS144" s="445"/>
      <c r="CT144" s="301"/>
      <c r="CU144" s="324" t="s">
        <v>157</v>
      </c>
      <c r="CV144" s="324" t="s">
        <v>158</v>
      </c>
      <c r="CW144" s="325" t="s">
        <v>159</v>
      </c>
      <c r="CX144" s="325"/>
      <c r="CY144" s="326" t="s">
        <v>160</v>
      </c>
      <c r="CZ144" s="325" t="s">
        <v>135</v>
      </c>
      <c r="DA144" s="302"/>
      <c r="DB144" s="302"/>
      <c r="DC144" s="364"/>
      <c r="DD144" s="445"/>
      <c r="DF144" s="424"/>
      <c r="DG144" s="366" t="str">
        <f ca="1">IF(OR(NOT(ASZTAB!$AJ$44),AND(CT133,DG138="")),CT138,"")</f>
        <v/>
      </c>
      <c r="DH144" s="365"/>
      <c r="DI144" s="366">
        <f ca="1">IF(DG144="",0,COUNTIF(xxgy.rr,DG144))</f>
        <v>0</v>
      </c>
      <c r="DJ144" s="366">
        <f ca="1">IF(DG144="",0,COUNTIF(xxd.rr,DG144))</f>
        <v>0</v>
      </c>
      <c r="DK144" s="366">
        <f ca="1">IF(DG144="",0,1)*(SUMIF(xxo.rr,DG144,xxl.rr)+SUMIF(xxi.rr,DG144,xxk.rr))</f>
        <v>0</v>
      </c>
      <c r="DL144" s="366">
        <f ca="1">IF(DG144="",0,1)*(SUMIF(xxo.rr,DG144,xxk.rr)+SUMIF(xxi.rr,DG144,xxl.rr))</f>
        <v>0</v>
      </c>
      <c r="DM144" s="366">
        <f ca="1">DK144-DL144</f>
        <v>0</v>
      </c>
      <c r="DN144" s="366">
        <f ca="1">IF(DL144=0,0,DK144/DL144)</f>
        <v>0</v>
      </c>
      <c r="DO144" s="366">
        <f ca="1">ASZTAB!$AJ$48*DI144+IF(ASZTAB!$AJ$44,0,1)*DJ144</f>
        <v>0</v>
      </c>
      <c r="DP144" s="396">
        <f ca="1">DO144*1000000+IF(ASZTAB!$AJ$44,DN144,DM144)*1000*0</f>
        <v>0</v>
      </c>
      <c r="DQ144" s="366">
        <f ca="1">IF(DG144="",0,1)*(SUMIF(yyo.rr,DG144,yyl.rr)+SUMIF(yyi.rr,DG144,yyk.rr))</f>
        <v>0</v>
      </c>
      <c r="DR144" s="366">
        <f ca="1">IF(DG144="",0,1)*(SUMIF(yyo.rr,DG144,yyk.rr)+SUMIF(yyi.rr,DG144,yyl.rr))</f>
        <v>0</v>
      </c>
      <c r="DS144" s="366">
        <f ca="1">DQ144-DR144</f>
        <v>0</v>
      </c>
      <c r="DT144" s="366">
        <f ca="1">IF(OR(ISERR(DP144),ISNA(DP144)),0,DP144)+IF(ASZTAB!$AJ$54,DS144,0)</f>
        <v>0</v>
      </c>
      <c r="DU144" s="366">
        <f ca="1">IF(DT144=0,0,RANK(DT144,DT140:DT144,1))</f>
        <v>0</v>
      </c>
      <c r="DV144" s="366">
        <f ca="1">DU144*40000*IF(COUNTIF($EN$134:$EN$143,DG144)&gt;0,0,1)</f>
        <v>0</v>
      </c>
      <c r="DW144" s="365"/>
      <c r="DZ144" s="365"/>
      <c r="EA144" s="365"/>
      <c r="EB144" s="365"/>
      <c r="EC144" s="404" t="str">
        <f>IF(NOT($AD$105),"",EC141)</f>
        <v/>
      </c>
      <c r="ED144" s="360" t="str">
        <f ca="1">IF(OR(EC144="",EJ144="",EC144=EJ144,ISNA(VLOOKUP(CONCATENATE(EC144,EJ144),games.a,2,FALSE))),"",CONCATENATE(EC144,EJ144))</f>
        <v/>
      </c>
      <c r="EE144" s="524" t="str">
        <f ca="1">IF(OR(ED144="",EJ140&gt;2),"",CONCATENATE(VLOOKUP(ED144,games.a,9,FALSE),VLOOKUP(ED144,games.a,12,FALSE)))</f>
        <v/>
      </c>
      <c r="EF144" s="413"/>
      <c r="EG144" s="414"/>
      <c r="EH144" s="525" t="str">
        <f ca="1">IF(ED144="","",VLOOKUP(ED144,games.a,6,FALSE))</f>
        <v/>
      </c>
      <c r="EI144" s="362" t="str">
        <f ca="1">IF(ED144="","",VLOOKUP(ED144,games.a,7,FALSE))</f>
        <v/>
      </c>
      <c r="EJ144" s="526" t="str">
        <f ca="1">EJ143</f>
        <v/>
      </c>
      <c r="EK144" s="527"/>
      <c r="EL144" s="528"/>
      <c r="EM144" s="424"/>
      <c r="EN144" s="424"/>
      <c r="EO144" s="425"/>
      <c r="EP144" s="333"/>
    </row>
    <row r="145" spans="34:146" x14ac:dyDescent="0.25">
      <c r="AU145" s="439">
        <f ca="1">IF($AD$58=2,BB69,BC69*-1)*1000000+IF(ASZTAB!$AJ$44,BE69,BD69)*1000+BJ69-IF(AW145=0,1000000000000,0)</f>
        <v>-99061999.973000005</v>
      </c>
      <c r="AW145" s="440" t="str">
        <f ca="1">IF(NOT($AD$44),0,RCSOP!BE72)</f>
        <v>Bőrdíszmű</v>
      </c>
      <c r="CB145" s="350"/>
      <c r="CC145" s="350"/>
      <c r="CD145" s="350"/>
      <c r="CE145" s="350"/>
      <c r="CF145" s="350"/>
      <c r="CG145" s="350"/>
      <c r="CR145" s="445"/>
      <c r="CS145" s="445"/>
      <c r="CT145" s="395" t="str">
        <f t="shared" ref="CT145:CT154" ca="1" si="252">CT134</f>
        <v/>
      </c>
      <c r="CU145" s="360" t="str">
        <f ca="1">IF(OR(CT145="",DA145="",CT145=DA145,ISNA(VLOOKUP(CONCATENATE(CT145,DA145),games.r,2,FALSE))),"",CONCATENATE(CT145,DA145))</f>
        <v/>
      </c>
      <c r="CV145" s="360" t="str">
        <f ca="1">IF(CU145="","",CONCATENATE(VLOOKUP(CU145,games.r,9,FALSE),VLOOKUP(CU145,games.r,12,FALSE)))</f>
        <v/>
      </c>
      <c r="CW145" s="354" t="str">
        <f ca="1">IF(CU145="","",VLOOKUP(CU145,games.r,10,FALSE))</f>
        <v/>
      </c>
      <c r="CX145" s="354" t="str">
        <f ca="1">IF(CU145="","",VLOOKUP(CU145,games.r,13,FALSE))</f>
        <v/>
      </c>
      <c r="CY145" s="361" t="str">
        <f ca="1">IF(CU145="","",VLOOKUP(CU145,games.r,6,FALSE))</f>
        <v/>
      </c>
      <c r="CZ145" s="362" t="str">
        <f ca="1">IF(CU145="","",VLOOKUP(CU145,games.r,7,FALSE))</f>
        <v/>
      </c>
      <c r="DA145" s="363" t="str">
        <f ca="1">CT135</f>
        <v/>
      </c>
      <c r="DB145" s="302"/>
      <c r="DC145" s="364"/>
      <c r="DD145" s="445"/>
      <c r="DF145" s="424"/>
      <c r="DW145" s="365"/>
      <c r="DX145" s="424"/>
      <c r="DZ145" s="365"/>
      <c r="EA145" s="365"/>
      <c r="EB145" s="365"/>
      <c r="EC145" s="404" t="str">
        <f>IF(NOT($AD$105),"",EC142)</f>
        <v/>
      </c>
      <c r="ED145" s="360" t="str">
        <f ca="1">IF(OR(EC145="",EJ145="",EC145=EJ145,ISNA(VLOOKUP(CONCATENATE(EC145,EJ145),games.a,2,FALSE))),"",CONCATENATE(EC145,EJ145))</f>
        <v/>
      </c>
      <c r="EE145" s="524" t="str">
        <f ca="1">IF(OR(ED145="",EJ140&gt;2),"",CONCATENATE(VLOOKUP(ED145,games.a,9,FALSE),VLOOKUP(ED145,games.a,12,FALSE)))</f>
        <v/>
      </c>
      <c r="EF145" s="413"/>
      <c r="EG145" s="414"/>
      <c r="EH145" s="525" t="str">
        <f ca="1">IF(ED145="","",VLOOKUP(ED145,games.a,6,FALSE))</f>
        <v/>
      </c>
      <c r="EI145" s="362" t="str">
        <f ca="1">IF(ED145="","",VLOOKUP(ED145,games.a,7,FALSE))</f>
        <v/>
      </c>
      <c r="EJ145" s="526" t="str">
        <f ca="1">EJ144</f>
        <v/>
      </c>
      <c r="EK145" s="527"/>
      <c r="EL145" s="528"/>
      <c r="EM145" s="424"/>
      <c r="EN145" s="424"/>
      <c r="EO145" s="425"/>
      <c r="EP145" s="333"/>
    </row>
    <row r="146" spans="34:146" x14ac:dyDescent="0.25">
      <c r="AU146" s="439">
        <f ca="1">IF($AD$58=2,BB70,BC70*-1)*1000000+IF(ASZTAB!$AJ$44,BE70,BD70)*1000+BJ70-IF(AW146=0,1000000000000,0)</f>
        <v>-82046999.974000007</v>
      </c>
      <c r="AW146" s="440" t="str">
        <f ca="1">IF(NOT($AD$44),0,RCSOP!BE73)</f>
        <v>Royal Guard's</v>
      </c>
      <c r="CB146" s="350"/>
      <c r="CC146" s="350"/>
      <c r="CD146" s="350"/>
      <c r="CE146" s="350"/>
      <c r="CF146" s="350"/>
      <c r="CG146" s="350"/>
      <c r="CR146" s="445"/>
      <c r="CS146" s="445"/>
      <c r="CT146" s="395" t="str">
        <f t="shared" ca="1" si="252"/>
        <v/>
      </c>
      <c r="CU146" s="360" t="str">
        <f ca="1">IF(OR(CT146="",DA146="",CT146=DA146,ISNA(VLOOKUP(CONCATENATE(CT146,DA146),games.r,2,FALSE))),"",CONCATENATE(CT146,DA146))</f>
        <v/>
      </c>
      <c r="CV146" s="360" t="str">
        <f ca="1">IF(CU146="","",CONCATENATE(VLOOKUP(CU146,games.r,9,FALSE),VLOOKUP(CU146,games.r,12,FALSE)))</f>
        <v/>
      </c>
      <c r="CW146" s="354" t="str">
        <f ca="1">IF(CU146="","",VLOOKUP(CU146,games.r,10,FALSE))</f>
        <v/>
      </c>
      <c r="CX146" s="354" t="str">
        <f ca="1">IF(CU146="","",VLOOKUP(CU146,games.r,13,FALSE))</f>
        <v/>
      </c>
      <c r="CY146" s="361" t="str">
        <f ca="1">IF(CU146="","",VLOOKUP(CU146,games.r,6,FALSE))</f>
        <v/>
      </c>
      <c r="CZ146" s="362" t="str">
        <f ca="1">IF(CU146="","",VLOOKUP(CU146,games.r,7,FALSE))</f>
        <v/>
      </c>
      <c r="DA146" s="379" t="str">
        <f t="shared" ref="DA146:DA154" ca="1" si="253">DA145</f>
        <v/>
      </c>
      <c r="DB146" s="302"/>
      <c r="DC146" s="364"/>
      <c r="DD146" s="445"/>
      <c r="DF146" s="424"/>
      <c r="DW146" s="365"/>
      <c r="DX146" s="424"/>
      <c r="DZ146" s="365"/>
      <c r="EC146" s="404" t="str">
        <f>IF(NOT($AD$105),"",EC143)</f>
        <v/>
      </c>
      <c r="ED146" s="360" t="str">
        <f ca="1">IF(OR(EC146="",EJ146="",EC146=EJ146,ISNA(VLOOKUP(CONCATENATE(EC146,EJ146),games.a,2,FALSE))),"",CONCATENATE(EC146,EJ146))</f>
        <v/>
      </c>
      <c r="EE146" s="524" t="str">
        <f ca="1">IF(OR(ED146="",EJ140&gt;2),"",CONCATENATE(VLOOKUP(ED146,games.a,9,FALSE),VLOOKUP(ED146,games.a,12,FALSE)))</f>
        <v/>
      </c>
      <c r="EF146" s="413"/>
      <c r="EG146" s="414"/>
      <c r="EH146" s="525" t="str">
        <f ca="1">IF(ED146="","",VLOOKUP(ED146,games.a,6,FALSE))</f>
        <v/>
      </c>
      <c r="EI146" s="362" t="str">
        <f ca="1">IF(ED146="","",VLOOKUP(ED146,games.a,7,FALSE))</f>
        <v/>
      </c>
      <c r="EJ146" s="526" t="str">
        <f ca="1">EJ145</f>
        <v/>
      </c>
      <c r="EK146" s="527"/>
      <c r="EL146" s="528"/>
      <c r="EM146" s="424"/>
      <c r="EN146" s="424"/>
      <c r="EO146" s="425"/>
      <c r="EP146" s="333"/>
    </row>
    <row r="147" spans="34:146" x14ac:dyDescent="0.25">
      <c r="AU147" s="439">
        <f ca="1">IF($AD$58=2,BB71,BC71*-1)*1000000+IF(ASZTAB!$AJ$44,BE71,BD71)*1000+BJ71-IF(AW147=0,1000000000000,0)</f>
        <v>-999999999999.97498</v>
      </c>
      <c r="AW147" s="440">
        <f ca="1">IF(NOT($AD$44),0,RCSOP!BE74)</f>
        <v>0</v>
      </c>
      <c r="CB147" s="350"/>
      <c r="CC147" s="350"/>
      <c r="CD147" s="350"/>
      <c r="CE147" s="350"/>
      <c r="CF147" s="350"/>
      <c r="CG147" s="350"/>
      <c r="CR147" s="445"/>
      <c r="CS147" s="445"/>
      <c r="CT147" s="395" t="str">
        <f t="shared" ca="1" si="252"/>
        <v/>
      </c>
      <c r="CU147" s="360" t="str">
        <f ca="1">IF(OR(CT147="",DA147="",CT147=DA147,ISNA(VLOOKUP(CONCATENATE(CT147,DA147),games.r,2,FALSE))),"",CONCATENATE(CT147,DA147))</f>
        <v/>
      </c>
      <c r="CV147" s="360" t="str">
        <f ca="1">IF(CU147="","",CONCATENATE(VLOOKUP(CU147,games.r,9,FALSE),VLOOKUP(CU147,games.r,12,FALSE)))</f>
        <v/>
      </c>
      <c r="CW147" s="354" t="str">
        <f ca="1">IF(CU147="","",VLOOKUP(CU147,games.r,10,FALSE))</f>
        <v/>
      </c>
      <c r="CX147" s="354" t="str">
        <f ca="1">IF(CU147="","",VLOOKUP(CU147,games.r,13,FALSE))</f>
        <v/>
      </c>
      <c r="CY147" s="361" t="str">
        <f ca="1">IF(CU147="","",VLOOKUP(CU147,games.r,6,FALSE))</f>
        <v/>
      </c>
      <c r="CZ147" s="362" t="str">
        <f ca="1">IF(CU147="","",VLOOKUP(CU147,games.r,7,FALSE))</f>
        <v/>
      </c>
      <c r="DA147" s="379" t="str">
        <f t="shared" ca="1" si="253"/>
        <v/>
      </c>
      <c r="DB147" s="302"/>
      <c r="DC147" s="364"/>
      <c r="DD147" s="445"/>
      <c r="DF147" s="424"/>
      <c r="DW147" s="365"/>
      <c r="DX147" s="424"/>
      <c r="DZ147" s="365"/>
      <c r="EA147" s="365"/>
      <c r="EB147" s="365"/>
      <c r="EC147" s="398"/>
      <c r="ED147" s="329" t="s">
        <v>157</v>
      </c>
      <c r="EE147" s="329" t="s">
        <v>158</v>
      </c>
      <c r="EF147" s="399"/>
      <c r="EG147" s="400"/>
      <c r="EH147" s="401" t="s">
        <v>160</v>
      </c>
      <c r="EI147" s="402" t="s">
        <v>135</v>
      </c>
      <c r="EJ147" s="398"/>
      <c r="EK147" s="365"/>
      <c r="EL147" s="365"/>
      <c r="EM147" s="424"/>
      <c r="EN147" s="424"/>
      <c r="EO147" s="425"/>
      <c r="EP147" s="333"/>
    </row>
    <row r="148" spans="34:146" x14ac:dyDescent="0.25">
      <c r="AU148" s="439">
        <f ca="1">IF($AD$58=2,BB72,BC72*-1)*1000000+IF(ASZTAB!$AJ$44,BE72,BD72)*1000+BJ72-IF(AW148=0,1000000000000,0)</f>
        <v>-999999999999.97595</v>
      </c>
      <c r="AW148" s="440">
        <f ca="1">IF(NOT($AD$44),0,RCSOP!BE75)</f>
        <v>0</v>
      </c>
      <c r="CB148" s="350"/>
      <c r="CC148" s="350"/>
      <c r="CD148" s="350"/>
      <c r="CE148" s="350"/>
      <c r="CF148" s="350"/>
      <c r="CG148" s="350"/>
      <c r="CR148" s="445"/>
      <c r="CS148" s="445"/>
      <c r="CT148" s="395" t="str">
        <f t="shared" ca="1" si="252"/>
        <v/>
      </c>
      <c r="CU148" s="360" t="str">
        <f ca="1">IF(OR(CT148="",DA148="",CT148=DA148,ISNA(VLOOKUP(CONCATENATE(CT148,DA148),games.r,2,FALSE))),"",CONCATENATE(CT148,DA148))</f>
        <v/>
      </c>
      <c r="CV148" s="360" t="str">
        <f ca="1">IF(CU148="","",CONCATENATE(VLOOKUP(CU148,games.r,9,FALSE),VLOOKUP(CU148,games.r,12,FALSE)))</f>
        <v/>
      </c>
      <c r="CW148" s="354" t="str">
        <f ca="1">IF(CU148="","",VLOOKUP(CU148,games.r,10,FALSE))</f>
        <v/>
      </c>
      <c r="CX148" s="354" t="str">
        <f ca="1">IF(CU148="","",VLOOKUP(CU148,games.r,13,FALSE))</f>
        <v/>
      </c>
      <c r="CY148" s="361" t="str">
        <f ca="1">IF(CU148="","",VLOOKUP(CU148,games.r,6,FALSE))</f>
        <v/>
      </c>
      <c r="CZ148" s="362" t="str">
        <f ca="1">IF(CU148="","",VLOOKUP(CU148,games.r,7,FALSE))</f>
        <v/>
      </c>
      <c r="DA148" s="379" t="str">
        <f t="shared" ca="1" si="253"/>
        <v/>
      </c>
      <c r="DB148" s="302"/>
      <c r="DC148" s="364"/>
      <c r="DD148" s="445"/>
      <c r="DF148" s="424"/>
      <c r="DW148" s="365"/>
      <c r="DX148" s="424"/>
      <c r="DZ148" s="365"/>
      <c r="EA148" s="365"/>
      <c r="EB148" s="365"/>
      <c r="EC148" s="404" t="str">
        <f t="shared" ref="EC148:EC153" ca="1" si="254">EC141</f>
        <v/>
      </c>
      <c r="ED148" s="371" t="str">
        <f ca="1">IF(OR(EC148="",EJ148="",EC148=EJ148,ISNA(VLOOKUP(CONCATENATE(EC148,EJ148),games.r,2,FALSE))),"",CONCATENATE(EC148,EJ148))</f>
        <v/>
      </c>
      <c r="EE148" s="405" t="str">
        <f ca="1">IF(OR(ED148="",EJ140&gt;2),"",CONCATENATE(VLOOKUP(ED148,games.r,9,FALSE),VLOOKUP(ED148,games.r,12,FALSE)))</f>
        <v/>
      </c>
      <c r="EF148" s="406"/>
      <c r="EG148" s="407"/>
      <c r="EH148" s="408" t="str">
        <f ca="1">IF(ED148="","",VLOOKUP(ED148,games.r,6,FALSE))</f>
        <v/>
      </c>
      <c r="EI148" s="409" t="str">
        <f ca="1">IF(ED148="","",VLOOKUP(ED148,games.r,7,FALSE))</f>
        <v/>
      </c>
      <c r="EJ148" s="410" t="str">
        <f ca="1">EC142</f>
        <v/>
      </c>
      <c r="EK148" s="411"/>
      <c r="EL148" s="412"/>
      <c r="EM148" s="424"/>
      <c r="EN148" s="424"/>
      <c r="EO148" s="425"/>
      <c r="EP148" s="333"/>
    </row>
    <row r="149" spans="34:146" x14ac:dyDescent="0.25">
      <c r="AU149" s="439">
        <f ca="1">IF($AD$58=2,BB73,BC73*-1)*1000000+IF(ASZTAB!$AJ$44,BE73,BD73)*1000+BJ73-IF(AW149=0,1000000000000,0)</f>
        <v>-999999999999.97705</v>
      </c>
      <c r="AW149" s="440">
        <f ca="1">IF(NOT($AD$44),0,RCSOP!BE76)</f>
        <v>0</v>
      </c>
      <c r="CB149" s="350"/>
      <c r="CC149" s="350"/>
      <c r="CD149" s="350"/>
      <c r="CE149" s="350"/>
      <c r="CF149" s="350"/>
      <c r="CG149" s="350"/>
      <c r="CR149" s="445"/>
      <c r="CS149" s="445"/>
      <c r="CT149" s="395" t="str">
        <f t="shared" ca="1" si="252"/>
        <v/>
      </c>
      <c r="CU149" s="360" t="str">
        <f ca="1">IF(OR(CT149="",DA149="",CT149=DA149,ISNA(VLOOKUP(CONCATENATE(CT149,DA149),games.r,2,FALSE))),"",CONCATENATE(CT149,DA149))</f>
        <v/>
      </c>
      <c r="CV149" s="360" t="str">
        <f ca="1">IF(CU149="","",CONCATENATE(VLOOKUP(CU149,games.r,9,FALSE),VLOOKUP(CU149,games.r,12,FALSE)))</f>
        <v/>
      </c>
      <c r="CW149" s="354" t="str">
        <f ca="1">IF(CU149="","",VLOOKUP(CU149,games.r,10,FALSE))</f>
        <v/>
      </c>
      <c r="CX149" s="354" t="str">
        <f ca="1">IF(CU149="","",VLOOKUP(CU149,games.r,13,FALSE))</f>
        <v/>
      </c>
      <c r="CY149" s="361" t="str">
        <f ca="1">IF(CU149="","",VLOOKUP(CU149,games.r,6,FALSE))</f>
        <v/>
      </c>
      <c r="CZ149" s="362" t="str">
        <f ca="1">IF(CU149="","",VLOOKUP(CU149,games.r,7,FALSE))</f>
        <v/>
      </c>
      <c r="DA149" s="379" t="str">
        <f t="shared" ca="1" si="253"/>
        <v/>
      </c>
      <c r="DB149" s="302"/>
      <c r="DC149" s="364"/>
      <c r="DD149" s="445"/>
      <c r="DF149" s="424"/>
      <c r="DW149" s="365"/>
      <c r="DX149" s="424"/>
      <c r="DZ149" s="424"/>
      <c r="EA149" s="365"/>
      <c r="EB149" s="365"/>
      <c r="EC149" s="404" t="str">
        <f t="shared" ca="1" si="254"/>
        <v/>
      </c>
      <c r="ED149" s="371" t="str">
        <f ca="1">IF(OR(EC149="",EJ149="",EC149=EJ149,ISNA(VLOOKUP(CONCATENATE(EC149,EJ149),games.r,2,FALSE))),"",CONCATENATE(EC149,EJ149))</f>
        <v/>
      </c>
      <c r="EE149" s="405" t="str">
        <f ca="1">IF(OR(ED149="",EJ140&gt;2),"",CONCATENATE(VLOOKUP(ED149,games.r,9,FALSE),VLOOKUP(ED149,games.r,12,FALSE)))</f>
        <v/>
      </c>
      <c r="EF149" s="413"/>
      <c r="EG149" s="414"/>
      <c r="EH149" s="408" t="str">
        <f ca="1">IF(ED149="","",VLOOKUP(ED149,games.r,6,FALSE))</f>
        <v/>
      </c>
      <c r="EI149" s="409" t="str">
        <f ca="1">IF(ED149="","",VLOOKUP(ED149,games.r,7,FALSE))</f>
        <v/>
      </c>
      <c r="EJ149" s="415" t="str">
        <f ca="1">EJ148</f>
        <v/>
      </c>
      <c r="EK149" s="416"/>
      <c r="EL149" s="417"/>
      <c r="EM149" s="424"/>
      <c r="EN149" s="424"/>
      <c r="EO149" s="425"/>
      <c r="EP149" s="333"/>
    </row>
    <row r="150" spans="34:146" x14ac:dyDescent="0.25">
      <c r="AU150" s="439">
        <f ca="1">IF($AD$58=2,BB74,BC74*-1)*1000000+IF(ASZTAB!$AJ$44,BE74,BD74)*1000+BJ74-IF(AW150=0,1000000000000,0)</f>
        <v>-999999999999.97803</v>
      </c>
      <c r="AW150" s="440">
        <f ca="1">IF(NOT($AD$44),0,RCSOP!BE77)</f>
        <v>0</v>
      </c>
      <c r="CB150" s="350"/>
      <c r="CC150" s="350"/>
      <c r="CD150" s="350"/>
      <c r="CE150" s="350"/>
      <c r="CF150" s="350"/>
      <c r="CG150" s="350"/>
      <c r="CR150" s="445"/>
      <c r="CS150" s="445"/>
      <c r="CT150" s="522" t="str">
        <f t="shared" si="252"/>
        <v/>
      </c>
      <c r="CU150" s="371" t="str">
        <f ca="1">IF(OR(CT150="",DA150="",CT150=DA150,ISNA(VLOOKUP(CONCATENATE(CT150,DA150),games.a,2,FALSE))),"",CONCATENATE(CT150,DA150))</f>
        <v/>
      </c>
      <c r="CV150" s="371" t="str">
        <f ca="1">IF(CU150="","",CONCATENATE(VLOOKUP(CU150,games.a,9,FALSE),VLOOKUP(CU150,games.a,12,FALSE)))</f>
        <v/>
      </c>
      <c r="CW150" s="369" t="str">
        <f ca="1">IF(CU150="","",VLOOKUP(CU150,games.a,10,FALSE))</f>
        <v/>
      </c>
      <c r="CX150" s="369" t="str">
        <f ca="1">IF(CU150="","",VLOOKUP(CU150,games.a,13,FALSE))</f>
        <v/>
      </c>
      <c r="CY150" s="423" t="str">
        <f ca="1">IF(CU150="","",VLOOKUP(CU150,games.a,6,FALSE))</f>
        <v/>
      </c>
      <c r="CZ150" s="409" t="str">
        <f ca="1">IF(CU150="","",VLOOKUP(CU150,games.a,7,FALSE))</f>
        <v/>
      </c>
      <c r="DA150" s="523" t="str">
        <f t="shared" ca="1" si="253"/>
        <v/>
      </c>
      <c r="DB150" s="302"/>
      <c r="DC150" s="364"/>
      <c r="DD150" s="445"/>
      <c r="DF150" s="424"/>
      <c r="DW150" s="365"/>
      <c r="DX150" s="424"/>
      <c r="DZ150" s="424"/>
      <c r="EA150" s="424"/>
      <c r="EB150" s="424"/>
      <c r="EC150" s="404" t="str">
        <f t="shared" ca="1" si="254"/>
        <v/>
      </c>
      <c r="ED150" s="371" t="str">
        <f ca="1">IF(OR(EC150="",EJ150="",EC150=EJ150,ISNA(VLOOKUP(CONCATENATE(EC150,EJ150),games.r,2,FALSE))),"",CONCATENATE(EC150,EJ150))</f>
        <v/>
      </c>
      <c r="EE150" s="405" t="str">
        <f ca="1">IF(OR(ED150="",EJ140&gt;2),"",CONCATENATE(VLOOKUP(ED150,games.r,9,FALSE),VLOOKUP(ED150,games.r,12,FALSE)))</f>
        <v/>
      </c>
      <c r="EF150" s="413"/>
      <c r="EG150" s="414"/>
      <c r="EH150" s="408" t="str">
        <f ca="1">IF(ED150="","",VLOOKUP(ED150,games.r,6,FALSE))</f>
        <v/>
      </c>
      <c r="EI150" s="409" t="str">
        <f ca="1">IF(ED150="","",VLOOKUP(ED150,games.r,7,FALSE))</f>
        <v/>
      </c>
      <c r="EJ150" s="415" t="str">
        <f ca="1">EJ149</f>
        <v/>
      </c>
      <c r="EK150" s="416"/>
      <c r="EL150" s="417"/>
      <c r="EM150" s="424"/>
      <c r="EN150" s="424"/>
      <c r="EO150" s="425"/>
      <c r="EP150" s="333"/>
    </row>
    <row r="151" spans="34:146" x14ac:dyDescent="0.25">
      <c r="AU151" s="439">
        <f ca="1">IF($AD$58=2,BB75,BC75*-1)*1000000+IF(ASZTAB!$AJ$44,BE75,BD75)*1000+BJ75-IF(AW151=0,1000000000000,0)</f>
        <v>-999999999999.979</v>
      </c>
      <c r="AW151" s="440">
        <f ca="1">IF(NOT($AD$44),0,RCSOP!BE78)</f>
        <v>0</v>
      </c>
      <c r="CB151" s="350"/>
      <c r="CC151" s="350"/>
      <c r="CD151" s="350"/>
      <c r="CE151" s="350"/>
      <c r="CF151" s="350"/>
      <c r="CG151" s="350"/>
      <c r="CR151" s="445"/>
      <c r="CS151" s="445"/>
      <c r="CT151" s="522" t="str">
        <f t="shared" si="252"/>
        <v/>
      </c>
      <c r="CU151" s="371" t="str">
        <f ca="1">IF(OR(CT151="",DA151="",CT151=DA151,ISNA(VLOOKUP(CONCATENATE(CT151,DA151),games.a,2,FALSE))),"",CONCATENATE(CT151,DA151))</f>
        <v/>
      </c>
      <c r="CV151" s="371" t="str">
        <f ca="1">IF(CU151="","",CONCATENATE(VLOOKUP(CU151,games.a,9,FALSE),VLOOKUP(CU151,games.a,12,FALSE)))</f>
        <v/>
      </c>
      <c r="CW151" s="369" t="str">
        <f ca="1">IF(CU151="","",VLOOKUP(CU151,games.a,10,FALSE))</f>
        <v/>
      </c>
      <c r="CX151" s="369" t="str">
        <f ca="1">IF(CU151="","",VLOOKUP(CU151,games.a,13,FALSE))</f>
        <v/>
      </c>
      <c r="CY151" s="423" t="str">
        <f ca="1">IF(CU151="","",VLOOKUP(CU151,games.a,6,FALSE))</f>
        <v/>
      </c>
      <c r="CZ151" s="409" t="str">
        <f ca="1">IF(CU151="","",VLOOKUP(CU151,games.a,7,FALSE))</f>
        <v/>
      </c>
      <c r="DA151" s="523" t="str">
        <f t="shared" ca="1" si="253"/>
        <v/>
      </c>
      <c r="DB151" s="302"/>
      <c r="DC151" s="364"/>
      <c r="DD151" s="445"/>
      <c r="DF151" s="424"/>
      <c r="DW151" s="365"/>
      <c r="DX151" s="424"/>
      <c r="DY151" s="424"/>
      <c r="DZ151" s="424"/>
      <c r="EA151" s="424"/>
      <c r="EB151" s="424"/>
      <c r="EC151" s="404" t="str">
        <f t="shared" si="254"/>
        <v/>
      </c>
      <c r="ED151" s="360" t="str">
        <f ca="1">IF(OR(EC151="",EJ151="",EC151=EJ151,ISNA(VLOOKUP(CONCATENATE(EC151,EJ151),games.a,2,FALSE))),"",CONCATENATE(EC151,EJ151))</f>
        <v/>
      </c>
      <c r="EE151" s="524" t="str">
        <f ca="1">IF(OR(ED151="",EJ140&gt;2),"",CONCATENATE(VLOOKUP(ED151,games.a,9,FALSE),VLOOKUP(ED151,games.a,12,FALSE)))</f>
        <v/>
      </c>
      <c r="EF151" s="413"/>
      <c r="EG151" s="414"/>
      <c r="EH151" s="525" t="str">
        <f ca="1">IF(ED151="","",VLOOKUP(ED151,games.a,6,FALSE))</f>
        <v/>
      </c>
      <c r="EI151" s="362" t="str">
        <f ca="1">IF(ED151="","",VLOOKUP(ED151,games.a,7,FALSE))</f>
        <v/>
      </c>
      <c r="EJ151" s="526" t="str">
        <f ca="1">EJ150</f>
        <v/>
      </c>
      <c r="EK151" s="527"/>
      <c r="EL151" s="528"/>
      <c r="EM151" s="424"/>
      <c r="EN151" s="424"/>
      <c r="EO151" s="425"/>
      <c r="EP151" s="333"/>
    </row>
    <row r="152" spans="34:146" x14ac:dyDescent="0.25">
      <c r="CB152" s="350"/>
      <c r="CC152" s="350"/>
      <c r="CD152" s="350"/>
      <c r="CE152" s="350"/>
      <c r="CF152" s="350"/>
      <c r="CG152" s="350"/>
      <c r="CR152" s="445"/>
      <c r="CS152" s="445"/>
      <c r="CT152" s="522" t="str">
        <f t="shared" si="252"/>
        <v/>
      </c>
      <c r="CU152" s="371" t="str">
        <f ca="1">IF(OR(CT152="",DA152="",CT152=DA152,ISNA(VLOOKUP(CONCATENATE(CT152,DA152),games.a,2,FALSE))),"",CONCATENATE(CT152,DA152))</f>
        <v/>
      </c>
      <c r="CV152" s="371" t="str">
        <f ca="1">IF(CU152="","",CONCATENATE(VLOOKUP(CU152,games.a,9,FALSE),VLOOKUP(CU152,games.a,12,FALSE)))</f>
        <v/>
      </c>
      <c r="CW152" s="369" t="str">
        <f ca="1">IF(CU152="","",VLOOKUP(CU152,games.a,10,FALSE))</f>
        <v/>
      </c>
      <c r="CX152" s="369" t="str">
        <f ca="1">IF(CU152="","",VLOOKUP(CU152,games.a,13,FALSE))</f>
        <v/>
      </c>
      <c r="CY152" s="423" t="str">
        <f ca="1">IF(CU152="","",VLOOKUP(CU152,games.a,6,FALSE))</f>
        <v/>
      </c>
      <c r="CZ152" s="409" t="str">
        <f ca="1">IF(CU152="","",VLOOKUP(CU152,games.a,7,FALSE))</f>
        <v/>
      </c>
      <c r="DA152" s="523" t="str">
        <f t="shared" ca="1" si="253"/>
        <v/>
      </c>
      <c r="DB152" s="302"/>
      <c r="DC152" s="364"/>
      <c r="DD152" s="445"/>
      <c r="DF152" s="424"/>
      <c r="DW152" s="365"/>
      <c r="DX152" s="424"/>
      <c r="DY152" s="424"/>
      <c r="DZ152" s="424"/>
      <c r="EA152" s="424"/>
      <c r="EB152" s="424"/>
      <c r="EC152" s="404" t="str">
        <f t="shared" si="254"/>
        <v/>
      </c>
      <c r="ED152" s="360" t="str">
        <f ca="1">IF(OR(EC152="",EJ152="",EC152=EJ152,ISNA(VLOOKUP(CONCATENATE(EC152,EJ152),games.a,2,FALSE))),"",CONCATENATE(EC152,EJ152))</f>
        <v/>
      </c>
      <c r="EE152" s="524" t="str">
        <f ca="1">IF(OR(ED152="",EJ140&gt;2),"",CONCATENATE(VLOOKUP(ED152,games.a,9,FALSE),VLOOKUP(ED152,games.a,12,FALSE)))</f>
        <v/>
      </c>
      <c r="EF152" s="413"/>
      <c r="EG152" s="414"/>
      <c r="EH152" s="525" t="str">
        <f ca="1">IF(ED152="","",VLOOKUP(ED152,games.a,6,FALSE))</f>
        <v/>
      </c>
      <c r="EI152" s="362" t="str">
        <f ca="1">IF(ED152="","",VLOOKUP(ED152,games.a,7,FALSE))</f>
        <v/>
      </c>
      <c r="EJ152" s="526" t="str">
        <f ca="1">EJ151</f>
        <v/>
      </c>
      <c r="EK152" s="527"/>
      <c r="EL152" s="528"/>
      <c r="EM152" s="424"/>
      <c r="EN152" s="424"/>
      <c r="EO152" s="425"/>
      <c r="EP152" s="333"/>
    </row>
    <row r="153" spans="34:146" x14ac:dyDescent="0.25">
      <c r="CB153" s="350"/>
      <c r="CC153" s="350"/>
      <c r="CD153" s="350"/>
      <c r="CE153" s="350"/>
      <c r="CF153" s="350"/>
      <c r="CG153" s="350"/>
      <c r="CR153" s="445"/>
      <c r="CS153" s="445"/>
      <c r="CT153" s="522" t="str">
        <f t="shared" si="252"/>
        <v/>
      </c>
      <c r="CU153" s="371" t="str">
        <f ca="1">IF(OR(CT153="",DA153="",CT153=DA153,ISNA(VLOOKUP(CONCATENATE(CT153,DA153),games.a,2,FALSE))),"",CONCATENATE(CT153,DA153))</f>
        <v/>
      </c>
      <c r="CV153" s="371" t="str">
        <f ca="1">IF(CU153="","",CONCATENATE(VLOOKUP(CU153,games.a,9,FALSE),VLOOKUP(CU153,games.a,12,FALSE)))</f>
        <v/>
      </c>
      <c r="CW153" s="369" t="str">
        <f ca="1">IF(CU153="","",VLOOKUP(CU153,games.a,10,FALSE))</f>
        <v/>
      </c>
      <c r="CX153" s="369" t="str">
        <f ca="1">IF(CU153="","",VLOOKUP(CU153,games.a,13,FALSE))</f>
        <v/>
      </c>
      <c r="CY153" s="423" t="str">
        <f ca="1">IF(CU153="","",VLOOKUP(CU153,games.a,6,FALSE))</f>
        <v/>
      </c>
      <c r="CZ153" s="409" t="str">
        <f ca="1">IF(CU153="","",VLOOKUP(CU153,games.a,7,FALSE))</f>
        <v/>
      </c>
      <c r="DA153" s="523" t="str">
        <f t="shared" ca="1" si="253"/>
        <v/>
      </c>
      <c r="DB153" s="302"/>
      <c r="DC153" s="364"/>
      <c r="DD153" s="445"/>
      <c r="DF153" s="424"/>
      <c r="DW153" s="365"/>
      <c r="DX153" s="424"/>
      <c r="DY153" s="424"/>
      <c r="DZ153" s="424"/>
      <c r="EC153" s="404" t="str">
        <f t="shared" si="254"/>
        <v/>
      </c>
      <c r="ED153" s="360" t="str">
        <f ca="1">IF(OR(EC153="",EJ153="",EC153=EJ153,ISNA(VLOOKUP(CONCATENATE(EC153,EJ153),games.a,2,FALSE))),"",CONCATENATE(EC153,EJ153))</f>
        <v/>
      </c>
      <c r="EE153" s="524" t="str">
        <f ca="1">IF(OR(ED153="",EJ140&gt;2),"",CONCATENATE(VLOOKUP(ED153,games.a,9,FALSE),VLOOKUP(ED153,games.a,12,FALSE)))</f>
        <v/>
      </c>
      <c r="EF153" s="413"/>
      <c r="EG153" s="414"/>
      <c r="EH153" s="525" t="str">
        <f ca="1">IF(ED153="","",VLOOKUP(ED153,games.a,6,FALSE))</f>
        <v/>
      </c>
      <c r="EI153" s="362" t="str">
        <f ca="1">IF(ED153="","",VLOOKUP(ED153,games.a,7,FALSE))</f>
        <v/>
      </c>
      <c r="EJ153" s="526" t="str">
        <f ca="1">EJ152</f>
        <v/>
      </c>
      <c r="EK153" s="527"/>
      <c r="EL153" s="528"/>
      <c r="EO153" s="425"/>
      <c r="EP153" s="333"/>
    </row>
    <row r="154" spans="34:146" x14ac:dyDescent="0.25">
      <c r="AI154" s="434" t="s">
        <v>390</v>
      </c>
      <c r="AJ154" s="434" t="s">
        <v>391</v>
      </c>
      <c r="AK154" s="434" t="s">
        <v>392</v>
      </c>
      <c r="AS154" s="434" t="s">
        <v>379</v>
      </c>
      <c r="AU154" s="434" t="s">
        <v>380</v>
      </c>
      <c r="AW154" s="434" t="s">
        <v>381</v>
      </c>
      <c r="AX154" s="318" t="s">
        <v>120</v>
      </c>
      <c r="AY154" s="318" t="s">
        <v>121</v>
      </c>
      <c r="AZ154" s="318" t="s">
        <v>134</v>
      </c>
      <c r="BA154" s="318" t="s">
        <v>122</v>
      </c>
      <c r="BB154" s="318" t="s">
        <v>123</v>
      </c>
      <c r="BC154" s="318" t="s">
        <v>124</v>
      </c>
      <c r="BD154" s="318" t="s">
        <v>125</v>
      </c>
      <c r="BE154" s="318" t="s">
        <v>191</v>
      </c>
      <c r="BF154" s="318" t="s">
        <v>207</v>
      </c>
      <c r="BG154" s="318" t="s">
        <v>126</v>
      </c>
      <c r="BH154" s="318" t="s">
        <v>197</v>
      </c>
      <c r="BI154" s="318" t="s">
        <v>192</v>
      </c>
      <c r="BJ154" s="318" t="s">
        <v>127</v>
      </c>
      <c r="BK154" s="318" t="s">
        <v>208</v>
      </c>
      <c r="BM154" s="318" t="s">
        <v>196</v>
      </c>
      <c r="BN154" s="318" t="s">
        <v>121</v>
      </c>
      <c r="BO154" s="318" t="s">
        <v>134</v>
      </c>
      <c r="BP154" s="318" t="s">
        <v>122</v>
      </c>
      <c r="BQ154" s="318" t="s">
        <v>123</v>
      </c>
      <c r="BR154" s="318" t="s">
        <v>124</v>
      </c>
      <c r="BT154" s="318" t="s">
        <v>196</v>
      </c>
      <c r="BU154" s="318" t="s">
        <v>121</v>
      </c>
      <c r="BV154" s="318" t="s">
        <v>134</v>
      </c>
      <c r="BW154" s="318" t="s">
        <v>122</v>
      </c>
      <c r="BX154" s="318" t="s">
        <v>123</v>
      </c>
      <c r="BY154" s="318" t="s">
        <v>124</v>
      </c>
      <c r="CB154" s="350"/>
      <c r="CC154" s="350"/>
      <c r="CD154" s="350"/>
      <c r="CE154" s="350"/>
      <c r="CF154" s="350"/>
      <c r="CG154" s="350"/>
      <c r="CR154" s="445"/>
      <c r="CS154" s="445"/>
      <c r="CT154" s="522" t="str">
        <f t="shared" si="252"/>
        <v/>
      </c>
      <c r="CU154" s="371" t="str">
        <f ca="1">IF(OR(CT154="",DA154="",CT154=DA154,ISNA(VLOOKUP(CONCATENATE(CT154,DA154),games.a,2,FALSE))),"",CONCATENATE(CT154,DA154))</f>
        <v/>
      </c>
      <c r="CV154" s="371" t="str">
        <f ca="1">IF(CU154="","",CONCATENATE(VLOOKUP(CU154,games.a,9,FALSE),VLOOKUP(CU154,games.a,12,FALSE)))</f>
        <v/>
      </c>
      <c r="CW154" s="369" t="str">
        <f ca="1">IF(CU154="","",VLOOKUP(CU154,games.a,10,FALSE))</f>
        <v/>
      </c>
      <c r="CX154" s="369" t="str">
        <f ca="1">IF(CU154="","",VLOOKUP(CU154,games.a,13,FALSE))</f>
        <v/>
      </c>
      <c r="CY154" s="423" t="str">
        <f ca="1">IF(CU154="","",VLOOKUP(CU154,games.a,6,FALSE))</f>
        <v/>
      </c>
      <c r="CZ154" s="409" t="str">
        <f ca="1">IF(CU154="","",VLOOKUP(CU154,games.a,7,FALSE))</f>
        <v/>
      </c>
      <c r="DA154" s="523" t="str">
        <f t="shared" ca="1" si="253"/>
        <v/>
      </c>
      <c r="DB154" s="302"/>
      <c r="DC154" s="364"/>
      <c r="DD154" s="445"/>
      <c r="DF154" s="424"/>
      <c r="DW154" s="424"/>
      <c r="DX154" s="424"/>
      <c r="DY154" s="424"/>
      <c r="DZ154" s="424"/>
      <c r="EA154" s="424"/>
      <c r="EB154" s="424"/>
      <c r="EC154" s="398"/>
      <c r="ED154" s="329" t="s">
        <v>157</v>
      </c>
      <c r="EE154" s="329" t="s">
        <v>158</v>
      </c>
      <c r="EF154" s="399"/>
      <c r="EG154" s="400"/>
      <c r="EH154" s="401" t="s">
        <v>160</v>
      </c>
      <c r="EI154" s="402" t="s">
        <v>135</v>
      </c>
      <c r="EJ154" s="398"/>
      <c r="EK154" s="365"/>
      <c r="EL154" s="365"/>
      <c r="EO154" s="425"/>
      <c r="EP154" s="333"/>
    </row>
    <row r="155" spans="34:146" x14ac:dyDescent="0.25">
      <c r="AH155" s="336" t="str">
        <f ca="1">AW155</f>
        <v>Bakafogó-Honvéd-Sashegy SE</v>
      </c>
      <c r="AI155" s="443" t="str">
        <f ca="1">IF(AJ155=AK155,"►",IF(AJ155&lt;AK155,"▲","▼"))</f>
        <v>►</v>
      </c>
      <c r="AJ155" s="444">
        <f t="shared" ref="AJ155:AJ164" ca="1" si="255">IF($AD$58=1,RANK(AU155,$AU$155:$AU$164,1),RANK(AS155,$AS$155:$AS$164,1))</f>
        <v>9</v>
      </c>
      <c r="AK155" s="444">
        <f t="shared" ref="AK155:AK164" ca="1" si="256">IF($AD$58=1,RANK(AU66,$AU$66:$AU$75,1),RANK(AU142,$AU$142:$AU$151,1))</f>
        <v>9</v>
      </c>
      <c r="AS155" s="348">
        <f ca="1">IF($AD$58=2,BB155,BC155*-1)*1000000+IF(ASZTAB!$AJ$44,BE155,BD155)*1000+BJ155-IF(AW155=0,1000000000000,0)</f>
        <v>-70016999.959999993</v>
      </c>
      <c r="AU155" s="348">
        <f ca="1">IF(ASZTAB!$AJ$44,BI155*100,IF(ASZTAB!$AJ$43,BG155*10,BG155))*1000000+IF(ASZTAB!$AJ$52,AY155*10000,0)+IF(ASZTAB!$AJ$44,BE155,BD155)*1000/IF(OR(ASZTAB!AJ$43,ASZTAB!$AJ$52),10,1)+IF(ASZTAB!$AJ$44,0,IF(ASZTAB!AJ$43,BB155/10,BB155))+BJ155+IF($AD$80,BK155,0)-IF(AW155=0,1000000000,0)</f>
        <v>10983053.039999999</v>
      </c>
      <c r="AV155" s="349">
        <v>1</v>
      </c>
      <c r="AW155" s="378" t="str">
        <f ca="1">IF(NOT($AD$44),0,RCSOP!BE69)</f>
        <v>Bakafogó-Honvéd-Sashegy SE</v>
      </c>
      <c r="AX155" s="346">
        <f ca="1">AY155+AZ155+BA155</f>
        <v>3</v>
      </c>
      <c r="AY155" s="346">
        <f t="shared" ref="AY155:AY164" ca="1" si="257">IF(NOT($AD$44),0,IF($AD$57=1,BN155+BU155,IF($AD$57=2,BN155,IF($AD$57=3,BU155,""))))</f>
        <v>1</v>
      </c>
      <c r="AZ155" s="346">
        <f t="shared" ref="AZ155:AZ164" ca="1" si="258">IF(NOT($AD$44),0,IF($AD$57=1,BO155+BV155,IF($AD$57=2,BO155,IF($AD$57=3,BV155,""))))</f>
        <v>2</v>
      </c>
      <c r="BA155" s="346">
        <f t="shared" ref="BA155:BA164" ca="1" si="259">IF(NOT($AD$44),0,IF($AD$57=1,BP155+BW155,IF($AD$57=2,BP155,IF($AD$57=3,BW155,""))))</f>
        <v>0</v>
      </c>
      <c r="BB155" s="346">
        <f t="shared" ref="BB155:BB164" ca="1" si="260">IF(NOT($AD$44),0,IF($AD$57=1,BQ155+BX155,IF($AD$57=2,BQ155,IF($AD$57=3,BX155,""))))</f>
        <v>53</v>
      </c>
      <c r="BC155" s="346">
        <f t="shared" ref="BC155:BC164" ca="1" si="261">IF(NOT($AD$44),0,IF($AD$57=1,BR155+BY155,IF($AD$57=2,BR155,IF($AD$57=3,BY155,""))))</f>
        <v>70</v>
      </c>
      <c r="BD155" s="346">
        <f ca="1">BB155-BC155</f>
        <v>-17</v>
      </c>
      <c r="BE155" s="347">
        <f ca="1">IF(BC155=0,0,BB155/BC155)</f>
        <v>0.75714285714285712</v>
      </c>
      <c r="BF155" s="346">
        <f t="shared" ref="BF155:BF164" ca="1" si="262">IF(NOT($AD$44),0,IF(OR(NOT($AD$81),ISNA(VLOOKUP(AW155,penalty.r,2,FALSE))),0,VLOOKUP(AW155,penalty.r,2,FALSE))-IF(OR(NOT($AD$91),NOT($AD$103),ISNA(VLOOKUP(AW155,zpoint,2,FALSE))),0,VLOOKUP(AW155,zpoint,2,FALSE)))</f>
        <v>-6</v>
      </c>
      <c r="BG155" s="346">
        <f ca="1">IF(NOT($AD$44),0,ASZTAB!$AJ$48*AY155+AZ155-BF155)</f>
        <v>11</v>
      </c>
      <c r="BH155" s="346">
        <f ca="1">IF(NOT($AD$44),0,AY155*2+BA155-BF155)</f>
        <v>8</v>
      </c>
      <c r="BI155" s="347">
        <f ca="1">IF(NOT($AD$44),0,IF(AND(AX155=0,BH155=0),0,BH155/(AX155*2+IF($AD$91,$AD$104,0))))</f>
        <v>0.44444444444444442</v>
      </c>
      <c r="BJ155" s="348">
        <v>0.04</v>
      </c>
      <c r="BK155" s="349">
        <f t="shared" ref="BK155:BK164" ca="1" si="263">IF(ISNA(VLOOKUP(AW155,eee.rn,16,FALSE)),0,VLOOKUP(AW155,eee.rn,16,FALSE))</f>
        <v>0</v>
      </c>
      <c r="BM155" s="346">
        <f t="shared" ref="BM155:BM164" ca="1" si="264">IF(NOT($AD$44),0,COUNTIF(lossh.rv,CONCATENATE($AW155,"ooo"))-COUNTIF($BG$115:$BG$126,CONCATENATE($AW155,"ooo"))+IF(OR(NOT($AD$91),NOT($AD$101)),0,IF($AD$102,COUNTIF(lossh.aa,CONCATENATE($AW155,"ooo")),COUNTIF(zlossh,CONCATENATE($AW155,"ooo")))))</f>
        <v>0</v>
      </c>
      <c r="BN155" s="346">
        <f t="shared" ref="BN155:BN164" ca="1" si="265">IF(NOT($AD$44),0,COUNTIF(winh.rv,$AW155)-COUNTIF($BE$115:$BE$126,$AW155)+IF(OR(NOT($AD$91),NOT($AD$101)),0,IF($AD$102,COUNTIF(winh.aa,$AW155),COUNTIF(zwinh,$AW155))))</f>
        <v>1</v>
      </c>
      <c r="BO155" s="346">
        <f t="shared" ref="BO155:BO164" ca="1" si="266">IF(NOT($AD$44),0,COUNTIF(drawh.rv,$AW155)-COUNTIF($BF$115:$BF$126,$AW155)+IF(OR(NOT($AD$91),NOT($AD$101)),0,IF($AD$102,COUNTIF(drawh.aa,$AW155),COUNTIF(zdrawh,$AW155))))</f>
        <v>2</v>
      </c>
      <c r="BP155" s="346">
        <f t="shared" ref="BP155:BP164" ca="1" si="267">IF(NOT($AD$44),0,COUNTIF(lossh.rv,$AW155)-COUNTIF($BG$115:$BG$126,$AW155)+BM155+IF(OR(NOT($AD$91),NOT($AD$101)),0,IF($AD$102,COUNTIF(lossh.aa,$AW155),COUNTIF(zlossh,$AW155))))</f>
        <v>0</v>
      </c>
      <c r="BQ155" s="534">
        <f t="shared" ref="BQ155:BQ164" ca="1" si="268">IF(NOT($AD$44),0,SUMIF(home.rv,$AW155,GAA.rv)-SUMIF($BA$115:$BA$126,$AW155,$BC$115:$BC$126)+IF(OR(NOT($AD$91),NOT($AD$101)),0,IF(TRUE,SUMIF(home.aa,$AW155,GAA.aa),SUMIF(zhome,$AW155,zfor))))</f>
        <v>33</v>
      </c>
      <c r="BR155" s="534">
        <f t="shared" ref="BR155:BR164" ca="1" si="269">IF(NOT($AD$44),0,SUMIF(home.rv,$AW155,GBB.rv)-SUMIF($BA$115:$BA$126,$AW155,$BD$115:$BD$126)+IF(OR(NOT($AD$91),NOT($AD$101)),0,IF(TRUE,SUMIF(home.aa,$AW155,GBB.aa),SUMIF(zhome,$AW155,zagainst))))</f>
        <v>36</v>
      </c>
      <c r="BT155" s="346">
        <f t="shared" ref="BT155:BT164" ca="1" si="270">IF(NOT($AD$44),0,COUNTIF(lossa.rv,CONCATENATE($AW155,"ooo"))-COUNTIF($BJ$115:$BJ$126,CONCATENATE($AW155,"ooo"))+IF(OR(NOT($AD$91),NOT($AD$101)),0,IF($AD$102,COUNTIF(lossa.aa,CONCATENATE($AW155,"ooo")),COUNTIF(zlossa,CONCATENATE($AW155,"ooo")))))</f>
        <v>0</v>
      </c>
      <c r="BU155" s="346">
        <f t="shared" ref="BU155:BU164" ca="1" si="271">IF(NOT($AD$44),0,COUNTIF(wina.rv,$AW155)-COUNTIF($BH$115:$BH$126,$AW155)+IF(OR(NOT($AD$91),NOT($AD$101)),0,IF($AD$102,COUNTIF(wina.aa,$AW155),COUNTIF(zwina,$AW155))))</f>
        <v>0</v>
      </c>
      <c r="BV155" s="346">
        <f t="shared" ref="BV155:BV164" ca="1" si="272">IF(NOT($AD$44),0,COUNTIF(drawa.rv,$AW155)-COUNTIF($BI$115:$BI$126,$AW155)+IF(OR(NOT($AD$91),NOT($AD$101)),0,IF($AD$102,COUNTIF(drawa.aa,$AW155),COUNTIF(zdrawa,$AW155))))</f>
        <v>0</v>
      </c>
      <c r="BW155" s="346">
        <f t="shared" ref="BW155:BW164" ca="1" si="273">IF(NOT($AD$44),0,COUNTIF(lossa.rv,$AW155)-COUNTIF($BJ$115:$BJ$126,$AW155)+BT155+IF(OR(NOT($AD$91),NOT($AD$101)),0,IF($AD$102,COUNTIF(lossa.aa,$AW155),COUNTIF(zlossa,$AW155))))</f>
        <v>0</v>
      </c>
      <c r="BX155" s="534">
        <f t="shared" ref="BX155:BX164" ca="1" si="274">IF(NOT($AD$44),0,SUMIF(away.rv,$AW155,GBB.rv)-SUMIF($BB$115:$BB$126,$AW155,$BD$115:$BD$126)+IF(OR(NOT($AD$91),NOT($AD$101)),0,IF(TRUE,SUMIF(away.aa,$AW155,GBB.aa),SUMIF(zaway,$AW155,zagainst))))</f>
        <v>20</v>
      </c>
      <c r="BY155" s="534">
        <f t="shared" ref="BY155:BY164" ca="1" si="275">IF(NOT($AD$44),0,SUMIF(away.rv,$AW155,GAA.rv)-SUMIF($BB$115:$BB$126,$AW155,$BC$115:$BC$126)+IF(OR(NOT($AD$91),NOT($AD$101)),0,IF(TRUE,SUMIF(away.aa,$AW155,GAA.aa),SUMIF(zaway,$AW155,zfor))))</f>
        <v>34</v>
      </c>
      <c r="CB155" s="350"/>
      <c r="CC155" s="350"/>
      <c r="CD155" s="350"/>
      <c r="CE155" s="350"/>
      <c r="CF155" s="350"/>
      <c r="CG155" s="445"/>
      <c r="CR155" s="445"/>
      <c r="CS155" s="445"/>
      <c r="CT155" s="301"/>
      <c r="CU155" s="324" t="s">
        <v>157</v>
      </c>
      <c r="CV155" s="324" t="s">
        <v>158</v>
      </c>
      <c r="CW155" s="325" t="s">
        <v>159</v>
      </c>
      <c r="CX155" s="325"/>
      <c r="CY155" s="326" t="s">
        <v>160</v>
      </c>
      <c r="CZ155" s="325" t="s">
        <v>135</v>
      </c>
      <c r="DA155" s="302"/>
      <c r="DB155" s="302"/>
      <c r="DC155" s="364"/>
      <c r="DD155" s="445"/>
      <c r="DF155" s="424"/>
      <c r="DW155" s="424"/>
      <c r="DX155" s="424"/>
      <c r="DY155" s="424"/>
      <c r="DZ155" s="424"/>
      <c r="EA155" s="424"/>
      <c r="EB155" s="424"/>
      <c r="EC155" s="404" t="str">
        <f t="shared" ref="EC155:EC160" ca="1" si="276">EC148</f>
        <v/>
      </c>
      <c r="ED155" s="371" t="str">
        <f ca="1">IF(OR(EC155="",EJ155="",EC155=EJ155,ISNA(VLOOKUP(CONCATENATE(EC155,EJ155),games.r,2,FALSE))),"",CONCATENATE(EC155,EJ155))</f>
        <v/>
      </c>
      <c r="EE155" s="405" t="str">
        <f ca="1">IF(OR(ED155="",EJ140&gt;2),"",CONCATENATE(VLOOKUP(ED155,games.r,9,FALSE),VLOOKUP(ED155,games.r,12,FALSE)))</f>
        <v/>
      </c>
      <c r="EF155" s="406"/>
      <c r="EG155" s="407"/>
      <c r="EH155" s="408" t="str">
        <f ca="1">IF(ED155="","",VLOOKUP(ED155,games.r,6,FALSE))</f>
        <v/>
      </c>
      <c r="EI155" s="409" t="str">
        <f ca="1">IF(ED155="","",VLOOKUP(ED155,games.r,7,FALSE))</f>
        <v/>
      </c>
      <c r="EJ155" s="410" t="str">
        <f ca="1">EC143</f>
        <v/>
      </c>
      <c r="EK155" s="411"/>
      <c r="EL155" s="412"/>
      <c r="EO155" s="425"/>
      <c r="EP155" s="333"/>
    </row>
    <row r="156" spans="34:146" x14ac:dyDescent="0.25">
      <c r="AH156" s="336" t="str">
        <f t="shared" ref="AH156:AH164" ca="1" si="277">AW156</f>
        <v>Vakana</v>
      </c>
      <c r="AI156" s="443" t="str">
        <f t="shared" ref="AI156:AI164" ca="1" si="278">IF(AJ156=AK156,"►",IF(AJ156&lt;AK156,"▲","▼"))</f>
        <v>►</v>
      </c>
      <c r="AJ156" s="444">
        <f t="shared" ca="1" si="255"/>
        <v>10</v>
      </c>
      <c r="AK156" s="444">
        <f t="shared" ca="1" si="256"/>
        <v>10</v>
      </c>
      <c r="AS156" s="348">
        <f ca="1">IF($AD$58=2,BB156,BC156*-1)*1000000+IF(ASZTAB!$AJ$44,BE156,BD156)*1000+BJ156-IF(AW156=0,1000000000000,0)</f>
        <v>-70025999.960999995</v>
      </c>
      <c r="AU156" s="348">
        <f ca="1">IF(ASZTAB!$AJ$44,BI156*100,IF(ASZTAB!$AJ$43,BG156*10,BG156))*1000000+IF(ASZTAB!$AJ$52,AY156*10000,0)+IF(ASZTAB!$AJ$44,BE156,BD156)*1000/IF(OR(ASZTAB!AJ$43,ASZTAB!$AJ$52),10,1)+IF(ASZTAB!$AJ$44,0,IF(ASZTAB!AJ$43,BB156/10,BB156))+BJ156+IF($AD$80,BK156,0)-IF(AW156=0,1000000000,0)</f>
        <v>12974044.039000001</v>
      </c>
      <c r="AV156" s="349">
        <v>2</v>
      </c>
      <c r="AW156" s="378" t="str">
        <f ca="1">IF(NOT($AD$44),0,RCSOP!BE70)</f>
        <v>Vakana</v>
      </c>
      <c r="AX156" s="346">
        <f t="shared" ref="AX156:AX164" ca="1" si="279">AY156+AZ156+BA156</f>
        <v>3</v>
      </c>
      <c r="AY156" s="346">
        <f t="shared" ca="1" si="257"/>
        <v>2</v>
      </c>
      <c r="AZ156" s="346">
        <f t="shared" ca="1" si="258"/>
        <v>1</v>
      </c>
      <c r="BA156" s="346">
        <f t="shared" ca="1" si="259"/>
        <v>0</v>
      </c>
      <c r="BB156" s="346">
        <f t="shared" ca="1" si="260"/>
        <v>44</v>
      </c>
      <c r="BC156" s="346">
        <f t="shared" ca="1" si="261"/>
        <v>70</v>
      </c>
      <c r="BD156" s="346">
        <f t="shared" ref="BD156:BD164" ca="1" si="280">BB156-BC156</f>
        <v>-26</v>
      </c>
      <c r="BE156" s="347">
        <f t="shared" ref="BE156:BE164" ca="1" si="281">IF(BC156=0,0,BB156/BC156)</f>
        <v>0.62857142857142856</v>
      </c>
      <c r="BF156" s="346">
        <f t="shared" ca="1" si="262"/>
        <v>-6</v>
      </c>
      <c r="BG156" s="346">
        <f ca="1">IF(NOT($AD$44),0,ASZTAB!$AJ$48*AY156+AZ156-BF156)</f>
        <v>13</v>
      </c>
      <c r="BH156" s="346">
        <f t="shared" ref="BH156:BH164" ca="1" si="282">IF(NOT($AD$44),0,AY156*2+BA156-BF156)</f>
        <v>10</v>
      </c>
      <c r="BI156" s="347">
        <f t="shared" ref="BI156:BI164" ca="1" si="283">IF(NOT($AD$44),0,IF(AND(AX156=0,BH156=0),0,BH156/(AX156*2+IF($AD$91,$AD$104,0))))</f>
        <v>0.55555555555555558</v>
      </c>
      <c r="BJ156" s="348">
        <v>3.9E-2</v>
      </c>
      <c r="BK156" s="349">
        <f t="shared" ca="1" si="263"/>
        <v>0</v>
      </c>
      <c r="BM156" s="346">
        <f t="shared" ca="1" si="264"/>
        <v>0</v>
      </c>
      <c r="BN156" s="346">
        <f t="shared" ca="1" si="265"/>
        <v>2</v>
      </c>
      <c r="BO156" s="346">
        <f t="shared" ca="1" si="266"/>
        <v>1</v>
      </c>
      <c r="BP156" s="346">
        <f t="shared" ca="1" si="267"/>
        <v>0</v>
      </c>
      <c r="BQ156" s="534">
        <f t="shared" ca="1" si="268"/>
        <v>24</v>
      </c>
      <c r="BR156" s="534">
        <f t="shared" ca="1" si="269"/>
        <v>39</v>
      </c>
      <c r="BT156" s="346">
        <f t="shared" ca="1" si="270"/>
        <v>0</v>
      </c>
      <c r="BU156" s="346">
        <f t="shared" ca="1" si="271"/>
        <v>0</v>
      </c>
      <c r="BV156" s="346">
        <f t="shared" ca="1" si="272"/>
        <v>0</v>
      </c>
      <c r="BW156" s="346">
        <f t="shared" ca="1" si="273"/>
        <v>0</v>
      </c>
      <c r="BX156" s="534">
        <f t="shared" ca="1" si="274"/>
        <v>20</v>
      </c>
      <c r="BY156" s="534">
        <f t="shared" ca="1" si="275"/>
        <v>31</v>
      </c>
      <c r="CB156" s="350"/>
      <c r="CC156" s="350"/>
      <c r="CD156" s="350"/>
      <c r="CE156" s="350"/>
      <c r="CF156" s="350"/>
      <c r="CG156" s="445"/>
      <c r="CR156" s="445"/>
      <c r="CS156" s="445"/>
      <c r="CT156" s="395" t="str">
        <f t="shared" ref="CT156:CT165" ca="1" si="284">CT145</f>
        <v/>
      </c>
      <c r="CU156" s="360" t="str">
        <f ca="1">IF(OR(CT156="",DA156="",CT156=DA156,ISNA(VLOOKUP(CONCATENATE(CT156,DA156),games.r,2,FALSE))),"",CONCATENATE(CT156,DA156))</f>
        <v/>
      </c>
      <c r="CV156" s="360" t="str">
        <f ca="1">IF(CU156="","",CONCATENATE(VLOOKUP(CU156,games.r,9,FALSE),VLOOKUP(CU156,games.r,12,FALSE)))</f>
        <v/>
      </c>
      <c r="CW156" s="354" t="str">
        <f ca="1">IF(CU156="","",VLOOKUP(CU156,games.r,10,FALSE))</f>
        <v/>
      </c>
      <c r="CX156" s="354" t="str">
        <f ca="1">IF(CU156="","",VLOOKUP(CU156,games.r,13,FALSE))</f>
        <v/>
      </c>
      <c r="CY156" s="361" t="str">
        <f ca="1">IF(CU156="","",VLOOKUP(CU156,games.r,6,FALSE))</f>
        <v/>
      </c>
      <c r="CZ156" s="362" t="str">
        <f ca="1">IF(CU156="","",VLOOKUP(CU156,games.r,7,FALSE))</f>
        <v/>
      </c>
      <c r="DA156" s="363" t="str">
        <f ca="1">CT136</f>
        <v/>
      </c>
      <c r="DB156" s="302"/>
      <c r="DC156" s="364"/>
      <c r="DD156" s="445"/>
      <c r="DF156" s="424"/>
      <c r="DW156" s="424"/>
      <c r="DX156" s="424"/>
      <c r="DY156" s="424"/>
      <c r="DZ156" s="424"/>
      <c r="EA156" s="424"/>
      <c r="EB156" s="424"/>
      <c r="EC156" s="404" t="str">
        <f t="shared" ca="1" si="276"/>
        <v/>
      </c>
      <c r="ED156" s="371" t="str">
        <f ca="1">IF(OR(EC156="",EJ156="",EC156=EJ156,ISNA(VLOOKUP(CONCATENATE(EC156,EJ156),games.r,2,FALSE))),"",CONCATENATE(EC156,EJ156))</f>
        <v/>
      </c>
      <c r="EE156" s="405" t="str">
        <f ca="1">IF(OR(ED156="",EJ140&gt;2),"",CONCATENATE(VLOOKUP(ED156,games.r,9,FALSE),VLOOKUP(ED156,games.r,12,FALSE)))</f>
        <v/>
      </c>
      <c r="EF156" s="413"/>
      <c r="EG156" s="414"/>
      <c r="EH156" s="408" t="str">
        <f ca="1">IF(ED156="","",VLOOKUP(ED156,games.r,6,FALSE))</f>
        <v/>
      </c>
      <c r="EI156" s="409" t="str">
        <f ca="1">IF(ED156="","",VLOOKUP(ED156,games.r,7,FALSE))</f>
        <v/>
      </c>
      <c r="EJ156" s="415" t="str">
        <f ca="1">EJ155</f>
        <v/>
      </c>
      <c r="EK156" s="416"/>
      <c r="EL156" s="417"/>
      <c r="EO156" s="425"/>
      <c r="EP156" s="333"/>
    </row>
    <row r="157" spans="34:146" x14ac:dyDescent="0.25">
      <c r="AH157" s="336" t="str">
        <f t="shared" ca="1" si="277"/>
        <v>Carbonász</v>
      </c>
      <c r="AI157" s="443" t="str">
        <f t="shared" ca="1" si="278"/>
        <v>►</v>
      </c>
      <c r="AJ157" s="444">
        <f t="shared" ca="1" si="255"/>
        <v>7</v>
      </c>
      <c r="AK157" s="444">
        <f t="shared" ca="1" si="256"/>
        <v>7</v>
      </c>
      <c r="AS157" s="348">
        <f ca="1">IF($AD$58=2,BB157,BC157*-1)*1000000+IF(ASZTAB!$AJ$44,BE157,BD157)*1000+BJ157-IF(AW157=0,1000000000000,0)</f>
        <v>-111062999.962</v>
      </c>
      <c r="AU157" s="348">
        <f ca="1">IF(ASZTAB!$AJ$44,BI157*100,IF(ASZTAB!$AJ$43,BG157*10,BG157))*1000000+IF(ASZTAB!$AJ$52,AY157*10000,0)+IF(ASZTAB!$AJ$44,BE157,BD157)*1000/IF(OR(ASZTAB!AJ$43,ASZTAB!$AJ$52),10,1)+IF(ASZTAB!$AJ$44,0,IF(ASZTAB!AJ$43,BB157/10,BB157))+BJ157+IF($AD$80,BK157,0)-IF(AW157=0,1000000000,0)</f>
        <v>2937048.0380000002</v>
      </c>
      <c r="AV157" s="349">
        <v>3</v>
      </c>
      <c r="AW157" s="378" t="str">
        <f ca="1">IF(NOT($AD$44),0,RCSOP!BE71)</f>
        <v>Carbonász</v>
      </c>
      <c r="AX157" s="346">
        <f t="shared" ca="1" si="279"/>
        <v>3</v>
      </c>
      <c r="AY157" s="346">
        <f t="shared" ca="1" si="257"/>
        <v>0</v>
      </c>
      <c r="AZ157" s="346">
        <f t="shared" ca="1" si="258"/>
        <v>1</v>
      </c>
      <c r="BA157" s="346">
        <f t="shared" ca="1" si="259"/>
        <v>2</v>
      </c>
      <c r="BB157" s="346">
        <f t="shared" ca="1" si="260"/>
        <v>48</v>
      </c>
      <c r="BC157" s="346">
        <f t="shared" ca="1" si="261"/>
        <v>111</v>
      </c>
      <c r="BD157" s="346">
        <f t="shared" ca="1" si="280"/>
        <v>-63</v>
      </c>
      <c r="BE157" s="347">
        <f t="shared" ca="1" si="281"/>
        <v>0.43243243243243246</v>
      </c>
      <c r="BF157" s="346">
        <f t="shared" ca="1" si="262"/>
        <v>-2</v>
      </c>
      <c r="BG157" s="346">
        <f ca="1">IF(NOT($AD$44),0,ASZTAB!$AJ$48*AY157+AZ157-BF157)</f>
        <v>3</v>
      </c>
      <c r="BH157" s="346">
        <f t="shared" ca="1" si="282"/>
        <v>4</v>
      </c>
      <c r="BI157" s="347">
        <f t="shared" ca="1" si="283"/>
        <v>0.22222222222222221</v>
      </c>
      <c r="BJ157" s="348">
        <v>3.7999999999999999E-2</v>
      </c>
      <c r="BK157" s="349">
        <f t="shared" ca="1" si="263"/>
        <v>0</v>
      </c>
      <c r="BM157" s="346">
        <f t="shared" ca="1" si="264"/>
        <v>0</v>
      </c>
      <c r="BN157" s="346">
        <f t="shared" ca="1" si="265"/>
        <v>0</v>
      </c>
      <c r="BO157" s="346">
        <f t="shared" ca="1" si="266"/>
        <v>0</v>
      </c>
      <c r="BP157" s="346">
        <f t="shared" ca="1" si="267"/>
        <v>1</v>
      </c>
      <c r="BQ157" s="534">
        <f t="shared" ca="1" si="268"/>
        <v>25</v>
      </c>
      <c r="BR157" s="534">
        <f t="shared" ca="1" si="269"/>
        <v>55</v>
      </c>
      <c r="BT157" s="346">
        <f t="shared" ca="1" si="270"/>
        <v>0</v>
      </c>
      <c r="BU157" s="346">
        <f t="shared" ca="1" si="271"/>
        <v>0</v>
      </c>
      <c r="BV157" s="346">
        <f t="shared" ca="1" si="272"/>
        <v>1</v>
      </c>
      <c r="BW157" s="346">
        <f t="shared" ca="1" si="273"/>
        <v>1</v>
      </c>
      <c r="BX157" s="534">
        <f t="shared" ca="1" si="274"/>
        <v>23</v>
      </c>
      <c r="BY157" s="534">
        <f t="shared" ca="1" si="275"/>
        <v>56</v>
      </c>
      <c r="CB157" s="445"/>
      <c r="CC157" s="350"/>
      <c r="CD157" s="350"/>
      <c r="CE157" s="350"/>
      <c r="CF157" s="350"/>
      <c r="CG157" s="445"/>
      <c r="CR157" s="445"/>
      <c r="CS157" s="445"/>
      <c r="CT157" s="395" t="str">
        <f t="shared" ca="1" si="284"/>
        <v/>
      </c>
      <c r="CU157" s="360" t="str">
        <f ca="1">IF(OR(CT157="",DA157="",CT157=DA157,ISNA(VLOOKUP(CONCATENATE(CT157,DA157),games.r,2,FALSE))),"",CONCATENATE(CT157,DA157))</f>
        <v/>
      </c>
      <c r="CV157" s="360" t="str">
        <f ca="1">IF(CU157="","",CONCATENATE(VLOOKUP(CU157,games.r,9,FALSE),VLOOKUP(CU157,games.r,12,FALSE)))</f>
        <v/>
      </c>
      <c r="CW157" s="354" t="str">
        <f ca="1">IF(CU157="","",VLOOKUP(CU157,games.r,10,FALSE))</f>
        <v/>
      </c>
      <c r="CX157" s="354" t="str">
        <f ca="1">IF(CU157="","",VLOOKUP(CU157,games.r,13,FALSE))</f>
        <v/>
      </c>
      <c r="CY157" s="361" t="str">
        <f ca="1">IF(CU157="","",VLOOKUP(CU157,games.r,6,FALSE))</f>
        <v/>
      </c>
      <c r="CZ157" s="362" t="str">
        <f ca="1">IF(CU157="","",VLOOKUP(CU157,games.r,7,FALSE))</f>
        <v/>
      </c>
      <c r="DA157" s="379" t="str">
        <f t="shared" ref="DA157:DA165" ca="1" si="285">DA156</f>
        <v/>
      </c>
      <c r="DB157" s="302"/>
      <c r="DC157" s="364"/>
      <c r="DD157" s="445"/>
      <c r="DF157" s="424"/>
      <c r="DW157" s="424"/>
      <c r="DX157" s="424"/>
      <c r="DY157" s="424"/>
      <c r="DZ157" s="424"/>
      <c r="EA157" s="424"/>
      <c r="EB157" s="424"/>
      <c r="EC157" s="404" t="str">
        <f t="shared" ca="1" si="276"/>
        <v/>
      </c>
      <c r="ED157" s="371" t="str">
        <f ca="1">IF(OR(EC157="",EJ157="",EC157=EJ157,ISNA(VLOOKUP(CONCATENATE(EC157,EJ157),games.r,2,FALSE))),"",CONCATENATE(EC157,EJ157))</f>
        <v/>
      </c>
      <c r="EE157" s="405" t="str">
        <f ca="1">IF(OR(ED157="",EJ140&gt;2),"",CONCATENATE(VLOOKUP(ED157,games.r,9,FALSE),VLOOKUP(ED157,games.r,12,FALSE)))</f>
        <v/>
      </c>
      <c r="EF157" s="413"/>
      <c r="EG157" s="414"/>
      <c r="EH157" s="408" t="str">
        <f ca="1">IF(ED157="","",VLOOKUP(ED157,games.r,6,FALSE))</f>
        <v/>
      </c>
      <c r="EI157" s="409" t="str">
        <f ca="1">IF(ED157="","",VLOOKUP(ED157,games.r,7,FALSE))</f>
        <v/>
      </c>
      <c r="EJ157" s="415" t="str">
        <f ca="1">EJ156</f>
        <v/>
      </c>
      <c r="EK157" s="416"/>
      <c r="EL157" s="417"/>
      <c r="EO157" s="425"/>
      <c r="EP157" s="333"/>
    </row>
    <row r="158" spans="34:146" x14ac:dyDescent="0.25">
      <c r="AH158" s="336" t="str">
        <f t="shared" ca="1" si="277"/>
        <v>Bőrdíszmű</v>
      </c>
      <c r="AI158" s="443" t="str">
        <f t="shared" ca="1" si="278"/>
        <v>►</v>
      </c>
      <c r="AJ158" s="444">
        <f t="shared" ca="1" si="255"/>
        <v>8</v>
      </c>
      <c r="AK158" s="444">
        <f t="shared" ca="1" si="256"/>
        <v>8</v>
      </c>
      <c r="AS158" s="348">
        <f ca="1">IF($AD$58=2,BB158,BC158*-1)*1000000+IF(ASZTAB!$AJ$44,BE158,BD158)*1000+BJ158-IF(AW158=0,1000000000000,0)</f>
        <v>-99061999.963</v>
      </c>
      <c r="AU158" s="348">
        <f ca="1">IF(ASZTAB!$AJ$44,BI158*100,IF(ASZTAB!$AJ$43,BG158*10,BG158))*1000000+IF(ASZTAB!$AJ$52,AY158*10000,0)+IF(ASZTAB!$AJ$44,BE158,BD158)*1000/IF(OR(ASZTAB!AJ$43,ASZTAB!$AJ$52),10,1)+IF(ASZTAB!$AJ$44,0,IF(ASZTAB!AJ$43,BB158/10,BB158))+BJ158+IF($AD$80,BK158,0)-IF(AW158=0,1000000000,0)</f>
        <v>6938037.0369999995</v>
      </c>
      <c r="AV158" s="349">
        <v>4</v>
      </c>
      <c r="AW158" s="378" t="str">
        <f ca="1">IF(NOT($AD$44),0,RCSOP!BE72)</f>
        <v>Bőrdíszmű</v>
      </c>
      <c r="AX158" s="346">
        <f t="shared" ca="1" si="279"/>
        <v>4</v>
      </c>
      <c r="AY158" s="346">
        <f t="shared" ca="1" si="257"/>
        <v>2</v>
      </c>
      <c r="AZ158" s="346">
        <f t="shared" ca="1" si="258"/>
        <v>0</v>
      </c>
      <c r="BA158" s="346">
        <f t="shared" ca="1" si="259"/>
        <v>2</v>
      </c>
      <c r="BB158" s="346">
        <f t="shared" ca="1" si="260"/>
        <v>37</v>
      </c>
      <c r="BC158" s="346">
        <f t="shared" ca="1" si="261"/>
        <v>99</v>
      </c>
      <c r="BD158" s="346">
        <f t="shared" ca="1" si="280"/>
        <v>-62</v>
      </c>
      <c r="BE158" s="347">
        <f t="shared" ca="1" si="281"/>
        <v>0.37373737373737376</v>
      </c>
      <c r="BF158" s="346">
        <f t="shared" ca="1" si="262"/>
        <v>-1</v>
      </c>
      <c r="BG158" s="346">
        <f ca="1">IF(NOT($AD$44),0,ASZTAB!$AJ$48*AY158+AZ158-BF158)</f>
        <v>7</v>
      </c>
      <c r="BH158" s="346">
        <f t="shared" ca="1" si="282"/>
        <v>7</v>
      </c>
      <c r="BI158" s="347">
        <f t="shared" ca="1" si="283"/>
        <v>0.35</v>
      </c>
      <c r="BJ158" s="348">
        <v>3.6999999999999998E-2</v>
      </c>
      <c r="BK158" s="349">
        <f t="shared" ca="1" si="263"/>
        <v>0</v>
      </c>
      <c r="BM158" s="346">
        <f t="shared" ca="1" si="264"/>
        <v>0</v>
      </c>
      <c r="BN158" s="346">
        <f t="shared" ca="1" si="265"/>
        <v>1</v>
      </c>
      <c r="BO158" s="346">
        <f t="shared" ca="1" si="266"/>
        <v>0</v>
      </c>
      <c r="BP158" s="346">
        <f t="shared" ca="1" si="267"/>
        <v>0</v>
      </c>
      <c r="BQ158" s="534">
        <f t="shared" ca="1" si="268"/>
        <v>14</v>
      </c>
      <c r="BR158" s="534">
        <f t="shared" ca="1" si="269"/>
        <v>52</v>
      </c>
      <c r="BT158" s="346">
        <f t="shared" ca="1" si="270"/>
        <v>0</v>
      </c>
      <c r="BU158" s="346">
        <f t="shared" ca="1" si="271"/>
        <v>1</v>
      </c>
      <c r="BV158" s="346">
        <f t="shared" ca="1" si="272"/>
        <v>0</v>
      </c>
      <c r="BW158" s="346">
        <f t="shared" ca="1" si="273"/>
        <v>2</v>
      </c>
      <c r="BX158" s="534">
        <f t="shared" ca="1" si="274"/>
        <v>23</v>
      </c>
      <c r="BY158" s="534">
        <f t="shared" ca="1" si="275"/>
        <v>47</v>
      </c>
      <c r="CB158" s="445"/>
      <c r="CC158" s="350"/>
      <c r="CD158" s="350"/>
      <c r="CE158" s="350"/>
      <c r="CF158" s="350"/>
      <c r="CG158" s="445"/>
      <c r="CR158" s="445"/>
      <c r="CS158" s="445"/>
      <c r="CT158" s="395" t="str">
        <f t="shared" ca="1" si="284"/>
        <v/>
      </c>
      <c r="CU158" s="360" t="str">
        <f ca="1">IF(OR(CT158="",DA158="",CT158=DA158,ISNA(VLOOKUP(CONCATENATE(CT158,DA158),games.r,2,FALSE))),"",CONCATENATE(CT158,DA158))</f>
        <v/>
      </c>
      <c r="CV158" s="360" t="str">
        <f ca="1">IF(CU158="","",CONCATENATE(VLOOKUP(CU158,games.r,9,FALSE),VLOOKUP(CU158,games.r,12,FALSE)))</f>
        <v/>
      </c>
      <c r="CW158" s="354" t="str">
        <f ca="1">IF(CU158="","",VLOOKUP(CU158,games.r,10,FALSE))</f>
        <v/>
      </c>
      <c r="CX158" s="354" t="str">
        <f ca="1">IF(CU158="","",VLOOKUP(CU158,games.r,13,FALSE))</f>
        <v/>
      </c>
      <c r="CY158" s="361" t="str">
        <f ca="1">IF(CU158="","",VLOOKUP(CU158,games.r,6,FALSE))</f>
        <v/>
      </c>
      <c r="CZ158" s="362" t="str">
        <f ca="1">IF(CU158="","",VLOOKUP(CU158,games.r,7,FALSE))</f>
        <v/>
      </c>
      <c r="DA158" s="379" t="str">
        <f t="shared" ca="1" si="285"/>
        <v/>
      </c>
      <c r="DB158" s="302"/>
      <c r="DC158" s="364"/>
      <c r="DD158" s="445"/>
      <c r="DF158" s="424"/>
      <c r="DW158" s="424"/>
      <c r="DX158" s="424"/>
      <c r="DY158" s="424"/>
      <c r="DZ158" s="424"/>
      <c r="EA158" s="424"/>
      <c r="EB158" s="424"/>
      <c r="EC158" s="404" t="str">
        <f t="shared" si="276"/>
        <v/>
      </c>
      <c r="ED158" s="360" t="str">
        <f ca="1">IF(OR(EC158="",EJ158="",EC158=EJ158,ISNA(VLOOKUP(CONCATENATE(EC158,EJ158),games.a,2,FALSE))),"",CONCATENATE(EC158,EJ158))</f>
        <v/>
      </c>
      <c r="EE158" s="524" t="str">
        <f ca="1">IF(OR(ED158="",EJ140&gt;2),"",CONCATENATE(VLOOKUP(ED158,games.a,9,FALSE),VLOOKUP(ED158,games.a,12,FALSE)))</f>
        <v/>
      </c>
      <c r="EF158" s="413"/>
      <c r="EG158" s="414"/>
      <c r="EH158" s="525" t="str">
        <f ca="1">IF(ED158="","",VLOOKUP(ED158,games.a,6,FALSE))</f>
        <v/>
      </c>
      <c r="EI158" s="362" t="str">
        <f ca="1">IF(ED158="","",VLOOKUP(ED158,games.a,7,FALSE))</f>
        <v/>
      </c>
      <c r="EJ158" s="526" t="str">
        <f ca="1">EJ157</f>
        <v/>
      </c>
      <c r="EK158" s="527"/>
      <c r="EL158" s="528"/>
      <c r="EO158" s="425"/>
      <c r="EP158" s="333"/>
    </row>
    <row r="159" spans="34:146" x14ac:dyDescent="0.25">
      <c r="AH159" s="336" t="str">
        <f t="shared" ca="1" si="277"/>
        <v>Royal Guard's</v>
      </c>
      <c r="AI159" s="443" t="str">
        <f t="shared" ca="1" si="278"/>
        <v>►</v>
      </c>
      <c r="AJ159" s="444">
        <f t="shared" ca="1" si="255"/>
        <v>6</v>
      </c>
      <c r="AK159" s="444">
        <f t="shared" ca="1" si="256"/>
        <v>6</v>
      </c>
      <c r="AS159" s="348">
        <f ca="1">IF($AD$58=2,BB159,BC159*-1)*1000000+IF(ASZTAB!$AJ$44,BE159,BD159)*1000+BJ159-IF(AW159=0,1000000000000,0)</f>
        <v>-80046999.964000002</v>
      </c>
      <c r="AU159" s="348">
        <f ca="1">IF(ASZTAB!$AJ$44,BI159*100,IF(ASZTAB!$AJ$43,BG159*10,BG159))*1000000+IF(ASZTAB!$AJ$52,AY159*10000,0)+IF(ASZTAB!$AJ$44,BE159,BD159)*1000/IF(OR(ASZTAB!AJ$43,ASZTAB!$AJ$52),10,1)+IF(ASZTAB!$AJ$44,0,IF(ASZTAB!AJ$43,BB159/10,BB159))+BJ159+IF($AD$80,BK159,0)-IF(AW159=0,1000000000,0)</f>
        <v>1953033.0360000001</v>
      </c>
      <c r="AV159" s="349">
        <v>5</v>
      </c>
      <c r="AW159" s="378" t="str">
        <f ca="1">IF(NOT($AD$44),0,RCSOP!BE73)</f>
        <v>Royal Guard's</v>
      </c>
      <c r="AX159" s="346">
        <f t="shared" ca="1" si="279"/>
        <v>3</v>
      </c>
      <c r="AY159" s="346">
        <f t="shared" ca="1" si="257"/>
        <v>0</v>
      </c>
      <c r="AZ159" s="346">
        <f t="shared" ca="1" si="258"/>
        <v>2</v>
      </c>
      <c r="BA159" s="346">
        <f t="shared" ca="1" si="259"/>
        <v>1</v>
      </c>
      <c r="BB159" s="346">
        <f t="shared" ca="1" si="260"/>
        <v>33</v>
      </c>
      <c r="BC159" s="346">
        <f t="shared" ca="1" si="261"/>
        <v>80</v>
      </c>
      <c r="BD159" s="346">
        <f t="shared" ca="1" si="280"/>
        <v>-47</v>
      </c>
      <c r="BE159" s="347">
        <f t="shared" ca="1" si="281"/>
        <v>0.41249999999999998</v>
      </c>
      <c r="BF159" s="346">
        <f t="shared" ca="1" si="262"/>
        <v>0</v>
      </c>
      <c r="BG159" s="346">
        <f ca="1">IF(NOT($AD$44),0,ASZTAB!$AJ$48*AY159+AZ159-BF159)</f>
        <v>2</v>
      </c>
      <c r="BH159" s="346">
        <f t="shared" ca="1" si="282"/>
        <v>1</v>
      </c>
      <c r="BI159" s="347">
        <f t="shared" ca="1" si="283"/>
        <v>5.5555555555555552E-2</v>
      </c>
      <c r="BJ159" s="348">
        <v>3.5999999999999997E-2</v>
      </c>
      <c r="BK159" s="349">
        <f t="shared" ca="1" si="263"/>
        <v>0</v>
      </c>
      <c r="BM159" s="346">
        <f t="shared" ca="1" si="264"/>
        <v>0</v>
      </c>
      <c r="BN159" s="346">
        <f t="shared" ca="1" si="265"/>
        <v>0</v>
      </c>
      <c r="BO159" s="346">
        <f t="shared" ca="1" si="266"/>
        <v>0</v>
      </c>
      <c r="BP159" s="346">
        <f t="shared" ca="1" si="267"/>
        <v>0</v>
      </c>
      <c r="BQ159" s="534">
        <f t="shared" ca="1" si="268"/>
        <v>15</v>
      </c>
      <c r="BR159" s="534">
        <f t="shared" ca="1" si="269"/>
        <v>26</v>
      </c>
      <c r="BT159" s="346">
        <f t="shared" ca="1" si="270"/>
        <v>0</v>
      </c>
      <c r="BU159" s="346">
        <f t="shared" ca="1" si="271"/>
        <v>0</v>
      </c>
      <c r="BV159" s="346">
        <f t="shared" ca="1" si="272"/>
        <v>2</v>
      </c>
      <c r="BW159" s="346">
        <f t="shared" ca="1" si="273"/>
        <v>1</v>
      </c>
      <c r="BX159" s="534">
        <f t="shared" ca="1" si="274"/>
        <v>18</v>
      </c>
      <c r="BY159" s="534">
        <f t="shared" ca="1" si="275"/>
        <v>54</v>
      </c>
      <c r="CB159" s="445"/>
      <c r="CC159" s="350"/>
      <c r="CD159" s="350"/>
      <c r="CE159" s="350"/>
      <c r="CF159" s="350"/>
      <c r="CG159" s="445"/>
      <c r="CR159" s="445"/>
      <c r="CS159" s="445"/>
      <c r="CT159" s="395" t="str">
        <f t="shared" ca="1" si="284"/>
        <v/>
      </c>
      <c r="CU159" s="360" t="str">
        <f ca="1">IF(OR(CT159="",DA159="",CT159=DA159,ISNA(VLOOKUP(CONCATENATE(CT159,DA159),games.r,2,FALSE))),"",CONCATENATE(CT159,DA159))</f>
        <v/>
      </c>
      <c r="CV159" s="360" t="str">
        <f ca="1">IF(CU159="","",CONCATENATE(VLOOKUP(CU159,games.r,9,FALSE),VLOOKUP(CU159,games.r,12,FALSE)))</f>
        <v/>
      </c>
      <c r="CW159" s="354" t="str">
        <f ca="1">IF(CU159="","",VLOOKUP(CU159,games.r,10,FALSE))</f>
        <v/>
      </c>
      <c r="CX159" s="354" t="str">
        <f ca="1">IF(CU159="","",VLOOKUP(CU159,games.r,13,FALSE))</f>
        <v/>
      </c>
      <c r="CY159" s="361" t="str">
        <f ca="1">IF(CU159="","",VLOOKUP(CU159,games.r,6,FALSE))</f>
        <v/>
      </c>
      <c r="CZ159" s="362" t="str">
        <f ca="1">IF(CU159="","",VLOOKUP(CU159,games.r,7,FALSE))</f>
        <v/>
      </c>
      <c r="DA159" s="379" t="str">
        <f t="shared" ca="1" si="285"/>
        <v/>
      </c>
      <c r="DB159" s="302"/>
      <c r="DC159" s="364"/>
      <c r="DD159" s="445"/>
      <c r="DF159" s="424"/>
      <c r="DW159" s="424"/>
      <c r="DX159" s="424"/>
      <c r="DY159" s="424"/>
      <c r="DZ159" s="424"/>
      <c r="EA159" s="424"/>
      <c r="EB159" s="424"/>
      <c r="EC159" s="404" t="str">
        <f t="shared" si="276"/>
        <v/>
      </c>
      <c r="ED159" s="360" t="str">
        <f ca="1">IF(OR(EC159="",EJ159="",EC159=EJ159,ISNA(VLOOKUP(CONCATENATE(EC159,EJ159),games.a,2,FALSE))),"",CONCATENATE(EC159,EJ159))</f>
        <v/>
      </c>
      <c r="EE159" s="524" t="str">
        <f ca="1">IF(OR(ED159="",EJ140&gt;2),"",CONCATENATE(VLOOKUP(ED159,games.a,9,FALSE),VLOOKUP(ED159,games.a,12,FALSE)))</f>
        <v/>
      </c>
      <c r="EF159" s="413"/>
      <c r="EG159" s="414"/>
      <c r="EH159" s="525" t="str">
        <f ca="1">IF(ED159="","",VLOOKUP(ED159,games.a,6,FALSE))</f>
        <v/>
      </c>
      <c r="EI159" s="362" t="str">
        <f ca="1">IF(ED159="","",VLOOKUP(ED159,games.a,7,FALSE))</f>
        <v/>
      </c>
      <c r="EJ159" s="526" t="str">
        <f ca="1">EJ158</f>
        <v/>
      </c>
      <c r="EK159" s="527"/>
      <c r="EL159" s="528"/>
      <c r="EO159" s="425"/>
      <c r="EP159" s="333"/>
    </row>
    <row r="160" spans="34:146" x14ac:dyDescent="0.25">
      <c r="AH160" s="336">
        <f t="shared" ca="1" si="277"/>
        <v>0</v>
      </c>
      <c r="AI160" s="443" t="str">
        <f t="shared" ca="1" si="278"/>
        <v>►</v>
      </c>
      <c r="AJ160" s="444">
        <f t="shared" ca="1" si="255"/>
        <v>5</v>
      </c>
      <c r="AK160" s="444">
        <f t="shared" ca="1" si="256"/>
        <v>5</v>
      </c>
      <c r="AS160" s="348">
        <f ca="1">IF($AD$58=2,BB160,BC160*-1)*1000000+IF(ASZTAB!$AJ$44,BE160,BD160)*1000+BJ160-IF(AW160=0,1000000000000,0)</f>
        <v>-999999999999.96497</v>
      </c>
      <c r="AU160" s="348">
        <f ca="1">IF(ASZTAB!$AJ$44,BI160*100,IF(ASZTAB!$AJ$43,BG160*10,BG160))*1000000+IF(ASZTAB!$AJ$52,AY160*10000,0)+IF(ASZTAB!$AJ$44,BE160,BD160)*1000/IF(OR(ASZTAB!AJ$43,ASZTAB!$AJ$52),10,1)+IF(ASZTAB!$AJ$44,0,IF(ASZTAB!AJ$43,BB160/10,BB160))+BJ160+IF($AD$80,BK160,0)-IF(AW160=0,1000000000,0)</f>
        <v>-999999999.96500003</v>
      </c>
      <c r="AV160" s="349">
        <v>6</v>
      </c>
      <c r="AW160" s="378">
        <f ca="1">IF(NOT($AD$44),0,RCSOP!BE74)</f>
        <v>0</v>
      </c>
      <c r="AX160" s="346">
        <f t="shared" ca="1" si="279"/>
        <v>0</v>
      </c>
      <c r="AY160" s="346">
        <f t="shared" ca="1" si="257"/>
        <v>0</v>
      </c>
      <c r="AZ160" s="346">
        <f t="shared" ca="1" si="258"/>
        <v>0</v>
      </c>
      <c r="BA160" s="346">
        <f t="shared" ca="1" si="259"/>
        <v>0</v>
      </c>
      <c r="BB160" s="346">
        <f t="shared" ca="1" si="260"/>
        <v>0</v>
      </c>
      <c r="BC160" s="346">
        <f t="shared" ca="1" si="261"/>
        <v>0</v>
      </c>
      <c r="BD160" s="346">
        <f t="shared" ca="1" si="280"/>
        <v>0</v>
      </c>
      <c r="BE160" s="347">
        <f t="shared" ca="1" si="281"/>
        <v>0</v>
      </c>
      <c r="BF160" s="346">
        <f t="shared" ca="1" si="262"/>
        <v>0</v>
      </c>
      <c r="BG160" s="346">
        <f ca="1">IF(NOT($AD$44),0,ASZTAB!$AJ$48*AY160+AZ160-BF160)</f>
        <v>0</v>
      </c>
      <c r="BH160" s="346">
        <f t="shared" ca="1" si="282"/>
        <v>0</v>
      </c>
      <c r="BI160" s="347">
        <f t="shared" ca="1" si="283"/>
        <v>0</v>
      </c>
      <c r="BJ160" s="348">
        <v>3.5000000000000003E-2</v>
      </c>
      <c r="BK160" s="349">
        <f t="shared" ca="1" si="263"/>
        <v>0</v>
      </c>
      <c r="BM160" s="346">
        <f t="shared" ca="1" si="264"/>
        <v>0</v>
      </c>
      <c r="BN160" s="346">
        <f t="shared" ca="1" si="265"/>
        <v>0</v>
      </c>
      <c r="BO160" s="346">
        <f t="shared" ca="1" si="266"/>
        <v>0</v>
      </c>
      <c r="BP160" s="346">
        <f t="shared" ca="1" si="267"/>
        <v>0</v>
      </c>
      <c r="BQ160" s="534">
        <f t="shared" ca="1" si="268"/>
        <v>0</v>
      </c>
      <c r="BR160" s="534">
        <f t="shared" ca="1" si="269"/>
        <v>0</v>
      </c>
      <c r="BT160" s="346">
        <f t="shared" ca="1" si="270"/>
        <v>0</v>
      </c>
      <c r="BU160" s="346">
        <f t="shared" ca="1" si="271"/>
        <v>0</v>
      </c>
      <c r="BV160" s="346">
        <f t="shared" ca="1" si="272"/>
        <v>0</v>
      </c>
      <c r="BW160" s="346">
        <f t="shared" ca="1" si="273"/>
        <v>0</v>
      </c>
      <c r="BX160" s="534">
        <f t="shared" ca="1" si="274"/>
        <v>0</v>
      </c>
      <c r="BY160" s="534">
        <f t="shared" ca="1" si="275"/>
        <v>0</v>
      </c>
      <c r="CB160" s="445"/>
      <c r="CC160" s="350"/>
      <c r="CD160" s="350"/>
      <c r="CE160" s="350"/>
      <c r="CF160" s="350"/>
      <c r="CG160" s="445"/>
      <c r="CR160" s="445"/>
      <c r="CS160" s="445"/>
      <c r="CT160" s="395" t="str">
        <f t="shared" ca="1" si="284"/>
        <v/>
      </c>
      <c r="CU160" s="360" t="str">
        <f ca="1">IF(OR(CT160="",DA160="",CT160=DA160,ISNA(VLOOKUP(CONCATENATE(CT160,DA160),games.r,2,FALSE))),"",CONCATENATE(CT160,DA160))</f>
        <v/>
      </c>
      <c r="CV160" s="360" t="str">
        <f ca="1">IF(CU160="","",CONCATENATE(VLOOKUP(CU160,games.r,9,FALSE),VLOOKUP(CU160,games.r,12,FALSE)))</f>
        <v/>
      </c>
      <c r="CW160" s="354" t="str">
        <f ca="1">IF(CU160="","",VLOOKUP(CU160,games.r,10,FALSE))</f>
        <v/>
      </c>
      <c r="CX160" s="354" t="str">
        <f ca="1">IF(CU160="","",VLOOKUP(CU160,games.r,13,FALSE))</f>
        <v/>
      </c>
      <c r="CY160" s="361" t="str">
        <f ca="1">IF(CU160="","",VLOOKUP(CU160,games.r,6,FALSE))</f>
        <v/>
      </c>
      <c r="CZ160" s="362" t="str">
        <f ca="1">IF(CU160="","",VLOOKUP(CU160,games.r,7,FALSE))</f>
        <v/>
      </c>
      <c r="DA160" s="379" t="str">
        <f t="shared" ca="1" si="285"/>
        <v/>
      </c>
      <c r="DB160" s="302"/>
      <c r="DC160" s="364"/>
      <c r="DD160" s="445"/>
      <c r="DF160" s="424"/>
      <c r="DW160" s="424"/>
      <c r="DX160" s="424"/>
      <c r="DY160" s="424"/>
      <c r="DZ160" s="424"/>
      <c r="EA160" s="424"/>
      <c r="EC160" s="404" t="str">
        <f t="shared" si="276"/>
        <v/>
      </c>
      <c r="ED160" s="360" t="str">
        <f ca="1">IF(OR(EC160="",EJ160="",EC160=EJ160,ISNA(VLOOKUP(CONCATENATE(EC160,EJ160),games.a,2,FALSE))),"",CONCATENATE(EC160,EJ160))</f>
        <v/>
      </c>
      <c r="EE160" s="524" t="str">
        <f ca="1">IF(OR(ED160="",EJ140&gt;2),"",CONCATENATE(VLOOKUP(ED160,games.a,9,FALSE),VLOOKUP(ED160,games.a,12,FALSE)))</f>
        <v/>
      </c>
      <c r="EF160" s="413"/>
      <c r="EG160" s="414"/>
      <c r="EH160" s="525" t="str">
        <f ca="1">IF(ED160="","",VLOOKUP(ED160,games.a,6,FALSE))</f>
        <v/>
      </c>
      <c r="EI160" s="362" t="str">
        <f ca="1">IF(ED160="","",VLOOKUP(ED160,games.a,7,FALSE))</f>
        <v/>
      </c>
      <c r="EJ160" s="526" t="str">
        <f ca="1">EJ159</f>
        <v/>
      </c>
      <c r="EK160" s="527"/>
      <c r="EL160" s="528"/>
      <c r="EO160" s="425"/>
      <c r="EP160" s="333"/>
    </row>
    <row r="161" spans="34:146" x14ac:dyDescent="0.25">
      <c r="AH161" s="336">
        <f t="shared" ca="1" si="277"/>
        <v>0</v>
      </c>
      <c r="AI161" s="443" t="str">
        <f t="shared" ca="1" si="278"/>
        <v>►</v>
      </c>
      <c r="AJ161" s="444">
        <f t="shared" ca="1" si="255"/>
        <v>4</v>
      </c>
      <c r="AK161" s="444">
        <f t="shared" ca="1" si="256"/>
        <v>4</v>
      </c>
      <c r="AS161" s="348">
        <f ca="1">IF($AD$58=2,BB161,BC161*-1)*1000000+IF(ASZTAB!$AJ$44,BE161,BD161)*1000+BJ161-IF(AW161=0,1000000000000,0)</f>
        <v>-999999999999.96594</v>
      </c>
      <c r="AU161" s="348">
        <f ca="1">IF(ASZTAB!$AJ$44,BI161*100,IF(ASZTAB!$AJ$43,BG161*10,BG161))*1000000+IF(ASZTAB!$AJ$52,AY161*10000,0)+IF(ASZTAB!$AJ$44,BE161,BD161)*1000/IF(OR(ASZTAB!AJ$43,ASZTAB!$AJ$52),10,1)+IF(ASZTAB!$AJ$44,0,IF(ASZTAB!AJ$43,BB161/10,BB161))+BJ161+IF($AD$80,BK161,0)-IF(AW161=0,1000000000,0)</f>
        <v>-999999999.96599996</v>
      </c>
      <c r="AV161" s="349">
        <v>7</v>
      </c>
      <c r="AW161" s="378">
        <f ca="1">IF(NOT($AD$44),0,RCSOP!BE75)</f>
        <v>0</v>
      </c>
      <c r="AX161" s="346">
        <f t="shared" ca="1" si="279"/>
        <v>0</v>
      </c>
      <c r="AY161" s="346">
        <f t="shared" ca="1" si="257"/>
        <v>0</v>
      </c>
      <c r="AZ161" s="346">
        <f t="shared" ca="1" si="258"/>
        <v>0</v>
      </c>
      <c r="BA161" s="346">
        <f t="shared" ca="1" si="259"/>
        <v>0</v>
      </c>
      <c r="BB161" s="346">
        <f t="shared" ca="1" si="260"/>
        <v>0</v>
      </c>
      <c r="BC161" s="346">
        <f t="shared" ca="1" si="261"/>
        <v>0</v>
      </c>
      <c r="BD161" s="346">
        <f t="shared" ca="1" si="280"/>
        <v>0</v>
      </c>
      <c r="BE161" s="347">
        <f t="shared" ca="1" si="281"/>
        <v>0</v>
      </c>
      <c r="BF161" s="346">
        <f t="shared" ca="1" si="262"/>
        <v>0</v>
      </c>
      <c r="BG161" s="346">
        <f ca="1">IF(NOT($AD$44),0,ASZTAB!$AJ$48*AY161+AZ161-BF161)</f>
        <v>0</v>
      </c>
      <c r="BH161" s="346">
        <f t="shared" ca="1" si="282"/>
        <v>0</v>
      </c>
      <c r="BI161" s="347">
        <f t="shared" ca="1" si="283"/>
        <v>0</v>
      </c>
      <c r="BJ161" s="348">
        <v>3.3999999999999996E-2</v>
      </c>
      <c r="BK161" s="349">
        <f t="shared" ca="1" si="263"/>
        <v>0</v>
      </c>
      <c r="BM161" s="346">
        <f t="shared" ca="1" si="264"/>
        <v>0</v>
      </c>
      <c r="BN161" s="346">
        <f t="shared" ca="1" si="265"/>
        <v>0</v>
      </c>
      <c r="BO161" s="346">
        <f t="shared" ca="1" si="266"/>
        <v>0</v>
      </c>
      <c r="BP161" s="346">
        <f t="shared" ca="1" si="267"/>
        <v>0</v>
      </c>
      <c r="BQ161" s="534">
        <f t="shared" ca="1" si="268"/>
        <v>0</v>
      </c>
      <c r="BR161" s="534">
        <f t="shared" ca="1" si="269"/>
        <v>0</v>
      </c>
      <c r="BT161" s="346">
        <f t="shared" ca="1" si="270"/>
        <v>0</v>
      </c>
      <c r="BU161" s="346">
        <f t="shared" ca="1" si="271"/>
        <v>0</v>
      </c>
      <c r="BV161" s="346">
        <f t="shared" ca="1" si="272"/>
        <v>0</v>
      </c>
      <c r="BW161" s="346">
        <f t="shared" ca="1" si="273"/>
        <v>0</v>
      </c>
      <c r="BX161" s="534">
        <f t="shared" ca="1" si="274"/>
        <v>0</v>
      </c>
      <c r="BY161" s="534">
        <f t="shared" ca="1" si="275"/>
        <v>0</v>
      </c>
      <c r="CB161" s="445"/>
      <c r="CC161" s="350"/>
      <c r="CD161" s="350"/>
      <c r="CE161" s="350"/>
      <c r="CF161" s="350"/>
      <c r="CG161" s="445"/>
      <c r="CR161" s="445"/>
      <c r="CS161" s="445"/>
      <c r="CT161" s="522" t="str">
        <f t="shared" si="284"/>
        <v/>
      </c>
      <c r="CU161" s="371" t="str">
        <f ca="1">IF(OR(CT161="",DA161="",CT161=DA161,ISNA(VLOOKUP(CONCATENATE(CT161,DA161),games.a,2,FALSE))),"",CONCATENATE(CT161,DA161))</f>
        <v/>
      </c>
      <c r="CV161" s="371" t="str">
        <f ca="1">IF(CU161="","",CONCATENATE(VLOOKUP(CU161,games.a,9,FALSE),VLOOKUP(CU161,games.a,12,FALSE)))</f>
        <v/>
      </c>
      <c r="CW161" s="369" t="str">
        <f ca="1">IF(CU161="","",VLOOKUP(CU161,games.a,10,FALSE))</f>
        <v/>
      </c>
      <c r="CX161" s="369" t="str">
        <f ca="1">IF(CU161="","",VLOOKUP(CU161,games.a,13,FALSE))</f>
        <v/>
      </c>
      <c r="CY161" s="423" t="str">
        <f ca="1">IF(CU161="","",VLOOKUP(CU161,games.a,6,FALSE))</f>
        <v/>
      </c>
      <c r="CZ161" s="409" t="str">
        <f ca="1">IF(CU161="","",VLOOKUP(CU161,games.a,7,FALSE))</f>
        <v/>
      </c>
      <c r="DA161" s="523" t="str">
        <f t="shared" ca="1" si="285"/>
        <v/>
      </c>
      <c r="DB161" s="302"/>
      <c r="DC161" s="364"/>
      <c r="DD161" s="445"/>
      <c r="DF161" s="424"/>
      <c r="DW161" s="424"/>
      <c r="DX161" s="424"/>
      <c r="DY161" s="424"/>
      <c r="DZ161" s="424"/>
      <c r="EA161" s="424"/>
      <c r="EB161" s="424"/>
      <c r="EC161" s="424"/>
      <c r="ED161" s="424"/>
      <c r="EE161" s="424"/>
      <c r="EF161" s="424"/>
      <c r="EG161" s="424"/>
      <c r="EH161" s="424"/>
      <c r="EI161" s="424"/>
      <c r="EJ161" s="424"/>
      <c r="EK161" s="424"/>
      <c r="EL161" s="424"/>
      <c r="EO161" s="425"/>
      <c r="EP161" s="333"/>
    </row>
    <row r="162" spans="34:146" x14ac:dyDescent="0.25">
      <c r="AH162" s="336">
        <f t="shared" ca="1" si="277"/>
        <v>0</v>
      </c>
      <c r="AI162" s="443" t="str">
        <f t="shared" ca="1" si="278"/>
        <v>►</v>
      </c>
      <c r="AJ162" s="444">
        <f t="shared" ca="1" si="255"/>
        <v>3</v>
      </c>
      <c r="AK162" s="444">
        <f t="shared" ca="1" si="256"/>
        <v>3</v>
      </c>
      <c r="AS162" s="348">
        <f ca="1">IF($AD$58=2,BB162,BC162*-1)*1000000+IF(ASZTAB!$AJ$44,BE162,BD162)*1000+BJ162-IF(AW162=0,1000000000000,0)</f>
        <v>-999999999999.96704</v>
      </c>
      <c r="AU162" s="348">
        <f ca="1">IF(ASZTAB!$AJ$44,BI162*100,IF(ASZTAB!$AJ$43,BG162*10,BG162))*1000000+IF(ASZTAB!$AJ$52,AY162*10000,0)+IF(ASZTAB!$AJ$44,BE162,BD162)*1000/IF(OR(ASZTAB!AJ$43,ASZTAB!$AJ$52),10,1)+IF(ASZTAB!$AJ$44,0,IF(ASZTAB!AJ$43,BB162/10,BB162))+BJ162+IF($AD$80,BK162,0)-IF(AW162=0,1000000000,0)</f>
        <v>-999999999.96700001</v>
      </c>
      <c r="AV162" s="349">
        <v>8</v>
      </c>
      <c r="AW162" s="378">
        <f ca="1">IF(NOT($AD$44),0,RCSOP!BE76)</f>
        <v>0</v>
      </c>
      <c r="AX162" s="346">
        <f t="shared" ca="1" si="279"/>
        <v>0</v>
      </c>
      <c r="AY162" s="346">
        <f t="shared" ca="1" si="257"/>
        <v>0</v>
      </c>
      <c r="AZ162" s="346">
        <f t="shared" ca="1" si="258"/>
        <v>0</v>
      </c>
      <c r="BA162" s="346">
        <f t="shared" ca="1" si="259"/>
        <v>0</v>
      </c>
      <c r="BB162" s="346">
        <f t="shared" ca="1" si="260"/>
        <v>0</v>
      </c>
      <c r="BC162" s="346">
        <f t="shared" ca="1" si="261"/>
        <v>0</v>
      </c>
      <c r="BD162" s="346">
        <f t="shared" ca="1" si="280"/>
        <v>0</v>
      </c>
      <c r="BE162" s="347">
        <f t="shared" ca="1" si="281"/>
        <v>0</v>
      </c>
      <c r="BF162" s="346">
        <f t="shared" ca="1" si="262"/>
        <v>0</v>
      </c>
      <c r="BG162" s="346">
        <f ca="1">IF(NOT($AD$44),0,ASZTAB!$AJ$48*AY162+AZ162-BF162)</f>
        <v>0</v>
      </c>
      <c r="BH162" s="346">
        <f t="shared" ca="1" si="282"/>
        <v>0</v>
      </c>
      <c r="BI162" s="347">
        <f t="shared" ca="1" si="283"/>
        <v>0</v>
      </c>
      <c r="BJ162" s="348">
        <v>3.2999999999999995E-2</v>
      </c>
      <c r="BK162" s="349">
        <f t="shared" ca="1" si="263"/>
        <v>0</v>
      </c>
      <c r="BM162" s="346">
        <f t="shared" ca="1" si="264"/>
        <v>0</v>
      </c>
      <c r="BN162" s="346">
        <f t="shared" ca="1" si="265"/>
        <v>0</v>
      </c>
      <c r="BO162" s="346">
        <f t="shared" ca="1" si="266"/>
        <v>0</v>
      </c>
      <c r="BP162" s="346">
        <f t="shared" ca="1" si="267"/>
        <v>0</v>
      </c>
      <c r="BQ162" s="534">
        <f t="shared" ca="1" si="268"/>
        <v>0</v>
      </c>
      <c r="BR162" s="534">
        <f t="shared" ca="1" si="269"/>
        <v>0</v>
      </c>
      <c r="BT162" s="346">
        <f t="shared" ca="1" si="270"/>
        <v>0</v>
      </c>
      <c r="BU162" s="346">
        <f t="shared" ca="1" si="271"/>
        <v>0</v>
      </c>
      <c r="BV162" s="346">
        <f t="shared" ca="1" si="272"/>
        <v>0</v>
      </c>
      <c r="BW162" s="346">
        <f t="shared" ca="1" si="273"/>
        <v>0</v>
      </c>
      <c r="BX162" s="534">
        <f t="shared" ca="1" si="274"/>
        <v>0</v>
      </c>
      <c r="BY162" s="534">
        <f t="shared" ca="1" si="275"/>
        <v>0</v>
      </c>
      <c r="CB162" s="445"/>
      <c r="CC162" s="350"/>
      <c r="CD162" s="350"/>
      <c r="CE162" s="350"/>
      <c r="CF162" s="350"/>
      <c r="CG162" s="445"/>
      <c r="CR162" s="445"/>
      <c r="CS162" s="445"/>
      <c r="CT162" s="522" t="str">
        <f t="shared" si="284"/>
        <v/>
      </c>
      <c r="CU162" s="371" t="str">
        <f ca="1">IF(OR(CT162="",DA162="",CT162=DA162,ISNA(VLOOKUP(CONCATENATE(CT162,DA162),games.a,2,FALSE))),"",CONCATENATE(CT162,DA162))</f>
        <v/>
      </c>
      <c r="CV162" s="371" t="str">
        <f ca="1">IF(CU162="","",CONCATENATE(VLOOKUP(CU162,games.a,9,FALSE),VLOOKUP(CU162,games.a,12,FALSE)))</f>
        <v/>
      </c>
      <c r="CW162" s="369" t="str">
        <f ca="1">IF(CU162="","",VLOOKUP(CU162,games.a,10,FALSE))</f>
        <v/>
      </c>
      <c r="CX162" s="369" t="str">
        <f ca="1">IF(CU162="","",VLOOKUP(CU162,games.a,13,FALSE))</f>
        <v/>
      </c>
      <c r="CY162" s="423" t="str">
        <f ca="1">IF(CU162="","",VLOOKUP(CU162,games.a,6,FALSE))</f>
        <v/>
      </c>
      <c r="CZ162" s="409" t="str">
        <f ca="1">IF(CU162="","",VLOOKUP(CU162,games.a,7,FALSE))</f>
        <v/>
      </c>
      <c r="DA162" s="523" t="str">
        <f t="shared" ca="1" si="285"/>
        <v/>
      </c>
      <c r="DB162" s="302"/>
      <c r="DC162" s="364"/>
      <c r="DD162" s="445"/>
      <c r="DF162" s="424"/>
      <c r="DG162" s="424"/>
      <c r="DH162" s="424"/>
      <c r="DI162" s="424"/>
      <c r="DJ162" s="424"/>
      <c r="DK162" s="424"/>
      <c r="DL162" s="424"/>
      <c r="DM162" s="424"/>
      <c r="DN162" s="424"/>
      <c r="DO162" s="424"/>
      <c r="DP162" s="424"/>
      <c r="DQ162" s="424"/>
      <c r="DR162" s="424"/>
      <c r="DS162" s="424"/>
      <c r="DT162" s="424"/>
      <c r="DU162" s="424"/>
      <c r="DV162" s="424"/>
      <c r="DW162" s="424"/>
      <c r="DX162" s="424"/>
      <c r="DY162" s="424"/>
      <c r="DZ162" s="424"/>
      <c r="EA162" s="424"/>
      <c r="EB162" s="424"/>
      <c r="EC162" s="424"/>
      <c r="ED162" s="424"/>
      <c r="EE162" s="424"/>
      <c r="EF162" s="424"/>
      <c r="EG162" s="424"/>
      <c r="EH162" s="424"/>
      <c r="EI162" s="424"/>
      <c r="EJ162" s="424"/>
      <c r="EK162" s="424"/>
      <c r="EL162" s="424"/>
      <c r="EO162" s="425"/>
      <c r="EP162" s="333"/>
    </row>
    <row r="163" spans="34:146" x14ac:dyDescent="0.25">
      <c r="AH163" s="336">
        <f t="shared" ca="1" si="277"/>
        <v>0</v>
      </c>
      <c r="AI163" s="443" t="str">
        <f t="shared" ca="1" si="278"/>
        <v>►</v>
      </c>
      <c r="AJ163" s="444">
        <f t="shared" ca="1" si="255"/>
        <v>2</v>
      </c>
      <c r="AK163" s="444">
        <f t="shared" ca="1" si="256"/>
        <v>2</v>
      </c>
      <c r="AS163" s="348">
        <f ca="1">IF($AD$58=2,BB163,BC163*-1)*1000000+IF(ASZTAB!$AJ$44,BE163,BD163)*1000+BJ163-IF(AW163=0,1000000000000,0)</f>
        <v>-999999999999.96802</v>
      </c>
      <c r="AU163" s="348">
        <f ca="1">IF(ASZTAB!$AJ$44,BI163*100,IF(ASZTAB!$AJ$43,BG163*10,BG163))*1000000+IF(ASZTAB!$AJ$52,AY163*10000,0)+IF(ASZTAB!$AJ$44,BE163,BD163)*1000/IF(OR(ASZTAB!AJ$43,ASZTAB!$AJ$52),10,1)+IF(ASZTAB!$AJ$44,0,IF(ASZTAB!AJ$43,BB163/10,BB163))+BJ163+IF($AD$80,BK163,0)-IF(AW163=0,1000000000,0)</f>
        <v>-999999999.96800005</v>
      </c>
      <c r="AV163" s="349">
        <v>9</v>
      </c>
      <c r="AW163" s="378">
        <f ca="1">IF(NOT($AD$44),0,RCSOP!BE77)</f>
        <v>0</v>
      </c>
      <c r="AX163" s="346">
        <f t="shared" ca="1" si="279"/>
        <v>0</v>
      </c>
      <c r="AY163" s="346">
        <f t="shared" ca="1" si="257"/>
        <v>0</v>
      </c>
      <c r="AZ163" s="346">
        <f t="shared" ca="1" si="258"/>
        <v>0</v>
      </c>
      <c r="BA163" s="346">
        <f t="shared" ca="1" si="259"/>
        <v>0</v>
      </c>
      <c r="BB163" s="346">
        <f t="shared" ca="1" si="260"/>
        <v>0</v>
      </c>
      <c r="BC163" s="346">
        <f t="shared" ca="1" si="261"/>
        <v>0</v>
      </c>
      <c r="BD163" s="346">
        <f t="shared" ca="1" si="280"/>
        <v>0</v>
      </c>
      <c r="BE163" s="347">
        <f t="shared" ca="1" si="281"/>
        <v>0</v>
      </c>
      <c r="BF163" s="346">
        <f t="shared" ca="1" si="262"/>
        <v>0</v>
      </c>
      <c r="BG163" s="346">
        <f ca="1">IF(NOT($AD$44),0,ASZTAB!$AJ$48*AY163+AZ163-BF163)</f>
        <v>0</v>
      </c>
      <c r="BH163" s="346">
        <f t="shared" ca="1" si="282"/>
        <v>0</v>
      </c>
      <c r="BI163" s="347">
        <f t="shared" ca="1" si="283"/>
        <v>0</v>
      </c>
      <c r="BJ163" s="348">
        <v>3.1999999999999994E-2</v>
      </c>
      <c r="BK163" s="349">
        <f t="shared" ca="1" si="263"/>
        <v>0</v>
      </c>
      <c r="BM163" s="346">
        <f t="shared" ca="1" si="264"/>
        <v>0</v>
      </c>
      <c r="BN163" s="346">
        <f t="shared" ca="1" si="265"/>
        <v>0</v>
      </c>
      <c r="BO163" s="346">
        <f t="shared" ca="1" si="266"/>
        <v>0</v>
      </c>
      <c r="BP163" s="346">
        <f t="shared" ca="1" si="267"/>
        <v>0</v>
      </c>
      <c r="BQ163" s="534">
        <f t="shared" ca="1" si="268"/>
        <v>0</v>
      </c>
      <c r="BR163" s="534">
        <f t="shared" ca="1" si="269"/>
        <v>0</v>
      </c>
      <c r="BT163" s="346">
        <f t="shared" ca="1" si="270"/>
        <v>0</v>
      </c>
      <c r="BU163" s="346">
        <f t="shared" ca="1" si="271"/>
        <v>0</v>
      </c>
      <c r="BV163" s="346">
        <f t="shared" ca="1" si="272"/>
        <v>0</v>
      </c>
      <c r="BW163" s="346">
        <f t="shared" ca="1" si="273"/>
        <v>0</v>
      </c>
      <c r="BX163" s="534">
        <f t="shared" ca="1" si="274"/>
        <v>0</v>
      </c>
      <c r="BY163" s="534">
        <f t="shared" ca="1" si="275"/>
        <v>0</v>
      </c>
      <c r="CB163" s="445"/>
      <c r="CC163" s="350"/>
      <c r="CD163" s="350"/>
      <c r="CE163" s="350"/>
      <c r="CF163" s="350"/>
      <c r="CG163" s="445"/>
      <c r="CR163" s="445"/>
      <c r="CS163" s="445"/>
      <c r="CT163" s="522" t="str">
        <f t="shared" si="284"/>
        <v/>
      </c>
      <c r="CU163" s="371" t="str">
        <f ca="1">IF(OR(CT163="",DA163="",CT163=DA163,ISNA(VLOOKUP(CONCATENATE(CT163,DA163),games.a,2,FALSE))),"",CONCATENATE(CT163,DA163))</f>
        <v/>
      </c>
      <c r="CV163" s="371" t="str">
        <f ca="1">IF(CU163="","",CONCATENATE(VLOOKUP(CU163,games.a,9,FALSE),VLOOKUP(CU163,games.a,12,FALSE)))</f>
        <v/>
      </c>
      <c r="CW163" s="369" t="str">
        <f ca="1">IF(CU163="","",VLOOKUP(CU163,games.a,10,FALSE))</f>
        <v/>
      </c>
      <c r="CX163" s="369" t="str">
        <f ca="1">IF(CU163="","",VLOOKUP(CU163,games.a,13,FALSE))</f>
        <v/>
      </c>
      <c r="CY163" s="423" t="str">
        <f ca="1">IF(CU163="","",VLOOKUP(CU163,games.a,6,FALSE))</f>
        <v/>
      </c>
      <c r="CZ163" s="409" t="str">
        <f ca="1">IF(CU163="","",VLOOKUP(CU163,games.a,7,FALSE))</f>
        <v/>
      </c>
      <c r="DA163" s="523" t="str">
        <f t="shared" ca="1" si="285"/>
        <v/>
      </c>
      <c r="DB163" s="302"/>
      <c r="DC163" s="364"/>
      <c r="DD163" s="445"/>
      <c r="DF163" s="424"/>
      <c r="DG163" s="424"/>
      <c r="DH163" s="424"/>
      <c r="DI163" s="424"/>
      <c r="DJ163" s="424"/>
      <c r="DK163" s="424"/>
      <c r="DL163" s="424"/>
      <c r="DM163" s="424"/>
      <c r="DN163" s="424"/>
      <c r="DO163" s="424"/>
      <c r="DP163" s="424"/>
      <c r="DQ163" s="424"/>
      <c r="DR163" s="424"/>
      <c r="DS163" s="424"/>
      <c r="DT163" s="424"/>
      <c r="DU163" s="424"/>
      <c r="DV163" s="424"/>
      <c r="DW163" s="424"/>
      <c r="DX163" s="424"/>
      <c r="DY163" s="424"/>
      <c r="DZ163" s="424"/>
      <c r="EA163" s="424"/>
      <c r="EB163" s="424"/>
      <c r="EC163" s="398"/>
      <c r="ED163" s="329" t="s">
        <v>157</v>
      </c>
      <c r="EE163" s="329" t="s">
        <v>158</v>
      </c>
      <c r="EF163" s="399"/>
      <c r="EG163" s="400"/>
      <c r="EH163" s="401" t="s">
        <v>160</v>
      </c>
      <c r="EI163" s="402" t="s">
        <v>135</v>
      </c>
      <c r="EJ163" s="424"/>
      <c r="EK163" s="365"/>
      <c r="EL163" s="365"/>
      <c r="EO163" s="425"/>
      <c r="EP163" s="333"/>
    </row>
    <row r="164" spans="34:146" x14ac:dyDescent="0.25">
      <c r="AH164" s="336">
        <f t="shared" ca="1" si="277"/>
        <v>0</v>
      </c>
      <c r="AI164" s="443" t="str">
        <f t="shared" ca="1" si="278"/>
        <v>►</v>
      </c>
      <c r="AJ164" s="444">
        <f t="shared" ca="1" si="255"/>
        <v>1</v>
      </c>
      <c r="AK164" s="444">
        <f t="shared" ca="1" si="256"/>
        <v>1</v>
      </c>
      <c r="AS164" s="348">
        <f ca="1">IF($AD$58=2,BB164,BC164*-1)*1000000+IF(ASZTAB!$AJ$44,BE164,BD164)*1000+BJ164-IF(AW164=0,1000000000000,0)</f>
        <v>-999999999999.96899</v>
      </c>
      <c r="AU164" s="348">
        <f ca="1">IF(ASZTAB!$AJ$44,BI164*100,IF(ASZTAB!$AJ$43,BG164*10,BG164))*1000000+IF(ASZTAB!$AJ$52,AY164*10000,0)+IF(ASZTAB!$AJ$44,BE164,BD164)*1000/IF(OR(ASZTAB!AJ$43,ASZTAB!$AJ$52),10,1)+IF(ASZTAB!$AJ$44,0,IF(ASZTAB!AJ$43,BB164/10,BB164))+BJ164+IF($AD$80,BK164,0)-IF(AW164=0,1000000000,0)</f>
        <v>-999999999.96899998</v>
      </c>
      <c r="AV164" s="349">
        <v>10</v>
      </c>
      <c r="AW164" s="378">
        <f ca="1">IF(NOT($AD$44),0,RCSOP!BE78)</f>
        <v>0</v>
      </c>
      <c r="AX164" s="346">
        <f t="shared" ca="1" si="279"/>
        <v>0</v>
      </c>
      <c r="AY164" s="346">
        <f t="shared" ca="1" si="257"/>
        <v>0</v>
      </c>
      <c r="AZ164" s="346">
        <f t="shared" ca="1" si="258"/>
        <v>0</v>
      </c>
      <c r="BA164" s="346">
        <f t="shared" ca="1" si="259"/>
        <v>0</v>
      </c>
      <c r="BB164" s="346">
        <f t="shared" ca="1" si="260"/>
        <v>0</v>
      </c>
      <c r="BC164" s="346">
        <f t="shared" ca="1" si="261"/>
        <v>0</v>
      </c>
      <c r="BD164" s="346">
        <f t="shared" ca="1" si="280"/>
        <v>0</v>
      </c>
      <c r="BE164" s="347">
        <f t="shared" ca="1" si="281"/>
        <v>0</v>
      </c>
      <c r="BF164" s="346">
        <f t="shared" ca="1" si="262"/>
        <v>0</v>
      </c>
      <c r="BG164" s="346">
        <f ca="1">IF(NOT($AD$44),0,ASZTAB!$AJ$48*AY164+AZ164-BF164)</f>
        <v>0</v>
      </c>
      <c r="BH164" s="346">
        <f t="shared" ca="1" si="282"/>
        <v>0</v>
      </c>
      <c r="BI164" s="347">
        <f t="shared" ca="1" si="283"/>
        <v>0</v>
      </c>
      <c r="BJ164" s="348">
        <v>3.0999999999999993E-2</v>
      </c>
      <c r="BK164" s="349">
        <f t="shared" ca="1" si="263"/>
        <v>0</v>
      </c>
      <c r="BM164" s="346">
        <f t="shared" ca="1" si="264"/>
        <v>0</v>
      </c>
      <c r="BN164" s="346">
        <f t="shared" ca="1" si="265"/>
        <v>0</v>
      </c>
      <c r="BO164" s="346">
        <f t="shared" ca="1" si="266"/>
        <v>0</v>
      </c>
      <c r="BP164" s="346">
        <f t="shared" ca="1" si="267"/>
        <v>0</v>
      </c>
      <c r="BQ164" s="534">
        <f t="shared" ca="1" si="268"/>
        <v>0</v>
      </c>
      <c r="BR164" s="534">
        <f t="shared" ca="1" si="269"/>
        <v>0</v>
      </c>
      <c r="BT164" s="346">
        <f t="shared" ca="1" si="270"/>
        <v>0</v>
      </c>
      <c r="BU164" s="346">
        <f t="shared" ca="1" si="271"/>
        <v>0</v>
      </c>
      <c r="BV164" s="346">
        <f t="shared" ca="1" si="272"/>
        <v>0</v>
      </c>
      <c r="BW164" s="346">
        <f t="shared" ca="1" si="273"/>
        <v>0</v>
      </c>
      <c r="BX164" s="534">
        <f t="shared" ca="1" si="274"/>
        <v>0</v>
      </c>
      <c r="BY164" s="534">
        <f t="shared" ca="1" si="275"/>
        <v>0</v>
      </c>
      <c r="CB164" s="445"/>
      <c r="CC164" s="350"/>
      <c r="CD164" s="350"/>
      <c r="CE164" s="350"/>
      <c r="CF164" s="350"/>
      <c r="CG164" s="445"/>
      <c r="CR164" s="445"/>
      <c r="CS164" s="445"/>
      <c r="CT164" s="522" t="str">
        <f t="shared" si="284"/>
        <v/>
      </c>
      <c r="CU164" s="371" t="str">
        <f ca="1">IF(OR(CT164="",DA164="",CT164=DA164,ISNA(VLOOKUP(CONCATENATE(CT164,DA164),games.a,2,FALSE))),"",CONCATENATE(CT164,DA164))</f>
        <v/>
      </c>
      <c r="CV164" s="371" t="str">
        <f ca="1">IF(CU164="","",CONCATENATE(VLOOKUP(CU164,games.a,9,FALSE),VLOOKUP(CU164,games.a,12,FALSE)))</f>
        <v/>
      </c>
      <c r="CW164" s="369" t="str">
        <f ca="1">IF(CU164="","",VLOOKUP(CU164,games.a,10,FALSE))</f>
        <v/>
      </c>
      <c r="CX164" s="369" t="str">
        <f ca="1">IF(CU164="","",VLOOKUP(CU164,games.a,13,FALSE))</f>
        <v/>
      </c>
      <c r="CY164" s="423" t="str">
        <f ca="1">IF(CU164="","",VLOOKUP(CU164,games.a,6,FALSE))</f>
        <v/>
      </c>
      <c r="CZ164" s="409" t="str">
        <f ca="1">IF(CU164="","",VLOOKUP(CU164,games.a,7,FALSE))</f>
        <v/>
      </c>
      <c r="DA164" s="523" t="str">
        <f t="shared" ca="1" si="285"/>
        <v/>
      </c>
      <c r="DB164" s="302"/>
      <c r="DC164" s="364"/>
      <c r="DD164" s="445"/>
      <c r="DF164" s="424"/>
      <c r="DG164" s="424"/>
      <c r="DH164" s="424"/>
      <c r="DI164" s="424"/>
      <c r="DJ164" s="424"/>
      <c r="DK164" s="424"/>
      <c r="DL164" s="424"/>
      <c r="DM164" s="424"/>
      <c r="DN164" s="424"/>
      <c r="DO164" s="424"/>
      <c r="DP164" s="424"/>
      <c r="DQ164" s="424"/>
      <c r="DR164" s="424"/>
      <c r="DS164" s="424"/>
      <c r="DT164" s="424"/>
      <c r="DU164" s="424"/>
      <c r="DV164" s="424"/>
      <c r="DW164" s="424"/>
      <c r="DX164" s="424"/>
      <c r="DY164" s="424"/>
      <c r="DZ164" s="424"/>
      <c r="EA164" s="424"/>
      <c r="EB164" s="424"/>
      <c r="EC164" s="404" t="str">
        <f ca="1">IF(EI134="","",VLOOKUP(EI134,yyy.rr2,7,FALSE))</f>
        <v/>
      </c>
      <c r="ED164" s="371" t="str">
        <f ca="1">IF(OR(EC164="",EJ164="",EC164=EJ164,ISNA(VLOOKUP(CONCATENATE(EC164,EJ164),games.r,2,FALSE))),"",CONCATENATE(EC164,EJ164))</f>
        <v/>
      </c>
      <c r="EE164" s="371" t="str">
        <f ca="1">IF(ED164="","",CONCATENATE(VLOOKUP(ED164,games.r,9,FALSE),VLOOKUP(ED164,games.r,12,FALSE)))</f>
        <v/>
      </c>
      <c r="EF164" s="406"/>
      <c r="EG164" s="407"/>
      <c r="EH164" s="408" t="str">
        <f ca="1">IF(ED164="","",VLOOKUP(ED164,games.r,6,FALSE))</f>
        <v/>
      </c>
      <c r="EI164" s="409" t="str">
        <f ca="1">IF(ED164="","",VLOOKUP(ED164,games.r,7,FALSE))</f>
        <v/>
      </c>
      <c r="EJ164" s="410" t="str">
        <f ca="1">EC164</f>
        <v/>
      </c>
      <c r="EK164" s="411"/>
      <c r="EL164" s="412"/>
      <c r="EO164" s="425"/>
      <c r="EP164" s="333"/>
    </row>
    <row r="165" spans="34:146" x14ac:dyDescent="0.25">
      <c r="CB165" s="445"/>
      <c r="CC165" s="350"/>
      <c r="CD165" s="350"/>
      <c r="CE165" s="350"/>
      <c r="CF165" s="350"/>
      <c r="CG165" s="445"/>
      <c r="CR165" s="445"/>
      <c r="CS165" s="445"/>
      <c r="CT165" s="522" t="str">
        <f t="shared" si="284"/>
        <v/>
      </c>
      <c r="CU165" s="371" t="str">
        <f ca="1">IF(OR(CT165="",DA165="",CT165=DA165,ISNA(VLOOKUP(CONCATENATE(CT165,DA165),games.a,2,FALSE))),"",CONCATENATE(CT165,DA165))</f>
        <v/>
      </c>
      <c r="CV165" s="371" t="str">
        <f ca="1">IF(CU165="","",CONCATENATE(VLOOKUP(CU165,games.a,9,FALSE),VLOOKUP(CU165,games.a,12,FALSE)))</f>
        <v/>
      </c>
      <c r="CW165" s="369" t="str">
        <f ca="1">IF(CU165="","",VLOOKUP(CU165,games.a,10,FALSE))</f>
        <v/>
      </c>
      <c r="CX165" s="369" t="str">
        <f ca="1">IF(CU165="","",VLOOKUP(CU165,games.a,13,FALSE))</f>
        <v/>
      </c>
      <c r="CY165" s="423" t="str">
        <f ca="1">IF(CU165="","",VLOOKUP(CU165,games.a,6,FALSE))</f>
        <v/>
      </c>
      <c r="CZ165" s="409" t="str">
        <f ca="1">IF(CU165="","",VLOOKUP(CU165,games.a,7,FALSE))</f>
        <v/>
      </c>
      <c r="DA165" s="523" t="str">
        <f t="shared" ca="1" si="285"/>
        <v/>
      </c>
      <c r="DB165" s="302"/>
      <c r="DC165" s="364"/>
      <c r="DD165" s="445"/>
      <c r="DF165" s="424"/>
      <c r="DG165" s="424"/>
      <c r="DH165" s="424"/>
      <c r="DI165" s="424"/>
      <c r="DJ165" s="424"/>
      <c r="DK165" s="424"/>
      <c r="DL165" s="424"/>
      <c r="DM165" s="424"/>
      <c r="DN165" s="424"/>
      <c r="DO165" s="424"/>
      <c r="DP165" s="424"/>
      <c r="DQ165" s="424"/>
      <c r="DR165" s="424"/>
      <c r="DS165" s="424"/>
      <c r="DT165" s="424"/>
      <c r="DU165" s="424"/>
      <c r="DV165" s="424"/>
      <c r="DW165" s="424"/>
      <c r="DX165" s="424"/>
      <c r="DY165" s="424"/>
      <c r="DZ165" s="424"/>
      <c r="EA165" s="424"/>
      <c r="EB165" s="424"/>
      <c r="EC165" s="404" t="str">
        <f ca="1">IF(EI135="","",VLOOKUP(EI135,yyy.rr2,7,FALSE))</f>
        <v/>
      </c>
      <c r="ED165" s="371" t="str">
        <f ca="1">IF(OR(EC165="",EJ165="",EC165=EJ165,ISNA(VLOOKUP(CONCATENATE(EC165,EJ165),games.r,2,FALSE))),"",CONCATENATE(EC165,EJ165))</f>
        <v/>
      </c>
      <c r="EE165" s="371" t="str">
        <f ca="1">IF(ED165="","",CONCATENATE(VLOOKUP(ED165,games.r,9,FALSE),VLOOKUP(ED165,games.r,12,FALSE)))</f>
        <v/>
      </c>
      <c r="EF165" s="413"/>
      <c r="EG165" s="414"/>
      <c r="EH165" s="408" t="str">
        <f ca="1">IF(ED165="","",VLOOKUP(ED165,games.r,6,FALSE))</f>
        <v/>
      </c>
      <c r="EI165" s="409" t="str">
        <f ca="1">IF(ED165="","",VLOOKUP(ED165,games.r,7,FALSE))</f>
        <v/>
      </c>
      <c r="EJ165" s="415" t="str">
        <f ca="1">EJ164</f>
        <v/>
      </c>
      <c r="EK165" s="416"/>
      <c r="EL165" s="417"/>
      <c r="EO165" s="425"/>
      <c r="EP165" s="333"/>
    </row>
    <row r="166" spans="34:146" x14ac:dyDescent="0.25">
      <c r="CB166" s="445"/>
      <c r="CC166" s="350"/>
      <c r="CD166" s="350"/>
      <c r="CE166" s="350"/>
      <c r="CF166" s="350"/>
      <c r="CG166" s="445"/>
      <c r="CR166" s="445"/>
      <c r="CS166" s="445"/>
      <c r="CT166" s="301"/>
      <c r="CU166" s="324" t="s">
        <v>157</v>
      </c>
      <c r="CV166" s="324" t="s">
        <v>158</v>
      </c>
      <c r="CW166" s="325" t="s">
        <v>159</v>
      </c>
      <c r="CX166" s="325"/>
      <c r="CY166" s="326" t="s">
        <v>160</v>
      </c>
      <c r="CZ166" s="325" t="s">
        <v>135</v>
      </c>
      <c r="DA166" s="302"/>
      <c r="DB166" s="302"/>
      <c r="DC166" s="364"/>
      <c r="DD166" s="445"/>
      <c r="DF166" s="424"/>
      <c r="DG166" s="424"/>
      <c r="DH166" s="424"/>
      <c r="DI166" s="424"/>
      <c r="DJ166" s="424"/>
      <c r="DK166" s="424"/>
      <c r="DL166" s="424"/>
      <c r="DM166" s="424"/>
      <c r="DN166" s="424"/>
      <c r="DO166" s="424"/>
      <c r="DP166" s="424"/>
      <c r="DQ166" s="424"/>
      <c r="DR166" s="424"/>
      <c r="DS166" s="424"/>
      <c r="DT166" s="424"/>
      <c r="DU166" s="424"/>
      <c r="DV166" s="424"/>
      <c r="DW166" s="424"/>
      <c r="DX166" s="424"/>
      <c r="DY166" s="424"/>
      <c r="DZ166" s="424"/>
      <c r="EA166" s="424"/>
      <c r="EB166" s="424"/>
      <c r="EC166" s="404" t="str">
        <f>IF(NOT($AD$105),"",EC164)</f>
        <v/>
      </c>
      <c r="ED166" s="360" t="str">
        <f ca="1">IF(OR(EC166="",EJ166="",EC166=EJ166,ISNA(VLOOKUP(CONCATENATE(EC166,EJ166),games.a,2,FALSE))),"",CONCATENATE(EC166,EJ166))</f>
        <v/>
      </c>
      <c r="EE166" s="360" t="str">
        <f ca="1">IF(ED166="","",CONCATENATE(VLOOKUP(ED166,games.a,9,FALSE),VLOOKUP(ED166,games.a,12,FALSE)))</f>
        <v/>
      </c>
      <c r="EF166" s="413"/>
      <c r="EG166" s="414"/>
      <c r="EH166" s="525" t="str">
        <f ca="1">IF(ED166="","",VLOOKUP(ED166,games.a,6,FALSE))</f>
        <v/>
      </c>
      <c r="EI166" s="362" t="str">
        <f ca="1">IF(ED166="","",VLOOKUP(ED166,games.a,7,FALSE))</f>
        <v/>
      </c>
      <c r="EJ166" s="526" t="str">
        <f ca="1">EJ165</f>
        <v/>
      </c>
      <c r="EK166" s="527"/>
      <c r="EL166" s="528"/>
      <c r="EO166" s="425"/>
      <c r="EP166" s="333"/>
    </row>
    <row r="167" spans="34:146" ht="15.75" x14ac:dyDescent="0.25">
      <c r="AS167" s="313" t="s">
        <v>430</v>
      </c>
      <c r="AT167" s="314"/>
      <c r="AU167" s="315"/>
      <c r="AV167" s="315"/>
      <c r="AW167" s="316" t="s">
        <v>430</v>
      </c>
      <c r="CB167" s="445"/>
      <c r="CC167" s="350"/>
      <c r="CD167" s="350"/>
      <c r="CE167" s="350"/>
      <c r="CF167" s="350"/>
      <c r="CG167" s="445"/>
      <c r="CR167" s="445"/>
      <c r="CS167" s="445"/>
      <c r="CT167" s="395" t="str">
        <f t="shared" ref="CT167:CT176" ca="1" si="286">CT156</f>
        <v/>
      </c>
      <c r="CU167" s="360" t="str">
        <f ca="1">IF(OR(CT167="",DA167="",CT167=DA167,ISNA(VLOOKUP(CONCATENATE(CT167,DA167),games.r,2,FALSE))),"",CONCATENATE(CT167,DA167))</f>
        <v/>
      </c>
      <c r="CV167" s="360" t="str">
        <f ca="1">IF(CU167="","",CONCATENATE(VLOOKUP(CU167,games.r,9,FALSE),VLOOKUP(CU167,games.r,12,FALSE)))</f>
        <v/>
      </c>
      <c r="CW167" s="354" t="str">
        <f ca="1">IF(CU167="","",VLOOKUP(CU167,games.r,10,FALSE))</f>
        <v/>
      </c>
      <c r="CX167" s="354" t="str">
        <f ca="1">IF(CU167="","",VLOOKUP(CU167,games.r,13,FALSE))</f>
        <v/>
      </c>
      <c r="CY167" s="361" t="str">
        <f ca="1">IF(CU167="","",VLOOKUP(CU167,games.r,6,FALSE))</f>
        <v/>
      </c>
      <c r="CZ167" s="362" t="str">
        <f ca="1">IF(CU167="","",VLOOKUP(CU167,games.r,7,FALSE))</f>
        <v/>
      </c>
      <c r="DA167" s="363" t="str">
        <f ca="1">CT137</f>
        <v/>
      </c>
      <c r="DB167" s="302"/>
      <c r="DC167" s="364"/>
      <c r="DD167" s="445"/>
      <c r="DF167" s="424"/>
      <c r="DG167" s="424"/>
      <c r="DH167" s="424"/>
      <c r="DI167" s="424"/>
      <c r="DJ167" s="424"/>
      <c r="DK167" s="424"/>
      <c r="DL167" s="424"/>
      <c r="DM167" s="424"/>
      <c r="DN167" s="424"/>
      <c r="DO167" s="424"/>
      <c r="DP167" s="424"/>
      <c r="DQ167" s="424"/>
      <c r="DR167" s="424"/>
      <c r="DS167" s="424"/>
      <c r="DT167" s="424"/>
      <c r="DU167" s="424"/>
      <c r="DV167" s="424"/>
      <c r="DW167" s="424"/>
      <c r="DX167" s="424"/>
      <c r="DY167" s="424"/>
      <c r="DZ167" s="424"/>
      <c r="EA167" s="424"/>
      <c r="EB167" s="424"/>
      <c r="EC167" s="404" t="str">
        <f>IF(NOT($AD$105),"",EC165)</f>
        <v/>
      </c>
      <c r="ED167" s="360" t="str">
        <f ca="1">IF(OR(EC167="",EJ167="",EC167=EJ167,ISNA(VLOOKUP(CONCATENATE(EC167,EJ167),games.a,2,FALSE))),"",CONCATENATE(EC167,EJ167))</f>
        <v/>
      </c>
      <c r="EE167" s="360" t="str">
        <f ca="1">IF(ED167="","",CONCATENATE(VLOOKUP(ED167,games.a,9,FALSE),VLOOKUP(ED167,games.a,12,FALSE)))</f>
        <v/>
      </c>
      <c r="EF167" s="413"/>
      <c r="EG167" s="414"/>
      <c r="EH167" s="525" t="str">
        <f ca="1">IF(ED167="","",VLOOKUP(ED167,games.a,6,FALSE))</f>
        <v/>
      </c>
      <c r="EI167" s="362" t="str">
        <f ca="1">IF(ED167="","",VLOOKUP(ED167,games.a,7,FALSE))</f>
        <v/>
      </c>
      <c r="EJ167" s="526" t="str">
        <f ca="1">EJ166</f>
        <v/>
      </c>
      <c r="EK167" s="527"/>
      <c r="EL167" s="528"/>
      <c r="EO167" s="425"/>
      <c r="EP167" s="333"/>
    </row>
    <row r="168" spans="34:146" x14ac:dyDescent="0.25">
      <c r="AU168" s="439">
        <f>IF($AD$58=2,BB90,BC90*-1)*1000000+IF(ASZTAB!$AJ$44,BE90,BD90)*1000+BJ90-IF(AW168=0,1000000000000,0)</f>
        <v>-999999999999.96997</v>
      </c>
      <c r="AV168" s="179"/>
      <c r="AW168" s="440">
        <f>IF(NOT($AD$45),0,RCSOP!BE81)</f>
        <v>0</v>
      </c>
      <c r="CB168" s="445"/>
      <c r="CC168" s="350"/>
      <c r="CD168" s="350"/>
      <c r="CE168" s="350"/>
      <c r="CF168" s="350"/>
      <c r="CG168" s="445"/>
      <c r="CR168" s="445"/>
      <c r="CS168" s="445"/>
      <c r="CT168" s="395" t="str">
        <f t="shared" ca="1" si="286"/>
        <v/>
      </c>
      <c r="CU168" s="360" t="str">
        <f ca="1">IF(OR(CT168="",DA168="",CT168=DA168,ISNA(VLOOKUP(CONCATENATE(CT168,DA168),games.r,2,FALSE))),"",CONCATENATE(CT168,DA168))</f>
        <v/>
      </c>
      <c r="CV168" s="360" t="str">
        <f ca="1">IF(CU168="","",CONCATENATE(VLOOKUP(CU168,games.r,9,FALSE),VLOOKUP(CU168,games.r,12,FALSE)))</f>
        <v/>
      </c>
      <c r="CW168" s="354" t="str">
        <f ca="1">IF(CU168="","",VLOOKUP(CU168,games.r,10,FALSE))</f>
        <v/>
      </c>
      <c r="CX168" s="354" t="str">
        <f ca="1">IF(CU168="","",VLOOKUP(CU168,games.r,13,FALSE))</f>
        <v/>
      </c>
      <c r="CY168" s="361" t="str">
        <f ca="1">IF(CU168="","",VLOOKUP(CU168,games.r,6,FALSE))</f>
        <v/>
      </c>
      <c r="CZ168" s="362" t="str">
        <f ca="1">IF(CU168="","",VLOOKUP(CU168,games.r,7,FALSE))</f>
        <v/>
      </c>
      <c r="DA168" s="379" t="str">
        <f t="shared" ref="DA168:DA176" ca="1" si="287">DA167</f>
        <v/>
      </c>
      <c r="DB168" s="302"/>
      <c r="DC168" s="364"/>
      <c r="DD168" s="445"/>
      <c r="DF168" s="424"/>
      <c r="DG168" s="424"/>
      <c r="DH168" s="424"/>
      <c r="DI168" s="424"/>
      <c r="DJ168" s="424"/>
      <c r="DK168" s="424"/>
      <c r="DL168" s="424"/>
      <c r="DM168" s="424"/>
      <c r="DN168" s="424"/>
      <c r="DO168" s="424"/>
      <c r="DP168" s="424"/>
      <c r="DQ168" s="424"/>
      <c r="DR168" s="424"/>
      <c r="DS168" s="424"/>
      <c r="DT168" s="424"/>
      <c r="DU168" s="424"/>
      <c r="DV168" s="424"/>
      <c r="DW168" s="424"/>
      <c r="DX168" s="424"/>
      <c r="DY168" s="424"/>
      <c r="DZ168" s="424"/>
      <c r="EA168" s="424"/>
      <c r="EB168" s="424"/>
      <c r="EC168" s="404"/>
      <c r="ED168" s="329" t="s">
        <v>157</v>
      </c>
      <c r="EE168" s="329" t="s">
        <v>158</v>
      </c>
      <c r="EF168" s="399"/>
      <c r="EG168" s="400"/>
      <c r="EH168" s="401" t="s">
        <v>160</v>
      </c>
      <c r="EI168" s="402" t="s">
        <v>135</v>
      </c>
      <c r="EJ168" s="398"/>
      <c r="EK168" s="365"/>
      <c r="EL168" s="365"/>
      <c r="EO168" s="425"/>
      <c r="EP168" s="333"/>
    </row>
    <row r="169" spans="34:146" x14ac:dyDescent="0.25">
      <c r="AU169" s="439">
        <f>IF($AD$58=2,BB91,BC91*-1)*1000000+IF(ASZTAB!$AJ$44,BE91,BD91)*1000+BJ91-IF(AW169=0,1000000000000,0)</f>
        <v>-999999999999.97095</v>
      </c>
      <c r="AW169" s="440">
        <f>IF(NOT($AD$45),0,RCSOP!BE82)</f>
        <v>0</v>
      </c>
      <c r="CB169" s="445"/>
      <c r="CC169" s="350"/>
      <c r="CD169" s="350"/>
      <c r="CE169" s="350"/>
      <c r="CF169" s="350"/>
      <c r="CG169" s="445"/>
      <c r="CR169" s="445"/>
      <c r="CS169" s="445"/>
      <c r="CT169" s="395" t="str">
        <f t="shared" ca="1" si="286"/>
        <v/>
      </c>
      <c r="CU169" s="360" t="str">
        <f ca="1">IF(OR(CT169="",DA169="",CT169=DA169,ISNA(VLOOKUP(CONCATENATE(CT169,DA169),games.r,2,FALSE))),"",CONCATENATE(CT169,DA169))</f>
        <v/>
      </c>
      <c r="CV169" s="360" t="str">
        <f ca="1">IF(CU169="","",CONCATENATE(VLOOKUP(CU169,games.r,9,FALSE),VLOOKUP(CU169,games.r,12,FALSE)))</f>
        <v/>
      </c>
      <c r="CW169" s="354" t="str">
        <f ca="1">IF(CU169="","",VLOOKUP(CU169,games.r,10,FALSE))</f>
        <v/>
      </c>
      <c r="CX169" s="354" t="str">
        <f ca="1">IF(CU169="","",VLOOKUP(CU169,games.r,13,FALSE))</f>
        <v/>
      </c>
      <c r="CY169" s="361" t="str">
        <f ca="1">IF(CU169="","",VLOOKUP(CU169,games.r,6,FALSE))</f>
        <v/>
      </c>
      <c r="CZ169" s="362" t="str">
        <f ca="1">IF(CU169="","",VLOOKUP(CU169,games.r,7,FALSE))</f>
        <v/>
      </c>
      <c r="DA169" s="379" t="str">
        <f t="shared" ca="1" si="287"/>
        <v/>
      </c>
      <c r="DB169" s="302"/>
      <c r="DC169" s="364"/>
      <c r="DD169" s="445"/>
      <c r="DF169" s="424"/>
      <c r="DG169" s="424"/>
      <c r="DH169" s="424"/>
      <c r="DI169" s="424"/>
      <c r="DJ169" s="424"/>
      <c r="DK169" s="424"/>
      <c r="DL169" s="424"/>
      <c r="DM169" s="424"/>
      <c r="DN169" s="424"/>
      <c r="DO169" s="424"/>
      <c r="DP169" s="424"/>
      <c r="DQ169" s="424"/>
      <c r="DR169" s="424"/>
      <c r="DS169" s="424"/>
      <c r="DT169" s="424"/>
      <c r="DU169" s="424"/>
      <c r="DV169" s="424"/>
      <c r="DW169" s="424"/>
      <c r="DX169" s="424"/>
      <c r="DY169" s="424"/>
      <c r="DZ169" s="424"/>
      <c r="EA169" s="424"/>
      <c r="EB169" s="424"/>
      <c r="EC169" s="404" t="str">
        <f ca="1">EC164</f>
        <v/>
      </c>
      <c r="ED169" s="371" t="str">
        <f ca="1">IF(OR(EC169="",EJ169="",EC169=EJ169,ISNA(VLOOKUP(CONCATENATE(EC169,EJ169),games.r,2,FALSE))),"",CONCATENATE(EC169,EJ169))</f>
        <v/>
      </c>
      <c r="EE169" s="371" t="str">
        <f ca="1">IF(ED169="","",CONCATENATE(VLOOKUP(ED169,games.r,9,FALSE),VLOOKUP(ED169,games.r,12,FALSE)))</f>
        <v/>
      </c>
      <c r="EF169" s="406"/>
      <c r="EG169" s="407"/>
      <c r="EH169" s="408" t="str">
        <f ca="1">IF(ED169="","",VLOOKUP(ED169,games.r,6,FALSE))</f>
        <v/>
      </c>
      <c r="EI169" s="409" t="str">
        <f ca="1">IF(ED169="","",VLOOKUP(ED169,games.r,7,FALSE))</f>
        <v/>
      </c>
      <c r="EJ169" s="410" t="str">
        <f ca="1">EC165</f>
        <v/>
      </c>
      <c r="EK169" s="411"/>
      <c r="EL169" s="412"/>
      <c r="EO169" s="425"/>
      <c r="EP169" s="333"/>
    </row>
    <row r="170" spans="34:146" x14ac:dyDescent="0.25">
      <c r="AU170" s="439">
        <f>IF($AD$58=2,BB92,BC92*-1)*1000000+IF(ASZTAB!$AJ$44,BE92,BD92)*1000+BJ92-IF(AW170=0,1000000000000,0)</f>
        <v>-999999999999.97205</v>
      </c>
      <c r="AW170" s="440">
        <f>IF(NOT($AD$45),0,RCSOP!BE83)</f>
        <v>0</v>
      </c>
      <c r="CB170" s="445"/>
      <c r="CC170" s="350"/>
      <c r="CD170" s="350"/>
      <c r="CE170" s="350"/>
      <c r="CF170" s="350"/>
      <c r="CG170" s="445"/>
      <c r="CR170" s="445"/>
      <c r="CS170" s="445"/>
      <c r="CT170" s="395" t="str">
        <f t="shared" ca="1" si="286"/>
        <v/>
      </c>
      <c r="CU170" s="360" t="str">
        <f ca="1">IF(OR(CT170="",DA170="",CT170=DA170,ISNA(VLOOKUP(CONCATENATE(CT170,DA170),games.r,2,FALSE))),"",CONCATENATE(CT170,DA170))</f>
        <v/>
      </c>
      <c r="CV170" s="360" t="str">
        <f ca="1">IF(CU170="","",CONCATENATE(VLOOKUP(CU170,games.r,9,FALSE),VLOOKUP(CU170,games.r,12,FALSE)))</f>
        <v/>
      </c>
      <c r="CW170" s="354" t="str">
        <f ca="1">IF(CU170="","",VLOOKUP(CU170,games.r,10,FALSE))</f>
        <v/>
      </c>
      <c r="CX170" s="354" t="str">
        <f ca="1">IF(CU170="","",VLOOKUP(CU170,games.r,13,FALSE))</f>
        <v/>
      </c>
      <c r="CY170" s="361" t="str">
        <f ca="1">IF(CU170="","",VLOOKUP(CU170,games.r,6,FALSE))</f>
        <v/>
      </c>
      <c r="CZ170" s="362" t="str">
        <f ca="1">IF(CU170="","",VLOOKUP(CU170,games.r,7,FALSE))</f>
        <v/>
      </c>
      <c r="DA170" s="379" t="str">
        <f t="shared" ca="1" si="287"/>
        <v/>
      </c>
      <c r="DB170" s="302"/>
      <c r="DC170" s="364"/>
      <c r="DD170" s="445"/>
      <c r="DF170" s="424"/>
      <c r="DG170" s="424"/>
      <c r="DH170" s="424"/>
      <c r="DI170" s="424"/>
      <c r="DJ170" s="424"/>
      <c r="DK170" s="424"/>
      <c r="DL170" s="424"/>
      <c r="DM170" s="424"/>
      <c r="DN170" s="424"/>
      <c r="DO170" s="424"/>
      <c r="DP170" s="424"/>
      <c r="DQ170" s="424"/>
      <c r="DR170" s="424"/>
      <c r="DS170" s="424"/>
      <c r="DT170" s="424"/>
      <c r="DU170" s="424"/>
      <c r="DV170" s="424"/>
      <c r="DW170" s="424"/>
      <c r="DX170" s="424"/>
      <c r="DY170" s="424"/>
      <c r="DZ170" s="424"/>
      <c r="EA170" s="424"/>
      <c r="EB170" s="424"/>
      <c r="EC170" s="404" t="str">
        <f ca="1">EC165</f>
        <v/>
      </c>
      <c r="ED170" s="371" t="str">
        <f ca="1">IF(OR(EC170="",EJ170="",EC170=EJ170,ISNA(VLOOKUP(CONCATENATE(EC170,EJ170),games.r,2,FALSE))),"",CONCATENATE(EC170,EJ170))</f>
        <v/>
      </c>
      <c r="EE170" s="371" t="str">
        <f ca="1">IF(ED170="","",CONCATENATE(VLOOKUP(ED170,games.r,9,FALSE),VLOOKUP(ED170,games.r,12,FALSE)))</f>
        <v/>
      </c>
      <c r="EF170" s="413"/>
      <c r="EG170" s="414"/>
      <c r="EH170" s="408" t="str">
        <f ca="1">IF(ED170="","",VLOOKUP(ED170,games.r,6,FALSE))</f>
        <v/>
      </c>
      <c r="EI170" s="409" t="str">
        <f ca="1">IF(ED170="","",VLOOKUP(ED170,games.r,7,FALSE))</f>
        <v/>
      </c>
      <c r="EJ170" s="415" t="str">
        <f ca="1">EJ169</f>
        <v/>
      </c>
      <c r="EK170" s="416"/>
      <c r="EL170" s="417"/>
      <c r="EO170" s="425"/>
      <c r="EP170" s="333"/>
    </row>
    <row r="171" spans="34:146" x14ac:dyDescent="0.25">
      <c r="AU171" s="439">
        <f>IF($AD$58=2,BB93,BC93*-1)*1000000+IF(ASZTAB!$AJ$44,BE93,BD93)*1000+BJ93-IF(AW171=0,1000000000000,0)</f>
        <v>-999999999999.97302</v>
      </c>
      <c r="AW171" s="440">
        <f>IF(NOT($AD$45),0,RCSOP!BE84)</f>
        <v>0</v>
      </c>
      <c r="CB171" s="445"/>
      <c r="CC171" s="350"/>
      <c r="CD171" s="350"/>
      <c r="CE171" s="350"/>
      <c r="CF171" s="350"/>
      <c r="CG171" s="445"/>
      <c r="CR171" s="445"/>
      <c r="CS171" s="445"/>
      <c r="CT171" s="395" t="str">
        <f t="shared" ca="1" si="286"/>
        <v/>
      </c>
      <c r="CU171" s="360" t="str">
        <f ca="1">IF(OR(CT171="",DA171="",CT171=DA171,ISNA(VLOOKUP(CONCATENATE(CT171,DA171),games.r,2,FALSE))),"",CONCATENATE(CT171,DA171))</f>
        <v/>
      </c>
      <c r="CV171" s="360" t="str">
        <f ca="1">IF(CU171="","",CONCATENATE(VLOOKUP(CU171,games.r,9,FALSE),VLOOKUP(CU171,games.r,12,FALSE)))</f>
        <v/>
      </c>
      <c r="CW171" s="354" t="str">
        <f ca="1">IF(CU171="","",VLOOKUP(CU171,games.r,10,FALSE))</f>
        <v/>
      </c>
      <c r="CX171" s="354" t="str">
        <f ca="1">IF(CU171="","",VLOOKUP(CU171,games.r,13,FALSE))</f>
        <v/>
      </c>
      <c r="CY171" s="361" t="str">
        <f ca="1">IF(CU171="","",VLOOKUP(CU171,games.r,6,FALSE))</f>
        <v/>
      </c>
      <c r="CZ171" s="362" t="str">
        <f ca="1">IF(CU171="","",VLOOKUP(CU171,games.r,7,FALSE))</f>
        <v/>
      </c>
      <c r="DA171" s="379" t="str">
        <f t="shared" ca="1" si="287"/>
        <v/>
      </c>
      <c r="DB171" s="302"/>
      <c r="DC171" s="364"/>
      <c r="DD171" s="445"/>
      <c r="DF171" s="424"/>
      <c r="DG171" s="424"/>
      <c r="DH171" s="424"/>
      <c r="DI171" s="424"/>
      <c r="DJ171" s="424"/>
      <c r="DK171" s="424"/>
      <c r="DL171" s="424"/>
      <c r="DM171" s="424"/>
      <c r="DN171" s="424"/>
      <c r="DO171" s="424"/>
      <c r="DP171" s="424"/>
      <c r="DQ171" s="424"/>
      <c r="DR171" s="424"/>
      <c r="DS171" s="424"/>
      <c r="DT171" s="424"/>
      <c r="DU171" s="424"/>
      <c r="DV171" s="424"/>
      <c r="DW171" s="424"/>
      <c r="DX171" s="424"/>
      <c r="DY171" s="424"/>
      <c r="DZ171" s="424"/>
      <c r="EA171" s="424"/>
      <c r="EB171" s="424"/>
      <c r="EC171" s="404" t="str">
        <f>EC166</f>
        <v/>
      </c>
      <c r="ED171" s="360" t="str">
        <f ca="1">IF(OR(EC171="",EJ171="",EC171=EJ171,ISNA(VLOOKUP(CONCATENATE(EC171,EJ171),games.a,2,FALSE))),"",CONCATENATE(EC171,EJ171))</f>
        <v/>
      </c>
      <c r="EE171" s="360" t="str">
        <f ca="1">IF(ED171="","",CONCATENATE(VLOOKUP(ED171,games.a,9,FALSE),VLOOKUP(ED171,games.a,12,FALSE)))</f>
        <v/>
      </c>
      <c r="EF171" s="413"/>
      <c r="EG171" s="414"/>
      <c r="EH171" s="525" t="str">
        <f ca="1">IF(ED171="","",VLOOKUP(ED171,games.a,6,FALSE))</f>
        <v/>
      </c>
      <c r="EI171" s="362" t="str">
        <f ca="1">IF(ED171="","",VLOOKUP(ED171,games.a,7,FALSE))</f>
        <v/>
      </c>
      <c r="EJ171" s="526" t="str">
        <f ca="1">EJ170</f>
        <v/>
      </c>
      <c r="EK171" s="527"/>
      <c r="EL171" s="528"/>
      <c r="EO171" s="425"/>
      <c r="EP171" s="333"/>
    </row>
    <row r="172" spans="34:146" x14ac:dyDescent="0.25">
      <c r="AU172" s="439">
        <f>IF($AD$58=2,BB94,BC94*-1)*1000000+IF(ASZTAB!$AJ$44,BE94,BD94)*1000+BJ94-IF(AW172=0,1000000000000,0)</f>
        <v>-999999999999.974</v>
      </c>
      <c r="AW172" s="440">
        <f>IF(NOT($AD$45),0,RCSOP!BE85)</f>
        <v>0</v>
      </c>
      <c r="CB172" s="445"/>
      <c r="CC172" s="350"/>
      <c r="CD172" s="350"/>
      <c r="CE172" s="350"/>
      <c r="CF172" s="350"/>
      <c r="CG172" s="445"/>
      <c r="CR172" s="445"/>
      <c r="CS172" s="445"/>
      <c r="CT172" s="522" t="str">
        <f t="shared" si="286"/>
        <v/>
      </c>
      <c r="CU172" s="371" t="str">
        <f ca="1">IF(OR(CT172="",DA172="",CT172=DA172,ISNA(VLOOKUP(CONCATENATE(CT172,DA172),games.a,2,FALSE))),"",CONCATENATE(CT172,DA172))</f>
        <v/>
      </c>
      <c r="CV172" s="371" t="str">
        <f ca="1">IF(CU172="","",CONCATENATE(VLOOKUP(CU172,games.a,9,FALSE),VLOOKUP(CU172,games.a,12,FALSE)))</f>
        <v/>
      </c>
      <c r="CW172" s="369" t="str">
        <f ca="1">IF(CU172="","",VLOOKUP(CU172,games.a,10,FALSE))</f>
        <v/>
      </c>
      <c r="CX172" s="369" t="str">
        <f ca="1">IF(CU172="","",VLOOKUP(CU172,games.a,13,FALSE))</f>
        <v/>
      </c>
      <c r="CY172" s="423" t="str">
        <f ca="1">IF(CU172="","",VLOOKUP(CU172,games.a,6,FALSE))</f>
        <v/>
      </c>
      <c r="CZ172" s="409" t="str">
        <f ca="1">IF(CU172="","",VLOOKUP(CU172,games.a,7,FALSE))</f>
        <v/>
      </c>
      <c r="DA172" s="523" t="str">
        <f t="shared" ca="1" si="287"/>
        <v/>
      </c>
      <c r="DB172" s="302"/>
      <c r="DC172" s="364"/>
      <c r="DD172" s="445"/>
      <c r="DF172" s="424"/>
      <c r="DG172" s="424"/>
      <c r="DH172" s="424"/>
      <c r="DI172" s="424"/>
      <c r="DJ172" s="424"/>
      <c r="DK172" s="424"/>
      <c r="DL172" s="424"/>
      <c r="DM172" s="424"/>
      <c r="DN172" s="424"/>
      <c r="DO172" s="424"/>
      <c r="DP172" s="424"/>
      <c r="DQ172" s="424"/>
      <c r="DR172" s="424"/>
      <c r="DS172" s="424"/>
      <c r="DT172" s="424"/>
      <c r="DU172" s="424"/>
      <c r="DV172" s="424"/>
      <c r="DW172" s="424"/>
      <c r="DX172" s="424"/>
      <c r="DY172" s="424"/>
      <c r="DZ172" s="424"/>
      <c r="EA172" s="424"/>
      <c r="EB172" s="424"/>
      <c r="EC172" s="404" t="str">
        <f>EC167</f>
        <v/>
      </c>
      <c r="ED172" s="360" t="str">
        <f ca="1">IF(OR(EC172="",EJ172="",EC172=EJ172,ISNA(VLOOKUP(CONCATENATE(EC172,EJ172),games.a,2,FALSE))),"",CONCATENATE(EC172,EJ172))</f>
        <v/>
      </c>
      <c r="EE172" s="360" t="str">
        <f ca="1">IF(ED172="","",CONCATENATE(VLOOKUP(ED172,games.a,9,FALSE),VLOOKUP(ED172,games.a,12,FALSE)))</f>
        <v/>
      </c>
      <c r="EF172" s="420"/>
      <c r="EG172" s="421"/>
      <c r="EH172" s="525" t="str">
        <f ca="1">IF(ED172="","",VLOOKUP(ED172,games.a,6,FALSE))</f>
        <v/>
      </c>
      <c r="EI172" s="362" t="str">
        <f ca="1">IF(ED172="","",VLOOKUP(ED172,games.a,7,FALSE))</f>
        <v/>
      </c>
      <c r="EJ172" s="526" t="str">
        <f ca="1">EJ171</f>
        <v/>
      </c>
      <c r="EK172" s="527"/>
      <c r="EL172" s="528"/>
      <c r="EO172" s="425"/>
      <c r="EP172" s="333"/>
    </row>
    <row r="173" spans="34:146" x14ac:dyDescent="0.25">
      <c r="AU173" s="439">
        <f>IF($AD$58=2,BB95,BC95*-1)*1000000+IF(ASZTAB!$AJ$44,BE95,BD95)*1000+BJ95-IF(AW173=0,1000000000000,0)</f>
        <v>-999999999999.97498</v>
      </c>
      <c r="AW173" s="440">
        <f>IF(NOT($AD$45),0,RCSOP!BE86)</f>
        <v>0</v>
      </c>
      <c r="CB173" s="445"/>
      <c r="CC173" s="350"/>
      <c r="CD173" s="350"/>
      <c r="CE173" s="350"/>
      <c r="CF173" s="350"/>
      <c r="CG173" s="445"/>
      <c r="CR173" s="445"/>
      <c r="CS173" s="445"/>
      <c r="CT173" s="522" t="str">
        <f t="shared" si="286"/>
        <v/>
      </c>
      <c r="CU173" s="371" t="str">
        <f ca="1">IF(OR(CT173="",DA173="",CT173=DA173,ISNA(VLOOKUP(CONCATENATE(CT173,DA173),games.a,2,FALSE))),"",CONCATENATE(CT173,DA173))</f>
        <v/>
      </c>
      <c r="CV173" s="371" t="str">
        <f ca="1">IF(CU173="","",CONCATENATE(VLOOKUP(CU173,games.a,9,FALSE),VLOOKUP(CU173,games.a,12,FALSE)))</f>
        <v/>
      </c>
      <c r="CW173" s="369" t="str">
        <f ca="1">IF(CU173="","",VLOOKUP(CU173,games.a,10,FALSE))</f>
        <v/>
      </c>
      <c r="CX173" s="369" t="str">
        <f ca="1">IF(CU173="","",VLOOKUP(CU173,games.a,13,FALSE))</f>
        <v/>
      </c>
      <c r="CY173" s="423" t="str">
        <f ca="1">IF(CU173="","",VLOOKUP(CU173,games.a,6,FALSE))</f>
        <v/>
      </c>
      <c r="CZ173" s="409" t="str">
        <f ca="1">IF(CU173="","",VLOOKUP(CU173,games.a,7,FALSE))</f>
        <v/>
      </c>
      <c r="DA173" s="523" t="str">
        <f t="shared" ca="1" si="287"/>
        <v/>
      </c>
      <c r="DB173" s="302"/>
      <c r="DC173" s="364"/>
      <c r="DD173" s="445"/>
      <c r="DF173" s="424"/>
      <c r="DW173" s="424"/>
      <c r="DX173" s="424"/>
      <c r="DY173" s="424"/>
      <c r="DZ173" s="424"/>
      <c r="EA173" s="424"/>
      <c r="EB173" s="424"/>
      <c r="EO173" s="425"/>
      <c r="EP173" s="333"/>
    </row>
    <row r="174" spans="34:146" x14ac:dyDescent="0.25">
      <c r="AU174" s="439">
        <f>IF($AD$58=2,BB96,BC96*-1)*1000000+IF(ASZTAB!$AJ$44,BE96,BD96)*1000+BJ96-IF(AW174=0,1000000000000,0)</f>
        <v>-999999999999.97595</v>
      </c>
      <c r="AW174" s="440">
        <f>IF(NOT($AD$45),0,RCSOP!BE87)</f>
        <v>0</v>
      </c>
      <c r="CB174" s="445"/>
      <c r="CC174" s="350"/>
      <c r="CD174" s="350"/>
      <c r="CE174" s="350"/>
      <c r="CF174" s="350"/>
      <c r="CG174" s="445"/>
      <c r="CR174" s="445"/>
      <c r="CS174" s="445"/>
      <c r="CT174" s="522" t="str">
        <f t="shared" si="286"/>
        <v/>
      </c>
      <c r="CU174" s="371" t="str">
        <f ca="1">IF(OR(CT174="",DA174="",CT174=DA174,ISNA(VLOOKUP(CONCATENATE(CT174,DA174),games.a,2,FALSE))),"",CONCATENATE(CT174,DA174))</f>
        <v/>
      </c>
      <c r="CV174" s="371" t="str">
        <f ca="1">IF(CU174="","",CONCATENATE(VLOOKUP(CU174,games.a,9,FALSE),VLOOKUP(CU174,games.a,12,FALSE)))</f>
        <v/>
      </c>
      <c r="CW174" s="369" t="str">
        <f ca="1">IF(CU174="","",VLOOKUP(CU174,games.a,10,FALSE))</f>
        <v/>
      </c>
      <c r="CX174" s="369" t="str">
        <f ca="1">IF(CU174="","",VLOOKUP(CU174,games.a,13,FALSE))</f>
        <v/>
      </c>
      <c r="CY174" s="423" t="str">
        <f ca="1">IF(CU174="","",VLOOKUP(CU174,games.a,6,FALSE))</f>
        <v/>
      </c>
      <c r="CZ174" s="409" t="str">
        <f ca="1">IF(CU174="","",VLOOKUP(CU174,games.a,7,FALSE))</f>
        <v/>
      </c>
      <c r="DA174" s="523" t="str">
        <f t="shared" ca="1" si="287"/>
        <v/>
      </c>
      <c r="DB174" s="302"/>
      <c r="DC174" s="364"/>
      <c r="DD174" s="445"/>
      <c r="DF174" s="424"/>
      <c r="DW174" s="424"/>
      <c r="DX174" s="424"/>
      <c r="DY174" s="424"/>
      <c r="DZ174" s="424"/>
      <c r="EA174" s="424"/>
      <c r="EB174" s="424"/>
      <c r="EO174" s="425"/>
      <c r="EP174" s="333"/>
    </row>
    <row r="175" spans="34:146" x14ac:dyDescent="0.25">
      <c r="AU175" s="439">
        <f>IF($AD$58=2,BB97,BC97*-1)*1000000+IF(ASZTAB!$AJ$44,BE97,BD97)*1000+BJ97-IF(AW175=0,1000000000000,0)</f>
        <v>-999999999999.97705</v>
      </c>
      <c r="AW175" s="440">
        <f>IF(NOT($AD$45),0,RCSOP!BE88)</f>
        <v>0</v>
      </c>
      <c r="CB175" s="445"/>
      <c r="CC175" s="350"/>
      <c r="CD175" s="350"/>
      <c r="CE175" s="350"/>
      <c r="CF175" s="350"/>
      <c r="CG175" s="445"/>
      <c r="CR175" s="445"/>
      <c r="CS175" s="445"/>
      <c r="CT175" s="522" t="str">
        <f t="shared" si="286"/>
        <v/>
      </c>
      <c r="CU175" s="371" t="str">
        <f ca="1">IF(OR(CT175="",DA175="",CT175=DA175,ISNA(VLOOKUP(CONCATENATE(CT175,DA175),games.a,2,FALSE))),"",CONCATENATE(CT175,DA175))</f>
        <v/>
      </c>
      <c r="CV175" s="371" t="str">
        <f ca="1">IF(CU175="","",CONCATENATE(VLOOKUP(CU175,games.a,9,FALSE),VLOOKUP(CU175,games.a,12,FALSE)))</f>
        <v/>
      </c>
      <c r="CW175" s="369" t="str">
        <f ca="1">IF(CU175="","",VLOOKUP(CU175,games.a,10,FALSE))</f>
        <v/>
      </c>
      <c r="CX175" s="369" t="str">
        <f ca="1">IF(CU175="","",VLOOKUP(CU175,games.a,13,FALSE))</f>
        <v/>
      </c>
      <c r="CY175" s="423" t="str">
        <f ca="1">IF(CU175="","",VLOOKUP(CU175,games.a,6,FALSE))</f>
        <v/>
      </c>
      <c r="CZ175" s="409" t="str">
        <f ca="1">IF(CU175="","",VLOOKUP(CU175,games.a,7,FALSE))</f>
        <v/>
      </c>
      <c r="DA175" s="523" t="str">
        <f t="shared" ca="1" si="287"/>
        <v/>
      </c>
      <c r="DB175" s="302"/>
      <c r="DC175" s="364"/>
      <c r="DD175" s="445"/>
      <c r="DF175" s="424"/>
      <c r="DW175" s="424"/>
      <c r="DX175" s="424"/>
      <c r="DY175" s="424"/>
      <c r="DZ175" s="424"/>
      <c r="EA175" s="424"/>
      <c r="EB175" s="424"/>
      <c r="EO175" s="425"/>
      <c r="EP175" s="333"/>
    </row>
    <row r="176" spans="34:146" x14ac:dyDescent="0.25">
      <c r="AU176" s="439">
        <f>IF($AD$58=2,BB98,BC98*-1)*1000000+IF(ASZTAB!$AJ$44,BE98,BD98)*1000+BJ98-IF(AW176=0,1000000000000,0)</f>
        <v>-999999999999.97803</v>
      </c>
      <c r="AW176" s="440">
        <f>IF(NOT($AD$45),0,RCSOP!BE89)</f>
        <v>0</v>
      </c>
      <c r="CB176" s="445"/>
      <c r="CC176" s="350"/>
      <c r="CD176" s="350"/>
      <c r="CE176" s="350"/>
      <c r="CF176" s="350"/>
      <c r="CG176" s="445"/>
      <c r="CR176" s="445"/>
      <c r="CS176" s="445"/>
      <c r="CT176" s="522" t="str">
        <f t="shared" si="286"/>
        <v/>
      </c>
      <c r="CU176" s="371" t="str">
        <f ca="1">IF(OR(CT176="",DA176="",CT176=DA176,ISNA(VLOOKUP(CONCATENATE(CT176,DA176),games.a,2,FALSE))),"",CONCATENATE(CT176,DA176))</f>
        <v/>
      </c>
      <c r="CV176" s="371" t="str">
        <f ca="1">IF(CU176="","",CONCATENATE(VLOOKUP(CU176,games.a,9,FALSE),VLOOKUP(CU176,games.a,12,FALSE)))</f>
        <v/>
      </c>
      <c r="CW176" s="369" t="str">
        <f ca="1">IF(CU176="","",VLOOKUP(CU176,games.a,10,FALSE))</f>
        <v/>
      </c>
      <c r="CX176" s="369" t="str">
        <f ca="1">IF(CU176="","",VLOOKUP(CU176,games.a,13,FALSE))</f>
        <v/>
      </c>
      <c r="CY176" s="423" t="str">
        <f ca="1">IF(CU176="","",VLOOKUP(CU176,games.a,6,FALSE))</f>
        <v/>
      </c>
      <c r="CZ176" s="409" t="str">
        <f ca="1">IF(CU176="","",VLOOKUP(CU176,games.a,7,FALSE))</f>
        <v/>
      </c>
      <c r="DA176" s="523" t="str">
        <f t="shared" ca="1" si="287"/>
        <v/>
      </c>
      <c r="DB176" s="302"/>
      <c r="DC176" s="364"/>
      <c r="DD176" s="445"/>
      <c r="DF176" s="424"/>
      <c r="DW176" s="424"/>
      <c r="DX176" s="424"/>
      <c r="DY176" s="424"/>
      <c r="DZ176" s="424"/>
      <c r="EA176" s="424"/>
      <c r="EB176" s="424"/>
      <c r="EO176" s="425"/>
      <c r="EP176" s="333"/>
    </row>
    <row r="177" spans="34:146" x14ac:dyDescent="0.25">
      <c r="AU177" s="439">
        <f>IF($AD$58=2,BB99,BC99*-1)*1000000+IF(ASZTAB!$AJ$44,BE99,BD99)*1000+BJ99-IF(AW177=0,1000000000000,0)</f>
        <v>-999999999999.979</v>
      </c>
      <c r="AW177" s="440">
        <f>IF(NOT($AD$45),0,RCSOP!BE90)</f>
        <v>0</v>
      </c>
      <c r="CB177" s="445"/>
      <c r="CC177" s="350"/>
      <c r="CD177" s="350"/>
      <c r="CE177" s="350"/>
      <c r="CF177" s="350"/>
      <c r="CG177" s="445"/>
      <c r="CR177" s="445"/>
      <c r="CS177" s="445"/>
      <c r="CT177" s="301"/>
      <c r="CU177" s="324" t="s">
        <v>157</v>
      </c>
      <c r="CV177" s="324" t="s">
        <v>158</v>
      </c>
      <c r="CW177" s="325" t="s">
        <v>159</v>
      </c>
      <c r="CX177" s="325"/>
      <c r="CY177" s="326" t="s">
        <v>160</v>
      </c>
      <c r="CZ177" s="325" t="s">
        <v>135</v>
      </c>
      <c r="DA177" s="302"/>
      <c r="DB177" s="302"/>
      <c r="DC177" s="364"/>
      <c r="DD177" s="445"/>
      <c r="DF177" s="424"/>
      <c r="DW177" s="424"/>
      <c r="DX177" s="424"/>
      <c r="DY177" s="424"/>
      <c r="DZ177" s="424"/>
      <c r="EA177" s="424"/>
      <c r="EB177" s="424"/>
      <c r="EO177" s="425"/>
      <c r="EP177" s="333"/>
    </row>
    <row r="178" spans="34:146" x14ac:dyDescent="0.25">
      <c r="CB178" s="445"/>
      <c r="CC178" s="350"/>
      <c r="CD178" s="350"/>
      <c r="CE178" s="350"/>
      <c r="CF178" s="350"/>
      <c r="CG178" s="445"/>
      <c r="CR178" s="445"/>
      <c r="CS178" s="445"/>
      <c r="CT178" s="395" t="str">
        <f t="shared" ref="CT178:CT187" ca="1" si="288">CT167</f>
        <v/>
      </c>
      <c r="CU178" s="360" t="str">
        <f ca="1">IF(OR(CT178="",DA178="",CT178=DA178,ISNA(VLOOKUP(CONCATENATE(CT178,DA178),games.r,2,FALSE))),"",CONCATENATE(CT178,DA178))</f>
        <v/>
      </c>
      <c r="CV178" s="360" t="str">
        <f ca="1">IF(CU178="","",CONCATENATE(VLOOKUP(CU178,games.r,9,FALSE),VLOOKUP(CU178,games.r,12,FALSE)))</f>
        <v/>
      </c>
      <c r="CW178" s="354" t="str">
        <f ca="1">IF(CU178="","",VLOOKUP(CU178,games.r,10,FALSE))</f>
        <v/>
      </c>
      <c r="CX178" s="354" t="str">
        <f ca="1">IF(CU178="","",VLOOKUP(CU178,games.r,13,FALSE))</f>
        <v/>
      </c>
      <c r="CY178" s="361" t="str">
        <f ca="1">IF(CU178="","",VLOOKUP(CU178,games.r,6,FALSE))</f>
        <v/>
      </c>
      <c r="CZ178" s="362" t="str">
        <f ca="1">IF(CU178="","",VLOOKUP(CU178,games.r,7,FALSE))</f>
        <v/>
      </c>
      <c r="DA178" s="363" t="str">
        <f ca="1">CT138</f>
        <v/>
      </c>
      <c r="DB178" s="302"/>
      <c r="DC178" s="364"/>
      <c r="DD178" s="445"/>
      <c r="DF178" s="424"/>
      <c r="DW178" s="424"/>
      <c r="DX178" s="424"/>
      <c r="DY178" s="424"/>
      <c r="DZ178" s="424"/>
      <c r="EA178" s="424"/>
      <c r="EB178" s="424"/>
      <c r="EO178" s="425"/>
      <c r="EP178" s="333"/>
    </row>
    <row r="179" spans="34:146" x14ac:dyDescent="0.25">
      <c r="CB179" s="445"/>
      <c r="CC179" s="350"/>
      <c r="CD179" s="350"/>
      <c r="CE179" s="350"/>
      <c r="CF179" s="350"/>
      <c r="CG179" s="445"/>
      <c r="CR179" s="445"/>
      <c r="CS179" s="445"/>
      <c r="CT179" s="395" t="str">
        <f t="shared" ca="1" si="288"/>
        <v/>
      </c>
      <c r="CU179" s="360" t="str">
        <f ca="1">IF(OR(CT179="",DA179="",CT179=DA179,ISNA(VLOOKUP(CONCATENATE(CT179,DA179),games.r,2,FALSE))),"",CONCATENATE(CT179,DA179))</f>
        <v/>
      </c>
      <c r="CV179" s="360" t="str">
        <f ca="1">IF(CU179="","",CONCATENATE(VLOOKUP(CU179,games.r,9,FALSE),VLOOKUP(CU179,games.r,12,FALSE)))</f>
        <v/>
      </c>
      <c r="CW179" s="354" t="str">
        <f ca="1">IF(CU179="","",VLOOKUP(CU179,games.r,10,FALSE))</f>
        <v/>
      </c>
      <c r="CX179" s="354" t="str">
        <f ca="1">IF(CU179="","",VLOOKUP(CU179,games.r,13,FALSE))</f>
        <v/>
      </c>
      <c r="CY179" s="361" t="str">
        <f ca="1">IF(CU179="","",VLOOKUP(CU179,games.r,6,FALSE))</f>
        <v/>
      </c>
      <c r="CZ179" s="362" t="str">
        <f ca="1">IF(CU179="","",VLOOKUP(CU179,games.r,7,FALSE))</f>
        <v/>
      </c>
      <c r="DA179" s="379" t="str">
        <f t="shared" ref="DA179:DA187" ca="1" si="289">DA178</f>
        <v/>
      </c>
      <c r="DB179" s="302"/>
      <c r="DC179" s="364"/>
      <c r="DD179" s="445"/>
      <c r="DF179" s="424"/>
      <c r="DW179" s="424"/>
      <c r="DX179" s="424"/>
      <c r="DY179" s="424"/>
      <c r="DZ179" s="424"/>
      <c r="EA179" s="424"/>
      <c r="EB179" s="424"/>
      <c r="EO179" s="425"/>
      <c r="EP179" s="333"/>
    </row>
    <row r="180" spans="34:146" x14ac:dyDescent="0.25">
      <c r="AI180" s="434" t="s">
        <v>390</v>
      </c>
      <c r="AJ180" s="434" t="s">
        <v>391</v>
      </c>
      <c r="AK180" s="434" t="s">
        <v>392</v>
      </c>
      <c r="AS180" s="434" t="s">
        <v>379</v>
      </c>
      <c r="AU180" s="434" t="s">
        <v>380</v>
      </c>
      <c r="AW180" s="434" t="s">
        <v>381</v>
      </c>
      <c r="AX180" s="318" t="s">
        <v>120</v>
      </c>
      <c r="AY180" s="318" t="s">
        <v>121</v>
      </c>
      <c r="AZ180" s="318" t="s">
        <v>134</v>
      </c>
      <c r="BA180" s="318" t="s">
        <v>122</v>
      </c>
      <c r="BB180" s="318" t="s">
        <v>123</v>
      </c>
      <c r="BC180" s="318" t="s">
        <v>124</v>
      </c>
      <c r="BD180" s="318" t="s">
        <v>125</v>
      </c>
      <c r="BE180" s="318" t="s">
        <v>191</v>
      </c>
      <c r="BF180" s="318" t="s">
        <v>207</v>
      </c>
      <c r="BG180" s="318" t="s">
        <v>126</v>
      </c>
      <c r="BH180" s="318" t="s">
        <v>197</v>
      </c>
      <c r="BI180" s="318" t="s">
        <v>192</v>
      </c>
      <c r="BJ180" s="318" t="s">
        <v>127</v>
      </c>
      <c r="BK180" s="318" t="s">
        <v>208</v>
      </c>
      <c r="BM180" s="318" t="s">
        <v>196</v>
      </c>
      <c r="BN180" s="318" t="s">
        <v>121</v>
      </c>
      <c r="BO180" s="318" t="s">
        <v>134</v>
      </c>
      <c r="BP180" s="318" t="s">
        <v>122</v>
      </c>
      <c r="BQ180" s="318" t="s">
        <v>123</v>
      </c>
      <c r="BR180" s="318" t="s">
        <v>124</v>
      </c>
      <c r="BT180" s="318" t="s">
        <v>196</v>
      </c>
      <c r="BU180" s="318" t="s">
        <v>121</v>
      </c>
      <c r="BV180" s="318" t="s">
        <v>134</v>
      </c>
      <c r="BW180" s="318" t="s">
        <v>122</v>
      </c>
      <c r="BX180" s="318" t="s">
        <v>123</v>
      </c>
      <c r="BY180" s="318" t="s">
        <v>124</v>
      </c>
      <c r="CB180" s="445"/>
      <c r="CC180" s="350"/>
      <c r="CD180" s="350"/>
      <c r="CE180" s="350"/>
      <c r="CF180" s="350"/>
      <c r="CG180" s="445"/>
      <c r="CR180" s="445"/>
      <c r="CS180" s="445"/>
      <c r="CT180" s="395" t="str">
        <f t="shared" ca="1" si="288"/>
        <v/>
      </c>
      <c r="CU180" s="360" t="str">
        <f ca="1">IF(OR(CT180="",DA180="",CT180=DA180,ISNA(VLOOKUP(CONCATENATE(CT180,DA180),games.r,2,FALSE))),"",CONCATENATE(CT180,DA180))</f>
        <v/>
      </c>
      <c r="CV180" s="360" t="str">
        <f ca="1">IF(CU180="","",CONCATENATE(VLOOKUP(CU180,games.r,9,FALSE),VLOOKUP(CU180,games.r,12,FALSE)))</f>
        <v/>
      </c>
      <c r="CW180" s="354" t="str">
        <f ca="1">IF(CU180="","",VLOOKUP(CU180,games.r,10,FALSE))</f>
        <v/>
      </c>
      <c r="CX180" s="354" t="str">
        <f ca="1">IF(CU180="","",VLOOKUP(CU180,games.r,13,FALSE))</f>
        <v/>
      </c>
      <c r="CY180" s="361" t="str">
        <f ca="1">IF(CU180="","",VLOOKUP(CU180,games.r,6,FALSE))</f>
        <v/>
      </c>
      <c r="CZ180" s="362" t="str">
        <f ca="1">IF(CU180="","",VLOOKUP(CU180,games.r,7,FALSE))</f>
        <v/>
      </c>
      <c r="DA180" s="379" t="str">
        <f t="shared" ca="1" si="289"/>
        <v/>
      </c>
      <c r="DB180" s="302"/>
      <c r="DC180" s="364"/>
      <c r="DD180" s="445"/>
      <c r="DF180" s="424"/>
      <c r="DW180" s="424"/>
      <c r="DX180" s="424"/>
      <c r="DY180" s="424"/>
      <c r="DZ180" s="424"/>
      <c r="EA180" s="424"/>
      <c r="EB180" s="424"/>
      <c r="EO180" s="425"/>
      <c r="EP180" s="333"/>
    </row>
    <row r="181" spans="34:146" x14ac:dyDescent="0.25">
      <c r="AH181" s="336">
        <f>AW181</f>
        <v>0</v>
      </c>
      <c r="AI181" s="443" t="str">
        <f>IF(AJ181=AK181,"►",IF(AJ181&lt;AK181,"▲","▼"))</f>
        <v>▼</v>
      </c>
      <c r="AJ181" s="444">
        <f t="shared" ref="AJ181:AJ190" si="290">IF($AD$58=1,RANK(AU181,$AU$181:$AU$190,1),RANK(AS181,$AS$181:$AS$190,1))</f>
        <v>10</v>
      </c>
      <c r="AK181" s="444">
        <f t="shared" ref="AK181:AK190" si="291">IF($AD$58=1,RANK(AU90,$AU$90:$AU$99,1),RANK(AU168,$AU$168:$AU$177,1))</f>
        <v>1</v>
      </c>
      <c r="AS181" s="348">
        <f>IF($AD$58=2,BB181,BC181*-1)*1000000+IF(ASZTAB!$AJ$44,BE181,BD181)*1000+BJ181-IF(AW181=0,1000000000000,0)</f>
        <v>-999999999999.95996</v>
      </c>
      <c r="AU181" s="348">
        <f>IF(ASZTAB!$AJ$44,BI181*100,IF(ASZTAB!$AJ$43,BG181*10,BG181))*1000000+IF(ASZTAB!$AJ$52,AY181*10000,0)+IF(ASZTAB!$AJ$44,BE181,BD181)*1000/IF(OR(ASZTAB!AJ$43,ASZTAB!$AJ$52),10,1)+IF(ASZTAB!$AJ$44,0,IF(ASZTAB!AJ$43,BB181/10,BB181))+BJ181+IF($AD$86,BK181,0)-IF(AW181=0,1000000000,0)</f>
        <v>-999999999.96000004</v>
      </c>
      <c r="AV181" s="349">
        <v>1</v>
      </c>
      <c r="AW181" s="378">
        <f>IF(NOT($AD$45),0,RCSOP!BE81)</f>
        <v>0</v>
      </c>
      <c r="AX181" s="346">
        <f>AY181+AZ181+BA181</f>
        <v>0</v>
      </c>
      <c r="AY181" s="346">
        <f t="shared" ref="AY181:AY190" si="292">IF(NOT($AD$45),0,IF($AD$57=1,BN181+BU181,IF($AD$57=2,BN181,IF($AD$57=3,BU181,""))))</f>
        <v>0</v>
      </c>
      <c r="AZ181" s="346">
        <f t="shared" ref="AZ181:AZ190" si="293">IF(NOT($AD$45),0,IF($AD$57=1,BO181+BV181,IF($AD$57=2,BO181,IF($AD$57=3,BV181,""))))</f>
        <v>0</v>
      </c>
      <c r="BA181" s="346">
        <f t="shared" ref="BA181:BA190" si="294">IF(NOT($AD$45),0,IF($AD$57=1,BP181+BW181,IF($AD$57=2,BP181,IF($AD$57=3,BW181,""))))</f>
        <v>0</v>
      </c>
      <c r="BB181" s="346">
        <f t="shared" ref="BB181:BB190" si="295">IF(NOT($AD$45),0,IF($AD$57=1,BQ181+BX181,IF($AD$57=2,BQ181,IF($AD$57=3,BX181,""))))</f>
        <v>0</v>
      </c>
      <c r="BC181" s="346">
        <f t="shared" ref="BC181:BC190" si="296">IF(NOT($AD$45),0,IF($AD$57=1,BR181+BY181,IF($AD$57=2,BR181,IF($AD$57=3,BY181,""))))</f>
        <v>0</v>
      </c>
      <c r="BD181" s="346">
        <f>BB181-BC181</f>
        <v>0</v>
      </c>
      <c r="BE181" s="347">
        <f>IF(BC181=0,0,BB181/BC181)</f>
        <v>0</v>
      </c>
      <c r="BF181" s="346">
        <f t="shared" ref="BF181:BF190" si="297">IF(NOT($AD$45),0,IF(OR(NOT($AD$87),ISNA(VLOOKUP(AW181,penalty.r,2,FALSE))),0,VLOOKUP(AW181,penalty.r,2,FALSE))-IF(OR(NOT($AD$91),NOT($AD$110),ISNA(VLOOKUP(AW181,zpoint,2,FALSE))),0,VLOOKUP(AW181,zpoint,2,FALSE)))</f>
        <v>0</v>
      </c>
      <c r="BG181" s="346">
        <f>IF(NOT($AD$45),0,ASZTAB!$AJ$48*AY181+AZ181-BF181)</f>
        <v>0</v>
      </c>
      <c r="BH181" s="346">
        <f>IF(NOT($AD$45),0,AY181*2+BA181-BF181)</f>
        <v>0</v>
      </c>
      <c r="BI181" s="347">
        <f>IF(NOT($AD$45),0,IF(AND(AX181=0,BH181=0),0,BH181/(AX181*2+IF($AD$91,$AD$111,0))))</f>
        <v>0</v>
      </c>
      <c r="BJ181" s="348">
        <v>0.04</v>
      </c>
      <c r="BK181" s="349">
        <f t="shared" ref="BK181:BK190" ca="1" si="298">IF(ISNA(VLOOKUP(AW181,eee.rn,16,FALSE)),0,VLOOKUP(AW181,eee.rn,16,FALSE))</f>
        <v>0</v>
      </c>
      <c r="BM181" s="346">
        <f t="shared" ref="BM181:BM190" si="299">IF(NOT($AD$45),0,COUNTIF(lossh.rv,CONCATENATE($AW181,"ooo"))-COUNTIF($BG$115:$BG$126,CONCATENATE($AW181,"ooo"))+IF(OR(NOT($AD$91),NOT($AD$108)),0,IF($AD$109,COUNTIF(lossh.aa,CONCATENATE($AW181,"ooo")),COUNTIF(zlossh,CONCATENATE($AW181,"ooo")))))</f>
        <v>0</v>
      </c>
      <c r="BN181" s="346">
        <f t="shared" ref="BN181:BN190" si="300">IF(NOT($AD$45),0,COUNTIF(winh.rv,$AW181)-COUNTIF($BE$115:$BE$126,$AW181)+IF(OR(NOT($AD$91),NOT($AD$108)),0,IF($AD$109,COUNTIF(winh.aa,$AW181),COUNTIF(zwinh,$AW181))))</f>
        <v>0</v>
      </c>
      <c r="BO181" s="346">
        <f t="shared" ref="BO181:BO190" si="301">IF(NOT($AD$45),0,COUNTIF(drawh.rv,$AW181)-COUNTIF($BF$115:$BF$126,$AW181)+IF(OR(NOT($AD$91),NOT($AD$108)),0,IF($AD$109,COUNTIF(drawh.aa,$AW181),COUNTIF(zdrawh,$AW181))))</f>
        <v>0</v>
      </c>
      <c r="BP181" s="346">
        <f t="shared" ref="BP181:BP190" si="302">IF(NOT($AD$45),0,COUNTIF(lossh.rv,$AW181)-COUNTIF($BG$115:$BG$126,$AW181)+BM181+IF(OR(NOT($AD$91),NOT($AD$108)),0,IF($AD$109,COUNTIF(lossh.aa,$AW181),COUNTIF(zlossh,$AW181))))</f>
        <v>0</v>
      </c>
      <c r="BQ181" s="346">
        <f t="shared" ref="BQ181:BQ190" si="303">IF(NOT($AD$45),0,SUMIF(home.rv,$AW181,GAA.rv)-SUMIF($BA$115:$BA$126,$AW181,$BC$115:$BC$126)+IF(OR(NOT($AD$91),NOT($AD$108)),0,IF($AD$109,SUMIF(home.aa,$AW181,GAA.aa),SUMIF(zhome,$AW181,zfor))))</f>
        <v>0</v>
      </c>
      <c r="BR181" s="346">
        <f t="shared" ref="BR181:BR190" si="304">IF(NOT($AD$45),0,SUMIF(home.rv,$AW181,GBB.rv)-SUMIF($BA$115:$BA$126,$AW181,$BD$115:$BD$126)+IF(OR(NOT($AD$91),NOT($AD$108)),0,IF($AD$109,SUMIF(home.aa,$AW181,GBB.aa),SUMIF(zhome,$AW181,zagainst))))</f>
        <v>0</v>
      </c>
      <c r="BT181" s="346">
        <f t="shared" ref="BT181:BT190" si="305">IF(NOT($AD$45),0,COUNTIF(lossa.rv,CONCATENATE($AW181,"ooo"))-COUNTIF($BJ$115:$BJ$126,CONCATENATE($AW181,"ooo"))+IF(OR(NOT($AD$91),NOT($AD$108)),0,IF($AD$109,COUNTIF(lossa.aa,CONCATENATE($AW181,"ooo")),COUNTIF(zlossa,CONCATENATE($AW181,"ooo")))))</f>
        <v>0</v>
      </c>
      <c r="BU181" s="346">
        <f t="shared" ref="BU181:BU190" si="306">IF(NOT($AD$45),0,COUNTIF(wina.rv,$AW181)-COUNTIF($BH$115:$BH$126,$AW181)+IF(OR(NOT($AD$91),NOT($AD$108)),0,IF($AD$109,COUNTIF(wina.aa,$AW181),COUNTIF(zwina,$AW181))))</f>
        <v>0</v>
      </c>
      <c r="BV181" s="346">
        <f t="shared" ref="BV181:BV190" si="307">IF(NOT($AD$45),0,COUNTIF(drawa.rv,$AW181)-COUNTIF($BI$115:$BI$126,$AW181)+IF(OR(NOT($AD$91),NOT($AD$108)),0,IF($AD$109,COUNTIF(drawa.aa,$AW181),COUNTIF(zdrawa,$AW181))))</f>
        <v>0</v>
      </c>
      <c r="BW181" s="346">
        <f t="shared" ref="BW181:BW190" si="308">IF(NOT($AD$45),0,COUNTIF(lossa.rv,$AW181)-COUNTIF($BJ$115:$BJ$126,$AW181)+BT181+IF(OR(NOT($AD$91),NOT($AD$108)),0,IF($AD$109,COUNTIF(lossa.aa,$AW181),COUNTIF(zlossa,$AW181))))</f>
        <v>0</v>
      </c>
      <c r="BX181" s="346">
        <f t="shared" ref="BX181:BX190" si="309">IF(NOT($AD$45),0,SUMIF(away.rv,$AW181,GBB.rv)-SUMIF($BB$115:$BB$126,$AW181,$BD$115:$BD$126)+IF(OR(NOT($AD$91),NOT($AD$108)),0,IF($AD$109,SUMIF(away.aa,$AW181,GBB.aa),SUMIF(zaway,$AW181,zagainst))))</f>
        <v>0</v>
      </c>
      <c r="BY181" s="346">
        <f t="shared" ref="BY181:BY190" si="310">IF(NOT($AD$45),0,SUMIF(away.rv,$AW181,GAA.rv)-SUMIF($BB$115:$BB$126,$AW181,$BC$115:$BC$126)+IF(OR(NOT($AD$91),NOT($AD$108)),0,IF($AD$109,SUMIF(away.aa,$AW181,GAA.aa),SUMIF(zaway,$AW181,zfor))))</f>
        <v>0</v>
      </c>
      <c r="CB181" s="445"/>
      <c r="CC181" s="350"/>
      <c r="CD181" s="350"/>
      <c r="CE181" s="350"/>
      <c r="CF181" s="350"/>
      <c r="CG181" s="445"/>
      <c r="CR181" s="445"/>
      <c r="CS181" s="445"/>
      <c r="CT181" s="395" t="str">
        <f t="shared" ca="1" si="288"/>
        <v/>
      </c>
      <c r="CU181" s="360" t="str">
        <f ca="1">IF(OR(CT181="",DA181="",CT181=DA181,ISNA(VLOOKUP(CONCATENATE(CT181,DA181),games.r,2,FALSE))),"",CONCATENATE(CT181,DA181))</f>
        <v/>
      </c>
      <c r="CV181" s="360" t="str">
        <f ca="1">IF(CU181="","",CONCATENATE(VLOOKUP(CU181,games.r,9,FALSE),VLOOKUP(CU181,games.r,12,FALSE)))</f>
        <v/>
      </c>
      <c r="CW181" s="354" t="str">
        <f ca="1">IF(CU181="","",VLOOKUP(CU181,games.r,10,FALSE))</f>
        <v/>
      </c>
      <c r="CX181" s="354" t="str">
        <f ca="1">IF(CU181="","",VLOOKUP(CU181,games.r,13,FALSE))</f>
        <v/>
      </c>
      <c r="CY181" s="361" t="str">
        <f ca="1">IF(CU181="","",VLOOKUP(CU181,games.r,6,FALSE))</f>
        <v/>
      </c>
      <c r="CZ181" s="362" t="str">
        <f ca="1">IF(CU181="","",VLOOKUP(CU181,games.r,7,FALSE))</f>
        <v/>
      </c>
      <c r="DA181" s="379" t="str">
        <f t="shared" ca="1" si="289"/>
        <v/>
      </c>
      <c r="DB181" s="302"/>
      <c r="DC181" s="364"/>
      <c r="DD181" s="445"/>
      <c r="DF181" s="424"/>
      <c r="DW181" s="424"/>
      <c r="DX181" s="424"/>
      <c r="DY181" s="424"/>
      <c r="DZ181" s="424"/>
      <c r="EA181" s="424"/>
      <c r="EB181" s="424"/>
      <c r="EO181" s="425"/>
      <c r="EP181" s="333"/>
    </row>
    <row r="182" spans="34:146" x14ac:dyDescent="0.25">
      <c r="AH182" s="336">
        <f t="shared" ref="AH182:AH190" si="311">AW182</f>
        <v>0</v>
      </c>
      <c r="AI182" s="443" t="str">
        <f t="shared" ref="AI182:AI190" si="312">IF(AJ182=AK182,"►",IF(AJ182&lt;AK182,"▲","▼"))</f>
        <v>▼</v>
      </c>
      <c r="AJ182" s="444">
        <f t="shared" si="290"/>
        <v>9</v>
      </c>
      <c r="AK182" s="444">
        <f t="shared" si="291"/>
        <v>1</v>
      </c>
      <c r="AS182" s="348">
        <f>IF($AD$58=2,BB182,BC182*-1)*1000000+IF(ASZTAB!$AJ$44,BE182,BD182)*1000+BJ182-IF(AW182=0,1000000000000,0)</f>
        <v>-999999999999.96106</v>
      </c>
      <c r="AU182" s="348">
        <f>IF(ASZTAB!$AJ$44,BI182*100,IF(ASZTAB!$AJ$43,BG182*10,BG182))*1000000+IF(ASZTAB!$AJ$52,AY182*10000,0)+IF(ASZTAB!$AJ$44,BE182,BD182)*1000/IF(OR(ASZTAB!AJ$43,ASZTAB!$AJ$52),10,1)+IF(ASZTAB!$AJ$44,0,IF(ASZTAB!AJ$43,BB182/10,BB182))+BJ182+IF($AD$86,BK182,0)-IF(AW182=0,1000000000,0)</f>
        <v>-999999999.96099997</v>
      </c>
      <c r="AV182" s="349">
        <v>2</v>
      </c>
      <c r="AW182" s="378">
        <f>IF(NOT($AD$45),0,RCSOP!BE82)</f>
        <v>0</v>
      </c>
      <c r="AX182" s="346">
        <f t="shared" ref="AX182:AX190" si="313">AY182+AZ182+BA182</f>
        <v>0</v>
      </c>
      <c r="AY182" s="346">
        <f t="shared" si="292"/>
        <v>0</v>
      </c>
      <c r="AZ182" s="346">
        <f t="shared" si="293"/>
        <v>0</v>
      </c>
      <c r="BA182" s="346">
        <f t="shared" si="294"/>
        <v>0</v>
      </c>
      <c r="BB182" s="346">
        <f t="shared" si="295"/>
        <v>0</v>
      </c>
      <c r="BC182" s="346">
        <f t="shared" si="296"/>
        <v>0</v>
      </c>
      <c r="BD182" s="346">
        <f t="shared" ref="BD182:BD190" si="314">BB182-BC182</f>
        <v>0</v>
      </c>
      <c r="BE182" s="347">
        <f t="shared" ref="BE182:BE190" si="315">IF(BC182=0,0,BB182/BC182)</f>
        <v>0</v>
      </c>
      <c r="BF182" s="346">
        <f t="shared" si="297"/>
        <v>0</v>
      </c>
      <c r="BG182" s="346">
        <f>IF(NOT($AD$45),0,ASZTAB!$AJ$48*AY182+AZ182-BF182)</f>
        <v>0</v>
      </c>
      <c r="BH182" s="346">
        <f t="shared" ref="BH182:BH190" si="316">IF(NOT($AD$45),0,AY182*2+BA182-BF182)</f>
        <v>0</v>
      </c>
      <c r="BI182" s="347">
        <f t="shared" ref="BI182:BI190" si="317">IF(NOT($AD$45),0,IF(AND(AX182=0,BH182=0),0,BH182/(AX182*2+IF($AD$91,$AD$111,0))))</f>
        <v>0</v>
      </c>
      <c r="BJ182" s="348">
        <v>3.9E-2</v>
      </c>
      <c r="BK182" s="349">
        <f t="shared" ca="1" si="298"/>
        <v>0</v>
      </c>
      <c r="BM182" s="346">
        <f t="shared" si="299"/>
        <v>0</v>
      </c>
      <c r="BN182" s="346">
        <f t="shared" si="300"/>
        <v>0</v>
      </c>
      <c r="BO182" s="346">
        <f t="shared" si="301"/>
        <v>0</v>
      </c>
      <c r="BP182" s="346">
        <f t="shared" si="302"/>
        <v>0</v>
      </c>
      <c r="BQ182" s="346">
        <f t="shared" si="303"/>
        <v>0</v>
      </c>
      <c r="BR182" s="346">
        <f t="shared" si="304"/>
        <v>0</v>
      </c>
      <c r="BT182" s="346">
        <f t="shared" si="305"/>
        <v>0</v>
      </c>
      <c r="BU182" s="346">
        <f t="shared" si="306"/>
        <v>0</v>
      </c>
      <c r="BV182" s="346">
        <f t="shared" si="307"/>
        <v>0</v>
      </c>
      <c r="BW182" s="346">
        <f t="shared" si="308"/>
        <v>0</v>
      </c>
      <c r="BX182" s="346">
        <f t="shared" si="309"/>
        <v>0</v>
      </c>
      <c r="BY182" s="346">
        <f t="shared" si="310"/>
        <v>0</v>
      </c>
      <c r="CB182" s="445"/>
      <c r="CC182" s="350"/>
      <c r="CD182" s="350"/>
      <c r="CE182" s="350"/>
      <c r="CF182" s="350"/>
      <c r="CG182" s="445"/>
      <c r="CQ182" s="302"/>
      <c r="CR182" s="445"/>
      <c r="CS182" s="445"/>
      <c r="CT182" s="395" t="str">
        <f t="shared" ca="1" si="288"/>
        <v/>
      </c>
      <c r="CU182" s="360" t="str">
        <f ca="1">IF(OR(CT182="",DA182="",CT182=DA182,ISNA(VLOOKUP(CONCATENATE(CT182,DA182),games.r,2,FALSE))),"",CONCATENATE(CT182,DA182))</f>
        <v/>
      </c>
      <c r="CV182" s="360" t="str">
        <f ca="1">IF(CU182="","",CONCATENATE(VLOOKUP(CU182,games.r,9,FALSE),VLOOKUP(CU182,games.r,12,FALSE)))</f>
        <v/>
      </c>
      <c r="CW182" s="354" t="str">
        <f ca="1">IF(CU182="","",VLOOKUP(CU182,games.r,10,FALSE))</f>
        <v/>
      </c>
      <c r="CX182" s="354" t="str">
        <f ca="1">IF(CU182="","",VLOOKUP(CU182,games.r,13,FALSE))</f>
        <v/>
      </c>
      <c r="CY182" s="361" t="str">
        <f ca="1">IF(CU182="","",VLOOKUP(CU182,games.r,6,FALSE))</f>
        <v/>
      </c>
      <c r="CZ182" s="362" t="str">
        <f ca="1">IF(CU182="","",VLOOKUP(CU182,games.r,7,FALSE))</f>
        <v/>
      </c>
      <c r="DA182" s="379" t="str">
        <f t="shared" ca="1" si="289"/>
        <v/>
      </c>
      <c r="DB182" s="302"/>
      <c r="DC182" s="364"/>
      <c r="DD182" s="445"/>
      <c r="DF182" s="424"/>
      <c r="DW182" s="424"/>
      <c r="DX182" s="424"/>
      <c r="DY182" s="424"/>
      <c r="DZ182" s="424"/>
      <c r="EA182" s="424"/>
      <c r="EB182" s="424"/>
      <c r="EO182" s="425"/>
      <c r="EP182" s="333"/>
    </row>
    <row r="183" spans="34:146" x14ac:dyDescent="0.25">
      <c r="AH183" s="336">
        <f t="shared" si="311"/>
        <v>0</v>
      </c>
      <c r="AI183" s="443" t="str">
        <f t="shared" si="312"/>
        <v>▼</v>
      </c>
      <c r="AJ183" s="444">
        <f t="shared" si="290"/>
        <v>8</v>
      </c>
      <c r="AK183" s="444">
        <f t="shared" si="291"/>
        <v>1</v>
      </c>
      <c r="AS183" s="348">
        <f>IF($AD$58=2,BB183,BC183*-1)*1000000+IF(ASZTAB!$AJ$44,BE183,BD183)*1000+BJ183-IF(AW183=0,1000000000000,0)</f>
        <v>-999999999999.96204</v>
      </c>
      <c r="AU183" s="348">
        <f>IF(ASZTAB!$AJ$44,BI183*100,IF(ASZTAB!$AJ$43,BG183*10,BG183))*1000000+IF(ASZTAB!$AJ$52,AY183*10000,0)+IF(ASZTAB!$AJ$44,BE183,BD183)*1000/IF(OR(ASZTAB!AJ$43,ASZTAB!$AJ$52),10,1)+IF(ASZTAB!$AJ$44,0,IF(ASZTAB!AJ$43,BB183/10,BB183))+BJ183+IF($AD$86,BK183,0)-IF(AW183=0,1000000000,0)</f>
        <v>-999999999.96200001</v>
      </c>
      <c r="AV183" s="349">
        <v>3</v>
      </c>
      <c r="AW183" s="378">
        <f>IF(NOT($AD$45),0,RCSOP!BE83)</f>
        <v>0</v>
      </c>
      <c r="AX183" s="346">
        <f t="shared" si="313"/>
        <v>0</v>
      </c>
      <c r="AY183" s="346">
        <f t="shared" si="292"/>
        <v>0</v>
      </c>
      <c r="AZ183" s="346">
        <f t="shared" si="293"/>
        <v>0</v>
      </c>
      <c r="BA183" s="346">
        <f t="shared" si="294"/>
        <v>0</v>
      </c>
      <c r="BB183" s="346">
        <f t="shared" si="295"/>
        <v>0</v>
      </c>
      <c r="BC183" s="346">
        <f t="shared" si="296"/>
        <v>0</v>
      </c>
      <c r="BD183" s="346">
        <f t="shared" si="314"/>
        <v>0</v>
      </c>
      <c r="BE183" s="347">
        <f t="shared" si="315"/>
        <v>0</v>
      </c>
      <c r="BF183" s="346">
        <f t="shared" si="297"/>
        <v>0</v>
      </c>
      <c r="BG183" s="346">
        <f>IF(NOT($AD$45),0,ASZTAB!$AJ$48*AY183+AZ183-BF183)</f>
        <v>0</v>
      </c>
      <c r="BH183" s="346">
        <f t="shared" si="316"/>
        <v>0</v>
      </c>
      <c r="BI183" s="347">
        <f t="shared" si="317"/>
        <v>0</v>
      </c>
      <c r="BJ183" s="348">
        <v>3.7999999999999999E-2</v>
      </c>
      <c r="BK183" s="349">
        <f t="shared" ca="1" si="298"/>
        <v>0</v>
      </c>
      <c r="BM183" s="346">
        <f t="shared" si="299"/>
        <v>0</v>
      </c>
      <c r="BN183" s="346">
        <f t="shared" si="300"/>
        <v>0</v>
      </c>
      <c r="BO183" s="346">
        <f t="shared" si="301"/>
        <v>0</v>
      </c>
      <c r="BP183" s="346">
        <f t="shared" si="302"/>
        <v>0</v>
      </c>
      <c r="BQ183" s="346">
        <f t="shared" si="303"/>
        <v>0</v>
      </c>
      <c r="BR183" s="346">
        <f t="shared" si="304"/>
        <v>0</v>
      </c>
      <c r="BT183" s="346">
        <f t="shared" si="305"/>
        <v>0</v>
      </c>
      <c r="BU183" s="346">
        <f t="shared" si="306"/>
        <v>0</v>
      </c>
      <c r="BV183" s="346">
        <f t="shared" si="307"/>
        <v>0</v>
      </c>
      <c r="BW183" s="346">
        <f t="shared" si="308"/>
        <v>0</v>
      </c>
      <c r="BX183" s="346">
        <f t="shared" si="309"/>
        <v>0</v>
      </c>
      <c r="BY183" s="346">
        <f t="shared" si="310"/>
        <v>0</v>
      </c>
      <c r="CB183" s="445"/>
      <c r="CC183" s="350"/>
      <c r="CD183" s="350"/>
      <c r="CE183" s="350"/>
      <c r="CF183" s="350"/>
      <c r="CG183" s="445"/>
      <c r="CQ183" s="302"/>
      <c r="CR183" s="445"/>
      <c r="CS183" s="445"/>
      <c r="CT183" s="522" t="str">
        <f t="shared" si="288"/>
        <v/>
      </c>
      <c r="CU183" s="371" t="str">
        <f ca="1">IF(OR(CT183="",DA183="",CT183=DA183,ISNA(VLOOKUP(CONCATENATE(CT183,DA183),games.a,2,FALSE))),"",CONCATENATE(CT183,DA183))</f>
        <v/>
      </c>
      <c r="CV183" s="371" t="str">
        <f ca="1">IF(CU183="","",CONCATENATE(VLOOKUP(CU183,games.a,9,FALSE),VLOOKUP(CU183,games.a,12,FALSE)))</f>
        <v/>
      </c>
      <c r="CW183" s="369" t="str">
        <f ca="1">IF(CU183="","",VLOOKUP(CU183,games.a,10,FALSE))</f>
        <v/>
      </c>
      <c r="CX183" s="369" t="str">
        <f ca="1">IF(CU183="","",VLOOKUP(CU183,games.a,13,FALSE))</f>
        <v/>
      </c>
      <c r="CY183" s="423" t="str">
        <f ca="1">IF(CU183="","",VLOOKUP(CU183,games.a,6,FALSE))</f>
        <v/>
      </c>
      <c r="CZ183" s="409" t="str">
        <f ca="1">IF(CU183="","",VLOOKUP(CU183,games.a,7,FALSE))</f>
        <v/>
      </c>
      <c r="DA183" s="523" t="str">
        <f t="shared" ca="1" si="289"/>
        <v/>
      </c>
      <c r="DB183" s="302"/>
      <c r="DC183" s="364"/>
      <c r="DD183" s="445"/>
      <c r="DF183" s="424"/>
      <c r="DW183" s="424"/>
      <c r="DX183" s="424"/>
      <c r="DY183" s="424"/>
      <c r="DZ183" s="424"/>
      <c r="EA183" s="424"/>
      <c r="EB183" s="424"/>
      <c r="EO183" s="425"/>
      <c r="EP183" s="333"/>
    </row>
    <row r="184" spans="34:146" x14ac:dyDescent="0.25">
      <c r="AH184" s="336">
        <f t="shared" si="311"/>
        <v>0</v>
      </c>
      <c r="AI184" s="443" t="str">
        <f t="shared" si="312"/>
        <v>▼</v>
      </c>
      <c r="AJ184" s="444">
        <f t="shared" si="290"/>
        <v>7</v>
      </c>
      <c r="AK184" s="444">
        <f t="shared" si="291"/>
        <v>1</v>
      </c>
      <c r="AS184" s="348">
        <f>IF($AD$58=2,BB184,BC184*-1)*1000000+IF(ASZTAB!$AJ$44,BE184,BD184)*1000+BJ184-IF(AW184=0,1000000000000,0)</f>
        <v>-999999999999.96301</v>
      </c>
      <c r="AU184" s="348">
        <f>IF(ASZTAB!$AJ$44,BI184*100,IF(ASZTAB!$AJ$43,BG184*10,BG184))*1000000+IF(ASZTAB!$AJ$52,AY184*10000,0)+IF(ASZTAB!$AJ$44,BE184,BD184)*1000/IF(OR(ASZTAB!AJ$43,ASZTAB!$AJ$52),10,1)+IF(ASZTAB!$AJ$44,0,IF(ASZTAB!AJ$43,BB184/10,BB184))+BJ184+IF($AD$86,BK184,0)-IF(AW184=0,1000000000,0)</f>
        <v>-999999999.96300006</v>
      </c>
      <c r="AV184" s="349">
        <v>4</v>
      </c>
      <c r="AW184" s="378">
        <f>IF(NOT($AD$45),0,RCSOP!BE84)</f>
        <v>0</v>
      </c>
      <c r="AX184" s="346">
        <f t="shared" si="313"/>
        <v>0</v>
      </c>
      <c r="AY184" s="346">
        <f t="shared" si="292"/>
        <v>0</v>
      </c>
      <c r="AZ184" s="346">
        <f t="shared" si="293"/>
        <v>0</v>
      </c>
      <c r="BA184" s="346">
        <f t="shared" si="294"/>
        <v>0</v>
      </c>
      <c r="BB184" s="346">
        <f t="shared" si="295"/>
        <v>0</v>
      </c>
      <c r="BC184" s="346">
        <f t="shared" si="296"/>
        <v>0</v>
      </c>
      <c r="BD184" s="346">
        <f t="shared" si="314"/>
        <v>0</v>
      </c>
      <c r="BE184" s="347">
        <f t="shared" si="315"/>
        <v>0</v>
      </c>
      <c r="BF184" s="346">
        <f t="shared" si="297"/>
        <v>0</v>
      </c>
      <c r="BG184" s="346">
        <f>IF(NOT($AD$45),0,ASZTAB!$AJ$48*AY184+AZ184-BF184)</f>
        <v>0</v>
      </c>
      <c r="BH184" s="346">
        <f t="shared" si="316"/>
        <v>0</v>
      </c>
      <c r="BI184" s="347">
        <f t="shared" si="317"/>
        <v>0</v>
      </c>
      <c r="BJ184" s="348">
        <v>3.6999999999999998E-2</v>
      </c>
      <c r="BK184" s="349">
        <f t="shared" ca="1" si="298"/>
        <v>0</v>
      </c>
      <c r="BM184" s="346">
        <f t="shared" si="299"/>
        <v>0</v>
      </c>
      <c r="BN184" s="346">
        <f t="shared" si="300"/>
        <v>0</v>
      </c>
      <c r="BO184" s="346">
        <f t="shared" si="301"/>
        <v>0</v>
      </c>
      <c r="BP184" s="346">
        <f t="shared" si="302"/>
        <v>0</v>
      </c>
      <c r="BQ184" s="346">
        <f t="shared" si="303"/>
        <v>0</v>
      </c>
      <c r="BR184" s="346">
        <f t="shared" si="304"/>
        <v>0</v>
      </c>
      <c r="BT184" s="346">
        <f t="shared" si="305"/>
        <v>0</v>
      </c>
      <c r="BU184" s="346">
        <f t="shared" si="306"/>
        <v>0</v>
      </c>
      <c r="BV184" s="346">
        <f t="shared" si="307"/>
        <v>0</v>
      </c>
      <c r="BW184" s="346">
        <f t="shared" si="308"/>
        <v>0</v>
      </c>
      <c r="BX184" s="346">
        <f t="shared" si="309"/>
        <v>0</v>
      </c>
      <c r="BY184" s="346">
        <f t="shared" si="310"/>
        <v>0</v>
      </c>
      <c r="CB184" s="445"/>
      <c r="CC184" s="350"/>
      <c r="CD184" s="350"/>
      <c r="CE184" s="350"/>
      <c r="CF184" s="350"/>
      <c r="CG184" s="445"/>
      <c r="CQ184" s="302"/>
      <c r="CR184" s="445"/>
      <c r="CS184" s="445"/>
      <c r="CT184" s="522" t="str">
        <f t="shared" si="288"/>
        <v/>
      </c>
      <c r="CU184" s="371" t="str">
        <f ca="1">IF(OR(CT184="",DA184="",CT184=DA184,ISNA(VLOOKUP(CONCATENATE(CT184,DA184),games.a,2,FALSE))),"",CONCATENATE(CT184,DA184))</f>
        <v/>
      </c>
      <c r="CV184" s="371" t="str">
        <f ca="1">IF(CU184="","",CONCATENATE(VLOOKUP(CU184,games.a,9,FALSE),VLOOKUP(CU184,games.a,12,FALSE)))</f>
        <v/>
      </c>
      <c r="CW184" s="369" t="str">
        <f ca="1">IF(CU184="","",VLOOKUP(CU184,games.a,10,FALSE))</f>
        <v/>
      </c>
      <c r="CX184" s="369" t="str">
        <f ca="1">IF(CU184="","",VLOOKUP(CU184,games.a,13,FALSE))</f>
        <v/>
      </c>
      <c r="CY184" s="423" t="str">
        <f ca="1">IF(CU184="","",VLOOKUP(CU184,games.a,6,FALSE))</f>
        <v/>
      </c>
      <c r="CZ184" s="409" t="str">
        <f ca="1">IF(CU184="","",VLOOKUP(CU184,games.a,7,FALSE))</f>
        <v/>
      </c>
      <c r="DA184" s="523" t="str">
        <f t="shared" ca="1" si="289"/>
        <v/>
      </c>
      <c r="DB184" s="302"/>
      <c r="DC184" s="364"/>
      <c r="DD184" s="445"/>
      <c r="DF184" s="424"/>
      <c r="DW184" s="424"/>
      <c r="DX184" s="424"/>
      <c r="DY184" s="424"/>
      <c r="DZ184" s="424"/>
      <c r="EA184" s="424"/>
      <c r="EB184" s="424"/>
      <c r="EO184" s="425"/>
      <c r="EP184" s="333"/>
    </row>
    <row r="185" spans="34:146" x14ac:dyDescent="0.25">
      <c r="AH185" s="336">
        <f t="shared" si="311"/>
        <v>0</v>
      </c>
      <c r="AI185" s="443" t="str">
        <f t="shared" si="312"/>
        <v>▼</v>
      </c>
      <c r="AJ185" s="444">
        <f t="shared" si="290"/>
        <v>6</v>
      </c>
      <c r="AK185" s="444">
        <f t="shared" si="291"/>
        <v>1</v>
      </c>
      <c r="AS185" s="348">
        <f>IF($AD$58=2,BB185,BC185*-1)*1000000+IF(ASZTAB!$AJ$44,BE185,BD185)*1000+BJ185-IF(AW185=0,1000000000000,0)</f>
        <v>-999999999999.96399</v>
      </c>
      <c r="AU185" s="348">
        <f>IF(ASZTAB!$AJ$44,BI185*100,IF(ASZTAB!$AJ$43,BG185*10,BG185))*1000000+IF(ASZTAB!$AJ$52,AY185*10000,0)+IF(ASZTAB!$AJ$44,BE185,BD185)*1000/IF(OR(ASZTAB!AJ$43,ASZTAB!$AJ$52),10,1)+IF(ASZTAB!$AJ$44,0,IF(ASZTAB!AJ$43,BB185/10,BB185))+BJ185+IF($AD$86,BK185,0)-IF(AW185=0,1000000000,0)</f>
        <v>-999999999.96399999</v>
      </c>
      <c r="AV185" s="349">
        <v>5</v>
      </c>
      <c r="AW185" s="378">
        <f>IF(NOT($AD$45),0,RCSOP!BE85)</f>
        <v>0</v>
      </c>
      <c r="AX185" s="346">
        <f t="shared" si="313"/>
        <v>0</v>
      </c>
      <c r="AY185" s="346">
        <f t="shared" si="292"/>
        <v>0</v>
      </c>
      <c r="AZ185" s="346">
        <f t="shared" si="293"/>
        <v>0</v>
      </c>
      <c r="BA185" s="346">
        <f t="shared" si="294"/>
        <v>0</v>
      </c>
      <c r="BB185" s="346">
        <f t="shared" si="295"/>
        <v>0</v>
      </c>
      <c r="BC185" s="346">
        <f t="shared" si="296"/>
        <v>0</v>
      </c>
      <c r="BD185" s="346">
        <f t="shared" si="314"/>
        <v>0</v>
      </c>
      <c r="BE185" s="347">
        <f t="shared" si="315"/>
        <v>0</v>
      </c>
      <c r="BF185" s="346">
        <f t="shared" si="297"/>
        <v>0</v>
      </c>
      <c r="BG185" s="346">
        <f>IF(NOT($AD$45),0,ASZTAB!$AJ$48*AY185+AZ185-BF185)</f>
        <v>0</v>
      </c>
      <c r="BH185" s="346">
        <f t="shared" si="316"/>
        <v>0</v>
      </c>
      <c r="BI185" s="347">
        <f t="shared" si="317"/>
        <v>0</v>
      </c>
      <c r="BJ185" s="348">
        <v>3.5999999999999997E-2</v>
      </c>
      <c r="BK185" s="349">
        <f t="shared" ca="1" si="298"/>
        <v>0</v>
      </c>
      <c r="BM185" s="346">
        <f t="shared" si="299"/>
        <v>0</v>
      </c>
      <c r="BN185" s="346">
        <f t="shared" si="300"/>
        <v>0</v>
      </c>
      <c r="BO185" s="346">
        <f t="shared" si="301"/>
        <v>0</v>
      </c>
      <c r="BP185" s="346">
        <f t="shared" si="302"/>
        <v>0</v>
      </c>
      <c r="BQ185" s="346">
        <f t="shared" si="303"/>
        <v>0</v>
      </c>
      <c r="BR185" s="346">
        <f t="shared" si="304"/>
        <v>0</v>
      </c>
      <c r="BT185" s="346">
        <f t="shared" si="305"/>
        <v>0</v>
      </c>
      <c r="BU185" s="346">
        <f t="shared" si="306"/>
        <v>0</v>
      </c>
      <c r="BV185" s="346">
        <f t="shared" si="307"/>
        <v>0</v>
      </c>
      <c r="BW185" s="346">
        <f t="shared" si="308"/>
        <v>0</v>
      </c>
      <c r="BX185" s="346">
        <f t="shared" si="309"/>
        <v>0</v>
      </c>
      <c r="BY185" s="346">
        <f t="shared" si="310"/>
        <v>0</v>
      </c>
      <c r="CB185" s="445"/>
      <c r="CC185" s="350"/>
      <c r="CD185" s="350"/>
      <c r="CE185" s="350"/>
      <c r="CF185" s="350"/>
      <c r="CG185" s="445"/>
      <c r="CQ185" s="302"/>
      <c r="CR185" s="445"/>
      <c r="CS185" s="445"/>
      <c r="CT185" s="522" t="str">
        <f t="shared" si="288"/>
        <v/>
      </c>
      <c r="CU185" s="371" t="str">
        <f ca="1">IF(OR(CT185="",DA185="",CT185=DA185,ISNA(VLOOKUP(CONCATENATE(CT185,DA185),games.a,2,FALSE))),"",CONCATENATE(CT185,DA185))</f>
        <v/>
      </c>
      <c r="CV185" s="371" t="str">
        <f ca="1">IF(CU185="","",CONCATENATE(VLOOKUP(CU185,games.a,9,FALSE),VLOOKUP(CU185,games.a,12,FALSE)))</f>
        <v/>
      </c>
      <c r="CW185" s="369" t="str">
        <f ca="1">IF(CU185="","",VLOOKUP(CU185,games.a,10,FALSE))</f>
        <v/>
      </c>
      <c r="CX185" s="369" t="str">
        <f ca="1">IF(CU185="","",VLOOKUP(CU185,games.a,13,FALSE))</f>
        <v/>
      </c>
      <c r="CY185" s="423" t="str">
        <f ca="1">IF(CU185="","",VLOOKUP(CU185,games.a,6,FALSE))</f>
        <v/>
      </c>
      <c r="CZ185" s="409" t="str">
        <f ca="1">IF(CU185="","",VLOOKUP(CU185,games.a,7,FALSE))</f>
        <v/>
      </c>
      <c r="DA185" s="523" t="str">
        <f t="shared" ca="1" si="289"/>
        <v/>
      </c>
      <c r="DB185" s="302"/>
      <c r="DC185" s="364"/>
      <c r="DD185" s="445"/>
      <c r="DF185" s="424"/>
      <c r="DW185" s="424"/>
      <c r="DX185" s="424"/>
      <c r="DY185" s="424"/>
      <c r="DZ185" s="424"/>
      <c r="EA185" s="424"/>
      <c r="EB185" s="424"/>
      <c r="EO185" s="425"/>
      <c r="EP185" s="333"/>
    </row>
    <row r="186" spans="34:146" x14ac:dyDescent="0.25">
      <c r="AH186" s="336">
        <f t="shared" si="311"/>
        <v>0</v>
      </c>
      <c r="AI186" s="443" t="str">
        <f t="shared" si="312"/>
        <v>▼</v>
      </c>
      <c r="AJ186" s="444">
        <f t="shared" si="290"/>
        <v>5</v>
      </c>
      <c r="AK186" s="444">
        <f t="shared" si="291"/>
        <v>1</v>
      </c>
      <c r="AS186" s="348">
        <f>IF($AD$58=2,BB186,BC186*-1)*1000000+IF(ASZTAB!$AJ$44,BE186,BD186)*1000+BJ186-IF(AW186=0,1000000000000,0)</f>
        <v>-999999999999.96497</v>
      </c>
      <c r="AU186" s="348">
        <f>IF(ASZTAB!$AJ$44,BI186*100,IF(ASZTAB!$AJ$43,BG186*10,BG186))*1000000+IF(ASZTAB!$AJ$52,AY186*10000,0)+IF(ASZTAB!$AJ$44,BE186,BD186)*1000/IF(OR(ASZTAB!AJ$43,ASZTAB!$AJ$52),10,1)+IF(ASZTAB!$AJ$44,0,IF(ASZTAB!AJ$43,BB186/10,BB186))+BJ186+IF($AD$86,BK186,0)-IF(AW186=0,1000000000,0)</f>
        <v>-999999999.96500003</v>
      </c>
      <c r="AV186" s="349">
        <v>6</v>
      </c>
      <c r="AW186" s="378">
        <f>IF(NOT($AD$45),0,RCSOP!BE86)</f>
        <v>0</v>
      </c>
      <c r="AX186" s="346">
        <f t="shared" si="313"/>
        <v>0</v>
      </c>
      <c r="AY186" s="346">
        <f t="shared" si="292"/>
        <v>0</v>
      </c>
      <c r="AZ186" s="346">
        <f t="shared" si="293"/>
        <v>0</v>
      </c>
      <c r="BA186" s="346">
        <f t="shared" si="294"/>
        <v>0</v>
      </c>
      <c r="BB186" s="346">
        <f t="shared" si="295"/>
        <v>0</v>
      </c>
      <c r="BC186" s="346">
        <f t="shared" si="296"/>
        <v>0</v>
      </c>
      <c r="BD186" s="346">
        <f t="shared" si="314"/>
        <v>0</v>
      </c>
      <c r="BE186" s="347">
        <f t="shared" si="315"/>
        <v>0</v>
      </c>
      <c r="BF186" s="346">
        <f t="shared" si="297"/>
        <v>0</v>
      </c>
      <c r="BG186" s="346">
        <f>IF(NOT($AD$45),0,ASZTAB!$AJ$48*AY186+AZ186-BF186)</f>
        <v>0</v>
      </c>
      <c r="BH186" s="346">
        <f t="shared" si="316"/>
        <v>0</v>
      </c>
      <c r="BI186" s="347">
        <f t="shared" si="317"/>
        <v>0</v>
      </c>
      <c r="BJ186" s="348">
        <v>3.5000000000000003E-2</v>
      </c>
      <c r="BK186" s="349">
        <f t="shared" ca="1" si="298"/>
        <v>0</v>
      </c>
      <c r="BM186" s="346">
        <f t="shared" si="299"/>
        <v>0</v>
      </c>
      <c r="BN186" s="346">
        <f t="shared" si="300"/>
        <v>0</v>
      </c>
      <c r="BO186" s="346">
        <f t="shared" si="301"/>
        <v>0</v>
      </c>
      <c r="BP186" s="346">
        <f t="shared" si="302"/>
        <v>0</v>
      </c>
      <c r="BQ186" s="346">
        <f t="shared" si="303"/>
        <v>0</v>
      </c>
      <c r="BR186" s="346">
        <f t="shared" si="304"/>
        <v>0</v>
      </c>
      <c r="BT186" s="346">
        <f t="shared" si="305"/>
        <v>0</v>
      </c>
      <c r="BU186" s="346">
        <f t="shared" si="306"/>
        <v>0</v>
      </c>
      <c r="BV186" s="346">
        <f t="shared" si="307"/>
        <v>0</v>
      </c>
      <c r="BW186" s="346">
        <f t="shared" si="308"/>
        <v>0</v>
      </c>
      <c r="BX186" s="346">
        <f t="shared" si="309"/>
        <v>0</v>
      </c>
      <c r="BY186" s="346">
        <f t="shared" si="310"/>
        <v>0</v>
      </c>
      <c r="CB186" s="445"/>
      <c r="CC186" s="300"/>
      <c r="CD186" s="300"/>
      <c r="CE186" s="300"/>
      <c r="CF186" s="449"/>
      <c r="CG186" s="445"/>
      <c r="CQ186" s="302"/>
      <c r="CR186" s="445"/>
      <c r="CS186" s="445"/>
      <c r="CT186" s="522" t="str">
        <f t="shared" si="288"/>
        <v/>
      </c>
      <c r="CU186" s="371" t="str">
        <f ca="1">IF(OR(CT186="",DA186="",CT186=DA186,ISNA(VLOOKUP(CONCATENATE(CT186,DA186),games.a,2,FALSE))),"",CONCATENATE(CT186,DA186))</f>
        <v/>
      </c>
      <c r="CV186" s="371" t="str">
        <f ca="1">IF(CU186="","",CONCATENATE(VLOOKUP(CU186,games.a,9,FALSE),VLOOKUP(CU186,games.a,12,FALSE)))</f>
        <v/>
      </c>
      <c r="CW186" s="369" t="str">
        <f ca="1">IF(CU186="","",VLOOKUP(CU186,games.a,10,FALSE))</f>
        <v/>
      </c>
      <c r="CX186" s="369" t="str">
        <f ca="1">IF(CU186="","",VLOOKUP(CU186,games.a,13,FALSE))</f>
        <v/>
      </c>
      <c r="CY186" s="423" t="str">
        <f ca="1">IF(CU186="","",VLOOKUP(CU186,games.a,6,FALSE))</f>
        <v/>
      </c>
      <c r="CZ186" s="409" t="str">
        <f ca="1">IF(CU186="","",VLOOKUP(CU186,games.a,7,FALSE))</f>
        <v/>
      </c>
      <c r="DA186" s="523" t="str">
        <f t="shared" ca="1" si="289"/>
        <v/>
      </c>
      <c r="DB186" s="302"/>
      <c r="DC186" s="364"/>
      <c r="DD186" s="445"/>
      <c r="DF186" s="424"/>
      <c r="DW186" s="424"/>
      <c r="DX186" s="424"/>
      <c r="DY186" s="424"/>
      <c r="DZ186" s="424"/>
      <c r="EA186" s="424"/>
      <c r="EB186" s="424"/>
      <c r="EO186" s="425"/>
      <c r="EP186" s="333"/>
    </row>
    <row r="187" spans="34:146" x14ac:dyDescent="0.25">
      <c r="AH187" s="336">
        <f t="shared" si="311"/>
        <v>0</v>
      </c>
      <c r="AI187" s="443" t="str">
        <f t="shared" si="312"/>
        <v>▼</v>
      </c>
      <c r="AJ187" s="444">
        <f t="shared" si="290"/>
        <v>4</v>
      </c>
      <c r="AK187" s="444">
        <f t="shared" si="291"/>
        <v>1</v>
      </c>
      <c r="AS187" s="348">
        <f>IF($AD$58=2,BB187,BC187*-1)*1000000+IF(ASZTAB!$AJ$44,BE187,BD187)*1000+BJ187-IF(AW187=0,1000000000000,0)</f>
        <v>-999999999999.96594</v>
      </c>
      <c r="AU187" s="348">
        <f>IF(ASZTAB!$AJ$44,BI187*100,IF(ASZTAB!$AJ$43,BG187*10,BG187))*1000000+IF(ASZTAB!$AJ$52,AY187*10000,0)+IF(ASZTAB!$AJ$44,BE187,BD187)*1000/IF(OR(ASZTAB!AJ$43,ASZTAB!$AJ$52),10,1)+IF(ASZTAB!$AJ$44,0,IF(ASZTAB!AJ$43,BB187/10,BB187))+BJ187+IF($AD$86,BK187,0)-IF(AW187=0,1000000000,0)</f>
        <v>-999999999.96599996</v>
      </c>
      <c r="AV187" s="349">
        <v>7</v>
      </c>
      <c r="AW187" s="378">
        <f>IF(NOT($AD$45),0,RCSOP!BE87)</f>
        <v>0</v>
      </c>
      <c r="AX187" s="346">
        <f t="shared" si="313"/>
        <v>0</v>
      </c>
      <c r="AY187" s="346">
        <f t="shared" si="292"/>
        <v>0</v>
      </c>
      <c r="AZ187" s="346">
        <f t="shared" si="293"/>
        <v>0</v>
      </c>
      <c r="BA187" s="346">
        <f t="shared" si="294"/>
        <v>0</v>
      </c>
      <c r="BB187" s="346">
        <f t="shared" si="295"/>
        <v>0</v>
      </c>
      <c r="BC187" s="346">
        <f t="shared" si="296"/>
        <v>0</v>
      </c>
      <c r="BD187" s="346">
        <f t="shared" si="314"/>
        <v>0</v>
      </c>
      <c r="BE187" s="347">
        <f t="shared" si="315"/>
        <v>0</v>
      </c>
      <c r="BF187" s="346">
        <f t="shared" si="297"/>
        <v>0</v>
      </c>
      <c r="BG187" s="346">
        <f>IF(NOT($AD$45),0,ASZTAB!$AJ$48*AY187+AZ187-BF187)</f>
        <v>0</v>
      </c>
      <c r="BH187" s="346">
        <f t="shared" si="316"/>
        <v>0</v>
      </c>
      <c r="BI187" s="347">
        <f t="shared" si="317"/>
        <v>0</v>
      </c>
      <c r="BJ187" s="348">
        <v>3.3999999999999996E-2</v>
      </c>
      <c r="BK187" s="349">
        <f t="shared" ca="1" si="298"/>
        <v>0</v>
      </c>
      <c r="BM187" s="346">
        <f t="shared" si="299"/>
        <v>0</v>
      </c>
      <c r="BN187" s="346">
        <f t="shared" si="300"/>
        <v>0</v>
      </c>
      <c r="BO187" s="346">
        <f t="shared" si="301"/>
        <v>0</v>
      </c>
      <c r="BP187" s="346">
        <f t="shared" si="302"/>
        <v>0</v>
      </c>
      <c r="BQ187" s="346">
        <f t="shared" si="303"/>
        <v>0</v>
      </c>
      <c r="BR187" s="346">
        <f t="shared" si="304"/>
        <v>0</v>
      </c>
      <c r="BT187" s="346">
        <f t="shared" si="305"/>
        <v>0</v>
      </c>
      <c r="BU187" s="346">
        <f t="shared" si="306"/>
        <v>0</v>
      </c>
      <c r="BV187" s="346">
        <f t="shared" si="307"/>
        <v>0</v>
      </c>
      <c r="BW187" s="346">
        <f t="shared" si="308"/>
        <v>0</v>
      </c>
      <c r="BX187" s="346">
        <f t="shared" si="309"/>
        <v>0</v>
      </c>
      <c r="BY187" s="346">
        <f t="shared" si="310"/>
        <v>0</v>
      </c>
      <c r="CB187" s="445"/>
      <c r="CC187" s="300"/>
      <c r="CD187" s="300"/>
      <c r="CE187" s="300"/>
      <c r="CF187" s="449"/>
      <c r="CG187" s="445"/>
      <c r="CQ187" s="302"/>
      <c r="CR187" s="445"/>
      <c r="CS187" s="445"/>
      <c r="CT187" s="522" t="str">
        <f t="shared" si="288"/>
        <v/>
      </c>
      <c r="CU187" s="371" t="str">
        <f ca="1">IF(OR(CT187="",DA187="",CT187=DA187,ISNA(VLOOKUP(CONCATENATE(CT187,DA187),games.a,2,FALSE))),"",CONCATENATE(CT187,DA187))</f>
        <v/>
      </c>
      <c r="CV187" s="371" t="str">
        <f ca="1">IF(CU187="","",CONCATENATE(VLOOKUP(CU187,games.a,9,FALSE),VLOOKUP(CU187,games.a,12,FALSE)))</f>
        <v/>
      </c>
      <c r="CW187" s="369" t="str">
        <f ca="1">IF(CU187="","",VLOOKUP(CU187,games.a,10,FALSE))</f>
        <v/>
      </c>
      <c r="CX187" s="369" t="str">
        <f ca="1">IF(CU187="","",VLOOKUP(CU187,games.a,13,FALSE))</f>
        <v/>
      </c>
      <c r="CY187" s="423" t="str">
        <f ca="1">IF(CU187="","",VLOOKUP(CU187,games.a,6,FALSE))</f>
        <v/>
      </c>
      <c r="CZ187" s="409" t="str">
        <f ca="1">IF(CU187="","",VLOOKUP(CU187,games.a,7,FALSE))</f>
        <v/>
      </c>
      <c r="DA187" s="523" t="str">
        <f t="shared" ca="1" si="289"/>
        <v/>
      </c>
      <c r="DB187" s="302"/>
      <c r="DC187" s="364"/>
      <c r="DD187" s="445"/>
      <c r="DF187" s="424"/>
      <c r="DW187" s="424"/>
      <c r="DX187" s="424"/>
      <c r="DY187" s="424"/>
      <c r="DZ187" s="424"/>
      <c r="EA187" s="424"/>
      <c r="EB187" s="424"/>
      <c r="EO187" s="425"/>
      <c r="EP187" s="333"/>
    </row>
    <row r="188" spans="34:146" x14ac:dyDescent="0.25">
      <c r="AH188" s="336">
        <f t="shared" si="311"/>
        <v>0</v>
      </c>
      <c r="AI188" s="443" t="str">
        <f t="shared" si="312"/>
        <v>▼</v>
      </c>
      <c r="AJ188" s="444">
        <f t="shared" si="290"/>
        <v>3</v>
      </c>
      <c r="AK188" s="444">
        <f t="shared" si="291"/>
        <v>1</v>
      </c>
      <c r="AS188" s="348">
        <f>IF($AD$58=2,BB188,BC188*-1)*1000000+IF(ASZTAB!$AJ$44,BE188,BD188)*1000+BJ188-IF(AW188=0,1000000000000,0)</f>
        <v>-999999999999.96704</v>
      </c>
      <c r="AU188" s="348">
        <f>IF(ASZTAB!$AJ$44,BI188*100,IF(ASZTAB!$AJ$43,BG188*10,BG188))*1000000+IF(ASZTAB!$AJ$52,AY188*10000,0)+IF(ASZTAB!$AJ$44,BE188,BD188)*1000/IF(OR(ASZTAB!AJ$43,ASZTAB!$AJ$52),10,1)+IF(ASZTAB!$AJ$44,0,IF(ASZTAB!AJ$43,BB188/10,BB188))+BJ188+IF($AD$86,BK188,0)-IF(AW188=0,1000000000,0)</f>
        <v>-999999999.96700001</v>
      </c>
      <c r="AV188" s="349">
        <v>8</v>
      </c>
      <c r="AW188" s="378">
        <f>IF(NOT($AD$45),0,RCSOP!BE88)</f>
        <v>0</v>
      </c>
      <c r="AX188" s="346">
        <f t="shared" si="313"/>
        <v>0</v>
      </c>
      <c r="AY188" s="346">
        <f t="shared" si="292"/>
        <v>0</v>
      </c>
      <c r="AZ188" s="346">
        <f t="shared" si="293"/>
        <v>0</v>
      </c>
      <c r="BA188" s="346">
        <f t="shared" si="294"/>
        <v>0</v>
      </c>
      <c r="BB188" s="346">
        <f t="shared" si="295"/>
        <v>0</v>
      </c>
      <c r="BC188" s="346">
        <f t="shared" si="296"/>
        <v>0</v>
      </c>
      <c r="BD188" s="346">
        <f t="shared" si="314"/>
        <v>0</v>
      </c>
      <c r="BE188" s="347">
        <f t="shared" si="315"/>
        <v>0</v>
      </c>
      <c r="BF188" s="346">
        <f t="shared" si="297"/>
        <v>0</v>
      </c>
      <c r="BG188" s="346">
        <f>IF(NOT($AD$45),0,ASZTAB!$AJ$48*AY188+AZ188-BF188)</f>
        <v>0</v>
      </c>
      <c r="BH188" s="346">
        <f t="shared" si="316"/>
        <v>0</v>
      </c>
      <c r="BI188" s="347">
        <f t="shared" si="317"/>
        <v>0</v>
      </c>
      <c r="BJ188" s="348">
        <v>3.2999999999999995E-2</v>
      </c>
      <c r="BK188" s="349">
        <f t="shared" ca="1" si="298"/>
        <v>0</v>
      </c>
      <c r="BM188" s="346">
        <f t="shared" si="299"/>
        <v>0</v>
      </c>
      <c r="BN188" s="346">
        <f t="shared" si="300"/>
        <v>0</v>
      </c>
      <c r="BO188" s="346">
        <f t="shared" si="301"/>
        <v>0</v>
      </c>
      <c r="BP188" s="346">
        <f t="shared" si="302"/>
        <v>0</v>
      </c>
      <c r="BQ188" s="346">
        <f t="shared" si="303"/>
        <v>0</v>
      </c>
      <c r="BR188" s="346">
        <f t="shared" si="304"/>
        <v>0</v>
      </c>
      <c r="BT188" s="346">
        <f t="shared" si="305"/>
        <v>0</v>
      </c>
      <c r="BU188" s="346">
        <f t="shared" si="306"/>
        <v>0</v>
      </c>
      <c r="BV188" s="346">
        <f t="shared" si="307"/>
        <v>0</v>
      </c>
      <c r="BW188" s="346">
        <f t="shared" si="308"/>
        <v>0</v>
      </c>
      <c r="BX188" s="346">
        <f t="shared" si="309"/>
        <v>0</v>
      </c>
      <c r="BY188" s="346">
        <f t="shared" si="310"/>
        <v>0</v>
      </c>
      <c r="CB188" s="445"/>
      <c r="CC188" s="300"/>
      <c r="CD188" s="300"/>
      <c r="CE188" s="300"/>
      <c r="CF188" s="449"/>
      <c r="CG188" s="445"/>
      <c r="CQ188" s="302"/>
      <c r="CR188" s="445"/>
      <c r="CS188" s="445"/>
      <c r="CT188" s="301"/>
      <c r="CU188" s="302"/>
      <c r="CV188" s="302"/>
      <c r="CW188" s="302"/>
      <c r="CX188" s="302"/>
      <c r="CY188" s="302"/>
      <c r="CZ188" s="302"/>
      <c r="DA188" s="302"/>
      <c r="DB188" s="302"/>
      <c r="DC188" s="446" t="s">
        <v>220</v>
      </c>
      <c r="DD188" s="445"/>
      <c r="DF188" s="424"/>
      <c r="DW188" s="424"/>
      <c r="DX188" s="424"/>
      <c r="DY188" s="424"/>
      <c r="DZ188" s="424"/>
      <c r="EA188" s="424"/>
      <c r="EB188" s="424"/>
      <c r="EO188" s="425"/>
      <c r="EP188" s="333"/>
    </row>
    <row r="189" spans="34:146" x14ac:dyDescent="0.25">
      <c r="AH189" s="336">
        <f t="shared" si="311"/>
        <v>0</v>
      </c>
      <c r="AI189" s="443" t="str">
        <f t="shared" si="312"/>
        <v>▼</v>
      </c>
      <c r="AJ189" s="444">
        <f t="shared" si="290"/>
        <v>2</v>
      </c>
      <c r="AK189" s="444">
        <f t="shared" si="291"/>
        <v>1</v>
      </c>
      <c r="AS189" s="348">
        <f>IF($AD$58=2,BB189,BC189*-1)*1000000+IF(ASZTAB!$AJ$44,BE189,BD189)*1000+BJ189-IF(AW189=0,1000000000000,0)</f>
        <v>-999999999999.96802</v>
      </c>
      <c r="AU189" s="348">
        <f>IF(ASZTAB!$AJ$44,BI189*100,IF(ASZTAB!$AJ$43,BG189*10,BG189))*1000000+IF(ASZTAB!$AJ$52,AY189*10000,0)+IF(ASZTAB!$AJ$44,BE189,BD189)*1000/IF(OR(ASZTAB!AJ$43,ASZTAB!$AJ$52),10,1)+IF(ASZTAB!$AJ$44,0,IF(ASZTAB!AJ$43,BB189/10,BB189))+BJ189+IF($AD$86,BK189,0)-IF(AW189=0,1000000000,0)</f>
        <v>-999999999.96800005</v>
      </c>
      <c r="AV189" s="349">
        <v>9</v>
      </c>
      <c r="AW189" s="378">
        <f>IF(NOT($AD$45),0,RCSOP!BE89)</f>
        <v>0</v>
      </c>
      <c r="AX189" s="346">
        <f t="shared" si="313"/>
        <v>0</v>
      </c>
      <c r="AY189" s="346">
        <f t="shared" si="292"/>
        <v>0</v>
      </c>
      <c r="AZ189" s="346">
        <f t="shared" si="293"/>
        <v>0</v>
      </c>
      <c r="BA189" s="346">
        <f t="shared" si="294"/>
        <v>0</v>
      </c>
      <c r="BB189" s="346">
        <f t="shared" si="295"/>
        <v>0</v>
      </c>
      <c r="BC189" s="346">
        <f t="shared" si="296"/>
        <v>0</v>
      </c>
      <c r="BD189" s="346">
        <f t="shared" si="314"/>
        <v>0</v>
      </c>
      <c r="BE189" s="347">
        <f t="shared" si="315"/>
        <v>0</v>
      </c>
      <c r="BF189" s="346">
        <f t="shared" si="297"/>
        <v>0</v>
      </c>
      <c r="BG189" s="346">
        <f>IF(NOT($AD$45),0,ASZTAB!$AJ$48*AY189+AZ189-BF189)</f>
        <v>0</v>
      </c>
      <c r="BH189" s="346">
        <f t="shared" si="316"/>
        <v>0</v>
      </c>
      <c r="BI189" s="347">
        <f t="shared" si="317"/>
        <v>0</v>
      </c>
      <c r="BJ189" s="348">
        <v>3.1999999999999994E-2</v>
      </c>
      <c r="BK189" s="349">
        <f t="shared" ca="1" si="298"/>
        <v>0</v>
      </c>
      <c r="BM189" s="346">
        <f t="shared" si="299"/>
        <v>0</v>
      </c>
      <c r="BN189" s="346">
        <f t="shared" si="300"/>
        <v>0</v>
      </c>
      <c r="BO189" s="346">
        <f t="shared" si="301"/>
        <v>0</v>
      </c>
      <c r="BP189" s="346">
        <f t="shared" si="302"/>
        <v>0</v>
      </c>
      <c r="BQ189" s="346">
        <f t="shared" si="303"/>
        <v>0</v>
      </c>
      <c r="BR189" s="346">
        <f t="shared" si="304"/>
        <v>0</v>
      </c>
      <c r="BT189" s="346">
        <f t="shared" si="305"/>
        <v>0</v>
      </c>
      <c r="BU189" s="346">
        <f t="shared" si="306"/>
        <v>0</v>
      </c>
      <c r="BV189" s="346">
        <f t="shared" si="307"/>
        <v>0</v>
      </c>
      <c r="BW189" s="346">
        <f t="shared" si="308"/>
        <v>0</v>
      </c>
      <c r="BX189" s="346">
        <f t="shared" si="309"/>
        <v>0</v>
      </c>
      <c r="BY189" s="346">
        <f t="shared" si="310"/>
        <v>0</v>
      </c>
      <c r="CB189" s="445"/>
      <c r="CC189" s="300"/>
      <c r="CD189" s="300"/>
      <c r="CE189" s="300"/>
      <c r="CF189" s="449"/>
      <c r="CG189" s="445"/>
      <c r="CQ189" s="302"/>
      <c r="CT189" s="301"/>
      <c r="CU189" s="302"/>
      <c r="CV189" s="302"/>
      <c r="CW189" s="302"/>
      <c r="CX189" s="302"/>
      <c r="CY189" s="302"/>
      <c r="CZ189" s="302"/>
      <c r="DA189" s="447"/>
      <c r="DB189" s="302"/>
      <c r="DC189" s="448" t="s">
        <v>221</v>
      </c>
      <c r="DW189" s="424"/>
      <c r="DX189" s="424"/>
      <c r="DY189" s="424"/>
      <c r="DZ189" s="424"/>
      <c r="EA189" s="424"/>
      <c r="EB189" s="424"/>
      <c r="EO189" s="425"/>
      <c r="EP189" s="333"/>
    </row>
    <row r="190" spans="34:146" x14ac:dyDescent="0.25">
      <c r="AH190" s="336">
        <f t="shared" si="311"/>
        <v>0</v>
      </c>
      <c r="AI190" s="443" t="str">
        <f t="shared" si="312"/>
        <v>►</v>
      </c>
      <c r="AJ190" s="444">
        <f t="shared" si="290"/>
        <v>1</v>
      </c>
      <c r="AK190" s="444">
        <f t="shared" si="291"/>
        <v>1</v>
      </c>
      <c r="AS190" s="348">
        <f>IF($AD$58=2,BB190,BC190*-1)*1000000+IF(ASZTAB!$AJ$44,BE190,BD190)*1000+BJ190-IF(AW190=0,1000000000000,0)</f>
        <v>-999999999999.96899</v>
      </c>
      <c r="AU190" s="348">
        <f>IF(ASZTAB!$AJ$44,BI190*100,IF(ASZTAB!$AJ$43,BG190*10,BG190))*1000000+IF(ASZTAB!$AJ$52,AY190*10000,0)+IF(ASZTAB!$AJ$44,BE190,BD190)*1000/IF(OR(ASZTAB!AJ$43,ASZTAB!$AJ$52),10,1)+IF(ASZTAB!$AJ$44,0,IF(ASZTAB!AJ$43,BB190/10,BB190))+BJ190+IF($AD$86,BK190,0)-IF(AW190=0,1000000000,0)</f>
        <v>-999999999.96899998</v>
      </c>
      <c r="AV190" s="349">
        <v>10</v>
      </c>
      <c r="AW190" s="378">
        <f>IF(NOT($AD$45),0,RCSOP!BE90)</f>
        <v>0</v>
      </c>
      <c r="AX190" s="346">
        <f t="shared" si="313"/>
        <v>0</v>
      </c>
      <c r="AY190" s="346">
        <f t="shared" si="292"/>
        <v>0</v>
      </c>
      <c r="AZ190" s="346">
        <f t="shared" si="293"/>
        <v>0</v>
      </c>
      <c r="BA190" s="346">
        <f t="shared" si="294"/>
        <v>0</v>
      </c>
      <c r="BB190" s="346">
        <f t="shared" si="295"/>
        <v>0</v>
      </c>
      <c r="BC190" s="346">
        <f t="shared" si="296"/>
        <v>0</v>
      </c>
      <c r="BD190" s="346">
        <f t="shared" si="314"/>
        <v>0</v>
      </c>
      <c r="BE190" s="347">
        <f t="shared" si="315"/>
        <v>0</v>
      </c>
      <c r="BF190" s="346">
        <f t="shared" si="297"/>
        <v>0</v>
      </c>
      <c r="BG190" s="346">
        <f>IF(NOT($AD$45),0,ASZTAB!$AJ$48*AY190+AZ190-BF190)</f>
        <v>0</v>
      </c>
      <c r="BH190" s="346">
        <f t="shared" si="316"/>
        <v>0</v>
      </c>
      <c r="BI190" s="347">
        <f t="shared" si="317"/>
        <v>0</v>
      </c>
      <c r="BJ190" s="348">
        <v>3.0999999999999993E-2</v>
      </c>
      <c r="BK190" s="349">
        <f t="shared" ca="1" si="298"/>
        <v>0</v>
      </c>
      <c r="BM190" s="346">
        <f t="shared" si="299"/>
        <v>0</v>
      </c>
      <c r="BN190" s="346">
        <f t="shared" si="300"/>
        <v>0</v>
      </c>
      <c r="BO190" s="346">
        <f t="shared" si="301"/>
        <v>0</v>
      </c>
      <c r="BP190" s="346">
        <f t="shared" si="302"/>
        <v>0</v>
      </c>
      <c r="BQ190" s="346">
        <f t="shared" si="303"/>
        <v>0</v>
      </c>
      <c r="BR190" s="346">
        <f t="shared" si="304"/>
        <v>0</v>
      </c>
      <c r="BT190" s="346">
        <f t="shared" si="305"/>
        <v>0</v>
      </c>
      <c r="BU190" s="346">
        <f t="shared" si="306"/>
        <v>0</v>
      </c>
      <c r="BV190" s="346">
        <f t="shared" si="307"/>
        <v>0</v>
      </c>
      <c r="BW190" s="346">
        <f t="shared" si="308"/>
        <v>0</v>
      </c>
      <c r="BX190" s="346">
        <f t="shared" si="309"/>
        <v>0</v>
      </c>
      <c r="BY190" s="346">
        <f t="shared" si="310"/>
        <v>0</v>
      </c>
      <c r="CB190" s="445"/>
      <c r="CC190" s="300"/>
      <c r="CD190" s="300"/>
      <c r="CE190" s="300"/>
      <c r="CF190" s="449"/>
      <c r="CG190" s="445"/>
      <c r="CT190" s="323" t="b">
        <f ca="1">OR(NOT(ASZTAB!$AJ$44),COUNTIF(CY190:CY210,"")&lt;=18-(DA190-1)*DA190/2)</f>
        <v>1</v>
      </c>
      <c r="CU190" s="324" t="s">
        <v>157</v>
      </c>
      <c r="CV190" s="324" t="s">
        <v>158</v>
      </c>
      <c r="CW190" s="325" t="s">
        <v>159</v>
      </c>
      <c r="CX190" s="325"/>
      <c r="CY190" s="326" t="s">
        <v>160</v>
      </c>
      <c r="CZ190" s="325" t="s">
        <v>135</v>
      </c>
      <c r="DA190" s="323">
        <f ca="1">COUNT(CN66:CN68)</f>
        <v>0</v>
      </c>
      <c r="DB190" s="302"/>
      <c r="DC190" s="364"/>
      <c r="DG190" s="329" t="s">
        <v>229</v>
      </c>
      <c r="DH190" s="365"/>
      <c r="DI190" s="329" t="s">
        <v>152</v>
      </c>
      <c r="DJ190" s="329" t="s">
        <v>153</v>
      </c>
      <c r="DK190" s="329" t="s">
        <v>154</v>
      </c>
      <c r="DL190" s="329" t="s">
        <v>155</v>
      </c>
      <c r="DM190" s="329" t="s">
        <v>125</v>
      </c>
      <c r="DN190" s="329" t="s">
        <v>226</v>
      </c>
      <c r="DO190" s="329" t="s">
        <v>126</v>
      </c>
      <c r="DP190" s="329" t="s">
        <v>227</v>
      </c>
      <c r="DQ190" s="424"/>
      <c r="DR190" s="424"/>
      <c r="DS190" s="424"/>
      <c r="DT190" s="329" t="s">
        <v>228</v>
      </c>
      <c r="DU190" s="329" t="s">
        <v>156</v>
      </c>
      <c r="DV190" s="329" t="s">
        <v>208</v>
      </c>
      <c r="DW190" s="424"/>
      <c r="DX190" s="424"/>
      <c r="DY190" s="424"/>
      <c r="DZ190" s="424"/>
      <c r="EA190" s="424"/>
      <c r="EB190" s="424"/>
      <c r="EP190" s="333"/>
    </row>
    <row r="191" spans="34:146" x14ac:dyDescent="0.25">
      <c r="CB191" s="445"/>
      <c r="CC191" s="300"/>
      <c r="CD191" s="300"/>
      <c r="CE191" s="300"/>
      <c r="CF191" s="449"/>
      <c r="CG191" s="445"/>
      <c r="CT191" s="359" t="str">
        <f ca="1">IF(CN66="","",VLOOKUP(CN66,xxx.rr2,7,FALSE))</f>
        <v/>
      </c>
      <c r="CU191" s="360" t="str">
        <f ca="1">IF(OR(CT191="",DA191="",CT191=DA191,ISNA(VLOOKUP(CONCATENATE(CT191,DA191),games.r,2,FALSE))),"",CONCATENATE(CT191,DA191))</f>
        <v/>
      </c>
      <c r="CV191" s="360" t="str">
        <f ca="1">IF(CU191="","",CONCATENATE(VLOOKUP(CU191,games.r,9,FALSE),VLOOKUP(CU191,games.r,12,FALSE)))</f>
        <v/>
      </c>
      <c r="CW191" s="354" t="str">
        <f ca="1">IF(CU191="","",VLOOKUP(CU191,games.r,10,FALSE))</f>
        <v/>
      </c>
      <c r="CX191" s="354" t="str">
        <f ca="1">IF(CU191="","",VLOOKUP(CU191,games.r,13,FALSE))</f>
        <v/>
      </c>
      <c r="CY191" s="361" t="str">
        <f ca="1">IF(CU191="","",VLOOKUP(CU191,games.r,6,FALSE))</f>
        <v/>
      </c>
      <c r="CZ191" s="362" t="str">
        <f ca="1">IF(CU191="","",VLOOKUP(CU191,games.r,7,FALSE))</f>
        <v/>
      </c>
      <c r="DA191" s="363" t="str">
        <f ca="1">CT191</f>
        <v/>
      </c>
      <c r="DB191" s="302"/>
      <c r="DC191" s="364"/>
      <c r="DG191" s="366" t="str">
        <f ca="1">IF(OR(NOT(ASZTAB!$AJ$44),CT190),CT191,"")</f>
        <v/>
      </c>
      <c r="DH191" s="365"/>
      <c r="DI191" s="366">
        <f ca="1">IF(DG191="",0,COUNTIF(xxgy.rr,DG191))</f>
        <v>0</v>
      </c>
      <c r="DJ191" s="366">
        <f ca="1">IF(DG191="",0,COUNTIF(xxd.rr,DG191))</f>
        <v>0</v>
      </c>
      <c r="DK191" s="366">
        <f ca="1">IF(DG191="",0,1)*(SUMIF(xxo.rr,DG191,xxl.rr)+SUMIF(xxi.rr,DG191,xxk.rr))</f>
        <v>0</v>
      </c>
      <c r="DL191" s="366">
        <f ca="1">IF(DG191="",0,1)*(SUMIF(xxo.rr,DG191,xxk.rr)+SUMIF(xxi.rr,DG191,xxl.rr))</f>
        <v>0</v>
      </c>
      <c r="DM191" s="366">
        <f ca="1">DK191-DL191</f>
        <v>0</v>
      </c>
      <c r="DN191" s="366">
        <f ca="1">IF(DL191=0,0,DK191/DL191)</f>
        <v>0</v>
      </c>
      <c r="DO191" s="366">
        <f ca="1">ASZTAB!$AJ$48*DI191+IF(ASZTAB!$AJ$44,0,1)*DJ191</f>
        <v>0</v>
      </c>
      <c r="DP191" s="396">
        <f ca="1">DO191*1000000+IF(ASZTAB!$AJ$44,DN191,DM191)*1000*0</f>
        <v>0</v>
      </c>
      <c r="DQ191" s="424"/>
      <c r="DR191" s="424"/>
      <c r="DS191" s="424"/>
      <c r="DT191" s="366">
        <f ca="1">IF(OR(ISERR(DP191),ISNA(DP191)),0,DP191)</f>
        <v>0</v>
      </c>
      <c r="DU191" s="366">
        <f ca="1">IF(DT191=0,0,RANK(DT191,DT191:DT193,1))</f>
        <v>0</v>
      </c>
      <c r="DV191" s="366">
        <f ca="1">DU191*40000*IF(COUNTIF($EN$134:$EN$143,DG191)&gt;0,0,1)</f>
        <v>0</v>
      </c>
      <c r="DW191" s="424"/>
      <c r="DX191" s="424"/>
      <c r="DY191" s="424"/>
      <c r="DZ191" s="424"/>
      <c r="EA191" s="424"/>
      <c r="EB191" s="424"/>
      <c r="EP191" s="333"/>
    </row>
    <row r="192" spans="34:146" x14ac:dyDescent="0.25">
      <c r="CB192" s="445"/>
      <c r="CC192" s="300"/>
      <c r="CD192" s="300"/>
      <c r="CE192" s="300"/>
      <c r="CF192" s="449"/>
      <c r="CG192" s="445"/>
      <c r="CT192" s="359" t="str">
        <f ca="1">IF(CN67="","",VLOOKUP(CN67,xxx.rr2,7,FALSE))</f>
        <v/>
      </c>
      <c r="CU192" s="360" t="str">
        <f ca="1">IF(OR(CT192="",DA192="",CT192=DA192,ISNA(VLOOKUP(CONCATENATE(CT192,DA192),games.r,2,FALSE))),"",CONCATENATE(CT192,DA192))</f>
        <v/>
      </c>
      <c r="CV192" s="360" t="str">
        <f ca="1">IF(CU192="","",CONCATENATE(VLOOKUP(CU192,games.r,9,FALSE),VLOOKUP(CU192,games.r,12,FALSE)))</f>
        <v/>
      </c>
      <c r="CW192" s="354" t="str">
        <f ca="1">IF(CU192="","",VLOOKUP(CU192,games.r,10,FALSE))</f>
        <v/>
      </c>
      <c r="CX192" s="354" t="str">
        <f ca="1">IF(CU192="","",VLOOKUP(CU192,games.r,13,FALSE))</f>
        <v/>
      </c>
      <c r="CY192" s="361" t="str">
        <f ca="1">IF(CU192="","",VLOOKUP(CU192,games.r,6,FALSE))</f>
        <v/>
      </c>
      <c r="CZ192" s="362" t="str">
        <f ca="1">IF(CU192="","",VLOOKUP(CU192,games.r,7,FALSE))</f>
        <v/>
      </c>
      <c r="DA192" s="379" t="str">
        <f ca="1">DA191</f>
        <v/>
      </c>
      <c r="DB192" s="302"/>
      <c r="DC192" s="364"/>
      <c r="DG192" s="366" t="str">
        <f ca="1">IF(OR(NOT(ASZTAB!$AJ$44),CT190),CT192,"")</f>
        <v/>
      </c>
      <c r="DH192" s="365"/>
      <c r="DI192" s="366">
        <f ca="1">IF(DG192="",0,COUNTIF(xxgy.rr,DG192))</f>
        <v>0</v>
      </c>
      <c r="DJ192" s="366">
        <f ca="1">IF(DG192="",0,COUNTIF(xxd.rr,DG192))</f>
        <v>0</v>
      </c>
      <c r="DK192" s="366">
        <f ca="1">IF(DG192="",0,1)*(SUMIF(xxo.rr,DG192,xxl.rr)+SUMIF(xxi.rr,DG192,xxk.rr))</f>
        <v>0</v>
      </c>
      <c r="DL192" s="366">
        <f ca="1">IF(DG192="",0,1)*(SUMIF(xxo.rr,DG192,xxk.rr)+SUMIF(xxi.rr,DG192,xxl.rr))</f>
        <v>0</v>
      </c>
      <c r="DM192" s="366">
        <f ca="1">DK192-DL192</f>
        <v>0</v>
      </c>
      <c r="DN192" s="366">
        <f ca="1">IF(DL192=0,0,DK192/DL192)</f>
        <v>0</v>
      </c>
      <c r="DO192" s="366">
        <f ca="1">ASZTAB!$AJ$48*DI192+IF(ASZTAB!$AJ$44,0,1)*DJ192</f>
        <v>0</v>
      </c>
      <c r="DP192" s="396">
        <f ca="1">DO192*1000000+IF(ASZTAB!$AJ$44,DN192,DM192)*1000*0</f>
        <v>0</v>
      </c>
      <c r="DQ192" s="424"/>
      <c r="DR192" s="424"/>
      <c r="DS192" s="424"/>
      <c r="DT192" s="366">
        <f ca="1">IF(OR(ISERR(DP192),ISNA(DP192)),0,DP192)</f>
        <v>0</v>
      </c>
      <c r="DU192" s="366">
        <f ca="1">IF(DT192=0,0,RANK(DT192,DT191:DT193,1))</f>
        <v>0</v>
      </c>
      <c r="DV192" s="366">
        <f ca="1">DU192*40000*IF(COUNTIF($EN$134:$EN$143,DG192)&gt;0,0,1)</f>
        <v>0</v>
      </c>
      <c r="DW192" s="424"/>
      <c r="DX192" s="424"/>
      <c r="DY192" s="424"/>
      <c r="DZ192" s="424"/>
      <c r="EA192" s="424"/>
      <c r="EB192" s="424"/>
      <c r="EP192" s="333"/>
    </row>
    <row r="193" spans="80:146" x14ac:dyDescent="0.25">
      <c r="CB193" s="445"/>
      <c r="CC193" s="300"/>
      <c r="CD193" s="300"/>
      <c r="CE193" s="300"/>
      <c r="CF193" s="449"/>
      <c r="CG193" s="445"/>
      <c r="CT193" s="359" t="str">
        <f ca="1">IF(CN68="","",VLOOKUP(CN68,xxx.rr2,7,FALSE))</f>
        <v/>
      </c>
      <c r="CU193" s="360" t="str">
        <f ca="1">IF(OR(CT193="",DA193="",CT193=DA193,ISNA(VLOOKUP(CONCATENATE(CT193,DA193),games.r,2,FALSE))),"",CONCATENATE(CT193,DA193))</f>
        <v/>
      </c>
      <c r="CV193" s="360" t="str">
        <f ca="1">IF(CU193="","",CONCATENATE(VLOOKUP(CU193,games.r,9,FALSE),VLOOKUP(CU193,games.r,12,FALSE)))</f>
        <v/>
      </c>
      <c r="CW193" s="354" t="str">
        <f ca="1">IF(CU193="","",VLOOKUP(CU193,games.r,10,FALSE))</f>
        <v/>
      </c>
      <c r="CX193" s="354" t="str">
        <f ca="1">IF(CU193="","",VLOOKUP(CU193,games.r,13,FALSE))</f>
        <v/>
      </c>
      <c r="CY193" s="361" t="str">
        <f ca="1">IF(CU193="","",VLOOKUP(CU193,games.r,6,FALSE))</f>
        <v/>
      </c>
      <c r="CZ193" s="362" t="str">
        <f ca="1">IF(CU193="","",VLOOKUP(CU193,games.r,7,FALSE))</f>
        <v/>
      </c>
      <c r="DA193" s="379" t="str">
        <f ca="1">DA192</f>
        <v/>
      </c>
      <c r="DB193" s="302"/>
      <c r="DC193" s="364"/>
      <c r="DG193" s="366" t="str">
        <f ca="1">IF(OR(NOT(ASZTAB!$AJ$44),CT190),CT193,"")</f>
        <v/>
      </c>
      <c r="DH193" s="365"/>
      <c r="DI193" s="366">
        <f ca="1">IF(DG193="",0,COUNTIF(xxgy.rr,DG193))</f>
        <v>0</v>
      </c>
      <c r="DJ193" s="366">
        <f ca="1">IF(DG193="",0,COUNTIF(xxd.rr,DG193))</f>
        <v>0</v>
      </c>
      <c r="DK193" s="366">
        <f ca="1">IF(DG193="",0,1)*(SUMIF(xxo.rr,DG193,xxl.rr)+SUMIF(xxi.rr,DG193,xxk.rr))</f>
        <v>0</v>
      </c>
      <c r="DL193" s="366">
        <f ca="1">IF(DG193="",0,1)*(SUMIF(xxo.rr,DG193,xxk.rr)+SUMIF(xxi.rr,DG193,xxl.rr))</f>
        <v>0</v>
      </c>
      <c r="DM193" s="366">
        <f ca="1">DK193-DL193</f>
        <v>0</v>
      </c>
      <c r="DN193" s="366">
        <f ca="1">IF(DL193=0,0,DK193/DL193)</f>
        <v>0</v>
      </c>
      <c r="DO193" s="366">
        <f ca="1">ASZTAB!$AJ$48*DI193+IF(ASZTAB!$AJ$44,0,1)*DJ193</f>
        <v>0</v>
      </c>
      <c r="DP193" s="396">
        <f ca="1">DO193*1000000+IF(ASZTAB!$AJ$44,DN193,DM193)*1000*0</f>
        <v>0</v>
      </c>
      <c r="DQ193" s="424"/>
      <c r="DR193" s="424"/>
      <c r="DS193" s="424"/>
      <c r="DT193" s="366">
        <f ca="1">IF(OR(ISERR(DP193),ISNA(DP193)),0,DP193)</f>
        <v>0</v>
      </c>
      <c r="DU193" s="366">
        <f ca="1">IF(DT193=0,0,RANK(DT193,DT191:DT193,1))</f>
        <v>0</v>
      </c>
      <c r="DV193" s="366">
        <f ca="1">DU193*40000*IF(COUNTIF($EN$134:$EN$143,DG193)&gt;0,0,1)</f>
        <v>0</v>
      </c>
      <c r="DW193" s="424"/>
      <c r="DX193" s="424"/>
      <c r="DY193" s="424"/>
      <c r="DZ193" s="424"/>
      <c r="EA193" s="424"/>
      <c r="EB193" s="424"/>
      <c r="EP193" s="333"/>
    </row>
    <row r="194" spans="80:146" x14ac:dyDescent="0.25">
      <c r="CB194" s="445"/>
      <c r="CC194" s="300"/>
      <c r="CD194" s="300"/>
      <c r="CE194" s="300"/>
      <c r="CF194" s="449"/>
      <c r="CG194" s="445"/>
      <c r="CT194" s="522" t="str">
        <f>IF(NOT($AD$105),"",CT191)</f>
        <v/>
      </c>
      <c r="CU194" s="371" t="str">
        <f ca="1">IF(OR(CT194="",DA194="",CT194=DA194,ISNA(VLOOKUP(CONCATENATE(CT194,DA194),games.a,2,FALSE))),"",CONCATENATE(CT194,DA194))</f>
        <v/>
      </c>
      <c r="CV194" s="371" t="str">
        <f ca="1">IF(CU194="","",CONCATENATE(VLOOKUP(CU194,games.a,9,FALSE),VLOOKUP(CU194,games.a,12,FALSE)))</f>
        <v/>
      </c>
      <c r="CW194" s="369" t="str">
        <f ca="1">IF(CU194="","",VLOOKUP(CU194,games.a,10,FALSE))</f>
        <v/>
      </c>
      <c r="CX194" s="369" t="str">
        <f ca="1">IF(CU194="","",VLOOKUP(CU194,games.a,13,FALSE))</f>
        <v/>
      </c>
      <c r="CY194" s="423" t="str">
        <f ca="1">IF(CU194="","",VLOOKUP(CU194,games.a,6,FALSE))</f>
        <v/>
      </c>
      <c r="CZ194" s="409" t="str">
        <f ca="1">IF(CU194="","",VLOOKUP(CU194,games.a,7,FALSE))</f>
        <v/>
      </c>
      <c r="DA194" s="523" t="str">
        <f ca="1">DA193</f>
        <v/>
      </c>
      <c r="DB194" s="302"/>
      <c r="DC194" s="364"/>
      <c r="DG194" s="424"/>
      <c r="DH194" s="424"/>
      <c r="DI194" s="424"/>
      <c r="DJ194" s="424"/>
      <c r="DK194" s="424"/>
      <c r="DL194" s="424"/>
      <c r="DM194" s="424"/>
      <c r="DN194" s="424"/>
      <c r="DO194" s="424"/>
      <c r="DP194" s="424"/>
      <c r="DQ194" s="424"/>
      <c r="DR194" s="424"/>
      <c r="DS194" s="424"/>
      <c r="DT194" s="424"/>
      <c r="DU194" s="424"/>
      <c r="DV194" s="424"/>
      <c r="DW194" s="424"/>
      <c r="DX194" s="424"/>
      <c r="DY194" s="424"/>
      <c r="DZ194" s="424"/>
      <c r="EA194" s="424"/>
      <c r="EB194" s="424"/>
      <c r="EP194" s="333"/>
    </row>
    <row r="195" spans="80:146" x14ac:dyDescent="0.25">
      <c r="CB195" s="445"/>
      <c r="CC195" s="300"/>
      <c r="CD195" s="300"/>
      <c r="CE195" s="300"/>
      <c r="CF195" s="449"/>
      <c r="CG195" s="445"/>
      <c r="CT195" s="522" t="str">
        <f>IF(NOT($AD$105),"",CT192)</f>
        <v/>
      </c>
      <c r="CU195" s="371" t="str">
        <f ca="1">IF(OR(CT195="",DA195="",CT195=DA195,ISNA(VLOOKUP(CONCATENATE(CT195,DA195),games.a,2,FALSE))),"",CONCATENATE(CT195,DA195))</f>
        <v/>
      </c>
      <c r="CV195" s="371" t="str">
        <f ca="1">IF(CU195="","",CONCATENATE(VLOOKUP(CU195,games.a,9,FALSE),VLOOKUP(CU195,games.a,12,FALSE)))</f>
        <v/>
      </c>
      <c r="CW195" s="369" t="str">
        <f ca="1">IF(CU195="","",VLOOKUP(CU195,games.a,10,FALSE))</f>
        <v/>
      </c>
      <c r="CX195" s="369" t="str">
        <f ca="1">IF(CU195="","",VLOOKUP(CU195,games.a,13,FALSE))</f>
        <v/>
      </c>
      <c r="CY195" s="423" t="str">
        <f ca="1">IF(CU195="","",VLOOKUP(CU195,games.a,6,FALSE))</f>
        <v/>
      </c>
      <c r="CZ195" s="409" t="str">
        <f ca="1">IF(CU195="","",VLOOKUP(CU195,games.a,7,FALSE))</f>
        <v/>
      </c>
      <c r="DA195" s="523" t="str">
        <f ca="1">DA194</f>
        <v/>
      </c>
      <c r="DB195" s="302"/>
      <c r="DC195" s="364"/>
      <c r="DG195" s="424"/>
      <c r="DH195" s="424"/>
      <c r="DI195" s="424"/>
      <c r="DJ195" s="424"/>
      <c r="DK195" s="424"/>
      <c r="DL195" s="424"/>
      <c r="DM195" s="424"/>
      <c r="DN195" s="424"/>
      <c r="DO195" s="424"/>
      <c r="DP195" s="424"/>
      <c r="DQ195" s="424"/>
      <c r="DR195" s="424"/>
      <c r="DS195" s="424"/>
      <c r="DT195" s="424"/>
      <c r="DU195" s="424"/>
      <c r="DV195" s="424"/>
      <c r="DW195" s="424"/>
      <c r="DX195" s="424"/>
      <c r="DY195" s="424"/>
      <c r="DZ195" s="424"/>
      <c r="EA195" s="424"/>
      <c r="EB195" s="424"/>
      <c r="EP195" s="333"/>
    </row>
    <row r="196" spans="80:146" x14ac:dyDescent="0.25">
      <c r="CB196" s="445"/>
      <c r="CC196" s="300"/>
      <c r="CD196" s="300"/>
      <c r="CE196" s="300"/>
      <c r="CF196" s="449"/>
      <c r="CG196" s="445"/>
      <c r="CT196" s="522" t="str">
        <f>IF(NOT($AD$105),"",CT193)</f>
        <v/>
      </c>
      <c r="CU196" s="371" t="str">
        <f ca="1">IF(OR(CT196="",DA196="",CT196=DA196,ISNA(VLOOKUP(CONCATENATE(CT196,DA196),games.a,2,FALSE))),"",CONCATENATE(CT196,DA196))</f>
        <v/>
      </c>
      <c r="CV196" s="371" t="str">
        <f ca="1">IF(CU196="","",CONCATENATE(VLOOKUP(CU196,games.a,9,FALSE),VLOOKUP(CU196,games.a,12,FALSE)))</f>
        <v/>
      </c>
      <c r="CW196" s="369" t="str">
        <f ca="1">IF(CU196="","",VLOOKUP(CU196,games.a,10,FALSE))</f>
        <v/>
      </c>
      <c r="CX196" s="369" t="str">
        <f ca="1">IF(CU196="","",VLOOKUP(CU196,games.a,13,FALSE))</f>
        <v/>
      </c>
      <c r="CY196" s="423" t="str">
        <f ca="1">IF(CU196="","",VLOOKUP(CU196,games.a,6,FALSE))</f>
        <v/>
      </c>
      <c r="CZ196" s="409" t="str">
        <f ca="1">IF(CU196="","",VLOOKUP(CU196,games.a,7,FALSE))</f>
        <v/>
      </c>
      <c r="DA196" s="523" t="str">
        <f ca="1">DA195</f>
        <v/>
      </c>
      <c r="DB196" s="302"/>
      <c r="DC196" s="364"/>
      <c r="DG196" s="424"/>
      <c r="DH196" s="424"/>
      <c r="DI196" s="424"/>
      <c r="DJ196" s="424"/>
      <c r="DK196" s="424"/>
      <c r="DL196" s="424"/>
      <c r="DM196" s="424"/>
      <c r="DN196" s="424"/>
      <c r="DO196" s="424"/>
      <c r="DP196" s="424"/>
      <c r="DQ196" s="424"/>
      <c r="DR196" s="424"/>
      <c r="DS196" s="424"/>
      <c r="DT196" s="424"/>
      <c r="DU196" s="424"/>
      <c r="DV196" s="424"/>
      <c r="DW196" s="424"/>
      <c r="DX196" s="424"/>
      <c r="DY196" s="424"/>
      <c r="DZ196" s="424"/>
      <c r="EA196" s="424"/>
      <c r="EB196" s="424"/>
      <c r="EP196" s="333"/>
    </row>
    <row r="197" spans="80:146" x14ac:dyDescent="0.25">
      <c r="CB197" s="445"/>
      <c r="CC197" s="300"/>
      <c r="CD197" s="300"/>
      <c r="CE197" s="300"/>
      <c r="CF197" s="449"/>
      <c r="CG197" s="445"/>
      <c r="CT197" s="301"/>
      <c r="CU197" s="324" t="s">
        <v>157</v>
      </c>
      <c r="CV197" s="324" t="s">
        <v>158</v>
      </c>
      <c r="CW197" s="325" t="s">
        <v>159</v>
      </c>
      <c r="CX197" s="325"/>
      <c r="CY197" s="326" t="s">
        <v>160</v>
      </c>
      <c r="CZ197" s="325" t="s">
        <v>135</v>
      </c>
      <c r="DA197" s="302"/>
      <c r="DB197" s="302"/>
      <c r="DC197" s="364"/>
      <c r="DG197" s="424"/>
      <c r="DH197" s="424"/>
      <c r="DI197" s="424"/>
      <c r="DJ197" s="424"/>
      <c r="DK197" s="424"/>
      <c r="DL197" s="424"/>
      <c r="DM197" s="424"/>
      <c r="DN197" s="424"/>
      <c r="DO197" s="424"/>
      <c r="DP197" s="424"/>
      <c r="DQ197" s="424"/>
      <c r="DR197" s="424"/>
      <c r="DS197" s="424"/>
      <c r="DT197" s="424"/>
      <c r="DU197" s="424"/>
      <c r="DV197" s="424"/>
      <c r="DW197" s="424"/>
      <c r="DX197" s="424"/>
      <c r="DY197" s="424"/>
      <c r="DZ197" s="424"/>
      <c r="EA197" s="424"/>
      <c r="EB197" s="424"/>
      <c r="EP197" s="333"/>
    </row>
    <row r="198" spans="80:146" x14ac:dyDescent="0.25">
      <c r="CB198" s="445"/>
      <c r="CC198" s="300"/>
      <c r="CD198" s="300"/>
      <c r="CE198" s="300"/>
      <c r="CF198" s="449"/>
      <c r="CG198" s="445"/>
      <c r="CT198" s="395" t="str">
        <f t="shared" ref="CT198:CT203" ca="1" si="318">CT191</f>
        <v/>
      </c>
      <c r="CU198" s="360" t="str">
        <f ca="1">IF(OR(CT198="",DA198="",CT198=DA198,ISNA(VLOOKUP(CONCATENATE(CT198,DA198),games.r,2,FALSE))),"",CONCATENATE(CT198,DA198))</f>
        <v/>
      </c>
      <c r="CV198" s="360" t="str">
        <f ca="1">IF(CU198="","",CONCATENATE(VLOOKUP(CU198,games.r,9,FALSE),VLOOKUP(CU198,games.r,12,FALSE)))</f>
        <v/>
      </c>
      <c r="CW198" s="354" t="str">
        <f ca="1">IF(CU198="","",VLOOKUP(CU198,games.r,10,FALSE))</f>
        <v/>
      </c>
      <c r="CX198" s="354" t="str">
        <f ca="1">IF(CU198="","",VLOOKUP(CU198,games.r,13,FALSE))</f>
        <v/>
      </c>
      <c r="CY198" s="361" t="str">
        <f ca="1">IF(CU198="","",VLOOKUP(CU198,games.r,6,FALSE))</f>
        <v/>
      </c>
      <c r="CZ198" s="362" t="str">
        <f ca="1">IF(CU198="","",VLOOKUP(CU198,games.r,7,FALSE))</f>
        <v/>
      </c>
      <c r="DA198" s="363" t="str">
        <f ca="1">CT192</f>
        <v/>
      </c>
      <c r="DB198" s="302"/>
      <c r="DC198" s="364"/>
      <c r="DG198" s="424"/>
      <c r="DH198" s="424"/>
      <c r="DI198" s="424"/>
      <c r="DJ198" s="424"/>
      <c r="DK198" s="424"/>
      <c r="DL198" s="424"/>
      <c r="DM198" s="424"/>
      <c r="DN198" s="424"/>
      <c r="DO198" s="424"/>
      <c r="DP198" s="424"/>
      <c r="DQ198" s="424"/>
      <c r="DR198" s="424"/>
      <c r="DS198" s="424"/>
      <c r="DT198" s="424"/>
      <c r="DU198" s="424"/>
      <c r="DV198" s="424"/>
      <c r="DW198" s="424"/>
      <c r="DX198" s="424"/>
      <c r="DY198" s="424"/>
      <c r="DZ198" s="424"/>
      <c r="EA198" s="424"/>
      <c r="EB198" s="424"/>
      <c r="EP198" s="333"/>
    </row>
    <row r="199" spans="80:146" x14ac:dyDescent="0.25">
      <c r="CB199" s="445"/>
      <c r="CC199" s="300"/>
      <c r="CD199" s="300"/>
      <c r="CE199" s="300"/>
      <c r="CF199" s="449"/>
      <c r="CG199" s="445"/>
      <c r="CT199" s="395" t="str">
        <f t="shared" ca="1" si="318"/>
        <v/>
      </c>
      <c r="CU199" s="360" t="str">
        <f ca="1">IF(OR(CT199="",DA199="",CT199=DA199,ISNA(VLOOKUP(CONCATENATE(CT199,DA199),games.r,2,FALSE))),"",CONCATENATE(CT199,DA199))</f>
        <v/>
      </c>
      <c r="CV199" s="360" t="str">
        <f ca="1">IF(CU199="","",CONCATENATE(VLOOKUP(CU199,games.r,9,FALSE),VLOOKUP(CU199,games.r,12,FALSE)))</f>
        <v/>
      </c>
      <c r="CW199" s="354" t="str">
        <f ca="1">IF(CU199="","",VLOOKUP(CU199,games.r,10,FALSE))</f>
        <v/>
      </c>
      <c r="CX199" s="354" t="str">
        <f ca="1">IF(CU199="","",VLOOKUP(CU199,games.r,13,FALSE))</f>
        <v/>
      </c>
      <c r="CY199" s="361" t="str">
        <f ca="1">IF(CU199="","",VLOOKUP(CU199,games.r,6,FALSE))</f>
        <v/>
      </c>
      <c r="CZ199" s="362" t="str">
        <f ca="1">IF(CU199="","",VLOOKUP(CU199,games.r,7,FALSE))</f>
        <v/>
      </c>
      <c r="DA199" s="379" t="str">
        <f ca="1">DA198</f>
        <v/>
      </c>
      <c r="DB199" s="302"/>
      <c r="DC199" s="364"/>
      <c r="DG199" s="424"/>
      <c r="DH199" s="424"/>
      <c r="DI199" s="424"/>
      <c r="DJ199" s="424"/>
      <c r="DK199" s="424"/>
      <c r="DL199" s="424"/>
      <c r="DM199" s="424"/>
      <c r="DN199" s="424"/>
      <c r="DO199" s="424"/>
      <c r="DP199" s="424"/>
      <c r="DQ199" s="424"/>
      <c r="DR199" s="424"/>
      <c r="DS199" s="424"/>
      <c r="DT199" s="424"/>
      <c r="DU199" s="424"/>
      <c r="DV199" s="424"/>
      <c r="DW199" s="424"/>
      <c r="DX199" s="424"/>
      <c r="DY199" s="424"/>
      <c r="DZ199" s="424"/>
      <c r="EA199" s="424"/>
      <c r="EB199" s="424"/>
      <c r="EP199" s="333"/>
    </row>
    <row r="200" spans="80:146" x14ac:dyDescent="0.25">
      <c r="CB200" s="445"/>
      <c r="CC200" s="300"/>
      <c r="CD200" s="300"/>
      <c r="CE200" s="300"/>
      <c r="CF200" s="449"/>
      <c r="CG200" s="445"/>
      <c r="CT200" s="395" t="str">
        <f t="shared" ca="1" si="318"/>
        <v/>
      </c>
      <c r="CU200" s="360" t="str">
        <f ca="1">IF(OR(CT200="",DA200="",CT200=DA200,ISNA(VLOOKUP(CONCATENATE(CT200,DA200),games.r,2,FALSE))),"",CONCATENATE(CT200,DA200))</f>
        <v/>
      </c>
      <c r="CV200" s="360" t="str">
        <f ca="1">IF(CU200="","",CONCATENATE(VLOOKUP(CU200,games.r,9,FALSE),VLOOKUP(CU200,games.r,12,FALSE)))</f>
        <v/>
      </c>
      <c r="CW200" s="354" t="str">
        <f ca="1">IF(CU200="","",VLOOKUP(CU200,games.r,10,FALSE))</f>
        <v/>
      </c>
      <c r="CX200" s="354" t="str">
        <f ca="1">IF(CU200="","",VLOOKUP(CU200,games.r,13,FALSE))</f>
        <v/>
      </c>
      <c r="CY200" s="361" t="str">
        <f ca="1">IF(CU200="","",VLOOKUP(CU200,games.r,6,FALSE))</f>
        <v/>
      </c>
      <c r="CZ200" s="362" t="str">
        <f ca="1">IF(CU200="","",VLOOKUP(CU200,games.r,7,FALSE))</f>
        <v/>
      </c>
      <c r="DA200" s="379" t="str">
        <f ca="1">DA199</f>
        <v/>
      </c>
      <c r="DB200" s="302"/>
      <c r="DC200" s="364"/>
      <c r="DG200" s="424"/>
      <c r="DH200" s="424"/>
      <c r="DI200" s="424"/>
      <c r="DJ200" s="424"/>
      <c r="DK200" s="424"/>
      <c r="DL200" s="424"/>
      <c r="DM200" s="424"/>
      <c r="DN200" s="424"/>
      <c r="DO200" s="424"/>
      <c r="DP200" s="424"/>
      <c r="DQ200" s="424"/>
      <c r="DR200" s="424"/>
      <c r="DS200" s="424"/>
      <c r="DT200" s="424"/>
      <c r="DU200" s="424"/>
      <c r="DV200" s="424"/>
      <c r="DW200" s="424"/>
      <c r="DX200" s="424"/>
      <c r="DY200" s="424"/>
      <c r="DZ200" s="424"/>
      <c r="EA200" s="424"/>
      <c r="EB200" s="424"/>
      <c r="EP200" s="333"/>
    </row>
    <row r="201" spans="80:146" x14ac:dyDescent="0.25">
      <c r="CB201" s="445"/>
      <c r="CC201" s="300"/>
      <c r="CD201" s="300"/>
      <c r="CE201" s="300"/>
      <c r="CF201" s="449"/>
      <c r="CG201" s="445"/>
      <c r="CT201" s="533" t="str">
        <f t="shared" si="318"/>
        <v/>
      </c>
      <c r="CU201" s="371" t="str">
        <f ca="1">IF(OR(CT201="",DA201="",CT201=DA201,ISNA(VLOOKUP(CONCATENATE(CT201,DA201),games.a,2,FALSE))),"",CONCATENATE(CT201,DA201))</f>
        <v/>
      </c>
      <c r="CV201" s="371" t="str">
        <f ca="1">IF(CU201="","",CONCATENATE(VLOOKUP(CU201,games.a,9,FALSE),VLOOKUP(CU201,games.a,12,FALSE)))</f>
        <v/>
      </c>
      <c r="CW201" s="369" t="str">
        <f ca="1">IF(CU201="","",VLOOKUP(CU201,games.a,10,FALSE))</f>
        <v/>
      </c>
      <c r="CX201" s="369" t="str">
        <f ca="1">IF(CU201="","",VLOOKUP(CU201,games.a,13,FALSE))</f>
        <v/>
      </c>
      <c r="CY201" s="423" t="str">
        <f ca="1">IF(CU201="","",VLOOKUP(CU201,games.a,6,FALSE))</f>
        <v/>
      </c>
      <c r="CZ201" s="409" t="str">
        <f ca="1">IF(CU201="","",VLOOKUP(CU201,games.a,7,FALSE))</f>
        <v/>
      </c>
      <c r="DA201" s="523" t="str">
        <f ca="1">DA200</f>
        <v/>
      </c>
      <c r="DB201" s="302"/>
      <c r="DC201" s="364"/>
      <c r="DG201" s="424"/>
      <c r="DH201" s="424"/>
      <c r="DI201" s="424"/>
      <c r="DJ201" s="424"/>
      <c r="DK201" s="424"/>
      <c r="DL201" s="424"/>
      <c r="DM201" s="424"/>
      <c r="DN201" s="424"/>
      <c r="DO201" s="424"/>
      <c r="DP201" s="424"/>
      <c r="DQ201" s="424"/>
      <c r="DR201" s="424"/>
      <c r="DS201" s="424"/>
      <c r="DT201" s="424"/>
      <c r="DU201" s="424"/>
      <c r="DV201" s="424"/>
      <c r="DW201" s="424"/>
      <c r="DX201" s="424"/>
      <c r="DY201" s="424"/>
      <c r="DZ201" s="424"/>
      <c r="EA201" s="424"/>
      <c r="EB201" s="424"/>
      <c r="EP201" s="333"/>
    </row>
    <row r="202" spans="80:146" x14ac:dyDescent="0.25">
      <c r="CB202" s="445"/>
      <c r="CC202" s="300"/>
      <c r="CD202" s="300"/>
      <c r="CE202" s="300"/>
      <c r="CF202" s="449"/>
      <c r="CG202" s="445"/>
      <c r="CT202" s="533" t="str">
        <f t="shared" si="318"/>
        <v/>
      </c>
      <c r="CU202" s="371" t="str">
        <f ca="1">IF(OR(CT202="",DA202="",CT202=DA202,ISNA(VLOOKUP(CONCATENATE(CT202,DA202),games.a,2,FALSE))),"",CONCATENATE(CT202,DA202))</f>
        <v/>
      </c>
      <c r="CV202" s="371" t="str">
        <f ca="1">IF(CU202="","",CONCATENATE(VLOOKUP(CU202,games.a,9,FALSE),VLOOKUP(CU202,games.a,12,FALSE)))</f>
        <v/>
      </c>
      <c r="CW202" s="369" t="str">
        <f ca="1">IF(CU202="","",VLOOKUP(CU202,games.a,10,FALSE))</f>
        <v/>
      </c>
      <c r="CX202" s="369" t="str">
        <f ca="1">IF(CU202="","",VLOOKUP(CU202,games.a,13,FALSE))</f>
        <v/>
      </c>
      <c r="CY202" s="423" t="str">
        <f ca="1">IF(CU202="","",VLOOKUP(CU202,games.a,6,FALSE))</f>
        <v/>
      </c>
      <c r="CZ202" s="409" t="str">
        <f ca="1">IF(CU202="","",VLOOKUP(CU202,games.a,7,FALSE))</f>
        <v/>
      </c>
      <c r="DA202" s="523" t="str">
        <f ca="1">DA201</f>
        <v/>
      </c>
      <c r="DB202" s="302"/>
      <c r="DC202" s="364"/>
      <c r="DG202" s="424"/>
      <c r="DH202" s="424"/>
      <c r="DI202" s="424"/>
      <c r="DJ202" s="424"/>
      <c r="DK202" s="424"/>
      <c r="DL202" s="424"/>
      <c r="DM202" s="424"/>
      <c r="DN202" s="424"/>
      <c r="DO202" s="424"/>
      <c r="DP202" s="424"/>
      <c r="DQ202" s="424"/>
      <c r="DR202" s="424"/>
      <c r="DS202" s="424"/>
      <c r="DT202" s="424"/>
      <c r="DU202" s="424"/>
      <c r="DV202" s="424"/>
      <c r="DW202" s="424"/>
      <c r="DX202" s="424"/>
      <c r="DY202" s="424"/>
      <c r="DZ202" s="424"/>
      <c r="EA202" s="424"/>
      <c r="EB202" s="424"/>
      <c r="EP202" s="333"/>
    </row>
    <row r="203" spans="80:146" x14ac:dyDescent="0.25">
      <c r="CB203" s="445"/>
      <c r="CC203" s="300"/>
      <c r="CD203" s="300"/>
      <c r="CE203" s="300"/>
      <c r="CF203" s="449"/>
      <c r="CG203" s="445"/>
      <c r="CT203" s="533" t="str">
        <f t="shared" si="318"/>
        <v/>
      </c>
      <c r="CU203" s="371" t="str">
        <f ca="1">IF(OR(CT203="",DA203="",CT203=DA203,ISNA(VLOOKUP(CONCATENATE(CT203,DA203),games.a,2,FALSE))),"",CONCATENATE(CT203,DA203))</f>
        <v/>
      </c>
      <c r="CV203" s="371" t="str">
        <f ca="1">IF(CU203="","",CONCATENATE(VLOOKUP(CU203,games.a,9,FALSE),VLOOKUP(CU203,games.a,12,FALSE)))</f>
        <v/>
      </c>
      <c r="CW203" s="369" t="str">
        <f ca="1">IF(CU203="","",VLOOKUP(CU203,games.a,10,FALSE))</f>
        <v/>
      </c>
      <c r="CX203" s="369" t="str">
        <f ca="1">IF(CU203="","",VLOOKUP(CU203,games.a,13,FALSE))</f>
        <v/>
      </c>
      <c r="CY203" s="423" t="str">
        <f ca="1">IF(CU203="","",VLOOKUP(CU203,games.a,6,FALSE))</f>
        <v/>
      </c>
      <c r="CZ203" s="409" t="str">
        <f ca="1">IF(CU203="","",VLOOKUP(CU203,games.a,7,FALSE))</f>
        <v/>
      </c>
      <c r="DA203" s="523" t="str">
        <f ca="1">DA202</f>
        <v/>
      </c>
      <c r="DB203" s="302"/>
      <c r="DC203" s="364"/>
      <c r="DG203" s="424"/>
      <c r="DH203" s="424"/>
      <c r="DI203" s="424"/>
      <c r="DJ203" s="424"/>
      <c r="DK203" s="424"/>
      <c r="DL203" s="424"/>
      <c r="DM203" s="424"/>
      <c r="DN203" s="424"/>
      <c r="DO203" s="424"/>
      <c r="DP203" s="424"/>
      <c r="DQ203" s="424"/>
      <c r="DR203" s="424"/>
      <c r="DS203" s="424"/>
      <c r="DT203" s="424"/>
      <c r="DU203" s="424"/>
      <c r="DV203" s="424"/>
      <c r="DW203" s="424"/>
      <c r="DX203" s="424"/>
      <c r="DY203" s="424"/>
      <c r="DZ203" s="424"/>
      <c r="EA203" s="424"/>
      <c r="EB203" s="424"/>
      <c r="EP203" s="333"/>
    </row>
    <row r="204" spans="80:146" x14ac:dyDescent="0.25">
      <c r="CB204" s="445"/>
      <c r="CC204" s="300"/>
      <c r="CD204" s="300"/>
      <c r="CE204" s="300"/>
      <c r="CF204" s="449"/>
      <c r="CG204" s="445"/>
      <c r="CT204" s="301"/>
      <c r="CU204" s="324" t="s">
        <v>157</v>
      </c>
      <c r="CV204" s="324" t="s">
        <v>158</v>
      </c>
      <c r="CW204" s="325" t="s">
        <v>159</v>
      </c>
      <c r="CX204" s="325"/>
      <c r="CY204" s="326" t="s">
        <v>160</v>
      </c>
      <c r="CZ204" s="325" t="s">
        <v>135</v>
      </c>
      <c r="DA204" s="302"/>
      <c r="DB204" s="302"/>
      <c r="DC204" s="364"/>
      <c r="DG204" s="424"/>
      <c r="DH204" s="424"/>
      <c r="DI204" s="424"/>
      <c r="DJ204" s="424"/>
      <c r="DK204" s="424"/>
      <c r="DL204" s="424"/>
      <c r="DM204" s="424"/>
      <c r="DN204" s="424"/>
      <c r="DO204" s="424"/>
      <c r="DP204" s="424"/>
      <c r="DQ204" s="424"/>
      <c r="DR204" s="424"/>
      <c r="DS204" s="424"/>
      <c r="DT204" s="424"/>
      <c r="DU204" s="424"/>
      <c r="DV204" s="424"/>
      <c r="DW204" s="424"/>
      <c r="DX204" s="424"/>
      <c r="DY204" s="424"/>
      <c r="DZ204" s="424"/>
      <c r="EA204" s="424"/>
      <c r="EB204" s="424"/>
      <c r="EP204" s="333"/>
    </row>
    <row r="205" spans="80:146" x14ac:dyDescent="0.25">
      <c r="CB205" s="445"/>
      <c r="CC205" s="300"/>
      <c r="CD205" s="300"/>
      <c r="CE205" s="300"/>
      <c r="CF205" s="449"/>
      <c r="CG205" s="445"/>
      <c r="CT205" s="395" t="str">
        <f t="shared" ref="CT205:CT210" ca="1" si="319">CT198</f>
        <v/>
      </c>
      <c r="CU205" s="360" t="str">
        <f ca="1">IF(OR(CT205="",DA205="",CT205=DA205,ISNA(VLOOKUP(CONCATENATE(CT205,DA205),games.r,2,FALSE))),"",CONCATENATE(CT205,DA205))</f>
        <v/>
      </c>
      <c r="CV205" s="360" t="str">
        <f ca="1">IF(CU205="","",CONCATENATE(VLOOKUP(CU205,games.r,9,FALSE),VLOOKUP(CU205,games.r,12,FALSE)))</f>
        <v/>
      </c>
      <c r="CW205" s="354" t="str">
        <f ca="1">IF(CU205="","",VLOOKUP(CU205,games.r,10,FALSE))</f>
        <v/>
      </c>
      <c r="CX205" s="354" t="str">
        <f ca="1">IF(CU205="","",VLOOKUP(CU205,games.r,13,FALSE))</f>
        <v/>
      </c>
      <c r="CY205" s="361" t="str">
        <f ca="1">IF(CU205="","",VLOOKUP(CU205,games.r,6,FALSE))</f>
        <v/>
      </c>
      <c r="CZ205" s="362" t="str">
        <f ca="1">IF(CU205="","",VLOOKUP(CU205,games.r,7,FALSE))</f>
        <v/>
      </c>
      <c r="DA205" s="363" t="str">
        <f ca="1">CT193</f>
        <v/>
      </c>
      <c r="DB205" s="302"/>
      <c r="DC205" s="364"/>
      <c r="DG205" s="424"/>
      <c r="DH205" s="424"/>
      <c r="DI205" s="424"/>
      <c r="DJ205" s="424"/>
      <c r="DK205" s="424"/>
      <c r="DL205" s="424"/>
      <c r="DM205" s="424"/>
      <c r="DN205" s="424"/>
      <c r="DO205" s="424"/>
      <c r="DP205" s="424"/>
      <c r="DQ205" s="424"/>
      <c r="DR205" s="424"/>
      <c r="DS205" s="424"/>
      <c r="DT205" s="424"/>
      <c r="DU205" s="424"/>
      <c r="DV205" s="424"/>
      <c r="DW205" s="424"/>
      <c r="DX205" s="424"/>
      <c r="DY205" s="424"/>
      <c r="DZ205" s="424"/>
      <c r="EA205" s="424"/>
      <c r="EB205" s="424"/>
      <c r="EP205" s="333"/>
    </row>
    <row r="206" spans="80:146" x14ac:dyDescent="0.25">
      <c r="CB206" s="445"/>
      <c r="CC206" s="300"/>
      <c r="CD206" s="300"/>
      <c r="CE206" s="300"/>
      <c r="CF206" s="449"/>
      <c r="CG206" s="445"/>
      <c r="CT206" s="395" t="str">
        <f t="shared" ca="1" si="319"/>
        <v/>
      </c>
      <c r="CU206" s="360" t="str">
        <f ca="1">IF(OR(CT206="",DA206="",CT206=DA206,ISNA(VLOOKUP(CONCATENATE(CT206,DA206),games.r,2,FALSE))),"",CONCATENATE(CT206,DA206))</f>
        <v/>
      </c>
      <c r="CV206" s="360" t="str">
        <f ca="1">IF(CU206="","",CONCATENATE(VLOOKUP(CU206,games.r,9,FALSE),VLOOKUP(CU206,games.r,12,FALSE)))</f>
        <v/>
      </c>
      <c r="CW206" s="354" t="str">
        <f ca="1">IF(CU206="","",VLOOKUP(CU206,games.r,10,FALSE))</f>
        <v/>
      </c>
      <c r="CX206" s="354" t="str">
        <f ca="1">IF(CU206="","",VLOOKUP(CU206,games.r,13,FALSE))</f>
        <v/>
      </c>
      <c r="CY206" s="361" t="str">
        <f ca="1">IF(CU206="","",VLOOKUP(CU206,games.r,6,FALSE))</f>
        <v/>
      </c>
      <c r="CZ206" s="362" t="str">
        <f ca="1">IF(CU206="","",VLOOKUP(CU206,games.r,7,FALSE))</f>
        <v/>
      </c>
      <c r="DA206" s="379" t="str">
        <f ca="1">DA205</f>
        <v/>
      </c>
      <c r="DB206" s="302"/>
      <c r="DC206" s="364"/>
      <c r="DG206" s="424"/>
      <c r="DH206" s="424"/>
      <c r="DI206" s="424"/>
      <c r="DJ206" s="424"/>
      <c r="DK206" s="424"/>
      <c r="DL206" s="424"/>
      <c r="DM206" s="424"/>
      <c r="DN206" s="424"/>
      <c r="DO206" s="424"/>
      <c r="DP206" s="424"/>
      <c r="DQ206" s="424"/>
      <c r="DR206" s="424"/>
      <c r="DS206" s="424"/>
      <c r="DT206" s="424"/>
      <c r="DU206" s="424"/>
      <c r="DV206" s="424"/>
      <c r="DW206" s="424"/>
      <c r="DX206" s="424"/>
      <c r="DY206" s="424"/>
      <c r="DZ206" s="424"/>
      <c r="EA206" s="424"/>
      <c r="EB206" s="424"/>
      <c r="EP206" s="333"/>
    </row>
    <row r="207" spans="80:146" x14ac:dyDescent="0.25">
      <c r="CB207" s="445"/>
      <c r="CC207" s="300"/>
      <c r="CD207" s="300"/>
      <c r="CE207" s="300"/>
      <c r="CF207" s="449"/>
      <c r="CG207" s="445"/>
      <c r="CT207" s="395" t="str">
        <f t="shared" ca="1" si="319"/>
        <v/>
      </c>
      <c r="CU207" s="360" t="str">
        <f ca="1">IF(OR(CT207="",DA207="",CT207=DA207,ISNA(VLOOKUP(CONCATENATE(CT207,DA207),games.r,2,FALSE))),"",CONCATENATE(CT207,DA207))</f>
        <v/>
      </c>
      <c r="CV207" s="360" t="str">
        <f ca="1">IF(CU207="","",CONCATENATE(VLOOKUP(CU207,games.r,9,FALSE),VLOOKUP(CU207,games.r,12,FALSE)))</f>
        <v/>
      </c>
      <c r="CW207" s="354" t="str">
        <f ca="1">IF(CU207="","",VLOOKUP(CU207,games.r,10,FALSE))</f>
        <v/>
      </c>
      <c r="CX207" s="354" t="str">
        <f ca="1">IF(CU207="","",VLOOKUP(CU207,games.r,13,FALSE))</f>
        <v/>
      </c>
      <c r="CY207" s="361" t="str">
        <f ca="1">IF(CU207="","",VLOOKUP(CU207,games.r,6,FALSE))</f>
        <v/>
      </c>
      <c r="CZ207" s="362" t="str">
        <f ca="1">IF(CU207="","",VLOOKUP(CU207,games.r,7,FALSE))</f>
        <v/>
      </c>
      <c r="DA207" s="379" t="str">
        <f ca="1">DA206</f>
        <v/>
      </c>
      <c r="DB207" s="302"/>
      <c r="DC207" s="364"/>
      <c r="DG207" s="424"/>
      <c r="DH207" s="424"/>
      <c r="DI207" s="424"/>
      <c r="DJ207" s="424"/>
      <c r="DK207" s="424"/>
      <c r="DL207" s="424"/>
      <c r="DM207" s="424"/>
      <c r="DN207" s="424"/>
      <c r="DO207" s="424"/>
      <c r="DP207" s="424"/>
      <c r="DQ207" s="424"/>
      <c r="DR207" s="424"/>
      <c r="DS207" s="424"/>
      <c r="DT207" s="424"/>
      <c r="DU207" s="424"/>
      <c r="DV207" s="424"/>
      <c r="DW207" s="424"/>
      <c r="DX207" s="424"/>
      <c r="DY207" s="424"/>
      <c r="DZ207" s="424"/>
      <c r="EA207" s="424"/>
      <c r="EB207" s="424"/>
      <c r="EP207" s="333"/>
    </row>
    <row r="208" spans="80:146" x14ac:dyDescent="0.25">
      <c r="CB208" s="445"/>
      <c r="CC208" s="300"/>
      <c r="CD208" s="300"/>
      <c r="CE208" s="300"/>
      <c r="CF208" s="449"/>
      <c r="CG208" s="445"/>
      <c r="CT208" s="533" t="str">
        <f t="shared" si="319"/>
        <v/>
      </c>
      <c r="CU208" s="371" t="str">
        <f ca="1">IF(OR(CT208="",DA208="",CT208=DA208,ISNA(VLOOKUP(CONCATENATE(CT208,DA208),games.a,2,FALSE))),"",CONCATENATE(CT208,DA208))</f>
        <v/>
      </c>
      <c r="CV208" s="371" t="str">
        <f ca="1">IF(CU208="","",CONCATENATE(VLOOKUP(CU208,games.a,9,FALSE),VLOOKUP(CU208,games.a,12,FALSE)))</f>
        <v/>
      </c>
      <c r="CW208" s="369" t="str">
        <f ca="1">IF(CU208="","",VLOOKUP(CU208,games.a,10,FALSE))</f>
        <v/>
      </c>
      <c r="CX208" s="369" t="str">
        <f ca="1">IF(CU208="","",VLOOKUP(CU208,games.a,13,FALSE))</f>
        <v/>
      </c>
      <c r="CY208" s="423" t="str">
        <f ca="1">IF(CU208="","",VLOOKUP(CU208,games.a,6,FALSE))</f>
        <v/>
      </c>
      <c r="CZ208" s="409" t="str">
        <f ca="1">IF(CU208="","",VLOOKUP(CU208,games.a,7,FALSE))</f>
        <v/>
      </c>
      <c r="DA208" s="523" t="str">
        <f ca="1">DA207</f>
        <v/>
      </c>
      <c r="DB208" s="302"/>
      <c r="DC208" s="364"/>
      <c r="DG208" s="424"/>
      <c r="DH208" s="424"/>
      <c r="DI208" s="424"/>
      <c r="DJ208" s="424"/>
      <c r="DK208" s="424"/>
      <c r="DL208" s="424"/>
      <c r="DM208" s="424"/>
      <c r="DN208" s="424"/>
      <c r="DO208" s="424"/>
      <c r="DP208" s="424"/>
      <c r="DQ208" s="424"/>
      <c r="DR208" s="424"/>
      <c r="DS208" s="424"/>
      <c r="DT208" s="424"/>
      <c r="DU208" s="424"/>
      <c r="DV208" s="424"/>
      <c r="DW208" s="424"/>
      <c r="DX208" s="424"/>
      <c r="DY208" s="424"/>
      <c r="DZ208" s="424"/>
      <c r="EA208" s="424"/>
      <c r="EB208" s="424"/>
      <c r="EP208" s="333"/>
    </row>
    <row r="209" spans="80:146" x14ac:dyDescent="0.25">
      <c r="CB209" s="445"/>
      <c r="CC209" s="300"/>
      <c r="CD209" s="300"/>
      <c r="CE209" s="300"/>
      <c r="CF209" s="449"/>
      <c r="CG209" s="445"/>
      <c r="CO209" s="302"/>
      <c r="CT209" s="533" t="str">
        <f t="shared" si="319"/>
        <v/>
      </c>
      <c r="CU209" s="371" t="str">
        <f ca="1">IF(OR(CT209="",DA209="",CT209=DA209,ISNA(VLOOKUP(CONCATENATE(CT209,DA209),games.a,2,FALSE))),"",CONCATENATE(CT209,DA209))</f>
        <v/>
      </c>
      <c r="CV209" s="371" t="str">
        <f ca="1">IF(CU209="","",CONCATENATE(VLOOKUP(CU209,games.a,9,FALSE),VLOOKUP(CU209,games.a,12,FALSE)))</f>
        <v/>
      </c>
      <c r="CW209" s="369" t="str">
        <f ca="1">IF(CU209="","",VLOOKUP(CU209,games.a,10,FALSE))</f>
        <v/>
      </c>
      <c r="CX209" s="369" t="str">
        <f ca="1">IF(CU209="","",VLOOKUP(CU209,games.a,13,FALSE))</f>
        <v/>
      </c>
      <c r="CY209" s="423" t="str">
        <f ca="1">IF(CU209="","",VLOOKUP(CU209,games.a,6,FALSE))</f>
        <v/>
      </c>
      <c r="CZ209" s="409" t="str">
        <f ca="1">IF(CU209="","",VLOOKUP(CU209,games.a,7,FALSE))</f>
        <v/>
      </c>
      <c r="DA209" s="523" t="str">
        <f ca="1">DA208</f>
        <v/>
      </c>
      <c r="DB209" s="302"/>
      <c r="DC209" s="364"/>
      <c r="DG209" s="424"/>
      <c r="DH209" s="424"/>
      <c r="DI209" s="424"/>
      <c r="DJ209" s="424"/>
      <c r="DK209" s="424"/>
      <c r="DL209" s="424"/>
      <c r="DM209" s="424"/>
      <c r="DN209" s="424"/>
      <c r="DO209" s="424"/>
      <c r="DP209" s="424"/>
      <c r="DQ209" s="424"/>
      <c r="DR209" s="424"/>
      <c r="DS209" s="424"/>
      <c r="DT209" s="424"/>
      <c r="DU209" s="424"/>
      <c r="DV209" s="424"/>
      <c r="DW209" s="424"/>
      <c r="DX209" s="424"/>
      <c r="DY209" s="424"/>
      <c r="DZ209" s="424"/>
      <c r="EA209" s="424"/>
      <c r="EB209" s="424"/>
      <c r="EP209" s="333"/>
    </row>
    <row r="210" spans="80:146" x14ac:dyDescent="0.25">
      <c r="CB210" s="445"/>
      <c r="CC210" s="300"/>
      <c r="CD210" s="300"/>
      <c r="CE210" s="300"/>
      <c r="CF210" s="449"/>
      <c r="CG210" s="445"/>
      <c r="CO210" s="302"/>
      <c r="CT210" s="533" t="str">
        <f t="shared" si="319"/>
        <v/>
      </c>
      <c r="CU210" s="371" t="str">
        <f ca="1">IF(OR(CT210="",DA210="",CT210=DA210,ISNA(VLOOKUP(CONCATENATE(CT210,DA210),games.a,2,FALSE))),"",CONCATENATE(CT210,DA210))</f>
        <v/>
      </c>
      <c r="CV210" s="371" t="str">
        <f ca="1">IF(CU210="","",CONCATENATE(VLOOKUP(CU210,games.a,9,FALSE),VLOOKUP(CU210,games.a,12,FALSE)))</f>
        <v/>
      </c>
      <c r="CW210" s="369" t="str">
        <f ca="1">IF(CU210="","",VLOOKUP(CU210,games.a,10,FALSE))</f>
        <v/>
      </c>
      <c r="CX210" s="369" t="str">
        <f ca="1">IF(CU210="","",VLOOKUP(CU210,games.a,13,FALSE))</f>
        <v/>
      </c>
      <c r="CY210" s="423" t="str">
        <f ca="1">IF(CU210="","",VLOOKUP(CU210,games.a,6,FALSE))</f>
        <v/>
      </c>
      <c r="CZ210" s="409" t="str">
        <f ca="1">IF(CU210="","",VLOOKUP(CU210,games.a,7,FALSE))</f>
        <v/>
      </c>
      <c r="DA210" s="523" t="str">
        <f ca="1">DA209</f>
        <v/>
      </c>
      <c r="DB210" s="302"/>
      <c r="DC210" s="364"/>
      <c r="DG210" s="424"/>
      <c r="DH210" s="424"/>
      <c r="DI210" s="424"/>
      <c r="DJ210" s="424"/>
      <c r="DK210" s="424"/>
      <c r="DL210" s="424"/>
      <c r="DM210" s="424"/>
      <c r="DN210" s="424"/>
      <c r="DO210" s="424"/>
      <c r="DP210" s="424"/>
      <c r="DQ210" s="424"/>
      <c r="DR210" s="424"/>
      <c r="DS210" s="424"/>
      <c r="DT210" s="424"/>
      <c r="DU210" s="424"/>
      <c r="DV210" s="424"/>
      <c r="DW210" s="424"/>
      <c r="DX210" s="424"/>
      <c r="DY210" s="424"/>
      <c r="DZ210" s="424"/>
      <c r="EA210" s="424"/>
      <c r="EB210" s="424"/>
      <c r="EP210" s="333"/>
    </row>
    <row r="211" spans="80:146" x14ac:dyDescent="0.25">
      <c r="CB211" s="445"/>
      <c r="CC211" s="300"/>
      <c r="CD211" s="300"/>
      <c r="CE211" s="300"/>
      <c r="CF211" s="449"/>
      <c r="CG211" s="445"/>
      <c r="CO211" s="302"/>
      <c r="CT211" s="301"/>
      <c r="CU211" s="302"/>
      <c r="CV211" s="302"/>
      <c r="CW211" s="302"/>
      <c r="CX211" s="302"/>
      <c r="CY211" s="302"/>
      <c r="CZ211" s="302"/>
      <c r="DA211" s="447"/>
      <c r="DB211" s="302"/>
      <c r="DC211" s="446" t="s">
        <v>221</v>
      </c>
      <c r="DG211" s="424"/>
      <c r="DH211" s="424"/>
      <c r="DI211" s="424"/>
      <c r="DJ211" s="424"/>
      <c r="DK211" s="424"/>
      <c r="DL211" s="424"/>
      <c r="DM211" s="424"/>
      <c r="DN211" s="424"/>
      <c r="DO211" s="424"/>
      <c r="DP211" s="424"/>
      <c r="DQ211" s="424"/>
      <c r="DR211" s="424"/>
      <c r="DS211" s="424"/>
      <c r="DT211" s="424"/>
      <c r="DU211" s="424"/>
      <c r="DV211" s="424"/>
      <c r="DW211" s="424"/>
      <c r="DX211" s="424"/>
      <c r="DY211" s="424"/>
      <c r="DZ211" s="424"/>
      <c r="EA211" s="424"/>
      <c r="EB211" s="424"/>
      <c r="EP211" s="333"/>
    </row>
    <row r="212" spans="80:146" x14ac:dyDescent="0.25">
      <c r="CB212" s="445"/>
      <c r="CC212" s="300"/>
      <c r="CD212" s="300"/>
      <c r="CE212" s="300"/>
      <c r="CF212" s="449"/>
      <c r="CG212" s="445"/>
      <c r="CO212" s="302"/>
      <c r="CT212" s="301"/>
      <c r="CU212" s="302"/>
      <c r="CV212" s="302"/>
      <c r="CW212" s="302"/>
      <c r="CX212" s="302"/>
      <c r="CY212" s="302"/>
      <c r="CZ212" s="302"/>
      <c r="DA212" s="447"/>
      <c r="DB212" s="302"/>
      <c r="DC212" s="448" t="s">
        <v>222</v>
      </c>
      <c r="DG212" s="424"/>
      <c r="DH212" s="424"/>
      <c r="DI212" s="424"/>
      <c r="DJ212" s="424"/>
      <c r="DK212" s="424"/>
      <c r="DL212" s="424"/>
      <c r="DM212" s="424"/>
      <c r="DN212" s="424"/>
      <c r="DO212" s="424"/>
      <c r="DP212" s="424"/>
      <c r="DQ212" s="424"/>
      <c r="DR212" s="424"/>
      <c r="DS212" s="424"/>
      <c r="DT212" s="424"/>
      <c r="DU212" s="424"/>
      <c r="DV212" s="424"/>
      <c r="DW212" s="424"/>
      <c r="DX212" s="424"/>
      <c r="DY212" s="424"/>
      <c r="DZ212" s="424"/>
      <c r="EA212" s="424"/>
      <c r="EB212" s="424"/>
      <c r="EP212" s="333"/>
    </row>
    <row r="213" spans="80:146" x14ac:dyDescent="0.25">
      <c r="CB213" s="445"/>
      <c r="CC213" s="300"/>
      <c r="CD213" s="300"/>
      <c r="CE213" s="300"/>
      <c r="CF213" s="449"/>
      <c r="CG213" s="445"/>
      <c r="CO213" s="302"/>
      <c r="CT213" s="323" t="b">
        <f ca="1">OR(NOT(ASZTAB!$AJ$44),COUNTIF(CY213:CY222,"")&lt;=8-(DA213-1)*DA213/2)</f>
        <v>1</v>
      </c>
      <c r="CU213" s="324" t="s">
        <v>157</v>
      </c>
      <c r="CV213" s="324" t="s">
        <v>158</v>
      </c>
      <c r="CW213" s="325" t="s">
        <v>159</v>
      </c>
      <c r="CX213" s="325"/>
      <c r="CY213" s="326" t="s">
        <v>160</v>
      </c>
      <c r="CZ213" s="325" t="s">
        <v>135</v>
      </c>
      <c r="DA213" s="323">
        <f ca="1">COUNT(CQ66:CQ67)</f>
        <v>0</v>
      </c>
      <c r="DB213" s="302"/>
      <c r="DC213" s="364"/>
      <c r="DG213" s="329" t="s">
        <v>229</v>
      </c>
      <c r="DH213" s="365"/>
      <c r="DI213" s="329" t="s">
        <v>152</v>
      </c>
      <c r="DJ213" s="329" t="s">
        <v>153</v>
      </c>
      <c r="DK213" s="329" t="s">
        <v>154</v>
      </c>
      <c r="DL213" s="329" t="s">
        <v>155</v>
      </c>
      <c r="DM213" s="329" t="s">
        <v>125</v>
      </c>
      <c r="DN213" s="329" t="s">
        <v>226</v>
      </c>
      <c r="DO213" s="329" t="s">
        <v>126</v>
      </c>
      <c r="DP213" s="329" t="s">
        <v>227</v>
      </c>
      <c r="DQ213" s="424"/>
      <c r="DR213" s="424"/>
      <c r="DS213" s="424"/>
      <c r="DT213" s="329" t="s">
        <v>228</v>
      </c>
      <c r="DU213" s="329" t="s">
        <v>156</v>
      </c>
      <c r="DV213" s="329" t="s">
        <v>208</v>
      </c>
      <c r="DW213" s="424"/>
      <c r="DX213" s="424"/>
      <c r="DY213" s="424"/>
      <c r="DZ213" s="424"/>
      <c r="EA213" s="424"/>
      <c r="EB213" s="424"/>
      <c r="EP213" s="333"/>
    </row>
    <row r="214" spans="80:146" x14ac:dyDescent="0.25">
      <c r="CB214" s="445"/>
      <c r="CC214" s="300"/>
      <c r="CD214" s="300"/>
      <c r="CE214" s="300"/>
      <c r="CF214" s="449"/>
      <c r="CG214" s="445"/>
      <c r="CO214" s="302"/>
      <c r="CT214" s="359" t="str">
        <f ca="1">IF(CQ66="","",VLOOKUP(CQ66,xxx.rr2,10,FALSE))</f>
        <v/>
      </c>
      <c r="CU214" s="360" t="str">
        <f ca="1">IF(OR(CT214="",DA214="",CT214=DA214,ISNA(VLOOKUP(CONCATENATE(CT214,DA214),games.r,2,FALSE))),"",CONCATENATE(CT214,DA214))</f>
        <v/>
      </c>
      <c r="CV214" s="360" t="str">
        <f ca="1">IF(CU214="","",CONCATENATE(VLOOKUP(CU214,games.r,9,FALSE),VLOOKUP(CU214,games.r,12,FALSE)))</f>
        <v/>
      </c>
      <c r="CW214" s="354" t="str">
        <f ca="1">IF(CU214="","",VLOOKUP(CU214,games.r,10,FALSE))</f>
        <v/>
      </c>
      <c r="CX214" s="354" t="str">
        <f ca="1">IF(CU214="","",VLOOKUP(CU214,games.r,13,FALSE))</f>
        <v/>
      </c>
      <c r="CY214" s="361" t="str">
        <f ca="1">IF(CU214="","",VLOOKUP(CU214,games.r,6,FALSE))</f>
        <v/>
      </c>
      <c r="CZ214" s="362" t="str">
        <f ca="1">IF(CU214="","",VLOOKUP(CU214,games.r,7,FALSE))</f>
        <v/>
      </c>
      <c r="DA214" s="363" t="str">
        <f ca="1">CT214</f>
        <v/>
      </c>
      <c r="DB214" s="302"/>
      <c r="DC214" s="364"/>
      <c r="DG214" s="366" t="str">
        <f ca="1">IF(OR(NOT(ASZTAB!$AJ$44),CT213),CT214,"")</f>
        <v/>
      </c>
      <c r="DH214" s="365"/>
      <c r="DI214" s="366">
        <f ca="1">IF(DG214="",0,COUNTIF(xxgy.rr,DG214))</f>
        <v>0</v>
      </c>
      <c r="DJ214" s="366">
        <f ca="1">IF(DG214="",0,COUNTIF(xxd.rr,DG214))</f>
        <v>0</v>
      </c>
      <c r="DK214" s="366">
        <f ca="1">IF(DG214="",0,1)*(SUMIF(xxo.rr,DG214,xxl.rr)+SUMIF(xxi.rr,DG214,xxk.rr))</f>
        <v>0</v>
      </c>
      <c r="DL214" s="366">
        <f ca="1">IF(DG214="",0,1)*(SUMIF(xxo.rr,DG214,xxk.rr)+SUMIF(xxi.rr,DG214,xxl.rr))</f>
        <v>0</v>
      </c>
      <c r="DM214" s="366">
        <f ca="1">DK214-DL214</f>
        <v>0</v>
      </c>
      <c r="DN214" s="366">
        <f ca="1">IF(DL214=0,0,DK214/DL214)</f>
        <v>0</v>
      </c>
      <c r="DO214" s="366">
        <f ca="1">ASZTAB!$AJ$48*DI214+IF(ASZTAB!$AJ$44,0,1)*DJ214</f>
        <v>0</v>
      </c>
      <c r="DP214" s="396">
        <f ca="1">DO214*1000000+IF(ASZTAB!$AJ$44,DN214,DM214)*1000*0</f>
        <v>0</v>
      </c>
      <c r="DQ214" s="424"/>
      <c r="DR214" s="424"/>
      <c r="DS214" s="424"/>
      <c r="DT214" s="366">
        <f ca="1">IF(OR(ISERR(DP214),ISNA(DP214)),0,DP214)</f>
        <v>0</v>
      </c>
      <c r="DU214" s="366">
        <f ca="1">IF(DT214=0,0,RANK(DT214,DT214:DT215,1))</f>
        <v>0</v>
      </c>
      <c r="DV214" s="366">
        <f ca="1">DU214*40000*IF(COUNTIF($EN$134:$EN$143,DG214)&gt;0,0,1)</f>
        <v>0</v>
      </c>
      <c r="DW214" s="424"/>
      <c r="DX214" s="424"/>
      <c r="DY214" s="424"/>
      <c r="DZ214" s="424"/>
      <c r="EA214" s="424"/>
      <c r="EB214" s="424"/>
      <c r="EP214" s="333"/>
    </row>
    <row r="215" spans="80:146" x14ac:dyDescent="0.25">
      <c r="CB215" s="445"/>
      <c r="CC215" s="300"/>
      <c r="CD215" s="300"/>
      <c r="CE215" s="300"/>
      <c r="CF215" s="449"/>
      <c r="CG215" s="445"/>
      <c r="CO215" s="302"/>
      <c r="CT215" s="359" t="str">
        <f ca="1">IF(CQ67="","",VLOOKUP(CQ67,xxx.rr2,10,FALSE))</f>
        <v/>
      </c>
      <c r="CU215" s="360" t="str">
        <f ca="1">IF(OR(CT215="",DA215="",CT215=DA215,ISNA(VLOOKUP(CONCATENATE(CT215,DA215),games.r,2,FALSE))),"",CONCATENATE(CT215,DA215))</f>
        <v/>
      </c>
      <c r="CV215" s="360" t="str">
        <f ca="1">IF(CU215="","",CONCATENATE(VLOOKUP(CU215,games.r,9,FALSE),VLOOKUP(CU215,games.r,12,FALSE)))</f>
        <v/>
      </c>
      <c r="CW215" s="354" t="str">
        <f ca="1">IF(CU215="","",VLOOKUP(CU215,games.r,10,FALSE))</f>
        <v/>
      </c>
      <c r="CX215" s="354" t="str">
        <f ca="1">IF(CU215="","",VLOOKUP(CU215,games.r,13,FALSE))</f>
        <v/>
      </c>
      <c r="CY215" s="361" t="str">
        <f ca="1">IF(CU215="","",VLOOKUP(CU215,games.r,6,FALSE))</f>
        <v/>
      </c>
      <c r="CZ215" s="362" t="str">
        <f ca="1">IF(CU215="","",VLOOKUP(CU215,games.r,7,FALSE))</f>
        <v/>
      </c>
      <c r="DA215" s="379" t="str">
        <f ca="1">DA214</f>
        <v/>
      </c>
      <c r="DB215" s="302"/>
      <c r="DC215" s="364"/>
      <c r="DG215" s="366" t="str">
        <f ca="1">IF(OR(NOT(ASZTAB!$AJ$44),CT213),CT215,"")</f>
        <v/>
      </c>
      <c r="DH215" s="365"/>
      <c r="DI215" s="366">
        <f ca="1">IF(DG215="",0,COUNTIF(xxgy.rr,DG215))</f>
        <v>0</v>
      </c>
      <c r="DJ215" s="366">
        <f ca="1">IF(DG215="",0,COUNTIF(xxd.rr,DG215))</f>
        <v>0</v>
      </c>
      <c r="DK215" s="366">
        <f ca="1">IF(DG215="",0,1)*(SUMIF(xxo.rr,DG215,xxl.rr)+SUMIF(xxi.rr,DG215,xxk.rr))</f>
        <v>0</v>
      </c>
      <c r="DL215" s="366">
        <f ca="1">IF(DG215="",0,1)*(SUMIF(xxo.rr,DG215,xxk.rr)+SUMIF(xxi.rr,DG215,xxl.rr))</f>
        <v>0</v>
      </c>
      <c r="DM215" s="366">
        <f ca="1">DK215-DL215</f>
        <v>0</v>
      </c>
      <c r="DN215" s="366">
        <f ca="1">IF(DL215=0,0,DK215/DL215)</f>
        <v>0</v>
      </c>
      <c r="DO215" s="366">
        <f ca="1">ASZTAB!$AJ$48*DI215+IF(ASZTAB!$AJ$44,0,1)*DJ215</f>
        <v>0</v>
      </c>
      <c r="DP215" s="396">
        <f ca="1">DO215*1000000+IF(ASZTAB!$AJ$44,DN215,DM215)*1000*0</f>
        <v>0</v>
      </c>
      <c r="DQ215" s="424"/>
      <c r="DR215" s="424"/>
      <c r="DS215" s="424"/>
      <c r="DT215" s="366">
        <f ca="1">IF(OR(ISERR(DP215),ISNA(DP215)),0,DP215)</f>
        <v>0</v>
      </c>
      <c r="DU215" s="366">
        <f ca="1">IF(DT215=0,0,RANK(DT215,DT214:DT215,1))</f>
        <v>0</v>
      </c>
      <c r="DV215" s="366">
        <f ca="1">DU215*40000*IF(COUNTIF($EN$134:$EN$143,DG215)&gt;0,0,1)</f>
        <v>0</v>
      </c>
      <c r="DW215" s="424"/>
      <c r="DX215" s="424"/>
      <c r="DY215" s="424"/>
      <c r="DZ215" s="424"/>
      <c r="EA215" s="424"/>
      <c r="EB215" s="424"/>
      <c r="EP215" s="333"/>
    </row>
    <row r="216" spans="80:146" x14ac:dyDescent="0.25">
      <c r="CB216" s="445"/>
      <c r="CC216" s="300"/>
      <c r="CD216" s="300"/>
      <c r="CE216" s="300"/>
      <c r="CF216" s="449"/>
      <c r="CG216" s="445"/>
      <c r="CO216" s="302"/>
      <c r="CT216" s="522" t="str">
        <f>IF(NOT($AD$105),"",CT214)</f>
        <v/>
      </c>
      <c r="CU216" s="371" t="str">
        <f ca="1">IF(OR(CT216="",DA216="",CT216=DA216,ISNA(VLOOKUP(CONCATENATE(CT216,DA216),games.a,2,FALSE))),"",CONCATENATE(CT216,DA216))</f>
        <v/>
      </c>
      <c r="CV216" s="371" t="str">
        <f ca="1">IF(CU216="","",CONCATENATE(VLOOKUP(CU216,games.a,9,FALSE),VLOOKUP(CU216,games.a,12,FALSE)))</f>
        <v/>
      </c>
      <c r="CW216" s="369" t="str">
        <f ca="1">IF(CU216="","",VLOOKUP(CU216,games.a,10,FALSE))</f>
        <v/>
      </c>
      <c r="CX216" s="369" t="str">
        <f ca="1">IF(CU216="","",VLOOKUP(CU216,games.a,13,FALSE))</f>
        <v/>
      </c>
      <c r="CY216" s="423" t="str">
        <f ca="1">IF(CU216="","",VLOOKUP(CU216,games.a,6,FALSE))</f>
        <v/>
      </c>
      <c r="CZ216" s="409" t="str">
        <f ca="1">IF(CU216="","",VLOOKUP(CU216,games.a,7,FALSE))</f>
        <v/>
      </c>
      <c r="DA216" s="523" t="str">
        <f ca="1">DA215</f>
        <v/>
      </c>
      <c r="DB216" s="302"/>
      <c r="DC216" s="364"/>
      <c r="DG216" s="424"/>
      <c r="DH216" s="424"/>
      <c r="DI216" s="424"/>
      <c r="DJ216" s="424"/>
      <c r="DK216" s="424"/>
      <c r="DL216" s="424"/>
      <c r="DM216" s="424"/>
      <c r="DN216" s="424"/>
      <c r="DO216" s="424"/>
      <c r="DP216" s="424"/>
      <c r="DQ216" s="424"/>
      <c r="DR216" s="424"/>
      <c r="DS216" s="424"/>
      <c r="DT216" s="424"/>
      <c r="DU216" s="424"/>
      <c r="DV216" s="424"/>
      <c r="DW216" s="424"/>
      <c r="DX216" s="424"/>
      <c r="DY216" s="424"/>
      <c r="DZ216" s="424"/>
      <c r="EA216" s="424"/>
      <c r="EB216" s="424"/>
      <c r="EP216" s="333"/>
    </row>
    <row r="217" spans="80:146" x14ac:dyDescent="0.25">
      <c r="CB217" s="445"/>
      <c r="CC217" s="300"/>
      <c r="CD217" s="300"/>
      <c r="CE217" s="300"/>
      <c r="CF217" s="449"/>
      <c r="CG217" s="445"/>
      <c r="CT217" s="522" t="str">
        <f>IF(NOT($AD$105),"",CT215)</f>
        <v/>
      </c>
      <c r="CU217" s="371" t="str">
        <f ca="1">IF(OR(CT217="",DA217="",CT217=DA217,ISNA(VLOOKUP(CONCATENATE(CT217,DA217),games.a,2,FALSE))),"",CONCATENATE(CT217,DA217))</f>
        <v/>
      </c>
      <c r="CV217" s="371" t="str">
        <f ca="1">IF(CU217="","",CONCATENATE(VLOOKUP(CU217,games.a,9,FALSE),VLOOKUP(CU217,games.a,12,FALSE)))</f>
        <v/>
      </c>
      <c r="CW217" s="369" t="str">
        <f ca="1">IF(CU217="","",VLOOKUP(CU217,games.a,10,FALSE))</f>
        <v/>
      </c>
      <c r="CX217" s="369" t="str">
        <f ca="1">IF(CU217="","",VLOOKUP(CU217,games.a,13,FALSE))</f>
        <v/>
      </c>
      <c r="CY217" s="423" t="str">
        <f ca="1">IF(CU217="","",VLOOKUP(CU217,games.a,6,FALSE))</f>
        <v/>
      </c>
      <c r="CZ217" s="409" t="str">
        <f ca="1">IF(CU217="","",VLOOKUP(CU217,games.a,7,FALSE))</f>
        <v/>
      </c>
      <c r="DA217" s="523" t="str">
        <f ca="1">DA216</f>
        <v/>
      </c>
      <c r="DB217" s="302"/>
      <c r="DC217" s="364"/>
      <c r="DG217" s="424"/>
      <c r="DH217" s="424"/>
      <c r="DI217" s="424"/>
      <c r="DJ217" s="424"/>
      <c r="DK217" s="424"/>
      <c r="DL217" s="424"/>
      <c r="DM217" s="424"/>
      <c r="DN217" s="424"/>
      <c r="DO217" s="424"/>
      <c r="DP217" s="424"/>
      <c r="DQ217" s="424"/>
      <c r="DR217" s="424"/>
      <c r="DS217" s="424"/>
      <c r="DT217" s="424"/>
      <c r="DU217" s="424"/>
      <c r="DV217" s="424"/>
      <c r="DW217" s="424"/>
      <c r="DX217" s="424"/>
      <c r="DY217" s="424"/>
      <c r="DZ217" s="424"/>
      <c r="EA217" s="424"/>
      <c r="EB217" s="424"/>
      <c r="EP217" s="333"/>
    </row>
    <row r="218" spans="80:146" x14ac:dyDescent="0.25">
      <c r="CB218" s="445"/>
      <c r="CC218" s="300"/>
      <c r="CD218" s="300"/>
      <c r="CE218" s="300"/>
      <c r="CF218" s="449"/>
      <c r="CG218" s="445"/>
      <c r="CP218" s="302"/>
      <c r="CT218" s="301"/>
      <c r="CU218" s="324" t="s">
        <v>157</v>
      </c>
      <c r="CV218" s="324" t="s">
        <v>158</v>
      </c>
      <c r="CW218" s="325" t="s">
        <v>159</v>
      </c>
      <c r="CX218" s="325"/>
      <c r="CY218" s="326" t="s">
        <v>160</v>
      </c>
      <c r="CZ218" s="325" t="s">
        <v>135</v>
      </c>
      <c r="DA218" s="302"/>
      <c r="DB218" s="302"/>
      <c r="DC218" s="364"/>
      <c r="DG218" s="424"/>
      <c r="DH218" s="424"/>
      <c r="DI218" s="424"/>
      <c r="DJ218" s="424"/>
      <c r="DK218" s="424"/>
      <c r="DL218" s="424"/>
      <c r="DM218" s="424"/>
      <c r="DN218" s="424"/>
      <c r="DO218" s="424"/>
      <c r="DP218" s="424"/>
      <c r="DQ218" s="424"/>
      <c r="DR218" s="424"/>
      <c r="DS218" s="424"/>
      <c r="DT218" s="424"/>
      <c r="DU218" s="424"/>
      <c r="DV218" s="424"/>
      <c r="DW218" s="424"/>
      <c r="DX218" s="424"/>
      <c r="DY218" s="424"/>
      <c r="DZ218" s="424"/>
      <c r="EA218" s="424"/>
      <c r="EB218" s="424"/>
      <c r="EP218" s="333"/>
    </row>
    <row r="219" spans="80:146" x14ac:dyDescent="0.25">
      <c r="CB219" s="445"/>
      <c r="CC219" s="300"/>
      <c r="CD219" s="300"/>
      <c r="CE219" s="300"/>
      <c r="CF219" s="449"/>
      <c r="CG219" s="445"/>
      <c r="CP219" s="302"/>
      <c r="CT219" s="395" t="str">
        <f ca="1">CT214</f>
        <v/>
      </c>
      <c r="CU219" s="360" t="str">
        <f ca="1">IF(OR(CT219="",DA219="",CT219=DA219,ISNA(VLOOKUP(CONCATENATE(CT219,DA219),games.r,2,FALSE))),"",CONCATENATE(CT219,DA219))</f>
        <v/>
      </c>
      <c r="CV219" s="360" t="str">
        <f ca="1">IF(CU219="","",CONCATENATE(VLOOKUP(CU219,games.r,9,FALSE),VLOOKUP(CU219,games.r,12,FALSE)))</f>
        <v/>
      </c>
      <c r="CW219" s="354" t="str">
        <f ca="1">IF(CU219="","",VLOOKUP(CU219,games.r,10,FALSE))</f>
        <v/>
      </c>
      <c r="CX219" s="354" t="str">
        <f ca="1">IF(CU219="","",VLOOKUP(CU219,games.r,13,FALSE))</f>
        <v/>
      </c>
      <c r="CY219" s="361" t="str">
        <f ca="1">IF(CU219="","",VLOOKUP(CU219,games.r,6,FALSE))</f>
        <v/>
      </c>
      <c r="CZ219" s="362" t="str">
        <f ca="1">IF(CU219="","",VLOOKUP(CU219,games.r,7,FALSE))</f>
        <v/>
      </c>
      <c r="DA219" s="363" t="str">
        <f ca="1">CT215</f>
        <v/>
      </c>
      <c r="DB219" s="302"/>
      <c r="DC219" s="364"/>
      <c r="DG219" s="424"/>
      <c r="DH219" s="424"/>
      <c r="DI219" s="424"/>
      <c r="DJ219" s="424"/>
      <c r="DK219" s="424"/>
      <c r="DL219" s="424"/>
      <c r="DM219" s="424"/>
      <c r="DN219" s="424"/>
      <c r="DO219" s="424"/>
      <c r="DP219" s="424"/>
      <c r="DQ219" s="424"/>
      <c r="DR219" s="424"/>
      <c r="DS219" s="424"/>
      <c r="DT219" s="424"/>
      <c r="DU219" s="424"/>
      <c r="DV219" s="424"/>
      <c r="DW219" s="424"/>
      <c r="DX219" s="424"/>
      <c r="DY219" s="424"/>
      <c r="DZ219" s="424"/>
      <c r="EA219" s="424"/>
      <c r="EB219" s="424"/>
      <c r="EP219" s="333"/>
    </row>
    <row r="220" spans="80:146" x14ac:dyDescent="0.25">
      <c r="CB220" s="445"/>
      <c r="CC220" s="300"/>
      <c r="CD220" s="300"/>
      <c r="CE220" s="300"/>
      <c r="CF220" s="449"/>
      <c r="CG220" s="445"/>
      <c r="CP220" s="302"/>
      <c r="CT220" s="395" t="str">
        <f ca="1">CT215</f>
        <v/>
      </c>
      <c r="CU220" s="360" t="str">
        <f ca="1">IF(OR(CT220="",DA220="",CT220=DA220,ISNA(VLOOKUP(CONCATENATE(CT220,DA220),games.r,2,FALSE))),"",CONCATENATE(CT220,DA220))</f>
        <v/>
      </c>
      <c r="CV220" s="360" t="str">
        <f ca="1">IF(CU220="","",CONCATENATE(VLOOKUP(CU220,games.r,9,FALSE),VLOOKUP(CU220,games.r,12,FALSE)))</f>
        <v/>
      </c>
      <c r="CW220" s="354" t="str">
        <f ca="1">IF(CU220="","",VLOOKUP(CU220,games.r,10,FALSE))</f>
        <v/>
      </c>
      <c r="CX220" s="354" t="str">
        <f ca="1">IF(CU220="","",VLOOKUP(CU220,games.r,13,FALSE))</f>
        <v/>
      </c>
      <c r="CY220" s="361" t="str">
        <f ca="1">IF(CU220="","",VLOOKUP(CU220,games.r,6,FALSE))</f>
        <v/>
      </c>
      <c r="CZ220" s="362" t="str">
        <f ca="1">IF(CU220="","",VLOOKUP(CU220,games.r,7,FALSE))</f>
        <v/>
      </c>
      <c r="DA220" s="379" t="str">
        <f ca="1">DA219</f>
        <v/>
      </c>
      <c r="DB220" s="302"/>
      <c r="DC220" s="364"/>
      <c r="DG220" s="424"/>
      <c r="DH220" s="424"/>
      <c r="DI220" s="424"/>
      <c r="DJ220" s="424"/>
      <c r="DK220" s="424"/>
      <c r="DL220" s="424"/>
      <c r="DM220" s="424"/>
      <c r="DN220" s="424"/>
      <c r="DO220" s="424"/>
      <c r="DP220" s="424"/>
      <c r="DQ220" s="424"/>
      <c r="DR220" s="424"/>
      <c r="DS220" s="424"/>
      <c r="DT220" s="424"/>
      <c r="DU220" s="424"/>
      <c r="DV220" s="424"/>
      <c r="DW220" s="424"/>
      <c r="DX220" s="424"/>
      <c r="DY220" s="424"/>
      <c r="DZ220" s="424"/>
      <c r="EA220" s="424"/>
      <c r="EP220" s="333"/>
    </row>
    <row r="221" spans="80:146" x14ac:dyDescent="0.25">
      <c r="CB221" s="445"/>
      <c r="CC221" s="300"/>
      <c r="CD221" s="300"/>
      <c r="CE221" s="300"/>
      <c r="CF221" s="449"/>
      <c r="CG221" s="445"/>
      <c r="CP221" s="302"/>
      <c r="CT221" s="522" t="str">
        <f>CT216</f>
        <v/>
      </c>
      <c r="CU221" s="371" t="str">
        <f ca="1">IF(OR(CT221="",DA221="",CT221=DA221,ISNA(VLOOKUP(CONCATENATE(CT221,DA221),games.a,2,FALSE))),"",CONCATENATE(CT221,DA221))</f>
        <v/>
      </c>
      <c r="CV221" s="371" t="str">
        <f ca="1">IF(CU221="","",CONCATENATE(VLOOKUP(CU221,games.a,9,FALSE),VLOOKUP(CU221,games.a,12,FALSE)))</f>
        <v/>
      </c>
      <c r="CW221" s="369" t="str">
        <f ca="1">IF(CU221="","",VLOOKUP(CU221,games.a,10,FALSE))</f>
        <v/>
      </c>
      <c r="CX221" s="369" t="str">
        <f ca="1">IF(CU221="","",VLOOKUP(CU221,games.a,13,FALSE))</f>
        <v/>
      </c>
      <c r="CY221" s="423" t="str">
        <f ca="1">IF(CU221="","",VLOOKUP(CU221,games.a,6,FALSE))</f>
        <v/>
      </c>
      <c r="CZ221" s="409" t="str">
        <f ca="1">IF(CU221="","",VLOOKUP(CU221,games.a,7,FALSE))</f>
        <v/>
      </c>
      <c r="DA221" s="523" t="str">
        <f ca="1">DA220</f>
        <v/>
      </c>
      <c r="DB221" s="302"/>
      <c r="DC221" s="364"/>
      <c r="DG221" s="424"/>
      <c r="DH221" s="424"/>
      <c r="DI221" s="424"/>
      <c r="DJ221" s="424"/>
      <c r="DK221" s="424"/>
      <c r="DL221" s="424"/>
      <c r="DM221" s="424"/>
      <c r="DN221" s="424"/>
      <c r="DO221" s="424"/>
      <c r="DP221" s="424"/>
      <c r="DQ221" s="424"/>
      <c r="DR221" s="424"/>
      <c r="DS221" s="424"/>
      <c r="DT221" s="424"/>
      <c r="DU221" s="424"/>
      <c r="DV221" s="424"/>
      <c r="DW221" s="424"/>
      <c r="DX221" s="424"/>
      <c r="DY221" s="424"/>
      <c r="DZ221" s="424"/>
      <c r="EA221" s="424"/>
      <c r="EP221" s="333"/>
    </row>
    <row r="222" spans="80:146" x14ac:dyDescent="0.25">
      <c r="CB222" s="445"/>
      <c r="CC222" s="300"/>
      <c r="CD222" s="300"/>
      <c r="CE222" s="300"/>
      <c r="CF222" s="449"/>
      <c r="CG222" s="445"/>
      <c r="CP222" s="302"/>
      <c r="CT222" s="522" t="str">
        <f>CT217</f>
        <v/>
      </c>
      <c r="CU222" s="371" t="str">
        <f ca="1">IF(OR(CT222="",DA222="",CT222=DA222,ISNA(VLOOKUP(CONCATENATE(CT222,DA222),games.a,2,FALSE))),"",CONCATENATE(CT222,DA222))</f>
        <v/>
      </c>
      <c r="CV222" s="371" t="str">
        <f ca="1">IF(CU222="","",CONCATENATE(VLOOKUP(CU222,games.a,9,FALSE),VLOOKUP(CU222,games.a,12,FALSE)))</f>
        <v/>
      </c>
      <c r="CW222" s="369" t="str">
        <f ca="1">IF(CU222="","",VLOOKUP(CU222,games.a,10,FALSE))</f>
        <v/>
      </c>
      <c r="CX222" s="369" t="str">
        <f ca="1">IF(CU222="","",VLOOKUP(CU222,games.a,13,FALSE))</f>
        <v/>
      </c>
      <c r="CY222" s="423" t="str">
        <f ca="1">IF(CU222="","",VLOOKUP(CU222,games.a,6,FALSE))</f>
        <v/>
      </c>
      <c r="CZ222" s="409" t="str">
        <f ca="1">IF(CU222="","",VLOOKUP(CU222,games.a,7,FALSE))</f>
        <v/>
      </c>
      <c r="DA222" s="523" t="str">
        <f ca="1">DA221</f>
        <v/>
      </c>
      <c r="DB222" s="302"/>
      <c r="DC222" s="364"/>
      <c r="DG222" s="424"/>
      <c r="DH222" s="424"/>
      <c r="DI222" s="424"/>
      <c r="DJ222" s="424"/>
      <c r="DK222" s="424"/>
      <c r="DL222" s="424"/>
      <c r="DM222" s="424"/>
      <c r="DN222" s="424"/>
      <c r="DO222" s="424"/>
      <c r="DP222" s="424"/>
      <c r="DQ222" s="424"/>
      <c r="DR222" s="424"/>
      <c r="DS222" s="424"/>
      <c r="DT222" s="424"/>
      <c r="DU222" s="424"/>
      <c r="DV222" s="424"/>
      <c r="DW222" s="424"/>
      <c r="DX222" s="424"/>
      <c r="DY222" s="424"/>
      <c r="DZ222" s="424"/>
      <c r="EA222" s="424"/>
      <c r="EP222" s="333"/>
    </row>
    <row r="223" spans="80:146" x14ac:dyDescent="0.25">
      <c r="CB223" s="445"/>
      <c r="CC223" s="300"/>
      <c r="CD223" s="300"/>
      <c r="CE223" s="300"/>
      <c r="CF223" s="449"/>
      <c r="CG223" s="445"/>
      <c r="CP223" s="302"/>
      <c r="CT223" s="301"/>
      <c r="CU223" s="302"/>
      <c r="CV223" s="302"/>
      <c r="CW223" s="302"/>
      <c r="CX223" s="302"/>
      <c r="CY223" s="302"/>
      <c r="CZ223" s="302"/>
      <c r="DA223" s="302"/>
      <c r="DB223" s="302"/>
      <c r="DC223" s="446" t="s">
        <v>222</v>
      </c>
      <c r="DG223" s="424"/>
      <c r="DH223" s="424"/>
      <c r="DI223" s="424"/>
      <c r="DJ223" s="424"/>
      <c r="DK223" s="424"/>
      <c r="DL223" s="424"/>
      <c r="DM223" s="424"/>
      <c r="DN223" s="424"/>
      <c r="DO223" s="424"/>
      <c r="DP223" s="424"/>
      <c r="DQ223" s="424"/>
      <c r="DR223" s="424"/>
      <c r="DS223" s="424"/>
      <c r="DT223" s="424"/>
      <c r="DU223" s="424"/>
      <c r="DV223" s="424"/>
      <c r="DW223" s="424"/>
      <c r="DX223" s="424"/>
      <c r="DY223" s="424"/>
      <c r="DZ223" s="424"/>
      <c r="EA223" s="424"/>
      <c r="EP223" s="333"/>
    </row>
    <row r="224" spans="80:146" x14ac:dyDescent="0.25">
      <c r="CB224" s="445"/>
      <c r="CC224" s="300"/>
      <c r="CD224" s="300"/>
      <c r="CE224" s="300"/>
      <c r="CF224" s="449"/>
      <c r="CG224" s="445"/>
      <c r="CP224" s="302"/>
      <c r="CT224" s="301"/>
      <c r="CU224" s="302"/>
      <c r="CV224" s="302"/>
      <c r="CW224" s="302"/>
      <c r="CX224" s="302"/>
      <c r="CY224" s="302"/>
      <c r="CZ224" s="302"/>
      <c r="DA224" s="447"/>
      <c r="DB224" s="302"/>
      <c r="DC224" s="450" t="s">
        <v>370</v>
      </c>
      <c r="DD224" s="302"/>
      <c r="DF224" s="424"/>
      <c r="DG224" s="424"/>
      <c r="DH224" s="424"/>
      <c r="DI224" s="424"/>
      <c r="DJ224" s="424"/>
      <c r="DK224" s="424"/>
      <c r="DL224" s="424"/>
      <c r="DM224" s="424"/>
      <c r="DN224" s="424"/>
      <c r="DO224" s="424"/>
      <c r="DP224" s="424"/>
      <c r="DQ224" s="424"/>
      <c r="DR224" s="424"/>
      <c r="DS224" s="424"/>
      <c r="DT224" s="424"/>
      <c r="DU224" s="424"/>
      <c r="DV224" s="424"/>
      <c r="DW224" s="424"/>
      <c r="DX224" s="424"/>
      <c r="DY224" s="424"/>
      <c r="DZ224" s="424"/>
      <c r="EA224" s="424"/>
      <c r="EB224" s="424"/>
      <c r="EC224" s="424"/>
      <c r="ED224" s="424"/>
      <c r="EE224" s="424"/>
      <c r="EF224" s="424"/>
      <c r="EG224" s="424"/>
      <c r="EH224" s="424"/>
      <c r="EI224" s="424"/>
      <c r="EJ224" s="424"/>
      <c r="EK224" s="424"/>
      <c r="EL224" s="424"/>
      <c r="EM224" s="424"/>
      <c r="EN224" s="424"/>
      <c r="EO224" s="425"/>
      <c r="EP224" s="333"/>
    </row>
    <row r="225" spans="98:145" x14ac:dyDescent="0.25">
      <c r="CT225" s="323" t="b">
        <f ca="1">OR(NOT(ASZTAB!$AJ$44),COUNTIF(CY225:CY279,"")&lt;=50-(DA225-1)*DA225/2)</f>
        <v>1</v>
      </c>
      <c r="CU225" s="324" t="s">
        <v>157</v>
      </c>
      <c r="CV225" s="324" t="s">
        <v>158</v>
      </c>
      <c r="CW225" s="325" t="s">
        <v>159</v>
      </c>
      <c r="CX225" s="325"/>
      <c r="CY225" s="326" t="s">
        <v>160</v>
      </c>
      <c r="CZ225" s="325" t="s">
        <v>135</v>
      </c>
      <c r="DA225" s="323">
        <f>COUNT(CK90:CK94)</f>
        <v>0</v>
      </c>
      <c r="DB225" s="302"/>
      <c r="DC225" s="364"/>
      <c r="DD225" s="302"/>
      <c r="DF225" s="424"/>
      <c r="DG225" s="329" t="s">
        <v>223</v>
      </c>
      <c r="DH225" s="329" t="s">
        <v>224</v>
      </c>
      <c r="DI225" s="329" t="s">
        <v>152</v>
      </c>
      <c r="DK225" s="329" t="s">
        <v>154</v>
      </c>
      <c r="DL225" s="329" t="s">
        <v>155</v>
      </c>
      <c r="DN225" s="329" t="s">
        <v>226</v>
      </c>
      <c r="DP225" s="329" t="s">
        <v>227</v>
      </c>
      <c r="DT225" s="329" t="s">
        <v>228</v>
      </c>
      <c r="DU225" s="329" t="s">
        <v>156</v>
      </c>
      <c r="DV225" s="329" t="s">
        <v>208</v>
      </c>
      <c r="DX225" s="329" t="s">
        <v>212</v>
      </c>
      <c r="DY225" s="330" t="s">
        <v>227</v>
      </c>
      <c r="DZ225" s="329" t="s">
        <v>225</v>
      </c>
      <c r="EA225" s="328"/>
      <c r="EB225" s="328"/>
      <c r="EC225" s="328"/>
      <c r="ED225" s="331" t="str">
        <f ca="1">IF(EC226=0,"xxx",VLOOKUP(EC226,DX226:EA230,IF(ASZTAB!$AJ$54,2,3),FALSE))</f>
        <v>xxx</v>
      </c>
      <c r="EE225" s="328"/>
      <c r="EF225" s="328"/>
      <c r="EG225" s="331" t="str">
        <f ca="1">IF(EC227=0,"xxx",VLOOKUP(EC227,DX226:EA230,IF(ASZTAB!$AJ$54,2,3),FALSE))</f>
        <v>xxx</v>
      </c>
      <c r="EH225" s="328"/>
      <c r="EI225" s="328"/>
      <c r="EM225" s="424"/>
      <c r="EN225" s="324"/>
      <c r="EO225" s="425"/>
    </row>
    <row r="226" spans="98:145" x14ac:dyDescent="0.25">
      <c r="CT226" s="359" t="str">
        <f>IF(CK90="","",VLOOKUP(CK90,xxx.rr3,4,FALSE))</f>
        <v/>
      </c>
      <c r="CU226" s="360" t="str">
        <f ca="1">IF(OR(CT226="",DA226="",CT226=DA226,ISNA(VLOOKUP(CONCATENATE(CT226,DA226),games.r,2,FALSE))),"",CONCATENATE(CT226,DA226))</f>
        <v/>
      </c>
      <c r="CV226" s="360" t="str">
        <f ca="1">IF(CU226="","",CONCATENATE(VLOOKUP(CU226,games.r,9,FALSE),VLOOKUP(CU226,games.r,12,FALSE)))</f>
        <v/>
      </c>
      <c r="CW226" s="354" t="str">
        <f ca="1">IF(CU226="","",VLOOKUP(CU226,games.r,10,FALSE))</f>
        <v/>
      </c>
      <c r="CX226" s="354" t="str">
        <f ca="1">IF(CU226="","",VLOOKUP(CU226,games.r,13,FALSE))</f>
        <v/>
      </c>
      <c r="CY226" s="361" t="str">
        <f ca="1">IF(CU226="","",VLOOKUP(CU226,games.r,6,FALSE))</f>
        <v/>
      </c>
      <c r="CZ226" s="362" t="str">
        <f ca="1">IF(CU226="","",VLOOKUP(CU226,games.r,7,FALSE))</f>
        <v/>
      </c>
      <c r="DA226" s="363" t="str">
        <f>CT226</f>
        <v/>
      </c>
      <c r="DB226" s="302"/>
      <c r="DC226" s="364"/>
      <c r="DF226" s="424"/>
      <c r="DG226" s="366" t="str">
        <f ca="1">IF(AND(ASZTAB!$AJ$44,CT225,DA225&lt;&gt;2),CT226,"")</f>
        <v/>
      </c>
      <c r="DH226" s="366">
        <f ca="1">IF(DG226="",-1,COUNTIF(xxgy.rr,DG226))</f>
        <v>-1</v>
      </c>
      <c r="DI226" s="366">
        <f ca="1">IF(DG226="",0,COUNTIF(yygy.rr,DG226))</f>
        <v>0</v>
      </c>
      <c r="DK226" s="366">
        <f ca="1">IF(DG226="",0,1)*(SUMIF(yyo.rr,DG226,yyl.rr)+SUMIF(yyi.rr,DG226,yyk.rr))</f>
        <v>0</v>
      </c>
      <c r="DL226" s="366">
        <f ca="1">IF(DG226="",0,1)*(SUMIF(yyo.rr,DG226,yyk.rr)+SUMIF(yyi.rr,DG226,yyl.rr))</f>
        <v>0</v>
      </c>
      <c r="DN226" s="366">
        <f ca="1">IF(DL226=0,0,DK226/DL226)</f>
        <v>0</v>
      </c>
      <c r="DP226" s="366">
        <f ca="1">DH226*1000000+DI226*1000+DN226</f>
        <v>-1000000</v>
      </c>
      <c r="DT226" s="366">
        <f ca="1">IF(OR(ISERR(DP226),ISNA(DP226),DH226&lt;0),0,DP226)</f>
        <v>0</v>
      </c>
      <c r="DU226" s="366">
        <f ca="1">IF(DT226=0,0,RANK(DT226,DT226:DT230,1))</f>
        <v>0</v>
      </c>
      <c r="DV226" s="366">
        <f ca="1">DU226*40000*IF(COUNTIF($EN$226:$EN$235,DG226)&gt;0,0,1)</f>
        <v>0</v>
      </c>
      <c r="DX226" s="367">
        <f ca="1">IF(ASZTAB!$AJ$54,COUNTIF(DP232:DP236,DY226)*IF(DY226=0,0,1),COUNTIF(DH226:DH230,DZ226)*IF(DZ226&lt;0,0,1))+EA226/1000</f>
        <v>1E-3</v>
      </c>
      <c r="DY226" s="367">
        <f ca="1">LARGE(DP232:DP236,EA226)</f>
        <v>0</v>
      </c>
      <c r="DZ226" s="369">
        <f ca="1">LARGE(DH226:DH230,EA226)</f>
        <v>-1</v>
      </c>
      <c r="EA226" s="369">
        <v>1</v>
      </c>
      <c r="EB226" s="365"/>
      <c r="EC226" s="370">
        <f ca="1">IF(LARGE(DX226:DX230,EA226)&lt;2,0,LARGE(DX226:DX230,EA226))</f>
        <v>0</v>
      </c>
      <c r="ED226" s="371" t="str">
        <f ca="1">IF(DH226=ED225,DG226,IF(DP232=ED225,DG232,""))</f>
        <v/>
      </c>
      <c r="EE226" s="369" t="str">
        <f ca="1">IF(ED226="","",EA226)</f>
        <v/>
      </c>
      <c r="EF226" s="372" t="str">
        <f ca="1">IF(ISERR(LARGE(EE226:EE230,EA226)),"",LARGE(EE226:EE230,EA226))</f>
        <v/>
      </c>
      <c r="EG226" s="371" t="str">
        <f ca="1">IF(DH226=EG225,DG226,IF(DP232=EG225,DG232,""))</f>
        <v/>
      </c>
      <c r="EH226" s="369" t="str">
        <f ca="1">IF(EG226="","",EA226)</f>
        <v/>
      </c>
      <c r="EI226" s="372" t="str">
        <f ca="1">IF(ISERR(LARGE(EH226:EH230,EA226)),"",LARGE(EH226:EH230,EA226))</f>
        <v/>
      </c>
      <c r="EM226" s="424"/>
      <c r="EN226" s="366"/>
      <c r="EO226" s="425"/>
    </row>
    <row r="227" spans="98:145" x14ac:dyDescent="0.25">
      <c r="CT227" s="359" t="str">
        <f>IF(CK91="","",VLOOKUP(CK91,xxx.rr3,4,FALSE))</f>
        <v/>
      </c>
      <c r="CU227" s="360" t="str">
        <f ca="1">IF(OR(CT227="",DA227="",CT227=DA227,ISNA(VLOOKUP(CONCATENATE(CT227,DA227),games.r,2,FALSE))),"",CONCATENATE(CT227,DA227))</f>
        <v/>
      </c>
      <c r="CV227" s="360" t="str">
        <f ca="1">IF(CU227="","",CONCATENATE(VLOOKUP(CU227,games.r,9,FALSE),VLOOKUP(CU227,games.r,12,FALSE)))</f>
        <v/>
      </c>
      <c r="CW227" s="354" t="str">
        <f ca="1">IF(CU227="","",VLOOKUP(CU227,games.r,10,FALSE))</f>
        <v/>
      </c>
      <c r="CX227" s="354" t="str">
        <f ca="1">IF(CU227="","",VLOOKUP(CU227,games.r,13,FALSE))</f>
        <v/>
      </c>
      <c r="CY227" s="361" t="str">
        <f ca="1">IF(CU227="","",VLOOKUP(CU227,games.r,6,FALSE))</f>
        <v/>
      </c>
      <c r="CZ227" s="362" t="str">
        <f ca="1">IF(CU227="","",VLOOKUP(CU227,games.r,7,FALSE))</f>
        <v/>
      </c>
      <c r="DA227" s="379" t="str">
        <f t="shared" ref="DA227:DA235" si="320">DA226</f>
        <v/>
      </c>
      <c r="DB227" s="302"/>
      <c r="DC227" s="364"/>
      <c r="DD227" s="445"/>
      <c r="DF227" s="424"/>
      <c r="DG227" s="366" t="str">
        <f ca="1">IF(AND(ASZTAB!$AJ$44,CT225,DA225&lt;&gt;2),CT227,"")</f>
        <v/>
      </c>
      <c r="DH227" s="366">
        <f ca="1">IF(DG227="",-1,COUNTIF(xxgy.rr,DG227))</f>
        <v>-1</v>
      </c>
      <c r="DI227" s="366">
        <f ca="1">IF(DG227="",0,COUNTIF(yygy.rr,DG227))</f>
        <v>0</v>
      </c>
      <c r="DK227" s="366">
        <f ca="1">IF(DG227="",0,1)*(SUMIF(yyo.rr,DG227,yyl.rr)+SUMIF(yyi.rr,DG227,yyk.rr))</f>
        <v>0</v>
      </c>
      <c r="DL227" s="366">
        <f ca="1">IF(DG227="",0,1)*(SUMIF(yyo.rr,DG227,yyk.rr)+SUMIF(yyi.rr,DG227,yyl.rr))</f>
        <v>0</v>
      </c>
      <c r="DN227" s="366">
        <f ca="1">IF(DL227=0,0,DK227/DL227)</f>
        <v>0</v>
      </c>
      <c r="DP227" s="366">
        <f ca="1">DH227*1000000+DI227*1000+DN227</f>
        <v>-1000000</v>
      </c>
      <c r="DT227" s="366">
        <f ca="1">IF(OR(ISERR(DP227),ISNA(DP227),DH227&lt;0),0,DP227)</f>
        <v>0</v>
      </c>
      <c r="DU227" s="366">
        <f ca="1">IF(DT227=0,0,RANK(DT227,DT226:DT230,1))</f>
        <v>0</v>
      </c>
      <c r="DV227" s="366">
        <f t="shared" ref="DV227:DV236" ca="1" si="321">DU227*40000*IF(COUNTIF($EN$226:$EN$235,DG227)&gt;0,0,1)</f>
        <v>0</v>
      </c>
      <c r="DX227" s="367">
        <f ca="1">IF(ASZTAB!$AJ$54,COUNTIF(DP232:DP236,DY226)*IF(OR(DY227=0,DY227=DY226),0,1),COUNTIF(DH226:DH230,DZ227)*IF(OR(DZ227=DZ226,DZ227&lt;0),0,1))+EA227/1000</f>
        <v>2E-3</v>
      </c>
      <c r="DY227" s="367">
        <f ca="1">LARGE(DP232:DP236,EA227)</f>
        <v>0</v>
      </c>
      <c r="DZ227" s="369">
        <f ca="1">LARGE(DH226:DH230,EA227)</f>
        <v>-1</v>
      </c>
      <c r="EA227" s="369">
        <v>2</v>
      </c>
      <c r="EB227" s="365"/>
      <c r="EC227" s="370">
        <f ca="1">IF(LARGE(DX226:DX230,EA227)&lt;2,0,LARGE(DX226:DX230,EA227))</f>
        <v>0</v>
      </c>
      <c r="ED227" s="371" t="str">
        <f ca="1">IF(DH227=ED225,DG227,IF(DP233=ED225,DG233,""))</f>
        <v/>
      </c>
      <c r="EE227" s="369" t="str">
        <f ca="1">IF(ED227="","",EA227)</f>
        <v/>
      </c>
      <c r="EF227" s="372" t="str">
        <f ca="1">IF(ISERR(LARGE(EE226:EE230,EA227)),"",LARGE(EE226:EE230,EA227))</f>
        <v/>
      </c>
      <c r="EG227" s="371" t="str">
        <f ca="1">IF(DH227=EG225,DG227,IF(DP233=EG225,DG233,""))</f>
        <v/>
      </c>
      <c r="EH227" s="369" t="str">
        <f ca="1">IF(EG227="","",EA227)</f>
        <v/>
      </c>
      <c r="EI227" s="372" t="str">
        <f ca="1">IF(ISERR(LARGE(EH226:EH230,EA227)),"",LARGE(EH226:EH230,EA227))</f>
        <v/>
      </c>
      <c r="EM227" s="424"/>
      <c r="EN227" s="366"/>
      <c r="EO227" s="425"/>
    </row>
    <row r="228" spans="98:145" x14ac:dyDescent="0.25">
      <c r="CT228" s="359" t="str">
        <f>IF(CK92="","",VLOOKUP(CK92,xxx.rr3,4,FALSE))</f>
        <v/>
      </c>
      <c r="CU228" s="360" t="str">
        <f ca="1">IF(OR(CT228="",DA228="",CT228=DA228,ISNA(VLOOKUP(CONCATENATE(CT228,DA228),games.r,2,FALSE))),"",CONCATENATE(CT228,DA228))</f>
        <v/>
      </c>
      <c r="CV228" s="360" t="str">
        <f ca="1">IF(CU228="","",CONCATENATE(VLOOKUP(CU228,games.r,9,FALSE),VLOOKUP(CU228,games.r,12,FALSE)))</f>
        <v/>
      </c>
      <c r="CW228" s="354" t="str">
        <f ca="1">IF(CU228="","",VLOOKUP(CU228,games.r,10,FALSE))</f>
        <v/>
      </c>
      <c r="CX228" s="354" t="str">
        <f ca="1">IF(CU228="","",VLOOKUP(CU228,games.r,13,FALSE))</f>
        <v/>
      </c>
      <c r="CY228" s="361" t="str">
        <f ca="1">IF(CU228="","",VLOOKUP(CU228,games.r,6,FALSE))</f>
        <v/>
      </c>
      <c r="CZ228" s="362" t="str">
        <f ca="1">IF(CU228="","",VLOOKUP(CU228,games.r,7,FALSE))</f>
        <v/>
      </c>
      <c r="DA228" s="379" t="str">
        <f t="shared" si="320"/>
        <v/>
      </c>
      <c r="DB228" s="302"/>
      <c r="DC228" s="364"/>
      <c r="DD228" s="445"/>
      <c r="DF228" s="424"/>
      <c r="DG228" s="366" t="str">
        <f ca="1">IF(AND(ASZTAB!$AJ$44,CT225,DA225&lt;&gt;2),CT228,"")</f>
        <v/>
      </c>
      <c r="DH228" s="366">
        <f ca="1">IF(DG228="",-1,COUNTIF(xxgy.rr,DG228))</f>
        <v>-1</v>
      </c>
      <c r="DI228" s="366">
        <f ca="1">IF(DG228="",0,COUNTIF(yygy.rr,DG228))</f>
        <v>0</v>
      </c>
      <c r="DK228" s="366">
        <f ca="1">IF(DG228="",0,1)*(SUMIF(yyo.rr,DG228,yyl.rr)+SUMIF(yyi.rr,DG228,yyk.rr))</f>
        <v>0</v>
      </c>
      <c r="DL228" s="366">
        <f ca="1">IF(DG228="",0,1)*(SUMIF(yyo.rr,DG228,yyk.rr)+SUMIF(yyi.rr,DG228,yyl.rr))</f>
        <v>0</v>
      </c>
      <c r="DN228" s="366">
        <f ca="1">IF(DL228=0,0,DK228/DL228)</f>
        <v>0</v>
      </c>
      <c r="DP228" s="366">
        <f ca="1">DH228*1000000+DI228*1000+DN228</f>
        <v>-1000000</v>
      </c>
      <c r="DT228" s="366">
        <f ca="1">IF(OR(ISERR(DP228),ISNA(DP228),DH228&lt;0),0,DP228)</f>
        <v>0</v>
      </c>
      <c r="DU228" s="366">
        <f ca="1">IF(DT228=0,0,RANK(DT228,DT226:DT230,1))</f>
        <v>0</v>
      </c>
      <c r="DV228" s="366">
        <f t="shared" ca="1" si="321"/>
        <v>0</v>
      </c>
      <c r="DW228" s="365"/>
      <c r="DX228" s="367">
        <f ca="1">IF(ASZTAB!$AJ$54,COUNTIF(DP232:DP236,DY227)*IF(OR(DY228=0,DY228=DY227),0,1),COUNTIF(DH226:DH230,DZ228)*IF(OR(DZ228=DZ227,DZ228&lt;0),0,1))+EA228/1000</f>
        <v>3.0000000000000001E-3</v>
      </c>
      <c r="DY228" s="367">
        <f ca="1">LARGE(DP232:DP236,EA228)</f>
        <v>0</v>
      </c>
      <c r="DZ228" s="369">
        <f ca="1">LARGE(DH226:DH230,EA228)</f>
        <v>-1</v>
      </c>
      <c r="EA228" s="369">
        <v>3</v>
      </c>
      <c r="EB228" s="365"/>
      <c r="EC228" s="365"/>
      <c r="ED228" s="371" t="str">
        <f ca="1">IF(DH228=ED225,DG228,IF(DP234=ED225,DG234,""))</f>
        <v/>
      </c>
      <c r="EE228" s="369" t="str">
        <f ca="1">IF(ED228="","",EA228)</f>
        <v/>
      </c>
      <c r="EF228" s="388" t="str">
        <f ca="1">IF(ISERR(LARGE(EE226:EE230,EA228)),"",LARGE(EE226:EE230,EA228))</f>
        <v/>
      </c>
      <c r="EG228" s="371" t="str">
        <f ca="1">IF(DH228=EG225,DG228,IF(DP234=EG225,DG234,""))</f>
        <v/>
      </c>
      <c r="EH228" s="369" t="str">
        <f ca="1">IF(EG228="","",EA228)</f>
        <v/>
      </c>
      <c r="EI228" s="381"/>
      <c r="EM228" s="424"/>
      <c r="EN228" s="366"/>
      <c r="EO228" s="425"/>
    </row>
    <row r="229" spans="98:145" x14ac:dyDescent="0.25">
      <c r="CT229" s="359" t="str">
        <f>IF(CK93="","",VLOOKUP(CK93,xxx.rr3,4,FALSE))</f>
        <v/>
      </c>
      <c r="CU229" s="360" t="str">
        <f ca="1">IF(OR(CT229="",DA229="",CT229=DA229,ISNA(VLOOKUP(CONCATENATE(CT229,DA229),games.r,2,FALSE))),"",CONCATENATE(CT229,DA229))</f>
        <v/>
      </c>
      <c r="CV229" s="360" t="str">
        <f ca="1">IF(CU229="","",CONCATENATE(VLOOKUP(CU229,games.r,9,FALSE),VLOOKUP(CU229,games.r,12,FALSE)))</f>
        <v/>
      </c>
      <c r="CW229" s="354" t="str">
        <f ca="1">IF(CU229="","",VLOOKUP(CU229,games.r,10,FALSE))</f>
        <v/>
      </c>
      <c r="CX229" s="354" t="str">
        <f ca="1">IF(CU229="","",VLOOKUP(CU229,games.r,13,FALSE))</f>
        <v/>
      </c>
      <c r="CY229" s="361" t="str">
        <f ca="1">IF(CU229="","",VLOOKUP(CU229,games.r,6,FALSE))</f>
        <v/>
      </c>
      <c r="CZ229" s="362" t="str">
        <f ca="1">IF(CU229="","",VLOOKUP(CU229,games.r,7,FALSE))</f>
        <v/>
      </c>
      <c r="DA229" s="379" t="str">
        <f t="shared" si="320"/>
        <v/>
      </c>
      <c r="DB229" s="302"/>
      <c r="DC229" s="364"/>
      <c r="DD229" s="445"/>
      <c r="DF229" s="424"/>
      <c r="DG229" s="366" t="str">
        <f ca="1">IF(AND(ASZTAB!$AJ$44,CT225,DA225&lt;&gt;2),CT229,"")</f>
        <v/>
      </c>
      <c r="DH229" s="366">
        <f ca="1">IF(DG229="",-1,COUNTIF(xxgy.rr,DG229))</f>
        <v>-1</v>
      </c>
      <c r="DI229" s="366">
        <f ca="1">IF(DG229="",0,COUNTIF(yygy.rr,DG229))</f>
        <v>0</v>
      </c>
      <c r="DK229" s="366">
        <f ca="1">IF(DG229="",0,1)*(SUMIF(yyo.rr,DG229,yyl.rr)+SUMIF(yyi.rr,DG229,yyk.rr))</f>
        <v>0</v>
      </c>
      <c r="DL229" s="366">
        <f ca="1">IF(DG229="",0,1)*(SUMIF(yyo.rr,DG229,yyk.rr)+SUMIF(yyi.rr,DG229,yyl.rr))</f>
        <v>0</v>
      </c>
      <c r="DN229" s="366">
        <f ca="1">IF(DL229=0,0,DK229/DL229)</f>
        <v>0</v>
      </c>
      <c r="DP229" s="366">
        <f ca="1">DH229*1000000+DI229*1000+DN229</f>
        <v>-1000000</v>
      </c>
      <c r="DT229" s="366">
        <f ca="1">IF(OR(ISERR(DP229),ISNA(DP229),DH229&lt;0),0,DP229)</f>
        <v>0</v>
      </c>
      <c r="DU229" s="366">
        <f ca="1">IF(DT229=0,0,RANK(DT229,DT226:DT230,1))</f>
        <v>0</v>
      </c>
      <c r="DV229" s="366">
        <f t="shared" ca="1" si="321"/>
        <v>0</v>
      </c>
      <c r="DW229" s="365"/>
      <c r="DX229" s="367">
        <f ca="1">IF(ASZTAB!$AJ$54,COUNTIF(DP232:DP236,DY228)*IF(OR(DY229=0,DY229=DY228),0,1),COUNTIF(DH226:DH230,DZ229)*IF(OR(DZ229=DZ228,DZ229&lt;0),0,1))+EA229/1000</f>
        <v>4.0000000000000001E-3</v>
      </c>
      <c r="DY229" s="367">
        <f ca="1">LARGE(DP232:DP236,EA229)</f>
        <v>0</v>
      </c>
      <c r="DZ229" s="369">
        <f ca="1">LARGE(DH226:DH230,EA229)</f>
        <v>-1</v>
      </c>
      <c r="EA229" s="369">
        <v>4</v>
      </c>
      <c r="EB229" s="365"/>
      <c r="EC229" s="365"/>
      <c r="ED229" s="371" t="str">
        <f ca="1">IF(DH229=ED225,DG229,IF(DP235=ED225,DG235,""))</f>
        <v/>
      </c>
      <c r="EE229" s="369" t="str">
        <f ca="1">IF(ED229="","",EA229)</f>
        <v/>
      </c>
      <c r="EF229" s="386"/>
      <c r="EG229" s="371" t="str">
        <f ca="1">IF(DH229=EG225,DG229,IF(DP235=EG225,DG235,""))</f>
        <v/>
      </c>
      <c r="EH229" s="369" t="str">
        <f ca="1">IF(EG229="","",EA229)</f>
        <v/>
      </c>
      <c r="EI229" s="386"/>
      <c r="EM229" s="424"/>
      <c r="EN229" s="366"/>
      <c r="EO229" s="425"/>
    </row>
    <row r="230" spans="98:145" x14ac:dyDescent="0.25">
      <c r="CT230" s="359" t="str">
        <f>IF(CK94="","",VLOOKUP(CK94,xxx.rr3,4,FALSE))</f>
        <v/>
      </c>
      <c r="CU230" s="360" t="str">
        <f ca="1">IF(OR(CT230="",DA230="",CT230=DA230,ISNA(VLOOKUP(CONCATENATE(CT230,DA230),games.r,2,FALSE))),"",CONCATENATE(CT230,DA230))</f>
        <v/>
      </c>
      <c r="CV230" s="360" t="str">
        <f ca="1">IF(CU230="","",CONCATENATE(VLOOKUP(CU230,games.r,9,FALSE),VLOOKUP(CU230,games.r,12,FALSE)))</f>
        <v/>
      </c>
      <c r="CW230" s="354" t="str">
        <f ca="1">IF(CU230="","",VLOOKUP(CU230,games.r,10,FALSE))</f>
        <v/>
      </c>
      <c r="CX230" s="354" t="str">
        <f ca="1">IF(CU230="","",VLOOKUP(CU230,games.r,13,FALSE))</f>
        <v/>
      </c>
      <c r="CY230" s="361" t="str">
        <f ca="1">IF(CU230="","",VLOOKUP(CU230,games.r,6,FALSE))</f>
        <v/>
      </c>
      <c r="CZ230" s="362" t="str">
        <f ca="1">IF(CU230="","",VLOOKUP(CU230,games.r,7,FALSE))</f>
        <v/>
      </c>
      <c r="DA230" s="379" t="str">
        <f t="shared" si="320"/>
        <v/>
      </c>
      <c r="DB230" s="302"/>
      <c r="DC230" s="364"/>
      <c r="DD230" s="445"/>
      <c r="DF230" s="424"/>
      <c r="DG230" s="366" t="str">
        <f ca="1">IF(AND(ASZTAB!$AJ$44,CT225,DA225&lt;&gt;2),CT230,"")</f>
        <v/>
      </c>
      <c r="DH230" s="366">
        <f ca="1">IF(DG230="",-1,COUNTIF(xxgy.rr,DG230))</f>
        <v>-1</v>
      </c>
      <c r="DI230" s="366">
        <f ca="1">IF(DG230="",0,COUNTIF(yygy.rr,DG230))</f>
        <v>0</v>
      </c>
      <c r="DK230" s="366">
        <f ca="1">IF(DG230="",0,1)*(SUMIF(yyo.rr,DG230,yyl.rr)+SUMIF(yyi.rr,DG230,yyk.rr))</f>
        <v>0</v>
      </c>
      <c r="DL230" s="366">
        <f ca="1">IF(DG230="",0,1)*(SUMIF(yyo.rr,DG230,yyk.rr)+SUMIF(yyi.rr,DG230,yyl.rr))</f>
        <v>0</v>
      </c>
      <c r="DN230" s="366">
        <f ca="1">IF(DL230=0,0,DK230/DL230)</f>
        <v>0</v>
      </c>
      <c r="DP230" s="366">
        <f ca="1">DH230*1000000+DI230*1000+DN230</f>
        <v>-1000000</v>
      </c>
      <c r="DT230" s="366">
        <f ca="1">IF(OR(ISERR(DP230),ISNA(DP230),DH230&lt;0),0,DP230)</f>
        <v>0</v>
      </c>
      <c r="DU230" s="366">
        <f ca="1">IF(DT230=0,0,RANK(DT230,DT226:DT230,1))</f>
        <v>0</v>
      </c>
      <c r="DV230" s="366">
        <f t="shared" ca="1" si="321"/>
        <v>0</v>
      </c>
      <c r="DW230" s="365"/>
      <c r="DX230" s="367">
        <f ca="1">IF(ASZTAB!$AJ$54,COUNTIF(DP232:DP236,DY229)*IF(OR(DY230=0,DY230=DY229),0,1),COUNTIF(DH226:DH230,DZ230)*IF(OR(DZ230=DZ229,DZ230&lt;0),0,1))+EA230/1000</f>
        <v>5.0000000000000001E-3</v>
      </c>
      <c r="DY230" s="367">
        <f ca="1">LARGE(DP232:DP236,EA230)</f>
        <v>0</v>
      </c>
      <c r="DZ230" s="369">
        <f ca="1">LARGE(DH226:DH230,EA230)</f>
        <v>-1</v>
      </c>
      <c r="EA230" s="369">
        <v>5</v>
      </c>
      <c r="EB230" s="365"/>
      <c r="EC230" s="365"/>
      <c r="ED230" s="371" t="str">
        <f ca="1">IF(DH230=ED225,DG230,IF(DP236=ED225,DG236,""))</f>
        <v/>
      </c>
      <c r="EE230" s="369" t="str">
        <f ca="1">IF(ED230="","",EA230)</f>
        <v/>
      </c>
      <c r="EF230" s="391"/>
      <c r="EG230" s="371" t="str">
        <f ca="1">IF(DH230=EG225,DG230,IF(DP236=EG225,DG236,""))</f>
        <v/>
      </c>
      <c r="EH230" s="369" t="str">
        <f ca="1">IF(EG230="","",EA230)</f>
        <v/>
      </c>
      <c r="EI230" s="391"/>
      <c r="EM230" s="424"/>
      <c r="EN230" s="366"/>
      <c r="EO230" s="425"/>
    </row>
    <row r="231" spans="98:145" x14ac:dyDescent="0.25">
      <c r="CT231" s="522" t="str">
        <f>IF(NOT($AD$112),"",CT226)</f>
        <v/>
      </c>
      <c r="CU231" s="371" t="str">
        <f>IF(OR(CT231="",DA231="",CT231=DA231,ISNA(VLOOKUP(CONCATENATE(CT231,DA231),games.a,2,FALSE))),"",CONCATENATE(CT231,DA231))</f>
        <v/>
      </c>
      <c r="CV231" s="371" t="str">
        <f>IF(CU231="","",CONCATENATE(VLOOKUP(CU231,games.a,9,FALSE),VLOOKUP(CU231,games.a,12,FALSE)))</f>
        <v/>
      </c>
      <c r="CW231" s="369" t="str">
        <f>IF(CU231="","",VLOOKUP(CU231,games.a,10,FALSE))</f>
        <v/>
      </c>
      <c r="CX231" s="369" t="str">
        <f>IF(CU231="","",VLOOKUP(CU231,games.a,13,FALSE))</f>
        <v/>
      </c>
      <c r="CY231" s="423" t="str">
        <f>IF(CU231="","",VLOOKUP(CU231,games.a,6,FALSE))</f>
        <v/>
      </c>
      <c r="CZ231" s="409" t="str">
        <f>IF(CU231="","",VLOOKUP(CU231,games.a,7,FALSE))</f>
        <v/>
      </c>
      <c r="DA231" s="523" t="str">
        <f t="shared" si="320"/>
        <v/>
      </c>
      <c r="DB231" s="302"/>
      <c r="DC231" s="364"/>
      <c r="DD231" s="445"/>
      <c r="DF231" s="424"/>
      <c r="DG231" s="329" t="s">
        <v>229</v>
      </c>
      <c r="DH231" s="365"/>
      <c r="DI231" s="329" t="s">
        <v>152</v>
      </c>
      <c r="DJ231" s="329" t="s">
        <v>153</v>
      </c>
      <c r="DK231" s="329" t="s">
        <v>154</v>
      </c>
      <c r="DL231" s="329" t="s">
        <v>155</v>
      </c>
      <c r="DM231" s="329" t="s">
        <v>125</v>
      </c>
      <c r="DN231" s="329" t="s">
        <v>226</v>
      </c>
      <c r="DO231" s="329" t="s">
        <v>126</v>
      </c>
      <c r="DP231" s="329" t="s">
        <v>227</v>
      </c>
      <c r="DQ231" s="330" t="s">
        <v>154</v>
      </c>
      <c r="DR231" s="330" t="s">
        <v>155</v>
      </c>
      <c r="DS231" s="330" t="s">
        <v>125</v>
      </c>
      <c r="DT231" s="329" t="s">
        <v>228</v>
      </c>
      <c r="DU231" s="329" t="s">
        <v>156</v>
      </c>
      <c r="DV231" s="329" t="s">
        <v>208</v>
      </c>
      <c r="DW231" s="365"/>
      <c r="DX231" s="365"/>
      <c r="DY231" s="365"/>
      <c r="DZ231" s="365"/>
      <c r="EA231" s="365"/>
      <c r="EB231" s="365"/>
      <c r="EC231" s="365"/>
      <c r="ED231" s="365"/>
      <c r="EE231" s="365"/>
      <c r="EF231" s="365"/>
      <c r="EG231" s="365"/>
      <c r="EH231" s="365"/>
      <c r="EI231" s="365"/>
      <c r="EJ231" s="365"/>
      <c r="EK231" s="365"/>
      <c r="EL231" s="365"/>
      <c r="EM231" s="424"/>
      <c r="EN231" s="366"/>
      <c r="EO231" s="425"/>
    </row>
    <row r="232" spans="98:145" x14ac:dyDescent="0.25">
      <c r="CT232" s="522" t="str">
        <f>IF(NOT($AD$112),"",CT227)</f>
        <v/>
      </c>
      <c r="CU232" s="371" t="str">
        <f>IF(OR(CT232="",DA232="",CT232=DA232,ISNA(VLOOKUP(CONCATENATE(CT232,DA232),games.a,2,FALSE))),"",CONCATENATE(CT232,DA232))</f>
        <v/>
      </c>
      <c r="CV232" s="371" t="str">
        <f>IF(CU232="","",CONCATENATE(VLOOKUP(CU232,games.a,9,FALSE),VLOOKUP(CU232,games.a,12,FALSE)))</f>
        <v/>
      </c>
      <c r="CW232" s="369" t="str">
        <f>IF(CU232="","",VLOOKUP(CU232,games.a,10,FALSE))</f>
        <v/>
      </c>
      <c r="CX232" s="369" t="str">
        <f>IF(CU232="","",VLOOKUP(CU232,games.a,13,FALSE))</f>
        <v/>
      </c>
      <c r="CY232" s="423" t="str">
        <f>IF(CU232="","",VLOOKUP(CU232,games.a,6,FALSE))</f>
        <v/>
      </c>
      <c r="CZ232" s="409" t="str">
        <f>IF(CU232="","",VLOOKUP(CU232,games.a,7,FALSE))</f>
        <v/>
      </c>
      <c r="DA232" s="523" t="str">
        <f t="shared" si="320"/>
        <v/>
      </c>
      <c r="DB232" s="302"/>
      <c r="DC232" s="364"/>
      <c r="DD232" s="445"/>
      <c r="DF232" s="424"/>
      <c r="DG232" s="366" t="str">
        <f ca="1">IF(OR(NOT(ASZTAB!$AJ$44),AND(CT225,DG226="")),CT226,"")</f>
        <v/>
      </c>
      <c r="DH232" s="365"/>
      <c r="DI232" s="366">
        <f ca="1">IF(DG232="",0,COUNTIF(xxgy.rr,DG232))</f>
        <v>0</v>
      </c>
      <c r="DJ232" s="366">
        <f ca="1">IF(DG232="",0,COUNTIF(xxd.rr,DG232))</f>
        <v>0</v>
      </c>
      <c r="DK232" s="366">
        <f ca="1">IF(DG232="",0,1)*(SUMIF(xxo.rr,DG232,xxl.rr)+SUMIF(xxi.rr,DG232,xxk.rr))</f>
        <v>0</v>
      </c>
      <c r="DL232" s="366">
        <f ca="1">IF(DG232="",0,1)*(SUMIF(xxo.rr,DG232,xxk.rr)+SUMIF(xxi.rr,DG232,xxl.rr))</f>
        <v>0</v>
      </c>
      <c r="DM232" s="366">
        <f ca="1">DK232-DL232</f>
        <v>0</v>
      </c>
      <c r="DN232" s="366">
        <f ca="1">IF(DL232=0,0,DK232/DL232)</f>
        <v>0</v>
      </c>
      <c r="DO232" s="366">
        <f ca="1">ASZTAB!$AJ$48*DI232+IF(ASZTAB!$AJ$44,0,1)*DJ232</f>
        <v>0</v>
      </c>
      <c r="DP232" s="396">
        <f ca="1">DO232*1000000+IF(ASZTAB!$AJ$44,DN232,DM232)*1000*0</f>
        <v>0</v>
      </c>
      <c r="DQ232" s="366">
        <f ca="1">IF(DG232="",0,1)*(SUMIF(yyo.rr,DG232,yyl.rr)+SUMIF(yyi.rr,DG232,yyk.rr))</f>
        <v>0</v>
      </c>
      <c r="DR232" s="366">
        <f ca="1">IF(DG232="",0,1)*(SUMIF(yyo.rr,DG232,yyk.rr)+SUMIF(yyi.rr,DG232,yyl.rr))</f>
        <v>0</v>
      </c>
      <c r="DS232" s="366">
        <f ca="1">DQ232-DR232</f>
        <v>0</v>
      </c>
      <c r="DT232" s="366">
        <f ca="1">IF(OR(ISERR(DP232),ISNA(DP232)),0,DP232)+IF(ASZTAB!$AJ$54,DS232,0)</f>
        <v>0</v>
      </c>
      <c r="DU232" s="366">
        <f ca="1">IF(DT232=0,0,RANK(DT232,DT232:DT236,1))</f>
        <v>0</v>
      </c>
      <c r="DV232" s="366">
        <f t="shared" ca="1" si="321"/>
        <v>0</v>
      </c>
      <c r="DW232" s="365"/>
      <c r="DZ232" s="365"/>
      <c r="EA232" s="365"/>
      <c r="EB232" s="365"/>
      <c r="EC232" s="398"/>
      <c r="ED232" s="329" t="s">
        <v>157</v>
      </c>
      <c r="EE232" s="329" t="s">
        <v>158</v>
      </c>
      <c r="EF232" s="399"/>
      <c r="EG232" s="400"/>
      <c r="EH232" s="401" t="s">
        <v>160</v>
      </c>
      <c r="EI232" s="402" t="s">
        <v>135</v>
      </c>
      <c r="EJ232" s="403">
        <f ca="1">COUNT(EF226:EF228)</f>
        <v>0</v>
      </c>
      <c r="EK232" s="365"/>
      <c r="EL232" s="365"/>
      <c r="EM232" s="424"/>
      <c r="EN232" s="366"/>
      <c r="EO232" s="425"/>
    </row>
    <row r="233" spans="98:145" x14ac:dyDescent="0.25">
      <c r="CT233" s="522" t="str">
        <f>IF(NOT($AD$112),"",CT228)</f>
        <v/>
      </c>
      <c r="CU233" s="371" t="str">
        <f>IF(OR(CT233="",DA233="",CT233=DA233,ISNA(VLOOKUP(CONCATENATE(CT233,DA233),games.a,2,FALSE))),"",CONCATENATE(CT233,DA233))</f>
        <v/>
      </c>
      <c r="CV233" s="371" t="str">
        <f>IF(CU233="","",CONCATENATE(VLOOKUP(CU233,games.a,9,FALSE),VLOOKUP(CU233,games.a,12,FALSE)))</f>
        <v/>
      </c>
      <c r="CW233" s="369" t="str">
        <f>IF(CU233="","",VLOOKUP(CU233,games.a,10,FALSE))</f>
        <v/>
      </c>
      <c r="CX233" s="369" t="str">
        <f>IF(CU233="","",VLOOKUP(CU233,games.a,13,FALSE))</f>
        <v/>
      </c>
      <c r="CY233" s="423" t="str">
        <f>IF(CU233="","",VLOOKUP(CU233,games.a,6,FALSE))</f>
        <v/>
      </c>
      <c r="CZ233" s="409" t="str">
        <f>IF(CU233="","",VLOOKUP(CU233,games.a,7,FALSE))</f>
        <v/>
      </c>
      <c r="DA233" s="523" t="str">
        <f t="shared" si="320"/>
        <v/>
      </c>
      <c r="DB233" s="302"/>
      <c r="DC233" s="364"/>
      <c r="DD233" s="445"/>
      <c r="DF233" s="424"/>
      <c r="DG233" s="366" t="str">
        <f ca="1">IF(OR(NOT(ASZTAB!$AJ$44),AND(CT225,DG227="")),CT227,"")</f>
        <v/>
      </c>
      <c r="DH233" s="365"/>
      <c r="DI233" s="366">
        <f ca="1">IF(DG233="",0,COUNTIF(xxgy.rr,DG233))</f>
        <v>0</v>
      </c>
      <c r="DJ233" s="366">
        <f ca="1">IF(DG233="",0,COUNTIF(xxd.rr,DG233))</f>
        <v>0</v>
      </c>
      <c r="DK233" s="366">
        <f ca="1">IF(DG233="",0,1)*(SUMIF(xxo.rr,DG233,xxl.rr)+SUMIF(xxi.rr,DG233,xxk.rr))</f>
        <v>0</v>
      </c>
      <c r="DL233" s="366">
        <f ca="1">IF(DG233="",0,1)*(SUMIF(xxo.rr,DG233,xxk.rr)+SUMIF(xxi.rr,DG233,xxl.rr))</f>
        <v>0</v>
      </c>
      <c r="DM233" s="366">
        <f ca="1">DK233-DL233</f>
        <v>0</v>
      </c>
      <c r="DN233" s="366">
        <f ca="1">IF(DL233=0,0,DK233/DL233)</f>
        <v>0</v>
      </c>
      <c r="DO233" s="366">
        <f ca="1">ASZTAB!$AJ$48*DI233+IF(ASZTAB!$AJ$44,0,1)*DJ233</f>
        <v>0</v>
      </c>
      <c r="DP233" s="396">
        <f ca="1">DO233*1000000+IF(ASZTAB!$AJ$44,DN233,DM233)*1000*0</f>
        <v>0</v>
      </c>
      <c r="DQ233" s="366">
        <f ca="1">IF(DG233="",0,1)*(SUMIF(yyo.rr,DG233,yyl.rr)+SUMIF(yyi.rr,DG233,yyk.rr))</f>
        <v>0</v>
      </c>
      <c r="DR233" s="366">
        <f ca="1">IF(DG233="",0,1)*(SUMIF(yyo.rr,DG233,yyk.rr)+SUMIF(yyi.rr,DG233,yyl.rr))</f>
        <v>0</v>
      </c>
      <c r="DS233" s="366">
        <f ca="1">DQ233-DR233</f>
        <v>0</v>
      </c>
      <c r="DT233" s="366">
        <f ca="1">IF(OR(ISERR(DP233),ISNA(DP233)),0,DP233)+IF(ASZTAB!$AJ$54,DS233,0)</f>
        <v>0</v>
      </c>
      <c r="DU233" s="366">
        <f ca="1">IF(DT233=0,0,RANK(DT233,DT232:DT236,1))</f>
        <v>0</v>
      </c>
      <c r="DV233" s="366">
        <f t="shared" ca="1" si="321"/>
        <v>0</v>
      </c>
      <c r="DW233" s="365"/>
      <c r="DZ233" s="365"/>
      <c r="EA233" s="365"/>
      <c r="EB233" s="365"/>
      <c r="EC233" s="404" t="str">
        <f ca="1">IF(EF226="","",VLOOKUP(EF226,yyy.rr3,4,FALSE))</f>
        <v/>
      </c>
      <c r="ED233" s="371" t="str">
        <f ca="1">IF(OR(EC233="",EJ233="",EC233=EJ233,ISNA(VLOOKUP(CONCATENATE(EC233,EJ233),games.r,2,FALSE))),"",CONCATENATE(EC233,EJ233))</f>
        <v/>
      </c>
      <c r="EE233" s="405" t="str">
        <f ca="1">IF(OR(ED233="",EJ232&gt;2),"",CONCATENATE(VLOOKUP(ED233,games.r,9,FALSE),VLOOKUP(ED233,games.r,12,FALSE)))</f>
        <v/>
      </c>
      <c r="EF233" s="406"/>
      <c r="EG233" s="407"/>
      <c r="EH233" s="408" t="str">
        <f ca="1">IF(ED233="","",VLOOKUP(ED233,games.r,6,FALSE))</f>
        <v/>
      </c>
      <c r="EI233" s="409" t="str">
        <f ca="1">IF(ED233="","",VLOOKUP(ED233,games.r,7,FALSE))</f>
        <v/>
      </c>
      <c r="EJ233" s="410" t="str">
        <f ca="1">EC233</f>
        <v/>
      </c>
      <c r="EK233" s="411"/>
      <c r="EL233" s="412"/>
      <c r="EM233" s="424"/>
      <c r="EN233" s="366"/>
      <c r="EO233" s="425"/>
    </row>
    <row r="234" spans="98:145" x14ac:dyDescent="0.25">
      <c r="CT234" s="522" t="str">
        <f>IF(NOT($AD$112),"",CT229)</f>
        <v/>
      </c>
      <c r="CU234" s="371" t="str">
        <f>IF(OR(CT234="",DA234="",CT234=DA234,ISNA(VLOOKUP(CONCATENATE(CT234,DA234),games.a,2,FALSE))),"",CONCATENATE(CT234,DA234))</f>
        <v/>
      </c>
      <c r="CV234" s="371" t="str">
        <f>IF(CU234="","",CONCATENATE(VLOOKUP(CU234,games.a,9,FALSE),VLOOKUP(CU234,games.a,12,FALSE)))</f>
        <v/>
      </c>
      <c r="CW234" s="369" t="str">
        <f>IF(CU234="","",VLOOKUP(CU234,games.a,10,FALSE))</f>
        <v/>
      </c>
      <c r="CX234" s="369" t="str">
        <f>IF(CU234="","",VLOOKUP(CU234,games.a,13,FALSE))</f>
        <v/>
      </c>
      <c r="CY234" s="423" t="str">
        <f>IF(CU234="","",VLOOKUP(CU234,games.a,6,FALSE))</f>
        <v/>
      </c>
      <c r="CZ234" s="409" t="str">
        <f>IF(CU234="","",VLOOKUP(CU234,games.a,7,FALSE))</f>
        <v/>
      </c>
      <c r="DA234" s="523" t="str">
        <f t="shared" si="320"/>
        <v/>
      </c>
      <c r="DB234" s="302"/>
      <c r="DC234" s="364"/>
      <c r="DD234" s="445"/>
      <c r="DF234" s="424"/>
      <c r="DG234" s="366" t="str">
        <f ca="1">IF(OR(NOT(ASZTAB!$AJ$44),AND(CT225,DG228="")),CT228,"")</f>
        <v/>
      </c>
      <c r="DH234" s="365"/>
      <c r="DI234" s="366">
        <f ca="1">IF(DG234="",0,COUNTIF(xxgy.rr,DG234))</f>
        <v>0</v>
      </c>
      <c r="DJ234" s="366">
        <f ca="1">IF(DG234="",0,COUNTIF(xxd.rr,DG234))</f>
        <v>0</v>
      </c>
      <c r="DK234" s="366">
        <f ca="1">IF(DG234="",0,1)*(SUMIF(xxo.rr,DG234,xxl.rr)+SUMIF(xxi.rr,DG234,xxk.rr))</f>
        <v>0</v>
      </c>
      <c r="DL234" s="366">
        <f ca="1">IF(DG234="",0,1)*(SUMIF(xxo.rr,DG234,xxk.rr)+SUMIF(xxi.rr,DG234,xxl.rr))</f>
        <v>0</v>
      </c>
      <c r="DM234" s="366">
        <f ca="1">DK234-DL234</f>
        <v>0</v>
      </c>
      <c r="DN234" s="366">
        <f ca="1">IF(DL234=0,0,DK234/DL234)</f>
        <v>0</v>
      </c>
      <c r="DO234" s="366">
        <f ca="1">ASZTAB!$AJ$48*DI234+IF(ASZTAB!$AJ$44,0,1)*DJ234</f>
        <v>0</v>
      </c>
      <c r="DP234" s="396">
        <f ca="1">DO234*1000000+IF(ASZTAB!$AJ$44,DN234,DM234)*1000*0</f>
        <v>0</v>
      </c>
      <c r="DQ234" s="366">
        <f ca="1">IF(DG234="",0,1)*(SUMIF(yyo.rr,DG234,yyl.rr)+SUMIF(yyi.rr,DG234,yyk.rr))</f>
        <v>0</v>
      </c>
      <c r="DR234" s="366">
        <f ca="1">IF(DG234="",0,1)*(SUMIF(yyo.rr,DG234,yyk.rr)+SUMIF(yyi.rr,DG234,yyl.rr))</f>
        <v>0</v>
      </c>
      <c r="DS234" s="366">
        <f ca="1">DQ234-DR234</f>
        <v>0</v>
      </c>
      <c r="DT234" s="366">
        <f ca="1">IF(OR(ISERR(DP234),ISNA(DP234)),0,DP234)+IF(ASZTAB!$AJ$54,DS234,0)</f>
        <v>0</v>
      </c>
      <c r="DU234" s="366">
        <f ca="1">IF(DT234=0,0,RANK(DT234,DT232:DT236,1))</f>
        <v>0</v>
      </c>
      <c r="DV234" s="366">
        <f t="shared" ca="1" si="321"/>
        <v>0</v>
      </c>
      <c r="DW234" s="365"/>
      <c r="DZ234" s="365"/>
      <c r="EA234" s="365"/>
      <c r="EB234" s="365"/>
      <c r="EC234" s="404" t="str">
        <f ca="1">IF(EF227="","",VLOOKUP(EF227,yyy.rr3,4,FALSE))</f>
        <v/>
      </c>
      <c r="ED234" s="371" t="str">
        <f ca="1">IF(OR(EC234="",EJ234="",EC234=EJ234,ISNA(VLOOKUP(CONCATENATE(EC234,EJ234),games.r,2,FALSE))),"",CONCATENATE(EC234,EJ234))</f>
        <v/>
      </c>
      <c r="EE234" s="405" t="str">
        <f ca="1">IF(OR(ED234="",EJ232&gt;2),"",CONCATENATE(VLOOKUP(ED234,games.r,9,FALSE),VLOOKUP(ED234,games.r,12,FALSE)))</f>
        <v/>
      </c>
      <c r="EF234" s="413"/>
      <c r="EG234" s="414"/>
      <c r="EH234" s="408" t="str">
        <f ca="1">IF(ED234="","",VLOOKUP(ED234,games.r,6,FALSE))</f>
        <v/>
      </c>
      <c r="EI234" s="409" t="str">
        <f ca="1">IF(ED234="","",VLOOKUP(ED234,games.r,7,FALSE))</f>
        <v/>
      </c>
      <c r="EJ234" s="415" t="str">
        <f ca="1">EJ233</f>
        <v/>
      </c>
      <c r="EK234" s="416"/>
      <c r="EL234" s="417"/>
      <c r="EM234" s="424"/>
      <c r="EN234" s="366"/>
      <c r="EO234" s="425"/>
    </row>
    <row r="235" spans="98:145" x14ac:dyDescent="0.25">
      <c r="CT235" s="522" t="str">
        <f>IF(NOT($AD$112),"",CT230)</f>
        <v/>
      </c>
      <c r="CU235" s="371" t="str">
        <f>IF(OR(CT235="",DA235="",CT235=DA235,ISNA(VLOOKUP(CONCATENATE(CT235,DA235),games.a,2,FALSE))),"",CONCATENATE(CT235,DA235))</f>
        <v/>
      </c>
      <c r="CV235" s="371" t="str">
        <f>IF(CU235="","",CONCATENATE(VLOOKUP(CU235,games.a,9,FALSE),VLOOKUP(CU235,games.a,12,FALSE)))</f>
        <v/>
      </c>
      <c r="CW235" s="369" t="str">
        <f>IF(CU235="","",VLOOKUP(CU235,games.a,10,FALSE))</f>
        <v/>
      </c>
      <c r="CX235" s="369" t="str">
        <f>IF(CU235="","",VLOOKUP(CU235,games.a,13,FALSE))</f>
        <v/>
      </c>
      <c r="CY235" s="423" t="str">
        <f>IF(CU235="","",VLOOKUP(CU235,games.a,6,FALSE))</f>
        <v/>
      </c>
      <c r="CZ235" s="409" t="str">
        <f>IF(CU235="","",VLOOKUP(CU235,games.a,7,FALSE))</f>
        <v/>
      </c>
      <c r="DA235" s="523" t="str">
        <f t="shared" si="320"/>
        <v/>
      </c>
      <c r="DB235" s="302"/>
      <c r="DC235" s="364"/>
      <c r="DD235" s="445"/>
      <c r="DF235" s="424"/>
      <c r="DG235" s="366" t="str">
        <f ca="1">IF(OR(NOT(ASZTAB!$AJ$44),AND(CT225,DG229="")),CT229,"")</f>
        <v/>
      </c>
      <c r="DH235" s="365"/>
      <c r="DI235" s="366">
        <f ca="1">IF(DG235="",0,COUNTIF(xxgy.rr,DG235))</f>
        <v>0</v>
      </c>
      <c r="DJ235" s="366">
        <f ca="1">IF(DG235="",0,COUNTIF(xxd.rr,DG235))</f>
        <v>0</v>
      </c>
      <c r="DK235" s="366">
        <f ca="1">IF(DG235="",0,1)*(SUMIF(xxo.rr,DG235,xxl.rr)+SUMIF(xxi.rr,DG235,xxk.rr))</f>
        <v>0</v>
      </c>
      <c r="DL235" s="366">
        <f ca="1">IF(DG235="",0,1)*(SUMIF(xxo.rr,DG235,xxk.rr)+SUMIF(xxi.rr,DG235,xxl.rr))</f>
        <v>0</v>
      </c>
      <c r="DM235" s="366">
        <f ca="1">DK235-DL235</f>
        <v>0</v>
      </c>
      <c r="DN235" s="366">
        <f ca="1">IF(DL235=0,0,DK235/DL235)</f>
        <v>0</v>
      </c>
      <c r="DO235" s="366">
        <f ca="1">ASZTAB!$AJ$48*DI235+IF(ASZTAB!$AJ$44,0,1)*DJ235</f>
        <v>0</v>
      </c>
      <c r="DP235" s="396">
        <f ca="1">DO235*1000000+IF(ASZTAB!$AJ$44,DN235,DM235)*1000*0</f>
        <v>0</v>
      </c>
      <c r="DQ235" s="366">
        <f ca="1">IF(DG235="",0,1)*(SUMIF(yyo.rr,DG235,yyl.rr)+SUMIF(yyi.rr,DG235,yyk.rr))</f>
        <v>0</v>
      </c>
      <c r="DR235" s="366">
        <f ca="1">IF(DG235="",0,1)*(SUMIF(yyo.rr,DG235,yyk.rr)+SUMIF(yyi.rr,DG235,yyl.rr))</f>
        <v>0</v>
      </c>
      <c r="DS235" s="366">
        <f ca="1">DQ235-DR235</f>
        <v>0</v>
      </c>
      <c r="DT235" s="366">
        <f ca="1">IF(OR(ISERR(DP235),ISNA(DP235)),0,DP235)+IF(ASZTAB!$AJ$54,DS235,0)</f>
        <v>0</v>
      </c>
      <c r="DU235" s="366">
        <f ca="1">IF(DT235=0,0,RANK(DT235,DT232:DT236,1))</f>
        <v>0</v>
      </c>
      <c r="DV235" s="366">
        <f t="shared" ca="1" si="321"/>
        <v>0</v>
      </c>
      <c r="DW235" s="365"/>
      <c r="DZ235" s="365"/>
      <c r="EA235" s="365"/>
      <c r="EB235" s="365"/>
      <c r="EC235" s="404" t="str">
        <f ca="1">IF(EF228="","",VLOOKUP(EF228,yyy.rr3,4,FALSE))</f>
        <v/>
      </c>
      <c r="ED235" s="371" t="str">
        <f ca="1">IF(OR(EC235="",EJ235="",EC235=EJ235,ISNA(VLOOKUP(CONCATENATE(EC235,EJ235),games.r,2,FALSE))),"",CONCATENATE(EC235,EJ235))</f>
        <v/>
      </c>
      <c r="EE235" s="405" t="str">
        <f ca="1">IF(OR(ED235="",EJ232&gt;2),"",CONCATENATE(VLOOKUP(ED235,games.r,9,FALSE),VLOOKUP(ED235,games.r,12,FALSE)))</f>
        <v/>
      </c>
      <c r="EF235" s="413"/>
      <c r="EG235" s="414"/>
      <c r="EH235" s="408" t="str">
        <f ca="1">IF(ED235="","",VLOOKUP(ED235,games.r,6,FALSE))</f>
        <v/>
      </c>
      <c r="EI235" s="409" t="str">
        <f ca="1">IF(ED235="","",VLOOKUP(ED235,games.r,7,FALSE))</f>
        <v/>
      </c>
      <c r="EJ235" s="415" t="str">
        <f ca="1">EJ234</f>
        <v/>
      </c>
      <c r="EK235" s="416"/>
      <c r="EL235" s="417"/>
      <c r="EM235" s="424"/>
      <c r="EN235" s="366"/>
      <c r="EO235" s="425"/>
    </row>
    <row r="236" spans="98:145" x14ac:dyDescent="0.25">
      <c r="CT236" s="301"/>
      <c r="CU236" s="324" t="s">
        <v>157</v>
      </c>
      <c r="CV236" s="324" t="s">
        <v>158</v>
      </c>
      <c r="CW236" s="325" t="s">
        <v>159</v>
      </c>
      <c r="CX236" s="325"/>
      <c r="CY236" s="326" t="s">
        <v>160</v>
      </c>
      <c r="CZ236" s="325" t="s">
        <v>135</v>
      </c>
      <c r="DA236" s="302"/>
      <c r="DB236" s="302"/>
      <c r="DC236" s="364"/>
      <c r="DD236" s="445"/>
      <c r="DF236" s="424"/>
      <c r="DG236" s="366" t="str">
        <f ca="1">IF(OR(NOT(ASZTAB!$AJ$44),AND(CT225,DG230="")),CT230,"")</f>
        <v/>
      </c>
      <c r="DH236" s="365"/>
      <c r="DI236" s="366">
        <f ca="1">IF(DG236="",0,COUNTIF(xxgy.rr,DG236))</f>
        <v>0</v>
      </c>
      <c r="DJ236" s="366">
        <f ca="1">IF(DG236="",0,COUNTIF(xxd.rr,DG236))</f>
        <v>0</v>
      </c>
      <c r="DK236" s="366">
        <f ca="1">IF(DG236="",0,1)*(SUMIF(xxo.rr,DG236,xxl.rr)+SUMIF(xxi.rr,DG236,xxk.rr))</f>
        <v>0</v>
      </c>
      <c r="DL236" s="366">
        <f ca="1">IF(DG236="",0,1)*(SUMIF(xxo.rr,DG236,xxk.rr)+SUMIF(xxi.rr,DG236,xxl.rr))</f>
        <v>0</v>
      </c>
      <c r="DM236" s="366">
        <f ca="1">DK236-DL236</f>
        <v>0</v>
      </c>
      <c r="DN236" s="366">
        <f ca="1">IF(DL236=0,0,DK236/DL236)</f>
        <v>0</v>
      </c>
      <c r="DO236" s="366">
        <f ca="1">ASZTAB!$AJ$48*DI236+IF(ASZTAB!$AJ$44,0,1)*DJ236</f>
        <v>0</v>
      </c>
      <c r="DP236" s="396">
        <f ca="1">DO236*1000000+IF(ASZTAB!$AJ$44,DN236,DM236)*1000*0</f>
        <v>0</v>
      </c>
      <c r="DQ236" s="366">
        <f ca="1">IF(DG236="",0,1)*(SUMIF(yyo.rr,DG236,yyl.rr)+SUMIF(yyi.rr,DG236,yyk.rr))</f>
        <v>0</v>
      </c>
      <c r="DR236" s="366">
        <f ca="1">IF(DG236="",0,1)*(SUMIF(yyo.rr,DG236,yyk.rr)+SUMIF(yyi.rr,DG236,yyl.rr))</f>
        <v>0</v>
      </c>
      <c r="DS236" s="366">
        <f ca="1">DQ236-DR236</f>
        <v>0</v>
      </c>
      <c r="DT236" s="366">
        <f ca="1">IF(OR(ISERR(DP236),ISNA(DP236)),0,DP236)+IF(ASZTAB!$AJ$54,DS236,0)</f>
        <v>0</v>
      </c>
      <c r="DU236" s="366">
        <f ca="1">IF(DT236=0,0,RANK(DT236,DT232:DT236,1))</f>
        <v>0</v>
      </c>
      <c r="DV236" s="366">
        <f t="shared" ca="1" si="321"/>
        <v>0</v>
      </c>
      <c r="DW236" s="365"/>
      <c r="DZ236" s="365"/>
      <c r="EA236" s="365"/>
      <c r="EB236" s="365"/>
      <c r="EC236" s="404" t="str">
        <f>IF(NOT($AD$112),"",EC233)</f>
        <v/>
      </c>
      <c r="ED236" s="360" t="str">
        <f ca="1">IF(OR(EC236="",EJ236="",EC236=EJ236,ISNA(VLOOKUP(CONCATENATE(EC236,EJ236),games.a,2,FALSE))),"",CONCATENATE(EC236,EJ236))</f>
        <v/>
      </c>
      <c r="EE236" s="524" t="str">
        <f ca="1">IF(OR(ED236="",EJ232&gt;2),"",CONCATENATE(VLOOKUP(ED236,games.a,9,FALSE),VLOOKUP(ED236,games.a,12,FALSE)))</f>
        <v/>
      </c>
      <c r="EF236" s="413"/>
      <c r="EG236" s="414"/>
      <c r="EH236" s="525" t="str">
        <f ca="1">IF(ED236="","",VLOOKUP(ED236,games.a,6,FALSE))</f>
        <v/>
      </c>
      <c r="EI236" s="362" t="str">
        <f ca="1">IF(ED236="","",VLOOKUP(ED236,games.a,7,FALSE))</f>
        <v/>
      </c>
      <c r="EJ236" s="526" t="str">
        <f ca="1">EJ235</f>
        <v/>
      </c>
      <c r="EK236" s="527"/>
      <c r="EL236" s="528"/>
      <c r="EM236" s="424"/>
      <c r="EN236" s="424"/>
      <c r="EO236" s="425"/>
    </row>
    <row r="237" spans="98:145" x14ac:dyDescent="0.25">
      <c r="CT237" s="395" t="str">
        <f t="shared" ref="CT237:CT246" si="322">CT226</f>
        <v/>
      </c>
      <c r="CU237" s="360" t="str">
        <f ca="1">IF(OR(CT237="",DA237="",CT237=DA237,ISNA(VLOOKUP(CONCATENATE(CT237,DA237),games.r,2,FALSE))),"",CONCATENATE(CT237,DA237))</f>
        <v/>
      </c>
      <c r="CV237" s="360" t="str">
        <f ca="1">IF(CU237="","",CONCATENATE(VLOOKUP(CU237,games.r,9,FALSE),VLOOKUP(CU237,games.r,12,FALSE)))</f>
        <v/>
      </c>
      <c r="CW237" s="354" t="str">
        <f ca="1">IF(CU237="","",VLOOKUP(CU237,games.r,10,FALSE))</f>
        <v/>
      </c>
      <c r="CX237" s="354" t="str">
        <f ca="1">IF(CU237="","",VLOOKUP(CU237,games.r,13,FALSE))</f>
        <v/>
      </c>
      <c r="CY237" s="361" t="str">
        <f ca="1">IF(CU237="","",VLOOKUP(CU237,games.r,6,FALSE))</f>
        <v/>
      </c>
      <c r="CZ237" s="362" t="str">
        <f ca="1">IF(CU237="","",VLOOKUP(CU237,games.r,7,FALSE))</f>
        <v/>
      </c>
      <c r="DA237" s="363" t="str">
        <f>CT227</f>
        <v/>
      </c>
      <c r="DB237" s="302"/>
      <c r="DC237" s="364"/>
      <c r="DD237" s="445"/>
      <c r="DF237" s="424"/>
      <c r="DW237" s="365"/>
      <c r="DX237" s="424"/>
      <c r="DZ237" s="365"/>
      <c r="EA237" s="365"/>
      <c r="EB237" s="365"/>
      <c r="EC237" s="404" t="str">
        <f>IF(NOT($AD$112),"",EC234)</f>
        <v/>
      </c>
      <c r="ED237" s="360" t="str">
        <f ca="1">IF(OR(EC237="",EJ237="",EC237=EJ237,ISNA(VLOOKUP(CONCATENATE(EC237,EJ237),games.a,2,FALSE))),"",CONCATENATE(EC237,EJ237))</f>
        <v/>
      </c>
      <c r="EE237" s="524" t="str">
        <f ca="1">IF(OR(ED237="",EJ232&gt;2),"",CONCATENATE(VLOOKUP(ED237,games.a,9,FALSE),VLOOKUP(ED237,games.a,12,FALSE)))</f>
        <v/>
      </c>
      <c r="EF237" s="413"/>
      <c r="EG237" s="414"/>
      <c r="EH237" s="525" t="str">
        <f ca="1">IF(ED237="","",VLOOKUP(ED237,games.a,6,FALSE))</f>
        <v/>
      </c>
      <c r="EI237" s="362" t="str">
        <f ca="1">IF(ED237="","",VLOOKUP(ED237,games.a,7,FALSE))</f>
        <v/>
      </c>
      <c r="EJ237" s="526" t="str">
        <f ca="1">EJ236</f>
        <v/>
      </c>
      <c r="EK237" s="527"/>
      <c r="EL237" s="528"/>
      <c r="EM237" s="424"/>
      <c r="EN237" s="424"/>
      <c r="EO237" s="425"/>
    </row>
    <row r="238" spans="98:145" x14ac:dyDescent="0.25">
      <c r="CT238" s="395" t="str">
        <f t="shared" si="322"/>
        <v/>
      </c>
      <c r="CU238" s="360" t="str">
        <f ca="1">IF(OR(CT238="",DA238="",CT238=DA238,ISNA(VLOOKUP(CONCATENATE(CT238,DA238),games.r,2,FALSE))),"",CONCATENATE(CT238,DA238))</f>
        <v/>
      </c>
      <c r="CV238" s="360" t="str">
        <f ca="1">IF(CU238="","",CONCATENATE(VLOOKUP(CU238,games.r,9,FALSE),VLOOKUP(CU238,games.r,12,FALSE)))</f>
        <v/>
      </c>
      <c r="CW238" s="354" t="str">
        <f ca="1">IF(CU238="","",VLOOKUP(CU238,games.r,10,FALSE))</f>
        <v/>
      </c>
      <c r="CX238" s="354" t="str">
        <f ca="1">IF(CU238="","",VLOOKUP(CU238,games.r,13,FALSE))</f>
        <v/>
      </c>
      <c r="CY238" s="361" t="str">
        <f ca="1">IF(CU238="","",VLOOKUP(CU238,games.r,6,FALSE))</f>
        <v/>
      </c>
      <c r="CZ238" s="362" t="str">
        <f ca="1">IF(CU238="","",VLOOKUP(CU238,games.r,7,FALSE))</f>
        <v/>
      </c>
      <c r="DA238" s="379" t="str">
        <f t="shared" ref="DA238:DA246" si="323">DA237</f>
        <v/>
      </c>
      <c r="DB238" s="302"/>
      <c r="DC238" s="364"/>
      <c r="DD238" s="445"/>
      <c r="DF238" s="424"/>
      <c r="DW238" s="365"/>
      <c r="DX238" s="424"/>
      <c r="DZ238" s="365"/>
      <c r="EC238" s="404" t="str">
        <f>IF(NOT($AD$112),"",EC235)</f>
        <v/>
      </c>
      <c r="ED238" s="360" t="str">
        <f ca="1">IF(OR(EC238="",EJ238="",EC238=EJ238,ISNA(VLOOKUP(CONCATENATE(EC238,EJ238),games.a,2,FALSE))),"",CONCATENATE(EC238,EJ238))</f>
        <v/>
      </c>
      <c r="EE238" s="524" t="str">
        <f ca="1">IF(OR(ED238="",EJ232&gt;2),"",CONCATENATE(VLOOKUP(ED238,games.a,9,FALSE),VLOOKUP(ED238,games.a,12,FALSE)))</f>
        <v/>
      </c>
      <c r="EF238" s="413"/>
      <c r="EG238" s="414"/>
      <c r="EH238" s="525" t="str">
        <f ca="1">IF(ED238="","",VLOOKUP(ED238,games.a,6,FALSE))</f>
        <v/>
      </c>
      <c r="EI238" s="362" t="str">
        <f ca="1">IF(ED238="","",VLOOKUP(ED238,games.a,7,FALSE))</f>
        <v/>
      </c>
      <c r="EJ238" s="526" t="str">
        <f ca="1">EJ237</f>
        <v/>
      </c>
      <c r="EK238" s="527"/>
      <c r="EL238" s="528"/>
      <c r="EM238" s="424"/>
      <c r="EN238" s="424"/>
      <c r="EO238" s="425"/>
    </row>
    <row r="239" spans="98:145" x14ac:dyDescent="0.25">
      <c r="CT239" s="395" t="str">
        <f t="shared" si="322"/>
        <v/>
      </c>
      <c r="CU239" s="360" t="str">
        <f ca="1">IF(OR(CT239="",DA239="",CT239=DA239,ISNA(VLOOKUP(CONCATENATE(CT239,DA239),games.r,2,FALSE))),"",CONCATENATE(CT239,DA239))</f>
        <v/>
      </c>
      <c r="CV239" s="360" t="str">
        <f ca="1">IF(CU239="","",CONCATENATE(VLOOKUP(CU239,games.r,9,FALSE),VLOOKUP(CU239,games.r,12,FALSE)))</f>
        <v/>
      </c>
      <c r="CW239" s="354" t="str">
        <f ca="1">IF(CU239="","",VLOOKUP(CU239,games.r,10,FALSE))</f>
        <v/>
      </c>
      <c r="CX239" s="354" t="str">
        <f ca="1">IF(CU239="","",VLOOKUP(CU239,games.r,13,FALSE))</f>
        <v/>
      </c>
      <c r="CY239" s="361" t="str">
        <f ca="1">IF(CU239="","",VLOOKUP(CU239,games.r,6,FALSE))</f>
        <v/>
      </c>
      <c r="CZ239" s="362" t="str">
        <f ca="1">IF(CU239="","",VLOOKUP(CU239,games.r,7,FALSE))</f>
        <v/>
      </c>
      <c r="DA239" s="379" t="str">
        <f t="shared" si="323"/>
        <v/>
      </c>
      <c r="DB239" s="302"/>
      <c r="DC239" s="364"/>
      <c r="DD239" s="445"/>
      <c r="DF239" s="424"/>
      <c r="DW239" s="365"/>
      <c r="DX239" s="424"/>
      <c r="DZ239" s="365"/>
      <c r="EA239" s="365"/>
      <c r="EB239" s="365"/>
      <c r="EC239" s="398"/>
      <c r="ED239" s="329" t="s">
        <v>157</v>
      </c>
      <c r="EE239" s="329" t="s">
        <v>158</v>
      </c>
      <c r="EF239" s="399"/>
      <c r="EG239" s="400"/>
      <c r="EH239" s="401" t="s">
        <v>160</v>
      </c>
      <c r="EI239" s="402" t="s">
        <v>135</v>
      </c>
      <c r="EJ239" s="398"/>
      <c r="EK239" s="365"/>
      <c r="EL239" s="365"/>
      <c r="EM239" s="424"/>
      <c r="EN239" s="424"/>
      <c r="EO239" s="425"/>
    </row>
    <row r="240" spans="98:145" x14ac:dyDescent="0.25">
      <c r="CT240" s="395" t="str">
        <f t="shared" si="322"/>
        <v/>
      </c>
      <c r="CU240" s="360" t="str">
        <f ca="1">IF(OR(CT240="",DA240="",CT240=DA240,ISNA(VLOOKUP(CONCATENATE(CT240,DA240),games.r,2,FALSE))),"",CONCATENATE(CT240,DA240))</f>
        <v/>
      </c>
      <c r="CV240" s="360" t="str">
        <f ca="1">IF(CU240="","",CONCATENATE(VLOOKUP(CU240,games.r,9,FALSE),VLOOKUP(CU240,games.r,12,FALSE)))</f>
        <v/>
      </c>
      <c r="CW240" s="354" t="str">
        <f ca="1">IF(CU240="","",VLOOKUP(CU240,games.r,10,FALSE))</f>
        <v/>
      </c>
      <c r="CX240" s="354" t="str">
        <f ca="1">IF(CU240="","",VLOOKUP(CU240,games.r,13,FALSE))</f>
        <v/>
      </c>
      <c r="CY240" s="361" t="str">
        <f ca="1">IF(CU240="","",VLOOKUP(CU240,games.r,6,FALSE))</f>
        <v/>
      </c>
      <c r="CZ240" s="362" t="str">
        <f ca="1">IF(CU240="","",VLOOKUP(CU240,games.r,7,FALSE))</f>
        <v/>
      </c>
      <c r="DA240" s="379" t="str">
        <f t="shared" si="323"/>
        <v/>
      </c>
      <c r="DB240" s="302"/>
      <c r="DC240" s="364"/>
      <c r="DD240" s="445"/>
      <c r="DF240" s="424"/>
      <c r="DW240" s="365"/>
      <c r="DX240" s="424"/>
      <c r="DZ240" s="365"/>
      <c r="EA240" s="365"/>
      <c r="EB240" s="365"/>
      <c r="EC240" s="404" t="str">
        <f t="shared" ref="EC240:EC245" ca="1" si="324">EC233</f>
        <v/>
      </c>
      <c r="ED240" s="371" t="str">
        <f ca="1">IF(OR(EC240="",EJ240="",EC240=EJ240,ISNA(VLOOKUP(CONCATENATE(EC240,EJ240),games.r,2,FALSE))),"",CONCATENATE(EC240,EJ240))</f>
        <v/>
      </c>
      <c r="EE240" s="405" t="str">
        <f ca="1">IF(OR(ED240="",EJ232&gt;2),"",CONCATENATE(VLOOKUP(ED240,games.r,9,FALSE),VLOOKUP(ED240,games.r,12,FALSE)))</f>
        <v/>
      </c>
      <c r="EF240" s="406"/>
      <c r="EG240" s="407"/>
      <c r="EH240" s="408" t="str">
        <f ca="1">IF(ED240="","",VLOOKUP(ED240,games.r,6,FALSE))</f>
        <v/>
      </c>
      <c r="EI240" s="409" t="str">
        <f ca="1">IF(ED240="","",VLOOKUP(ED240,games.r,7,FALSE))</f>
        <v/>
      </c>
      <c r="EJ240" s="410" t="str">
        <f ca="1">EC234</f>
        <v/>
      </c>
      <c r="EK240" s="411"/>
      <c r="EL240" s="412"/>
      <c r="EM240" s="424"/>
      <c r="EN240" s="424"/>
      <c r="EO240" s="425"/>
    </row>
    <row r="241" spans="98:145" x14ac:dyDescent="0.25">
      <c r="CT241" s="395" t="str">
        <f t="shared" si="322"/>
        <v/>
      </c>
      <c r="CU241" s="360" t="str">
        <f ca="1">IF(OR(CT241="",DA241="",CT241=DA241,ISNA(VLOOKUP(CONCATENATE(CT241,DA241),games.r,2,FALSE))),"",CONCATENATE(CT241,DA241))</f>
        <v/>
      </c>
      <c r="CV241" s="360" t="str">
        <f ca="1">IF(CU241="","",CONCATENATE(VLOOKUP(CU241,games.r,9,FALSE),VLOOKUP(CU241,games.r,12,FALSE)))</f>
        <v/>
      </c>
      <c r="CW241" s="354" t="str">
        <f ca="1">IF(CU241="","",VLOOKUP(CU241,games.r,10,FALSE))</f>
        <v/>
      </c>
      <c r="CX241" s="354" t="str">
        <f ca="1">IF(CU241="","",VLOOKUP(CU241,games.r,13,FALSE))</f>
        <v/>
      </c>
      <c r="CY241" s="361" t="str">
        <f ca="1">IF(CU241="","",VLOOKUP(CU241,games.r,6,FALSE))</f>
        <v/>
      </c>
      <c r="CZ241" s="362" t="str">
        <f ca="1">IF(CU241="","",VLOOKUP(CU241,games.r,7,FALSE))</f>
        <v/>
      </c>
      <c r="DA241" s="379" t="str">
        <f t="shared" si="323"/>
        <v/>
      </c>
      <c r="DB241" s="302"/>
      <c r="DC241" s="364"/>
      <c r="DD241" s="445"/>
      <c r="DF241" s="424"/>
      <c r="DW241" s="365"/>
      <c r="DX241" s="424"/>
      <c r="DZ241" s="424"/>
      <c r="EA241" s="365"/>
      <c r="EB241" s="365"/>
      <c r="EC241" s="404" t="str">
        <f t="shared" ca="1" si="324"/>
        <v/>
      </c>
      <c r="ED241" s="371" t="str">
        <f ca="1">IF(OR(EC241="",EJ241="",EC241=EJ241,ISNA(VLOOKUP(CONCATENATE(EC241,EJ241),games.r,2,FALSE))),"",CONCATENATE(EC241,EJ241))</f>
        <v/>
      </c>
      <c r="EE241" s="405" t="str">
        <f ca="1">IF(OR(ED241="",EJ232&gt;2),"",CONCATENATE(VLOOKUP(ED241,games.r,9,FALSE),VLOOKUP(ED241,games.r,12,FALSE)))</f>
        <v/>
      </c>
      <c r="EF241" s="413"/>
      <c r="EG241" s="414"/>
      <c r="EH241" s="408" t="str">
        <f ca="1">IF(ED241="","",VLOOKUP(ED241,games.r,6,FALSE))</f>
        <v/>
      </c>
      <c r="EI241" s="409" t="str">
        <f ca="1">IF(ED241="","",VLOOKUP(ED241,games.r,7,FALSE))</f>
        <v/>
      </c>
      <c r="EJ241" s="415" t="str">
        <f ca="1">EJ240</f>
        <v/>
      </c>
      <c r="EK241" s="416"/>
      <c r="EL241" s="417"/>
      <c r="EM241" s="424"/>
      <c r="EN241" s="424"/>
      <c r="EO241" s="425"/>
    </row>
    <row r="242" spans="98:145" x14ac:dyDescent="0.25">
      <c r="CT242" s="522" t="str">
        <f t="shared" si="322"/>
        <v/>
      </c>
      <c r="CU242" s="371" t="str">
        <f>IF(OR(CT242="",DA242="",CT242=DA242,ISNA(VLOOKUP(CONCATENATE(CT242,DA242),games.a,2,FALSE))),"",CONCATENATE(CT242,DA242))</f>
        <v/>
      </c>
      <c r="CV242" s="371" t="str">
        <f>IF(CU242="","",CONCATENATE(VLOOKUP(CU242,games.a,9,FALSE),VLOOKUP(CU242,games.a,12,FALSE)))</f>
        <v/>
      </c>
      <c r="CW242" s="369" t="str">
        <f>IF(CU242="","",VLOOKUP(CU242,games.a,10,FALSE))</f>
        <v/>
      </c>
      <c r="CX242" s="369" t="str">
        <f>IF(CU242="","",VLOOKUP(CU242,games.a,13,FALSE))</f>
        <v/>
      </c>
      <c r="CY242" s="423" t="str">
        <f>IF(CU242="","",VLOOKUP(CU242,games.a,6,FALSE))</f>
        <v/>
      </c>
      <c r="CZ242" s="409" t="str">
        <f>IF(CU242="","",VLOOKUP(CU242,games.a,7,FALSE))</f>
        <v/>
      </c>
      <c r="DA242" s="523" t="str">
        <f t="shared" si="323"/>
        <v/>
      </c>
      <c r="DB242" s="302"/>
      <c r="DC242" s="364"/>
      <c r="DD242" s="445"/>
      <c r="DF242" s="424"/>
      <c r="DW242" s="365"/>
      <c r="DX242" s="424"/>
      <c r="DZ242" s="424"/>
      <c r="EA242" s="424"/>
      <c r="EB242" s="424"/>
      <c r="EC242" s="404" t="str">
        <f t="shared" ca="1" si="324"/>
        <v/>
      </c>
      <c r="ED242" s="371" t="str">
        <f ca="1">IF(OR(EC242="",EJ242="",EC242=EJ242,ISNA(VLOOKUP(CONCATENATE(EC242,EJ242),games.r,2,FALSE))),"",CONCATENATE(EC242,EJ242))</f>
        <v/>
      </c>
      <c r="EE242" s="405" t="str">
        <f ca="1">IF(OR(ED242="",EJ232&gt;2),"",CONCATENATE(VLOOKUP(ED242,games.r,9,FALSE),VLOOKUP(ED242,games.r,12,FALSE)))</f>
        <v/>
      </c>
      <c r="EF242" s="413"/>
      <c r="EG242" s="414"/>
      <c r="EH242" s="408" t="str">
        <f ca="1">IF(ED242="","",VLOOKUP(ED242,games.r,6,FALSE))</f>
        <v/>
      </c>
      <c r="EI242" s="409" t="str">
        <f ca="1">IF(ED242="","",VLOOKUP(ED242,games.r,7,FALSE))</f>
        <v/>
      </c>
      <c r="EJ242" s="415" t="str">
        <f ca="1">EJ241</f>
        <v/>
      </c>
      <c r="EK242" s="416"/>
      <c r="EL242" s="417"/>
      <c r="EM242" s="424"/>
      <c r="EN242" s="424"/>
      <c r="EO242" s="425"/>
    </row>
    <row r="243" spans="98:145" x14ac:dyDescent="0.25">
      <c r="CT243" s="522" t="str">
        <f t="shared" si="322"/>
        <v/>
      </c>
      <c r="CU243" s="371" t="str">
        <f>IF(OR(CT243="",DA243="",CT243=DA243,ISNA(VLOOKUP(CONCATENATE(CT243,DA243),games.a,2,FALSE))),"",CONCATENATE(CT243,DA243))</f>
        <v/>
      </c>
      <c r="CV243" s="371" t="str">
        <f>IF(CU243="","",CONCATENATE(VLOOKUP(CU243,games.a,9,FALSE),VLOOKUP(CU243,games.a,12,FALSE)))</f>
        <v/>
      </c>
      <c r="CW243" s="369" t="str">
        <f>IF(CU243="","",VLOOKUP(CU243,games.a,10,FALSE))</f>
        <v/>
      </c>
      <c r="CX243" s="369" t="str">
        <f>IF(CU243="","",VLOOKUP(CU243,games.a,13,FALSE))</f>
        <v/>
      </c>
      <c r="CY243" s="423" t="str">
        <f>IF(CU243="","",VLOOKUP(CU243,games.a,6,FALSE))</f>
        <v/>
      </c>
      <c r="CZ243" s="409" t="str">
        <f>IF(CU243="","",VLOOKUP(CU243,games.a,7,FALSE))</f>
        <v/>
      </c>
      <c r="DA243" s="523" t="str">
        <f t="shared" si="323"/>
        <v/>
      </c>
      <c r="DB243" s="302"/>
      <c r="DC243" s="364"/>
      <c r="DD243" s="445"/>
      <c r="DF243" s="424"/>
      <c r="DW243" s="365"/>
      <c r="DX243" s="424"/>
      <c r="DY243" s="424"/>
      <c r="DZ243" s="424"/>
      <c r="EA243" s="424"/>
      <c r="EB243" s="424"/>
      <c r="EC243" s="404" t="str">
        <f t="shared" si="324"/>
        <v/>
      </c>
      <c r="ED243" s="360" t="str">
        <f ca="1">IF(OR(EC243="",EJ243="",EC243=EJ243,ISNA(VLOOKUP(CONCATENATE(EC243,EJ243),games.a,2,FALSE))),"",CONCATENATE(EC243,EJ243))</f>
        <v/>
      </c>
      <c r="EE243" s="524" t="str">
        <f ca="1">IF(OR(ED243="",EJ232&gt;2),"",CONCATENATE(VLOOKUP(ED243,games.a,9,FALSE),VLOOKUP(ED243,games.a,12,FALSE)))</f>
        <v/>
      </c>
      <c r="EF243" s="413"/>
      <c r="EG243" s="414"/>
      <c r="EH243" s="525" t="str">
        <f ca="1">IF(ED243="","",VLOOKUP(ED243,games.a,6,FALSE))</f>
        <v/>
      </c>
      <c r="EI243" s="362" t="str">
        <f ca="1">IF(ED243="","",VLOOKUP(ED243,games.a,7,FALSE))</f>
        <v/>
      </c>
      <c r="EJ243" s="526" t="str">
        <f ca="1">EJ242</f>
        <v/>
      </c>
      <c r="EK243" s="527"/>
      <c r="EL243" s="528"/>
      <c r="EM243" s="424"/>
      <c r="EN243" s="424"/>
      <c r="EO243" s="425"/>
    </row>
    <row r="244" spans="98:145" x14ac:dyDescent="0.25">
      <c r="CT244" s="522" t="str">
        <f t="shared" si="322"/>
        <v/>
      </c>
      <c r="CU244" s="371" t="str">
        <f>IF(OR(CT244="",DA244="",CT244=DA244,ISNA(VLOOKUP(CONCATENATE(CT244,DA244),games.a,2,FALSE))),"",CONCATENATE(CT244,DA244))</f>
        <v/>
      </c>
      <c r="CV244" s="371" t="str">
        <f>IF(CU244="","",CONCATENATE(VLOOKUP(CU244,games.a,9,FALSE),VLOOKUP(CU244,games.a,12,FALSE)))</f>
        <v/>
      </c>
      <c r="CW244" s="369" t="str">
        <f>IF(CU244="","",VLOOKUP(CU244,games.a,10,FALSE))</f>
        <v/>
      </c>
      <c r="CX244" s="369" t="str">
        <f>IF(CU244="","",VLOOKUP(CU244,games.a,13,FALSE))</f>
        <v/>
      </c>
      <c r="CY244" s="423" t="str">
        <f>IF(CU244="","",VLOOKUP(CU244,games.a,6,FALSE))</f>
        <v/>
      </c>
      <c r="CZ244" s="409" t="str">
        <f>IF(CU244="","",VLOOKUP(CU244,games.a,7,FALSE))</f>
        <v/>
      </c>
      <c r="DA244" s="523" t="str">
        <f t="shared" si="323"/>
        <v/>
      </c>
      <c r="DB244" s="302"/>
      <c r="DC244" s="364"/>
      <c r="DD244" s="445"/>
      <c r="DF244" s="424"/>
      <c r="DW244" s="365"/>
      <c r="DX244" s="424"/>
      <c r="DY244" s="424"/>
      <c r="DZ244" s="424"/>
      <c r="EA244" s="424"/>
      <c r="EB244" s="424"/>
      <c r="EC244" s="404" t="str">
        <f t="shared" si="324"/>
        <v/>
      </c>
      <c r="ED244" s="360" t="str">
        <f ca="1">IF(OR(EC244="",EJ244="",EC244=EJ244,ISNA(VLOOKUP(CONCATENATE(EC244,EJ244),games.a,2,FALSE))),"",CONCATENATE(EC244,EJ244))</f>
        <v/>
      </c>
      <c r="EE244" s="524" t="str">
        <f ca="1">IF(OR(ED244="",EJ232&gt;2),"",CONCATENATE(VLOOKUP(ED244,games.a,9,FALSE),VLOOKUP(ED244,games.a,12,FALSE)))</f>
        <v/>
      </c>
      <c r="EF244" s="413"/>
      <c r="EG244" s="414"/>
      <c r="EH244" s="525" t="str">
        <f ca="1">IF(ED244="","",VLOOKUP(ED244,games.a,6,FALSE))</f>
        <v/>
      </c>
      <c r="EI244" s="362" t="str">
        <f ca="1">IF(ED244="","",VLOOKUP(ED244,games.a,7,FALSE))</f>
        <v/>
      </c>
      <c r="EJ244" s="526" t="str">
        <f ca="1">EJ243</f>
        <v/>
      </c>
      <c r="EK244" s="527"/>
      <c r="EL244" s="528"/>
      <c r="EM244" s="424"/>
      <c r="EN244" s="424"/>
      <c r="EO244" s="425"/>
    </row>
    <row r="245" spans="98:145" x14ac:dyDescent="0.25">
      <c r="CT245" s="522" t="str">
        <f t="shared" si="322"/>
        <v/>
      </c>
      <c r="CU245" s="371" t="str">
        <f>IF(OR(CT245="",DA245="",CT245=DA245,ISNA(VLOOKUP(CONCATENATE(CT245,DA245),games.a,2,FALSE))),"",CONCATENATE(CT245,DA245))</f>
        <v/>
      </c>
      <c r="CV245" s="371" t="str">
        <f>IF(CU245="","",CONCATENATE(VLOOKUP(CU245,games.a,9,FALSE),VLOOKUP(CU245,games.a,12,FALSE)))</f>
        <v/>
      </c>
      <c r="CW245" s="369" t="str">
        <f>IF(CU245="","",VLOOKUP(CU245,games.a,10,FALSE))</f>
        <v/>
      </c>
      <c r="CX245" s="369" t="str">
        <f>IF(CU245="","",VLOOKUP(CU245,games.a,13,FALSE))</f>
        <v/>
      </c>
      <c r="CY245" s="423" t="str">
        <f>IF(CU245="","",VLOOKUP(CU245,games.a,6,FALSE))</f>
        <v/>
      </c>
      <c r="CZ245" s="409" t="str">
        <f>IF(CU245="","",VLOOKUP(CU245,games.a,7,FALSE))</f>
        <v/>
      </c>
      <c r="DA245" s="523" t="str">
        <f t="shared" si="323"/>
        <v/>
      </c>
      <c r="DB245" s="302"/>
      <c r="DC245" s="364"/>
      <c r="DD245" s="445"/>
      <c r="DF245" s="424"/>
      <c r="DW245" s="365"/>
      <c r="DX245" s="424"/>
      <c r="DY245" s="424"/>
      <c r="DZ245" s="424"/>
      <c r="EC245" s="404" t="str">
        <f t="shared" si="324"/>
        <v/>
      </c>
      <c r="ED245" s="360" t="str">
        <f ca="1">IF(OR(EC245="",EJ245="",EC245=EJ245,ISNA(VLOOKUP(CONCATENATE(EC245,EJ245),games.a,2,FALSE))),"",CONCATENATE(EC245,EJ245))</f>
        <v/>
      </c>
      <c r="EE245" s="524" t="str">
        <f ca="1">IF(OR(ED245="",EJ232&gt;2),"",CONCATENATE(VLOOKUP(ED245,games.a,9,FALSE),VLOOKUP(ED245,games.a,12,FALSE)))</f>
        <v/>
      </c>
      <c r="EF245" s="413"/>
      <c r="EG245" s="414"/>
      <c r="EH245" s="525" t="str">
        <f ca="1">IF(ED245="","",VLOOKUP(ED245,games.a,6,FALSE))</f>
        <v/>
      </c>
      <c r="EI245" s="362" t="str">
        <f ca="1">IF(ED245="","",VLOOKUP(ED245,games.a,7,FALSE))</f>
        <v/>
      </c>
      <c r="EJ245" s="526" t="str">
        <f ca="1">EJ244</f>
        <v/>
      </c>
      <c r="EK245" s="527"/>
      <c r="EL245" s="528"/>
      <c r="EO245" s="425"/>
    </row>
    <row r="246" spans="98:145" x14ac:dyDescent="0.25">
      <c r="CT246" s="522" t="str">
        <f t="shared" si="322"/>
        <v/>
      </c>
      <c r="CU246" s="371" t="str">
        <f>IF(OR(CT246="",DA246="",CT246=DA246,ISNA(VLOOKUP(CONCATENATE(CT246,DA246),games.a,2,FALSE))),"",CONCATENATE(CT246,DA246))</f>
        <v/>
      </c>
      <c r="CV246" s="371" t="str">
        <f>IF(CU246="","",CONCATENATE(VLOOKUP(CU246,games.a,9,FALSE),VLOOKUP(CU246,games.a,12,FALSE)))</f>
        <v/>
      </c>
      <c r="CW246" s="369" t="str">
        <f>IF(CU246="","",VLOOKUP(CU246,games.a,10,FALSE))</f>
        <v/>
      </c>
      <c r="CX246" s="369" t="str">
        <f>IF(CU246="","",VLOOKUP(CU246,games.a,13,FALSE))</f>
        <v/>
      </c>
      <c r="CY246" s="423" t="str">
        <f>IF(CU246="","",VLOOKUP(CU246,games.a,6,FALSE))</f>
        <v/>
      </c>
      <c r="CZ246" s="409" t="str">
        <f>IF(CU246="","",VLOOKUP(CU246,games.a,7,FALSE))</f>
        <v/>
      </c>
      <c r="DA246" s="523" t="str">
        <f t="shared" si="323"/>
        <v/>
      </c>
      <c r="DB246" s="302"/>
      <c r="DC246" s="364"/>
      <c r="DD246" s="445"/>
      <c r="DF246" s="424"/>
      <c r="DW246" s="424"/>
      <c r="DX246" s="424"/>
      <c r="DY246" s="424"/>
      <c r="DZ246" s="424"/>
      <c r="EA246" s="424"/>
      <c r="EB246" s="424"/>
      <c r="EC246" s="398"/>
      <c r="ED246" s="329" t="s">
        <v>157</v>
      </c>
      <c r="EE246" s="329" t="s">
        <v>158</v>
      </c>
      <c r="EF246" s="399"/>
      <c r="EG246" s="400"/>
      <c r="EH246" s="401" t="s">
        <v>160</v>
      </c>
      <c r="EI246" s="402" t="s">
        <v>135</v>
      </c>
      <c r="EJ246" s="398"/>
      <c r="EK246" s="365"/>
      <c r="EL246" s="365"/>
      <c r="EO246" s="425"/>
    </row>
    <row r="247" spans="98:145" x14ac:dyDescent="0.25">
      <c r="CT247" s="301"/>
      <c r="CU247" s="324" t="s">
        <v>157</v>
      </c>
      <c r="CV247" s="324" t="s">
        <v>158</v>
      </c>
      <c r="CW247" s="325" t="s">
        <v>159</v>
      </c>
      <c r="CX247" s="325"/>
      <c r="CY247" s="326" t="s">
        <v>160</v>
      </c>
      <c r="CZ247" s="325" t="s">
        <v>135</v>
      </c>
      <c r="DA247" s="302"/>
      <c r="DB247" s="302"/>
      <c r="DC247" s="364"/>
      <c r="DD247" s="445"/>
      <c r="DF247" s="424"/>
      <c r="DW247" s="424"/>
      <c r="DX247" s="424"/>
      <c r="DY247" s="424"/>
      <c r="DZ247" s="424"/>
      <c r="EA247" s="424"/>
      <c r="EB247" s="424"/>
      <c r="EC247" s="404" t="str">
        <f t="shared" ref="EC247:EC252" ca="1" si="325">EC240</f>
        <v/>
      </c>
      <c r="ED247" s="371" t="str">
        <f ca="1">IF(OR(EC247="",EJ247="",EC247=EJ247,ISNA(VLOOKUP(CONCATENATE(EC247,EJ247),games.r,2,FALSE))),"",CONCATENATE(EC247,EJ247))</f>
        <v/>
      </c>
      <c r="EE247" s="405" t="str">
        <f ca="1">IF(OR(ED247="",EJ232&gt;2),"",CONCATENATE(VLOOKUP(ED247,games.r,9,FALSE),VLOOKUP(ED247,games.r,12,FALSE)))</f>
        <v/>
      </c>
      <c r="EF247" s="406"/>
      <c r="EG247" s="407"/>
      <c r="EH247" s="408" t="str">
        <f ca="1">IF(ED247="","",VLOOKUP(ED247,games.r,6,FALSE))</f>
        <v/>
      </c>
      <c r="EI247" s="409" t="str">
        <f ca="1">IF(ED247="","",VLOOKUP(ED247,games.r,7,FALSE))</f>
        <v/>
      </c>
      <c r="EJ247" s="410" t="str">
        <f ca="1">EC235</f>
        <v/>
      </c>
      <c r="EK247" s="411"/>
      <c r="EL247" s="412"/>
      <c r="EO247" s="425"/>
    </row>
    <row r="248" spans="98:145" x14ac:dyDescent="0.25">
      <c r="CT248" s="395" t="str">
        <f t="shared" ref="CT248:CT257" si="326">CT237</f>
        <v/>
      </c>
      <c r="CU248" s="360" t="str">
        <f ca="1">IF(OR(CT248="",DA248="",CT248=DA248,ISNA(VLOOKUP(CONCATENATE(CT248,DA248),games.r,2,FALSE))),"",CONCATENATE(CT248,DA248))</f>
        <v/>
      </c>
      <c r="CV248" s="360" t="str">
        <f ca="1">IF(CU248="","",CONCATENATE(VLOOKUP(CU248,games.r,9,FALSE),VLOOKUP(CU248,games.r,12,FALSE)))</f>
        <v/>
      </c>
      <c r="CW248" s="354" t="str">
        <f ca="1">IF(CU248="","",VLOOKUP(CU248,games.r,10,FALSE))</f>
        <v/>
      </c>
      <c r="CX248" s="354" t="str">
        <f ca="1">IF(CU248="","",VLOOKUP(CU248,games.r,13,FALSE))</f>
        <v/>
      </c>
      <c r="CY248" s="361" t="str">
        <f ca="1">IF(CU248="","",VLOOKUP(CU248,games.r,6,FALSE))</f>
        <v/>
      </c>
      <c r="CZ248" s="362" t="str">
        <f ca="1">IF(CU248="","",VLOOKUP(CU248,games.r,7,FALSE))</f>
        <v/>
      </c>
      <c r="DA248" s="363" t="str">
        <f>CT228</f>
        <v/>
      </c>
      <c r="DB248" s="302"/>
      <c r="DC248" s="364"/>
      <c r="DD248" s="445"/>
      <c r="DF248" s="424"/>
      <c r="DW248" s="424"/>
      <c r="DX248" s="424"/>
      <c r="DY248" s="424"/>
      <c r="DZ248" s="424"/>
      <c r="EA248" s="424"/>
      <c r="EB248" s="424"/>
      <c r="EC248" s="404" t="str">
        <f t="shared" ca="1" si="325"/>
        <v/>
      </c>
      <c r="ED248" s="371" t="str">
        <f ca="1">IF(OR(EC248="",EJ248="",EC248=EJ248,ISNA(VLOOKUP(CONCATENATE(EC248,EJ248),games.r,2,FALSE))),"",CONCATENATE(EC248,EJ248))</f>
        <v/>
      </c>
      <c r="EE248" s="405" t="str">
        <f ca="1">IF(OR(ED248="",EJ232&gt;2),"",CONCATENATE(VLOOKUP(ED248,games.r,9,FALSE),VLOOKUP(ED248,games.r,12,FALSE)))</f>
        <v/>
      </c>
      <c r="EF248" s="413"/>
      <c r="EG248" s="414"/>
      <c r="EH248" s="408" t="str">
        <f ca="1">IF(ED248="","",VLOOKUP(ED248,games.r,6,FALSE))</f>
        <v/>
      </c>
      <c r="EI248" s="409" t="str">
        <f ca="1">IF(ED248="","",VLOOKUP(ED248,games.r,7,FALSE))</f>
        <v/>
      </c>
      <c r="EJ248" s="415" t="str">
        <f ca="1">EJ247</f>
        <v/>
      </c>
      <c r="EK248" s="416"/>
      <c r="EL248" s="417"/>
      <c r="EO248" s="425"/>
    </row>
    <row r="249" spans="98:145" x14ac:dyDescent="0.25">
      <c r="CT249" s="395" t="str">
        <f t="shared" si="326"/>
        <v/>
      </c>
      <c r="CU249" s="360" t="str">
        <f ca="1">IF(OR(CT249="",DA249="",CT249=DA249,ISNA(VLOOKUP(CONCATENATE(CT249,DA249),games.r,2,FALSE))),"",CONCATENATE(CT249,DA249))</f>
        <v/>
      </c>
      <c r="CV249" s="360" t="str">
        <f ca="1">IF(CU249="","",CONCATENATE(VLOOKUP(CU249,games.r,9,FALSE),VLOOKUP(CU249,games.r,12,FALSE)))</f>
        <v/>
      </c>
      <c r="CW249" s="354" t="str">
        <f ca="1">IF(CU249="","",VLOOKUP(CU249,games.r,10,FALSE))</f>
        <v/>
      </c>
      <c r="CX249" s="354" t="str">
        <f ca="1">IF(CU249="","",VLOOKUP(CU249,games.r,13,FALSE))</f>
        <v/>
      </c>
      <c r="CY249" s="361" t="str">
        <f ca="1">IF(CU249="","",VLOOKUP(CU249,games.r,6,FALSE))</f>
        <v/>
      </c>
      <c r="CZ249" s="362" t="str">
        <f ca="1">IF(CU249="","",VLOOKUP(CU249,games.r,7,FALSE))</f>
        <v/>
      </c>
      <c r="DA249" s="379" t="str">
        <f t="shared" ref="DA249:DA257" si="327">DA248</f>
        <v/>
      </c>
      <c r="DB249" s="302"/>
      <c r="DC249" s="364"/>
      <c r="DD249" s="445"/>
      <c r="DF249" s="424"/>
      <c r="DW249" s="424"/>
      <c r="DX249" s="424"/>
      <c r="DY249" s="424"/>
      <c r="DZ249" s="424"/>
      <c r="EA249" s="424"/>
      <c r="EB249" s="424"/>
      <c r="EC249" s="404" t="str">
        <f t="shared" ca="1" si="325"/>
        <v/>
      </c>
      <c r="ED249" s="371" t="str">
        <f ca="1">IF(OR(EC249="",EJ249="",EC249=EJ249,ISNA(VLOOKUP(CONCATENATE(EC249,EJ249),games.r,2,FALSE))),"",CONCATENATE(EC249,EJ249))</f>
        <v/>
      </c>
      <c r="EE249" s="405" t="str">
        <f ca="1">IF(OR(ED249="",EJ232&gt;2),"",CONCATENATE(VLOOKUP(ED249,games.r,9,FALSE),VLOOKUP(ED249,games.r,12,FALSE)))</f>
        <v/>
      </c>
      <c r="EF249" s="413"/>
      <c r="EG249" s="414"/>
      <c r="EH249" s="408" t="str">
        <f ca="1">IF(ED249="","",VLOOKUP(ED249,games.r,6,FALSE))</f>
        <v/>
      </c>
      <c r="EI249" s="409" t="str">
        <f ca="1">IF(ED249="","",VLOOKUP(ED249,games.r,7,FALSE))</f>
        <v/>
      </c>
      <c r="EJ249" s="415" t="str">
        <f ca="1">EJ248</f>
        <v/>
      </c>
      <c r="EK249" s="416"/>
      <c r="EL249" s="417"/>
      <c r="EO249" s="425"/>
    </row>
    <row r="250" spans="98:145" x14ac:dyDescent="0.25">
      <c r="CT250" s="395" t="str">
        <f t="shared" si="326"/>
        <v/>
      </c>
      <c r="CU250" s="360" t="str">
        <f ca="1">IF(OR(CT250="",DA250="",CT250=DA250,ISNA(VLOOKUP(CONCATENATE(CT250,DA250),games.r,2,FALSE))),"",CONCATENATE(CT250,DA250))</f>
        <v/>
      </c>
      <c r="CV250" s="360" t="str">
        <f ca="1">IF(CU250="","",CONCATENATE(VLOOKUP(CU250,games.r,9,FALSE),VLOOKUP(CU250,games.r,12,FALSE)))</f>
        <v/>
      </c>
      <c r="CW250" s="354" t="str">
        <f ca="1">IF(CU250="","",VLOOKUP(CU250,games.r,10,FALSE))</f>
        <v/>
      </c>
      <c r="CX250" s="354" t="str">
        <f ca="1">IF(CU250="","",VLOOKUP(CU250,games.r,13,FALSE))</f>
        <v/>
      </c>
      <c r="CY250" s="361" t="str">
        <f ca="1">IF(CU250="","",VLOOKUP(CU250,games.r,6,FALSE))</f>
        <v/>
      </c>
      <c r="CZ250" s="362" t="str">
        <f ca="1">IF(CU250="","",VLOOKUP(CU250,games.r,7,FALSE))</f>
        <v/>
      </c>
      <c r="DA250" s="379" t="str">
        <f t="shared" si="327"/>
        <v/>
      </c>
      <c r="DB250" s="302"/>
      <c r="DC250" s="364"/>
      <c r="DD250" s="445"/>
      <c r="DF250" s="424"/>
      <c r="DW250" s="424"/>
      <c r="DX250" s="424"/>
      <c r="DY250" s="424"/>
      <c r="DZ250" s="424"/>
      <c r="EA250" s="424"/>
      <c r="EB250" s="424"/>
      <c r="EC250" s="404" t="str">
        <f t="shared" si="325"/>
        <v/>
      </c>
      <c r="ED250" s="360" t="str">
        <f ca="1">IF(OR(EC250="",EJ250="",EC250=EJ250,ISNA(VLOOKUP(CONCATENATE(EC250,EJ250),games.a,2,FALSE))),"",CONCATENATE(EC250,EJ250))</f>
        <v/>
      </c>
      <c r="EE250" s="524" t="str">
        <f ca="1">IF(OR(ED250="",EJ232&gt;2),"",CONCATENATE(VLOOKUP(ED250,games.a,9,FALSE),VLOOKUP(ED250,games.a,12,FALSE)))</f>
        <v/>
      </c>
      <c r="EF250" s="413"/>
      <c r="EG250" s="414"/>
      <c r="EH250" s="525" t="str">
        <f ca="1">IF(ED250="","",VLOOKUP(ED250,games.a,6,FALSE))</f>
        <v/>
      </c>
      <c r="EI250" s="362" t="str">
        <f ca="1">IF(ED250="","",VLOOKUP(ED250,games.a,7,FALSE))</f>
        <v/>
      </c>
      <c r="EJ250" s="526" t="str">
        <f ca="1">EJ249</f>
        <v/>
      </c>
      <c r="EK250" s="527"/>
      <c r="EL250" s="528"/>
      <c r="EO250" s="425"/>
    </row>
    <row r="251" spans="98:145" x14ac:dyDescent="0.25">
      <c r="CT251" s="395" t="str">
        <f t="shared" si="326"/>
        <v/>
      </c>
      <c r="CU251" s="360" t="str">
        <f ca="1">IF(OR(CT251="",DA251="",CT251=DA251,ISNA(VLOOKUP(CONCATENATE(CT251,DA251),games.r,2,FALSE))),"",CONCATENATE(CT251,DA251))</f>
        <v/>
      </c>
      <c r="CV251" s="360" t="str">
        <f ca="1">IF(CU251="","",CONCATENATE(VLOOKUP(CU251,games.r,9,FALSE),VLOOKUP(CU251,games.r,12,FALSE)))</f>
        <v/>
      </c>
      <c r="CW251" s="354" t="str">
        <f ca="1">IF(CU251="","",VLOOKUP(CU251,games.r,10,FALSE))</f>
        <v/>
      </c>
      <c r="CX251" s="354" t="str">
        <f ca="1">IF(CU251="","",VLOOKUP(CU251,games.r,13,FALSE))</f>
        <v/>
      </c>
      <c r="CY251" s="361" t="str">
        <f ca="1">IF(CU251="","",VLOOKUP(CU251,games.r,6,FALSE))</f>
        <v/>
      </c>
      <c r="CZ251" s="362" t="str">
        <f ca="1">IF(CU251="","",VLOOKUP(CU251,games.r,7,FALSE))</f>
        <v/>
      </c>
      <c r="DA251" s="379" t="str">
        <f t="shared" si="327"/>
        <v/>
      </c>
      <c r="DB251" s="302"/>
      <c r="DC251" s="364"/>
      <c r="DD251" s="445"/>
      <c r="DF251" s="424"/>
      <c r="DW251" s="424"/>
      <c r="DX251" s="424"/>
      <c r="DY251" s="424"/>
      <c r="DZ251" s="424"/>
      <c r="EA251" s="424"/>
      <c r="EB251" s="424"/>
      <c r="EC251" s="404" t="str">
        <f t="shared" si="325"/>
        <v/>
      </c>
      <c r="ED251" s="360" t="str">
        <f ca="1">IF(OR(EC251="",EJ251="",EC251=EJ251,ISNA(VLOOKUP(CONCATENATE(EC251,EJ251),games.a,2,FALSE))),"",CONCATENATE(EC251,EJ251))</f>
        <v/>
      </c>
      <c r="EE251" s="524" t="str">
        <f ca="1">IF(OR(ED251="",EJ232&gt;2),"",CONCATENATE(VLOOKUP(ED251,games.a,9,FALSE),VLOOKUP(ED251,games.a,12,FALSE)))</f>
        <v/>
      </c>
      <c r="EF251" s="413"/>
      <c r="EG251" s="414"/>
      <c r="EH251" s="525" t="str">
        <f ca="1">IF(ED251="","",VLOOKUP(ED251,games.a,6,FALSE))</f>
        <v/>
      </c>
      <c r="EI251" s="362" t="str">
        <f ca="1">IF(ED251="","",VLOOKUP(ED251,games.a,7,FALSE))</f>
        <v/>
      </c>
      <c r="EJ251" s="526" t="str">
        <f ca="1">EJ250</f>
        <v/>
      </c>
      <c r="EK251" s="527"/>
      <c r="EL251" s="528"/>
      <c r="EO251" s="425"/>
    </row>
    <row r="252" spans="98:145" x14ac:dyDescent="0.25">
      <c r="CT252" s="395" t="str">
        <f t="shared" si="326"/>
        <v/>
      </c>
      <c r="CU252" s="360" t="str">
        <f ca="1">IF(OR(CT252="",DA252="",CT252=DA252,ISNA(VLOOKUP(CONCATENATE(CT252,DA252),games.r,2,FALSE))),"",CONCATENATE(CT252,DA252))</f>
        <v/>
      </c>
      <c r="CV252" s="360" t="str">
        <f ca="1">IF(CU252="","",CONCATENATE(VLOOKUP(CU252,games.r,9,FALSE),VLOOKUP(CU252,games.r,12,FALSE)))</f>
        <v/>
      </c>
      <c r="CW252" s="354" t="str">
        <f ca="1">IF(CU252="","",VLOOKUP(CU252,games.r,10,FALSE))</f>
        <v/>
      </c>
      <c r="CX252" s="354" t="str">
        <f ca="1">IF(CU252="","",VLOOKUP(CU252,games.r,13,FALSE))</f>
        <v/>
      </c>
      <c r="CY252" s="361" t="str">
        <f ca="1">IF(CU252="","",VLOOKUP(CU252,games.r,6,FALSE))</f>
        <v/>
      </c>
      <c r="CZ252" s="362" t="str">
        <f ca="1">IF(CU252="","",VLOOKUP(CU252,games.r,7,FALSE))</f>
        <v/>
      </c>
      <c r="DA252" s="379" t="str">
        <f t="shared" si="327"/>
        <v/>
      </c>
      <c r="DB252" s="302"/>
      <c r="DC252" s="364"/>
      <c r="DD252" s="445"/>
      <c r="DF252" s="424"/>
      <c r="DW252" s="424"/>
      <c r="DX252" s="424"/>
      <c r="DY252" s="424"/>
      <c r="DZ252" s="424"/>
      <c r="EA252" s="424"/>
      <c r="EC252" s="404" t="str">
        <f t="shared" si="325"/>
        <v/>
      </c>
      <c r="ED252" s="360" t="str">
        <f ca="1">IF(OR(EC252="",EJ252="",EC252=EJ252,ISNA(VLOOKUP(CONCATENATE(EC252,EJ252),games.a,2,FALSE))),"",CONCATENATE(EC252,EJ252))</f>
        <v/>
      </c>
      <c r="EE252" s="524" t="str">
        <f ca="1">IF(OR(ED252="",EJ232&gt;2),"",CONCATENATE(VLOOKUP(ED252,games.a,9,FALSE),VLOOKUP(ED252,games.a,12,FALSE)))</f>
        <v/>
      </c>
      <c r="EF252" s="413"/>
      <c r="EG252" s="414"/>
      <c r="EH252" s="525" t="str">
        <f ca="1">IF(ED252="","",VLOOKUP(ED252,games.a,6,FALSE))</f>
        <v/>
      </c>
      <c r="EI252" s="362" t="str">
        <f ca="1">IF(ED252="","",VLOOKUP(ED252,games.a,7,FALSE))</f>
        <v/>
      </c>
      <c r="EJ252" s="526" t="str">
        <f ca="1">EJ251</f>
        <v/>
      </c>
      <c r="EK252" s="527"/>
      <c r="EL252" s="528"/>
      <c r="EO252" s="425"/>
    </row>
    <row r="253" spans="98:145" x14ac:dyDescent="0.25">
      <c r="CT253" s="522" t="str">
        <f t="shared" si="326"/>
        <v/>
      </c>
      <c r="CU253" s="371" t="str">
        <f>IF(OR(CT253="",DA253="",CT253=DA253,ISNA(VLOOKUP(CONCATENATE(CT253,DA253),games.a,2,FALSE))),"",CONCATENATE(CT253,DA253))</f>
        <v/>
      </c>
      <c r="CV253" s="371" t="str">
        <f>IF(CU253="","",CONCATENATE(VLOOKUP(CU253,games.a,9,FALSE),VLOOKUP(CU253,games.a,12,FALSE)))</f>
        <v/>
      </c>
      <c r="CW253" s="369" t="str">
        <f>IF(CU253="","",VLOOKUP(CU253,games.a,10,FALSE))</f>
        <v/>
      </c>
      <c r="CX253" s="369" t="str">
        <f>IF(CU253="","",VLOOKUP(CU253,games.a,13,FALSE))</f>
        <v/>
      </c>
      <c r="CY253" s="423" t="str">
        <f>IF(CU253="","",VLOOKUP(CU253,games.a,6,FALSE))</f>
        <v/>
      </c>
      <c r="CZ253" s="409" t="str">
        <f>IF(CU253="","",VLOOKUP(CU253,games.a,7,FALSE))</f>
        <v/>
      </c>
      <c r="DA253" s="523" t="str">
        <f t="shared" si="327"/>
        <v/>
      </c>
      <c r="DB253" s="302"/>
      <c r="DC253" s="364"/>
      <c r="DD253" s="445"/>
      <c r="DF253" s="424"/>
      <c r="DW253" s="424"/>
      <c r="DX253" s="424"/>
      <c r="DY253" s="424"/>
      <c r="DZ253" s="424"/>
      <c r="EA253" s="424"/>
      <c r="EB253" s="424"/>
      <c r="EC253" s="424"/>
      <c r="ED253" s="424"/>
      <c r="EE253" s="424"/>
      <c r="EF253" s="424"/>
      <c r="EG253" s="424"/>
      <c r="EH253" s="424"/>
      <c r="EI253" s="424"/>
      <c r="EJ253" s="424"/>
      <c r="EK253" s="424"/>
      <c r="EL253" s="424"/>
      <c r="EO253" s="425"/>
    </row>
    <row r="254" spans="98:145" x14ac:dyDescent="0.25">
      <c r="CT254" s="522" t="str">
        <f t="shared" si="326"/>
        <v/>
      </c>
      <c r="CU254" s="371" t="str">
        <f>IF(OR(CT254="",DA254="",CT254=DA254,ISNA(VLOOKUP(CONCATENATE(CT254,DA254),games.a,2,FALSE))),"",CONCATENATE(CT254,DA254))</f>
        <v/>
      </c>
      <c r="CV254" s="371" t="str">
        <f>IF(CU254="","",CONCATENATE(VLOOKUP(CU254,games.a,9,FALSE),VLOOKUP(CU254,games.a,12,FALSE)))</f>
        <v/>
      </c>
      <c r="CW254" s="369" t="str">
        <f>IF(CU254="","",VLOOKUP(CU254,games.a,10,FALSE))</f>
        <v/>
      </c>
      <c r="CX254" s="369" t="str">
        <f>IF(CU254="","",VLOOKUP(CU254,games.a,13,FALSE))</f>
        <v/>
      </c>
      <c r="CY254" s="423" t="str">
        <f>IF(CU254="","",VLOOKUP(CU254,games.a,6,FALSE))</f>
        <v/>
      </c>
      <c r="CZ254" s="409" t="str">
        <f>IF(CU254="","",VLOOKUP(CU254,games.a,7,FALSE))</f>
        <v/>
      </c>
      <c r="DA254" s="523" t="str">
        <f t="shared" si="327"/>
        <v/>
      </c>
      <c r="DB254" s="302"/>
      <c r="DC254" s="364"/>
      <c r="DD254" s="445"/>
      <c r="DF254" s="424"/>
      <c r="DG254" s="424"/>
      <c r="DH254" s="424"/>
      <c r="DI254" s="424"/>
      <c r="DJ254" s="424"/>
      <c r="DK254" s="424"/>
      <c r="DL254" s="424"/>
      <c r="DM254" s="424"/>
      <c r="DN254" s="424"/>
      <c r="DO254" s="424"/>
      <c r="DP254" s="424"/>
      <c r="DQ254" s="424"/>
      <c r="DR254" s="424"/>
      <c r="DS254" s="424"/>
      <c r="DT254" s="424"/>
      <c r="DU254" s="424"/>
      <c r="DV254" s="424"/>
      <c r="DW254" s="424"/>
      <c r="DX254" s="424"/>
      <c r="DY254" s="424"/>
      <c r="DZ254" s="424"/>
      <c r="EA254" s="424"/>
      <c r="EB254" s="424"/>
      <c r="EC254" s="424"/>
      <c r="ED254" s="424"/>
      <c r="EE254" s="424"/>
      <c r="EF254" s="424"/>
      <c r="EG254" s="424"/>
      <c r="EH254" s="424"/>
      <c r="EI254" s="424"/>
      <c r="EJ254" s="424"/>
      <c r="EK254" s="424"/>
      <c r="EL254" s="424"/>
      <c r="EO254" s="425"/>
    </row>
    <row r="255" spans="98:145" x14ac:dyDescent="0.25">
      <c r="CT255" s="522" t="str">
        <f t="shared" si="326"/>
        <v/>
      </c>
      <c r="CU255" s="371" t="str">
        <f>IF(OR(CT255="",DA255="",CT255=DA255,ISNA(VLOOKUP(CONCATENATE(CT255,DA255),games.a,2,FALSE))),"",CONCATENATE(CT255,DA255))</f>
        <v/>
      </c>
      <c r="CV255" s="371" t="str">
        <f>IF(CU255="","",CONCATENATE(VLOOKUP(CU255,games.a,9,FALSE),VLOOKUP(CU255,games.a,12,FALSE)))</f>
        <v/>
      </c>
      <c r="CW255" s="369" t="str">
        <f>IF(CU255="","",VLOOKUP(CU255,games.a,10,FALSE))</f>
        <v/>
      </c>
      <c r="CX255" s="369" t="str">
        <f>IF(CU255="","",VLOOKUP(CU255,games.a,13,FALSE))</f>
        <v/>
      </c>
      <c r="CY255" s="423" t="str">
        <f>IF(CU255="","",VLOOKUP(CU255,games.a,6,FALSE))</f>
        <v/>
      </c>
      <c r="CZ255" s="409" t="str">
        <f>IF(CU255="","",VLOOKUP(CU255,games.a,7,FALSE))</f>
        <v/>
      </c>
      <c r="DA255" s="523" t="str">
        <f t="shared" si="327"/>
        <v/>
      </c>
      <c r="DB255" s="302"/>
      <c r="DC255" s="364"/>
      <c r="DD255" s="445"/>
      <c r="DF255" s="424"/>
      <c r="DG255" s="424"/>
      <c r="DH255" s="424"/>
      <c r="DI255" s="424"/>
      <c r="DJ255" s="424"/>
      <c r="DK255" s="424"/>
      <c r="DL255" s="424"/>
      <c r="DM255" s="424"/>
      <c r="DN255" s="424"/>
      <c r="DO255" s="424"/>
      <c r="DP255" s="424"/>
      <c r="DQ255" s="424"/>
      <c r="DR255" s="424"/>
      <c r="DS255" s="424"/>
      <c r="DT255" s="424"/>
      <c r="DU255" s="424"/>
      <c r="DV255" s="424"/>
      <c r="DW255" s="424"/>
      <c r="DX255" s="424"/>
      <c r="DY255" s="424"/>
      <c r="DZ255" s="424"/>
      <c r="EA255" s="424"/>
      <c r="EB255" s="424"/>
      <c r="EC255" s="398"/>
      <c r="ED255" s="329" t="s">
        <v>157</v>
      </c>
      <c r="EE255" s="329" t="s">
        <v>158</v>
      </c>
      <c r="EF255" s="399"/>
      <c r="EG255" s="400"/>
      <c r="EH255" s="401" t="s">
        <v>160</v>
      </c>
      <c r="EI255" s="402" t="s">
        <v>135</v>
      </c>
      <c r="EJ255" s="424"/>
      <c r="EK255" s="365"/>
      <c r="EL255" s="365"/>
      <c r="EO255" s="425"/>
    </row>
    <row r="256" spans="98:145" x14ac:dyDescent="0.25">
      <c r="CT256" s="522" t="str">
        <f t="shared" si="326"/>
        <v/>
      </c>
      <c r="CU256" s="371" t="str">
        <f>IF(OR(CT256="",DA256="",CT256=DA256,ISNA(VLOOKUP(CONCATENATE(CT256,DA256),games.a,2,FALSE))),"",CONCATENATE(CT256,DA256))</f>
        <v/>
      </c>
      <c r="CV256" s="371" t="str">
        <f>IF(CU256="","",CONCATENATE(VLOOKUP(CU256,games.a,9,FALSE),VLOOKUP(CU256,games.a,12,FALSE)))</f>
        <v/>
      </c>
      <c r="CW256" s="369" t="str">
        <f>IF(CU256="","",VLOOKUP(CU256,games.a,10,FALSE))</f>
        <v/>
      </c>
      <c r="CX256" s="369" t="str">
        <f>IF(CU256="","",VLOOKUP(CU256,games.a,13,FALSE))</f>
        <v/>
      </c>
      <c r="CY256" s="423" t="str">
        <f>IF(CU256="","",VLOOKUP(CU256,games.a,6,FALSE))</f>
        <v/>
      </c>
      <c r="CZ256" s="409" t="str">
        <f>IF(CU256="","",VLOOKUP(CU256,games.a,7,FALSE))</f>
        <v/>
      </c>
      <c r="DA256" s="523" t="str">
        <f t="shared" si="327"/>
        <v/>
      </c>
      <c r="DB256" s="302"/>
      <c r="DC256" s="364"/>
      <c r="DD256" s="445"/>
      <c r="DF256" s="424"/>
      <c r="DG256" s="424"/>
      <c r="DH256" s="424"/>
      <c r="DI256" s="424"/>
      <c r="DJ256" s="424"/>
      <c r="DK256" s="424"/>
      <c r="DL256" s="424"/>
      <c r="DM256" s="424"/>
      <c r="DN256" s="424"/>
      <c r="DO256" s="424"/>
      <c r="DP256" s="424"/>
      <c r="DQ256" s="424"/>
      <c r="DR256" s="424"/>
      <c r="DS256" s="424"/>
      <c r="DT256" s="424"/>
      <c r="DU256" s="424"/>
      <c r="DV256" s="424"/>
      <c r="DW256" s="424"/>
      <c r="DX256" s="424"/>
      <c r="DY256" s="424"/>
      <c r="DZ256" s="424"/>
      <c r="EA256" s="424"/>
      <c r="EB256" s="424"/>
      <c r="EC256" s="404" t="str">
        <f ca="1">IF(EI226="","",VLOOKUP(EI226,yyy.rr3,7,FALSE))</f>
        <v/>
      </c>
      <c r="ED256" s="371" t="str">
        <f ca="1">IF(OR(EC256="",EJ256="",EC256=EJ256,ISNA(VLOOKUP(CONCATENATE(EC256,EJ256),games.r,2,FALSE))),"",CONCATENATE(EC256,EJ256))</f>
        <v/>
      </c>
      <c r="EE256" s="371" t="str">
        <f ca="1">IF(ED256="","",CONCATENATE(VLOOKUP(ED256,games.r,9,FALSE),VLOOKUP(ED256,games.r,12,FALSE)))</f>
        <v/>
      </c>
      <c r="EF256" s="406"/>
      <c r="EG256" s="407"/>
      <c r="EH256" s="408" t="str">
        <f ca="1">IF(ED256="","",VLOOKUP(ED256,games.r,6,FALSE))</f>
        <v/>
      </c>
      <c r="EI256" s="409" t="str">
        <f ca="1">IF(ED256="","",VLOOKUP(ED256,games.r,7,FALSE))</f>
        <v/>
      </c>
      <c r="EJ256" s="410" t="str">
        <f ca="1">EC256</f>
        <v/>
      </c>
      <c r="EK256" s="411"/>
      <c r="EL256" s="412"/>
      <c r="EO256" s="425"/>
    </row>
    <row r="257" spans="98:145" x14ac:dyDescent="0.25">
      <c r="CT257" s="522" t="str">
        <f t="shared" si="326"/>
        <v/>
      </c>
      <c r="CU257" s="371" t="str">
        <f>IF(OR(CT257="",DA257="",CT257=DA257,ISNA(VLOOKUP(CONCATENATE(CT257,DA257),games.a,2,FALSE))),"",CONCATENATE(CT257,DA257))</f>
        <v/>
      </c>
      <c r="CV257" s="371" t="str">
        <f>IF(CU257="","",CONCATENATE(VLOOKUP(CU257,games.a,9,FALSE),VLOOKUP(CU257,games.a,12,FALSE)))</f>
        <v/>
      </c>
      <c r="CW257" s="369" t="str">
        <f>IF(CU257="","",VLOOKUP(CU257,games.a,10,FALSE))</f>
        <v/>
      </c>
      <c r="CX257" s="369" t="str">
        <f>IF(CU257="","",VLOOKUP(CU257,games.a,13,FALSE))</f>
        <v/>
      </c>
      <c r="CY257" s="423" t="str">
        <f>IF(CU257="","",VLOOKUP(CU257,games.a,6,FALSE))</f>
        <v/>
      </c>
      <c r="CZ257" s="409" t="str">
        <f>IF(CU257="","",VLOOKUP(CU257,games.a,7,FALSE))</f>
        <v/>
      </c>
      <c r="DA257" s="523" t="str">
        <f t="shared" si="327"/>
        <v/>
      </c>
      <c r="DB257" s="302"/>
      <c r="DC257" s="364"/>
      <c r="DD257" s="445"/>
      <c r="DF257" s="424"/>
      <c r="DG257" s="424"/>
      <c r="DH257" s="424"/>
      <c r="DI257" s="424"/>
      <c r="DJ257" s="424"/>
      <c r="DK257" s="424"/>
      <c r="DL257" s="424"/>
      <c r="DM257" s="424"/>
      <c r="DN257" s="424"/>
      <c r="DO257" s="424"/>
      <c r="DP257" s="424"/>
      <c r="DQ257" s="424"/>
      <c r="DR257" s="424"/>
      <c r="DS257" s="424"/>
      <c r="DT257" s="424"/>
      <c r="DU257" s="424"/>
      <c r="DV257" s="424"/>
      <c r="DW257" s="424"/>
      <c r="DX257" s="424"/>
      <c r="DY257" s="424"/>
      <c r="DZ257" s="424"/>
      <c r="EA257" s="424"/>
      <c r="EB257" s="424"/>
      <c r="EC257" s="404" t="str">
        <f ca="1">IF(EI227="","",VLOOKUP(EI227,yyy.rr3,7,FALSE))</f>
        <v/>
      </c>
      <c r="ED257" s="371" t="str">
        <f ca="1">IF(OR(EC257="",EJ257="",EC257=EJ257,ISNA(VLOOKUP(CONCATENATE(EC257,EJ257),games.r,2,FALSE))),"",CONCATENATE(EC257,EJ257))</f>
        <v/>
      </c>
      <c r="EE257" s="371" t="str">
        <f ca="1">IF(ED257="","",CONCATENATE(VLOOKUP(ED257,games.r,9,FALSE),VLOOKUP(ED257,games.r,12,FALSE)))</f>
        <v/>
      </c>
      <c r="EF257" s="413"/>
      <c r="EG257" s="414"/>
      <c r="EH257" s="408" t="str">
        <f ca="1">IF(ED257="","",VLOOKUP(ED257,games.r,6,FALSE))</f>
        <v/>
      </c>
      <c r="EI257" s="409" t="str">
        <f ca="1">IF(ED257="","",VLOOKUP(ED257,games.r,7,FALSE))</f>
        <v/>
      </c>
      <c r="EJ257" s="415" t="str">
        <f ca="1">EJ256</f>
        <v/>
      </c>
      <c r="EK257" s="416"/>
      <c r="EL257" s="417"/>
      <c r="EO257" s="425"/>
    </row>
    <row r="258" spans="98:145" x14ac:dyDescent="0.25">
      <c r="CT258" s="301"/>
      <c r="CU258" s="324" t="s">
        <v>157</v>
      </c>
      <c r="CV258" s="324" t="s">
        <v>158</v>
      </c>
      <c r="CW258" s="325" t="s">
        <v>159</v>
      </c>
      <c r="CX258" s="325"/>
      <c r="CY258" s="326" t="s">
        <v>160</v>
      </c>
      <c r="CZ258" s="325" t="s">
        <v>135</v>
      </c>
      <c r="DA258" s="302"/>
      <c r="DB258" s="302"/>
      <c r="DC258" s="364"/>
      <c r="DD258" s="445"/>
      <c r="DF258" s="424"/>
      <c r="DG258" s="424"/>
      <c r="DH258" s="424"/>
      <c r="DI258" s="424"/>
      <c r="DJ258" s="424"/>
      <c r="DK258" s="424"/>
      <c r="DL258" s="424"/>
      <c r="DM258" s="424"/>
      <c r="DN258" s="424"/>
      <c r="DO258" s="424"/>
      <c r="DP258" s="424"/>
      <c r="DQ258" s="424"/>
      <c r="DR258" s="424"/>
      <c r="DS258" s="424"/>
      <c r="DT258" s="424"/>
      <c r="DU258" s="424"/>
      <c r="DV258" s="424"/>
      <c r="DW258" s="424"/>
      <c r="DX258" s="424"/>
      <c r="DY258" s="424"/>
      <c r="DZ258" s="424"/>
      <c r="EA258" s="424"/>
      <c r="EB258" s="424"/>
      <c r="EC258" s="404" t="str">
        <f>IF(NOT($AD$112),"",EC256)</f>
        <v/>
      </c>
      <c r="ED258" s="360" t="str">
        <f ca="1">IF(OR(EC258="",EJ258="",EC258=EJ258,ISNA(VLOOKUP(CONCATENATE(EC258,EJ258),games.a,2,FALSE))),"",CONCATENATE(EC258,EJ258))</f>
        <v/>
      </c>
      <c r="EE258" s="360" t="str">
        <f ca="1">IF(ED258="","",CONCATENATE(VLOOKUP(ED258,games.a,9,FALSE),VLOOKUP(ED258,games.a,12,FALSE)))</f>
        <v/>
      </c>
      <c r="EF258" s="413"/>
      <c r="EG258" s="414"/>
      <c r="EH258" s="525" t="str">
        <f ca="1">IF(ED258="","",VLOOKUP(ED258,games.a,6,FALSE))</f>
        <v/>
      </c>
      <c r="EI258" s="362" t="str">
        <f ca="1">IF(ED258="","",VLOOKUP(ED258,games.a,7,FALSE))</f>
        <v/>
      </c>
      <c r="EJ258" s="526" t="str">
        <f ca="1">EJ257</f>
        <v/>
      </c>
      <c r="EK258" s="527"/>
      <c r="EL258" s="528"/>
      <c r="EO258" s="425"/>
    </row>
    <row r="259" spans="98:145" x14ac:dyDescent="0.25">
      <c r="CT259" s="395" t="str">
        <f t="shared" ref="CT259:CT268" si="328">CT248</f>
        <v/>
      </c>
      <c r="CU259" s="360" t="str">
        <f ca="1">IF(OR(CT259="",DA259="",CT259=DA259,ISNA(VLOOKUP(CONCATENATE(CT259,DA259),games.r,2,FALSE))),"",CONCATENATE(CT259,DA259))</f>
        <v/>
      </c>
      <c r="CV259" s="360" t="str">
        <f ca="1">IF(CU259="","",CONCATENATE(VLOOKUP(CU259,games.r,9,FALSE),VLOOKUP(CU259,games.r,12,FALSE)))</f>
        <v/>
      </c>
      <c r="CW259" s="354" t="str">
        <f ca="1">IF(CU259="","",VLOOKUP(CU259,games.r,10,FALSE))</f>
        <v/>
      </c>
      <c r="CX259" s="354" t="str">
        <f ca="1">IF(CU259="","",VLOOKUP(CU259,games.r,13,FALSE))</f>
        <v/>
      </c>
      <c r="CY259" s="361" t="str">
        <f ca="1">IF(CU259="","",VLOOKUP(CU259,games.r,6,FALSE))</f>
        <v/>
      </c>
      <c r="CZ259" s="362" t="str">
        <f ca="1">IF(CU259="","",VLOOKUP(CU259,games.r,7,FALSE))</f>
        <v/>
      </c>
      <c r="DA259" s="363" t="str">
        <f>CT229</f>
        <v/>
      </c>
      <c r="DB259" s="302"/>
      <c r="DC259" s="364"/>
      <c r="DD259" s="445"/>
      <c r="DF259" s="424"/>
      <c r="DG259" s="424"/>
      <c r="DH259" s="424"/>
      <c r="DI259" s="424"/>
      <c r="DJ259" s="424"/>
      <c r="DK259" s="424"/>
      <c r="DL259" s="424"/>
      <c r="DM259" s="424"/>
      <c r="DN259" s="424"/>
      <c r="DO259" s="424"/>
      <c r="DP259" s="424"/>
      <c r="DQ259" s="424"/>
      <c r="DR259" s="424"/>
      <c r="DS259" s="424"/>
      <c r="DT259" s="424"/>
      <c r="DU259" s="424"/>
      <c r="DV259" s="424"/>
      <c r="DW259" s="424"/>
      <c r="DX259" s="424"/>
      <c r="DY259" s="424"/>
      <c r="DZ259" s="424"/>
      <c r="EA259" s="424"/>
      <c r="EB259" s="424"/>
      <c r="EC259" s="404" t="str">
        <f>IF(NOT($AD$112),"",EC257)</f>
        <v/>
      </c>
      <c r="ED259" s="360" t="str">
        <f ca="1">IF(OR(EC259="",EJ259="",EC259=EJ259,ISNA(VLOOKUP(CONCATENATE(EC259,EJ259),games.a,2,FALSE))),"",CONCATENATE(EC259,EJ259))</f>
        <v/>
      </c>
      <c r="EE259" s="360" t="str">
        <f ca="1">IF(ED259="","",CONCATENATE(VLOOKUP(ED259,games.a,9,FALSE),VLOOKUP(ED259,games.a,12,FALSE)))</f>
        <v/>
      </c>
      <c r="EF259" s="413"/>
      <c r="EG259" s="414"/>
      <c r="EH259" s="525" t="str">
        <f ca="1">IF(ED259="","",VLOOKUP(ED259,games.a,6,FALSE))</f>
        <v/>
      </c>
      <c r="EI259" s="362" t="str">
        <f ca="1">IF(ED259="","",VLOOKUP(ED259,games.a,7,FALSE))</f>
        <v/>
      </c>
      <c r="EJ259" s="526" t="str">
        <f ca="1">EJ258</f>
        <v/>
      </c>
      <c r="EK259" s="527"/>
      <c r="EL259" s="528"/>
      <c r="EO259" s="425"/>
    </row>
    <row r="260" spans="98:145" x14ac:dyDescent="0.25">
      <c r="CT260" s="395" t="str">
        <f t="shared" si="328"/>
        <v/>
      </c>
      <c r="CU260" s="360" t="str">
        <f ca="1">IF(OR(CT260="",DA260="",CT260=DA260,ISNA(VLOOKUP(CONCATENATE(CT260,DA260),games.r,2,FALSE))),"",CONCATENATE(CT260,DA260))</f>
        <v/>
      </c>
      <c r="CV260" s="360" t="str">
        <f ca="1">IF(CU260="","",CONCATENATE(VLOOKUP(CU260,games.r,9,FALSE),VLOOKUP(CU260,games.r,12,FALSE)))</f>
        <v/>
      </c>
      <c r="CW260" s="354" t="str">
        <f ca="1">IF(CU260="","",VLOOKUP(CU260,games.r,10,FALSE))</f>
        <v/>
      </c>
      <c r="CX260" s="354" t="str">
        <f ca="1">IF(CU260="","",VLOOKUP(CU260,games.r,13,FALSE))</f>
        <v/>
      </c>
      <c r="CY260" s="361" t="str">
        <f ca="1">IF(CU260="","",VLOOKUP(CU260,games.r,6,FALSE))</f>
        <v/>
      </c>
      <c r="CZ260" s="362" t="str">
        <f ca="1">IF(CU260="","",VLOOKUP(CU260,games.r,7,FALSE))</f>
        <v/>
      </c>
      <c r="DA260" s="379" t="str">
        <f t="shared" ref="DA260:DA268" si="329">DA259</f>
        <v/>
      </c>
      <c r="DB260" s="302"/>
      <c r="DC260" s="364"/>
      <c r="DD260" s="445"/>
      <c r="DF260" s="424"/>
      <c r="DG260" s="424"/>
      <c r="DH260" s="424"/>
      <c r="DI260" s="424"/>
      <c r="DJ260" s="424"/>
      <c r="DK260" s="424"/>
      <c r="DL260" s="424"/>
      <c r="DM260" s="424"/>
      <c r="DN260" s="424"/>
      <c r="DO260" s="424"/>
      <c r="DP260" s="424"/>
      <c r="DQ260" s="424"/>
      <c r="DR260" s="424"/>
      <c r="DS260" s="424"/>
      <c r="DT260" s="424"/>
      <c r="DU260" s="424"/>
      <c r="DV260" s="424"/>
      <c r="DW260" s="424"/>
      <c r="DX260" s="424"/>
      <c r="DY260" s="424"/>
      <c r="DZ260" s="424"/>
      <c r="EA260" s="424"/>
      <c r="EB260" s="424"/>
      <c r="EC260" s="404"/>
      <c r="ED260" s="329" t="s">
        <v>157</v>
      </c>
      <c r="EE260" s="329" t="s">
        <v>158</v>
      </c>
      <c r="EF260" s="399"/>
      <c r="EG260" s="400"/>
      <c r="EH260" s="401" t="s">
        <v>160</v>
      </c>
      <c r="EI260" s="402" t="s">
        <v>135</v>
      </c>
      <c r="EJ260" s="398"/>
      <c r="EK260" s="365"/>
      <c r="EL260" s="365"/>
      <c r="EO260" s="425"/>
    </row>
    <row r="261" spans="98:145" x14ac:dyDescent="0.25">
      <c r="CT261" s="395" t="str">
        <f t="shared" si="328"/>
        <v/>
      </c>
      <c r="CU261" s="360" t="str">
        <f ca="1">IF(OR(CT261="",DA261="",CT261=DA261,ISNA(VLOOKUP(CONCATENATE(CT261,DA261),games.r,2,FALSE))),"",CONCATENATE(CT261,DA261))</f>
        <v/>
      </c>
      <c r="CV261" s="360" t="str">
        <f ca="1">IF(CU261="","",CONCATENATE(VLOOKUP(CU261,games.r,9,FALSE),VLOOKUP(CU261,games.r,12,FALSE)))</f>
        <v/>
      </c>
      <c r="CW261" s="354" t="str">
        <f ca="1">IF(CU261="","",VLOOKUP(CU261,games.r,10,FALSE))</f>
        <v/>
      </c>
      <c r="CX261" s="354" t="str">
        <f ca="1">IF(CU261="","",VLOOKUP(CU261,games.r,13,FALSE))</f>
        <v/>
      </c>
      <c r="CY261" s="361" t="str">
        <f ca="1">IF(CU261="","",VLOOKUP(CU261,games.r,6,FALSE))</f>
        <v/>
      </c>
      <c r="CZ261" s="362" t="str">
        <f ca="1">IF(CU261="","",VLOOKUP(CU261,games.r,7,FALSE))</f>
        <v/>
      </c>
      <c r="DA261" s="379" t="str">
        <f t="shared" si="329"/>
        <v/>
      </c>
      <c r="DB261" s="302"/>
      <c r="DC261" s="364"/>
      <c r="DD261" s="445"/>
      <c r="DF261" s="424"/>
      <c r="DG261" s="424"/>
      <c r="DH261" s="424"/>
      <c r="DI261" s="424"/>
      <c r="DJ261" s="424"/>
      <c r="DK261" s="424"/>
      <c r="DL261" s="424"/>
      <c r="DM261" s="424"/>
      <c r="DN261" s="424"/>
      <c r="DO261" s="424"/>
      <c r="DP261" s="424"/>
      <c r="DQ261" s="424"/>
      <c r="DR261" s="424"/>
      <c r="DS261" s="424"/>
      <c r="DT261" s="424"/>
      <c r="DU261" s="424"/>
      <c r="DV261" s="424"/>
      <c r="DW261" s="424"/>
      <c r="DX261" s="424"/>
      <c r="DY261" s="424"/>
      <c r="DZ261" s="424"/>
      <c r="EA261" s="424"/>
      <c r="EB261" s="424"/>
      <c r="EC261" s="404" t="str">
        <f ca="1">EC256</f>
        <v/>
      </c>
      <c r="ED261" s="371" t="str">
        <f ca="1">IF(OR(EC261="",EJ261="",EC261=EJ261,ISNA(VLOOKUP(CONCATENATE(EC261,EJ261),games.r,2,FALSE))),"",CONCATENATE(EC261,EJ261))</f>
        <v/>
      </c>
      <c r="EE261" s="371" t="str">
        <f ca="1">IF(ED261="","",CONCATENATE(VLOOKUP(ED261,games.r,9,FALSE),VLOOKUP(ED261,games.r,12,FALSE)))</f>
        <v/>
      </c>
      <c r="EF261" s="406"/>
      <c r="EG261" s="407"/>
      <c r="EH261" s="408" t="str">
        <f ca="1">IF(ED261="","",VLOOKUP(ED261,games.r,6,FALSE))</f>
        <v/>
      </c>
      <c r="EI261" s="409" t="str">
        <f ca="1">IF(ED261="","",VLOOKUP(ED261,games.r,7,FALSE))</f>
        <v/>
      </c>
      <c r="EJ261" s="410" t="str">
        <f ca="1">EC257</f>
        <v/>
      </c>
      <c r="EK261" s="411"/>
      <c r="EL261" s="412"/>
      <c r="EO261" s="425"/>
    </row>
    <row r="262" spans="98:145" x14ac:dyDescent="0.25">
      <c r="CT262" s="395" t="str">
        <f t="shared" si="328"/>
        <v/>
      </c>
      <c r="CU262" s="360" t="str">
        <f ca="1">IF(OR(CT262="",DA262="",CT262=DA262,ISNA(VLOOKUP(CONCATENATE(CT262,DA262),games.r,2,FALSE))),"",CONCATENATE(CT262,DA262))</f>
        <v/>
      </c>
      <c r="CV262" s="360" t="str">
        <f ca="1">IF(CU262="","",CONCATENATE(VLOOKUP(CU262,games.r,9,FALSE),VLOOKUP(CU262,games.r,12,FALSE)))</f>
        <v/>
      </c>
      <c r="CW262" s="354" t="str">
        <f ca="1">IF(CU262="","",VLOOKUP(CU262,games.r,10,FALSE))</f>
        <v/>
      </c>
      <c r="CX262" s="354" t="str">
        <f ca="1">IF(CU262="","",VLOOKUP(CU262,games.r,13,FALSE))</f>
        <v/>
      </c>
      <c r="CY262" s="361" t="str">
        <f ca="1">IF(CU262="","",VLOOKUP(CU262,games.r,6,FALSE))</f>
        <v/>
      </c>
      <c r="CZ262" s="362" t="str">
        <f ca="1">IF(CU262="","",VLOOKUP(CU262,games.r,7,FALSE))</f>
        <v/>
      </c>
      <c r="DA262" s="379" t="str">
        <f t="shared" si="329"/>
        <v/>
      </c>
      <c r="DB262" s="302"/>
      <c r="DC262" s="364"/>
      <c r="DD262" s="445"/>
      <c r="DF262" s="424"/>
      <c r="DG262" s="424"/>
      <c r="DH262" s="424"/>
      <c r="DI262" s="424"/>
      <c r="DJ262" s="424"/>
      <c r="DK262" s="424"/>
      <c r="DL262" s="424"/>
      <c r="DM262" s="424"/>
      <c r="DN262" s="424"/>
      <c r="DO262" s="424"/>
      <c r="DP262" s="424"/>
      <c r="DQ262" s="424"/>
      <c r="DR262" s="424"/>
      <c r="DS262" s="424"/>
      <c r="DT262" s="424"/>
      <c r="DU262" s="424"/>
      <c r="DV262" s="424"/>
      <c r="DW262" s="424"/>
      <c r="DX262" s="424"/>
      <c r="DY262" s="424"/>
      <c r="DZ262" s="424"/>
      <c r="EA262" s="424"/>
      <c r="EB262" s="424"/>
      <c r="EC262" s="404" t="str">
        <f ca="1">EC257</f>
        <v/>
      </c>
      <c r="ED262" s="371" t="str">
        <f ca="1">IF(OR(EC262="",EJ262="",EC262=EJ262,ISNA(VLOOKUP(CONCATENATE(EC262,EJ262),games.r,2,FALSE))),"",CONCATENATE(EC262,EJ262))</f>
        <v/>
      </c>
      <c r="EE262" s="371" t="str">
        <f ca="1">IF(ED262="","",CONCATENATE(VLOOKUP(ED262,games.r,9,FALSE),VLOOKUP(ED262,games.r,12,FALSE)))</f>
        <v/>
      </c>
      <c r="EF262" s="413"/>
      <c r="EG262" s="414"/>
      <c r="EH262" s="408" t="str">
        <f ca="1">IF(ED262="","",VLOOKUP(ED262,games.r,6,FALSE))</f>
        <v/>
      </c>
      <c r="EI262" s="409" t="str">
        <f ca="1">IF(ED262="","",VLOOKUP(ED262,games.r,7,FALSE))</f>
        <v/>
      </c>
      <c r="EJ262" s="415" t="str">
        <f ca="1">EJ261</f>
        <v/>
      </c>
      <c r="EK262" s="416"/>
      <c r="EL262" s="417"/>
      <c r="EO262" s="425"/>
    </row>
    <row r="263" spans="98:145" x14ac:dyDescent="0.25">
      <c r="CT263" s="395" t="str">
        <f t="shared" si="328"/>
        <v/>
      </c>
      <c r="CU263" s="360" t="str">
        <f ca="1">IF(OR(CT263="",DA263="",CT263=DA263,ISNA(VLOOKUP(CONCATENATE(CT263,DA263),games.r,2,FALSE))),"",CONCATENATE(CT263,DA263))</f>
        <v/>
      </c>
      <c r="CV263" s="360" t="str">
        <f ca="1">IF(CU263="","",CONCATENATE(VLOOKUP(CU263,games.r,9,FALSE),VLOOKUP(CU263,games.r,12,FALSE)))</f>
        <v/>
      </c>
      <c r="CW263" s="354" t="str">
        <f ca="1">IF(CU263="","",VLOOKUP(CU263,games.r,10,FALSE))</f>
        <v/>
      </c>
      <c r="CX263" s="354" t="str">
        <f ca="1">IF(CU263="","",VLOOKUP(CU263,games.r,13,FALSE))</f>
        <v/>
      </c>
      <c r="CY263" s="361" t="str">
        <f ca="1">IF(CU263="","",VLOOKUP(CU263,games.r,6,FALSE))</f>
        <v/>
      </c>
      <c r="CZ263" s="362" t="str">
        <f ca="1">IF(CU263="","",VLOOKUP(CU263,games.r,7,FALSE))</f>
        <v/>
      </c>
      <c r="DA263" s="379" t="str">
        <f t="shared" si="329"/>
        <v/>
      </c>
      <c r="DB263" s="302"/>
      <c r="DC263" s="364"/>
      <c r="DD263" s="445"/>
      <c r="DF263" s="424"/>
      <c r="DG263" s="424"/>
      <c r="DH263" s="424"/>
      <c r="DI263" s="424"/>
      <c r="DJ263" s="424"/>
      <c r="DK263" s="424"/>
      <c r="DL263" s="424"/>
      <c r="DM263" s="424"/>
      <c r="DN263" s="424"/>
      <c r="DO263" s="424"/>
      <c r="DP263" s="424"/>
      <c r="DQ263" s="424"/>
      <c r="DR263" s="424"/>
      <c r="DS263" s="424"/>
      <c r="DT263" s="424"/>
      <c r="DU263" s="424"/>
      <c r="DV263" s="424"/>
      <c r="DW263" s="424"/>
      <c r="DX263" s="424"/>
      <c r="DY263" s="424"/>
      <c r="DZ263" s="424"/>
      <c r="EA263" s="424"/>
      <c r="EB263" s="424"/>
      <c r="EC263" s="404" t="str">
        <f>EC258</f>
        <v/>
      </c>
      <c r="ED263" s="360" t="str">
        <f ca="1">IF(OR(EC263="",EJ263="",EC263=EJ263,ISNA(VLOOKUP(CONCATENATE(EC263,EJ263),games.a,2,FALSE))),"",CONCATENATE(EC263,EJ263))</f>
        <v/>
      </c>
      <c r="EE263" s="360" t="str">
        <f ca="1">IF(ED263="","",CONCATENATE(VLOOKUP(ED263,games.a,9,FALSE),VLOOKUP(ED263,games.a,12,FALSE)))</f>
        <v/>
      </c>
      <c r="EF263" s="413"/>
      <c r="EG263" s="414"/>
      <c r="EH263" s="525" t="str">
        <f ca="1">IF(ED263="","",VLOOKUP(ED263,games.a,6,FALSE))</f>
        <v/>
      </c>
      <c r="EI263" s="362" t="str">
        <f ca="1">IF(ED263="","",VLOOKUP(ED263,games.a,7,FALSE))</f>
        <v/>
      </c>
      <c r="EJ263" s="526" t="str">
        <f ca="1">EJ262</f>
        <v/>
      </c>
      <c r="EK263" s="527"/>
      <c r="EL263" s="528"/>
      <c r="EO263" s="425"/>
    </row>
    <row r="264" spans="98:145" x14ac:dyDescent="0.25">
      <c r="CT264" s="522" t="str">
        <f t="shared" si="328"/>
        <v/>
      </c>
      <c r="CU264" s="371" t="str">
        <f>IF(OR(CT264="",DA264="",CT264=DA264,ISNA(VLOOKUP(CONCATENATE(CT264,DA264),games.a,2,FALSE))),"",CONCATENATE(CT264,DA264))</f>
        <v/>
      </c>
      <c r="CV264" s="371" t="str">
        <f>IF(CU264="","",CONCATENATE(VLOOKUP(CU264,games.a,9,FALSE),VLOOKUP(CU264,games.a,12,FALSE)))</f>
        <v/>
      </c>
      <c r="CW264" s="369" t="str">
        <f>IF(CU264="","",VLOOKUP(CU264,games.a,10,FALSE))</f>
        <v/>
      </c>
      <c r="CX264" s="369" t="str">
        <f>IF(CU264="","",VLOOKUP(CU264,games.a,13,FALSE))</f>
        <v/>
      </c>
      <c r="CY264" s="423" t="str">
        <f>IF(CU264="","",VLOOKUP(CU264,games.a,6,FALSE))</f>
        <v/>
      </c>
      <c r="CZ264" s="409" t="str">
        <f>IF(CU264="","",VLOOKUP(CU264,games.a,7,FALSE))</f>
        <v/>
      </c>
      <c r="DA264" s="523" t="str">
        <f t="shared" si="329"/>
        <v/>
      </c>
      <c r="DB264" s="302"/>
      <c r="DC264" s="364"/>
      <c r="DD264" s="445"/>
      <c r="DF264" s="424"/>
      <c r="DG264" s="424"/>
      <c r="DH264" s="424"/>
      <c r="DI264" s="424"/>
      <c r="DJ264" s="424"/>
      <c r="DK264" s="424"/>
      <c r="DL264" s="424"/>
      <c r="DM264" s="424"/>
      <c r="DN264" s="424"/>
      <c r="DO264" s="424"/>
      <c r="DP264" s="424"/>
      <c r="DQ264" s="424"/>
      <c r="DR264" s="424"/>
      <c r="DS264" s="424"/>
      <c r="DT264" s="424"/>
      <c r="DU264" s="424"/>
      <c r="DV264" s="424"/>
      <c r="DW264" s="424"/>
      <c r="DX264" s="424"/>
      <c r="DY264" s="424"/>
      <c r="DZ264" s="424"/>
      <c r="EA264" s="424"/>
      <c r="EB264" s="424"/>
      <c r="EC264" s="404" t="str">
        <f>EC259</f>
        <v/>
      </c>
      <c r="ED264" s="360" t="str">
        <f ca="1">IF(OR(EC264="",EJ264="",EC264=EJ264,ISNA(VLOOKUP(CONCATENATE(EC264,EJ264),games.a,2,FALSE))),"",CONCATENATE(EC264,EJ264))</f>
        <v/>
      </c>
      <c r="EE264" s="360" t="str">
        <f ca="1">IF(ED264="","",CONCATENATE(VLOOKUP(ED264,games.a,9,FALSE),VLOOKUP(ED264,games.a,12,FALSE)))</f>
        <v/>
      </c>
      <c r="EF264" s="420"/>
      <c r="EG264" s="421"/>
      <c r="EH264" s="525" t="str">
        <f ca="1">IF(ED264="","",VLOOKUP(ED264,games.a,6,FALSE))</f>
        <v/>
      </c>
      <c r="EI264" s="362" t="str">
        <f ca="1">IF(ED264="","",VLOOKUP(ED264,games.a,7,FALSE))</f>
        <v/>
      </c>
      <c r="EJ264" s="526" t="str">
        <f ca="1">EJ263</f>
        <v/>
      </c>
      <c r="EK264" s="527"/>
      <c r="EL264" s="528"/>
      <c r="EO264" s="425"/>
    </row>
    <row r="265" spans="98:145" x14ac:dyDescent="0.25">
      <c r="CT265" s="522" t="str">
        <f t="shared" si="328"/>
        <v/>
      </c>
      <c r="CU265" s="371" t="str">
        <f>IF(OR(CT265="",DA265="",CT265=DA265,ISNA(VLOOKUP(CONCATENATE(CT265,DA265),games.a,2,FALSE))),"",CONCATENATE(CT265,DA265))</f>
        <v/>
      </c>
      <c r="CV265" s="371" t="str">
        <f>IF(CU265="","",CONCATENATE(VLOOKUP(CU265,games.a,9,FALSE),VLOOKUP(CU265,games.a,12,FALSE)))</f>
        <v/>
      </c>
      <c r="CW265" s="369" t="str">
        <f>IF(CU265="","",VLOOKUP(CU265,games.a,10,FALSE))</f>
        <v/>
      </c>
      <c r="CX265" s="369" t="str">
        <f>IF(CU265="","",VLOOKUP(CU265,games.a,13,FALSE))</f>
        <v/>
      </c>
      <c r="CY265" s="423" t="str">
        <f>IF(CU265="","",VLOOKUP(CU265,games.a,6,FALSE))</f>
        <v/>
      </c>
      <c r="CZ265" s="409" t="str">
        <f>IF(CU265="","",VLOOKUP(CU265,games.a,7,FALSE))</f>
        <v/>
      </c>
      <c r="DA265" s="523" t="str">
        <f t="shared" si="329"/>
        <v/>
      </c>
      <c r="DB265" s="302"/>
      <c r="DC265" s="364"/>
      <c r="DD265" s="445"/>
      <c r="DF265" s="424"/>
      <c r="DW265" s="424"/>
      <c r="DX265" s="424"/>
      <c r="DY265" s="424"/>
      <c r="DZ265" s="424"/>
      <c r="EA265" s="424"/>
      <c r="EB265" s="424"/>
      <c r="EO265" s="425"/>
    </row>
    <row r="266" spans="98:145" x14ac:dyDescent="0.25">
      <c r="CT266" s="522" t="str">
        <f t="shared" si="328"/>
        <v/>
      </c>
      <c r="CU266" s="371" t="str">
        <f>IF(OR(CT266="",DA266="",CT266=DA266,ISNA(VLOOKUP(CONCATENATE(CT266,DA266),games.a,2,FALSE))),"",CONCATENATE(CT266,DA266))</f>
        <v/>
      </c>
      <c r="CV266" s="371" t="str">
        <f>IF(CU266="","",CONCATENATE(VLOOKUP(CU266,games.a,9,FALSE),VLOOKUP(CU266,games.a,12,FALSE)))</f>
        <v/>
      </c>
      <c r="CW266" s="369" t="str">
        <f>IF(CU266="","",VLOOKUP(CU266,games.a,10,FALSE))</f>
        <v/>
      </c>
      <c r="CX266" s="369" t="str">
        <f>IF(CU266="","",VLOOKUP(CU266,games.a,13,FALSE))</f>
        <v/>
      </c>
      <c r="CY266" s="423" t="str">
        <f>IF(CU266="","",VLOOKUP(CU266,games.a,6,FALSE))</f>
        <v/>
      </c>
      <c r="CZ266" s="409" t="str">
        <f>IF(CU266="","",VLOOKUP(CU266,games.a,7,FALSE))</f>
        <v/>
      </c>
      <c r="DA266" s="523" t="str">
        <f t="shared" si="329"/>
        <v/>
      </c>
      <c r="DB266" s="302"/>
      <c r="DC266" s="364"/>
      <c r="DD266" s="445"/>
      <c r="DF266" s="424"/>
      <c r="DW266" s="424"/>
      <c r="DX266" s="424"/>
      <c r="DY266" s="424"/>
      <c r="DZ266" s="424"/>
      <c r="EA266" s="424"/>
      <c r="EB266" s="424"/>
      <c r="EO266" s="425"/>
    </row>
    <row r="267" spans="98:145" x14ac:dyDescent="0.25">
      <c r="CT267" s="522" t="str">
        <f t="shared" si="328"/>
        <v/>
      </c>
      <c r="CU267" s="371" t="str">
        <f>IF(OR(CT267="",DA267="",CT267=DA267,ISNA(VLOOKUP(CONCATENATE(CT267,DA267),games.a,2,FALSE))),"",CONCATENATE(CT267,DA267))</f>
        <v/>
      </c>
      <c r="CV267" s="371" t="str">
        <f>IF(CU267="","",CONCATENATE(VLOOKUP(CU267,games.a,9,FALSE),VLOOKUP(CU267,games.a,12,FALSE)))</f>
        <v/>
      </c>
      <c r="CW267" s="369" t="str">
        <f>IF(CU267="","",VLOOKUP(CU267,games.a,10,FALSE))</f>
        <v/>
      </c>
      <c r="CX267" s="369" t="str">
        <f>IF(CU267="","",VLOOKUP(CU267,games.a,13,FALSE))</f>
        <v/>
      </c>
      <c r="CY267" s="423" t="str">
        <f>IF(CU267="","",VLOOKUP(CU267,games.a,6,FALSE))</f>
        <v/>
      </c>
      <c r="CZ267" s="409" t="str">
        <f>IF(CU267="","",VLOOKUP(CU267,games.a,7,FALSE))</f>
        <v/>
      </c>
      <c r="DA267" s="523" t="str">
        <f t="shared" si="329"/>
        <v/>
      </c>
      <c r="DB267" s="302"/>
      <c r="DC267" s="364"/>
      <c r="DD267" s="445"/>
      <c r="DF267" s="424"/>
      <c r="DW267" s="424"/>
      <c r="DX267" s="424"/>
      <c r="DY267" s="424"/>
      <c r="DZ267" s="424"/>
      <c r="EA267" s="424"/>
      <c r="EB267" s="424"/>
      <c r="EO267" s="425"/>
    </row>
    <row r="268" spans="98:145" x14ac:dyDescent="0.25">
      <c r="CT268" s="522" t="str">
        <f t="shared" si="328"/>
        <v/>
      </c>
      <c r="CU268" s="371" t="str">
        <f>IF(OR(CT268="",DA268="",CT268=DA268,ISNA(VLOOKUP(CONCATENATE(CT268,DA268),games.a,2,FALSE))),"",CONCATENATE(CT268,DA268))</f>
        <v/>
      </c>
      <c r="CV268" s="371" t="str">
        <f>IF(CU268="","",CONCATENATE(VLOOKUP(CU268,games.a,9,FALSE),VLOOKUP(CU268,games.a,12,FALSE)))</f>
        <v/>
      </c>
      <c r="CW268" s="369" t="str">
        <f>IF(CU268="","",VLOOKUP(CU268,games.a,10,FALSE))</f>
        <v/>
      </c>
      <c r="CX268" s="369" t="str">
        <f>IF(CU268="","",VLOOKUP(CU268,games.a,13,FALSE))</f>
        <v/>
      </c>
      <c r="CY268" s="423" t="str">
        <f>IF(CU268="","",VLOOKUP(CU268,games.a,6,FALSE))</f>
        <v/>
      </c>
      <c r="CZ268" s="409" t="str">
        <f>IF(CU268="","",VLOOKUP(CU268,games.a,7,FALSE))</f>
        <v/>
      </c>
      <c r="DA268" s="523" t="str">
        <f t="shared" si="329"/>
        <v/>
      </c>
      <c r="DB268" s="302"/>
      <c r="DC268" s="364"/>
      <c r="DD268" s="445"/>
      <c r="DF268" s="424"/>
      <c r="DW268" s="424"/>
      <c r="DX268" s="424"/>
      <c r="DY268" s="424"/>
      <c r="DZ268" s="424"/>
      <c r="EA268" s="424"/>
      <c r="EB268" s="424"/>
      <c r="EO268" s="425"/>
    </row>
    <row r="269" spans="98:145" x14ac:dyDescent="0.25">
      <c r="CT269" s="301"/>
      <c r="CU269" s="324" t="s">
        <v>157</v>
      </c>
      <c r="CV269" s="324" t="s">
        <v>158</v>
      </c>
      <c r="CW269" s="325" t="s">
        <v>159</v>
      </c>
      <c r="CX269" s="325"/>
      <c r="CY269" s="326" t="s">
        <v>160</v>
      </c>
      <c r="CZ269" s="325" t="s">
        <v>135</v>
      </c>
      <c r="DA269" s="302"/>
      <c r="DB269" s="302"/>
      <c r="DC269" s="364"/>
      <c r="DD269" s="445"/>
      <c r="DF269" s="424"/>
      <c r="DW269" s="424"/>
      <c r="DX269" s="424"/>
      <c r="DY269" s="424"/>
      <c r="DZ269" s="424"/>
      <c r="EA269" s="424"/>
      <c r="EB269" s="424"/>
      <c r="EO269" s="425"/>
    </row>
    <row r="270" spans="98:145" x14ac:dyDescent="0.25">
      <c r="CT270" s="395" t="str">
        <f t="shared" ref="CT270:CT279" si="330">CT259</f>
        <v/>
      </c>
      <c r="CU270" s="360" t="str">
        <f ca="1">IF(OR(CT270="",DA270="",CT270=DA270,ISNA(VLOOKUP(CONCATENATE(CT270,DA270),games.r,2,FALSE))),"",CONCATENATE(CT270,DA270))</f>
        <v/>
      </c>
      <c r="CV270" s="360" t="str">
        <f ca="1">IF(CU270="","",CONCATENATE(VLOOKUP(CU270,games.r,9,FALSE),VLOOKUP(CU270,games.r,12,FALSE)))</f>
        <v/>
      </c>
      <c r="CW270" s="354" t="str">
        <f ca="1">IF(CU270="","",VLOOKUP(CU270,games.r,10,FALSE))</f>
        <v/>
      </c>
      <c r="CX270" s="354" t="str">
        <f ca="1">IF(CU270="","",VLOOKUP(CU270,games.r,13,FALSE))</f>
        <v/>
      </c>
      <c r="CY270" s="361" t="str">
        <f ca="1">IF(CU270="","",VLOOKUP(CU270,games.r,6,FALSE))</f>
        <v/>
      </c>
      <c r="CZ270" s="362" t="str">
        <f ca="1">IF(CU270="","",VLOOKUP(CU270,games.r,7,FALSE))</f>
        <v/>
      </c>
      <c r="DA270" s="363" t="str">
        <f>CT230</f>
        <v/>
      </c>
      <c r="DB270" s="302"/>
      <c r="DC270" s="364"/>
      <c r="DD270" s="445"/>
      <c r="DF270" s="424"/>
      <c r="DW270" s="424"/>
      <c r="DX270" s="424"/>
      <c r="DY270" s="424"/>
      <c r="DZ270" s="424"/>
      <c r="EA270" s="424"/>
      <c r="EB270" s="424"/>
      <c r="EO270" s="425"/>
    </row>
    <row r="271" spans="98:145" x14ac:dyDescent="0.25">
      <c r="CT271" s="395" t="str">
        <f t="shared" si="330"/>
        <v/>
      </c>
      <c r="CU271" s="360" t="str">
        <f ca="1">IF(OR(CT271="",DA271="",CT271=DA271,ISNA(VLOOKUP(CONCATENATE(CT271,DA271),games.r,2,FALSE))),"",CONCATENATE(CT271,DA271))</f>
        <v/>
      </c>
      <c r="CV271" s="360" t="str">
        <f ca="1">IF(CU271="","",CONCATENATE(VLOOKUP(CU271,games.r,9,FALSE),VLOOKUP(CU271,games.r,12,FALSE)))</f>
        <v/>
      </c>
      <c r="CW271" s="354" t="str">
        <f ca="1">IF(CU271="","",VLOOKUP(CU271,games.r,10,FALSE))</f>
        <v/>
      </c>
      <c r="CX271" s="354" t="str">
        <f ca="1">IF(CU271="","",VLOOKUP(CU271,games.r,13,FALSE))</f>
        <v/>
      </c>
      <c r="CY271" s="361" t="str">
        <f ca="1">IF(CU271="","",VLOOKUP(CU271,games.r,6,FALSE))</f>
        <v/>
      </c>
      <c r="CZ271" s="362" t="str">
        <f ca="1">IF(CU271="","",VLOOKUP(CU271,games.r,7,FALSE))</f>
        <v/>
      </c>
      <c r="DA271" s="379" t="str">
        <f t="shared" ref="DA271:DA279" si="331">DA270</f>
        <v/>
      </c>
      <c r="DB271" s="302"/>
      <c r="DC271" s="364"/>
      <c r="DD271" s="445"/>
      <c r="DF271" s="424"/>
      <c r="DW271" s="424"/>
      <c r="DX271" s="424"/>
      <c r="DY271" s="424"/>
      <c r="DZ271" s="424"/>
      <c r="EA271" s="424"/>
      <c r="EB271" s="424"/>
      <c r="EO271" s="425"/>
    </row>
    <row r="272" spans="98:145" x14ac:dyDescent="0.25">
      <c r="CT272" s="395" t="str">
        <f t="shared" si="330"/>
        <v/>
      </c>
      <c r="CU272" s="360" t="str">
        <f ca="1">IF(OR(CT272="",DA272="",CT272=DA272,ISNA(VLOOKUP(CONCATENATE(CT272,DA272),games.r,2,FALSE))),"",CONCATENATE(CT272,DA272))</f>
        <v/>
      </c>
      <c r="CV272" s="360" t="str">
        <f ca="1">IF(CU272="","",CONCATENATE(VLOOKUP(CU272,games.r,9,FALSE),VLOOKUP(CU272,games.r,12,FALSE)))</f>
        <v/>
      </c>
      <c r="CW272" s="354" t="str">
        <f ca="1">IF(CU272="","",VLOOKUP(CU272,games.r,10,FALSE))</f>
        <v/>
      </c>
      <c r="CX272" s="354" t="str">
        <f ca="1">IF(CU272="","",VLOOKUP(CU272,games.r,13,FALSE))</f>
        <v/>
      </c>
      <c r="CY272" s="361" t="str">
        <f ca="1">IF(CU272="","",VLOOKUP(CU272,games.r,6,FALSE))</f>
        <v/>
      </c>
      <c r="CZ272" s="362" t="str">
        <f ca="1">IF(CU272="","",VLOOKUP(CU272,games.r,7,FALSE))</f>
        <v/>
      </c>
      <c r="DA272" s="379" t="str">
        <f t="shared" si="331"/>
        <v/>
      </c>
      <c r="DB272" s="302"/>
      <c r="DC272" s="364"/>
      <c r="DD272" s="445"/>
      <c r="DF272" s="424"/>
      <c r="DW272" s="424"/>
      <c r="DX272" s="424"/>
      <c r="DY272" s="424"/>
      <c r="DZ272" s="424"/>
      <c r="EA272" s="424"/>
      <c r="EB272" s="424"/>
      <c r="EO272" s="425"/>
    </row>
    <row r="273" spans="98:145" x14ac:dyDescent="0.25">
      <c r="CT273" s="395" t="str">
        <f t="shared" si="330"/>
        <v/>
      </c>
      <c r="CU273" s="360" t="str">
        <f ca="1">IF(OR(CT273="",DA273="",CT273=DA273,ISNA(VLOOKUP(CONCATENATE(CT273,DA273),games.r,2,FALSE))),"",CONCATENATE(CT273,DA273))</f>
        <v/>
      </c>
      <c r="CV273" s="360" t="str">
        <f ca="1">IF(CU273="","",CONCATENATE(VLOOKUP(CU273,games.r,9,FALSE),VLOOKUP(CU273,games.r,12,FALSE)))</f>
        <v/>
      </c>
      <c r="CW273" s="354" t="str">
        <f ca="1">IF(CU273="","",VLOOKUP(CU273,games.r,10,FALSE))</f>
        <v/>
      </c>
      <c r="CX273" s="354" t="str">
        <f ca="1">IF(CU273="","",VLOOKUP(CU273,games.r,13,FALSE))</f>
        <v/>
      </c>
      <c r="CY273" s="361" t="str">
        <f ca="1">IF(CU273="","",VLOOKUP(CU273,games.r,6,FALSE))</f>
        <v/>
      </c>
      <c r="CZ273" s="362" t="str">
        <f ca="1">IF(CU273="","",VLOOKUP(CU273,games.r,7,FALSE))</f>
        <v/>
      </c>
      <c r="DA273" s="379" t="str">
        <f t="shared" si="331"/>
        <v/>
      </c>
      <c r="DB273" s="302"/>
      <c r="DC273" s="364"/>
      <c r="DD273" s="445"/>
      <c r="DF273" s="424"/>
      <c r="DW273" s="424"/>
      <c r="DX273" s="424"/>
      <c r="DY273" s="424"/>
      <c r="DZ273" s="424"/>
      <c r="EA273" s="424"/>
      <c r="EB273" s="424"/>
      <c r="EO273" s="425"/>
    </row>
    <row r="274" spans="98:145" x14ac:dyDescent="0.25">
      <c r="CT274" s="395" t="str">
        <f t="shared" si="330"/>
        <v/>
      </c>
      <c r="CU274" s="360" t="str">
        <f ca="1">IF(OR(CT274="",DA274="",CT274=DA274,ISNA(VLOOKUP(CONCATENATE(CT274,DA274),games.r,2,FALSE))),"",CONCATENATE(CT274,DA274))</f>
        <v/>
      </c>
      <c r="CV274" s="360" t="str">
        <f ca="1">IF(CU274="","",CONCATENATE(VLOOKUP(CU274,games.r,9,FALSE),VLOOKUP(CU274,games.r,12,FALSE)))</f>
        <v/>
      </c>
      <c r="CW274" s="354" t="str">
        <f ca="1">IF(CU274="","",VLOOKUP(CU274,games.r,10,FALSE))</f>
        <v/>
      </c>
      <c r="CX274" s="354" t="str">
        <f ca="1">IF(CU274="","",VLOOKUP(CU274,games.r,13,FALSE))</f>
        <v/>
      </c>
      <c r="CY274" s="361" t="str">
        <f ca="1">IF(CU274="","",VLOOKUP(CU274,games.r,6,FALSE))</f>
        <v/>
      </c>
      <c r="CZ274" s="362" t="str">
        <f ca="1">IF(CU274="","",VLOOKUP(CU274,games.r,7,FALSE))</f>
        <v/>
      </c>
      <c r="DA274" s="379" t="str">
        <f t="shared" si="331"/>
        <v/>
      </c>
      <c r="DB274" s="302"/>
      <c r="DC274" s="364"/>
      <c r="DD274" s="445"/>
      <c r="DF274" s="424"/>
      <c r="DW274" s="424"/>
      <c r="DX274" s="424"/>
      <c r="DY274" s="424"/>
      <c r="DZ274" s="424"/>
      <c r="EA274" s="424"/>
      <c r="EB274" s="424"/>
      <c r="EO274" s="425"/>
    </row>
    <row r="275" spans="98:145" x14ac:dyDescent="0.25">
      <c r="CT275" s="522" t="str">
        <f t="shared" si="330"/>
        <v/>
      </c>
      <c r="CU275" s="371" t="str">
        <f>IF(OR(CT275="",DA275="",CT275=DA275,ISNA(VLOOKUP(CONCATENATE(CT275,DA275),games.a,2,FALSE))),"",CONCATENATE(CT275,DA275))</f>
        <v/>
      </c>
      <c r="CV275" s="371" t="str">
        <f>IF(CU275="","",CONCATENATE(VLOOKUP(CU275,games.a,9,FALSE),VLOOKUP(CU275,games.a,12,FALSE)))</f>
        <v/>
      </c>
      <c r="CW275" s="369" t="str">
        <f>IF(CU275="","",VLOOKUP(CU275,games.a,10,FALSE))</f>
        <v/>
      </c>
      <c r="CX275" s="369" t="str">
        <f>IF(CU275="","",VLOOKUP(CU275,games.a,13,FALSE))</f>
        <v/>
      </c>
      <c r="CY275" s="423" t="str">
        <f>IF(CU275="","",VLOOKUP(CU275,games.a,6,FALSE))</f>
        <v/>
      </c>
      <c r="CZ275" s="409" t="str">
        <f>IF(CU275="","",VLOOKUP(CU275,games.a,7,FALSE))</f>
        <v/>
      </c>
      <c r="DA275" s="523" t="str">
        <f t="shared" si="331"/>
        <v/>
      </c>
      <c r="DB275" s="302"/>
      <c r="DC275" s="364"/>
      <c r="DD275" s="445"/>
      <c r="DF275" s="424"/>
      <c r="DW275" s="424"/>
      <c r="DX275" s="424"/>
      <c r="DY275" s="424"/>
      <c r="DZ275" s="424"/>
      <c r="EA275" s="424"/>
      <c r="EB275" s="424"/>
      <c r="EO275" s="425"/>
    </row>
    <row r="276" spans="98:145" x14ac:dyDescent="0.25">
      <c r="CT276" s="522" t="str">
        <f t="shared" si="330"/>
        <v/>
      </c>
      <c r="CU276" s="371" t="str">
        <f>IF(OR(CT276="",DA276="",CT276=DA276,ISNA(VLOOKUP(CONCATENATE(CT276,DA276),games.a,2,FALSE))),"",CONCATENATE(CT276,DA276))</f>
        <v/>
      </c>
      <c r="CV276" s="371" t="str">
        <f>IF(CU276="","",CONCATENATE(VLOOKUP(CU276,games.a,9,FALSE),VLOOKUP(CU276,games.a,12,FALSE)))</f>
        <v/>
      </c>
      <c r="CW276" s="369" t="str">
        <f>IF(CU276="","",VLOOKUP(CU276,games.a,10,FALSE))</f>
        <v/>
      </c>
      <c r="CX276" s="369" t="str">
        <f>IF(CU276="","",VLOOKUP(CU276,games.a,13,FALSE))</f>
        <v/>
      </c>
      <c r="CY276" s="423" t="str">
        <f>IF(CU276="","",VLOOKUP(CU276,games.a,6,FALSE))</f>
        <v/>
      </c>
      <c r="CZ276" s="409" t="str">
        <f>IF(CU276="","",VLOOKUP(CU276,games.a,7,FALSE))</f>
        <v/>
      </c>
      <c r="DA276" s="523" t="str">
        <f t="shared" si="331"/>
        <v/>
      </c>
      <c r="DB276" s="302"/>
      <c r="DC276" s="364"/>
      <c r="DD276" s="445"/>
      <c r="DF276" s="424"/>
      <c r="DW276" s="424"/>
      <c r="DX276" s="424"/>
      <c r="DY276" s="424"/>
      <c r="DZ276" s="424"/>
      <c r="EA276" s="424"/>
      <c r="EB276" s="424"/>
      <c r="EO276" s="425"/>
    </row>
    <row r="277" spans="98:145" x14ac:dyDescent="0.25">
      <c r="CT277" s="522" t="str">
        <f t="shared" si="330"/>
        <v/>
      </c>
      <c r="CU277" s="371" t="str">
        <f>IF(OR(CT277="",DA277="",CT277=DA277,ISNA(VLOOKUP(CONCATENATE(CT277,DA277),games.a,2,FALSE))),"",CONCATENATE(CT277,DA277))</f>
        <v/>
      </c>
      <c r="CV277" s="371" t="str">
        <f>IF(CU277="","",CONCATENATE(VLOOKUP(CU277,games.a,9,FALSE),VLOOKUP(CU277,games.a,12,FALSE)))</f>
        <v/>
      </c>
      <c r="CW277" s="369" t="str">
        <f>IF(CU277="","",VLOOKUP(CU277,games.a,10,FALSE))</f>
        <v/>
      </c>
      <c r="CX277" s="369" t="str">
        <f>IF(CU277="","",VLOOKUP(CU277,games.a,13,FALSE))</f>
        <v/>
      </c>
      <c r="CY277" s="423" t="str">
        <f>IF(CU277="","",VLOOKUP(CU277,games.a,6,FALSE))</f>
        <v/>
      </c>
      <c r="CZ277" s="409" t="str">
        <f>IF(CU277="","",VLOOKUP(CU277,games.a,7,FALSE))</f>
        <v/>
      </c>
      <c r="DA277" s="523" t="str">
        <f t="shared" si="331"/>
        <v/>
      </c>
      <c r="DB277" s="302"/>
      <c r="DC277" s="364"/>
      <c r="DD277" s="445"/>
      <c r="DF277" s="424"/>
      <c r="DW277" s="424"/>
      <c r="DX277" s="424"/>
      <c r="DY277" s="424"/>
      <c r="DZ277" s="424"/>
      <c r="EA277" s="424"/>
      <c r="EB277" s="424"/>
      <c r="EO277" s="425"/>
    </row>
    <row r="278" spans="98:145" x14ac:dyDescent="0.25">
      <c r="CT278" s="522" t="str">
        <f t="shared" si="330"/>
        <v/>
      </c>
      <c r="CU278" s="371" t="str">
        <f>IF(OR(CT278="",DA278="",CT278=DA278,ISNA(VLOOKUP(CONCATENATE(CT278,DA278),games.a,2,FALSE))),"",CONCATENATE(CT278,DA278))</f>
        <v/>
      </c>
      <c r="CV278" s="371" t="str">
        <f>IF(CU278="","",CONCATENATE(VLOOKUP(CU278,games.a,9,FALSE),VLOOKUP(CU278,games.a,12,FALSE)))</f>
        <v/>
      </c>
      <c r="CW278" s="369" t="str">
        <f>IF(CU278="","",VLOOKUP(CU278,games.a,10,FALSE))</f>
        <v/>
      </c>
      <c r="CX278" s="369" t="str">
        <f>IF(CU278="","",VLOOKUP(CU278,games.a,13,FALSE))</f>
        <v/>
      </c>
      <c r="CY278" s="423" t="str">
        <f>IF(CU278="","",VLOOKUP(CU278,games.a,6,FALSE))</f>
        <v/>
      </c>
      <c r="CZ278" s="409" t="str">
        <f>IF(CU278="","",VLOOKUP(CU278,games.a,7,FALSE))</f>
        <v/>
      </c>
      <c r="DA278" s="523" t="str">
        <f t="shared" si="331"/>
        <v/>
      </c>
      <c r="DB278" s="302"/>
      <c r="DC278" s="364"/>
      <c r="DD278" s="445"/>
      <c r="DF278" s="424"/>
      <c r="DW278" s="424"/>
      <c r="DX278" s="424"/>
      <c r="DY278" s="424"/>
      <c r="DZ278" s="424"/>
      <c r="EA278" s="424"/>
      <c r="EB278" s="424"/>
      <c r="EO278" s="425"/>
    </row>
    <row r="279" spans="98:145" x14ac:dyDescent="0.25">
      <c r="CT279" s="522" t="str">
        <f t="shared" si="330"/>
        <v/>
      </c>
      <c r="CU279" s="371" t="str">
        <f>IF(OR(CT279="",DA279="",CT279=DA279,ISNA(VLOOKUP(CONCATENATE(CT279,DA279),games.a,2,FALSE))),"",CONCATENATE(CT279,DA279))</f>
        <v/>
      </c>
      <c r="CV279" s="371" t="str">
        <f>IF(CU279="","",CONCATENATE(VLOOKUP(CU279,games.a,9,FALSE),VLOOKUP(CU279,games.a,12,FALSE)))</f>
        <v/>
      </c>
      <c r="CW279" s="369" t="str">
        <f>IF(CU279="","",VLOOKUP(CU279,games.a,10,FALSE))</f>
        <v/>
      </c>
      <c r="CX279" s="369" t="str">
        <f>IF(CU279="","",VLOOKUP(CU279,games.a,13,FALSE))</f>
        <v/>
      </c>
      <c r="CY279" s="423" t="str">
        <f>IF(CU279="","",VLOOKUP(CU279,games.a,6,FALSE))</f>
        <v/>
      </c>
      <c r="CZ279" s="409" t="str">
        <f>IF(CU279="","",VLOOKUP(CU279,games.a,7,FALSE))</f>
        <v/>
      </c>
      <c r="DA279" s="523" t="str">
        <f t="shared" si="331"/>
        <v/>
      </c>
      <c r="DB279" s="302"/>
      <c r="DC279" s="364"/>
      <c r="DD279" s="445"/>
      <c r="DF279" s="424"/>
      <c r="DW279" s="424"/>
      <c r="DX279" s="424"/>
      <c r="DY279" s="424"/>
      <c r="DZ279" s="424"/>
      <c r="EA279" s="424"/>
      <c r="EB279" s="424"/>
      <c r="EO279" s="425"/>
    </row>
    <row r="280" spans="98:145" x14ac:dyDescent="0.25">
      <c r="CT280" s="301"/>
      <c r="CU280" s="302"/>
      <c r="CV280" s="302"/>
      <c r="CW280" s="302"/>
      <c r="CX280" s="302"/>
      <c r="CY280" s="302"/>
      <c r="CZ280" s="302"/>
      <c r="DA280" s="302"/>
      <c r="DB280" s="302"/>
      <c r="DC280" s="446" t="s">
        <v>370</v>
      </c>
      <c r="DD280" s="445"/>
      <c r="DF280" s="424"/>
      <c r="DW280" s="424"/>
      <c r="DX280" s="424"/>
      <c r="DY280" s="424"/>
      <c r="DZ280" s="424"/>
      <c r="EA280" s="424"/>
      <c r="EB280" s="424"/>
      <c r="EO280" s="425"/>
    </row>
    <row r="281" spans="98:145" x14ac:dyDescent="0.25">
      <c r="CT281" s="301"/>
      <c r="CU281" s="302"/>
      <c r="CV281" s="302"/>
      <c r="CW281" s="302"/>
      <c r="CX281" s="302"/>
      <c r="CY281" s="302"/>
      <c r="CZ281" s="302"/>
      <c r="DA281" s="447"/>
      <c r="DB281" s="302"/>
      <c r="DC281" s="448" t="s">
        <v>371</v>
      </c>
      <c r="DW281" s="424"/>
      <c r="DX281" s="424"/>
      <c r="DY281" s="424"/>
      <c r="DZ281" s="424"/>
      <c r="EA281" s="424"/>
      <c r="EB281" s="424"/>
      <c r="EO281" s="425"/>
    </row>
    <row r="282" spans="98:145" x14ac:dyDescent="0.25">
      <c r="CT282" s="323" t="b">
        <f ca="1">OR(NOT(ASZTAB!$AJ$44),COUNTIF(CY282:CY302,"")&lt;=18-(DA282-1)*DA282/2)</f>
        <v>1</v>
      </c>
      <c r="CU282" s="324" t="s">
        <v>157</v>
      </c>
      <c r="CV282" s="324" t="s">
        <v>158</v>
      </c>
      <c r="CW282" s="325" t="s">
        <v>159</v>
      </c>
      <c r="CX282" s="325"/>
      <c r="CY282" s="326" t="s">
        <v>160</v>
      </c>
      <c r="CZ282" s="325" t="s">
        <v>135</v>
      </c>
      <c r="DA282" s="323">
        <f>COUNT(CN90:CN92)</f>
        <v>0</v>
      </c>
      <c r="DB282" s="302"/>
      <c r="DC282" s="364"/>
      <c r="DG282" s="329" t="s">
        <v>229</v>
      </c>
      <c r="DH282" s="365"/>
      <c r="DI282" s="329" t="s">
        <v>152</v>
      </c>
      <c r="DJ282" s="329" t="s">
        <v>153</v>
      </c>
      <c r="DK282" s="329" t="s">
        <v>154</v>
      </c>
      <c r="DL282" s="329" t="s">
        <v>155</v>
      </c>
      <c r="DM282" s="329" t="s">
        <v>125</v>
      </c>
      <c r="DN282" s="329" t="s">
        <v>226</v>
      </c>
      <c r="DO282" s="329" t="s">
        <v>126</v>
      </c>
      <c r="DP282" s="329" t="s">
        <v>227</v>
      </c>
      <c r="DQ282" s="424"/>
      <c r="DR282" s="424"/>
      <c r="DS282" s="424"/>
      <c r="DT282" s="329" t="s">
        <v>228</v>
      </c>
      <c r="DU282" s="329" t="s">
        <v>156</v>
      </c>
      <c r="DV282" s="329" t="s">
        <v>208</v>
      </c>
      <c r="DW282" s="424"/>
      <c r="DX282" s="424"/>
      <c r="DY282" s="424"/>
      <c r="DZ282" s="424"/>
      <c r="EA282" s="424"/>
      <c r="EB282" s="424"/>
    </row>
    <row r="283" spans="98:145" x14ac:dyDescent="0.25">
      <c r="CT283" s="359" t="str">
        <f>IF(CN90="","",VLOOKUP(CN90,xxx.rr3,7,FALSE))</f>
        <v/>
      </c>
      <c r="CU283" s="360" t="str">
        <f ca="1">IF(OR(CT283="",DA283="",CT283=DA283,ISNA(VLOOKUP(CONCATENATE(CT283,DA283),games.r,2,FALSE))),"",CONCATENATE(CT283,DA283))</f>
        <v/>
      </c>
      <c r="CV283" s="360" t="str">
        <f ca="1">IF(CU283="","",CONCATENATE(VLOOKUP(CU283,games.r,9,FALSE),VLOOKUP(CU283,games.r,12,FALSE)))</f>
        <v/>
      </c>
      <c r="CW283" s="354" t="str">
        <f ca="1">IF(CU283="","",VLOOKUP(CU283,games.r,10,FALSE))</f>
        <v/>
      </c>
      <c r="CX283" s="354" t="str">
        <f ca="1">IF(CU283="","",VLOOKUP(CU283,games.r,13,FALSE))</f>
        <v/>
      </c>
      <c r="CY283" s="361" t="str">
        <f ca="1">IF(CU283="","",VLOOKUP(CU283,games.r,6,FALSE))</f>
        <v/>
      </c>
      <c r="CZ283" s="362" t="str">
        <f ca="1">IF(CU283="","",VLOOKUP(CU283,games.r,7,FALSE))</f>
        <v/>
      </c>
      <c r="DA283" s="363" t="str">
        <f>CT283</f>
        <v/>
      </c>
      <c r="DB283" s="302"/>
      <c r="DC283" s="364"/>
      <c r="DG283" s="366" t="str">
        <f ca="1">IF(OR(NOT(ASZTAB!$AJ$44),CT282),CT283,"")</f>
        <v/>
      </c>
      <c r="DH283" s="365"/>
      <c r="DI283" s="366">
        <f ca="1">IF(DG283="",0,COUNTIF(xxgy.rr,DG283))</f>
        <v>0</v>
      </c>
      <c r="DJ283" s="366">
        <f ca="1">IF(DG283="",0,COUNTIF(xxd.rr,DG283))</f>
        <v>0</v>
      </c>
      <c r="DK283" s="366">
        <f ca="1">IF(DG283="",0,1)*(SUMIF(xxo.rr,DG283,xxl.rr)+SUMIF(xxi.rr,DG283,xxk.rr))</f>
        <v>0</v>
      </c>
      <c r="DL283" s="366">
        <f ca="1">IF(DG283="",0,1)*(SUMIF(xxo.rr,DG283,xxk.rr)+SUMIF(xxi.rr,DG283,xxl.rr))</f>
        <v>0</v>
      </c>
      <c r="DM283" s="366">
        <f ca="1">DK283-DL283</f>
        <v>0</v>
      </c>
      <c r="DN283" s="366">
        <f ca="1">IF(DL283=0,0,DK283/DL283)</f>
        <v>0</v>
      </c>
      <c r="DO283" s="366">
        <f ca="1">ASZTAB!$AJ$48*DI283+IF(ASZTAB!$AJ$44,0,1)*DJ283</f>
        <v>0</v>
      </c>
      <c r="DP283" s="396">
        <f ca="1">DO283*1000000+IF(ASZTAB!$AJ$44,DN283,DM283)*1000*0</f>
        <v>0</v>
      </c>
      <c r="DQ283" s="424"/>
      <c r="DR283" s="424"/>
      <c r="DS283" s="424"/>
      <c r="DT283" s="366">
        <f ca="1">IF(OR(ISERR(DP283),ISNA(DP283)),0,DP283)</f>
        <v>0</v>
      </c>
      <c r="DU283" s="366">
        <f ca="1">IF(DT283=0,0,RANK(DT283,DT283:DT285,1))</f>
        <v>0</v>
      </c>
      <c r="DV283" s="366">
        <f ca="1">DU283*40000*IF(COUNTIF($EN$226:$EN$235,DG283)&gt;0,0,1)</f>
        <v>0</v>
      </c>
      <c r="DW283" s="424"/>
      <c r="DX283" s="424"/>
      <c r="DY283" s="424"/>
      <c r="DZ283" s="424"/>
      <c r="EA283" s="424"/>
      <c r="EB283" s="424"/>
    </row>
    <row r="284" spans="98:145" x14ac:dyDescent="0.25">
      <c r="CT284" s="359" t="str">
        <f>IF(CN91="","",VLOOKUP(CN91,xxx.rr3,7,FALSE))</f>
        <v/>
      </c>
      <c r="CU284" s="360" t="str">
        <f ca="1">IF(OR(CT284="",DA284="",CT284=DA284,ISNA(VLOOKUP(CONCATENATE(CT284,DA284),games.r,2,FALSE))),"",CONCATENATE(CT284,DA284))</f>
        <v/>
      </c>
      <c r="CV284" s="360" t="str">
        <f ca="1">IF(CU284="","",CONCATENATE(VLOOKUP(CU284,games.r,9,FALSE),VLOOKUP(CU284,games.r,12,FALSE)))</f>
        <v/>
      </c>
      <c r="CW284" s="354" t="str">
        <f ca="1">IF(CU284="","",VLOOKUP(CU284,games.r,10,FALSE))</f>
        <v/>
      </c>
      <c r="CX284" s="354" t="str">
        <f ca="1">IF(CU284="","",VLOOKUP(CU284,games.r,13,FALSE))</f>
        <v/>
      </c>
      <c r="CY284" s="361" t="str">
        <f ca="1">IF(CU284="","",VLOOKUP(CU284,games.r,6,FALSE))</f>
        <v/>
      </c>
      <c r="CZ284" s="362" t="str">
        <f ca="1">IF(CU284="","",VLOOKUP(CU284,games.r,7,FALSE))</f>
        <v/>
      </c>
      <c r="DA284" s="379" t="str">
        <f>DA283</f>
        <v/>
      </c>
      <c r="DB284" s="302"/>
      <c r="DC284" s="364"/>
      <c r="DG284" s="366" t="str">
        <f ca="1">IF(OR(NOT(ASZTAB!$AJ$44),CT282),CT284,"")</f>
        <v/>
      </c>
      <c r="DH284" s="365"/>
      <c r="DI284" s="366">
        <f ca="1">IF(DG284="",0,COUNTIF(xxgy.rr,DG284))</f>
        <v>0</v>
      </c>
      <c r="DJ284" s="366">
        <f ca="1">IF(DG284="",0,COUNTIF(xxd.rr,DG284))</f>
        <v>0</v>
      </c>
      <c r="DK284" s="366">
        <f ca="1">IF(DG284="",0,1)*(SUMIF(xxo.rr,DG284,xxl.rr)+SUMIF(xxi.rr,DG284,xxk.rr))</f>
        <v>0</v>
      </c>
      <c r="DL284" s="366">
        <f ca="1">IF(DG284="",0,1)*(SUMIF(xxo.rr,DG284,xxk.rr)+SUMIF(xxi.rr,DG284,xxl.rr))</f>
        <v>0</v>
      </c>
      <c r="DM284" s="366">
        <f ca="1">DK284-DL284</f>
        <v>0</v>
      </c>
      <c r="DN284" s="366">
        <f ca="1">IF(DL284=0,0,DK284/DL284)</f>
        <v>0</v>
      </c>
      <c r="DO284" s="366">
        <f ca="1">ASZTAB!$AJ$48*DI284+IF(ASZTAB!$AJ$44,0,1)*DJ284</f>
        <v>0</v>
      </c>
      <c r="DP284" s="396">
        <f ca="1">DO284*1000000+IF(ASZTAB!$AJ$44,DN284,DM284)*1000*0</f>
        <v>0</v>
      </c>
      <c r="DQ284" s="424"/>
      <c r="DR284" s="424"/>
      <c r="DS284" s="424"/>
      <c r="DT284" s="366">
        <f ca="1">IF(OR(ISERR(DP284),ISNA(DP284)),0,DP284)</f>
        <v>0</v>
      </c>
      <c r="DU284" s="366">
        <f ca="1">IF(DT284=0,0,RANK(DT284,DT283:DT285,1))</f>
        <v>0</v>
      </c>
      <c r="DV284" s="366">
        <f ca="1">DU284*40000*IF(COUNTIF($EN$226:$EN$235,DG284)&gt;0,0,1)</f>
        <v>0</v>
      </c>
      <c r="DW284" s="424"/>
      <c r="DX284" s="424"/>
      <c r="DY284" s="424"/>
      <c r="DZ284" s="424"/>
      <c r="EA284" s="424"/>
      <c r="EB284" s="424"/>
    </row>
    <row r="285" spans="98:145" x14ac:dyDescent="0.25">
      <c r="CT285" s="359" t="str">
        <f>IF(CN92="","",VLOOKUP(CN92,xxx.rr3,7,FALSE))</f>
        <v/>
      </c>
      <c r="CU285" s="360" t="str">
        <f ca="1">IF(OR(CT285="",DA285="",CT285=DA285,ISNA(VLOOKUP(CONCATENATE(CT285,DA285),games.r,2,FALSE))),"",CONCATENATE(CT285,DA285))</f>
        <v/>
      </c>
      <c r="CV285" s="360" t="str">
        <f ca="1">IF(CU285="","",CONCATENATE(VLOOKUP(CU285,games.r,9,FALSE),VLOOKUP(CU285,games.r,12,FALSE)))</f>
        <v/>
      </c>
      <c r="CW285" s="354" t="str">
        <f ca="1">IF(CU285="","",VLOOKUP(CU285,games.r,10,FALSE))</f>
        <v/>
      </c>
      <c r="CX285" s="354" t="str">
        <f ca="1">IF(CU285="","",VLOOKUP(CU285,games.r,13,FALSE))</f>
        <v/>
      </c>
      <c r="CY285" s="361" t="str">
        <f ca="1">IF(CU285="","",VLOOKUP(CU285,games.r,6,FALSE))</f>
        <v/>
      </c>
      <c r="CZ285" s="362" t="str">
        <f ca="1">IF(CU285="","",VLOOKUP(CU285,games.r,7,FALSE))</f>
        <v/>
      </c>
      <c r="DA285" s="379" t="str">
        <f>DA284</f>
        <v/>
      </c>
      <c r="DB285" s="302"/>
      <c r="DC285" s="364"/>
      <c r="DG285" s="366" t="str">
        <f ca="1">IF(OR(NOT(ASZTAB!$AJ$44),CT282),CT285,"")</f>
        <v/>
      </c>
      <c r="DH285" s="365"/>
      <c r="DI285" s="366">
        <f ca="1">IF(DG285="",0,COUNTIF(xxgy.rr,DG285))</f>
        <v>0</v>
      </c>
      <c r="DJ285" s="366">
        <f ca="1">IF(DG285="",0,COUNTIF(xxd.rr,DG285))</f>
        <v>0</v>
      </c>
      <c r="DK285" s="366">
        <f ca="1">IF(DG285="",0,1)*(SUMIF(xxo.rr,DG285,xxl.rr)+SUMIF(xxi.rr,DG285,xxk.rr))</f>
        <v>0</v>
      </c>
      <c r="DL285" s="366">
        <f ca="1">IF(DG285="",0,1)*(SUMIF(xxo.rr,DG285,xxk.rr)+SUMIF(xxi.rr,DG285,xxl.rr))</f>
        <v>0</v>
      </c>
      <c r="DM285" s="366">
        <f ca="1">DK285-DL285</f>
        <v>0</v>
      </c>
      <c r="DN285" s="366">
        <f ca="1">IF(DL285=0,0,DK285/DL285)</f>
        <v>0</v>
      </c>
      <c r="DO285" s="366">
        <f ca="1">ASZTAB!$AJ$48*DI285+IF(ASZTAB!$AJ$44,0,1)*DJ285</f>
        <v>0</v>
      </c>
      <c r="DP285" s="396">
        <f ca="1">DO285*1000000+IF(ASZTAB!$AJ$44,DN285,DM285)*1000*0</f>
        <v>0</v>
      </c>
      <c r="DQ285" s="424"/>
      <c r="DR285" s="424"/>
      <c r="DS285" s="424"/>
      <c r="DT285" s="366">
        <f ca="1">IF(OR(ISERR(DP285),ISNA(DP285)),0,DP285)</f>
        <v>0</v>
      </c>
      <c r="DU285" s="366">
        <f ca="1">IF(DT285=0,0,RANK(DT285,DT283:DT285,1))</f>
        <v>0</v>
      </c>
      <c r="DV285" s="366">
        <f ca="1">DU285*40000*IF(COUNTIF($EN$226:$EN$235,DG285)&gt;0,0,1)</f>
        <v>0</v>
      </c>
      <c r="DW285" s="424"/>
      <c r="DX285" s="424"/>
      <c r="DY285" s="424"/>
      <c r="DZ285" s="424"/>
      <c r="EA285" s="424"/>
      <c r="EB285" s="424"/>
    </row>
    <row r="286" spans="98:145" x14ac:dyDescent="0.25">
      <c r="CT286" s="522" t="str">
        <f>IF(NOT($AD$112),"",CT283)</f>
        <v/>
      </c>
      <c r="CU286" s="371" t="str">
        <f>IF(OR(CT286="",DA286="",CT286=DA286,ISNA(VLOOKUP(CONCATENATE(CT286,DA286),games.a,2,FALSE))),"",CONCATENATE(CT286,DA286))</f>
        <v/>
      </c>
      <c r="CV286" s="371" t="str">
        <f>IF(CU286="","",CONCATENATE(VLOOKUP(CU286,games.a,9,FALSE),VLOOKUP(CU286,games.a,12,FALSE)))</f>
        <v/>
      </c>
      <c r="CW286" s="369" t="str">
        <f>IF(CU286="","",VLOOKUP(CU286,games.a,10,FALSE))</f>
        <v/>
      </c>
      <c r="CX286" s="369" t="str">
        <f>IF(CU286="","",VLOOKUP(CU286,games.a,13,FALSE))</f>
        <v/>
      </c>
      <c r="CY286" s="423" t="str">
        <f>IF(CU286="","",VLOOKUP(CU286,games.a,6,FALSE))</f>
        <v/>
      </c>
      <c r="CZ286" s="409" t="str">
        <f>IF(CU286="","",VLOOKUP(CU286,games.a,7,FALSE))</f>
        <v/>
      </c>
      <c r="DA286" s="523" t="str">
        <f>DA285</f>
        <v/>
      </c>
      <c r="DB286" s="302"/>
      <c r="DC286" s="364"/>
      <c r="DG286" s="424"/>
      <c r="DH286" s="424"/>
      <c r="DI286" s="424"/>
      <c r="DJ286" s="424"/>
      <c r="DK286" s="424"/>
      <c r="DL286" s="424"/>
      <c r="DM286" s="424"/>
      <c r="DN286" s="424"/>
      <c r="DO286" s="424"/>
      <c r="DP286" s="424"/>
      <c r="DQ286" s="424"/>
      <c r="DR286" s="424"/>
      <c r="DS286" s="424"/>
      <c r="DT286" s="424"/>
      <c r="DU286" s="424"/>
      <c r="DV286" s="424"/>
      <c r="DW286" s="424"/>
      <c r="DX286" s="424"/>
      <c r="DY286" s="424"/>
      <c r="DZ286" s="424"/>
      <c r="EA286" s="424"/>
      <c r="EB286" s="424"/>
    </row>
    <row r="287" spans="98:145" x14ac:dyDescent="0.25">
      <c r="CT287" s="522" t="str">
        <f>IF(NOT($AD$112),"",CT284)</f>
        <v/>
      </c>
      <c r="CU287" s="371" t="str">
        <f>IF(OR(CT287="",DA287="",CT287=DA287,ISNA(VLOOKUP(CONCATENATE(CT287,DA287),games.a,2,FALSE))),"",CONCATENATE(CT287,DA287))</f>
        <v/>
      </c>
      <c r="CV287" s="371" t="str">
        <f>IF(CU287="","",CONCATENATE(VLOOKUP(CU287,games.a,9,FALSE),VLOOKUP(CU287,games.a,12,FALSE)))</f>
        <v/>
      </c>
      <c r="CW287" s="369" t="str">
        <f>IF(CU287="","",VLOOKUP(CU287,games.a,10,FALSE))</f>
        <v/>
      </c>
      <c r="CX287" s="369" t="str">
        <f>IF(CU287="","",VLOOKUP(CU287,games.a,13,FALSE))</f>
        <v/>
      </c>
      <c r="CY287" s="423" t="str">
        <f>IF(CU287="","",VLOOKUP(CU287,games.a,6,FALSE))</f>
        <v/>
      </c>
      <c r="CZ287" s="409" t="str">
        <f>IF(CU287="","",VLOOKUP(CU287,games.a,7,FALSE))</f>
        <v/>
      </c>
      <c r="DA287" s="523" t="str">
        <f>DA286</f>
        <v/>
      </c>
      <c r="DB287" s="302"/>
      <c r="DC287" s="364"/>
      <c r="DG287" s="424"/>
      <c r="DH287" s="424"/>
      <c r="DI287" s="424"/>
      <c r="DJ287" s="424"/>
      <c r="DK287" s="424"/>
      <c r="DL287" s="424"/>
      <c r="DM287" s="424"/>
      <c r="DN287" s="424"/>
      <c r="DO287" s="424"/>
      <c r="DP287" s="424"/>
      <c r="DQ287" s="424"/>
      <c r="DR287" s="424"/>
      <c r="DS287" s="424"/>
      <c r="DT287" s="424"/>
      <c r="DU287" s="424"/>
      <c r="DV287" s="424"/>
      <c r="DW287" s="424"/>
      <c r="DX287" s="424"/>
      <c r="DY287" s="424"/>
      <c r="DZ287" s="424"/>
      <c r="EA287" s="424"/>
      <c r="EB287" s="424"/>
    </row>
    <row r="288" spans="98:145" x14ac:dyDescent="0.25">
      <c r="CT288" s="522" t="str">
        <f>IF(NOT($AD$112),"",CT285)</f>
        <v/>
      </c>
      <c r="CU288" s="371" t="str">
        <f>IF(OR(CT288="",DA288="",CT288=DA288,ISNA(VLOOKUP(CONCATENATE(CT288,DA288),games.a,2,FALSE))),"",CONCATENATE(CT288,DA288))</f>
        <v/>
      </c>
      <c r="CV288" s="371" t="str">
        <f>IF(CU288="","",CONCATENATE(VLOOKUP(CU288,games.a,9,FALSE),VLOOKUP(CU288,games.a,12,FALSE)))</f>
        <v/>
      </c>
      <c r="CW288" s="369" t="str">
        <f>IF(CU288="","",VLOOKUP(CU288,games.a,10,FALSE))</f>
        <v/>
      </c>
      <c r="CX288" s="369" t="str">
        <f>IF(CU288="","",VLOOKUP(CU288,games.a,13,FALSE))</f>
        <v/>
      </c>
      <c r="CY288" s="423" t="str">
        <f>IF(CU288="","",VLOOKUP(CU288,games.a,6,FALSE))</f>
        <v/>
      </c>
      <c r="CZ288" s="409" t="str">
        <f>IF(CU288="","",VLOOKUP(CU288,games.a,7,FALSE))</f>
        <v/>
      </c>
      <c r="DA288" s="523" t="str">
        <f>DA287</f>
        <v/>
      </c>
      <c r="DB288" s="302"/>
      <c r="DC288" s="364"/>
      <c r="DG288" s="424"/>
      <c r="DH288" s="424"/>
      <c r="DI288" s="424"/>
      <c r="DJ288" s="424"/>
      <c r="DK288" s="424"/>
      <c r="DL288" s="424"/>
      <c r="DM288" s="424"/>
      <c r="DN288" s="424"/>
      <c r="DO288" s="424"/>
      <c r="DP288" s="424"/>
      <c r="DQ288" s="424"/>
      <c r="DR288" s="424"/>
      <c r="DS288" s="424"/>
      <c r="DT288" s="424"/>
      <c r="DU288" s="424"/>
      <c r="DV288" s="424"/>
      <c r="DW288" s="424"/>
      <c r="DX288" s="424"/>
      <c r="DY288" s="424"/>
      <c r="DZ288" s="424"/>
      <c r="EA288" s="424"/>
      <c r="EB288" s="424"/>
    </row>
    <row r="289" spans="98:132" x14ac:dyDescent="0.25">
      <c r="CT289" s="301"/>
      <c r="CU289" s="324" t="s">
        <v>157</v>
      </c>
      <c r="CV289" s="324" t="s">
        <v>158</v>
      </c>
      <c r="CW289" s="325" t="s">
        <v>159</v>
      </c>
      <c r="CX289" s="325"/>
      <c r="CY289" s="326" t="s">
        <v>160</v>
      </c>
      <c r="CZ289" s="325" t="s">
        <v>135</v>
      </c>
      <c r="DA289" s="302"/>
      <c r="DB289" s="302"/>
      <c r="DC289" s="364"/>
      <c r="DG289" s="424"/>
      <c r="DH289" s="424"/>
      <c r="DI289" s="424"/>
      <c r="DJ289" s="424"/>
      <c r="DK289" s="424"/>
      <c r="DL289" s="424"/>
      <c r="DM289" s="424"/>
      <c r="DN289" s="424"/>
      <c r="DO289" s="424"/>
      <c r="DP289" s="424"/>
      <c r="DQ289" s="424"/>
      <c r="DR289" s="424"/>
      <c r="DS289" s="424"/>
      <c r="DT289" s="424"/>
      <c r="DU289" s="424"/>
      <c r="DV289" s="424"/>
      <c r="DW289" s="424"/>
      <c r="DX289" s="424"/>
      <c r="DY289" s="424"/>
      <c r="DZ289" s="424"/>
      <c r="EA289" s="424"/>
      <c r="EB289" s="424"/>
    </row>
    <row r="290" spans="98:132" x14ac:dyDescent="0.25">
      <c r="CT290" s="395" t="str">
        <f t="shared" ref="CT290:CT295" si="332">CT283</f>
        <v/>
      </c>
      <c r="CU290" s="360" t="str">
        <f ca="1">IF(OR(CT290="",DA290="",CT290=DA290,ISNA(VLOOKUP(CONCATENATE(CT290,DA290),games.r,2,FALSE))),"",CONCATENATE(CT290,DA290))</f>
        <v/>
      </c>
      <c r="CV290" s="360" t="str">
        <f ca="1">IF(CU290="","",CONCATENATE(VLOOKUP(CU290,games.r,9,FALSE),VLOOKUP(CU290,games.r,12,FALSE)))</f>
        <v/>
      </c>
      <c r="CW290" s="354" t="str">
        <f ca="1">IF(CU290="","",VLOOKUP(CU290,games.r,10,FALSE))</f>
        <v/>
      </c>
      <c r="CX290" s="354" t="str">
        <f ca="1">IF(CU290="","",VLOOKUP(CU290,games.r,13,FALSE))</f>
        <v/>
      </c>
      <c r="CY290" s="361" t="str">
        <f ca="1">IF(CU290="","",VLOOKUP(CU290,games.r,6,FALSE))</f>
        <v/>
      </c>
      <c r="CZ290" s="362" t="str">
        <f ca="1">IF(CU290="","",VLOOKUP(CU290,games.r,7,FALSE))</f>
        <v/>
      </c>
      <c r="DA290" s="363" t="str">
        <f>CT284</f>
        <v/>
      </c>
      <c r="DB290" s="302"/>
      <c r="DC290" s="364"/>
      <c r="DG290" s="424"/>
      <c r="DH290" s="424"/>
      <c r="DI290" s="424"/>
      <c r="DJ290" s="424"/>
      <c r="DK290" s="424"/>
      <c r="DL290" s="424"/>
      <c r="DM290" s="424"/>
      <c r="DN290" s="424"/>
      <c r="DO290" s="424"/>
      <c r="DP290" s="424"/>
      <c r="DQ290" s="424"/>
      <c r="DR290" s="424"/>
      <c r="DS290" s="424"/>
      <c r="DT290" s="424"/>
      <c r="DU290" s="424"/>
      <c r="DV290" s="424"/>
      <c r="DW290" s="424"/>
      <c r="DX290" s="424"/>
      <c r="DY290" s="424"/>
      <c r="DZ290" s="424"/>
      <c r="EA290" s="424"/>
      <c r="EB290" s="424"/>
    </row>
    <row r="291" spans="98:132" x14ac:dyDescent="0.25">
      <c r="CT291" s="395" t="str">
        <f t="shared" si="332"/>
        <v/>
      </c>
      <c r="CU291" s="360" t="str">
        <f ca="1">IF(OR(CT291="",DA291="",CT291=DA291,ISNA(VLOOKUP(CONCATENATE(CT291,DA291),games.r,2,FALSE))),"",CONCATENATE(CT291,DA291))</f>
        <v/>
      </c>
      <c r="CV291" s="360" t="str">
        <f ca="1">IF(CU291="","",CONCATENATE(VLOOKUP(CU291,games.r,9,FALSE),VLOOKUP(CU291,games.r,12,FALSE)))</f>
        <v/>
      </c>
      <c r="CW291" s="354" t="str">
        <f ca="1">IF(CU291="","",VLOOKUP(CU291,games.r,10,FALSE))</f>
        <v/>
      </c>
      <c r="CX291" s="354" t="str">
        <f ca="1">IF(CU291="","",VLOOKUP(CU291,games.r,13,FALSE))</f>
        <v/>
      </c>
      <c r="CY291" s="361" t="str">
        <f ca="1">IF(CU291="","",VLOOKUP(CU291,games.r,6,FALSE))</f>
        <v/>
      </c>
      <c r="CZ291" s="362" t="str">
        <f ca="1">IF(CU291="","",VLOOKUP(CU291,games.r,7,FALSE))</f>
        <v/>
      </c>
      <c r="DA291" s="379" t="str">
        <f>DA290</f>
        <v/>
      </c>
      <c r="DB291" s="302"/>
      <c r="DC291" s="364"/>
      <c r="DG291" s="424"/>
      <c r="DH291" s="424"/>
      <c r="DI291" s="424"/>
      <c r="DJ291" s="424"/>
      <c r="DK291" s="424"/>
      <c r="DL291" s="424"/>
      <c r="DM291" s="424"/>
      <c r="DN291" s="424"/>
      <c r="DO291" s="424"/>
      <c r="DP291" s="424"/>
      <c r="DQ291" s="424"/>
      <c r="DR291" s="424"/>
      <c r="DS291" s="424"/>
      <c r="DT291" s="424"/>
      <c r="DU291" s="424"/>
      <c r="DV291" s="424"/>
      <c r="DW291" s="424"/>
      <c r="DX291" s="424"/>
      <c r="DY291" s="424"/>
      <c r="DZ291" s="424"/>
      <c r="EA291" s="424"/>
      <c r="EB291" s="424"/>
    </row>
    <row r="292" spans="98:132" x14ac:dyDescent="0.25">
      <c r="CT292" s="395" t="str">
        <f t="shared" si="332"/>
        <v/>
      </c>
      <c r="CU292" s="360" t="str">
        <f ca="1">IF(OR(CT292="",DA292="",CT292=DA292,ISNA(VLOOKUP(CONCATENATE(CT292,DA292),games.r,2,FALSE))),"",CONCATENATE(CT292,DA292))</f>
        <v/>
      </c>
      <c r="CV292" s="360" t="str">
        <f ca="1">IF(CU292="","",CONCATENATE(VLOOKUP(CU292,games.r,9,FALSE),VLOOKUP(CU292,games.r,12,FALSE)))</f>
        <v/>
      </c>
      <c r="CW292" s="354" t="str">
        <f ca="1">IF(CU292="","",VLOOKUP(CU292,games.r,10,FALSE))</f>
        <v/>
      </c>
      <c r="CX292" s="354" t="str">
        <f ca="1">IF(CU292="","",VLOOKUP(CU292,games.r,13,FALSE))</f>
        <v/>
      </c>
      <c r="CY292" s="361" t="str">
        <f ca="1">IF(CU292="","",VLOOKUP(CU292,games.r,6,FALSE))</f>
        <v/>
      </c>
      <c r="CZ292" s="362" t="str">
        <f ca="1">IF(CU292="","",VLOOKUP(CU292,games.r,7,FALSE))</f>
        <v/>
      </c>
      <c r="DA292" s="379" t="str">
        <f>DA291</f>
        <v/>
      </c>
      <c r="DB292" s="302"/>
      <c r="DC292" s="364"/>
      <c r="DG292" s="424"/>
      <c r="DH292" s="424"/>
      <c r="DI292" s="424"/>
      <c r="DJ292" s="424"/>
      <c r="DK292" s="424"/>
      <c r="DL292" s="424"/>
      <c r="DM292" s="424"/>
      <c r="DN292" s="424"/>
      <c r="DO292" s="424"/>
      <c r="DP292" s="424"/>
      <c r="DQ292" s="424"/>
      <c r="DR292" s="424"/>
      <c r="DS292" s="424"/>
      <c r="DT292" s="424"/>
      <c r="DU292" s="424"/>
      <c r="DV292" s="424"/>
      <c r="DW292" s="424"/>
      <c r="DX292" s="424"/>
      <c r="DY292" s="424"/>
      <c r="DZ292" s="424"/>
      <c r="EA292" s="424"/>
      <c r="EB292" s="424"/>
    </row>
    <row r="293" spans="98:132" x14ac:dyDescent="0.25">
      <c r="CT293" s="533" t="str">
        <f t="shared" si="332"/>
        <v/>
      </c>
      <c r="CU293" s="371" t="str">
        <f>IF(OR(CT293="",DA293="",CT293=DA293,ISNA(VLOOKUP(CONCATENATE(CT293,DA293),games.a,2,FALSE))),"",CONCATENATE(CT293,DA293))</f>
        <v/>
      </c>
      <c r="CV293" s="371" t="str">
        <f>IF(CU293="","",CONCATENATE(VLOOKUP(CU293,games.a,9,FALSE),VLOOKUP(CU293,games.a,12,FALSE)))</f>
        <v/>
      </c>
      <c r="CW293" s="369" t="str">
        <f>IF(CU293="","",VLOOKUP(CU293,games.a,10,FALSE))</f>
        <v/>
      </c>
      <c r="CX293" s="369" t="str">
        <f>IF(CU293="","",VLOOKUP(CU293,games.a,13,FALSE))</f>
        <v/>
      </c>
      <c r="CY293" s="423" t="str">
        <f>IF(CU293="","",VLOOKUP(CU293,games.a,6,FALSE))</f>
        <v/>
      </c>
      <c r="CZ293" s="409" t="str">
        <f>IF(CU293="","",VLOOKUP(CU293,games.a,7,FALSE))</f>
        <v/>
      </c>
      <c r="DA293" s="523" t="str">
        <f>DA292</f>
        <v/>
      </c>
      <c r="DB293" s="302"/>
      <c r="DC293" s="364"/>
      <c r="DG293" s="424"/>
      <c r="DH293" s="424"/>
      <c r="DI293" s="424"/>
      <c r="DJ293" s="424"/>
      <c r="DK293" s="424"/>
      <c r="DL293" s="424"/>
      <c r="DM293" s="424"/>
      <c r="DN293" s="424"/>
      <c r="DO293" s="424"/>
      <c r="DP293" s="424"/>
      <c r="DQ293" s="424"/>
      <c r="DR293" s="424"/>
      <c r="DS293" s="424"/>
      <c r="DT293" s="424"/>
      <c r="DU293" s="424"/>
      <c r="DV293" s="424"/>
      <c r="DW293" s="424"/>
      <c r="DX293" s="424"/>
      <c r="DY293" s="424"/>
      <c r="DZ293" s="424"/>
      <c r="EA293" s="424"/>
      <c r="EB293" s="424"/>
    </row>
    <row r="294" spans="98:132" x14ac:dyDescent="0.25">
      <c r="CT294" s="533" t="str">
        <f t="shared" si="332"/>
        <v/>
      </c>
      <c r="CU294" s="371" t="str">
        <f>IF(OR(CT294="",DA294="",CT294=DA294,ISNA(VLOOKUP(CONCATENATE(CT294,DA294),games.a,2,FALSE))),"",CONCATENATE(CT294,DA294))</f>
        <v/>
      </c>
      <c r="CV294" s="371" t="str">
        <f>IF(CU294="","",CONCATENATE(VLOOKUP(CU294,games.a,9,FALSE),VLOOKUP(CU294,games.a,12,FALSE)))</f>
        <v/>
      </c>
      <c r="CW294" s="369" t="str">
        <f>IF(CU294="","",VLOOKUP(CU294,games.a,10,FALSE))</f>
        <v/>
      </c>
      <c r="CX294" s="369" t="str">
        <f>IF(CU294="","",VLOOKUP(CU294,games.a,13,FALSE))</f>
        <v/>
      </c>
      <c r="CY294" s="423" t="str">
        <f>IF(CU294="","",VLOOKUP(CU294,games.a,6,FALSE))</f>
        <v/>
      </c>
      <c r="CZ294" s="409" t="str">
        <f>IF(CU294="","",VLOOKUP(CU294,games.a,7,FALSE))</f>
        <v/>
      </c>
      <c r="DA294" s="523" t="str">
        <f>DA293</f>
        <v/>
      </c>
      <c r="DB294" s="302"/>
      <c r="DC294" s="364"/>
      <c r="DG294" s="424"/>
      <c r="DH294" s="424"/>
      <c r="DI294" s="424"/>
      <c r="DJ294" s="424"/>
      <c r="DK294" s="424"/>
      <c r="DL294" s="424"/>
      <c r="DM294" s="424"/>
      <c r="DN294" s="424"/>
      <c r="DO294" s="424"/>
      <c r="DP294" s="424"/>
      <c r="DQ294" s="424"/>
      <c r="DR294" s="424"/>
      <c r="DS294" s="424"/>
      <c r="DT294" s="424"/>
      <c r="DU294" s="424"/>
      <c r="DV294" s="424"/>
      <c r="DW294" s="424"/>
      <c r="DX294" s="424"/>
      <c r="DY294" s="424"/>
      <c r="DZ294" s="424"/>
      <c r="EA294" s="424"/>
      <c r="EB294" s="424"/>
    </row>
    <row r="295" spans="98:132" x14ac:dyDescent="0.25">
      <c r="CT295" s="533" t="str">
        <f t="shared" si="332"/>
        <v/>
      </c>
      <c r="CU295" s="371" t="str">
        <f>IF(OR(CT295="",DA295="",CT295=DA295,ISNA(VLOOKUP(CONCATENATE(CT295,DA295),games.a,2,FALSE))),"",CONCATENATE(CT295,DA295))</f>
        <v/>
      </c>
      <c r="CV295" s="371" t="str">
        <f>IF(CU295="","",CONCATENATE(VLOOKUP(CU295,games.a,9,FALSE),VLOOKUP(CU295,games.a,12,FALSE)))</f>
        <v/>
      </c>
      <c r="CW295" s="369" t="str">
        <f>IF(CU295="","",VLOOKUP(CU295,games.a,10,FALSE))</f>
        <v/>
      </c>
      <c r="CX295" s="369" t="str">
        <f>IF(CU295="","",VLOOKUP(CU295,games.a,13,FALSE))</f>
        <v/>
      </c>
      <c r="CY295" s="423" t="str">
        <f>IF(CU295="","",VLOOKUP(CU295,games.a,6,FALSE))</f>
        <v/>
      </c>
      <c r="CZ295" s="409" t="str">
        <f>IF(CU295="","",VLOOKUP(CU295,games.a,7,FALSE))</f>
        <v/>
      </c>
      <c r="DA295" s="523" t="str">
        <f>DA294</f>
        <v/>
      </c>
      <c r="DB295" s="302"/>
      <c r="DC295" s="364"/>
      <c r="DG295" s="424"/>
      <c r="DH295" s="424"/>
      <c r="DI295" s="424"/>
      <c r="DJ295" s="424"/>
      <c r="DK295" s="424"/>
      <c r="DL295" s="424"/>
      <c r="DM295" s="424"/>
      <c r="DN295" s="424"/>
      <c r="DO295" s="424"/>
      <c r="DP295" s="424"/>
      <c r="DQ295" s="424"/>
      <c r="DR295" s="424"/>
      <c r="DS295" s="424"/>
      <c r="DT295" s="424"/>
      <c r="DU295" s="424"/>
      <c r="DV295" s="424"/>
      <c r="DW295" s="424"/>
      <c r="DX295" s="424"/>
      <c r="DY295" s="424"/>
      <c r="DZ295" s="424"/>
      <c r="EA295" s="424"/>
      <c r="EB295" s="424"/>
    </row>
    <row r="296" spans="98:132" x14ac:dyDescent="0.25">
      <c r="CT296" s="301"/>
      <c r="CU296" s="324" t="s">
        <v>157</v>
      </c>
      <c r="CV296" s="324" t="s">
        <v>158</v>
      </c>
      <c r="CW296" s="325" t="s">
        <v>159</v>
      </c>
      <c r="CX296" s="325"/>
      <c r="CY296" s="326" t="s">
        <v>160</v>
      </c>
      <c r="CZ296" s="325" t="s">
        <v>135</v>
      </c>
      <c r="DA296" s="302"/>
      <c r="DB296" s="302"/>
      <c r="DC296" s="364"/>
      <c r="DG296" s="424"/>
      <c r="DH296" s="424"/>
      <c r="DI296" s="424"/>
      <c r="DJ296" s="424"/>
      <c r="DK296" s="424"/>
      <c r="DL296" s="424"/>
      <c r="DM296" s="424"/>
      <c r="DN296" s="424"/>
      <c r="DO296" s="424"/>
      <c r="DP296" s="424"/>
      <c r="DQ296" s="424"/>
      <c r="DR296" s="424"/>
      <c r="DS296" s="424"/>
      <c r="DT296" s="424"/>
      <c r="DU296" s="424"/>
      <c r="DV296" s="424"/>
      <c r="DW296" s="424"/>
      <c r="DX296" s="424"/>
      <c r="DY296" s="424"/>
      <c r="DZ296" s="424"/>
      <c r="EA296" s="424"/>
      <c r="EB296" s="424"/>
    </row>
    <row r="297" spans="98:132" x14ac:dyDescent="0.25">
      <c r="CT297" s="395" t="str">
        <f t="shared" ref="CT297:CT302" si="333">CT290</f>
        <v/>
      </c>
      <c r="CU297" s="360" t="str">
        <f ca="1">IF(OR(CT297="",DA297="",CT297=DA297,ISNA(VLOOKUP(CONCATENATE(CT297,DA297),games.r,2,FALSE))),"",CONCATENATE(CT297,DA297))</f>
        <v/>
      </c>
      <c r="CV297" s="360" t="str">
        <f ca="1">IF(CU297="","",CONCATENATE(VLOOKUP(CU297,games.r,9,FALSE),VLOOKUP(CU297,games.r,12,FALSE)))</f>
        <v/>
      </c>
      <c r="CW297" s="354" t="str">
        <f ca="1">IF(CU297="","",VLOOKUP(CU297,games.r,10,FALSE))</f>
        <v/>
      </c>
      <c r="CX297" s="354" t="str">
        <f ca="1">IF(CU297="","",VLOOKUP(CU297,games.r,13,FALSE))</f>
        <v/>
      </c>
      <c r="CY297" s="361" t="str">
        <f ca="1">IF(CU297="","",VLOOKUP(CU297,games.r,6,FALSE))</f>
        <v/>
      </c>
      <c r="CZ297" s="362" t="str">
        <f ca="1">IF(CU297="","",VLOOKUP(CU297,games.r,7,FALSE))</f>
        <v/>
      </c>
      <c r="DA297" s="363" t="str">
        <f>CT285</f>
        <v/>
      </c>
      <c r="DB297" s="302"/>
      <c r="DC297" s="364"/>
      <c r="DG297" s="424"/>
      <c r="DH297" s="424"/>
      <c r="DI297" s="424"/>
      <c r="DJ297" s="424"/>
      <c r="DK297" s="424"/>
      <c r="DL297" s="424"/>
      <c r="DM297" s="424"/>
      <c r="DN297" s="424"/>
      <c r="DO297" s="424"/>
      <c r="DP297" s="424"/>
      <c r="DQ297" s="424"/>
      <c r="DR297" s="424"/>
      <c r="DS297" s="424"/>
      <c r="DT297" s="424"/>
      <c r="DU297" s="424"/>
      <c r="DV297" s="424"/>
      <c r="DW297" s="424"/>
      <c r="DX297" s="424"/>
      <c r="DY297" s="424"/>
      <c r="DZ297" s="424"/>
      <c r="EA297" s="424"/>
      <c r="EB297" s="424"/>
    </row>
    <row r="298" spans="98:132" x14ac:dyDescent="0.25">
      <c r="CT298" s="395" t="str">
        <f t="shared" si="333"/>
        <v/>
      </c>
      <c r="CU298" s="360" t="str">
        <f ca="1">IF(OR(CT298="",DA298="",CT298=DA298,ISNA(VLOOKUP(CONCATENATE(CT298,DA298),games.r,2,FALSE))),"",CONCATENATE(CT298,DA298))</f>
        <v/>
      </c>
      <c r="CV298" s="360" t="str">
        <f ca="1">IF(CU298="","",CONCATENATE(VLOOKUP(CU298,games.r,9,FALSE),VLOOKUP(CU298,games.r,12,FALSE)))</f>
        <v/>
      </c>
      <c r="CW298" s="354" t="str">
        <f ca="1">IF(CU298="","",VLOOKUP(CU298,games.r,10,FALSE))</f>
        <v/>
      </c>
      <c r="CX298" s="354" t="str">
        <f ca="1">IF(CU298="","",VLOOKUP(CU298,games.r,13,FALSE))</f>
        <v/>
      </c>
      <c r="CY298" s="361" t="str">
        <f ca="1">IF(CU298="","",VLOOKUP(CU298,games.r,6,FALSE))</f>
        <v/>
      </c>
      <c r="CZ298" s="362" t="str">
        <f ca="1">IF(CU298="","",VLOOKUP(CU298,games.r,7,FALSE))</f>
        <v/>
      </c>
      <c r="DA298" s="379" t="str">
        <f>DA297</f>
        <v/>
      </c>
      <c r="DB298" s="302"/>
      <c r="DC298" s="364"/>
      <c r="DG298" s="424"/>
      <c r="DH298" s="424"/>
      <c r="DI298" s="424"/>
      <c r="DJ298" s="424"/>
      <c r="DK298" s="424"/>
      <c r="DL298" s="424"/>
      <c r="DM298" s="424"/>
      <c r="DN298" s="424"/>
      <c r="DO298" s="424"/>
      <c r="DP298" s="424"/>
      <c r="DQ298" s="424"/>
      <c r="DR298" s="424"/>
      <c r="DS298" s="424"/>
      <c r="DT298" s="424"/>
      <c r="DU298" s="424"/>
      <c r="DV298" s="424"/>
      <c r="DW298" s="424"/>
      <c r="DX298" s="424"/>
      <c r="DY298" s="424"/>
      <c r="DZ298" s="424"/>
      <c r="EA298" s="424"/>
      <c r="EB298" s="424"/>
    </row>
    <row r="299" spans="98:132" x14ac:dyDescent="0.25">
      <c r="CT299" s="395" t="str">
        <f t="shared" si="333"/>
        <v/>
      </c>
      <c r="CU299" s="360" t="str">
        <f ca="1">IF(OR(CT299="",DA299="",CT299=DA299,ISNA(VLOOKUP(CONCATENATE(CT299,DA299),games.r,2,FALSE))),"",CONCATENATE(CT299,DA299))</f>
        <v/>
      </c>
      <c r="CV299" s="360" t="str">
        <f ca="1">IF(CU299="","",CONCATENATE(VLOOKUP(CU299,games.r,9,FALSE),VLOOKUP(CU299,games.r,12,FALSE)))</f>
        <v/>
      </c>
      <c r="CW299" s="354" t="str">
        <f ca="1">IF(CU299="","",VLOOKUP(CU299,games.r,10,FALSE))</f>
        <v/>
      </c>
      <c r="CX299" s="354" t="str">
        <f ca="1">IF(CU299="","",VLOOKUP(CU299,games.r,13,FALSE))</f>
        <v/>
      </c>
      <c r="CY299" s="361" t="str">
        <f ca="1">IF(CU299="","",VLOOKUP(CU299,games.r,6,FALSE))</f>
        <v/>
      </c>
      <c r="CZ299" s="362" t="str">
        <f ca="1">IF(CU299="","",VLOOKUP(CU299,games.r,7,FALSE))</f>
        <v/>
      </c>
      <c r="DA299" s="379" t="str">
        <f>DA298</f>
        <v/>
      </c>
      <c r="DB299" s="302"/>
      <c r="DC299" s="364"/>
      <c r="DG299" s="424"/>
      <c r="DH299" s="424"/>
      <c r="DI299" s="424"/>
      <c r="DJ299" s="424"/>
      <c r="DK299" s="424"/>
      <c r="DL299" s="424"/>
      <c r="DM299" s="424"/>
      <c r="DN299" s="424"/>
      <c r="DO299" s="424"/>
      <c r="DP299" s="424"/>
      <c r="DQ299" s="424"/>
      <c r="DR299" s="424"/>
      <c r="DS299" s="424"/>
      <c r="DT299" s="424"/>
      <c r="DU299" s="424"/>
      <c r="DV299" s="424"/>
      <c r="DW299" s="424"/>
      <c r="DX299" s="424"/>
      <c r="DY299" s="424"/>
      <c r="DZ299" s="424"/>
      <c r="EA299" s="424"/>
      <c r="EB299" s="424"/>
    </row>
    <row r="300" spans="98:132" x14ac:dyDescent="0.25">
      <c r="CT300" s="533" t="str">
        <f t="shared" si="333"/>
        <v/>
      </c>
      <c r="CU300" s="371" t="str">
        <f>IF(OR(CT300="",DA300="",CT300=DA300,ISNA(VLOOKUP(CONCATENATE(CT300,DA300),games.a,2,FALSE))),"",CONCATENATE(CT300,DA300))</f>
        <v/>
      </c>
      <c r="CV300" s="371" t="str">
        <f>IF(CU300="","",CONCATENATE(VLOOKUP(CU300,games.a,9,FALSE),VLOOKUP(CU300,games.a,12,FALSE)))</f>
        <v/>
      </c>
      <c r="CW300" s="369" t="str">
        <f>IF(CU300="","",VLOOKUP(CU300,games.a,10,FALSE))</f>
        <v/>
      </c>
      <c r="CX300" s="369" t="str">
        <f>IF(CU300="","",VLOOKUP(CU300,games.a,13,FALSE))</f>
        <v/>
      </c>
      <c r="CY300" s="423" t="str">
        <f>IF(CU300="","",VLOOKUP(CU300,games.a,6,FALSE))</f>
        <v/>
      </c>
      <c r="CZ300" s="409" t="str">
        <f>IF(CU300="","",VLOOKUP(CU300,games.a,7,FALSE))</f>
        <v/>
      </c>
      <c r="DA300" s="523" t="str">
        <f>DA299</f>
        <v/>
      </c>
      <c r="DB300" s="302"/>
      <c r="DC300" s="364"/>
      <c r="DG300" s="424"/>
      <c r="DH300" s="424"/>
      <c r="DI300" s="424"/>
      <c r="DJ300" s="424"/>
      <c r="DK300" s="424"/>
      <c r="DL300" s="424"/>
      <c r="DM300" s="424"/>
      <c r="DN300" s="424"/>
      <c r="DO300" s="424"/>
      <c r="DP300" s="424"/>
      <c r="DQ300" s="424"/>
      <c r="DR300" s="424"/>
      <c r="DS300" s="424"/>
      <c r="DT300" s="424"/>
      <c r="DU300" s="424"/>
      <c r="DV300" s="424"/>
      <c r="DW300" s="424"/>
      <c r="DX300" s="424"/>
      <c r="DY300" s="424"/>
      <c r="DZ300" s="424"/>
      <c r="EA300" s="424"/>
      <c r="EB300" s="424"/>
    </row>
    <row r="301" spans="98:132" x14ac:dyDescent="0.25">
      <c r="CT301" s="533" t="str">
        <f t="shared" si="333"/>
        <v/>
      </c>
      <c r="CU301" s="371" t="str">
        <f>IF(OR(CT301="",DA301="",CT301=DA301,ISNA(VLOOKUP(CONCATENATE(CT301,DA301),games.a,2,FALSE))),"",CONCATENATE(CT301,DA301))</f>
        <v/>
      </c>
      <c r="CV301" s="371" t="str">
        <f>IF(CU301="","",CONCATENATE(VLOOKUP(CU301,games.a,9,FALSE),VLOOKUP(CU301,games.a,12,FALSE)))</f>
        <v/>
      </c>
      <c r="CW301" s="369" t="str">
        <f>IF(CU301="","",VLOOKUP(CU301,games.a,10,FALSE))</f>
        <v/>
      </c>
      <c r="CX301" s="369" t="str">
        <f>IF(CU301="","",VLOOKUP(CU301,games.a,13,FALSE))</f>
        <v/>
      </c>
      <c r="CY301" s="423" t="str">
        <f>IF(CU301="","",VLOOKUP(CU301,games.a,6,FALSE))</f>
        <v/>
      </c>
      <c r="CZ301" s="409" t="str">
        <f>IF(CU301="","",VLOOKUP(CU301,games.a,7,FALSE))</f>
        <v/>
      </c>
      <c r="DA301" s="523" t="str">
        <f>DA300</f>
        <v/>
      </c>
      <c r="DB301" s="302"/>
      <c r="DC301" s="364"/>
      <c r="DG301" s="424"/>
      <c r="DH301" s="424"/>
      <c r="DI301" s="424"/>
      <c r="DJ301" s="424"/>
      <c r="DK301" s="424"/>
      <c r="DL301" s="424"/>
      <c r="DM301" s="424"/>
      <c r="DN301" s="424"/>
      <c r="DO301" s="424"/>
      <c r="DP301" s="424"/>
      <c r="DQ301" s="424"/>
      <c r="DR301" s="424"/>
      <c r="DS301" s="424"/>
      <c r="DT301" s="424"/>
      <c r="DU301" s="424"/>
      <c r="DV301" s="424"/>
      <c r="DW301" s="424"/>
      <c r="DX301" s="424"/>
      <c r="DY301" s="424"/>
      <c r="DZ301" s="424"/>
      <c r="EA301" s="424"/>
      <c r="EB301" s="424"/>
    </row>
    <row r="302" spans="98:132" x14ac:dyDescent="0.25">
      <c r="CT302" s="533" t="str">
        <f t="shared" si="333"/>
        <v/>
      </c>
      <c r="CU302" s="371" t="str">
        <f>IF(OR(CT302="",DA302="",CT302=DA302,ISNA(VLOOKUP(CONCATENATE(CT302,DA302),games.a,2,FALSE))),"",CONCATENATE(CT302,DA302))</f>
        <v/>
      </c>
      <c r="CV302" s="371" t="str">
        <f>IF(CU302="","",CONCATENATE(VLOOKUP(CU302,games.a,9,FALSE),VLOOKUP(CU302,games.a,12,FALSE)))</f>
        <v/>
      </c>
      <c r="CW302" s="369" t="str">
        <f>IF(CU302="","",VLOOKUP(CU302,games.a,10,FALSE))</f>
        <v/>
      </c>
      <c r="CX302" s="369" t="str">
        <f>IF(CU302="","",VLOOKUP(CU302,games.a,13,FALSE))</f>
        <v/>
      </c>
      <c r="CY302" s="423" t="str">
        <f>IF(CU302="","",VLOOKUP(CU302,games.a,6,FALSE))</f>
        <v/>
      </c>
      <c r="CZ302" s="409" t="str">
        <f>IF(CU302="","",VLOOKUP(CU302,games.a,7,FALSE))</f>
        <v/>
      </c>
      <c r="DA302" s="523" t="str">
        <f>DA301</f>
        <v/>
      </c>
      <c r="DB302" s="302"/>
      <c r="DC302" s="364"/>
      <c r="DG302" s="424"/>
      <c r="DH302" s="424"/>
      <c r="DI302" s="424"/>
      <c r="DJ302" s="424"/>
      <c r="DK302" s="424"/>
      <c r="DL302" s="424"/>
      <c r="DM302" s="424"/>
      <c r="DN302" s="424"/>
      <c r="DO302" s="424"/>
      <c r="DP302" s="424"/>
      <c r="DQ302" s="424"/>
      <c r="DR302" s="424"/>
      <c r="DS302" s="424"/>
      <c r="DT302" s="424"/>
      <c r="DU302" s="424"/>
      <c r="DV302" s="424"/>
      <c r="DW302" s="424"/>
      <c r="DX302" s="424"/>
      <c r="DY302" s="424"/>
      <c r="DZ302" s="424"/>
      <c r="EA302" s="424"/>
      <c r="EB302" s="424"/>
    </row>
    <row r="303" spans="98:132" x14ac:dyDescent="0.25">
      <c r="CT303" s="301"/>
      <c r="CU303" s="302"/>
      <c r="CV303" s="302"/>
      <c r="CW303" s="302"/>
      <c r="CX303" s="302"/>
      <c r="CY303" s="302"/>
      <c r="CZ303" s="302"/>
      <c r="DA303" s="447"/>
      <c r="DB303" s="302"/>
      <c r="DC303" s="446" t="s">
        <v>371</v>
      </c>
      <c r="DG303" s="424"/>
      <c r="DH303" s="424"/>
      <c r="DI303" s="424"/>
      <c r="DJ303" s="424"/>
      <c r="DK303" s="424"/>
      <c r="DL303" s="424"/>
      <c r="DM303" s="424"/>
      <c r="DN303" s="424"/>
      <c r="DO303" s="424"/>
      <c r="DP303" s="424"/>
      <c r="DQ303" s="424"/>
      <c r="DR303" s="424"/>
      <c r="DS303" s="424"/>
      <c r="DT303" s="424"/>
      <c r="DU303" s="424"/>
      <c r="DV303" s="424"/>
      <c r="DW303" s="424"/>
      <c r="DX303" s="424"/>
      <c r="DY303" s="424"/>
      <c r="DZ303" s="424"/>
      <c r="EA303" s="424"/>
      <c r="EB303" s="424"/>
    </row>
    <row r="304" spans="98:132" x14ac:dyDescent="0.25">
      <c r="CT304" s="301"/>
      <c r="CU304" s="302"/>
      <c r="CV304" s="302"/>
      <c r="CW304" s="302"/>
      <c r="CX304" s="302"/>
      <c r="CY304" s="302"/>
      <c r="CZ304" s="302"/>
      <c r="DA304" s="447"/>
      <c r="DB304" s="302"/>
      <c r="DC304" s="448" t="s">
        <v>372</v>
      </c>
      <c r="DG304" s="424"/>
      <c r="DH304" s="424"/>
      <c r="DI304" s="424"/>
      <c r="DJ304" s="424"/>
      <c r="DK304" s="424"/>
      <c r="DL304" s="424"/>
      <c r="DM304" s="424"/>
      <c r="DN304" s="424"/>
      <c r="DO304" s="424"/>
      <c r="DP304" s="424"/>
      <c r="DQ304" s="424"/>
      <c r="DR304" s="424"/>
      <c r="DS304" s="424"/>
      <c r="DT304" s="424"/>
      <c r="DU304" s="424"/>
      <c r="DV304" s="424"/>
      <c r="DW304" s="424"/>
      <c r="DX304" s="424"/>
      <c r="DY304" s="424"/>
      <c r="DZ304" s="424"/>
      <c r="EA304" s="424"/>
      <c r="EB304" s="424"/>
    </row>
    <row r="305" spans="80:146" x14ac:dyDescent="0.25">
      <c r="CT305" s="323" t="b">
        <f ca="1">OR(NOT(ASZTAB!$AJ$44),COUNTIF(CY305:CY314,"")&lt;=8-(DA305-1)*DA305/2)</f>
        <v>1</v>
      </c>
      <c r="CU305" s="324" t="s">
        <v>157</v>
      </c>
      <c r="CV305" s="324" t="s">
        <v>158</v>
      </c>
      <c r="CW305" s="325" t="s">
        <v>159</v>
      </c>
      <c r="CX305" s="325"/>
      <c r="CY305" s="326" t="s">
        <v>160</v>
      </c>
      <c r="CZ305" s="325" t="s">
        <v>135</v>
      </c>
      <c r="DA305" s="323">
        <f>COUNT(CQ90:CQ91)</f>
        <v>0</v>
      </c>
      <c r="DB305" s="302"/>
      <c r="DC305" s="364"/>
      <c r="DG305" s="329" t="s">
        <v>229</v>
      </c>
      <c r="DH305" s="365"/>
      <c r="DI305" s="329" t="s">
        <v>152</v>
      </c>
      <c r="DJ305" s="329" t="s">
        <v>153</v>
      </c>
      <c r="DK305" s="329" t="s">
        <v>154</v>
      </c>
      <c r="DL305" s="329" t="s">
        <v>155</v>
      </c>
      <c r="DM305" s="329" t="s">
        <v>125</v>
      </c>
      <c r="DN305" s="329" t="s">
        <v>226</v>
      </c>
      <c r="DO305" s="329" t="s">
        <v>126</v>
      </c>
      <c r="DP305" s="329" t="s">
        <v>227</v>
      </c>
      <c r="DQ305" s="424"/>
      <c r="DR305" s="424"/>
      <c r="DS305" s="424"/>
      <c r="DT305" s="329" t="s">
        <v>228</v>
      </c>
      <c r="DU305" s="329" t="s">
        <v>156</v>
      </c>
      <c r="DV305" s="329" t="s">
        <v>208</v>
      </c>
      <c r="DW305" s="424"/>
      <c r="DX305" s="424"/>
      <c r="DY305" s="424"/>
      <c r="DZ305" s="424"/>
      <c r="EA305" s="424"/>
      <c r="EB305" s="424"/>
    </row>
    <row r="306" spans="80:146" x14ac:dyDescent="0.25">
      <c r="CT306" s="359" t="str">
        <f>IF(CQ90="","",VLOOKUP(CQ90,xxx.rr3,10,FALSE))</f>
        <v/>
      </c>
      <c r="CU306" s="360" t="str">
        <f ca="1">IF(OR(CT306="",DA306="",CT306=DA306,ISNA(VLOOKUP(CONCATENATE(CT306,DA306),games.r,2,FALSE))),"",CONCATENATE(CT306,DA306))</f>
        <v/>
      </c>
      <c r="CV306" s="360" t="str">
        <f ca="1">IF(CU306="","",CONCATENATE(VLOOKUP(CU306,games.r,9,FALSE),VLOOKUP(CU306,games.r,12,FALSE)))</f>
        <v/>
      </c>
      <c r="CW306" s="354" t="str">
        <f ca="1">IF(CU306="","",VLOOKUP(CU306,games.r,10,FALSE))</f>
        <v/>
      </c>
      <c r="CX306" s="354" t="str">
        <f ca="1">IF(CU306="","",VLOOKUP(CU306,games.r,13,FALSE))</f>
        <v/>
      </c>
      <c r="CY306" s="361" t="str">
        <f ca="1">IF(CU306="","",VLOOKUP(CU306,games.r,6,FALSE))</f>
        <v/>
      </c>
      <c r="CZ306" s="362" t="str">
        <f ca="1">IF(CU306="","",VLOOKUP(CU306,games.r,7,FALSE))</f>
        <v/>
      </c>
      <c r="DA306" s="363" t="str">
        <f>CT306</f>
        <v/>
      </c>
      <c r="DB306" s="302"/>
      <c r="DC306" s="364"/>
      <c r="DG306" s="366" t="str">
        <f ca="1">IF(OR(NOT(ASZTAB!$AJ$44),CT305),CT306,"")</f>
        <v/>
      </c>
      <c r="DH306" s="365"/>
      <c r="DI306" s="366">
        <f ca="1">IF(DG306="",0,COUNTIF(xxgy.rr,DG306))</f>
        <v>0</v>
      </c>
      <c r="DJ306" s="366">
        <f ca="1">IF(DG306="",0,COUNTIF(xxd.rr,DG306))</f>
        <v>0</v>
      </c>
      <c r="DK306" s="366">
        <f ca="1">IF(DG306="",0,1)*(SUMIF(xxo.rr,DG306,xxl.rr)+SUMIF(xxi.rr,DG306,xxk.rr))</f>
        <v>0</v>
      </c>
      <c r="DL306" s="366">
        <f ca="1">IF(DG306="",0,1)*(SUMIF(xxo.rr,DG306,xxk.rr)+SUMIF(xxi.rr,DG306,xxl.rr))</f>
        <v>0</v>
      </c>
      <c r="DM306" s="366">
        <f ca="1">DK306-DL306</f>
        <v>0</v>
      </c>
      <c r="DN306" s="366">
        <f ca="1">IF(DL306=0,0,DK306/DL306)</f>
        <v>0</v>
      </c>
      <c r="DO306" s="366">
        <f ca="1">ASZTAB!$AJ$48*DI306+IF(ASZTAB!$AJ$44,0,1)*DJ306</f>
        <v>0</v>
      </c>
      <c r="DP306" s="396">
        <f ca="1">DO306*1000000+IF(ASZTAB!$AJ$44,DN306,DM306)*1000*0</f>
        <v>0</v>
      </c>
      <c r="DQ306" s="424"/>
      <c r="DR306" s="424"/>
      <c r="DS306" s="424"/>
      <c r="DT306" s="366">
        <f ca="1">IF(OR(ISERR(DP306),ISNA(DP306)),0,DP306)</f>
        <v>0</v>
      </c>
      <c r="DU306" s="366">
        <f ca="1">IF(DT306=0,0,RANK(DT306,DT306:DT307,1))</f>
        <v>0</v>
      </c>
      <c r="DV306" s="366">
        <f ca="1">DU306*40000*IF(COUNTIF($EN$226:$EN$235,DG306)&gt;0,0,1)</f>
        <v>0</v>
      </c>
      <c r="DW306" s="424"/>
      <c r="DX306" s="424"/>
      <c r="DY306" s="424"/>
      <c r="DZ306" s="424"/>
      <c r="EA306" s="424"/>
      <c r="EB306" s="424"/>
    </row>
    <row r="307" spans="80:146" x14ac:dyDescent="0.25">
      <c r="CT307" s="359" t="str">
        <f>IF(CQ91="","",VLOOKUP(CQ91,xxx.rr3,10,FALSE))</f>
        <v/>
      </c>
      <c r="CU307" s="360" t="str">
        <f ca="1">IF(OR(CT307="",DA307="",CT307=DA307,ISNA(VLOOKUP(CONCATENATE(CT307,DA307),games.r,2,FALSE))),"",CONCATENATE(CT307,DA307))</f>
        <v/>
      </c>
      <c r="CV307" s="360" t="str">
        <f ca="1">IF(CU307="","",CONCATENATE(VLOOKUP(CU307,games.r,9,FALSE),VLOOKUP(CU307,games.r,12,FALSE)))</f>
        <v/>
      </c>
      <c r="CW307" s="354" t="str">
        <f ca="1">IF(CU307="","",VLOOKUP(CU307,games.r,10,FALSE))</f>
        <v/>
      </c>
      <c r="CX307" s="354" t="str">
        <f ca="1">IF(CU307="","",VLOOKUP(CU307,games.r,13,FALSE))</f>
        <v/>
      </c>
      <c r="CY307" s="361" t="str">
        <f ca="1">IF(CU307="","",VLOOKUP(CU307,games.r,6,FALSE))</f>
        <v/>
      </c>
      <c r="CZ307" s="362" t="str">
        <f ca="1">IF(CU307="","",VLOOKUP(CU307,games.r,7,FALSE))</f>
        <v/>
      </c>
      <c r="DA307" s="379" t="str">
        <f>DA306</f>
        <v/>
      </c>
      <c r="DB307" s="302"/>
      <c r="DC307" s="364"/>
      <c r="DG307" s="366" t="str">
        <f ca="1">IF(OR(NOT(ASZTAB!$AJ$44),CT305),CT307,"")</f>
        <v/>
      </c>
      <c r="DH307" s="365"/>
      <c r="DI307" s="366">
        <f ca="1">IF(DG307="",0,COUNTIF(xxgy.rr,DG307))</f>
        <v>0</v>
      </c>
      <c r="DJ307" s="366">
        <f ca="1">IF(DG307="",0,COUNTIF(xxd.rr,DG307))</f>
        <v>0</v>
      </c>
      <c r="DK307" s="366">
        <f ca="1">IF(DG307="",0,1)*(SUMIF(xxo.rr,DG307,xxl.rr)+SUMIF(xxi.rr,DG307,xxk.rr))</f>
        <v>0</v>
      </c>
      <c r="DL307" s="366">
        <f ca="1">IF(DG307="",0,1)*(SUMIF(xxo.rr,DG307,xxk.rr)+SUMIF(xxi.rr,DG307,xxl.rr))</f>
        <v>0</v>
      </c>
      <c r="DM307" s="366">
        <f ca="1">DK307-DL307</f>
        <v>0</v>
      </c>
      <c r="DN307" s="366">
        <f ca="1">IF(DL307=0,0,DK307/DL307)</f>
        <v>0</v>
      </c>
      <c r="DO307" s="366">
        <f ca="1">ASZTAB!$AJ$48*DI307+IF(ASZTAB!$AJ$44,0,1)*DJ307</f>
        <v>0</v>
      </c>
      <c r="DP307" s="396">
        <f ca="1">DO307*1000000+IF(ASZTAB!$AJ$44,DN307,DM307)*1000*0</f>
        <v>0</v>
      </c>
      <c r="DQ307" s="424"/>
      <c r="DR307" s="424"/>
      <c r="DS307" s="424"/>
      <c r="DT307" s="366">
        <f ca="1">IF(OR(ISERR(DP307),ISNA(DP307)),0,DP307)</f>
        <v>0</v>
      </c>
      <c r="DU307" s="366">
        <f ca="1">IF(DT307=0,0,RANK(DT307,DT306:DT307,1))</f>
        <v>0</v>
      </c>
      <c r="DV307" s="366">
        <f ca="1">DU307*40000*IF(COUNTIF($EN$226:$EN$235,DG307)&gt;0,0,1)</f>
        <v>0</v>
      </c>
      <c r="DW307" s="424"/>
      <c r="DX307" s="424"/>
      <c r="DY307" s="424"/>
      <c r="DZ307" s="424"/>
      <c r="EA307" s="424"/>
      <c r="EB307" s="424"/>
    </row>
    <row r="308" spans="80:146" x14ac:dyDescent="0.25">
      <c r="CT308" s="522" t="str">
        <f>IF(NOT($AD$112),"",CT306)</f>
        <v/>
      </c>
      <c r="CU308" s="371" t="str">
        <f>IF(OR(CT308="",DA308="",CT308=DA308,ISNA(VLOOKUP(CONCATENATE(CT308,DA308),games.a,2,FALSE))),"",CONCATENATE(CT308,DA308))</f>
        <v/>
      </c>
      <c r="CV308" s="371" t="str">
        <f>IF(CU308="","",CONCATENATE(VLOOKUP(CU308,games.a,9,FALSE),VLOOKUP(CU308,games.a,12,FALSE)))</f>
        <v/>
      </c>
      <c r="CW308" s="369" t="str">
        <f>IF(CU308="","",VLOOKUP(CU308,games.a,10,FALSE))</f>
        <v/>
      </c>
      <c r="CX308" s="369" t="str">
        <f>IF(CU308="","",VLOOKUP(CU308,games.a,13,FALSE))</f>
        <v/>
      </c>
      <c r="CY308" s="423" t="str">
        <f>IF(CU308="","",VLOOKUP(CU308,games.a,6,FALSE))</f>
        <v/>
      </c>
      <c r="CZ308" s="409" t="str">
        <f>IF(CU308="","",VLOOKUP(CU308,games.a,7,FALSE))</f>
        <v/>
      </c>
      <c r="DA308" s="523" t="str">
        <f>DA307</f>
        <v/>
      </c>
      <c r="DB308" s="302"/>
      <c r="DC308" s="364"/>
      <c r="DG308" s="424"/>
      <c r="DH308" s="424"/>
      <c r="DI308" s="424"/>
      <c r="DJ308" s="424"/>
      <c r="DK308" s="424"/>
      <c r="DL308" s="424"/>
      <c r="DM308" s="424"/>
      <c r="DN308" s="424"/>
      <c r="DO308" s="424"/>
      <c r="DP308" s="424"/>
      <c r="DQ308" s="424"/>
      <c r="DR308" s="424"/>
      <c r="DS308" s="424"/>
      <c r="DT308" s="424"/>
      <c r="DU308" s="424"/>
      <c r="DV308" s="424"/>
      <c r="DW308" s="424"/>
      <c r="DX308" s="424"/>
      <c r="DY308" s="424"/>
      <c r="DZ308" s="424"/>
      <c r="EA308" s="424"/>
      <c r="EB308" s="424"/>
    </row>
    <row r="309" spans="80:146" x14ac:dyDescent="0.25">
      <c r="CT309" s="522" t="str">
        <f>IF(NOT($AD$112),"",CT307)</f>
        <v/>
      </c>
      <c r="CU309" s="371" t="str">
        <f>IF(OR(CT309="",DA309="",CT309=DA309,ISNA(VLOOKUP(CONCATENATE(CT309,DA309),games.a,2,FALSE))),"",CONCATENATE(CT309,DA309))</f>
        <v/>
      </c>
      <c r="CV309" s="371" t="str">
        <f>IF(CU309="","",CONCATENATE(VLOOKUP(CU309,games.a,9,FALSE),VLOOKUP(CU309,games.a,12,FALSE)))</f>
        <v/>
      </c>
      <c r="CW309" s="369" t="str">
        <f>IF(CU309="","",VLOOKUP(CU309,games.a,10,FALSE))</f>
        <v/>
      </c>
      <c r="CX309" s="369" t="str">
        <f>IF(CU309="","",VLOOKUP(CU309,games.a,13,FALSE))</f>
        <v/>
      </c>
      <c r="CY309" s="423" t="str">
        <f>IF(CU309="","",VLOOKUP(CU309,games.a,6,FALSE))</f>
        <v/>
      </c>
      <c r="CZ309" s="409" t="str">
        <f>IF(CU309="","",VLOOKUP(CU309,games.a,7,FALSE))</f>
        <v/>
      </c>
      <c r="DA309" s="523" t="str">
        <f>DA308</f>
        <v/>
      </c>
      <c r="DB309" s="302"/>
      <c r="DC309" s="364"/>
      <c r="DG309" s="424"/>
      <c r="DH309" s="424"/>
      <c r="DI309" s="424"/>
      <c r="DJ309" s="424"/>
      <c r="DK309" s="424"/>
      <c r="DL309" s="424"/>
      <c r="DM309" s="424"/>
      <c r="DN309" s="424"/>
      <c r="DO309" s="424"/>
      <c r="DP309" s="424"/>
      <c r="DQ309" s="424"/>
      <c r="DR309" s="424"/>
      <c r="DS309" s="424"/>
      <c r="DT309" s="424"/>
      <c r="DU309" s="424"/>
      <c r="DV309" s="424"/>
      <c r="DW309" s="424"/>
      <c r="DX309" s="424"/>
      <c r="DY309" s="424"/>
      <c r="DZ309" s="424"/>
      <c r="EA309" s="424"/>
      <c r="EB309" s="424"/>
    </row>
    <row r="310" spans="80:146" x14ac:dyDescent="0.25">
      <c r="CT310" s="301"/>
      <c r="CU310" s="324" t="s">
        <v>157</v>
      </c>
      <c r="CV310" s="324" t="s">
        <v>158</v>
      </c>
      <c r="CW310" s="325" t="s">
        <v>159</v>
      </c>
      <c r="CX310" s="325"/>
      <c r="CY310" s="326" t="s">
        <v>160</v>
      </c>
      <c r="CZ310" s="325" t="s">
        <v>135</v>
      </c>
      <c r="DA310" s="302"/>
      <c r="DB310" s="302"/>
      <c r="DC310" s="364"/>
      <c r="DG310" s="424"/>
      <c r="DH310" s="424"/>
      <c r="DI310" s="424"/>
      <c r="DJ310" s="424"/>
      <c r="DK310" s="424"/>
      <c r="DL310" s="424"/>
      <c r="DM310" s="424"/>
      <c r="DN310" s="424"/>
      <c r="DO310" s="424"/>
      <c r="DP310" s="424"/>
      <c r="DQ310" s="424"/>
      <c r="DR310" s="424"/>
      <c r="DS310" s="424"/>
      <c r="DT310" s="424"/>
      <c r="DU310" s="424"/>
      <c r="DV310" s="424"/>
      <c r="DW310" s="424"/>
      <c r="DX310" s="424"/>
      <c r="DY310" s="424"/>
      <c r="DZ310" s="424"/>
      <c r="EA310" s="424"/>
      <c r="EB310" s="424"/>
    </row>
    <row r="311" spans="80:146" x14ac:dyDescent="0.25">
      <c r="CT311" s="395" t="str">
        <f>CT306</f>
        <v/>
      </c>
      <c r="CU311" s="360" t="str">
        <f ca="1">IF(OR(CT311="",DA311="",CT311=DA311,ISNA(VLOOKUP(CONCATENATE(CT311,DA311),games.r,2,FALSE))),"",CONCATENATE(CT311,DA311))</f>
        <v/>
      </c>
      <c r="CV311" s="360" t="str">
        <f ca="1">IF(CU311="","",CONCATENATE(VLOOKUP(CU311,games.r,9,FALSE),VLOOKUP(CU311,games.r,12,FALSE)))</f>
        <v/>
      </c>
      <c r="CW311" s="354" t="str">
        <f ca="1">IF(CU311="","",VLOOKUP(CU311,games.r,10,FALSE))</f>
        <v/>
      </c>
      <c r="CX311" s="354" t="str">
        <f ca="1">IF(CU311="","",VLOOKUP(CU311,games.r,13,FALSE))</f>
        <v/>
      </c>
      <c r="CY311" s="361" t="str">
        <f ca="1">IF(CU311="","",VLOOKUP(CU311,games.r,6,FALSE))</f>
        <v/>
      </c>
      <c r="CZ311" s="362" t="str">
        <f ca="1">IF(CU311="","",VLOOKUP(CU311,games.r,7,FALSE))</f>
        <v/>
      </c>
      <c r="DA311" s="363" t="str">
        <f>CT307</f>
        <v/>
      </c>
      <c r="DB311" s="302"/>
      <c r="DC311" s="364"/>
      <c r="DG311" s="424"/>
      <c r="DH311" s="424"/>
      <c r="DI311" s="424"/>
      <c r="DJ311" s="424"/>
      <c r="DK311" s="424"/>
      <c r="DL311" s="424"/>
      <c r="DM311" s="424"/>
      <c r="DN311" s="424"/>
      <c r="DO311" s="424"/>
      <c r="DP311" s="424"/>
      <c r="DQ311" s="424"/>
      <c r="DR311" s="424"/>
      <c r="DS311" s="424"/>
      <c r="DT311" s="424"/>
      <c r="DU311" s="424"/>
      <c r="DV311" s="424"/>
      <c r="DW311" s="424"/>
      <c r="DX311" s="424"/>
      <c r="DY311" s="424"/>
      <c r="DZ311" s="424"/>
      <c r="EA311" s="424"/>
      <c r="EB311" s="424"/>
    </row>
    <row r="312" spans="80:146" x14ac:dyDescent="0.25">
      <c r="CT312" s="395" t="str">
        <f>CT307</f>
        <v/>
      </c>
      <c r="CU312" s="360" t="str">
        <f ca="1">IF(OR(CT312="",DA312="",CT312=DA312,ISNA(VLOOKUP(CONCATENATE(CT312,DA312),games.r,2,FALSE))),"",CONCATENATE(CT312,DA312))</f>
        <v/>
      </c>
      <c r="CV312" s="360" t="str">
        <f ca="1">IF(CU312="","",CONCATENATE(VLOOKUP(CU312,games.r,9,FALSE),VLOOKUP(CU312,games.r,12,FALSE)))</f>
        <v/>
      </c>
      <c r="CW312" s="354" t="str">
        <f ca="1">IF(CU312="","",VLOOKUP(CU312,games.r,10,FALSE))</f>
        <v/>
      </c>
      <c r="CX312" s="354" t="str">
        <f ca="1">IF(CU312="","",VLOOKUP(CU312,games.r,13,FALSE))</f>
        <v/>
      </c>
      <c r="CY312" s="361" t="str">
        <f ca="1">IF(CU312="","",VLOOKUP(CU312,games.r,6,FALSE))</f>
        <v/>
      </c>
      <c r="CZ312" s="362" t="str">
        <f ca="1">IF(CU312="","",VLOOKUP(CU312,games.r,7,FALSE))</f>
        <v/>
      </c>
      <c r="DA312" s="379" t="str">
        <f>DA311</f>
        <v/>
      </c>
      <c r="DB312" s="302"/>
      <c r="DC312" s="364"/>
      <c r="DG312" s="424"/>
      <c r="DH312" s="424"/>
      <c r="DI312" s="424"/>
      <c r="DJ312" s="424"/>
      <c r="DK312" s="424"/>
      <c r="DL312" s="424"/>
      <c r="DM312" s="424"/>
      <c r="DN312" s="424"/>
      <c r="DO312" s="424"/>
      <c r="DP312" s="424"/>
      <c r="DQ312" s="424"/>
      <c r="DR312" s="424"/>
      <c r="DS312" s="424"/>
      <c r="DT312" s="424"/>
      <c r="DU312" s="424"/>
      <c r="DV312" s="424"/>
      <c r="DW312" s="424"/>
      <c r="DX312" s="424"/>
      <c r="DY312" s="424"/>
      <c r="DZ312" s="424"/>
      <c r="EA312" s="424"/>
    </row>
    <row r="313" spans="80:146" x14ac:dyDescent="0.25">
      <c r="CT313" s="522" t="str">
        <f>CT308</f>
        <v/>
      </c>
      <c r="CU313" s="371" t="str">
        <f>IF(OR(CT313="",DA313="",CT313=DA313,ISNA(VLOOKUP(CONCATENATE(CT313,DA313),games.a,2,FALSE))),"",CONCATENATE(CT313,DA313))</f>
        <v/>
      </c>
      <c r="CV313" s="371" t="str">
        <f>IF(CU313="","",CONCATENATE(VLOOKUP(CU313,games.a,9,FALSE),VLOOKUP(CU313,games.a,12,FALSE)))</f>
        <v/>
      </c>
      <c r="CW313" s="369" t="str">
        <f>IF(CU313="","",VLOOKUP(CU313,games.a,10,FALSE))</f>
        <v/>
      </c>
      <c r="CX313" s="369" t="str">
        <f>IF(CU313="","",VLOOKUP(CU313,games.a,13,FALSE))</f>
        <v/>
      </c>
      <c r="CY313" s="423" t="str">
        <f>IF(CU313="","",VLOOKUP(CU313,games.a,6,FALSE))</f>
        <v/>
      </c>
      <c r="CZ313" s="409" t="str">
        <f>IF(CU313="","",VLOOKUP(CU313,games.a,7,FALSE))</f>
        <v/>
      </c>
      <c r="DA313" s="523" t="str">
        <f>DA312</f>
        <v/>
      </c>
      <c r="DB313" s="302"/>
      <c r="DC313" s="364"/>
      <c r="DG313" s="424"/>
      <c r="DH313" s="424"/>
      <c r="DI313" s="424"/>
      <c r="DJ313" s="424"/>
      <c r="DK313" s="424"/>
      <c r="DL313" s="424"/>
      <c r="DM313" s="424"/>
      <c r="DN313" s="424"/>
      <c r="DO313" s="424"/>
      <c r="DP313" s="424"/>
      <c r="DQ313" s="424"/>
      <c r="DR313" s="424"/>
      <c r="DS313" s="424"/>
      <c r="DT313" s="424"/>
      <c r="DU313" s="424"/>
      <c r="DV313" s="424"/>
      <c r="DW313" s="424"/>
      <c r="DX313" s="424"/>
      <c r="DY313" s="424"/>
      <c r="DZ313" s="424"/>
      <c r="EA313" s="424"/>
    </row>
    <row r="314" spans="80:146" x14ac:dyDescent="0.25">
      <c r="CT314" s="522" t="str">
        <f>CT309</f>
        <v/>
      </c>
      <c r="CU314" s="371" t="str">
        <f>IF(OR(CT314="",DA314="",CT314=DA314,ISNA(VLOOKUP(CONCATENATE(CT314,DA314),games.a,2,FALSE))),"",CONCATENATE(CT314,DA314))</f>
        <v/>
      </c>
      <c r="CV314" s="371" t="str">
        <f>IF(CU314="","",CONCATENATE(VLOOKUP(CU314,games.a,9,FALSE),VLOOKUP(CU314,games.a,12,FALSE)))</f>
        <v/>
      </c>
      <c r="CW314" s="369" t="str">
        <f>IF(CU314="","",VLOOKUP(CU314,games.a,10,FALSE))</f>
        <v/>
      </c>
      <c r="CX314" s="369" t="str">
        <f>IF(CU314="","",VLOOKUP(CU314,games.a,13,FALSE))</f>
        <v/>
      </c>
      <c r="CY314" s="423" t="str">
        <f>IF(CU314="","",VLOOKUP(CU314,games.a,6,FALSE))</f>
        <v/>
      </c>
      <c r="CZ314" s="409" t="str">
        <f>IF(CU314="","",VLOOKUP(CU314,games.a,7,FALSE))</f>
        <v/>
      </c>
      <c r="DA314" s="523" t="str">
        <f>DA313</f>
        <v/>
      </c>
      <c r="DB314" s="302"/>
      <c r="DC314" s="364"/>
      <c r="DG314" s="424"/>
      <c r="DH314" s="424"/>
      <c r="DI314" s="424"/>
      <c r="DJ314" s="424"/>
      <c r="DK314" s="424"/>
      <c r="DL314" s="424"/>
      <c r="DM314" s="424"/>
      <c r="DN314" s="424"/>
      <c r="DO314" s="424"/>
      <c r="DP314" s="424"/>
      <c r="DQ314" s="424"/>
      <c r="DR314" s="424"/>
      <c r="DS314" s="424"/>
      <c r="DT314" s="424"/>
      <c r="DU314" s="424"/>
      <c r="DV314" s="424"/>
      <c r="DW314" s="424"/>
      <c r="DX314" s="424"/>
      <c r="DY314" s="424"/>
      <c r="DZ314" s="424"/>
      <c r="EA314" s="424"/>
    </row>
    <row r="315" spans="80:146" x14ac:dyDescent="0.25">
      <c r="CT315" s="301"/>
      <c r="CU315" s="302"/>
      <c r="CV315" s="302"/>
      <c r="CW315" s="302"/>
      <c r="CX315" s="302"/>
      <c r="CY315" s="302"/>
      <c r="CZ315" s="302"/>
      <c r="DA315" s="302"/>
      <c r="DB315" s="302"/>
      <c r="DC315" s="446" t="s">
        <v>372</v>
      </c>
      <c r="DG315" s="424"/>
      <c r="DH315" s="424"/>
      <c r="DI315" s="424"/>
      <c r="DJ315" s="424"/>
      <c r="DK315" s="424"/>
      <c r="DL315" s="424"/>
      <c r="DM315" s="424"/>
      <c r="DN315" s="424"/>
      <c r="DO315" s="424"/>
      <c r="DP315" s="424"/>
      <c r="DQ315" s="424"/>
      <c r="DR315" s="424"/>
      <c r="DS315" s="424"/>
      <c r="DT315" s="424"/>
      <c r="DU315" s="424"/>
      <c r="DV315" s="424"/>
      <c r="DW315" s="424"/>
      <c r="DX315" s="424"/>
      <c r="DY315" s="424"/>
      <c r="DZ315" s="424"/>
      <c r="EA315" s="424"/>
    </row>
    <row r="317" spans="80:146" x14ac:dyDescent="0.25">
      <c r="CB317" s="296"/>
      <c r="CC317" s="296"/>
      <c r="CD317" s="296"/>
      <c r="CE317" s="296"/>
      <c r="CF317" s="296"/>
      <c r="CG317" s="296"/>
      <c r="CR317" s="296"/>
      <c r="CS317" s="300"/>
      <c r="CT317" s="301"/>
      <c r="CU317" s="302"/>
      <c r="CV317" s="302"/>
      <c r="CW317" s="302"/>
      <c r="CX317" s="302"/>
      <c r="CY317" s="302"/>
      <c r="CZ317" s="302"/>
      <c r="DA317" s="302"/>
      <c r="DB317" s="302"/>
      <c r="DC317" s="303"/>
      <c r="DD317" s="302"/>
      <c r="DV317" s="305"/>
    </row>
    <row r="318" spans="80:146" x14ac:dyDescent="0.25">
      <c r="CB318" s="296"/>
      <c r="CC318" s="454" t="s">
        <v>212</v>
      </c>
      <c r="CD318" s="454" t="s">
        <v>412</v>
      </c>
      <c r="CE318" s="454" t="s">
        <v>413</v>
      </c>
      <c r="CF318" s="296"/>
      <c r="CG318" s="296"/>
      <c r="CI318" s="455" t="str">
        <f ca="1">IF(CH319=0,"xxx",VLOOKUP(CH319,CC319:CF328,IF(ASZTAB!$AJ$44,3,2),FALSE))</f>
        <v>xxx</v>
      </c>
      <c r="CJ318" s="456"/>
      <c r="CK318" s="457" t="s">
        <v>216</v>
      </c>
      <c r="CL318" s="455" t="str">
        <f ca="1">IF(CH320=0,"xxx",VLOOKUP(CH320,CC319:CF328,IF(ASZTAB!$AJ$44,3,2),FALSE))</f>
        <v>xxx</v>
      </c>
      <c r="CM318" s="456"/>
      <c r="CN318" s="457" t="s">
        <v>218</v>
      </c>
      <c r="CO318" s="455" t="str">
        <f ca="1">IF(CH321=0,"xxx",VLOOKUP(CH321,CC319:CF328,IF(ASZTAB!$AJ$44,3,2),FALSE))</f>
        <v>xxx</v>
      </c>
      <c r="CP318" s="456"/>
      <c r="CQ318" s="457" t="s">
        <v>219</v>
      </c>
      <c r="CR318" s="296"/>
      <c r="CS318" s="300"/>
      <c r="CT318" s="323" t="b">
        <f ca="1">OR(NOT(ASZTAB!$AJ$44),COUNTIF(CY318:CY372,"")&lt;=50-(DA318-1)*DA318/2)</f>
        <v>1</v>
      </c>
      <c r="CU318" s="458" t="s">
        <v>157</v>
      </c>
      <c r="CV318" s="458" t="s">
        <v>158</v>
      </c>
      <c r="CW318" s="459" t="s">
        <v>159</v>
      </c>
      <c r="CX318" s="459"/>
      <c r="CY318" s="460" t="s">
        <v>160</v>
      </c>
      <c r="CZ318" s="459" t="s">
        <v>135</v>
      </c>
      <c r="DA318" s="323">
        <f ca="1">COUNT(CK319:CK323)</f>
        <v>0</v>
      </c>
      <c r="DB318" s="302"/>
      <c r="DC318" s="327" t="s">
        <v>216</v>
      </c>
      <c r="DD318" s="302"/>
      <c r="DF318" s="328"/>
      <c r="DG318" s="329" t="s">
        <v>223</v>
      </c>
      <c r="DH318" s="329" t="s">
        <v>224</v>
      </c>
      <c r="DI318" s="329" t="s">
        <v>152</v>
      </c>
      <c r="DK318" s="329" t="s">
        <v>154</v>
      </c>
      <c r="DL318" s="329" t="s">
        <v>155</v>
      </c>
      <c r="DN318" s="329" t="s">
        <v>226</v>
      </c>
      <c r="DP318" s="329" t="s">
        <v>227</v>
      </c>
      <c r="DT318" s="329" t="s">
        <v>228</v>
      </c>
      <c r="DU318" s="329" t="s">
        <v>156</v>
      </c>
      <c r="DV318" s="329" t="s">
        <v>208</v>
      </c>
      <c r="DX318" s="329" t="s">
        <v>212</v>
      </c>
      <c r="DY318" s="330" t="s">
        <v>227</v>
      </c>
      <c r="DZ318" s="329" t="s">
        <v>225</v>
      </c>
      <c r="EA318" s="328"/>
      <c r="EB318" s="328"/>
      <c r="EC318" s="328"/>
      <c r="ED318" s="331" t="str">
        <f ca="1">IF(EC319=0,"xxx",VLOOKUP(EC319,DX319:EA323,IF(ASZTAB!$AJ$54,2,3),FALSE))</f>
        <v>xxx</v>
      </c>
      <c r="EE318" s="328"/>
      <c r="EF318" s="328"/>
      <c r="EG318" s="331" t="str">
        <f ca="1">IF(EC320=0,"xxx",VLOOKUP(EC320,DX319:EA323,IF(ASZTAB!$AJ$54,2,3),FALSE))</f>
        <v>xxx</v>
      </c>
      <c r="EH318" s="328"/>
      <c r="EI318" s="328"/>
      <c r="EM318" s="328"/>
      <c r="EN318" s="458"/>
      <c r="EO318" s="332"/>
      <c r="EP318" s="333"/>
    </row>
    <row r="319" spans="80:146" x14ac:dyDescent="0.25">
      <c r="CB319" s="350"/>
      <c r="CC319" s="461">
        <f ca="1">IF(ASZTAB!$AJ$44,COUNTIF($BI$42:$BI$51,CE319)*IF(CE319=0,0,1),COUNTIF($BG$42:$BG$51,CD319)*IF(CD319=0,0,1))+CF319/1000</f>
        <v>1.0009999999999999</v>
      </c>
      <c r="CD319" s="352">
        <f ca="1">LARGE($BG$42:$BG$51,CF319)</f>
        <v>24</v>
      </c>
      <c r="CE319" s="353">
        <f ca="1">LARGE($BI$42:$BI$51,CF319)</f>
        <v>0.95454545454545459</v>
      </c>
      <c r="CF319" s="354">
        <v>1</v>
      </c>
      <c r="CG319" s="350"/>
      <c r="CH319" s="462">
        <f ca="1">IF(LARGE(CC319:CC328,CF319)&lt;2,0,LARGE(CC319:CC328,CF319))</f>
        <v>0</v>
      </c>
      <c r="CI319" s="356" t="str">
        <f ca="1">IF(OR(CI$318=$BG42,CI$318=$BI42),$AW42,"")</f>
        <v/>
      </c>
      <c r="CJ319" s="357" t="str">
        <f t="shared" ref="CJ319:CJ328" ca="1" si="334">IF(CI319="","",CF319)</f>
        <v/>
      </c>
      <c r="CK319" s="463" t="str">
        <f ca="1">IF(ISERR(LARGE(CJ319:CJ328,CF319)),"",LARGE(CJ319:CJ328,CF319))</f>
        <v/>
      </c>
      <c r="CL319" s="356" t="str">
        <f ca="1">IF(OR(CL$318=$BG42,CL$318=$BI42),$AW42,"")</f>
        <v/>
      </c>
      <c r="CM319" s="357" t="str">
        <f t="shared" ref="CM319:CM328" ca="1" si="335">IF(CL319="","",CF319)</f>
        <v/>
      </c>
      <c r="CN319" s="463" t="str">
        <f ca="1">IF(ISERR(LARGE(CM319:CM328,CF319)),"",LARGE(CM319:CM328,CF319))</f>
        <v/>
      </c>
      <c r="CO319" s="356" t="str">
        <f ca="1">IF(OR(CO$318=$BG42,CO$318=$BI42),$AW42,"")</f>
        <v/>
      </c>
      <c r="CP319" s="357" t="str">
        <f t="shared" ref="CP319:CP328" ca="1" si="336">IF(CO319="","",CF319)</f>
        <v/>
      </c>
      <c r="CQ319" s="463" t="str">
        <f ca="1">IF(ISERR(LARGE(CP319:CP328,CF319)),"",LARGE(CP319:CP328,CF319))</f>
        <v/>
      </c>
      <c r="CR319" s="350"/>
      <c r="CS319" s="300"/>
      <c r="CT319" s="464" t="str">
        <f ca="1">IF(CK319="","",VLOOKUP(CK319,xxx.rv1,4,FALSE))</f>
        <v/>
      </c>
      <c r="CU319" s="465" t="str">
        <f ca="1">IF(OR(CT319="",DA319="",CT319=DA319,COUNTIF(games.rv,CT319&amp;DA319)=0),"",CONCATENATE(CT319,DA319))</f>
        <v/>
      </c>
      <c r="CV319" s="360" t="str">
        <f ca="1">IF(CU319="","",CONCATENATE(VLOOKUP(CU319,games.r,9,FALSE),VLOOKUP(CU319,games.r,12,FALSE)))</f>
        <v/>
      </c>
      <c r="CW319" s="354" t="str">
        <f ca="1">IF(CU319="","",VLOOKUP(CU319,games.r,10,FALSE))</f>
        <v/>
      </c>
      <c r="CX319" s="354" t="str">
        <f ca="1">IF(CU319="","",VLOOKUP(CU319,games.r,13,FALSE))</f>
        <v/>
      </c>
      <c r="CY319" s="361" t="str">
        <f ca="1">IF(CU319="","",VLOOKUP(CU319,games.r,6,FALSE))</f>
        <v/>
      </c>
      <c r="CZ319" s="362" t="str">
        <f ca="1">IF(CU319="","",VLOOKUP(CU319,games.r,7,FALSE))</f>
        <v/>
      </c>
      <c r="DA319" s="466" t="str">
        <f ca="1">CT319</f>
        <v/>
      </c>
      <c r="DB319" s="302"/>
      <c r="DC319" s="364"/>
      <c r="DD319" s="302"/>
      <c r="DF319" s="365"/>
      <c r="DG319" s="366" t="str">
        <f ca="1">IF(AND(ASZTAB!$AJ$44,CT318,DA318&lt;&gt;2),CT319,"")</f>
        <v/>
      </c>
      <c r="DH319" s="366">
        <f ca="1">IF(DG319="",-1,COUNTIF(xxgy.rv,DG319))</f>
        <v>-1</v>
      </c>
      <c r="DI319" s="366">
        <f ca="1">IF(DG319="",0,COUNTIF(yygy.rv,DG319))</f>
        <v>0</v>
      </c>
      <c r="DK319" s="366">
        <f ca="1">IF(DG319="",0,1)*(SUMIF(yyo.rv,DG319,yyl.rv)+SUMIF(yyi.rv,DG319,yyk.rv))</f>
        <v>0</v>
      </c>
      <c r="DL319" s="366">
        <f ca="1">IF(DG319="",0,1)*(SUMIF(yyo.rv,DG319,yyk.rv)+SUMIF(yyi.rv,DG319,yyl.rv))</f>
        <v>0</v>
      </c>
      <c r="DN319" s="366">
        <f ca="1">IF(DL319=0,0,DK319/DL319)</f>
        <v>0</v>
      </c>
      <c r="DP319" s="366">
        <f ca="1">DH319*1000000+DI319*1000+DN319</f>
        <v>-1000000</v>
      </c>
      <c r="DT319" s="366">
        <f ca="1">IF(OR(ISERR(DP319),ISNA(DP319),DH319&lt;0),0,DP319)</f>
        <v>0</v>
      </c>
      <c r="DU319" s="366">
        <f ca="1">IF(DT319=0,0,RANK(DT319,DT319:DT323,1))</f>
        <v>0</v>
      </c>
      <c r="DV319" s="366">
        <f ca="1">DU319*40000*IF(COUNTIF($EN$319:$EN$328,DG319)&gt;0,0,1)</f>
        <v>0</v>
      </c>
      <c r="DX319" s="367">
        <f ca="1">IF(ASZTAB!$AJ$54,COUNTIF(DP325:DP329,DY319)*IF(DY319=0,0,1),COUNTIF(DH319:DH323,DZ319)*IF(DZ319&lt;0,0,1))+EA319/1000</f>
        <v>1E-3</v>
      </c>
      <c r="DY319" s="367">
        <f ca="1">LARGE(DP325:DP329,EA319)</f>
        <v>0</v>
      </c>
      <c r="DZ319" s="369">
        <f ca="1">LARGE(DH319:DH323,EA319)</f>
        <v>-1</v>
      </c>
      <c r="EA319" s="369">
        <v>1</v>
      </c>
      <c r="EB319" s="365"/>
      <c r="EC319" s="370">
        <f ca="1">IF(LARGE(DX319:DX323,EA319)&lt;2,0,LARGE(DX319:DX323,EA319))</f>
        <v>0</v>
      </c>
      <c r="ED319" s="371" t="str">
        <f ca="1">IF(DH319=ED318,DG319,IF(DP325=ED318,DG325,""))</f>
        <v/>
      </c>
      <c r="EE319" s="369" t="str">
        <f ca="1">IF(ED319="","",EA319)</f>
        <v/>
      </c>
      <c r="EF319" s="372" t="str">
        <f ca="1">IF(ISERR(LARGE(EE319:EE323,EA319)),"",LARGE(EE319:EE323,EA319))</f>
        <v/>
      </c>
      <c r="EG319" s="371" t="str">
        <f ca="1">IF(DH319=EG318,DG319,IF(DP325=EG318,DG325,""))</f>
        <v/>
      </c>
      <c r="EH319" s="369" t="str">
        <f ca="1">IF(EG319="","",EA319)</f>
        <v/>
      </c>
      <c r="EI319" s="372" t="str">
        <f ca="1">IF(ISERR(LARGE(EH319:EH323,EA319)),"",LARGE(EH319:EH323,EA319))</f>
        <v/>
      </c>
      <c r="EM319" s="365"/>
      <c r="EN319" s="366"/>
      <c r="EO319" s="373"/>
      <c r="EP319" s="333"/>
    </row>
    <row r="320" spans="80:146" x14ac:dyDescent="0.25">
      <c r="CB320" s="350"/>
      <c r="CC320" s="353">
        <f ca="1">IF(ASZTAB!$AJ$44,COUNTIF($BI$42:$BI$51,CE320)*IF(OR(CE320=0,CE320=CE319),0,1),COUNTIF($BG$42:$BG$51,CD320)*IF(OR(CD320=0,CD320=CD319),0,1))+CF320/1000</f>
        <v>1.002</v>
      </c>
      <c r="CD320" s="352">
        <f t="shared" ref="CD320:CD328" ca="1" si="337">LARGE($BG$42:$BG$51,CF320)</f>
        <v>21</v>
      </c>
      <c r="CE320" s="353">
        <f t="shared" ref="CE320:CE328" ca="1" si="338">LARGE($BI$42:$BI$51,CF320)</f>
        <v>0.86363636363636365</v>
      </c>
      <c r="CF320" s="354">
        <v>2</v>
      </c>
      <c r="CG320" s="350"/>
      <c r="CH320" s="462">
        <f ca="1">IF(LARGE(CC319:CC328,CF320)&lt;2,0,LARGE(CC319:CC328,CF320))</f>
        <v>0</v>
      </c>
      <c r="CI320" s="356" t="str">
        <f t="shared" ref="CI320:CI328" ca="1" si="339">IF(OR(CI$318=$BG43,CI$318=$BI43),$AW43,"")</f>
        <v/>
      </c>
      <c r="CJ320" s="357" t="str">
        <f t="shared" ca="1" si="334"/>
        <v/>
      </c>
      <c r="CK320" s="463" t="str">
        <f ca="1">IF(ISERR(LARGE(CJ319:CJ328,CF320)),"",LARGE(CJ319:CJ328,CF320))</f>
        <v/>
      </c>
      <c r="CL320" s="356" t="str">
        <f t="shared" ref="CL320:CL328" ca="1" si="340">IF(OR(CL$318=$BG43,CL$318=$BI43),$AW43,"")</f>
        <v/>
      </c>
      <c r="CM320" s="357" t="str">
        <f t="shared" ca="1" si="335"/>
        <v/>
      </c>
      <c r="CN320" s="463" t="str">
        <f ca="1">IF(ISERR(LARGE(CM319:CM328,CF320)),"",LARGE(CM319:CM328,CF320))</f>
        <v/>
      </c>
      <c r="CO320" s="356" t="str">
        <f t="shared" ref="CO320:CO328" ca="1" si="341">IF(OR(CO$318=$BG43,CO$318=$BI43),$AW43,"")</f>
        <v/>
      </c>
      <c r="CP320" s="357" t="str">
        <f t="shared" ca="1" si="336"/>
        <v/>
      </c>
      <c r="CQ320" s="463" t="str">
        <f ca="1">IF(ISERR(LARGE(CP319:CP328,CF320)),"",LARGE(CP319:CP328,CF320))</f>
        <v/>
      </c>
      <c r="CR320" s="350"/>
      <c r="CS320" s="300"/>
      <c r="CT320" s="464" t="str">
        <f ca="1">IF(CK320="","",VLOOKUP(CK320,xxx.rv1,4,FALSE))</f>
        <v/>
      </c>
      <c r="CU320" s="465" t="str">
        <f ca="1">IF(OR(CT320="",DA320="",CT320=DA320,COUNTIF(games.rv,CT320&amp;DA320)=0),"",CONCATENATE(CT320,DA320))</f>
        <v/>
      </c>
      <c r="CV320" s="360" t="str">
        <f ca="1">IF(CU320="","",CONCATENATE(VLOOKUP(CU320,games.r,9,FALSE),VLOOKUP(CU320,games.r,12,FALSE)))</f>
        <v/>
      </c>
      <c r="CW320" s="354" t="str">
        <f ca="1">IF(CU320="","",VLOOKUP(CU320,games.r,10,FALSE))</f>
        <v/>
      </c>
      <c r="CX320" s="354" t="str">
        <f ca="1">IF(CU320="","",VLOOKUP(CU320,games.r,13,FALSE))</f>
        <v/>
      </c>
      <c r="CY320" s="361" t="str">
        <f ca="1">IF(CU320="","",VLOOKUP(CU320,games.r,6,FALSE))</f>
        <v/>
      </c>
      <c r="CZ320" s="362" t="str">
        <f ca="1">IF(CU320="","",VLOOKUP(CU320,games.r,7,FALSE))</f>
        <v/>
      </c>
      <c r="DA320" s="379" t="str">
        <f ca="1">DA319</f>
        <v/>
      </c>
      <c r="DB320" s="302"/>
      <c r="DC320" s="364"/>
      <c r="DD320" s="302"/>
      <c r="DF320" s="365"/>
      <c r="DG320" s="366" t="str">
        <f ca="1">IF(AND(ASZTAB!$AJ$44,CT318,DA318&lt;&gt;2),CT320,"")</f>
        <v/>
      </c>
      <c r="DH320" s="366">
        <f ca="1">IF(DG320="",-1,COUNTIF(xxgy.rv,DG320))</f>
        <v>-1</v>
      </c>
      <c r="DI320" s="366">
        <f ca="1">IF(DG320="",0,COUNTIF(yygy.rv,DG320))</f>
        <v>0</v>
      </c>
      <c r="DK320" s="366">
        <f ca="1">IF(DG320="",0,1)*(SUMIF(yyo.rv,DG320,yyl.rv)+SUMIF(yyi.rv,DG320,yyk.rv))</f>
        <v>0</v>
      </c>
      <c r="DL320" s="366">
        <f ca="1">IF(DG320="",0,1)*(SUMIF(yyo.rv,DG320,yyk.rv)+SUMIF(yyi.rv,DG320,yyl.rv))</f>
        <v>0</v>
      </c>
      <c r="DN320" s="366">
        <f ca="1">IF(DL320=0,0,DK320/DL320)</f>
        <v>0</v>
      </c>
      <c r="DP320" s="366">
        <f ca="1">DH320*1000000+DI320*1000+DN320</f>
        <v>-1000000</v>
      </c>
      <c r="DT320" s="366">
        <f ca="1">IF(OR(ISERR(DP320),ISNA(DP320),DH320&lt;0),0,DP320)</f>
        <v>0</v>
      </c>
      <c r="DU320" s="366">
        <f ca="1">IF(DT320=0,0,RANK(DT320,DT319:DT323,1))</f>
        <v>0</v>
      </c>
      <c r="DV320" s="366">
        <f ca="1">DU320*40000*IF(COUNTIF($EN$319:$EN$328,DG320)&gt;0,0,1)</f>
        <v>0</v>
      </c>
      <c r="DX320" s="367">
        <f ca="1">IF(ASZTAB!$AJ$54,COUNTIF(DP325:DP329,DY319)*IF(OR(DY320=0,DY320=DY319),0,1),COUNTIF(DH319:DH323,DZ320)*IF(OR(DZ320=DZ319,DZ320&lt;0),0,1))+EA320/1000</f>
        <v>2E-3</v>
      </c>
      <c r="DY320" s="367">
        <f ca="1">LARGE(DP325:DP329,EA320)</f>
        <v>0</v>
      </c>
      <c r="DZ320" s="369">
        <f ca="1">LARGE(DH319:DH323,EA320)</f>
        <v>-1</v>
      </c>
      <c r="EA320" s="369">
        <v>2</v>
      </c>
      <c r="EB320" s="365"/>
      <c r="EC320" s="370">
        <f ca="1">IF(LARGE(DX319:DX323,EA320)&lt;2,0,LARGE(DX319:DX323,EA320))</f>
        <v>0</v>
      </c>
      <c r="ED320" s="371" t="str">
        <f ca="1">IF(DH320=ED318,DG320,IF(DP326=ED318,DG326,""))</f>
        <v/>
      </c>
      <c r="EE320" s="369" t="str">
        <f ca="1">IF(ED320="","",EA320)</f>
        <v/>
      </c>
      <c r="EF320" s="372" t="str">
        <f ca="1">IF(ISERR(LARGE(EE319:EE323,EA320)),"",LARGE(EE319:EE323,EA320))</f>
        <v/>
      </c>
      <c r="EG320" s="371" t="str">
        <f ca="1">IF(DH320=EG318,DG320,IF(DP326=EG318,DG326,""))</f>
        <v/>
      </c>
      <c r="EH320" s="369" t="str">
        <f ca="1">IF(EG320="","",EA320)</f>
        <v/>
      </c>
      <c r="EI320" s="372" t="str">
        <f ca="1">IF(ISERR(LARGE(EH319:EH323,EA320)),"",LARGE(EH319:EH323,EA320))</f>
        <v/>
      </c>
      <c r="EM320" s="365"/>
      <c r="EN320" s="366"/>
      <c r="EO320" s="373"/>
      <c r="EP320" s="333"/>
    </row>
    <row r="321" spans="80:146" x14ac:dyDescent="0.25">
      <c r="CB321" s="350"/>
      <c r="CC321" s="353">
        <f ca="1">IF(ASZTAB!$AJ$44,COUNTIF($BI$42:$BI$51,CE321)*IF(OR(CE321=0,CE321=CE320),0,1),COUNTIF($BG$42:$BG$51,CD321)*IF(OR(CD321=0,CD321=CD320),0,1))+CF321/1000</f>
        <v>1.0029999999999999</v>
      </c>
      <c r="CD321" s="352">
        <f t="shared" ca="1" si="337"/>
        <v>18</v>
      </c>
      <c r="CE321" s="353">
        <f t="shared" ca="1" si="338"/>
        <v>0.72727272727272729</v>
      </c>
      <c r="CF321" s="354">
        <v>3</v>
      </c>
      <c r="CG321" s="350"/>
      <c r="CH321" s="462">
        <f ca="1">IF(LARGE(CC319:CC328,CF321)&lt;2,0,LARGE(CC319:CC328,CF321))</f>
        <v>0</v>
      </c>
      <c r="CI321" s="356" t="str">
        <f t="shared" ca="1" si="339"/>
        <v/>
      </c>
      <c r="CJ321" s="357" t="str">
        <f t="shared" ca="1" si="334"/>
        <v/>
      </c>
      <c r="CK321" s="463" t="str">
        <f ca="1">IF(ISERR(LARGE(CJ319:CJ328,CF321)),"",LARGE(CJ319:CJ328,CF321))</f>
        <v/>
      </c>
      <c r="CL321" s="356" t="str">
        <f t="shared" ca="1" si="340"/>
        <v/>
      </c>
      <c r="CM321" s="357" t="str">
        <f t="shared" ca="1" si="335"/>
        <v/>
      </c>
      <c r="CN321" s="463" t="str">
        <f ca="1">IF(ISERR(LARGE(CM319:CM328,CF321)),"",LARGE(CM319:CM328,CF321))</f>
        <v/>
      </c>
      <c r="CO321" s="356" t="str">
        <f t="shared" ca="1" si="341"/>
        <v/>
      </c>
      <c r="CP321" s="357" t="str">
        <f t="shared" ca="1" si="336"/>
        <v/>
      </c>
      <c r="CQ321" s="380"/>
      <c r="CR321" s="350"/>
      <c r="CS321" s="300"/>
      <c r="CT321" s="464" t="str">
        <f ca="1">IF(CK321="","",VLOOKUP(CK321,xxx.rv1,4,FALSE))</f>
        <v/>
      </c>
      <c r="CU321" s="465" t="str">
        <f ca="1">IF(OR(CT321="",DA321="",CT321=DA321,COUNTIF(games.rv,CT321&amp;DA321)=0),"",CONCATENATE(CT321,DA321))</f>
        <v/>
      </c>
      <c r="CV321" s="360" t="str">
        <f ca="1">IF(CU321="","",CONCATENATE(VLOOKUP(CU321,games.r,9,FALSE),VLOOKUP(CU321,games.r,12,FALSE)))</f>
        <v/>
      </c>
      <c r="CW321" s="354" t="str">
        <f ca="1">IF(CU321="","",VLOOKUP(CU321,games.r,10,FALSE))</f>
        <v/>
      </c>
      <c r="CX321" s="354" t="str">
        <f ca="1">IF(CU321="","",VLOOKUP(CU321,games.r,13,FALSE))</f>
        <v/>
      </c>
      <c r="CY321" s="361" t="str">
        <f ca="1">IF(CU321="","",VLOOKUP(CU321,games.r,6,FALSE))</f>
        <v/>
      </c>
      <c r="CZ321" s="362" t="str">
        <f ca="1">IF(CU321="","",VLOOKUP(CU321,games.r,7,FALSE))</f>
        <v/>
      </c>
      <c r="DA321" s="379" t="str">
        <f t="shared" ref="DA321:DA328" ca="1" si="342">DA320</f>
        <v/>
      </c>
      <c r="DB321" s="302"/>
      <c r="DC321" s="364"/>
      <c r="DD321" s="302"/>
      <c r="DF321" s="365"/>
      <c r="DG321" s="366" t="str">
        <f ca="1">IF(AND(ASZTAB!$AJ$44,CT318,DA318&lt;&gt;2),CT321,"")</f>
        <v/>
      </c>
      <c r="DH321" s="366">
        <f ca="1">IF(DG321="",-1,COUNTIF(xxgy.rv,DG321))</f>
        <v>-1</v>
      </c>
      <c r="DI321" s="366">
        <f ca="1">IF(DG321="",0,COUNTIF(yygy.rv,DG321))</f>
        <v>0</v>
      </c>
      <c r="DK321" s="366">
        <f ca="1">IF(DG321="",0,1)*(SUMIF(yyo.rv,DG321,yyl.rv)+SUMIF(yyi.rv,DG321,yyk.rv))</f>
        <v>0</v>
      </c>
      <c r="DL321" s="366">
        <f ca="1">IF(DG321="",0,1)*(SUMIF(yyo.rv,DG321,yyk.rv)+SUMIF(yyi.rv,DG321,yyl.rv))</f>
        <v>0</v>
      </c>
      <c r="DN321" s="366">
        <f ca="1">IF(DL321=0,0,DK321/DL321)</f>
        <v>0</v>
      </c>
      <c r="DP321" s="366">
        <f ca="1">DH321*1000000+DI321*1000+DN321</f>
        <v>-1000000</v>
      </c>
      <c r="DT321" s="366">
        <f ca="1">IF(OR(ISERR(DP321),ISNA(DP321),DH321&lt;0),0,DP321)</f>
        <v>0</v>
      </c>
      <c r="DU321" s="366">
        <f ca="1">IF(DT321=0,0,RANK(DT321,DT319:DT323,1))</f>
        <v>0</v>
      </c>
      <c r="DV321" s="366">
        <f ca="1">DU321*40000*IF(COUNTIF($EN$319:$EN$328,DG321)&gt;0,0,1)</f>
        <v>0</v>
      </c>
      <c r="DW321" s="365"/>
      <c r="DX321" s="367">
        <f ca="1">IF(ASZTAB!$AJ$54,COUNTIF(DP325:DP329,DY320)*IF(OR(DY321=0,DY321=DY320),0,1),COUNTIF(DH319:DH323,DZ321)*IF(OR(DZ321=DZ320,DZ321&lt;0),0,1))+EA321/1000</f>
        <v>3.0000000000000001E-3</v>
      </c>
      <c r="DY321" s="367">
        <f ca="1">LARGE(DP325:DP329,EA321)</f>
        <v>0</v>
      </c>
      <c r="DZ321" s="369">
        <f ca="1">LARGE(DH319:DH323,EA321)</f>
        <v>-1</v>
      </c>
      <c r="EA321" s="369">
        <v>3</v>
      </c>
      <c r="EB321" s="365"/>
      <c r="EC321" s="365"/>
      <c r="ED321" s="371" t="str">
        <f ca="1">IF(DH321=ED318,DG321,IF(DP327=ED318,DG327,""))</f>
        <v/>
      </c>
      <c r="EE321" s="369" t="str">
        <f ca="1">IF(ED321="","",EA321)</f>
        <v/>
      </c>
      <c r="EF321" s="388" t="str">
        <f ca="1">IF(ISERR(LARGE(EE319:EE323,EA321)),"",LARGE(EE319:EE323,EA321))</f>
        <v/>
      </c>
      <c r="EG321" s="371" t="str">
        <f ca="1">IF(DH321=EG318,DG321,IF(DP327=EG318,DG327,""))</f>
        <v/>
      </c>
      <c r="EH321" s="369" t="str">
        <f ca="1">IF(EG321="","",EA321)</f>
        <v/>
      </c>
      <c r="EI321" s="381"/>
      <c r="EM321" s="365"/>
      <c r="EN321" s="366"/>
      <c r="EO321" s="373"/>
      <c r="EP321" s="333"/>
    </row>
    <row r="322" spans="80:146" x14ac:dyDescent="0.25">
      <c r="CB322" s="350"/>
      <c r="CC322" s="353">
        <f ca="1">IF(ASZTAB!$AJ$44,COUNTIF($BI$42:$BI$51,CE322)*IF(OR(CE322=0,CE322=CE321),0,1),COUNTIF($BG$42:$BG$51,CD322)*IF(OR(CD322=0,CD322=CD321),0,1))+CF322/1000</f>
        <v>1.004</v>
      </c>
      <c r="CD322" s="352">
        <f t="shared" ca="1" si="337"/>
        <v>10</v>
      </c>
      <c r="CE322" s="353">
        <f t="shared" ca="1" si="338"/>
        <v>0.5</v>
      </c>
      <c r="CF322" s="354">
        <v>4</v>
      </c>
      <c r="CG322" s="350"/>
      <c r="CH322" s="300"/>
      <c r="CI322" s="356" t="str">
        <f t="shared" ca="1" si="339"/>
        <v/>
      </c>
      <c r="CJ322" s="357" t="str">
        <f t="shared" ca="1" si="334"/>
        <v/>
      </c>
      <c r="CK322" s="463" t="str">
        <f ca="1">IF(ISERR(LARGE(CJ319:CJ328,CF322)),"",LARGE(CJ319:CJ328,CF322))</f>
        <v/>
      </c>
      <c r="CL322" s="356" t="str">
        <f t="shared" ca="1" si="340"/>
        <v/>
      </c>
      <c r="CM322" s="357" t="str">
        <f t="shared" ca="1" si="335"/>
        <v/>
      </c>
      <c r="CN322" s="380"/>
      <c r="CO322" s="356" t="str">
        <f t="shared" ca="1" si="341"/>
        <v/>
      </c>
      <c r="CP322" s="357" t="str">
        <f t="shared" ca="1" si="336"/>
        <v/>
      </c>
      <c r="CQ322" s="385"/>
      <c r="CR322" s="350"/>
      <c r="CS322" s="300"/>
      <c r="CT322" s="464" t="str">
        <f ca="1">IF(CK322="","",VLOOKUP(CK322,xxx.rv1,4,FALSE))</f>
        <v/>
      </c>
      <c r="CU322" s="465" t="str">
        <f ca="1">IF(OR(CT322="",DA322="",CT322=DA322,COUNTIF(games.rv,CT322&amp;DA322)=0),"",CONCATENATE(CT322,DA322))</f>
        <v/>
      </c>
      <c r="CV322" s="360" t="str">
        <f ca="1">IF(CU322="","",CONCATENATE(VLOOKUP(CU322,games.r,9,FALSE),VLOOKUP(CU322,games.r,12,FALSE)))</f>
        <v/>
      </c>
      <c r="CW322" s="354" t="str">
        <f ca="1">IF(CU322="","",VLOOKUP(CU322,games.r,10,FALSE))</f>
        <v/>
      </c>
      <c r="CX322" s="354" t="str">
        <f ca="1">IF(CU322="","",VLOOKUP(CU322,games.r,13,FALSE))</f>
        <v/>
      </c>
      <c r="CY322" s="361" t="str">
        <f ca="1">IF(CU322="","",VLOOKUP(CU322,games.r,6,FALSE))</f>
        <v/>
      </c>
      <c r="CZ322" s="362" t="str">
        <f ca="1">IF(CU322="","",VLOOKUP(CU322,games.r,7,FALSE))</f>
        <v/>
      </c>
      <c r="DA322" s="379" t="str">
        <f t="shared" ca="1" si="342"/>
        <v/>
      </c>
      <c r="DB322" s="302"/>
      <c r="DC322" s="364"/>
      <c r="DD322" s="302"/>
      <c r="DF322" s="365"/>
      <c r="DG322" s="366" t="str">
        <f ca="1">IF(AND(ASZTAB!$AJ$44,CT318,DA318&lt;&gt;2),CT322,"")</f>
        <v/>
      </c>
      <c r="DH322" s="366">
        <f ca="1">IF(DG322="",-1,COUNTIF(xxgy.rv,DG322))</f>
        <v>-1</v>
      </c>
      <c r="DI322" s="366">
        <f ca="1">IF(DG322="",0,COUNTIF(yygy.rv,DG322))</f>
        <v>0</v>
      </c>
      <c r="DK322" s="366">
        <f ca="1">IF(DG322="",0,1)*(SUMIF(yyo.rv,DG322,yyl.rv)+SUMIF(yyi.rv,DG322,yyk.rv))</f>
        <v>0</v>
      </c>
      <c r="DL322" s="366">
        <f ca="1">IF(DG322="",0,1)*(SUMIF(yyo.rv,DG322,yyk.rv)+SUMIF(yyi.rv,DG322,yyl.rv))</f>
        <v>0</v>
      </c>
      <c r="DN322" s="366">
        <f ca="1">IF(DL322=0,0,DK322/DL322)</f>
        <v>0</v>
      </c>
      <c r="DP322" s="366">
        <f ca="1">DH322*1000000+DI322*1000+DN322</f>
        <v>-1000000</v>
      </c>
      <c r="DT322" s="366">
        <f ca="1">IF(OR(ISERR(DP322),ISNA(DP322),DH322&lt;0),0,DP322)</f>
        <v>0</v>
      </c>
      <c r="DU322" s="366">
        <f ca="1">IF(DT322=0,0,RANK(DT322,DT319:DT323,1))</f>
        <v>0</v>
      </c>
      <c r="DV322" s="366">
        <f ca="1">DU322*40000*IF(COUNTIF($EN$319:$EN$328,DG322)&gt;0,0,1)</f>
        <v>0</v>
      </c>
      <c r="DW322" s="365"/>
      <c r="DX322" s="367">
        <f ca="1">IF(ASZTAB!$AJ$54,COUNTIF(DP325:DP329,DY321)*IF(OR(DY322=0,DY322=DY321),0,1),COUNTIF(DH319:DH323,DZ322)*IF(OR(DZ322=DZ321,DZ322&lt;0),0,1))+EA322/1000</f>
        <v>4.0000000000000001E-3</v>
      </c>
      <c r="DY322" s="367">
        <f ca="1">LARGE(DP325:DP329,EA322)</f>
        <v>0</v>
      </c>
      <c r="DZ322" s="369">
        <f ca="1">LARGE(DH319:DH323,EA322)</f>
        <v>-1</v>
      </c>
      <c r="EA322" s="369">
        <v>4</v>
      </c>
      <c r="EB322" s="365"/>
      <c r="EC322" s="365"/>
      <c r="ED322" s="371" t="str">
        <f ca="1">IF(DH322=ED318,DG322,IF(DP328=ED318,DG328,""))</f>
        <v/>
      </c>
      <c r="EE322" s="369" t="str">
        <f ca="1">IF(ED322="","",EA322)</f>
        <v/>
      </c>
      <c r="EF322" s="386"/>
      <c r="EG322" s="371" t="str">
        <f ca="1">IF(DH322=EG318,DG322,IF(DP328=EG318,DG328,""))</f>
        <v/>
      </c>
      <c r="EH322" s="369" t="str">
        <f ca="1">IF(EG322="","",EA322)</f>
        <v/>
      </c>
      <c r="EI322" s="386"/>
      <c r="EM322" s="365"/>
      <c r="EN322" s="366"/>
      <c r="EO322" s="373"/>
      <c r="EP322" s="333"/>
    </row>
    <row r="323" spans="80:146" x14ac:dyDescent="0.25">
      <c r="CB323" s="350"/>
      <c r="CC323" s="353">
        <f ca="1">IF(ASZTAB!$AJ$44,COUNTIF($BI$42:$BI$51,CE323)*IF(OR(CE323=0,CE323=CE322),0,1),COUNTIF($BG$42:$BG$51,CD323)*IF(OR(CD323=0,CD323=CD322),0,1))+CF323/1000</f>
        <v>1.0049999999999999</v>
      </c>
      <c r="CD323" s="352">
        <f t="shared" ca="1" si="337"/>
        <v>6</v>
      </c>
      <c r="CE323" s="353">
        <f t="shared" ca="1" si="338"/>
        <v>0.31818181818181818</v>
      </c>
      <c r="CF323" s="354">
        <v>5</v>
      </c>
      <c r="CG323" s="350"/>
      <c r="CH323" s="300"/>
      <c r="CI323" s="356" t="str">
        <f t="shared" ca="1" si="339"/>
        <v/>
      </c>
      <c r="CJ323" s="357" t="str">
        <f t="shared" ca="1" si="334"/>
        <v/>
      </c>
      <c r="CK323" s="463" t="str">
        <f ca="1">IF(ISERR(LARGE(CJ319:CJ328,CF323)),"",LARGE(CJ319:CJ328,CF323))</f>
        <v/>
      </c>
      <c r="CL323" s="356" t="str">
        <f t="shared" ca="1" si="340"/>
        <v/>
      </c>
      <c r="CM323" s="357" t="str">
        <f t="shared" ca="1" si="335"/>
        <v/>
      </c>
      <c r="CN323" s="385"/>
      <c r="CO323" s="356" t="str">
        <f t="shared" ca="1" si="341"/>
        <v/>
      </c>
      <c r="CP323" s="357" t="str">
        <f t="shared" ca="1" si="336"/>
        <v/>
      </c>
      <c r="CQ323" s="385"/>
      <c r="CR323" s="350"/>
      <c r="CS323" s="300"/>
      <c r="CT323" s="464" t="str">
        <f ca="1">IF(CK323="","",VLOOKUP(CK323,xxx.rv1,4,FALSE))</f>
        <v/>
      </c>
      <c r="CU323" s="465" t="str">
        <f ca="1">IF(OR(CT323="",DA323="",CT323=DA323,COUNTIF(games.rv,CT323&amp;DA323)=0),"",CONCATENATE(CT323,DA323))</f>
        <v/>
      </c>
      <c r="CV323" s="360" t="str">
        <f ca="1">IF(CU323="","",CONCATENATE(VLOOKUP(CU323,games.r,9,FALSE),VLOOKUP(CU323,games.r,12,FALSE)))</f>
        <v/>
      </c>
      <c r="CW323" s="354" t="str">
        <f ca="1">IF(CU323="","",VLOOKUP(CU323,games.r,10,FALSE))</f>
        <v/>
      </c>
      <c r="CX323" s="354" t="str">
        <f ca="1">IF(CU323="","",VLOOKUP(CU323,games.r,13,FALSE))</f>
        <v/>
      </c>
      <c r="CY323" s="361" t="str">
        <f ca="1">IF(CU323="","",VLOOKUP(CU323,games.r,6,FALSE))</f>
        <v/>
      </c>
      <c r="CZ323" s="362" t="str">
        <f ca="1">IF(CU323="","",VLOOKUP(CU323,games.r,7,FALSE))</f>
        <v/>
      </c>
      <c r="DA323" s="379" t="str">
        <f t="shared" ca="1" si="342"/>
        <v/>
      </c>
      <c r="DB323" s="302"/>
      <c r="DC323" s="364"/>
      <c r="DD323" s="302"/>
      <c r="DF323" s="365"/>
      <c r="DG323" s="366" t="str">
        <f ca="1">IF(AND(ASZTAB!$AJ$44,CT318,DA318&lt;&gt;2),CT323,"")</f>
        <v/>
      </c>
      <c r="DH323" s="366">
        <f ca="1">IF(DG323="",-1,COUNTIF(xxgy.rv,DG323))</f>
        <v>-1</v>
      </c>
      <c r="DI323" s="366">
        <f ca="1">IF(DG323="",0,COUNTIF(yygy.rv,DG323))</f>
        <v>0</v>
      </c>
      <c r="DK323" s="366">
        <f ca="1">IF(DG323="",0,1)*(SUMIF(yyo.rv,DG323,yyl.rv)+SUMIF(yyi.rv,DG323,yyk.rv))</f>
        <v>0</v>
      </c>
      <c r="DL323" s="366">
        <f ca="1">IF(DG323="",0,1)*(SUMIF(yyo.rv,DG323,yyk.rv)+SUMIF(yyi.rv,DG323,yyl.rv))</f>
        <v>0</v>
      </c>
      <c r="DN323" s="366">
        <f ca="1">IF(DL323=0,0,DK323/DL323)</f>
        <v>0</v>
      </c>
      <c r="DP323" s="366">
        <f ca="1">DH323*1000000+DI323*1000+DN323</f>
        <v>-1000000</v>
      </c>
      <c r="DT323" s="366">
        <f ca="1">IF(OR(ISERR(DP323),ISNA(DP323),DH323&lt;0),0,DP323)</f>
        <v>0</v>
      </c>
      <c r="DU323" s="366">
        <f ca="1">IF(DT323=0,0,RANK(DT323,DT319:DT323,1))</f>
        <v>0</v>
      </c>
      <c r="DV323" s="366">
        <f ca="1">DU323*40000*IF(COUNTIF($EN$319:$EN$328,DG323)&gt;0,0,1)</f>
        <v>0</v>
      </c>
      <c r="DW323" s="365"/>
      <c r="DX323" s="367">
        <f ca="1">IF(ASZTAB!$AJ$54,COUNTIF(DP325:DP329,DY322)*IF(OR(DY323=0,DY323=DY322),0,1),COUNTIF(DH319:DH323,DZ323)*IF(OR(DZ323=DZ322,DZ323&lt;0),0,1))+EA323/1000</f>
        <v>5.0000000000000001E-3</v>
      </c>
      <c r="DY323" s="367">
        <f ca="1">LARGE(DP325:DP329,EA323)</f>
        <v>0</v>
      </c>
      <c r="DZ323" s="369">
        <f ca="1">LARGE(DH319:DH323,EA323)</f>
        <v>-1</v>
      </c>
      <c r="EA323" s="369">
        <v>5</v>
      </c>
      <c r="EB323" s="365"/>
      <c r="EC323" s="365"/>
      <c r="ED323" s="371" t="str">
        <f ca="1">IF(DH323=ED318,DG323,IF(DP329=ED318,DG329,""))</f>
        <v/>
      </c>
      <c r="EE323" s="369" t="str">
        <f ca="1">IF(ED323="","",EA323)</f>
        <v/>
      </c>
      <c r="EF323" s="391"/>
      <c r="EG323" s="371" t="str">
        <f ca="1">IF(DH323=EG318,DG323,IF(DP329=EG318,DG329,""))</f>
        <v/>
      </c>
      <c r="EH323" s="369" t="str">
        <f ca="1">IF(EG323="","",EA323)</f>
        <v/>
      </c>
      <c r="EI323" s="391"/>
      <c r="EM323" s="365"/>
      <c r="EN323" s="366"/>
      <c r="EO323" s="373"/>
      <c r="EP323" s="333"/>
    </row>
    <row r="324" spans="80:146" x14ac:dyDescent="0.25">
      <c r="CB324" s="350"/>
      <c r="CC324" s="353">
        <f ca="1">IF(ASZTAB!$AJ$44,COUNTIF($BI$42:$BI$51,CE324)*IF(OR(CE324=0,CE324=CE323),0,1),COUNTIF($BG$42:$BG$51,CD324)*IF(OR(CD324=0,CD324=CD323),0,1))+CF324/1000</f>
        <v>1.006</v>
      </c>
      <c r="CD324" s="352">
        <f t="shared" ca="1" si="337"/>
        <v>1</v>
      </c>
      <c r="CE324" s="353">
        <f t="shared" ca="1" si="338"/>
        <v>0.18181818181818182</v>
      </c>
      <c r="CF324" s="354">
        <v>6</v>
      </c>
      <c r="CG324" s="350"/>
      <c r="CH324" s="300"/>
      <c r="CI324" s="356" t="str">
        <f t="shared" ca="1" si="339"/>
        <v/>
      </c>
      <c r="CJ324" s="357" t="str">
        <f t="shared" ca="1" si="334"/>
        <v/>
      </c>
      <c r="CK324" s="380"/>
      <c r="CL324" s="356" t="str">
        <f t="shared" ca="1" si="340"/>
        <v/>
      </c>
      <c r="CM324" s="357" t="str">
        <f t="shared" ca="1" si="335"/>
        <v/>
      </c>
      <c r="CN324" s="385"/>
      <c r="CO324" s="356" t="str">
        <f t="shared" ca="1" si="341"/>
        <v/>
      </c>
      <c r="CP324" s="357" t="str">
        <f t="shared" ca="1" si="336"/>
        <v/>
      </c>
      <c r="CQ324" s="385"/>
      <c r="CR324" s="350"/>
      <c r="CS324" s="300"/>
      <c r="CT324" s="522" t="str">
        <f>IF(NOT($AD$98),"",CT319)</f>
        <v/>
      </c>
      <c r="CU324" s="371" t="str">
        <f ca="1">IF(OR(CT324="",DA324="",CT324=DA324,ISNA(VLOOKUP(CONCATENATE(CT324,DA324),games.a,2,FALSE))),"",CONCATENATE(CT324,DA324))</f>
        <v/>
      </c>
      <c r="CV324" s="371" t="str">
        <f ca="1">IF(CU324="","",CONCATENATE(VLOOKUP(CU324,games.a,9,FALSE),VLOOKUP(CU324,games.a,12,FALSE)))</f>
        <v/>
      </c>
      <c r="CW324" s="369" t="str">
        <f ca="1">IF(CU324="","",VLOOKUP(CU324,games.a,10,FALSE))</f>
        <v/>
      </c>
      <c r="CX324" s="369" t="str">
        <f ca="1">IF(CU324="","",VLOOKUP(CU324,games.a,13,FALSE))</f>
        <v/>
      </c>
      <c r="CY324" s="423" t="str">
        <f ca="1">IF(CU324="","",VLOOKUP(CU324,games.a,6,FALSE))</f>
        <v/>
      </c>
      <c r="CZ324" s="409" t="str">
        <f ca="1">IF(CU324="","",VLOOKUP(CU324,games.a,7,FALSE))</f>
        <v/>
      </c>
      <c r="DA324" s="523" t="str">
        <f t="shared" ca="1" si="342"/>
        <v/>
      </c>
      <c r="DB324" s="302"/>
      <c r="DC324" s="364"/>
      <c r="DD324" s="302"/>
      <c r="DF324" s="365"/>
      <c r="DG324" s="329" t="s">
        <v>229</v>
      </c>
      <c r="DH324" s="365"/>
      <c r="DI324" s="329" t="s">
        <v>152</v>
      </c>
      <c r="DJ324" s="329" t="s">
        <v>153</v>
      </c>
      <c r="DK324" s="329" t="s">
        <v>154</v>
      </c>
      <c r="DL324" s="329" t="s">
        <v>155</v>
      </c>
      <c r="DM324" s="329" t="s">
        <v>125</v>
      </c>
      <c r="DN324" s="329" t="s">
        <v>226</v>
      </c>
      <c r="DO324" s="329" t="s">
        <v>126</v>
      </c>
      <c r="DP324" s="329" t="s">
        <v>227</v>
      </c>
      <c r="DQ324" s="330" t="s">
        <v>154</v>
      </c>
      <c r="DR324" s="330" t="s">
        <v>155</v>
      </c>
      <c r="DS324" s="330" t="s">
        <v>125</v>
      </c>
      <c r="DT324" s="329" t="s">
        <v>228</v>
      </c>
      <c r="DU324" s="329" t="s">
        <v>156</v>
      </c>
      <c r="DV324" s="329" t="s">
        <v>208</v>
      </c>
      <c r="DW324" s="365"/>
      <c r="DX324" s="365"/>
      <c r="DY324" s="365"/>
      <c r="DZ324" s="365"/>
      <c r="EA324" s="365"/>
      <c r="EB324" s="365"/>
      <c r="EC324" s="365"/>
      <c r="ED324" s="365"/>
      <c r="EE324" s="365"/>
      <c r="EF324" s="365"/>
      <c r="EG324" s="365"/>
      <c r="EH324" s="365"/>
      <c r="EI324" s="365"/>
      <c r="EJ324" s="365"/>
      <c r="EK324" s="365"/>
      <c r="EL324" s="365"/>
      <c r="EM324" s="365"/>
      <c r="EN324" s="366"/>
      <c r="EO324" s="373"/>
      <c r="EP324" s="333"/>
    </row>
    <row r="325" spans="80:146" x14ac:dyDescent="0.25">
      <c r="CB325" s="350"/>
      <c r="CC325" s="353">
        <f ca="1">IF(ASZTAB!$AJ$44,COUNTIF($BI$42:$BI$51,CE325)*IF(OR(CE325=0,CE325=CE324),0,1),COUNTIF($BG$42:$BG$51,CD325)*IF(OR(CD325=0,CD325=CD324),0,1))+CF325/1000</f>
        <v>7.0000000000000001E-3</v>
      </c>
      <c r="CD325" s="352">
        <f t="shared" ca="1" si="337"/>
        <v>0</v>
      </c>
      <c r="CE325" s="353">
        <f t="shared" ca="1" si="338"/>
        <v>0</v>
      </c>
      <c r="CF325" s="354">
        <v>7</v>
      </c>
      <c r="CG325" s="350"/>
      <c r="CH325" s="300"/>
      <c r="CI325" s="356" t="str">
        <f t="shared" ca="1" si="339"/>
        <v/>
      </c>
      <c r="CJ325" s="357" t="str">
        <f t="shared" ca="1" si="334"/>
        <v/>
      </c>
      <c r="CK325" s="385"/>
      <c r="CL325" s="356" t="str">
        <f t="shared" ca="1" si="340"/>
        <v/>
      </c>
      <c r="CM325" s="357" t="str">
        <f t="shared" ca="1" si="335"/>
        <v/>
      </c>
      <c r="CN325" s="385"/>
      <c r="CO325" s="356" t="str">
        <f t="shared" ca="1" si="341"/>
        <v/>
      </c>
      <c r="CP325" s="357" t="str">
        <f t="shared" ca="1" si="336"/>
        <v/>
      </c>
      <c r="CQ325" s="385"/>
      <c r="CR325" s="350"/>
      <c r="CS325" s="300"/>
      <c r="CT325" s="522" t="str">
        <f>IF(NOT($AD$98),"",CT320)</f>
        <v/>
      </c>
      <c r="CU325" s="371" t="str">
        <f ca="1">IF(OR(CT325="",DA325="",CT325=DA325,ISNA(VLOOKUP(CONCATENATE(CT325,DA325),games.a,2,FALSE))),"",CONCATENATE(CT325,DA325))</f>
        <v/>
      </c>
      <c r="CV325" s="371" t="str">
        <f ca="1">IF(CU325="","",CONCATENATE(VLOOKUP(CU325,games.a,9,FALSE),VLOOKUP(CU325,games.a,12,FALSE)))</f>
        <v/>
      </c>
      <c r="CW325" s="369" t="str">
        <f ca="1">IF(CU325="","",VLOOKUP(CU325,games.a,10,FALSE))</f>
        <v/>
      </c>
      <c r="CX325" s="369" t="str">
        <f ca="1">IF(CU325="","",VLOOKUP(CU325,games.a,13,FALSE))</f>
        <v/>
      </c>
      <c r="CY325" s="423" t="str">
        <f ca="1">IF(CU325="","",VLOOKUP(CU325,games.a,6,FALSE))</f>
        <v/>
      </c>
      <c r="CZ325" s="409" t="str">
        <f ca="1">IF(CU325="","",VLOOKUP(CU325,games.a,7,FALSE))</f>
        <v/>
      </c>
      <c r="DA325" s="523" t="str">
        <f t="shared" ca="1" si="342"/>
        <v/>
      </c>
      <c r="DB325" s="302"/>
      <c r="DC325" s="364"/>
      <c r="DD325" s="302"/>
      <c r="DF325" s="365"/>
      <c r="DG325" s="366" t="str">
        <f ca="1">IF(OR(NOT(ASZTAB!$AJ$44),AND(CT318,DG319="")),CT319,"")</f>
        <v/>
      </c>
      <c r="DH325" s="365"/>
      <c r="DI325" s="366">
        <f ca="1">IF(DG325="",0,COUNTIF(xxgy.rv,DG325))</f>
        <v>0</v>
      </c>
      <c r="DJ325" s="366">
        <f ca="1">IF(DG325="",0,COUNTIF(xxd.rv,DG325))</f>
        <v>0</v>
      </c>
      <c r="DK325" s="366">
        <f ca="1">IF(DG325="",0,1)*(SUMIF(xxo.rv,DG325,xxl.rv)+SUMIF(xxi.rv,DG325,xxk.rv))</f>
        <v>0</v>
      </c>
      <c r="DL325" s="366">
        <f ca="1">IF(DG325="",0,1)*(SUMIF(xxo.rv,DG325,xxk.rv)+SUMIF(xxi.rv,DG325,xxl.rv))</f>
        <v>0</v>
      </c>
      <c r="DM325" s="366">
        <f ca="1">DK325-DL325</f>
        <v>0</v>
      </c>
      <c r="DN325" s="366">
        <f ca="1">IF(DL325=0,0,DK325/DL325)</f>
        <v>0</v>
      </c>
      <c r="DO325" s="366">
        <f ca="1">ASZTAB!$AJ$48*DI325+IF(ASZTAB!$AJ$44,0,1)*DJ325</f>
        <v>0</v>
      </c>
      <c r="DP325" s="396">
        <f ca="1">DO325*1000000+IF(ASZTAB!$AJ$44,DN325,DM325)*1000*0</f>
        <v>0</v>
      </c>
      <c r="DQ325" s="366">
        <f ca="1">IF(DG325="",0,1)*(SUMIF(yyo.rv,DG325,yyl.rv)+SUMIF(yyi.rv,DG325,yyk.rv))</f>
        <v>0</v>
      </c>
      <c r="DR325" s="366">
        <f ca="1">IF(DG325="",0,1)*(SUMIF(yyo.rv,DG325,yyk.rv)+SUMIF(yyi.rv,DG325,yyl.rv))</f>
        <v>0</v>
      </c>
      <c r="DS325" s="366">
        <f ca="1">DQ325-DR325</f>
        <v>0</v>
      </c>
      <c r="DT325" s="366">
        <f ca="1">IF(OR(ISERR(DP325),ISNA(DP325)),0,DP325)+IF(ASZTAB!$AJ$54,DS325,0)</f>
        <v>0</v>
      </c>
      <c r="DU325" s="366">
        <f ca="1">IF(DT325=0,0,RANK(DT325,DT325:DT329,1))</f>
        <v>0</v>
      </c>
      <c r="DV325" s="366">
        <f ca="1">DU325*40000*IF(COUNTIF($EN$319:$EN$328,DG325)&gt;0,0,1)</f>
        <v>0</v>
      </c>
      <c r="DW325" s="365"/>
      <c r="DZ325" s="365"/>
      <c r="EA325" s="365"/>
      <c r="EB325" s="365"/>
      <c r="EC325" s="398"/>
      <c r="ED325" s="329" t="s">
        <v>157</v>
      </c>
      <c r="EE325" s="329" t="s">
        <v>158</v>
      </c>
      <c r="EF325" s="399"/>
      <c r="EG325" s="400"/>
      <c r="EH325" s="401" t="s">
        <v>160</v>
      </c>
      <c r="EI325" s="402" t="s">
        <v>135</v>
      </c>
      <c r="EJ325" s="403">
        <f ca="1">COUNT(EF319:EF321)</f>
        <v>0</v>
      </c>
      <c r="EK325" s="365"/>
      <c r="EL325" s="365"/>
      <c r="EM325" s="365"/>
      <c r="EN325" s="366"/>
      <c r="EO325" s="373"/>
      <c r="EP325" s="333"/>
    </row>
    <row r="326" spans="80:146" x14ac:dyDescent="0.25">
      <c r="CB326" s="350"/>
      <c r="CC326" s="353">
        <f ca="1">IF(ASZTAB!$AJ$44,COUNTIF($BI$42:$BI$51,CE326)*IF(OR(CE326=0,CE326=CE325),0,1),COUNTIF($BG$42:$BG$51,CD326)*IF(OR(CD326=0,CD326=CD325),0,1))+CF326/1000</f>
        <v>8.0000000000000002E-3</v>
      </c>
      <c r="CD326" s="352">
        <f t="shared" ca="1" si="337"/>
        <v>0</v>
      </c>
      <c r="CE326" s="353">
        <f t="shared" ca="1" si="338"/>
        <v>0</v>
      </c>
      <c r="CF326" s="354">
        <v>8</v>
      </c>
      <c r="CG326" s="350"/>
      <c r="CH326" s="300"/>
      <c r="CI326" s="356" t="str">
        <f t="shared" ca="1" si="339"/>
        <v/>
      </c>
      <c r="CJ326" s="357" t="str">
        <f t="shared" ca="1" si="334"/>
        <v/>
      </c>
      <c r="CK326" s="385"/>
      <c r="CL326" s="356" t="str">
        <f t="shared" ca="1" si="340"/>
        <v/>
      </c>
      <c r="CM326" s="357" t="str">
        <f t="shared" ca="1" si="335"/>
        <v/>
      </c>
      <c r="CN326" s="385"/>
      <c r="CO326" s="356" t="str">
        <f t="shared" ca="1" si="341"/>
        <v/>
      </c>
      <c r="CP326" s="357" t="str">
        <f t="shared" ca="1" si="336"/>
        <v/>
      </c>
      <c r="CQ326" s="385"/>
      <c r="CR326" s="350"/>
      <c r="CS326" s="300"/>
      <c r="CT326" s="522" t="str">
        <f>IF(NOT($AD$98),"",CT321)</f>
        <v/>
      </c>
      <c r="CU326" s="371" t="str">
        <f ca="1">IF(OR(CT326="",DA326="",CT326=DA326,ISNA(VLOOKUP(CONCATENATE(CT326,DA326),games.a,2,FALSE))),"",CONCATENATE(CT326,DA326))</f>
        <v/>
      </c>
      <c r="CV326" s="371" t="str">
        <f ca="1">IF(CU326="","",CONCATENATE(VLOOKUP(CU326,games.a,9,FALSE),VLOOKUP(CU326,games.a,12,FALSE)))</f>
        <v/>
      </c>
      <c r="CW326" s="369" t="str">
        <f ca="1">IF(CU326="","",VLOOKUP(CU326,games.a,10,FALSE))</f>
        <v/>
      </c>
      <c r="CX326" s="369" t="str">
        <f ca="1">IF(CU326="","",VLOOKUP(CU326,games.a,13,FALSE))</f>
        <v/>
      </c>
      <c r="CY326" s="423" t="str">
        <f ca="1">IF(CU326="","",VLOOKUP(CU326,games.a,6,FALSE))</f>
        <v/>
      </c>
      <c r="CZ326" s="409" t="str">
        <f ca="1">IF(CU326="","",VLOOKUP(CU326,games.a,7,FALSE))</f>
        <v/>
      </c>
      <c r="DA326" s="523" t="str">
        <f t="shared" ca="1" si="342"/>
        <v/>
      </c>
      <c r="DB326" s="302"/>
      <c r="DC326" s="364"/>
      <c r="DD326" s="302"/>
      <c r="DF326" s="365"/>
      <c r="DG326" s="366" t="str">
        <f ca="1">IF(OR(NOT(ASZTAB!$AJ$44),AND(CT318,DG320="")),CT320,"")</f>
        <v/>
      </c>
      <c r="DH326" s="365"/>
      <c r="DI326" s="366">
        <f ca="1">IF(DG326="",0,COUNTIF(xxgy.rv,DG326))</f>
        <v>0</v>
      </c>
      <c r="DJ326" s="366">
        <f ca="1">IF(DG326="",0,COUNTIF(xxd.rv,DG326))</f>
        <v>0</v>
      </c>
      <c r="DK326" s="366">
        <f ca="1">IF(DG326="",0,1)*(SUMIF(xxo.rv,DG326,xxl.rv)+SUMIF(xxi.rv,DG326,xxk.rv))</f>
        <v>0</v>
      </c>
      <c r="DL326" s="366">
        <f ca="1">IF(DG326="",0,1)*(SUMIF(xxo.rv,DG326,xxk.rv)+SUMIF(xxi.rv,DG326,xxl.rv))</f>
        <v>0</v>
      </c>
      <c r="DM326" s="366">
        <f ca="1">DK326-DL326</f>
        <v>0</v>
      </c>
      <c r="DN326" s="366">
        <f ca="1">IF(DL326=0,0,DK326/DL326)</f>
        <v>0</v>
      </c>
      <c r="DO326" s="366">
        <f ca="1">ASZTAB!$AJ$48*DI326+IF(ASZTAB!$AJ$44,0,1)*DJ326</f>
        <v>0</v>
      </c>
      <c r="DP326" s="396">
        <f ca="1">DO326*1000000+IF(ASZTAB!$AJ$44,DN326,DM326)*1000*0</f>
        <v>0</v>
      </c>
      <c r="DQ326" s="366">
        <f ca="1">IF(DG326="",0,1)*(SUMIF(yyo.rv,DG326,yyl.rv)+SUMIF(yyi.rv,DG326,yyk.rv))</f>
        <v>0</v>
      </c>
      <c r="DR326" s="366">
        <f ca="1">IF(DG326="",0,1)*(SUMIF(yyo.rv,DG326,yyk.rv)+SUMIF(yyi.rv,DG326,yyl.rv))</f>
        <v>0</v>
      </c>
      <c r="DS326" s="366">
        <f ca="1">DQ326-DR326</f>
        <v>0</v>
      </c>
      <c r="DT326" s="366">
        <f ca="1">IF(OR(ISERR(DP326),ISNA(DP326)),0,DP326)+IF(ASZTAB!$AJ$54,DS326,0)</f>
        <v>0</v>
      </c>
      <c r="DU326" s="366">
        <f ca="1">IF(DT326=0,0,RANK(DT326,DT325:DT329,1))</f>
        <v>0</v>
      </c>
      <c r="DV326" s="366">
        <f ca="1">DU326*40000*IF(COUNTIF($EN$319:$EN$328,DG326)&gt;0,0,1)</f>
        <v>0</v>
      </c>
      <c r="DW326" s="365"/>
      <c r="DZ326" s="365"/>
      <c r="EA326" s="365"/>
      <c r="EB326" s="365"/>
      <c r="EC326" s="404" t="str">
        <f ca="1">IF(EF319="","",VLOOKUP(EF319,yyy.rv1,4,FALSE))</f>
        <v/>
      </c>
      <c r="ED326" s="371" t="str">
        <f ca="1">IF(OR(EC326="",EJ326="",EC326=EJ326,ISNA(VLOOKUP(CONCATENATE(EC326,EJ326),games.r,2,FALSE))),"",CONCATENATE(EC326,EJ326))</f>
        <v/>
      </c>
      <c r="EE326" s="405" t="str">
        <f ca="1">IF(OR(ED326="",EJ325&gt;2),"",CONCATENATE(VLOOKUP(ED326,games.r,9,FALSE),VLOOKUP(ED326,games.r,12,FALSE)))</f>
        <v/>
      </c>
      <c r="EF326" s="406"/>
      <c r="EG326" s="407"/>
      <c r="EH326" s="408" t="str">
        <f ca="1">IF(ED326="","",VLOOKUP(ED326,games.r,6,FALSE))</f>
        <v/>
      </c>
      <c r="EI326" s="409" t="str">
        <f ca="1">IF(ED326="","",VLOOKUP(ED326,games.r,7,FALSE))</f>
        <v/>
      </c>
      <c r="EJ326" s="410" t="str">
        <f ca="1">EC326</f>
        <v/>
      </c>
      <c r="EK326" s="411"/>
      <c r="EL326" s="412"/>
      <c r="EM326" s="365"/>
      <c r="EN326" s="366"/>
      <c r="EO326" s="373"/>
      <c r="EP326" s="333"/>
    </row>
    <row r="327" spans="80:146" x14ac:dyDescent="0.25">
      <c r="CB327" s="350"/>
      <c r="CC327" s="353">
        <f ca="1">IF(ASZTAB!$AJ$44,COUNTIF($BI$42:$BI$51,CE327)*IF(OR(CE327=0,CE327=CE326),0,1),COUNTIF($BG$42:$BG$51,CD327)*IF(OR(CD327=0,CD327=CD326),0,1))+CF327/1000</f>
        <v>8.9999999999999993E-3</v>
      </c>
      <c r="CD327" s="352">
        <f t="shared" ca="1" si="337"/>
        <v>0</v>
      </c>
      <c r="CE327" s="353">
        <f t="shared" ca="1" si="338"/>
        <v>0</v>
      </c>
      <c r="CF327" s="354">
        <v>9</v>
      </c>
      <c r="CG327" s="350"/>
      <c r="CH327" s="300"/>
      <c r="CI327" s="356" t="str">
        <f t="shared" ca="1" si="339"/>
        <v/>
      </c>
      <c r="CJ327" s="357" t="str">
        <f t="shared" ca="1" si="334"/>
        <v/>
      </c>
      <c r="CK327" s="385"/>
      <c r="CL327" s="356" t="str">
        <f t="shared" ca="1" si="340"/>
        <v/>
      </c>
      <c r="CM327" s="357" t="str">
        <f t="shared" ca="1" si="335"/>
        <v/>
      </c>
      <c r="CN327" s="385"/>
      <c r="CO327" s="356" t="str">
        <f t="shared" ca="1" si="341"/>
        <v/>
      </c>
      <c r="CP327" s="357" t="str">
        <f t="shared" ca="1" si="336"/>
        <v/>
      </c>
      <c r="CQ327" s="385"/>
      <c r="CR327" s="350"/>
      <c r="CS327" s="300"/>
      <c r="CT327" s="522" t="str">
        <f>IF(NOT($AD$98),"",CT322)</f>
        <v/>
      </c>
      <c r="CU327" s="371" t="str">
        <f ca="1">IF(OR(CT327="",DA327="",CT327=DA327,ISNA(VLOOKUP(CONCATENATE(CT327,DA327),games.a,2,FALSE))),"",CONCATENATE(CT327,DA327))</f>
        <v/>
      </c>
      <c r="CV327" s="371" t="str">
        <f ca="1">IF(CU327="","",CONCATENATE(VLOOKUP(CU327,games.a,9,FALSE),VLOOKUP(CU327,games.a,12,FALSE)))</f>
        <v/>
      </c>
      <c r="CW327" s="369" t="str">
        <f ca="1">IF(CU327="","",VLOOKUP(CU327,games.a,10,FALSE))</f>
        <v/>
      </c>
      <c r="CX327" s="369" t="str">
        <f ca="1">IF(CU327="","",VLOOKUP(CU327,games.a,13,FALSE))</f>
        <v/>
      </c>
      <c r="CY327" s="423" t="str">
        <f ca="1">IF(CU327="","",VLOOKUP(CU327,games.a,6,FALSE))</f>
        <v/>
      </c>
      <c r="CZ327" s="409" t="str">
        <f ca="1">IF(CU327="","",VLOOKUP(CU327,games.a,7,FALSE))</f>
        <v/>
      </c>
      <c r="DA327" s="523" t="str">
        <f t="shared" ca="1" si="342"/>
        <v/>
      </c>
      <c r="DB327" s="302"/>
      <c r="DC327" s="364"/>
      <c r="DD327" s="302"/>
      <c r="DF327" s="365"/>
      <c r="DG327" s="366" t="str">
        <f ca="1">IF(OR(NOT(ASZTAB!$AJ$44),AND(CT318,DG321="")),CT321,"")</f>
        <v/>
      </c>
      <c r="DH327" s="365"/>
      <c r="DI327" s="366">
        <f ca="1">IF(DG327="",0,COUNTIF(xxgy.rv,DG327))</f>
        <v>0</v>
      </c>
      <c r="DJ327" s="366">
        <f ca="1">IF(DG327="",0,COUNTIF(xxd.rv,DG327))</f>
        <v>0</v>
      </c>
      <c r="DK327" s="366">
        <f ca="1">IF(DG327="",0,1)*(SUMIF(xxo.rv,DG327,xxl.rv)+SUMIF(xxi.rv,DG327,xxk.rv))</f>
        <v>0</v>
      </c>
      <c r="DL327" s="366">
        <f ca="1">IF(DG327="",0,1)*(SUMIF(xxo.rv,DG327,xxk.rv)+SUMIF(xxi.rv,DG327,xxl.rv))</f>
        <v>0</v>
      </c>
      <c r="DM327" s="366">
        <f ca="1">DK327-DL327</f>
        <v>0</v>
      </c>
      <c r="DN327" s="366">
        <f ca="1">IF(DL327=0,0,DK327/DL327)</f>
        <v>0</v>
      </c>
      <c r="DO327" s="366">
        <f ca="1">ASZTAB!$AJ$48*DI327+IF(ASZTAB!$AJ$44,0,1)*DJ327</f>
        <v>0</v>
      </c>
      <c r="DP327" s="396">
        <f ca="1">DO327*1000000+IF(ASZTAB!$AJ$44,DN327,DM327)*1000*0</f>
        <v>0</v>
      </c>
      <c r="DQ327" s="366">
        <f ca="1">IF(DG327="",0,1)*(SUMIF(yyo.rv,DG327,yyl.rv)+SUMIF(yyi.rv,DG327,yyk.rv))</f>
        <v>0</v>
      </c>
      <c r="DR327" s="366">
        <f ca="1">IF(DG327="",0,1)*(SUMIF(yyo.rv,DG327,yyk.rv)+SUMIF(yyi.rv,DG327,yyl.rv))</f>
        <v>0</v>
      </c>
      <c r="DS327" s="366">
        <f ca="1">DQ327-DR327</f>
        <v>0</v>
      </c>
      <c r="DT327" s="366">
        <f ca="1">IF(OR(ISERR(DP327),ISNA(DP327)),0,DP327)+IF(ASZTAB!$AJ$54,DS327,0)</f>
        <v>0</v>
      </c>
      <c r="DU327" s="366">
        <f ca="1">IF(DT327=0,0,RANK(DT327,DT325:DT329,1))</f>
        <v>0</v>
      </c>
      <c r="DV327" s="366">
        <f ca="1">DU327*40000*IF(COUNTIF($EN$319:$EN$328,DG327)&gt;0,0,1)</f>
        <v>0</v>
      </c>
      <c r="DW327" s="365"/>
      <c r="DZ327" s="365"/>
      <c r="EA327" s="365"/>
      <c r="EB327" s="365"/>
      <c r="EC327" s="404" t="str">
        <f ca="1">IF(EF320="","",VLOOKUP(EF320,yyy.rv1,4,FALSE))</f>
        <v/>
      </c>
      <c r="ED327" s="371" t="str">
        <f ca="1">IF(OR(EC327="",EJ327="",EC327=EJ327,ISNA(VLOOKUP(CONCATENATE(EC327,EJ327),games.r,2,FALSE))),"",CONCATENATE(EC327,EJ327))</f>
        <v/>
      </c>
      <c r="EE327" s="405" t="str">
        <f ca="1">IF(OR(ED327="",EJ325&gt;2),"",CONCATENATE(VLOOKUP(ED327,games.r,9,FALSE),VLOOKUP(ED327,games.r,12,FALSE)))</f>
        <v/>
      </c>
      <c r="EF327" s="413"/>
      <c r="EG327" s="414"/>
      <c r="EH327" s="408" t="str">
        <f ca="1">IF(ED327="","",VLOOKUP(ED327,games.r,6,FALSE))</f>
        <v/>
      </c>
      <c r="EI327" s="409" t="str">
        <f ca="1">IF(ED327="","",VLOOKUP(ED327,games.r,7,FALSE))</f>
        <v/>
      </c>
      <c r="EJ327" s="415" t="str">
        <f ca="1">EJ326</f>
        <v/>
      </c>
      <c r="EK327" s="416"/>
      <c r="EL327" s="417"/>
      <c r="EM327" s="365"/>
      <c r="EN327" s="366"/>
      <c r="EO327" s="373"/>
      <c r="EP327" s="333"/>
    </row>
    <row r="328" spans="80:146" x14ac:dyDescent="0.25">
      <c r="CB328" s="350"/>
      <c r="CC328" s="353">
        <f ca="1">IF(ASZTAB!$AJ$44,COUNTIF($BI$42:$BI$51,CE328)*IF(OR(CE328=0,CE328=CE327),0,1),COUNTIF($BG$42:$BG$51,CD328)*IF(OR(CD328=0,CD328=CD327),0,1))+CF328/1000</f>
        <v>0.01</v>
      </c>
      <c r="CD328" s="352">
        <f t="shared" ca="1" si="337"/>
        <v>0</v>
      </c>
      <c r="CE328" s="353">
        <f t="shared" ca="1" si="338"/>
        <v>0</v>
      </c>
      <c r="CF328" s="354">
        <v>10</v>
      </c>
      <c r="CG328" s="350"/>
      <c r="CH328" s="300"/>
      <c r="CI328" s="356" t="str">
        <f t="shared" ca="1" si="339"/>
        <v/>
      </c>
      <c r="CJ328" s="357" t="str">
        <f t="shared" ca="1" si="334"/>
        <v/>
      </c>
      <c r="CK328" s="357"/>
      <c r="CL328" s="356" t="str">
        <f t="shared" ca="1" si="340"/>
        <v/>
      </c>
      <c r="CM328" s="357" t="str">
        <f t="shared" ca="1" si="335"/>
        <v/>
      </c>
      <c r="CN328" s="357"/>
      <c r="CO328" s="356" t="str">
        <f t="shared" ca="1" si="341"/>
        <v/>
      </c>
      <c r="CP328" s="357" t="str">
        <f t="shared" ca="1" si="336"/>
        <v/>
      </c>
      <c r="CQ328" s="357"/>
      <c r="CR328" s="350"/>
      <c r="CS328" s="300"/>
      <c r="CT328" s="522" t="str">
        <f>IF(NOT($AD$98),"",CT323)</f>
        <v/>
      </c>
      <c r="CU328" s="371" t="str">
        <f ca="1">IF(OR(CT328="",DA328="",CT328=DA328,ISNA(VLOOKUP(CONCATENATE(CT328,DA328),games.a,2,FALSE))),"",CONCATENATE(CT328,DA328))</f>
        <v/>
      </c>
      <c r="CV328" s="371" t="str">
        <f ca="1">IF(CU328="","",CONCATENATE(VLOOKUP(CU328,games.a,9,FALSE),VLOOKUP(CU328,games.a,12,FALSE)))</f>
        <v/>
      </c>
      <c r="CW328" s="369" t="str">
        <f ca="1">IF(CU328="","",VLOOKUP(CU328,games.a,10,FALSE))</f>
        <v/>
      </c>
      <c r="CX328" s="369" t="str">
        <f ca="1">IF(CU328="","",VLOOKUP(CU328,games.a,13,FALSE))</f>
        <v/>
      </c>
      <c r="CY328" s="423" t="str">
        <f ca="1">IF(CU328="","",VLOOKUP(CU328,games.a,6,FALSE))</f>
        <v/>
      </c>
      <c r="CZ328" s="409" t="str">
        <f ca="1">IF(CU328="","",VLOOKUP(CU328,games.a,7,FALSE))</f>
        <v/>
      </c>
      <c r="DA328" s="523" t="str">
        <f t="shared" ca="1" si="342"/>
        <v/>
      </c>
      <c r="DB328" s="302"/>
      <c r="DC328" s="364"/>
      <c r="DD328" s="302"/>
      <c r="DF328" s="365"/>
      <c r="DG328" s="366" t="str">
        <f ca="1">IF(OR(NOT(ASZTAB!$AJ$44),AND(CT318,DG322="")),CT322,"")</f>
        <v/>
      </c>
      <c r="DH328" s="365"/>
      <c r="DI328" s="366">
        <f ca="1">IF(DG328="",0,COUNTIF(xxgy.rv,DG328))</f>
        <v>0</v>
      </c>
      <c r="DJ328" s="366">
        <f ca="1">IF(DG328="",0,COUNTIF(xxd.rv,DG328))</f>
        <v>0</v>
      </c>
      <c r="DK328" s="366">
        <f ca="1">IF(DG328="",0,1)*(SUMIF(xxo.rv,DG328,xxl.rv)+SUMIF(xxi.rv,DG328,xxk.rv))</f>
        <v>0</v>
      </c>
      <c r="DL328" s="366">
        <f ca="1">IF(DG328="",0,1)*(SUMIF(xxo.rv,DG328,xxk.rv)+SUMIF(xxi.rv,DG328,xxl.rv))</f>
        <v>0</v>
      </c>
      <c r="DM328" s="366">
        <f ca="1">DK328-DL328</f>
        <v>0</v>
      </c>
      <c r="DN328" s="366">
        <f ca="1">IF(DL328=0,0,DK328/DL328)</f>
        <v>0</v>
      </c>
      <c r="DO328" s="366">
        <f ca="1">ASZTAB!$AJ$48*DI328+IF(ASZTAB!$AJ$44,0,1)*DJ328</f>
        <v>0</v>
      </c>
      <c r="DP328" s="396">
        <f ca="1">DO328*1000000+IF(ASZTAB!$AJ$44,DN328,DM328)*1000*0</f>
        <v>0</v>
      </c>
      <c r="DQ328" s="366">
        <f ca="1">IF(DG328="",0,1)*(SUMIF(yyo.rv,DG328,yyl.rv)+SUMIF(yyi.rv,DG328,yyk.rv))</f>
        <v>0</v>
      </c>
      <c r="DR328" s="366">
        <f ca="1">IF(DG328="",0,1)*(SUMIF(yyo.rv,DG328,yyk.rv)+SUMIF(yyi.rv,DG328,yyl.rv))</f>
        <v>0</v>
      </c>
      <c r="DS328" s="366">
        <f ca="1">DQ328-DR328</f>
        <v>0</v>
      </c>
      <c r="DT328" s="366">
        <f ca="1">IF(OR(ISERR(DP328),ISNA(DP328)),0,DP328)+IF(ASZTAB!$AJ$54,DS328,0)</f>
        <v>0</v>
      </c>
      <c r="DU328" s="366">
        <f ca="1">IF(DT328=0,0,RANK(DT328,DT325:DT329,1))</f>
        <v>0</v>
      </c>
      <c r="DV328" s="366">
        <f ca="1">DU328*40000*IF(COUNTIF($EN$319:$EN$328,DG328)&gt;0,0,1)</f>
        <v>0</v>
      </c>
      <c r="DW328" s="365"/>
      <c r="DZ328" s="365"/>
      <c r="EA328" s="365"/>
      <c r="EB328" s="365"/>
      <c r="EC328" s="404" t="str">
        <f ca="1">IF(EF321="","",VLOOKUP(EF321,yyy.rv1,4,FALSE))</f>
        <v/>
      </c>
      <c r="ED328" s="371" t="str">
        <f ca="1">IF(OR(EC328="",EJ328="",EC328=EJ328,ISNA(VLOOKUP(CONCATENATE(EC328,EJ328),games.r,2,FALSE))),"",CONCATENATE(EC328,EJ328))</f>
        <v/>
      </c>
      <c r="EE328" s="405" t="str">
        <f ca="1">IF(OR(ED328="",EJ325&gt;2),"",CONCATENATE(VLOOKUP(ED328,games.r,9,FALSE),VLOOKUP(ED328,games.r,12,FALSE)))</f>
        <v/>
      </c>
      <c r="EF328" s="413"/>
      <c r="EG328" s="414"/>
      <c r="EH328" s="408" t="str">
        <f ca="1">IF(ED328="","",VLOOKUP(ED328,games.r,6,FALSE))</f>
        <v/>
      </c>
      <c r="EI328" s="409" t="str">
        <f ca="1">IF(ED328="","",VLOOKUP(ED328,games.r,7,FALSE))</f>
        <v/>
      </c>
      <c r="EJ328" s="415" t="str">
        <f ca="1">EJ327</f>
        <v/>
      </c>
      <c r="EK328" s="416"/>
      <c r="EL328" s="417"/>
      <c r="EM328" s="365"/>
      <c r="EN328" s="366"/>
      <c r="EO328" s="373"/>
      <c r="EP328" s="333"/>
    </row>
    <row r="329" spans="80:146" x14ac:dyDescent="0.25">
      <c r="CB329" s="350"/>
      <c r="CC329" s="350"/>
      <c r="CD329" s="350"/>
      <c r="CE329" s="350"/>
      <c r="CF329" s="350"/>
      <c r="CG329" s="350"/>
      <c r="CR329" s="350"/>
      <c r="CS329" s="300"/>
      <c r="CT329" s="301"/>
      <c r="CU329" s="458" t="s">
        <v>157</v>
      </c>
      <c r="CV329" s="458" t="s">
        <v>158</v>
      </c>
      <c r="CW329" s="459" t="s">
        <v>159</v>
      </c>
      <c r="CX329" s="459"/>
      <c r="CY329" s="460" t="s">
        <v>160</v>
      </c>
      <c r="CZ329" s="459" t="s">
        <v>135</v>
      </c>
      <c r="DA329" s="302"/>
      <c r="DB329" s="302"/>
      <c r="DC329" s="364"/>
      <c r="DD329" s="302"/>
      <c r="DF329" s="365"/>
      <c r="DG329" s="366" t="str">
        <f ca="1">IF(OR(NOT(ASZTAB!$AJ$44),AND(CT318,DG323="")),CT323,"")</f>
        <v/>
      </c>
      <c r="DH329" s="365"/>
      <c r="DI329" s="366">
        <f ca="1">IF(DG329="",0,COUNTIF(xxgy.rv,DG329))</f>
        <v>0</v>
      </c>
      <c r="DJ329" s="366">
        <f ca="1">IF(DG329="",0,COUNTIF(xxd.rv,DG329))</f>
        <v>0</v>
      </c>
      <c r="DK329" s="366">
        <f ca="1">IF(DG329="",0,1)*(SUMIF(xxo.rv,DG329,xxl.rv)+SUMIF(xxi.rv,DG329,xxk.rv))</f>
        <v>0</v>
      </c>
      <c r="DL329" s="366">
        <f ca="1">IF(DG329="",0,1)*(SUMIF(xxo.rv,DG329,xxk.rv)+SUMIF(xxi.rv,DG329,xxl.rv))</f>
        <v>0</v>
      </c>
      <c r="DM329" s="366">
        <f ca="1">DK329-DL329</f>
        <v>0</v>
      </c>
      <c r="DN329" s="366">
        <f ca="1">IF(DL329=0,0,DK329/DL329)</f>
        <v>0</v>
      </c>
      <c r="DO329" s="366">
        <f ca="1">ASZTAB!$AJ$48*DI329+IF(ASZTAB!$AJ$44,0,1)*DJ329</f>
        <v>0</v>
      </c>
      <c r="DP329" s="396">
        <f ca="1">DO329*1000000+IF(ASZTAB!$AJ$44,DN329,DM329)*1000*0</f>
        <v>0</v>
      </c>
      <c r="DQ329" s="366">
        <f ca="1">IF(DG329="",0,1)*(SUMIF(yyo.rv,DG329,yyl.rv)+SUMIF(yyi.rv,DG329,yyk.rv))</f>
        <v>0</v>
      </c>
      <c r="DR329" s="366">
        <f ca="1">IF(DG329="",0,1)*(SUMIF(yyo.rv,DG329,yyk.rv)+SUMIF(yyi.rv,DG329,yyl.rv))</f>
        <v>0</v>
      </c>
      <c r="DS329" s="366">
        <f ca="1">DQ329-DR329</f>
        <v>0</v>
      </c>
      <c r="DT329" s="366">
        <f ca="1">IF(OR(ISERR(DP329),ISNA(DP329)),0,DP329)+IF(ASZTAB!$AJ$54,DS329,0)</f>
        <v>0</v>
      </c>
      <c r="DU329" s="366">
        <f ca="1">IF(DT329=0,0,RANK(DT329,DT325:DT329,1))</f>
        <v>0</v>
      </c>
      <c r="DV329" s="366">
        <f ca="1">DU329*40000*IF(COUNTIF($EN$319:$EN$328,DG329)&gt;0,0,1)</f>
        <v>0</v>
      </c>
      <c r="DW329" s="365"/>
      <c r="DZ329" s="365"/>
      <c r="EA329" s="365"/>
      <c r="EB329" s="365"/>
      <c r="EC329" s="404" t="str">
        <f>IF(NOT($AD$98),"",EC326)</f>
        <v/>
      </c>
      <c r="ED329" s="360" t="str">
        <f ca="1">IF(OR(EC329="",EJ329="",EC329=EJ329,ISNA(VLOOKUP(CONCATENATE(EC329,EJ329),games.a,2,FALSE))),"",CONCATENATE(EC329,EJ329))</f>
        <v/>
      </c>
      <c r="EE329" s="524" t="str">
        <f ca="1">IF(OR(ED329="",EJ325&gt;2),"",CONCATENATE(VLOOKUP(ED329,games.a,9,FALSE),VLOOKUP(ED329,games.a,12,FALSE)))</f>
        <v/>
      </c>
      <c r="EF329" s="413"/>
      <c r="EG329" s="414"/>
      <c r="EH329" s="525" t="str">
        <f ca="1">IF(ED329="","",VLOOKUP(ED329,games.a,6,FALSE))</f>
        <v/>
      </c>
      <c r="EI329" s="362" t="str">
        <f ca="1">IF(ED329="","",VLOOKUP(ED329,games.a,7,FALSE))</f>
        <v/>
      </c>
      <c r="EJ329" s="526" t="str">
        <f ca="1">EJ328</f>
        <v/>
      </c>
      <c r="EK329" s="527"/>
      <c r="EL329" s="528"/>
      <c r="EM329" s="365"/>
      <c r="EN329" s="365"/>
      <c r="EO329" s="373"/>
      <c r="EP329" s="333"/>
    </row>
    <row r="330" spans="80:146" x14ac:dyDescent="0.25">
      <c r="CB330" s="350"/>
      <c r="CC330" s="350"/>
      <c r="CD330" s="350"/>
      <c r="CE330" s="350"/>
      <c r="CF330" s="350"/>
      <c r="CG330" s="350"/>
      <c r="CR330" s="350"/>
      <c r="CS330" s="300"/>
      <c r="CT330" s="395" t="str">
        <f ca="1">CT319</f>
        <v/>
      </c>
      <c r="CU330" s="465" t="str">
        <f ca="1">IF(OR(CT330="",DA330="",CT330=DA330,COUNTIF(games.rv,CT330&amp;DA330)=0),"",CONCATENATE(CT330,DA330))</f>
        <v/>
      </c>
      <c r="CV330" s="360" t="str">
        <f ca="1">IF(CU330="","",CONCATENATE(VLOOKUP(CU330,games.r,9,FALSE),VLOOKUP(CU330,games.r,12,FALSE)))</f>
        <v/>
      </c>
      <c r="CW330" s="354" t="str">
        <f ca="1">IF(CU330="","",VLOOKUP(CU330,games.r,10,FALSE))</f>
        <v/>
      </c>
      <c r="CX330" s="354" t="str">
        <f ca="1">IF(CU330="","",VLOOKUP(CU330,games.r,13,FALSE))</f>
        <v/>
      </c>
      <c r="CY330" s="361" t="str">
        <f ca="1">IF(CU330="","",VLOOKUP(CU330,games.r,6,FALSE))</f>
        <v/>
      </c>
      <c r="CZ330" s="362" t="str">
        <f ca="1">IF(CU330="","",VLOOKUP(CU330,games.r,7,FALSE))</f>
        <v/>
      </c>
      <c r="DA330" s="466" t="str">
        <f ca="1">CT320</f>
        <v/>
      </c>
      <c r="DB330" s="302"/>
      <c r="DC330" s="364"/>
      <c r="DD330" s="302"/>
      <c r="DF330" s="424"/>
      <c r="DW330" s="365"/>
      <c r="DX330" s="424"/>
      <c r="DZ330" s="365"/>
      <c r="EA330" s="365"/>
      <c r="EB330" s="365"/>
      <c r="EC330" s="404" t="str">
        <f>IF(NOT($AD$98),"",EC327)</f>
        <v/>
      </c>
      <c r="ED330" s="360" t="str">
        <f ca="1">IF(OR(EC330="",EJ330="",EC330=EJ330,ISNA(VLOOKUP(CONCATENATE(EC330,EJ330),games.a,2,FALSE))),"",CONCATENATE(EC330,EJ330))</f>
        <v/>
      </c>
      <c r="EE330" s="524" t="str">
        <f ca="1">IF(OR(ED330="",EJ325&gt;2),"",CONCATENATE(VLOOKUP(ED330,games.a,9,FALSE),VLOOKUP(ED330,games.a,12,FALSE)))</f>
        <v/>
      </c>
      <c r="EF330" s="413"/>
      <c r="EG330" s="414"/>
      <c r="EH330" s="525" t="str">
        <f ca="1">IF(ED330="","",VLOOKUP(ED330,games.a,6,FALSE))</f>
        <v/>
      </c>
      <c r="EI330" s="362" t="str">
        <f ca="1">IF(ED330="","",VLOOKUP(ED330,games.a,7,FALSE))</f>
        <v/>
      </c>
      <c r="EJ330" s="526" t="str">
        <f ca="1">EJ329</f>
        <v/>
      </c>
      <c r="EK330" s="527"/>
      <c r="EL330" s="528"/>
      <c r="EM330" s="365"/>
      <c r="EN330" s="365"/>
      <c r="EO330" s="373"/>
      <c r="EP330" s="333"/>
    </row>
    <row r="331" spans="80:146" x14ac:dyDescent="0.25">
      <c r="CB331" s="350"/>
      <c r="CC331" s="350"/>
      <c r="CD331" s="350"/>
      <c r="CE331" s="350"/>
      <c r="CF331" s="350"/>
      <c r="CG331" s="350"/>
      <c r="CR331" s="350"/>
      <c r="CS331" s="300"/>
      <c r="CT331" s="395" t="str">
        <f t="shared" ref="CT331:CT339" ca="1" si="343">CT320</f>
        <v/>
      </c>
      <c r="CU331" s="465" t="str">
        <f ca="1">IF(OR(CT331="",DA331="",CT331=DA331,COUNTIF(games.rv,CT331&amp;DA331)=0),"",CONCATENATE(CT331,DA331))</f>
        <v/>
      </c>
      <c r="CV331" s="360" t="str">
        <f ca="1">IF(CU331="","",CONCATENATE(VLOOKUP(CU331,games.r,9,FALSE),VLOOKUP(CU331,games.r,12,FALSE)))</f>
        <v/>
      </c>
      <c r="CW331" s="354" t="str">
        <f ca="1">IF(CU331="","",VLOOKUP(CU331,games.r,10,FALSE))</f>
        <v/>
      </c>
      <c r="CX331" s="354" t="str">
        <f ca="1">IF(CU331="","",VLOOKUP(CU331,games.r,13,FALSE))</f>
        <v/>
      </c>
      <c r="CY331" s="361" t="str">
        <f ca="1">IF(CU331="","",VLOOKUP(CU331,games.r,6,FALSE))</f>
        <v/>
      </c>
      <c r="CZ331" s="362" t="str">
        <f ca="1">IF(CU331="","",VLOOKUP(CU331,games.r,7,FALSE))</f>
        <v/>
      </c>
      <c r="DA331" s="379" t="str">
        <f ca="1">DA330</f>
        <v/>
      </c>
      <c r="DB331" s="302"/>
      <c r="DC331" s="364"/>
      <c r="DD331" s="302"/>
      <c r="DF331" s="424"/>
      <c r="DW331" s="365"/>
      <c r="DX331" s="424"/>
      <c r="DZ331" s="365"/>
      <c r="EC331" s="404" t="str">
        <f>IF(NOT($AD$98),"",EC328)</f>
        <v/>
      </c>
      <c r="ED331" s="360" t="str">
        <f ca="1">IF(OR(EC331="",EJ331="",EC331=EJ331,ISNA(VLOOKUP(CONCATENATE(EC331,EJ331),games.a,2,FALSE))),"",CONCATENATE(EC331,EJ331))</f>
        <v/>
      </c>
      <c r="EE331" s="524" t="str">
        <f ca="1">IF(OR(ED331="",EJ325&gt;2),"",CONCATENATE(VLOOKUP(ED331,games.a,9,FALSE),VLOOKUP(ED331,games.a,12,FALSE)))</f>
        <v/>
      </c>
      <c r="EF331" s="413"/>
      <c r="EG331" s="414"/>
      <c r="EH331" s="525" t="str">
        <f ca="1">IF(ED331="","",VLOOKUP(ED331,games.a,6,FALSE))</f>
        <v/>
      </c>
      <c r="EI331" s="362" t="str">
        <f ca="1">IF(ED331="","",VLOOKUP(ED331,games.a,7,FALSE))</f>
        <v/>
      </c>
      <c r="EJ331" s="526" t="str">
        <f ca="1">EJ330</f>
        <v/>
      </c>
      <c r="EK331" s="527"/>
      <c r="EL331" s="528"/>
      <c r="EO331" s="373"/>
      <c r="EP331" s="333"/>
    </row>
    <row r="332" spans="80:146" x14ac:dyDescent="0.25">
      <c r="CB332" s="350"/>
      <c r="CC332" s="350"/>
      <c r="CD332" s="350"/>
      <c r="CE332" s="350"/>
      <c r="CF332" s="350"/>
      <c r="CG332" s="350"/>
      <c r="CR332" s="350"/>
      <c r="CS332" s="300"/>
      <c r="CT332" s="395" t="str">
        <f t="shared" ca="1" si="343"/>
        <v/>
      </c>
      <c r="CU332" s="465" t="str">
        <f ca="1">IF(OR(CT332="",DA332="",CT332=DA332,COUNTIF(games.rv,CT332&amp;DA332)=0),"",CONCATENATE(CT332,DA332))</f>
        <v/>
      </c>
      <c r="CV332" s="360" t="str">
        <f ca="1">IF(CU332="","",CONCATENATE(VLOOKUP(CU332,games.r,9,FALSE),VLOOKUP(CU332,games.r,12,FALSE)))</f>
        <v/>
      </c>
      <c r="CW332" s="354" t="str">
        <f ca="1">IF(CU332="","",VLOOKUP(CU332,games.r,10,FALSE))</f>
        <v/>
      </c>
      <c r="CX332" s="354" t="str">
        <f ca="1">IF(CU332="","",VLOOKUP(CU332,games.r,13,FALSE))</f>
        <v/>
      </c>
      <c r="CY332" s="361" t="str">
        <f ca="1">IF(CU332="","",VLOOKUP(CU332,games.r,6,FALSE))</f>
        <v/>
      </c>
      <c r="CZ332" s="362" t="str">
        <f ca="1">IF(CU332="","",VLOOKUP(CU332,games.r,7,FALSE))</f>
        <v/>
      </c>
      <c r="DA332" s="379" t="str">
        <f t="shared" ref="DA332:DA339" ca="1" si="344">DA331</f>
        <v/>
      </c>
      <c r="DB332" s="302"/>
      <c r="DC332" s="364"/>
      <c r="DD332" s="302"/>
      <c r="DF332" s="424"/>
      <c r="DW332" s="365"/>
      <c r="DX332" s="424"/>
      <c r="DZ332" s="365"/>
      <c r="EA332" s="365"/>
      <c r="EB332" s="365"/>
      <c r="EC332" s="398"/>
      <c r="ED332" s="329" t="s">
        <v>157</v>
      </c>
      <c r="EE332" s="329" t="s">
        <v>158</v>
      </c>
      <c r="EF332" s="399"/>
      <c r="EG332" s="400"/>
      <c r="EH332" s="401" t="s">
        <v>160</v>
      </c>
      <c r="EI332" s="402" t="s">
        <v>135</v>
      </c>
      <c r="EJ332" s="398"/>
      <c r="EK332" s="365"/>
      <c r="EL332" s="365"/>
      <c r="EM332" s="365"/>
      <c r="EN332" s="365"/>
      <c r="EO332" s="373"/>
      <c r="EP332" s="333"/>
    </row>
    <row r="333" spans="80:146" x14ac:dyDescent="0.25">
      <c r="CB333" s="350"/>
      <c r="CC333" s="350"/>
      <c r="CD333" s="350"/>
      <c r="CE333" s="350"/>
      <c r="CF333" s="350"/>
      <c r="CG333" s="350"/>
      <c r="CR333" s="350"/>
      <c r="CS333" s="300"/>
      <c r="CT333" s="395" t="str">
        <f t="shared" ca="1" si="343"/>
        <v/>
      </c>
      <c r="CU333" s="465" t="str">
        <f ca="1">IF(OR(CT333="",DA333="",CT333=DA333,COUNTIF(games.rv,CT333&amp;DA333)=0),"",CONCATENATE(CT333,DA333))</f>
        <v/>
      </c>
      <c r="CV333" s="360" t="str">
        <f ca="1">IF(CU333="","",CONCATENATE(VLOOKUP(CU333,games.r,9,FALSE),VLOOKUP(CU333,games.r,12,FALSE)))</f>
        <v/>
      </c>
      <c r="CW333" s="354" t="str">
        <f ca="1">IF(CU333="","",VLOOKUP(CU333,games.r,10,FALSE))</f>
        <v/>
      </c>
      <c r="CX333" s="354" t="str">
        <f ca="1">IF(CU333="","",VLOOKUP(CU333,games.r,13,FALSE))</f>
        <v/>
      </c>
      <c r="CY333" s="361" t="str">
        <f ca="1">IF(CU333="","",VLOOKUP(CU333,games.r,6,FALSE))</f>
        <v/>
      </c>
      <c r="CZ333" s="362" t="str">
        <f ca="1">IF(CU333="","",VLOOKUP(CU333,games.r,7,FALSE))</f>
        <v/>
      </c>
      <c r="DA333" s="379" t="str">
        <f t="shared" ca="1" si="344"/>
        <v/>
      </c>
      <c r="DB333" s="302"/>
      <c r="DC333" s="364"/>
      <c r="DD333" s="302"/>
      <c r="DF333" s="424"/>
      <c r="DW333" s="365"/>
      <c r="DX333" s="424"/>
      <c r="DZ333" s="365"/>
      <c r="EA333" s="365"/>
      <c r="EB333" s="365"/>
      <c r="EC333" s="404" t="str">
        <f t="shared" ref="EC333:EC338" ca="1" si="345">EC326</f>
        <v/>
      </c>
      <c r="ED333" s="371" t="str">
        <f ca="1">IF(OR(EC333="",EJ333="",EC333=EJ333,ISNA(VLOOKUP(CONCATENATE(EC333,EJ333),games.r,2,FALSE))),"",CONCATENATE(EC333,EJ333))</f>
        <v/>
      </c>
      <c r="EE333" s="405" t="str">
        <f ca="1">IF(OR(ED333="",EJ325&gt;2),"",CONCATENATE(VLOOKUP(ED333,games.r,9,FALSE),VLOOKUP(ED333,games.r,12,FALSE)))</f>
        <v/>
      </c>
      <c r="EF333" s="406"/>
      <c r="EG333" s="407"/>
      <c r="EH333" s="408" t="str">
        <f ca="1">IF(ED333="","",VLOOKUP(ED333,games.r,6,FALSE))</f>
        <v/>
      </c>
      <c r="EI333" s="409" t="str">
        <f ca="1">IF(ED333="","",VLOOKUP(ED333,games.r,7,FALSE))</f>
        <v/>
      </c>
      <c r="EJ333" s="410" t="str">
        <f ca="1">EC327</f>
        <v/>
      </c>
      <c r="EK333" s="411"/>
      <c r="EL333" s="412"/>
      <c r="EM333" s="365"/>
      <c r="EN333" s="365"/>
      <c r="EO333" s="373"/>
      <c r="EP333" s="333"/>
    </row>
    <row r="334" spans="80:146" x14ac:dyDescent="0.25">
      <c r="CB334" s="350"/>
      <c r="CC334" s="350"/>
      <c r="CD334" s="350"/>
      <c r="CE334" s="350"/>
      <c r="CF334" s="350"/>
      <c r="CG334" s="350"/>
      <c r="CR334" s="350"/>
      <c r="CS334" s="300"/>
      <c r="CT334" s="395" t="str">
        <f t="shared" ca="1" si="343"/>
        <v/>
      </c>
      <c r="CU334" s="465" t="str">
        <f ca="1">IF(OR(CT334="",DA334="",CT334=DA334,COUNTIF(games.rv,CT334&amp;DA334)=0),"",CONCATENATE(CT334,DA334))</f>
        <v/>
      </c>
      <c r="CV334" s="360" t="str">
        <f ca="1">IF(CU334="","",CONCATENATE(VLOOKUP(CU334,games.r,9,FALSE),VLOOKUP(CU334,games.r,12,FALSE)))</f>
        <v/>
      </c>
      <c r="CW334" s="354" t="str">
        <f ca="1">IF(CU334="","",VLOOKUP(CU334,games.r,10,FALSE))</f>
        <v/>
      </c>
      <c r="CX334" s="354" t="str">
        <f ca="1">IF(CU334="","",VLOOKUP(CU334,games.r,13,FALSE))</f>
        <v/>
      </c>
      <c r="CY334" s="361" t="str">
        <f ca="1">IF(CU334="","",VLOOKUP(CU334,games.r,6,FALSE))</f>
        <v/>
      </c>
      <c r="CZ334" s="362" t="str">
        <f ca="1">IF(CU334="","",VLOOKUP(CU334,games.r,7,FALSE))</f>
        <v/>
      </c>
      <c r="DA334" s="379" t="str">
        <f t="shared" ca="1" si="344"/>
        <v/>
      </c>
      <c r="DB334" s="302"/>
      <c r="DC334" s="364"/>
      <c r="DD334" s="302"/>
      <c r="DF334" s="424"/>
      <c r="DW334" s="365"/>
      <c r="DX334" s="424"/>
      <c r="DZ334" s="424"/>
      <c r="EA334" s="365"/>
      <c r="EB334" s="365"/>
      <c r="EC334" s="404" t="str">
        <f t="shared" ca="1" si="345"/>
        <v/>
      </c>
      <c r="ED334" s="371" t="str">
        <f ca="1">IF(OR(EC334="",EJ334="",EC334=EJ334,ISNA(VLOOKUP(CONCATENATE(EC334,EJ334),games.r,2,FALSE))),"",CONCATENATE(EC334,EJ334))</f>
        <v/>
      </c>
      <c r="EE334" s="405" t="str">
        <f ca="1">IF(OR(ED334="",EJ325&gt;2),"",CONCATENATE(VLOOKUP(ED334,games.r,9,FALSE),VLOOKUP(ED334,games.r,12,FALSE)))</f>
        <v/>
      </c>
      <c r="EF334" s="413"/>
      <c r="EG334" s="414"/>
      <c r="EH334" s="408" t="str">
        <f ca="1">IF(ED334="","",VLOOKUP(ED334,games.r,6,FALSE))</f>
        <v/>
      </c>
      <c r="EI334" s="409" t="str">
        <f ca="1">IF(ED334="","",VLOOKUP(ED334,games.r,7,FALSE))</f>
        <v/>
      </c>
      <c r="EJ334" s="415" t="str">
        <f ca="1">EJ333</f>
        <v/>
      </c>
      <c r="EK334" s="416"/>
      <c r="EL334" s="417"/>
      <c r="EM334" s="365"/>
      <c r="EN334" s="365"/>
      <c r="EO334" s="373"/>
      <c r="EP334" s="333"/>
    </row>
    <row r="335" spans="80:146" x14ac:dyDescent="0.25">
      <c r="CB335" s="350"/>
      <c r="CC335" s="350"/>
      <c r="CD335" s="350"/>
      <c r="CE335" s="350"/>
      <c r="CF335" s="350"/>
      <c r="CG335" s="350"/>
      <c r="CR335" s="350"/>
      <c r="CS335" s="300"/>
      <c r="CT335" s="522" t="str">
        <f t="shared" si="343"/>
        <v/>
      </c>
      <c r="CU335" s="371" t="str">
        <f ca="1">IF(OR(CT335="",DA335="",CT335=DA335,ISNA(VLOOKUP(CONCATENATE(CT335,DA335),games.a,2,FALSE))),"",CONCATENATE(CT335,DA335))</f>
        <v/>
      </c>
      <c r="CV335" s="371" t="str">
        <f ca="1">IF(CU335="","",CONCATENATE(VLOOKUP(CU335,games.a,9,FALSE),VLOOKUP(CU335,games.a,12,FALSE)))</f>
        <v/>
      </c>
      <c r="CW335" s="369" t="str">
        <f ca="1">IF(CU335="","",VLOOKUP(CU335,games.a,10,FALSE))</f>
        <v/>
      </c>
      <c r="CX335" s="369" t="str">
        <f ca="1">IF(CU335="","",VLOOKUP(CU335,games.a,13,FALSE))</f>
        <v/>
      </c>
      <c r="CY335" s="423" t="str">
        <f ca="1">IF(CU335="","",VLOOKUP(CU335,games.a,6,FALSE))</f>
        <v/>
      </c>
      <c r="CZ335" s="409" t="str">
        <f ca="1">IF(CU335="","",VLOOKUP(CU335,games.a,7,FALSE))</f>
        <v/>
      </c>
      <c r="DA335" s="523" t="str">
        <f t="shared" ca="1" si="344"/>
        <v/>
      </c>
      <c r="DB335" s="302"/>
      <c r="DC335" s="364"/>
      <c r="DD335" s="302"/>
      <c r="DF335" s="424"/>
      <c r="DW335" s="365"/>
      <c r="DX335" s="424"/>
      <c r="DZ335" s="424"/>
      <c r="EA335" s="424"/>
      <c r="EB335" s="424"/>
      <c r="EC335" s="404" t="str">
        <f t="shared" ca="1" si="345"/>
        <v/>
      </c>
      <c r="ED335" s="371" t="str">
        <f ca="1">IF(OR(EC335="",EJ335="",EC335=EJ335,ISNA(VLOOKUP(CONCATENATE(EC335,EJ335),games.r,2,FALSE))),"",CONCATENATE(EC335,EJ335))</f>
        <v/>
      </c>
      <c r="EE335" s="405" t="str">
        <f ca="1">IF(OR(ED335="",EJ325&gt;2),"",CONCATENATE(VLOOKUP(ED335,games.r,9,FALSE),VLOOKUP(ED335,games.r,12,FALSE)))</f>
        <v/>
      </c>
      <c r="EF335" s="413"/>
      <c r="EG335" s="414"/>
      <c r="EH335" s="408" t="str">
        <f ca="1">IF(ED335="","",VLOOKUP(ED335,games.r,6,FALSE))</f>
        <v/>
      </c>
      <c r="EI335" s="409" t="str">
        <f ca="1">IF(ED335="","",VLOOKUP(ED335,games.r,7,FALSE))</f>
        <v/>
      </c>
      <c r="EJ335" s="415" t="str">
        <f ca="1">EJ334</f>
        <v/>
      </c>
      <c r="EK335" s="416"/>
      <c r="EL335" s="417"/>
      <c r="EM335" s="424"/>
      <c r="EN335" s="424"/>
      <c r="EO335" s="373"/>
      <c r="EP335" s="333"/>
    </row>
    <row r="336" spans="80:146" x14ac:dyDescent="0.25">
      <c r="CB336" s="350"/>
      <c r="CC336" s="350"/>
      <c r="CD336" s="350"/>
      <c r="CE336" s="350"/>
      <c r="CF336" s="350"/>
      <c r="CG336" s="350"/>
      <c r="CR336" s="350"/>
      <c r="CS336" s="300"/>
      <c r="CT336" s="522" t="str">
        <f t="shared" si="343"/>
        <v/>
      </c>
      <c r="CU336" s="371" t="str">
        <f ca="1">IF(OR(CT336="",DA336="",CT336=DA336,ISNA(VLOOKUP(CONCATENATE(CT336,DA336),games.a,2,FALSE))),"",CONCATENATE(CT336,DA336))</f>
        <v/>
      </c>
      <c r="CV336" s="371" t="str">
        <f ca="1">IF(CU336="","",CONCATENATE(VLOOKUP(CU336,games.a,9,FALSE),VLOOKUP(CU336,games.a,12,FALSE)))</f>
        <v/>
      </c>
      <c r="CW336" s="369" t="str">
        <f ca="1">IF(CU336="","",VLOOKUP(CU336,games.a,10,FALSE))</f>
        <v/>
      </c>
      <c r="CX336" s="369" t="str">
        <f ca="1">IF(CU336="","",VLOOKUP(CU336,games.a,13,FALSE))</f>
        <v/>
      </c>
      <c r="CY336" s="423" t="str">
        <f ca="1">IF(CU336="","",VLOOKUP(CU336,games.a,6,FALSE))</f>
        <v/>
      </c>
      <c r="CZ336" s="409" t="str">
        <f ca="1">IF(CU336="","",VLOOKUP(CU336,games.a,7,FALSE))</f>
        <v/>
      </c>
      <c r="DA336" s="523" t="str">
        <f t="shared" ca="1" si="344"/>
        <v/>
      </c>
      <c r="DB336" s="302"/>
      <c r="DC336" s="364"/>
      <c r="DD336" s="302"/>
      <c r="DF336" s="424"/>
      <c r="DW336" s="365"/>
      <c r="DX336" s="424"/>
      <c r="DY336" s="424"/>
      <c r="DZ336" s="424"/>
      <c r="EA336" s="424"/>
      <c r="EB336" s="424"/>
      <c r="EC336" s="404" t="str">
        <f t="shared" si="345"/>
        <v/>
      </c>
      <c r="ED336" s="360" t="str">
        <f ca="1">IF(OR(EC336="",EJ336="",EC336=EJ336,ISNA(VLOOKUP(CONCATENATE(EC336,EJ336),games.a,2,FALSE))),"",CONCATENATE(EC336,EJ336))</f>
        <v/>
      </c>
      <c r="EE336" s="524" t="str">
        <f ca="1">IF(OR(ED336="",EJ325&gt;2),"",CONCATENATE(VLOOKUP(ED336,games.a,9,FALSE),VLOOKUP(ED336,games.a,12,FALSE)))</f>
        <v/>
      </c>
      <c r="EF336" s="413"/>
      <c r="EG336" s="414"/>
      <c r="EH336" s="525" t="str">
        <f ca="1">IF(ED336="","",VLOOKUP(ED336,games.a,6,FALSE))</f>
        <v/>
      </c>
      <c r="EI336" s="362" t="str">
        <f ca="1">IF(ED336="","",VLOOKUP(ED336,games.a,7,FALSE))</f>
        <v/>
      </c>
      <c r="EJ336" s="526" t="str">
        <f ca="1">EJ335</f>
        <v/>
      </c>
      <c r="EK336" s="527"/>
      <c r="EL336" s="528"/>
      <c r="EM336" s="424"/>
      <c r="EN336" s="424"/>
      <c r="EO336" s="373"/>
      <c r="EP336" s="333"/>
    </row>
    <row r="337" spans="80:146" x14ac:dyDescent="0.25">
      <c r="CB337" s="350"/>
      <c r="CC337" s="350"/>
      <c r="CD337" s="350"/>
      <c r="CE337" s="350"/>
      <c r="CF337" s="350"/>
      <c r="CG337" s="350"/>
      <c r="CR337" s="350"/>
      <c r="CS337" s="300"/>
      <c r="CT337" s="522" t="str">
        <f t="shared" si="343"/>
        <v/>
      </c>
      <c r="CU337" s="371" t="str">
        <f ca="1">IF(OR(CT337="",DA337="",CT337=DA337,ISNA(VLOOKUP(CONCATENATE(CT337,DA337),games.a,2,FALSE))),"",CONCATENATE(CT337,DA337))</f>
        <v/>
      </c>
      <c r="CV337" s="371" t="str">
        <f ca="1">IF(CU337="","",CONCATENATE(VLOOKUP(CU337,games.a,9,FALSE),VLOOKUP(CU337,games.a,12,FALSE)))</f>
        <v/>
      </c>
      <c r="CW337" s="369" t="str">
        <f ca="1">IF(CU337="","",VLOOKUP(CU337,games.a,10,FALSE))</f>
        <v/>
      </c>
      <c r="CX337" s="369" t="str">
        <f ca="1">IF(CU337="","",VLOOKUP(CU337,games.a,13,FALSE))</f>
        <v/>
      </c>
      <c r="CY337" s="423" t="str">
        <f ca="1">IF(CU337="","",VLOOKUP(CU337,games.a,6,FALSE))</f>
        <v/>
      </c>
      <c r="CZ337" s="409" t="str">
        <f ca="1">IF(CU337="","",VLOOKUP(CU337,games.a,7,FALSE))</f>
        <v/>
      </c>
      <c r="DA337" s="523" t="str">
        <f t="shared" ca="1" si="344"/>
        <v/>
      </c>
      <c r="DB337" s="302"/>
      <c r="DC337" s="364"/>
      <c r="DD337" s="302"/>
      <c r="DF337" s="424"/>
      <c r="DW337" s="365"/>
      <c r="DX337" s="424"/>
      <c r="DY337" s="424"/>
      <c r="DZ337" s="424"/>
      <c r="EA337" s="424"/>
      <c r="EB337" s="424"/>
      <c r="EC337" s="404" t="str">
        <f t="shared" si="345"/>
        <v/>
      </c>
      <c r="ED337" s="360" t="str">
        <f ca="1">IF(OR(EC337="",EJ337="",EC337=EJ337,ISNA(VLOOKUP(CONCATENATE(EC337,EJ337),games.a,2,FALSE))),"",CONCATENATE(EC337,EJ337))</f>
        <v/>
      </c>
      <c r="EE337" s="524" t="str">
        <f ca="1">IF(OR(ED337="",EJ325&gt;2),"",CONCATENATE(VLOOKUP(ED337,games.a,9,FALSE),VLOOKUP(ED337,games.a,12,FALSE)))</f>
        <v/>
      </c>
      <c r="EF337" s="413"/>
      <c r="EG337" s="414"/>
      <c r="EH337" s="525" t="str">
        <f ca="1">IF(ED337="","",VLOOKUP(ED337,games.a,6,FALSE))</f>
        <v/>
      </c>
      <c r="EI337" s="362" t="str">
        <f ca="1">IF(ED337="","",VLOOKUP(ED337,games.a,7,FALSE))</f>
        <v/>
      </c>
      <c r="EJ337" s="526" t="str">
        <f ca="1">EJ336</f>
        <v/>
      </c>
      <c r="EK337" s="527"/>
      <c r="EL337" s="528"/>
      <c r="EM337" s="424"/>
      <c r="EN337" s="424"/>
      <c r="EO337" s="373"/>
      <c r="EP337" s="333"/>
    </row>
    <row r="338" spans="80:146" x14ac:dyDescent="0.25">
      <c r="CB338" s="350"/>
      <c r="CC338" s="350"/>
      <c r="CD338" s="350"/>
      <c r="CE338" s="350"/>
      <c r="CF338" s="350"/>
      <c r="CG338" s="350"/>
      <c r="CR338" s="350"/>
      <c r="CS338" s="300"/>
      <c r="CT338" s="522" t="str">
        <f t="shared" si="343"/>
        <v/>
      </c>
      <c r="CU338" s="371" t="str">
        <f ca="1">IF(OR(CT338="",DA338="",CT338=DA338,ISNA(VLOOKUP(CONCATENATE(CT338,DA338),games.a,2,FALSE))),"",CONCATENATE(CT338,DA338))</f>
        <v/>
      </c>
      <c r="CV338" s="371" t="str">
        <f ca="1">IF(CU338="","",CONCATENATE(VLOOKUP(CU338,games.a,9,FALSE),VLOOKUP(CU338,games.a,12,FALSE)))</f>
        <v/>
      </c>
      <c r="CW338" s="369" t="str">
        <f ca="1">IF(CU338="","",VLOOKUP(CU338,games.a,10,FALSE))</f>
        <v/>
      </c>
      <c r="CX338" s="369" t="str">
        <f ca="1">IF(CU338="","",VLOOKUP(CU338,games.a,13,FALSE))</f>
        <v/>
      </c>
      <c r="CY338" s="423" t="str">
        <f ca="1">IF(CU338="","",VLOOKUP(CU338,games.a,6,FALSE))</f>
        <v/>
      </c>
      <c r="CZ338" s="409" t="str">
        <f ca="1">IF(CU338="","",VLOOKUP(CU338,games.a,7,FALSE))</f>
        <v/>
      </c>
      <c r="DA338" s="523" t="str">
        <f t="shared" ca="1" si="344"/>
        <v/>
      </c>
      <c r="DB338" s="302"/>
      <c r="DC338" s="364"/>
      <c r="DD338" s="302"/>
      <c r="DF338" s="424"/>
      <c r="DW338" s="365"/>
      <c r="DX338" s="424"/>
      <c r="DY338" s="424"/>
      <c r="DZ338" s="424"/>
      <c r="EC338" s="404" t="str">
        <f t="shared" si="345"/>
        <v/>
      </c>
      <c r="ED338" s="360" t="str">
        <f ca="1">IF(OR(EC338="",EJ338="",EC338=EJ338,ISNA(VLOOKUP(CONCATENATE(EC338,EJ338),games.a,2,FALSE))),"",CONCATENATE(EC338,EJ338))</f>
        <v/>
      </c>
      <c r="EE338" s="524" t="str">
        <f ca="1">IF(OR(ED338="",EJ325&gt;2),"",CONCATENATE(VLOOKUP(ED338,games.a,9,FALSE),VLOOKUP(ED338,games.a,12,FALSE)))</f>
        <v/>
      </c>
      <c r="EF338" s="413"/>
      <c r="EG338" s="414"/>
      <c r="EH338" s="525" t="str">
        <f ca="1">IF(ED338="","",VLOOKUP(ED338,games.a,6,FALSE))</f>
        <v/>
      </c>
      <c r="EI338" s="362" t="str">
        <f ca="1">IF(ED338="","",VLOOKUP(ED338,games.a,7,FALSE))</f>
        <v/>
      </c>
      <c r="EJ338" s="526" t="str">
        <f ca="1">EJ337</f>
        <v/>
      </c>
      <c r="EK338" s="527"/>
      <c r="EL338" s="528"/>
      <c r="EO338" s="373"/>
      <c r="EP338" s="333"/>
    </row>
    <row r="339" spans="80:146" x14ac:dyDescent="0.25">
      <c r="CB339" s="350"/>
      <c r="CC339" s="350"/>
      <c r="CD339" s="350"/>
      <c r="CE339" s="350"/>
      <c r="CF339" s="350"/>
      <c r="CG339" s="350"/>
      <c r="CR339" s="350"/>
      <c r="CS339" s="300"/>
      <c r="CT339" s="522" t="str">
        <f t="shared" si="343"/>
        <v/>
      </c>
      <c r="CU339" s="371" t="str">
        <f ca="1">IF(OR(CT339="",DA339="",CT339=DA339,ISNA(VLOOKUP(CONCATENATE(CT339,DA339),games.a,2,FALSE))),"",CONCATENATE(CT339,DA339))</f>
        <v/>
      </c>
      <c r="CV339" s="371" t="str">
        <f ca="1">IF(CU339="","",CONCATENATE(VLOOKUP(CU339,games.a,9,FALSE),VLOOKUP(CU339,games.a,12,FALSE)))</f>
        <v/>
      </c>
      <c r="CW339" s="369" t="str">
        <f ca="1">IF(CU339="","",VLOOKUP(CU339,games.a,10,FALSE))</f>
        <v/>
      </c>
      <c r="CX339" s="369" t="str">
        <f ca="1">IF(CU339="","",VLOOKUP(CU339,games.a,13,FALSE))</f>
        <v/>
      </c>
      <c r="CY339" s="423" t="str">
        <f ca="1">IF(CU339="","",VLOOKUP(CU339,games.a,6,FALSE))</f>
        <v/>
      </c>
      <c r="CZ339" s="409" t="str">
        <f ca="1">IF(CU339="","",VLOOKUP(CU339,games.a,7,FALSE))</f>
        <v/>
      </c>
      <c r="DA339" s="523" t="str">
        <f t="shared" ca="1" si="344"/>
        <v/>
      </c>
      <c r="DB339" s="302"/>
      <c r="DC339" s="364"/>
      <c r="DD339" s="302"/>
      <c r="DF339" s="424"/>
      <c r="DW339" s="424"/>
      <c r="DX339" s="424"/>
      <c r="DY339" s="424"/>
      <c r="DZ339" s="424"/>
      <c r="EA339" s="424"/>
      <c r="EB339" s="424"/>
      <c r="EC339" s="398"/>
      <c r="ED339" s="329" t="s">
        <v>157</v>
      </c>
      <c r="EE339" s="329" t="s">
        <v>158</v>
      </c>
      <c r="EF339" s="399"/>
      <c r="EG339" s="400"/>
      <c r="EH339" s="401" t="s">
        <v>160</v>
      </c>
      <c r="EI339" s="402" t="s">
        <v>135</v>
      </c>
      <c r="EJ339" s="398"/>
      <c r="EK339" s="365"/>
      <c r="EL339" s="365"/>
      <c r="EM339" s="424"/>
      <c r="EN339" s="424"/>
      <c r="EO339" s="425"/>
      <c r="EP339" s="333"/>
    </row>
    <row r="340" spans="80:146" x14ac:dyDescent="0.25">
      <c r="CB340" s="350"/>
      <c r="CC340" s="350"/>
      <c r="CD340" s="350"/>
      <c r="CE340" s="350"/>
      <c r="CF340" s="350"/>
      <c r="CG340" s="350"/>
      <c r="CR340" s="350"/>
      <c r="CS340" s="300"/>
      <c r="CT340" s="301"/>
      <c r="CU340" s="458" t="s">
        <v>157</v>
      </c>
      <c r="CV340" s="458" t="s">
        <v>158</v>
      </c>
      <c r="CW340" s="459" t="s">
        <v>159</v>
      </c>
      <c r="CX340" s="459"/>
      <c r="CY340" s="460" t="s">
        <v>160</v>
      </c>
      <c r="CZ340" s="459" t="s">
        <v>135</v>
      </c>
      <c r="DA340" s="302"/>
      <c r="DB340" s="302"/>
      <c r="DC340" s="364"/>
      <c r="DD340" s="302"/>
      <c r="DF340" s="424"/>
      <c r="DW340" s="424"/>
      <c r="DX340" s="424"/>
      <c r="DY340" s="424"/>
      <c r="DZ340" s="424"/>
      <c r="EA340" s="424"/>
      <c r="EB340" s="424"/>
      <c r="EC340" s="404" t="str">
        <f t="shared" ref="EC340:EC345" ca="1" si="346">EC333</f>
        <v/>
      </c>
      <c r="ED340" s="371" t="str">
        <f ca="1">IF(OR(EC340="",EJ340="",EC340=EJ340,ISNA(VLOOKUP(CONCATENATE(EC340,EJ340),games.r,2,FALSE))),"",CONCATENATE(EC340,EJ340))</f>
        <v/>
      </c>
      <c r="EE340" s="405" t="str">
        <f ca="1">IF(OR(ED340="",EJ325&gt;2),"",CONCATENATE(VLOOKUP(ED340,games.r,9,FALSE),VLOOKUP(ED340,games.r,12,FALSE)))</f>
        <v/>
      </c>
      <c r="EF340" s="406"/>
      <c r="EG340" s="407"/>
      <c r="EH340" s="408" t="str">
        <f ca="1">IF(ED340="","",VLOOKUP(ED340,games.r,6,FALSE))</f>
        <v/>
      </c>
      <c r="EI340" s="409" t="str">
        <f ca="1">IF(ED340="","",VLOOKUP(ED340,games.r,7,FALSE))</f>
        <v/>
      </c>
      <c r="EJ340" s="410" t="str">
        <f ca="1">EC328</f>
        <v/>
      </c>
      <c r="EK340" s="411"/>
      <c r="EL340" s="412"/>
      <c r="EM340" s="424"/>
      <c r="EN340" s="424"/>
      <c r="EO340" s="425"/>
      <c r="EP340" s="333"/>
    </row>
    <row r="341" spans="80:146" x14ac:dyDescent="0.25">
      <c r="CB341" s="350"/>
      <c r="CC341" s="350"/>
      <c r="CD341" s="350"/>
      <c r="CE341" s="350"/>
      <c r="CF341" s="350"/>
      <c r="CG341" s="350"/>
      <c r="CR341" s="350"/>
      <c r="CS341" s="300"/>
      <c r="CT341" s="395" t="str">
        <f ca="1">CT330</f>
        <v/>
      </c>
      <c r="CU341" s="465" t="str">
        <f ca="1">IF(OR(CT341="",DA341="",CT341=DA341,COUNTIF(games.rv,CT341&amp;DA341)=0),"",CONCATENATE(CT341,DA341))</f>
        <v/>
      </c>
      <c r="CV341" s="360" t="str">
        <f ca="1">IF(CU341="","",CONCATENATE(VLOOKUP(CU341,games.r,9,FALSE),VLOOKUP(CU341,games.r,12,FALSE)))</f>
        <v/>
      </c>
      <c r="CW341" s="354" t="str">
        <f ca="1">IF(CU341="","",VLOOKUP(CU341,games.r,10,FALSE))</f>
        <v/>
      </c>
      <c r="CX341" s="354" t="str">
        <f ca="1">IF(CU341="","",VLOOKUP(CU341,games.r,13,FALSE))</f>
        <v/>
      </c>
      <c r="CY341" s="361" t="str">
        <f ca="1">IF(CU341="","",VLOOKUP(CU341,games.r,6,FALSE))</f>
        <v/>
      </c>
      <c r="CZ341" s="362" t="str">
        <f ca="1">IF(CU341="","",VLOOKUP(CU341,games.r,7,FALSE))</f>
        <v/>
      </c>
      <c r="DA341" s="466" t="str">
        <f ca="1">CT321</f>
        <v/>
      </c>
      <c r="DB341" s="302"/>
      <c r="DC341" s="364"/>
      <c r="DD341" s="302"/>
      <c r="DF341" s="424"/>
      <c r="DW341" s="424"/>
      <c r="DX341" s="424"/>
      <c r="DY341" s="424"/>
      <c r="DZ341" s="424"/>
      <c r="EA341" s="424"/>
      <c r="EB341" s="424"/>
      <c r="EC341" s="404" t="str">
        <f t="shared" ca="1" si="346"/>
        <v/>
      </c>
      <c r="ED341" s="371" t="str">
        <f ca="1">IF(OR(EC341="",EJ341="",EC341=EJ341,ISNA(VLOOKUP(CONCATENATE(EC341,EJ341),games.r,2,FALSE))),"",CONCATENATE(EC341,EJ341))</f>
        <v/>
      </c>
      <c r="EE341" s="405" t="str">
        <f ca="1">IF(OR(ED341="",EJ325&gt;2),"",CONCATENATE(VLOOKUP(ED341,games.r,9,FALSE),VLOOKUP(ED341,games.r,12,FALSE)))</f>
        <v/>
      </c>
      <c r="EF341" s="413"/>
      <c r="EG341" s="414"/>
      <c r="EH341" s="408" t="str">
        <f ca="1">IF(ED341="","",VLOOKUP(ED341,games.r,6,FALSE))</f>
        <v/>
      </c>
      <c r="EI341" s="409" t="str">
        <f ca="1">IF(ED341="","",VLOOKUP(ED341,games.r,7,FALSE))</f>
        <v/>
      </c>
      <c r="EJ341" s="415" t="str">
        <f ca="1">EJ340</f>
        <v/>
      </c>
      <c r="EK341" s="416"/>
      <c r="EL341" s="417"/>
      <c r="EM341" s="424"/>
      <c r="EN341" s="424"/>
      <c r="EO341" s="425"/>
      <c r="EP341" s="333"/>
    </row>
    <row r="342" spans="80:146" x14ac:dyDescent="0.25">
      <c r="CB342" s="350"/>
      <c r="CC342" s="454" t="s">
        <v>212</v>
      </c>
      <c r="CD342" s="454" t="s">
        <v>418</v>
      </c>
      <c r="CE342" s="454" t="s">
        <v>419</v>
      </c>
      <c r="CF342" s="296"/>
      <c r="CG342" s="296"/>
      <c r="CI342" s="455" t="str">
        <f ca="1">IF(CH343=0,"xxx",VLOOKUP(CH343,CC343:CF352,IF(ASZTAB!$AJ$44,3,2),FALSE))</f>
        <v>xxx</v>
      </c>
      <c r="CJ342" s="456"/>
      <c r="CK342" s="457" t="s">
        <v>220</v>
      </c>
      <c r="CL342" s="455" t="str">
        <f ca="1">IF(CH344=0,"xxx",VLOOKUP(CH344,CC343:CF352,IF(ASZTAB!$AJ$44,3,2),FALSE))</f>
        <v>xxx</v>
      </c>
      <c r="CM342" s="456"/>
      <c r="CN342" s="457" t="s">
        <v>221</v>
      </c>
      <c r="CO342" s="455" t="str">
        <f ca="1">IF(CH345=0,"xxx",VLOOKUP(CH345,CC343:CF352,IF(ASZTAB!$AJ$44,3,2),FALSE))</f>
        <v>xxx</v>
      </c>
      <c r="CP342" s="456"/>
      <c r="CQ342" s="457" t="s">
        <v>222</v>
      </c>
      <c r="CR342" s="350"/>
      <c r="CS342" s="300"/>
      <c r="CT342" s="395" t="str">
        <f t="shared" ref="CT342:CT350" ca="1" si="347">CT331</f>
        <v/>
      </c>
      <c r="CU342" s="465" t="str">
        <f ca="1">IF(OR(CT342="",DA342="",CT342=DA342,COUNTIF(games.rv,CT342&amp;DA342)=0),"",CONCATENATE(CT342,DA342))</f>
        <v/>
      </c>
      <c r="CV342" s="360" t="str">
        <f ca="1">IF(CU342="","",CONCATENATE(VLOOKUP(CU342,games.r,9,FALSE),VLOOKUP(CU342,games.r,12,FALSE)))</f>
        <v/>
      </c>
      <c r="CW342" s="354" t="str">
        <f ca="1">IF(CU342="","",VLOOKUP(CU342,games.r,10,FALSE))</f>
        <v/>
      </c>
      <c r="CX342" s="354" t="str">
        <f ca="1">IF(CU342="","",VLOOKUP(CU342,games.r,13,FALSE))</f>
        <v/>
      </c>
      <c r="CY342" s="361" t="str">
        <f ca="1">IF(CU342="","",VLOOKUP(CU342,games.r,6,FALSE))</f>
        <v/>
      </c>
      <c r="CZ342" s="362" t="str">
        <f ca="1">IF(CU342="","",VLOOKUP(CU342,games.r,7,FALSE))</f>
        <v/>
      </c>
      <c r="DA342" s="379" t="str">
        <f ca="1">DA341</f>
        <v/>
      </c>
      <c r="DB342" s="302"/>
      <c r="DC342" s="364"/>
      <c r="DD342" s="302"/>
      <c r="DF342" s="424"/>
      <c r="DW342" s="424"/>
      <c r="DX342" s="424"/>
      <c r="DY342" s="424"/>
      <c r="DZ342" s="424"/>
      <c r="EA342" s="424"/>
      <c r="EB342" s="424"/>
      <c r="EC342" s="404" t="str">
        <f t="shared" ca="1" si="346"/>
        <v/>
      </c>
      <c r="ED342" s="371" t="str">
        <f ca="1">IF(OR(EC342="",EJ342="",EC342=EJ342,ISNA(VLOOKUP(CONCATENATE(EC342,EJ342),games.r,2,FALSE))),"",CONCATENATE(EC342,EJ342))</f>
        <v/>
      </c>
      <c r="EE342" s="405" t="str">
        <f ca="1">IF(OR(ED342="",EJ325&gt;2),"",CONCATENATE(VLOOKUP(ED342,games.r,9,FALSE),VLOOKUP(ED342,games.r,12,FALSE)))</f>
        <v/>
      </c>
      <c r="EF342" s="413"/>
      <c r="EG342" s="414"/>
      <c r="EH342" s="408" t="str">
        <f ca="1">IF(ED342="","",VLOOKUP(ED342,games.r,6,FALSE))</f>
        <v/>
      </c>
      <c r="EI342" s="409" t="str">
        <f ca="1">IF(ED342="","",VLOOKUP(ED342,games.r,7,FALSE))</f>
        <v/>
      </c>
      <c r="EJ342" s="415" t="str">
        <f ca="1">EJ341</f>
        <v/>
      </c>
      <c r="EK342" s="416"/>
      <c r="EL342" s="417"/>
      <c r="EM342" s="424"/>
      <c r="EN342" s="424"/>
      <c r="EO342" s="425"/>
      <c r="EP342" s="333"/>
    </row>
    <row r="343" spans="80:146" x14ac:dyDescent="0.25">
      <c r="CB343" s="350"/>
      <c r="CC343" s="461">
        <f ca="1">IF(ASZTAB!$AJ$44,COUNTIF($BI$66:$BI$75,CE343)*IF(CE343=0,0,1),COUNTIF($BG$66:$BG$75,CD343)*IF(CD343=0,0,1))+CF343/1000</f>
        <v>1.0009999999999999</v>
      </c>
      <c r="CD343" s="352">
        <f ca="1">LARGE($BG$66:$BG$75,CF343)</f>
        <v>16</v>
      </c>
      <c r="CE343" s="353">
        <f ca="1">LARGE($BI$66:$BI$75,CF343)</f>
        <v>0.6</v>
      </c>
      <c r="CF343" s="354">
        <v>1</v>
      </c>
      <c r="CG343" s="350"/>
      <c r="CH343" s="462">
        <f ca="1">IF(LARGE(CC343:CC352,CF343)&lt;2,0,LARGE(CC343:CC352,CF343))</f>
        <v>0</v>
      </c>
      <c r="CI343" s="356" t="str">
        <f ca="1">IF(OR(CI$342=$BG66,CI$342=$BI66),$AW66,"")</f>
        <v/>
      </c>
      <c r="CJ343" s="357" t="str">
        <f t="shared" ref="CJ343:CJ352" ca="1" si="348">IF(CI343="","",CF343)</f>
        <v/>
      </c>
      <c r="CK343" s="463" t="str">
        <f ca="1">IF(ISERR(LARGE(CJ343:CJ352,CF343)),"",LARGE(CJ343:CJ352,CF343))</f>
        <v/>
      </c>
      <c r="CL343" s="356" t="str">
        <f ca="1">IF(OR(CL$342=$BG66,CL$342=$BI66),$AW66,"")</f>
        <v/>
      </c>
      <c r="CM343" s="357" t="str">
        <f t="shared" ref="CM343:CM352" ca="1" si="349">IF(CL343="","",CF343)</f>
        <v/>
      </c>
      <c r="CN343" s="463" t="str">
        <f ca="1">IF(ISERR(LARGE(CM343:CM352,CF343)),"",LARGE(CM343:CM352,CF343))</f>
        <v/>
      </c>
      <c r="CO343" s="356" t="str">
        <f ca="1">IF(OR(CO$342=$BG66,CO$342=$BI66),$AW66,"")</f>
        <v/>
      </c>
      <c r="CP343" s="357" t="str">
        <f t="shared" ref="CP343:CP352" ca="1" si="350">IF(CO343="","",CF343)</f>
        <v/>
      </c>
      <c r="CQ343" s="463" t="str">
        <f ca="1">IF(ISERR(LARGE(CP343:CP352,CF343)),"",LARGE(CP343:CP352,CF343))</f>
        <v/>
      </c>
      <c r="CR343" s="350"/>
      <c r="CS343" s="300"/>
      <c r="CT343" s="395" t="str">
        <f t="shared" ca="1" si="347"/>
        <v/>
      </c>
      <c r="CU343" s="465" t="str">
        <f ca="1">IF(OR(CT343="",DA343="",CT343=DA343,COUNTIF(games.rv,CT343&amp;DA343)=0),"",CONCATENATE(CT343,DA343))</f>
        <v/>
      </c>
      <c r="CV343" s="360" t="str">
        <f ca="1">IF(CU343="","",CONCATENATE(VLOOKUP(CU343,games.r,9,FALSE),VLOOKUP(CU343,games.r,12,FALSE)))</f>
        <v/>
      </c>
      <c r="CW343" s="354" t="str">
        <f ca="1">IF(CU343="","",VLOOKUP(CU343,games.r,10,FALSE))</f>
        <v/>
      </c>
      <c r="CX343" s="354" t="str">
        <f ca="1">IF(CU343="","",VLOOKUP(CU343,games.r,13,FALSE))</f>
        <v/>
      </c>
      <c r="CY343" s="361" t="str">
        <f ca="1">IF(CU343="","",VLOOKUP(CU343,games.r,6,FALSE))</f>
        <v/>
      </c>
      <c r="CZ343" s="362" t="str">
        <f ca="1">IF(CU343="","",VLOOKUP(CU343,games.r,7,FALSE))</f>
        <v/>
      </c>
      <c r="DA343" s="379" t="str">
        <f t="shared" ref="DA343:DA350" ca="1" si="351">DA342</f>
        <v/>
      </c>
      <c r="DB343" s="302"/>
      <c r="DC343" s="364"/>
      <c r="DD343" s="302"/>
      <c r="DF343" s="424"/>
      <c r="DW343" s="424"/>
      <c r="DX343" s="424"/>
      <c r="DY343" s="424"/>
      <c r="DZ343" s="424"/>
      <c r="EA343" s="424"/>
      <c r="EB343" s="424"/>
      <c r="EC343" s="404" t="str">
        <f t="shared" si="346"/>
        <v/>
      </c>
      <c r="ED343" s="360" t="str">
        <f ca="1">IF(OR(EC343="",EJ343="",EC343=EJ343,ISNA(VLOOKUP(CONCATENATE(EC343,EJ343),games.a,2,FALSE))),"",CONCATENATE(EC343,EJ343))</f>
        <v/>
      </c>
      <c r="EE343" s="524" t="str">
        <f ca="1">IF(OR(ED343="",EJ325&gt;2),"",CONCATENATE(VLOOKUP(ED343,games.a,9,FALSE),VLOOKUP(ED343,games.a,12,FALSE)))</f>
        <v/>
      </c>
      <c r="EF343" s="413"/>
      <c r="EG343" s="414"/>
      <c r="EH343" s="525" t="str">
        <f ca="1">IF(ED343="","",VLOOKUP(ED343,games.a,6,FALSE))</f>
        <v/>
      </c>
      <c r="EI343" s="362" t="str">
        <f ca="1">IF(ED343="","",VLOOKUP(ED343,games.a,7,FALSE))</f>
        <v/>
      </c>
      <c r="EJ343" s="526" t="str">
        <f ca="1">EJ342</f>
        <v/>
      </c>
      <c r="EK343" s="527"/>
      <c r="EL343" s="528"/>
      <c r="EM343" s="424"/>
      <c r="EN343" s="424"/>
      <c r="EO343" s="425"/>
      <c r="EP343" s="333"/>
    </row>
    <row r="344" spans="80:146" x14ac:dyDescent="0.25">
      <c r="CB344" s="350"/>
      <c r="CC344" s="353">
        <f ca="1">IF(ASZTAB!$AJ$44,COUNTIF($BI$66:$BI$75,CE344)*IF(OR(CE344=CE343,CE344=0),0,1),COUNTIF($BG$66:$BG$75,CD344)*IF(OR(CD344=CD343,CD344=0),0,1))+CF344/1000</f>
        <v>1.002</v>
      </c>
      <c r="CD344" s="352">
        <f t="shared" ref="CD344:CD352" ca="1" si="352">LARGE($BG$66:$BG$75,CF344)</f>
        <v>11</v>
      </c>
      <c r="CE344" s="353">
        <f t="shared" ref="CE344:CE352" ca="1" si="353">LARGE($BI$66:$BI$75,CF344)</f>
        <v>0.45</v>
      </c>
      <c r="CF344" s="354">
        <v>2</v>
      </c>
      <c r="CG344" s="350"/>
      <c r="CH344" s="462">
        <f ca="1">IF(LARGE(CC343:CC352,CF344)&lt;2,0,LARGE(CC343:CC352,CF344))</f>
        <v>0</v>
      </c>
      <c r="CI344" s="356" t="str">
        <f t="shared" ref="CI344:CI352" ca="1" si="354">IF(OR(CI$342=$BG67,CI$342=$BI67),$AW67,"")</f>
        <v/>
      </c>
      <c r="CJ344" s="357" t="str">
        <f t="shared" ca="1" si="348"/>
        <v/>
      </c>
      <c r="CK344" s="463" t="str">
        <f ca="1">IF(ISERR(LARGE(CJ343:CJ352,CF344)),"",LARGE(CJ343:CJ352,CF344))</f>
        <v/>
      </c>
      <c r="CL344" s="356" t="str">
        <f t="shared" ref="CL344:CL352" ca="1" si="355">IF(OR(CL$342=$BG67,CL$342=$BI67),$AW67,"")</f>
        <v/>
      </c>
      <c r="CM344" s="357" t="str">
        <f t="shared" ca="1" si="349"/>
        <v/>
      </c>
      <c r="CN344" s="463" t="str">
        <f ca="1">IF(ISERR(LARGE(CM343:CM352,CF344)),"",LARGE(CM343:CM352,CF344))</f>
        <v/>
      </c>
      <c r="CO344" s="356" t="str">
        <f t="shared" ref="CO344:CO352" ca="1" si="356">IF(OR(CO$342=$BG67,CO$342=$BI67),$AW67,"")</f>
        <v/>
      </c>
      <c r="CP344" s="357" t="str">
        <f t="shared" ca="1" si="350"/>
        <v/>
      </c>
      <c r="CQ344" s="463" t="str">
        <f ca="1">IF(ISERR(LARGE(CP343:CP352,CF344)),"",LARGE(CP343:CP352,CF344))</f>
        <v/>
      </c>
      <c r="CR344" s="350"/>
      <c r="CS344" s="300"/>
      <c r="CT344" s="395" t="str">
        <f t="shared" ca="1" si="347"/>
        <v/>
      </c>
      <c r="CU344" s="465" t="str">
        <f ca="1">IF(OR(CT344="",DA344="",CT344=DA344,COUNTIF(games.rv,CT344&amp;DA344)=0),"",CONCATENATE(CT344,DA344))</f>
        <v/>
      </c>
      <c r="CV344" s="360" t="str">
        <f ca="1">IF(CU344="","",CONCATENATE(VLOOKUP(CU344,games.r,9,FALSE),VLOOKUP(CU344,games.r,12,FALSE)))</f>
        <v/>
      </c>
      <c r="CW344" s="354" t="str">
        <f ca="1">IF(CU344="","",VLOOKUP(CU344,games.r,10,FALSE))</f>
        <v/>
      </c>
      <c r="CX344" s="354" t="str">
        <f ca="1">IF(CU344="","",VLOOKUP(CU344,games.r,13,FALSE))</f>
        <v/>
      </c>
      <c r="CY344" s="361" t="str">
        <f ca="1">IF(CU344="","",VLOOKUP(CU344,games.r,6,FALSE))</f>
        <v/>
      </c>
      <c r="CZ344" s="362" t="str">
        <f ca="1">IF(CU344="","",VLOOKUP(CU344,games.r,7,FALSE))</f>
        <v/>
      </c>
      <c r="DA344" s="379" t="str">
        <f t="shared" ca="1" si="351"/>
        <v/>
      </c>
      <c r="DB344" s="302"/>
      <c r="DC344" s="364"/>
      <c r="DD344" s="302"/>
      <c r="DF344" s="424"/>
      <c r="DW344" s="424"/>
      <c r="DX344" s="424"/>
      <c r="DY344" s="424"/>
      <c r="DZ344" s="424"/>
      <c r="EA344" s="424"/>
      <c r="EB344" s="424"/>
      <c r="EC344" s="404" t="str">
        <f t="shared" si="346"/>
        <v/>
      </c>
      <c r="ED344" s="360" t="str">
        <f ca="1">IF(OR(EC344="",EJ344="",EC344=EJ344,ISNA(VLOOKUP(CONCATENATE(EC344,EJ344),games.a,2,FALSE))),"",CONCATENATE(EC344,EJ344))</f>
        <v/>
      </c>
      <c r="EE344" s="524" t="str">
        <f ca="1">IF(OR(ED344="",EJ325&gt;2),"",CONCATENATE(VLOOKUP(ED344,games.a,9,FALSE),VLOOKUP(ED344,games.a,12,FALSE)))</f>
        <v/>
      </c>
      <c r="EF344" s="413"/>
      <c r="EG344" s="414"/>
      <c r="EH344" s="525" t="str">
        <f ca="1">IF(ED344="","",VLOOKUP(ED344,games.a,6,FALSE))</f>
        <v/>
      </c>
      <c r="EI344" s="362" t="str">
        <f ca="1">IF(ED344="","",VLOOKUP(ED344,games.a,7,FALSE))</f>
        <v/>
      </c>
      <c r="EJ344" s="526" t="str">
        <f ca="1">EJ343</f>
        <v/>
      </c>
      <c r="EK344" s="527"/>
      <c r="EL344" s="528"/>
      <c r="EM344" s="424"/>
      <c r="EN344" s="424"/>
      <c r="EO344" s="425"/>
      <c r="EP344" s="333"/>
    </row>
    <row r="345" spans="80:146" x14ac:dyDescent="0.25">
      <c r="CB345" s="350"/>
      <c r="CC345" s="353">
        <f ca="1">IF(ASZTAB!$AJ$44,COUNTIF($BI$66:$BI$75,CE345)*IF(OR(CE345=CE344,CE345=0),0,1),COUNTIF($BG$66:$BG$75,CD345)*IF(OR(CD345=CD344,CD345=0),0,1))+CF345/1000</f>
        <v>1.0029999999999999</v>
      </c>
      <c r="CD345" s="352">
        <f t="shared" ca="1" si="352"/>
        <v>7</v>
      </c>
      <c r="CE345" s="353">
        <f t="shared" ca="1" si="353"/>
        <v>0.35</v>
      </c>
      <c r="CF345" s="354">
        <v>3</v>
      </c>
      <c r="CG345" s="350"/>
      <c r="CH345" s="462">
        <f ca="1">IF(LARGE(CC343:CC352,CF345)&lt;2,0,LARGE(CC343:CC352,CF345))</f>
        <v>0</v>
      </c>
      <c r="CI345" s="356" t="str">
        <f t="shared" ca="1" si="354"/>
        <v/>
      </c>
      <c r="CJ345" s="357" t="str">
        <f t="shared" ca="1" si="348"/>
        <v/>
      </c>
      <c r="CK345" s="463" t="str">
        <f ca="1">IF(ISERR(LARGE(CJ343:CJ352,CF345)),"",LARGE(CJ343:CJ352,CF345))</f>
        <v/>
      </c>
      <c r="CL345" s="356" t="str">
        <f t="shared" ca="1" si="355"/>
        <v/>
      </c>
      <c r="CM345" s="357" t="str">
        <f t="shared" ca="1" si="349"/>
        <v/>
      </c>
      <c r="CN345" s="463" t="str">
        <f ca="1">IF(ISERR(LARGE(CM343:CM352,CF345)),"",LARGE(CM343:CM352,CF345))</f>
        <v/>
      </c>
      <c r="CO345" s="356" t="str">
        <f t="shared" ca="1" si="356"/>
        <v/>
      </c>
      <c r="CP345" s="357" t="str">
        <f t="shared" ca="1" si="350"/>
        <v/>
      </c>
      <c r="CQ345" s="380"/>
      <c r="CR345" s="350"/>
      <c r="CS345" s="300"/>
      <c r="CT345" s="395" t="str">
        <f t="shared" ca="1" si="347"/>
        <v/>
      </c>
      <c r="CU345" s="465" t="str">
        <f ca="1">IF(OR(CT345="",DA345="",CT345=DA345,COUNTIF(games.rv,CT345&amp;DA345)=0),"",CONCATENATE(CT345,DA345))</f>
        <v/>
      </c>
      <c r="CV345" s="360" t="str">
        <f ca="1">IF(CU345="","",CONCATENATE(VLOOKUP(CU345,games.r,9,FALSE),VLOOKUP(CU345,games.r,12,FALSE)))</f>
        <v/>
      </c>
      <c r="CW345" s="354" t="str">
        <f ca="1">IF(CU345="","",VLOOKUP(CU345,games.r,10,FALSE))</f>
        <v/>
      </c>
      <c r="CX345" s="354" t="str">
        <f ca="1">IF(CU345="","",VLOOKUP(CU345,games.r,13,FALSE))</f>
        <v/>
      </c>
      <c r="CY345" s="361" t="str">
        <f ca="1">IF(CU345="","",VLOOKUP(CU345,games.r,6,FALSE))</f>
        <v/>
      </c>
      <c r="CZ345" s="362" t="str">
        <f ca="1">IF(CU345="","",VLOOKUP(CU345,games.r,7,FALSE))</f>
        <v/>
      </c>
      <c r="DA345" s="379" t="str">
        <f t="shared" ca="1" si="351"/>
        <v/>
      </c>
      <c r="DB345" s="302"/>
      <c r="DC345" s="364"/>
      <c r="DD345" s="302"/>
      <c r="DF345" s="424"/>
      <c r="DW345" s="424"/>
      <c r="DX345" s="424"/>
      <c r="DY345" s="424"/>
      <c r="DZ345" s="424"/>
      <c r="EA345" s="424"/>
      <c r="EC345" s="404" t="str">
        <f t="shared" si="346"/>
        <v/>
      </c>
      <c r="ED345" s="360" t="str">
        <f ca="1">IF(OR(EC345="",EJ345="",EC345=EJ345,ISNA(VLOOKUP(CONCATENATE(EC345,EJ345),games.a,2,FALSE))),"",CONCATENATE(EC345,EJ345))</f>
        <v/>
      </c>
      <c r="EE345" s="524" t="str">
        <f ca="1">IF(OR(ED345="",EJ325&gt;2),"",CONCATENATE(VLOOKUP(ED345,games.a,9,FALSE),VLOOKUP(ED345,games.a,12,FALSE)))</f>
        <v/>
      </c>
      <c r="EF345" s="413"/>
      <c r="EG345" s="414"/>
      <c r="EH345" s="525" t="str">
        <f ca="1">IF(ED345="","",VLOOKUP(ED345,games.a,6,FALSE))</f>
        <v/>
      </c>
      <c r="EI345" s="362" t="str">
        <f ca="1">IF(ED345="","",VLOOKUP(ED345,games.a,7,FALSE))</f>
        <v/>
      </c>
      <c r="EJ345" s="526" t="str">
        <f ca="1">EJ344</f>
        <v/>
      </c>
      <c r="EK345" s="527"/>
      <c r="EL345" s="528"/>
      <c r="EM345" s="424"/>
      <c r="EN345" s="424"/>
      <c r="EO345" s="425"/>
      <c r="EP345" s="333"/>
    </row>
    <row r="346" spans="80:146" x14ac:dyDescent="0.25">
      <c r="CB346" s="350"/>
      <c r="CC346" s="353">
        <f ca="1">IF(ASZTAB!$AJ$44,COUNTIF($BI$66:$BI$75,CE346)*IF(OR(CE346=CE345,CE346=0),0,1),COUNTIF($BG$66:$BG$75,CD346)*IF(OR(CD346=CD345,CD346=0),0,1))+CF346/1000</f>
        <v>1.004</v>
      </c>
      <c r="CD346" s="352">
        <f t="shared" ca="1" si="352"/>
        <v>4</v>
      </c>
      <c r="CE346" s="353">
        <f t="shared" ca="1" si="353"/>
        <v>0.2</v>
      </c>
      <c r="CF346" s="354">
        <v>4</v>
      </c>
      <c r="CG346" s="350"/>
      <c r="CH346" s="300"/>
      <c r="CI346" s="356" t="str">
        <f t="shared" ca="1" si="354"/>
        <v/>
      </c>
      <c r="CJ346" s="357" t="str">
        <f t="shared" ca="1" si="348"/>
        <v/>
      </c>
      <c r="CK346" s="463" t="str">
        <f ca="1">IF(ISERR(LARGE(CJ343:CJ352,CF346)),"",LARGE(CJ343:CJ352,CF346))</f>
        <v/>
      </c>
      <c r="CL346" s="356" t="str">
        <f t="shared" ca="1" si="355"/>
        <v/>
      </c>
      <c r="CM346" s="357" t="str">
        <f t="shared" ca="1" si="349"/>
        <v/>
      </c>
      <c r="CN346" s="380"/>
      <c r="CO346" s="356" t="str">
        <f t="shared" ca="1" si="356"/>
        <v/>
      </c>
      <c r="CP346" s="357" t="str">
        <f t="shared" ca="1" si="350"/>
        <v/>
      </c>
      <c r="CQ346" s="385"/>
      <c r="CR346" s="350"/>
      <c r="CS346" s="300"/>
      <c r="CT346" s="522" t="str">
        <f t="shared" si="347"/>
        <v/>
      </c>
      <c r="CU346" s="371" t="str">
        <f ca="1">IF(OR(CT346="",DA346="",CT346=DA346,ISNA(VLOOKUP(CONCATENATE(CT346,DA346),games.a,2,FALSE))),"",CONCATENATE(CT346,DA346))</f>
        <v/>
      </c>
      <c r="CV346" s="371" t="str">
        <f ca="1">IF(CU346="","",CONCATENATE(VLOOKUP(CU346,games.a,9,FALSE),VLOOKUP(CU346,games.a,12,FALSE)))</f>
        <v/>
      </c>
      <c r="CW346" s="369" t="str">
        <f ca="1">IF(CU346="","",VLOOKUP(CU346,games.a,10,FALSE))</f>
        <v/>
      </c>
      <c r="CX346" s="369" t="str">
        <f ca="1">IF(CU346="","",VLOOKUP(CU346,games.a,13,FALSE))</f>
        <v/>
      </c>
      <c r="CY346" s="423" t="str">
        <f ca="1">IF(CU346="","",VLOOKUP(CU346,games.a,6,FALSE))</f>
        <v/>
      </c>
      <c r="CZ346" s="409" t="str">
        <f ca="1">IF(CU346="","",VLOOKUP(CU346,games.a,7,FALSE))</f>
        <v/>
      </c>
      <c r="DA346" s="523" t="str">
        <f t="shared" ca="1" si="351"/>
        <v/>
      </c>
      <c r="DB346" s="302"/>
      <c r="DC346" s="364"/>
      <c r="DD346" s="302"/>
      <c r="DF346" s="424"/>
      <c r="DW346" s="424"/>
      <c r="DX346" s="424"/>
      <c r="DY346" s="424"/>
      <c r="DZ346" s="424"/>
      <c r="EA346" s="424"/>
      <c r="EB346" s="424"/>
      <c r="EC346" s="424"/>
      <c r="ED346" s="424"/>
      <c r="EE346" s="424"/>
      <c r="EF346" s="424"/>
      <c r="EG346" s="424"/>
      <c r="EH346" s="424"/>
      <c r="EI346" s="424"/>
      <c r="EJ346" s="424"/>
      <c r="EK346" s="424"/>
      <c r="EL346" s="424"/>
      <c r="EM346" s="424"/>
      <c r="EN346" s="424"/>
      <c r="EO346" s="424"/>
      <c r="EP346" s="333"/>
    </row>
    <row r="347" spans="80:146" x14ac:dyDescent="0.25">
      <c r="CB347" s="350"/>
      <c r="CC347" s="353">
        <f ca="1">IF(ASZTAB!$AJ$44,COUNTIF($BI$66:$BI$75,CE347)*IF(OR(CE347=CE346,CE347=0),0,1),COUNTIF($BG$66:$BG$75,CD347)*IF(OR(CD347=CD346,CD347=0),0,1))+CF347/1000</f>
        <v>1.0049999999999999</v>
      </c>
      <c r="CD347" s="352">
        <f t="shared" ca="1" si="352"/>
        <v>3</v>
      </c>
      <c r="CE347" s="353">
        <f t="shared" ca="1" si="353"/>
        <v>0.05</v>
      </c>
      <c r="CF347" s="354">
        <v>5</v>
      </c>
      <c r="CG347" s="350"/>
      <c r="CH347" s="300"/>
      <c r="CI347" s="356" t="str">
        <f t="shared" ca="1" si="354"/>
        <v/>
      </c>
      <c r="CJ347" s="357" t="str">
        <f t="shared" ca="1" si="348"/>
        <v/>
      </c>
      <c r="CK347" s="463" t="str">
        <f ca="1">IF(ISERR(LARGE(CJ343:CJ352,CF347)),"",LARGE(CJ343:CJ352,CF347))</f>
        <v/>
      </c>
      <c r="CL347" s="356" t="str">
        <f t="shared" ca="1" si="355"/>
        <v/>
      </c>
      <c r="CM347" s="357" t="str">
        <f t="shared" ca="1" si="349"/>
        <v/>
      </c>
      <c r="CN347" s="385"/>
      <c r="CO347" s="356" t="str">
        <f t="shared" ca="1" si="356"/>
        <v/>
      </c>
      <c r="CP347" s="357" t="str">
        <f t="shared" ca="1" si="350"/>
        <v/>
      </c>
      <c r="CQ347" s="385"/>
      <c r="CR347" s="350"/>
      <c r="CS347" s="300"/>
      <c r="CT347" s="522" t="str">
        <f t="shared" si="347"/>
        <v/>
      </c>
      <c r="CU347" s="371" t="str">
        <f ca="1">IF(OR(CT347="",DA347="",CT347=DA347,ISNA(VLOOKUP(CONCATENATE(CT347,DA347),games.a,2,FALSE))),"",CONCATENATE(CT347,DA347))</f>
        <v/>
      </c>
      <c r="CV347" s="371" t="str">
        <f ca="1">IF(CU347="","",CONCATENATE(VLOOKUP(CU347,games.a,9,FALSE),VLOOKUP(CU347,games.a,12,FALSE)))</f>
        <v/>
      </c>
      <c r="CW347" s="369" t="str">
        <f ca="1">IF(CU347="","",VLOOKUP(CU347,games.a,10,FALSE))</f>
        <v/>
      </c>
      <c r="CX347" s="369" t="str">
        <f ca="1">IF(CU347="","",VLOOKUP(CU347,games.a,13,FALSE))</f>
        <v/>
      </c>
      <c r="CY347" s="423" t="str">
        <f ca="1">IF(CU347="","",VLOOKUP(CU347,games.a,6,FALSE))</f>
        <v/>
      </c>
      <c r="CZ347" s="409" t="str">
        <f ca="1">IF(CU347="","",VLOOKUP(CU347,games.a,7,FALSE))</f>
        <v/>
      </c>
      <c r="DA347" s="523" t="str">
        <f t="shared" ca="1" si="351"/>
        <v/>
      </c>
      <c r="DB347" s="302"/>
      <c r="DC347" s="364"/>
      <c r="DD347" s="302"/>
      <c r="DF347" s="424"/>
      <c r="DG347" s="424"/>
      <c r="DH347" s="424"/>
      <c r="DI347" s="424"/>
      <c r="DJ347" s="424"/>
      <c r="DK347" s="424"/>
      <c r="DL347" s="424"/>
      <c r="DM347" s="424"/>
      <c r="DN347" s="424"/>
      <c r="DO347" s="424"/>
      <c r="DP347" s="424"/>
      <c r="DQ347" s="424"/>
      <c r="DR347" s="424"/>
      <c r="DS347" s="424"/>
      <c r="DT347" s="424"/>
      <c r="DU347" s="424"/>
      <c r="DV347" s="424"/>
      <c r="DW347" s="424"/>
      <c r="DX347" s="424"/>
      <c r="DY347" s="424"/>
      <c r="DZ347" s="424"/>
      <c r="EA347" s="424"/>
      <c r="EB347" s="424"/>
      <c r="EC347" s="424"/>
      <c r="ED347" s="424"/>
      <c r="EE347" s="424"/>
      <c r="EF347" s="424"/>
      <c r="EG347" s="424"/>
      <c r="EH347" s="424"/>
      <c r="EI347" s="424"/>
      <c r="EJ347" s="424"/>
      <c r="EK347" s="424"/>
      <c r="EL347" s="424"/>
      <c r="EM347" s="424"/>
      <c r="EN347" s="424"/>
      <c r="EO347" s="424"/>
      <c r="EP347" s="333"/>
    </row>
    <row r="348" spans="80:146" x14ac:dyDescent="0.25">
      <c r="CB348" s="350"/>
      <c r="CC348" s="353">
        <f ca="1">IF(ASZTAB!$AJ$44,COUNTIF($BI$66:$BI$75,CE348)*IF(OR(CE348=CE347,CE348=0),0,1),COUNTIF($BG$66:$BG$75,CD348)*IF(OR(CD348=CD347,CD348=0),0,1))+CF348/1000</f>
        <v>6.0000000000000001E-3</v>
      </c>
      <c r="CD348" s="352">
        <f t="shared" ca="1" si="352"/>
        <v>0</v>
      </c>
      <c r="CE348" s="353">
        <f t="shared" ca="1" si="353"/>
        <v>0</v>
      </c>
      <c r="CF348" s="354">
        <v>6</v>
      </c>
      <c r="CG348" s="350"/>
      <c r="CH348" s="300"/>
      <c r="CI348" s="356" t="str">
        <f t="shared" ca="1" si="354"/>
        <v/>
      </c>
      <c r="CJ348" s="357" t="str">
        <f t="shared" ca="1" si="348"/>
        <v/>
      </c>
      <c r="CK348" s="380"/>
      <c r="CL348" s="356" t="str">
        <f t="shared" ca="1" si="355"/>
        <v/>
      </c>
      <c r="CM348" s="357" t="str">
        <f t="shared" ca="1" si="349"/>
        <v/>
      </c>
      <c r="CN348" s="385"/>
      <c r="CO348" s="356" t="str">
        <f t="shared" ca="1" si="356"/>
        <v/>
      </c>
      <c r="CP348" s="357" t="str">
        <f t="shared" ca="1" si="350"/>
        <v/>
      </c>
      <c r="CQ348" s="385"/>
      <c r="CR348" s="350"/>
      <c r="CS348" s="300"/>
      <c r="CT348" s="522" t="str">
        <f t="shared" si="347"/>
        <v/>
      </c>
      <c r="CU348" s="371" t="str">
        <f ca="1">IF(OR(CT348="",DA348="",CT348=DA348,ISNA(VLOOKUP(CONCATENATE(CT348,DA348),games.a,2,FALSE))),"",CONCATENATE(CT348,DA348))</f>
        <v/>
      </c>
      <c r="CV348" s="371" t="str">
        <f ca="1">IF(CU348="","",CONCATENATE(VLOOKUP(CU348,games.a,9,FALSE),VLOOKUP(CU348,games.a,12,FALSE)))</f>
        <v/>
      </c>
      <c r="CW348" s="369" t="str">
        <f ca="1">IF(CU348="","",VLOOKUP(CU348,games.a,10,FALSE))</f>
        <v/>
      </c>
      <c r="CX348" s="369" t="str">
        <f ca="1">IF(CU348="","",VLOOKUP(CU348,games.a,13,FALSE))</f>
        <v/>
      </c>
      <c r="CY348" s="423" t="str">
        <f ca="1">IF(CU348="","",VLOOKUP(CU348,games.a,6,FALSE))</f>
        <v/>
      </c>
      <c r="CZ348" s="409" t="str">
        <f ca="1">IF(CU348="","",VLOOKUP(CU348,games.a,7,FALSE))</f>
        <v/>
      </c>
      <c r="DA348" s="523" t="str">
        <f t="shared" ca="1" si="351"/>
        <v/>
      </c>
      <c r="DB348" s="302"/>
      <c r="DC348" s="364"/>
      <c r="DD348" s="302"/>
      <c r="DF348" s="424"/>
      <c r="DG348" s="424"/>
      <c r="DH348" s="424"/>
      <c r="DI348" s="424"/>
      <c r="DJ348" s="424"/>
      <c r="DK348" s="424"/>
      <c r="DL348" s="424"/>
      <c r="DM348" s="424"/>
      <c r="DN348" s="424"/>
      <c r="DO348" s="424"/>
      <c r="DP348" s="424"/>
      <c r="DQ348" s="424"/>
      <c r="DR348" s="424"/>
      <c r="DS348" s="424"/>
      <c r="DT348" s="424"/>
      <c r="DU348" s="424"/>
      <c r="DV348" s="424"/>
      <c r="DW348" s="424"/>
      <c r="DX348" s="424"/>
      <c r="DY348" s="424"/>
      <c r="DZ348" s="424"/>
      <c r="EA348" s="424"/>
      <c r="EB348" s="424"/>
      <c r="EC348" s="398"/>
      <c r="ED348" s="329" t="s">
        <v>157</v>
      </c>
      <c r="EE348" s="329" t="s">
        <v>158</v>
      </c>
      <c r="EF348" s="399"/>
      <c r="EG348" s="400"/>
      <c r="EH348" s="401" t="s">
        <v>160</v>
      </c>
      <c r="EI348" s="402" t="s">
        <v>135</v>
      </c>
      <c r="EJ348" s="424"/>
      <c r="EK348" s="365"/>
      <c r="EL348" s="365"/>
      <c r="EM348" s="424"/>
      <c r="EN348" s="424"/>
      <c r="EO348" s="425"/>
      <c r="EP348" s="333"/>
    </row>
    <row r="349" spans="80:146" x14ac:dyDescent="0.25">
      <c r="CB349" s="350"/>
      <c r="CC349" s="353">
        <f ca="1">IF(ASZTAB!$AJ$44,COUNTIF($BI$66:$BI$75,CE349)*IF(OR(CE349=CE348,CE349=0),0,1),COUNTIF($BG$66:$BG$75,CD349)*IF(OR(CD349=CD348,CD349=0),0,1))+CF349/1000</f>
        <v>7.0000000000000001E-3</v>
      </c>
      <c r="CD349" s="352">
        <f t="shared" ca="1" si="352"/>
        <v>0</v>
      </c>
      <c r="CE349" s="353">
        <f t="shared" ca="1" si="353"/>
        <v>0</v>
      </c>
      <c r="CF349" s="354">
        <v>7</v>
      </c>
      <c r="CG349" s="350"/>
      <c r="CH349" s="300"/>
      <c r="CI349" s="356" t="str">
        <f t="shared" ca="1" si="354"/>
        <v/>
      </c>
      <c r="CJ349" s="357" t="str">
        <f t="shared" ca="1" si="348"/>
        <v/>
      </c>
      <c r="CK349" s="385"/>
      <c r="CL349" s="356" t="str">
        <f t="shared" ca="1" si="355"/>
        <v/>
      </c>
      <c r="CM349" s="357" t="str">
        <f t="shared" ca="1" si="349"/>
        <v/>
      </c>
      <c r="CN349" s="385"/>
      <c r="CO349" s="356" t="str">
        <f t="shared" ca="1" si="356"/>
        <v/>
      </c>
      <c r="CP349" s="357" t="str">
        <f t="shared" ca="1" si="350"/>
        <v/>
      </c>
      <c r="CQ349" s="385"/>
      <c r="CR349" s="350"/>
      <c r="CS349" s="300"/>
      <c r="CT349" s="522" t="str">
        <f t="shared" si="347"/>
        <v/>
      </c>
      <c r="CU349" s="371" t="str">
        <f ca="1">IF(OR(CT349="",DA349="",CT349=DA349,ISNA(VLOOKUP(CONCATENATE(CT349,DA349),games.a,2,FALSE))),"",CONCATENATE(CT349,DA349))</f>
        <v/>
      </c>
      <c r="CV349" s="371" t="str">
        <f ca="1">IF(CU349="","",CONCATENATE(VLOOKUP(CU349,games.a,9,FALSE),VLOOKUP(CU349,games.a,12,FALSE)))</f>
        <v/>
      </c>
      <c r="CW349" s="369" t="str">
        <f ca="1">IF(CU349="","",VLOOKUP(CU349,games.a,10,FALSE))</f>
        <v/>
      </c>
      <c r="CX349" s="369" t="str">
        <f ca="1">IF(CU349="","",VLOOKUP(CU349,games.a,13,FALSE))</f>
        <v/>
      </c>
      <c r="CY349" s="423" t="str">
        <f ca="1">IF(CU349="","",VLOOKUP(CU349,games.a,6,FALSE))</f>
        <v/>
      </c>
      <c r="CZ349" s="409" t="str">
        <f ca="1">IF(CU349="","",VLOOKUP(CU349,games.a,7,FALSE))</f>
        <v/>
      </c>
      <c r="DA349" s="523" t="str">
        <f t="shared" ca="1" si="351"/>
        <v/>
      </c>
      <c r="DB349" s="302"/>
      <c r="DC349" s="364"/>
      <c r="DD349" s="302"/>
      <c r="DF349" s="424"/>
      <c r="DG349" s="424"/>
      <c r="DH349" s="424"/>
      <c r="DI349" s="424"/>
      <c r="DJ349" s="424"/>
      <c r="DK349" s="424"/>
      <c r="DL349" s="424"/>
      <c r="DM349" s="424"/>
      <c r="DN349" s="424"/>
      <c r="DO349" s="424"/>
      <c r="DP349" s="424"/>
      <c r="DQ349" s="424"/>
      <c r="DR349" s="424"/>
      <c r="DS349" s="424"/>
      <c r="DT349" s="424"/>
      <c r="DU349" s="424"/>
      <c r="DV349" s="424"/>
      <c r="DW349" s="424"/>
      <c r="DX349" s="424"/>
      <c r="DY349" s="424"/>
      <c r="DZ349" s="424"/>
      <c r="EA349" s="424"/>
      <c r="EB349" s="424"/>
      <c r="EC349" s="404" t="str">
        <f ca="1">IF(EI319="","",VLOOKUP(EI319,yyy.rv1,7,FALSE))</f>
        <v/>
      </c>
      <c r="ED349" s="371" t="str">
        <f ca="1">IF(OR(EC349="",EJ349="",EC349=EJ349,ISNA(VLOOKUP(CONCATENATE(EC349,EJ349),games.r,2,FALSE))),"",CONCATENATE(EC349,EJ349))</f>
        <v/>
      </c>
      <c r="EE349" s="371" t="str">
        <f ca="1">IF(ED349="","",CONCATENATE(VLOOKUP(ED349,games.r,9,FALSE),VLOOKUP(ED349,games.r,12,FALSE)))</f>
        <v/>
      </c>
      <c r="EF349" s="406"/>
      <c r="EG349" s="407"/>
      <c r="EH349" s="408" t="str">
        <f ca="1">IF(ED349="","",VLOOKUP(ED349,games.r,6,FALSE))</f>
        <v/>
      </c>
      <c r="EI349" s="409" t="str">
        <f ca="1">IF(ED349="","",VLOOKUP(ED349,games.r,7,FALSE))</f>
        <v/>
      </c>
      <c r="EJ349" s="410" t="str">
        <f ca="1">EC349</f>
        <v/>
      </c>
      <c r="EK349" s="411"/>
      <c r="EL349" s="412"/>
      <c r="EM349" s="424"/>
      <c r="EN349" s="424"/>
      <c r="EO349" s="425"/>
      <c r="EP349" s="333"/>
    </row>
    <row r="350" spans="80:146" x14ac:dyDescent="0.25">
      <c r="CB350" s="350"/>
      <c r="CC350" s="353">
        <f ca="1">IF(ASZTAB!$AJ$44,COUNTIF($BI$66:$BI$75,CE350)*IF(OR(CE350=CE349,CE350=0),0,1),COUNTIF($BG$66:$BG$75,CD350)*IF(OR(CD350=CD349,CD350=0),0,1))+CF350/1000</f>
        <v>8.0000000000000002E-3</v>
      </c>
      <c r="CD350" s="352">
        <f t="shared" ca="1" si="352"/>
        <v>0</v>
      </c>
      <c r="CE350" s="353">
        <f t="shared" ca="1" si="353"/>
        <v>0</v>
      </c>
      <c r="CF350" s="354">
        <v>8</v>
      </c>
      <c r="CG350" s="350"/>
      <c r="CH350" s="300"/>
      <c r="CI350" s="356" t="str">
        <f t="shared" ca="1" si="354"/>
        <v/>
      </c>
      <c r="CJ350" s="357" t="str">
        <f t="shared" ca="1" si="348"/>
        <v/>
      </c>
      <c r="CK350" s="385"/>
      <c r="CL350" s="356" t="str">
        <f t="shared" ca="1" si="355"/>
        <v/>
      </c>
      <c r="CM350" s="357" t="str">
        <f t="shared" ca="1" si="349"/>
        <v/>
      </c>
      <c r="CN350" s="385"/>
      <c r="CO350" s="356" t="str">
        <f t="shared" ca="1" si="356"/>
        <v/>
      </c>
      <c r="CP350" s="357" t="str">
        <f t="shared" ca="1" si="350"/>
        <v/>
      </c>
      <c r="CQ350" s="385"/>
      <c r="CR350" s="350"/>
      <c r="CS350" s="300"/>
      <c r="CT350" s="522" t="str">
        <f t="shared" si="347"/>
        <v/>
      </c>
      <c r="CU350" s="371" t="str">
        <f ca="1">IF(OR(CT350="",DA350="",CT350=DA350,ISNA(VLOOKUP(CONCATENATE(CT350,DA350),games.a,2,FALSE))),"",CONCATENATE(CT350,DA350))</f>
        <v/>
      </c>
      <c r="CV350" s="371" t="str">
        <f ca="1">IF(CU350="","",CONCATENATE(VLOOKUP(CU350,games.a,9,FALSE),VLOOKUP(CU350,games.a,12,FALSE)))</f>
        <v/>
      </c>
      <c r="CW350" s="369" t="str">
        <f ca="1">IF(CU350="","",VLOOKUP(CU350,games.a,10,FALSE))</f>
        <v/>
      </c>
      <c r="CX350" s="369" t="str">
        <f ca="1">IF(CU350="","",VLOOKUP(CU350,games.a,13,FALSE))</f>
        <v/>
      </c>
      <c r="CY350" s="423" t="str">
        <f ca="1">IF(CU350="","",VLOOKUP(CU350,games.a,6,FALSE))</f>
        <v/>
      </c>
      <c r="CZ350" s="409" t="str">
        <f ca="1">IF(CU350="","",VLOOKUP(CU350,games.a,7,FALSE))</f>
        <v/>
      </c>
      <c r="DA350" s="523" t="str">
        <f t="shared" ca="1" si="351"/>
        <v/>
      </c>
      <c r="DB350" s="302"/>
      <c r="DC350" s="364"/>
      <c r="DD350" s="302"/>
      <c r="DF350" s="424"/>
      <c r="DG350" s="424"/>
      <c r="DH350" s="424"/>
      <c r="DI350" s="424"/>
      <c r="DJ350" s="424"/>
      <c r="DK350" s="424"/>
      <c r="DL350" s="424"/>
      <c r="DM350" s="424"/>
      <c r="DN350" s="424"/>
      <c r="DO350" s="424"/>
      <c r="DP350" s="424"/>
      <c r="DQ350" s="424"/>
      <c r="DR350" s="424"/>
      <c r="DS350" s="424"/>
      <c r="DT350" s="424"/>
      <c r="DU350" s="424"/>
      <c r="DV350" s="424"/>
      <c r="DW350" s="424"/>
      <c r="DX350" s="424"/>
      <c r="DY350" s="424"/>
      <c r="DZ350" s="424"/>
      <c r="EA350" s="424"/>
      <c r="EB350" s="424"/>
      <c r="EC350" s="404" t="str">
        <f ca="1">IF(EI320="","",VLOOKUP(EI320,yyy.rv1,7,FALSE))</f>
        <v/>
      </c>
      <c r="ED350" s="371" t="str">
        <f ca="1">IF(OR(EC350="",EJ350="",EC350=EJ350,ISNA(VLOOKUP(CONCATENATE(EC350,EJ350),games.r,2,FALSE))),"",CONCATENATE(EC350,EJ350))</f>
        <v/>
      </c>
      <c r="EE350" s="371" t="str">
        <f ca="1">IF(ED350="","",CONCATENATE(VLOOKUP(ED350,games.r,9,FALSE),VLOOKUP(ED350,games.r,12,FALSE)))</f>
        <v/>
      </c>
      <c r="EF350" s="413"/>
      <c r="EG350" s="414"/>
      <c r="EH350" s="408" t="str">
        <f ca="1">IF(ED350="","",VLOOKUP(ED350,games.r,6,FALSE))</f>
        <v/>
      </c>
      <c r="EI350" s="409" t="str">
        <f ca="1">IF(ED350="","",VLOOKUP(ED350,games.r,7,FALSE))</f>
        <v/>
      </c>
      <c r="EJ350" s="415" t="str">
        <f ca="1">EJ349</f>
        <v/>
      </c>
      <c r="EK350" s="416"/>
      <c r="EL350" s="417"/>
      <c r="EM350" s="424"/>
      <c r="EN350" s="424"/>
      <c r="EO350" s="425"/>
      <c r="EP350" s="333"/>
    </row>
    <row r="351" spans="80:146" x14ac:dyDescent="0.25">
      <c r="CB351" s="350"/>
      <c r="CC351" s="353">
        <f ca="1">IF(ASZTAB!$AJ$44,COUNTIF($BI$66:$BI$75,CE351)*IF(OR(CE351=CE350,CE351=0),0,1),COUNTIF($BG$66:$BG$75,CD351)*IF(OR(CD351=CD350,CD351=0),0,1))+CF351/1000</f>
        <v>8.9999999999999993E-3</v>
      </c>
      <c r="CD351" s="352">
        <f t="shared" ca="1" si="352"/>
        <v>0</v>
      </c>
      <c r="CE351" s="353">
        <f t="shared" ca="1" si="353"/>
        <v>0</v>
      </c>
      <c r="CF351" s="354">
        <v>9</v>
      </c>
      <c r="CG351" s="350"/>
      <c r="CH351" s="300"/>
      <c r="CI351" s="356" t="str">
        <f t="shared" ca="1" si="354"/>
        <v/>
      </c>
      <c r="CJ351" s="357" t="str">
        <f t="shared" ca="1" si="348"/>
        <v/>
      </c>
      <c r="CK351" s="385"/>
      <c r="CL351" s="356" t="str">
        <f t="shared" ca="1" si="355"/>
        <v/>
      </c>
      <c r="CM351" s="357" t="str">
        <f t="shared" ca="1" si="349"/>
        <v/>
      </c>
      <c r="CN351" s="385"/>
      <c r="CO351" s="356" t="str">
        <f t="shared" ca="1" si="356"/>
        <v/>
      </c>
      <c r="CP351" s="357" t="str">
        <f t="shared" ca="1" si="350"/>
        <v/>
      </c>
      <c r="CQ351" s="385"/>
      <c r="CR351" s="350"/>
      <c r="CS351" s="300"/>
      <c r="CT351" s="301"/>
      <c r="CU351" s="458" t="s">
        <v>157</v>
      </c>
      <c r="CV351" s="458" t="s">
        <v>158</v>
      </c>
      <c r="CW351" s="459" t="s">
        <v>159</v>
      </c>
      <c r="CX351" s="459"/>
      <c r="CY351" s="460" t="s">
        <v>160</v>
      </c>
      <c r="CZ351" s="459" t="s">
        <v>135</v>
      </c>
      <c r="DA351" s="302"/>
      <c r="DB351" s="302"/>
      <c r="DC351" s="364"/>
      <c r="DD351" s="302"/>
      <c r="DF351" s="424"/>
      <c r="DG351" s="424"/>
      <c r="DH351" s="424"/>
      <c r="DI351" s="424"/>
      <c r="DJ351" s="424"/>
      <c r="DK351" s="424"/>
      <c r="DL351" s="424"/>
      <c r="DM351" s="424"/>
      <c r="DN351" s="424"/>
      <c r="DO351" s="424"/>
      <c r="DP351" s="424"/>
      <c r="DQ351" s="424"/>
      <c r="DR351" s="424"/>
      <c r="DS351" s="424"/>
      <c r="DT351" s="424"/>
      <c r="DU351" s="424"/>
      <c r="DV351" s="424"/>
      <c r="DW351" s="424"/>
      <c r="DX351" s="424"/>
      <c r="DY351" s="424"/>
      <c r="DZ351" s="424"/>
      <c r="EA351" s="424"/>
      <c r="EB351" s="424"/>
      <c r="EC351" s="404" t="str">
        <f>IF(NOT($AD$98),"",EC349)</f>
        <v/>
      </c>
      <c r="ED351" s="360" t="str">
        <f ca="1">IF(OR(EC351="",EJ351="",EC351=EJ351,ISNA(VLOOKUP(CONCATENATE(EC351,EJ351),games.a,2,FALSE))),"",CONCATENATE(EC351,EJ351))</f>
        <v/>
      </c>
      <c r="EE351" s="360" t="str">
        <f ca="1">IF(ED351="","",CONCATENATE(VLOOKUP(ED351,games.a,9,FALSE),VLOOKUP(ED351,games.a,12,FALSE)))</f>
        <v/>
      </c>
      <c r="EF351" s="413"/>
      <c r="EG351" s="414"/>
      <c r="EH351" s="525" t="str">
        <f ca="1">IF(ED351="","",VLOOKUP(ED351,games.a,6,FALSE))</f>
        <v/>
      </c>
      <c r="EI351" s="362" t="str">
        <f ca="1">IF(ED351="","",VLOOKUP(ED351,games.a,7,FALSE))</f>
        <v/>
      </c>
      <c r="EJ351" s="526" t="str">
        <f ca="1">EJ350</f>
        <v/>
      </c>
      <c r="EK351" s="527"/>
      <c r="EL351" s="528"/>
      <c r="EM351" s="424"/>
      <c r="EN351" s="424"/>
      <c r="EO351" s="425"/>
      <c r="EP351" s="333"/>
    </row>
    <row r="352" spans="80:146" x14ac:dyDescent="0.25">
      <c r="CB352" s="350"/>
      <c r="CC352" s="353">
        <f ca="1">IF(ASZTAB!$AJ$44,COUNTIF($BI$66:$BI$75,CE352)*IF(OR(CE352=CE351,CE352=0),0,1),COUNTIF($BG$66:$BG$75,CD352)*IF(OR(CD352=CD351,CD352=0),0,1))+CF352/1000</f>
        <v>0.01</v>
      </c>
      <c r="CD352" s="352">
        <f t="shared" ca="1" si="352"/>
        <v>0</v>
      </c>
      <c r="CE352" s="353">
        <f t="shared" ca="1" si="353"/>
        <v>0</v>
      </c>
      <c r="CF352" s="354">
        <v>10</v>
      </c>
      <c r="CG352" s="350"/>
      <c r="CH352" s="300"/>
      <c r="CI352" s="356" t="str">
        <f t="shared" ca="1" si="354"/>
        <v/>
      </c>
      <c r="CJ352" s="357" t="str">
        <f t="shared" ca="1" si="348"/>
        <v/>
      </c>
      <c r="CK352" s="357"/>
      <c r="CL352" s="356" t="str">
        <f t="shared" ca="1" si="355"/>
        <v/>
      </c>
      <c r="CM352" s="357" t="str">
        <f t="shared" ca="1" si="349"/>
        <v/>
      </c>
      <c r="CN352" s="357"/>
      <c r="CO352" s="356" t="str">
        <f t="shared" ca="1" si="356"/>
        <v/>
      </c>
      <c r="CP352" s="357" t="str">
        <f t="shared" ca="1" si="350"/>
        <v/>
      </c>
      <c r="CQ352" s="357"/>
      <c r="CR352" s="350"/>
      <c r="CS352" s="300"/>
      <c r="CT352" s="395" t="str">
        <f ca="1">CT341</f>
        <v/>
      </c>
      <c r="CU352" s="465" t="str">
        <f ca="1">IF(OR(CT352="",DA352="",CT352=DA352,COUNTIF(games.rv,CT352&amp;DA352)=0),"",CONCATENATE(CT352,DA352))</f>
        <v/>
      </c>
      <c r="CV352" s="360" t="str">
        <f ca="1">IF(CU352="","",CONCATENATE(VLOOKUP(CU352,games.r,9,FALSE),VLOOKUP(CU352,games.r,12,FALSE)))</f>
        <v/>
      </c>
      <c r="CW352" s="354" t="str">
        <f ca="1">IF(CU352="","",VLOOKUP(CU352,games.r,10,FALSE))</f>
        <v/>
      </c>
      <c r="CX352" s="354" t="str">
        <f ca="1">IF(CU352="","",VLOOKUP(CU352,games.r,13,FALSE))</f>
        <v/>
      </c>
      <c r="CY352" s="361" t="str">
        <f ca="1">IF(CU352="","",VLOOKUP(CU352,games.r,6,FALSE))</f>
        <v/>
      </c>
      <c r="CZ352" s="362" t="str">
        <f ca="1">IF(CU352="","",VLOOKUP(CU352,games.r,7,FALSE))</f>
        <v/>
      </c>
      <c r="DA352" s="466" t="str">
        <f ca="1">CT322</f>
        <v/>
      </c>
      <c r="DB352" s="302"/>
      <c r="DC352" s="364"/>
      <c r="DD352" s="302"/>
      <c r="DF352" s="424"/>
      <c r="DG352" s="424"/>
      <c r="DH352" s="424"/>
      <c r="DI352" s="424"/>
      <c r="DJ352" s="424"/>
      <c r="DK352" s="424"/>
      <c r="DL352" s="424"/>
      <c r="DM352" s="424"/>
      <c r="DN352" s="424"/>
      <c r="DO352" s="424"/>
      <c r="DP352" s="424"/>
      <c r="DQ352" s="424"/>
      <c r="DR352" s="424"/>
      <c r="DS352" s="424"/>
      <c r="DT352" s="424"/>
      <c r="DU352" s="424"/>
      <c r="DV352" s="424"/>
      <c r="DW352" s="424"/>
      <c r="DX352" s="424"/>
      <c r="DY352" s="424"/>
      <c r="DZ352" s="424"/>
      <c r="EA352" s="424"/>
      <c r="EB352" s="424"/>
      <c r="EC352" s="404" t="str">
        <f>IF(NOT($AD$98),"",EC350)</f>
        <v/>
      </c>
      <c r="ED352" s="360" t="str">
        <f ca="1">IF(OR(EC352="",EJ352="",EC352=EJ352,ISNA(VLOOKUP(CONCATENATE(EC352,EJ352),games.a,2,FALSE))),"",CONCATENATE(EC352,EJ352))</f>
        <v/>
      </c>
      <c r="EE352" s="360" t="str">
        <f ca="1">IF(ED352="","",CONCATENATE(VLOOKUP(ED352,games.a,9,FALSE),VLOOKUP(ED352,games.a,12,FALSE)))</f>
        <v/>
      </c>
      <c r="EF352" s="413"/>
      <c r="EG352" s="414"/>
      <c r="EH352" s="525" t="str">
        <f ca="1">IF(ED352="","",VLOOKUP(ED352,games.a,6,FALSE))</f>
        <v/>
      </c>
      <c r="EI352" s="362" t="str">
        <f ca="1">IF(ED352="","",VLOOKUP(ED352,games.a,7,FALSE))</f>
        <v/>
      </c>
      <c r="EJ352" s="526" t="str">
        <f ca="1">EJ351</f>
        <v/>
      </c>
      <c r="EK352" s="527"/>
      <c r="EL352" s="528"/>
      <c r="EM352" s="424"/>
      <c r="EN352" s="424"/>
      <c r="EO352" s="425"/>
      <c r="EP352" s="333"/>
    </row>
    <row r="353" spans="80:146" x14ac:dyDescent="0.25">
      <c r="CB353" s="350"/>
      <c r="CC353" s="350"/>
      <c r="CD353" s="350"/>
      <c r="CE353" s="350"/>
      <c r="CF353" s="350"/>
      <c r="CG353" s="350"/>
      <c r="CH353" s="300"/>
      <c r="CR353" s="350"/>
      <c r="CS353" s="300"/>
      <c r="CT353" s="395" t="str">
        <f t="shared" ref="CT353:CT361" ca="1" si="357">CT342</f>
        <v/>
      </c>
      <c r="CU353" s="465" t="str">
        <f ca="1">IF(OR(CT353="",DA353="",CT353=DA353,COUNTIF(games.rv,CT353&amp;DA353)=0),"",CONCATENATE(CT353,DA353))</f>
        <v/>
      </c>
      <c r="CV353" s="360" t="str">
        <f ca="1">IF(CU353="","",CONCATENATE(VLOOKUP(CU353,games.r,9,FALSE),VLOOKUP(CU353,games.r,12,FALSE)))</f>
        <v/>
      </c>
      <c r="CW353" s="354" t="str">
        <f ca="1">IF(CU353="","",VLOOKUP(CU353,games.r,10,FALSE))</f>
        <v/>
      </c>
      <c r="CX353" s="354" t="str">
        <f ca="1">IF(CU353="","",VLOOKUP(CU353,games.r,13,FALSE))</f>
        <v/>
      </c>
      <c r="CY353" s="361" t="str">
        <f ca="1">IF(CU353="","",VLOOKUP(CU353,games.r,6,FALSE))</f>
        <v/>
      </c>
      <c r="CZ353" s="362" t="str">
        <f ca="1">IF(CU353="","",VLOOKUP(CU353,games.r,7,FALSE))</f>
        <v/>
      </c>
      <c r="DA353" s="379" t="str">
        <f ca="1">DA352</f>
        <v/>
      </c>
      <c r="DB353" s="302"/>
      <c r="DC353" s="364"/>
      <c r="DD353" s="302"/>
      <c r="DF353" s="424"/>
      <c r="DG353" s="424"/>
      <c r="DH353" s="424"/>
      <c r="DI353" s="424"/>
      <c r="DJ353" s="424"/>
      <c r="DK353" s="424"/>
      <c r="DL353" s="424"/>
      <c r="DM353" s="424"/>
      <c r="DN353" s="424"/>
      <c r="DO353" s="424"/>
      <c r="DP353" s="424"/>
      <c r="DQ353" s="424"/>
      <c r="DR353" s="424"/>
      <c r="DS353" s="424"/>
      <c r="DT353" s="424"/>
      <c r="DU353" s="424"/>
      <c r="DV353" s="424"/>
      <c r="DW353" s="424"/>
      <c r="DX353" s="424"/>
      <c r="DY353" s="424"/>
      <c r="DZ353" s="424"/>
      <c r="EA353" s="424"/>
      <c r="EB353" s="424"/>
      <c r="EC353" s="404"/>
      <c r="ED353" s="329" t="s">
        <v>157</v>
      </c>
      <c r="EE353" s="329" t="s">
        <v>158</v>
      </c>
      <c r="EF353" s="399"/>
      <c r="EG353" s="400"/>
      <c r="EH353" s="401" t="s">
        <v>160</v>
      </c>
      <c r="EI353" s="402" t="s">
        <v>135</v>
      </c>
      <c r="EJ353" s="398"/>
      <c r="EK353" s="365"/>
      <c r="EL353" s="365"/>
      <c r="EM353" s="424"/>
      <c r="EN353" s="424"/>
      <c r="EO353" s="425"/>
      <c r="EP353" s="333"/>
    </row>
    <row r="354" spans="80:146" x14ac:dyDescent="0.25">
      <c r="CB354" s="350"/>
      <c r="CC354" s="350"/>
      <c r="CD354" s="350"/>
      <c r="CE354" s="350"/>
      <c r="CF354" s="350"/>
      <c r="CG354" s="350"/>
      <c r="CH354" s="300"/>
      <c r="CR354" s="350"/>
      <c r="CS354" s="300"/>
      <c r="CT354" s="395" t="str">
        <f t="shared" ca="1" si="357"/>
        <v/>
      </c>
      <c r="CU354" s="465" t="str">
        <f ca="1">IF(OR(CT354="",DA354="",CT354=DA354,COUNTIF(games.rv,CT354&amp;DA354)=0),"",CONCATENATE(CT354,DA354))</f>
        <v/>
      </c>
      <c r="CV354" s="360" t="str">
        <f ca="1">IF(CU354="","",CONCATENATE(VLOOKUP(CU354,games.r,9,FALSE),VLOOKUP(CU354,games.r,12,FALSE)))</f>
        <v/>
      </c>
      <c r="CW354" s="354" t="str">
        <f ca="1">IF(CU354="","",VLOOKUP(CU354,games.r,10,FALSE))</f>
        <v/>
      </c>
      <c r="CX354" s="354" t="str">
        <f ca="1">IF(CU354="","",VLOOKUP(CU354,games.r,13,FALSE))</f>
        <v/>
      </c>
      <c r="CY354" s="361" t="str">
        <f ca="1">IF(CU354="","",VLOOKUP(CU354,games.r,6,FALSE))</f>
        <v/>
      </c>
      <c r="CZ354" s="362" t="str">
        <f ca="1">IF(CU354="","",VLOOKUP(CU354,games.r,7,FALSE))</f>
        <v/>
      </c>
      <c r="DA354" s="379" t="str">
        <f t="shared" ref="DA354:DA361" ca="1" si="358">DA353</f>
        <v/>
      </c>
      <c r="DB354" s="302"/>
      <c r="DC354" s="364"/>
      <c r="DD354" s="302"/>
      <c r="DF354" s="424"/>
      <c r="DG354" s="424"/>
      <c r="DH354" s="424"/>
      <c r="DI354" s="424"/>
      <c r="DJ354" s="424"/>
      <c r="DK354" s="424"/>
      <c r="DL354" s="424"/>
      <c r="DM354" s="424"/>
      <c r="DN354" s="424"/>
      <c r="DO354" s="424"/>
      <c r="DP354" s="424"/>
      <c r="DQ354" s="424"/>
      <c r="DR354" s="424"/>
      <c r="DS354" s="424"/>
      <c r="DT354" s="424"/>
      <c r="DU354" s="424"/>
      <c r="DV354" s="424"/>
      <c r="DW354" s="424"/>
      <c r="DX354" s="424"/>
      <c r="DY354" s="424"/>
      <c r="DZ354" s="424"/>
      <c r="EA354" s="424"/>
      <c r="EB354" s="424"/>
      <c r="EC354" s="404" t="str">
        <f ca="1">EC349</f>
        <v/>
      </c>
      <c r="ED354" s="371" t="str">
        <f ca="1">IF(OR(EC354="",EJ354="",EC354=EJ354,ISNA(VLOOKUP(CONCATENATE(EC354,EJ354),games.r,2,FALSE))),"",CONCATENATE(EC354,EJ354))</f>
        <v/>
      </c>
      <c r="EE354" s="371" t="str">
        <f ca="1">IF(ED354="","",CONCATENATE(VLOOKUP(ED354,games.r,9,FALSE),VLOOKUP(ED354,games.r,12,FALSE)))</f>
        <v/>
      </c>
      <c r="EF354" s="406"/>
      <c r="EG354" s="407"/>
      <c r="EH354" s="408" t="str">
        <f ca="1">IF(ED354="","",VLOOKUP(ED354,games.r,6,FALSE))</f>
        <v/>
      </c>
      <c r="EI354" s="409" t="str">
        <f ca="1">IF(ED354="","",VLOOKUP(ED354,games.r,7,FALSE))</f>
        <v/>
      </c>
      <c r="EJ354" s="410" t="str">
        <f ca="1">EC350</f>
        <v/>
      </c>
      <c r="EK354" s="411"/>
      <c r="EL354" s="412"/>
      <c r="EM354" s="424"/>
      <c r="EN354" s="424"/>
      <c r="EO354" s="425"/>
      <c r="EP354" s="333"/>
    </row>
    <row r="355" spans="80:146" x14ac:dyDescent="0.25">
      <c r="CB355" s="350"/>
      <c r="CC355" s="350"/>
      <c r="CD355" s="350"/>
      <c r="CE355" s="350"/>
      <c r="CF355" s="350"/>
      <c r="CG355" s="350"/>
      <c r="CH355" s="300"/>
      <c r="CR355" s="350"/>
      <c r="CS355" s="300"/>
      <c r="CT355" s="395" t="str">
        <f t="shared" ca="1" si="357"/>
        <v/>
      </c>
      <c r="CU355" s="465" t="str">
        <f ca="1">IF(OR(CT355="",DA355="",CT355=DA355,COUNTIF(games.rv,CT355&amp;DA355)=0),"",CONCATENATE(CT355,DA355))</f>
        <v/>
      </c>
      <c r="CV355" s="360" t="str">
        <f ca="1">IF(CU355="","",CONCATENATE(VLOOKUP(CU355,games.r,9,FALSE),VLOOKUP(CU355,games.r,12,FALSE)))</f>
        <v/>
      </c>
      <c r="CW355" s="354" t="str">
        <f ca="1">IF(CU355="","",VLOOKUP(CU355,games.r,10,FALSE))</f>
        <v/>
      </c>
      <c r="CX355" s="354" t="str">
        <f ca="1">IF(CU355="","",VLOOKUP(CU355,games.r,13,FALSE))</f>
        <v/>
      </c>
      <c r="CY355" s="361" t="str">
        <f ca="1">IF(CU355="","",VLOOKUP(CU355,games.r,6,FALSE))</f>
        <v/>
      </c>
      <c r="CZ355" s="362" t="str">
        <f ca="1">IF(CU355="","",VLOOKUP(CU355,games.r,7,FALSE))</f>
        <v/>
      </c>
      <c r="DA355" s="379" t="str">
        <f t="shared" ca="1" si="358"/>
        <v/>
      </c>
      <c r="DB355" s="302"/>
      <c r="DC355" s="364"/>
      <c r="DD355" s="302"/>
      <c r="DF355" s="424"/>
      <c r="DG355" s="424"/>
      <c r="DH355" s="424"/>
      <c r="DI355" s="424"/>
      <c r="DJ355" s="424"/>
      <c r="DK355" s="424"/>
      <c r="DL355" s="424"/>
      <c r="DM355" s="424"/>
      <c r="DN355" s="424"/>
      <c r="DO355" s="424"/>
      <c r="DP355" s="424"/>
      <c r="DQ355" s="424"/>
      <c r="DR355" s="424"/>
      <c r="DS355" s="424"/>
      <c r="DT355" s="424"/>
      <c r="DU355" s="424"/>
      <c r="DV355" s="424"/>
      <c r="DW355" s="424"/>
      <c r="DX355" s="424"/>
      <c r="DY355" s="424"/>
      <c r="DZ355" s="424"/>
      <c r="EA355" s="424"/>
      <c r="EB355" s="424"/>
      <c r="EC355" s="404" t="str">
        <f ca="1">EC350</f>
        <v/>
      </c>
      <c r="ED355" s="371" t="str">
        <f ca="1">IF(OR(EC355="",EJ355="",EC355=EJ355,ISNA(VLOOKUP(CONCATENATE(EC355,EJ355),games.r,2,FALSE))),"",CONCATENATE(EC355,EJ355))</f>
        <v/>
      </c>
      <c r="EE355" s="371" t="str">
        <f ca="1">IF(ED355="","",CONCATENATE(VLOOKUP(ED355,games.r,9,FALSE),VLOOKUP(ED355,games.r,12,FALSE)))</f>
        <v/>
      </c>
      <c r="EF355" s="413"/>
      <c r="EG355" s="414"/>
      <c r="EH355" s="408" t="str">
        <f ca="1">IF(ED355="","",VLOOKUP(ED355,games.r,6,FALSE))</f>
        <v/>
      </c>
      <c r="EI355" s="409" t="str">
        <f ca="1">IF(ED355="","",VLOOKUP(ED355,games.r,7,FALSE))</f>
        <v/>
      </c>
      <c r="EJ355" s="415" t="str">
        <f ca="1">EJ354</f>
        <v/>
      </c>
      <c r="EK355" s="416"/>
      <c r="EL355" s="417"/>
      <c r="EM355" s="424"/>
      <c r="EN355" s="424"/>
      <c r="EO355" s="425"/>
      <c r="EP355" s="333"/>
    </row>
    <row r="356" spans="80:146" x14ac:dyDescent="0.25">
      <c r="CB356" s="350"/>
      <c r="CC356" s="350"/>
      <c r="CD356" s="350"/>
      <c r="CE356" s="350"/>
      <c r="CF356" s="350"/>
      <c r="CG356" s="350"/>
      <c r="CH356" s="300"/>
      <c r="CR356" s="350"/>
      <c r="CS356" s="300"/>
      <c r="CT356" s="395" t="str">
        <f t="shared" ca="1" si="357"/>
        <v/>
      </c>
      <c r="CU356" s="465" t="str">
        <f ca="1">IF(OR(CT356="",DA356="",CT356=DA356,COUNTIF(games.rv,CT356&amp;DA356)=0),"",CONCATENATE(CT356,DA356))</f>
        <v/>
      </c>
      <c r="CV356" s="360" t="str">
        <f ca="1">IF(CU356="","",CONCATENATE(VLOOKUP(CU356,games.r,9,FALSE),VLOOKUP(CU356,games.r,12,FALSE)))</f>
        <v/>
      </c>
      <c r="CW356" s="354" t="str">
        <f ca="1">IF(CU356="","",VLOOKUP(CU356,games.r,10,FALSE))</f>
        <v/>
      </c>
      <c r="CX356" s="354" t="str">
        <f ca="1">IF(CU356="","",VLOOKUP(CU356,games.r,13,FALSE))</f>
        <v/>
      </c>
      <c r="CY356" s="361" t="str">
        <f ca="1">IF(CU356="","",VLOOKUP(CU356,games.r,6,FALSE))</f>
        <v/>
      </c>
      <c r="CZ356" s="362" t="str">
        <f ca="1">IF(CU356="","",VLOOKUP(CU356,games.r,7,FALSE))</f>
        <v/>
      </c>
      <c r="DA356" s="379" t="str">
        <f t="shared" ca="1" si="358"/>
        <v/>
      </c>
      <c r="DB356" s="302"/>
      <c r="DC356" s="364"/>
      <c r="DD356" s="302"/>
      <c r="DF356" s="424"/>
      <c r="DG356" s="424"/>
      <c r="DH356" s="424"/>
      <c r="DI356" s="424"/>
      <c r="DJ356" s="424"/>
      <c r="DK356" s="424"/>
      <c r="DL356" s="424"/>
      <c r="DM356" s="424"/>
      <c r="DN356" s="424"/>
      <c r="DO356" s="424"/>
      <c r="DP356" s="424"/>
      <c r="DQ356" s="424"/>
      <c r="DR356" s="424"/>
      <c r="DS356" s="424"/>
      <c r="DT356" s="424"/>
      <c r="DU356" s="424"/>
      <c r="DV356" s="424"/>
      <c r="DW356" s="424"/>
      <c r="DX356" s="424"/>
      <c r="DY356" s="424"/>
      <c r="DZ356" s="424"/>
      <c r="EA356" s="424"/>
      <c r="EB356" s="424"/>
      <c r="EC356" s="404" t="str">
        <f>EC351</f>
        <v/>
      </c>
      <c r="ED356" s="360" t="str">
        <f ca="1">IF(OR(EC356="",EJ356="",EC356=EJ356,ISNA(VLOOKUP(CONCATENATE(EC356,EJ356),games.a,2,FALSE))),"",CONCATENATE(EC356,EJ356))</f>
        <v/>
      </c>
      <c r="EE356" s="360" t="str">
        <f ca="1">IF(ED356="","",CONCATENATE(VLOOKUP(ED356,games.a,9,FALSE),VLOOKUP(ED356,games.a,12,FALSE)))</f>
        <v/>
      </c>
      <c r="EF356" s="413"/>
      <c r="EG356" s="414"/>
      <c r="EH356" s="525" t="str">
        <f ca="1">IF(ED356="","",VLOOKUP(ED356,games.a,6,FALSE))</f>
        <v/>
      </c>
      <c r="EI356" s="362" t="str">
        <f ca="1">IF(ED356="","",VLOOKUP(ED356,games.a,7,FALSE))</f>
        <v/>
      </c>
      <c r="EJ356" s="526" t="str">
        <f ca="1">EJ355</f>
        <v/>
      </c>
      <c r="EK356" s="527"/>
      <c r="EL356" s="528"/>
      <c r="EM356" s="424"/>
      <c r="EN356" s="424"/>
      <c r="EO356" s="425"/>
      <c r="EP356" s="333"/>
    </row>
    <row r="357" spans="80:146" x14ac:dyDescent="0.25">
      <c r="CB357" s="350"/>
      <c r="CC357" s="350"/>
      <c r="CD357" s="350"/>
      <c r="CE357" s="350"/>
      <c r="CF357" s="350"/>
      <c r="CG357" s="350"/>
      <c r="CH357" s="300"/>
      <c r="CR357" s="350"/>
      <c r="CS357" s="300"/>
      <c r="CT357" s="522" t="str">
        <f t="shared" si="357"/>
        <v/>
      </c>
      <c r="CU357" s="371" t="str">
        <f ca="1">IF(OR(CT357="",DA357="",CT357=DA357,ISNA(VLOOKUP(CONCATENATE(CT357,DA357),games.a,2,FALSE))),"",CONCATENATE(CT357,DA357))</f>
        <v/>
      </c>
      <c r="CV357" s="371" t="str">
        <f ca="1">IF(CU357="","",CONCATENATE(VLOOKUP(CU357,games.a,9,FALSE),VLOOKUP(CU357,games.a,12,FALSE)))</f>
        <v/>
      </c>
      <c r="CW357" s="369" t="str">
        <f ca="1">IF(CU357="","",VLOOKUP(CU357,games.a,10,FALSE))</f>
        <v/>
      </c>
      <c r="CX357" s="369" t="str">
        <f ca="1">IF(CU357="","",VLOOKUP(CU357,games.a,13,FALSE))</f>
        <v/>
      </c>
      <c r="CY357" s="423" t="str">
        <f ca="1">IF(CU357="","",VLOOKUP(CU357,games.a,6,FALSE))</f>
        <v/>
      </c>
      <c r="CZ357" s="409" t="str">
        <f ca="1">IF(CU357="","",VLOOKUP(CU357,games.a,7,FALSE))</f>
        <v/>
      </c>
      <c r="DA357" s="523" t="str">
        <f t="shared" ca="1" si="358"/>
        <v/>
      </c>
      <c r="DB357" s="302"/>
      <c r="DC357" s="364"/>
      <c r="DD357" s="302"/>
      <c r="DF357" s="424"/>
      <c r="DG357" s="424"/>
      <c r="DH357" s="424"/>
      <c r="DI357" s="424"/>
      <c r="DJ357" s="424"/>
      <c r="DK357" s="424"/>
      <c r="DL357" s="424"/>
      <c r="DM357" s="424"/>
      <c r="DN357" s="424"/>
      <c r="DO357" s="424"/>
      <c r="DP357" s="424"/>
      <c r="DQ357" s="424"/>
      <c r="DR357" s="424"/>
      <c r="DS357" s="424"/>
      <c r="DT357" s="424"/>
      <c r="DU357" s="424"/>
      <c r="DV357" s="424"/>
      <c r="DW357" s="424"/>
      <c r="DX357" s="424"/>
      <c r="DY357" s="424"/>
      <c r="DZ357" s="424"/>
      <c r="EA357" s="424"/>
      <c r="EB357" s="424"/>
      <c r="EC357" s="404" t="str">
        <f>EC352</f>
        <v/>
      </c>
      <c r="ED357" s="360" t="str">
        <f ca="1">IF(OR(EC357="",EJ357="",EC357=EJ357,ISNA(VLOOKUP(CONCATENATE(EC357,EJ357),games.a,2,FALSE))),"",CONCATENATE(EC357,EJ357))</f>
        <v/>
      </c>
      <c r="EE357" s="360" t="str">
        <f ca="1">IF(ED357="","",CONCATENATE(VLOOKUP(ED357,games.a,9,FALSE),VLOOKUP(ED357,games.a,12,FALSE)))</f>
        <v/>
      </c>
      <c r="EF357" s="420"/>
      <c r="EG357" s="421"/>
      <c r="EH357" s="525" t="str">
        <f ca="1">IF(ED357="","",VLOOKUP(ED357,games.a,6,FALSE))</f>
        <v/>
      </c>
      <c r="EI357" s="362" t="str">
        <f ca="1">IF(ED357="","",VLOOKUP(ED357,games.a,7,FALSE))</f>
        <v/>
      </c>
      <c r="EJ357" s="526" t="str">
        <f ca="1">EJ356</f>
        <v/>
      </c>
      <c r="EK357" s="527"/>
      <c r="EL357" s="528"/>
      <c r="EM357" s="424"/>
      <c r="EN357" s="424"/>
      <c r="EO357" s="425"/>
      <c r="EP357" s="333"/>
    </row>
    <row r="358" spans="80:146" x14ac:dyDescent="0.25">
      <c r="CB358" s="350"/>
      <c r="CC358" s="350"/>
      <c r="CD358" s="350"/>
      <c r="CE358" s="350"/>
      <c r="CF358" s="350"/>
      <c r="CG358" s="350"/>
      <c r="CH358" s="300"/>
      <c r="CR358" s="350"/>
      <c r="CS358" s="300"/>
      <c r="CT358" s="522" t="str">
        <f t="shared" si="357"/>
        <v/>
      </c>
      <c r="CU358" s="371" t="str">
        <f ca="1">IF(OR(CT358="",DA358="",CT358=DA358,ISNA(VLOOKUP(CONCATENATE(CT358,DA358),games.a,2,FALSE))),"",CONCATENATE(CT358,DA358))</f>
        <v/>
      </c>
      <c r="CV358" s="371" t="str">
        <f ca="1">IF(CU358="","",CONCATENATE(VLOOKUP(CU358,games.a,9,FALSE),VLOOKUP(CU358,games.a,12,FALSE)))</f>
        <v/>
      </c>
      <c r="CW358" s="369" t="str">
        <f ca="1">IF(CU358="","",VLOOKUP(CU358,games.a,10,FALSE))</f>
        <v/>
      </c>
      <c r="CX358" s="369" t="str">
        <f ca="1">IF(CU358="","",VLOOKUP(CU358,games.a,13,FALSE))</f>
        <v/>
      </c>
      <c r="CY358" s="423" t="str">
        <f ca="1">IF(CU358="","",VLOOKUP(CU358,games.a,6,FALSE))</f>
        <v/>
      </c>
      <c r="CZ358" s="409" t="str">
        <f ca="1">IF(CU358="","",VLOOKUP(CU358,games.a,7,FALSE))</f>
        <v/>
      </c>
      <c r="DA358" s="523" t="str">
        <f t="shared" ca="1" si="358"/>
        <v/>
      </c>
      <c r="DB358" s="302"/>
      <c r="DC358" s="364"/>
      <c r="DD358" s="302"/>
      <c r="DF358" s="424"/>
      <c r="DG358" s="424"/>
      <c r="DH358" s="424"/>
      <c r="DI358" s="424"/>
      <c r="DJ358" s="424"/>
      <c r="DK358" s="424"/>
      <c r="DL358" s="424"/>
      <c r="DM358" s="424"/>
      <c r="DN358" s="424"/>
      <c r="DO358" s="424"/>
      <c r="DP358" s="424"/>
      <c r="DQ358" s="424"/>
      <c r="DR358" s="424"/>
      <c r="DS358" s="424"/>
      <c r="DT358" s="424"/>
      <c r="DU358" s="424"/>
      <c r="DV358" s="424"/>
      <c r="DW358" s="424"/>
      <c r="DX358" s="424"/>
      <c r="DY358" s="424"/>
      <c r="DZ358" s="424"/>
      <c r="EA358" s="424"/>
      <c r="EB358" s="424"/>
      <c r="EC358" s="424"/>
      <c r="ED358" s="424"/>
      <c r="EE358" s="424"/>
      <c r="EF358" s="424"/>
      <c r="EG358" s="424"/>
      <c r="EH358" s="424"/>
      <c r="EI358" s="424"/>
      <c r="EJ358" s="424"/>
      <c r="EK358" s="424"/>
      <c r="EL358" s="424"/>
      <c r="EM358" s="424"/>
      <c r="EN358" s="424"/>
      <c r="EO358" s="425"/>
      <c r="EP358" s="333"/>
    </row>
    <row r="359" spans="80:146" x14ac:dyDescent="0.25">
      <c r="CB359" s="350"/>
      <c r="CC359" s="350"/>
      <c r="CD359" s="350"/>
      <c r="CE359" s="350"/>
      <c r="CF359" s="350"/>
      <c r="CG359" s="350"/>
      <c r="CH359" s="300"/>
      <c r="CR359" s="350"/>
      <c r="CS359" s="300"/>
      <c r="CT359" s="522" t="str">
        <f t="shared" si="357"/>
        <v/>
      </c>
      <c r="CU359" s="371" t="str">
        <f ca="1">IF(OR(CT359="",DA359="",CT359=DA359,ISNA(VLOOKUP(CONCATENATE(CT359,DA359),games.a,2,FALSE))),"",CONCATENATE(CT359,DA359))</f>
        <v/>
      </c>
      <c r="CV359" s="371" t="str">
        <f ca="1">IF(CU359="","",CONCATENATE(VLOOKUP(CU359,games.a,9,FALSE),VLOOKUP(CU359,games.a,12,FALSE)))</f>
        <v/>
      </c>
      <c r="CW359" s="369" t="str">
        <f ca="1">IF(CU359="","",VLOOKUP(CU359,games.a,10,FALSE))</f>
        <v/>
      </c>
      <c r="CX359" s="369" t="str">
        <f ca="1">IF(CU359="","",VLOOKUP(CU359,games.a,13,FALSE))</f>
        <v/>
      </c>
      <c r="CY359" s="423" t="str">
        <f ca="1">IF(CU359="","",VLOOKUP(CU359,games.a,6,FALSE))</f>
        <v/>
      </c>
      <c r="CZ359" s="409" t="str">
        <f ca="1">IF(CU359="","",VLOOKUP(CU359,games.a,7,FALSE))</f>
        <v/>
      </c>
      <c r="DA359" s="523" t="str">
        <f t="shared" ca="1" si="358"/>
        <v/>
      </c>
      <c r="DB359" s="302"/>
      <c r="DC359" s="364"/>
      <c r="DD359" s="302"/>
      <c r="DF359" s="424"/>
      <c r="DG359" s="424"/>
      <c r="DH359" s="424"/>
      <c r="DI359" s="424"/>
      <c r="DJ359" s="424"/>
      <c r="DK359" s="424"/>
      <c r="DL359" s="424"/>
      <c r="DM359" s="424"/>
      <c r="DN359" s="424"/>
      <c r="DO359" s="424"/>
      <c r="DP359" s="424"/>
      <c r="DQ359" s="424"/>
      <c r="DR359" s="424"/>
      <c r="DS359" s="424"/>
      <c r="DT359" s="424"/>
      <c r="DU359" s="424"/>
      <c r="DV359" s="424"/>
      <c r="DW359" s="424"/>
      <c r="DX359" s="424"/>
      <c r="DY359" s="424"/>
      <c r="DZ359" s="424"/>
      <c r="EA359" s="424"/>
      <c r="EB359" s="424"/>
      <c r="EC359" s="424"/>
      <c r="ED359" s="424"/>
      <c r="EE359" s="424"/>
      <c r="EF359" s="424"/>
      <c r="EG359" s="424"/>
      <c r="EH359" s="424"/>
      <c r="EI359" s="424"/>
      <c r="EJ359" s="424"/>
      <c r="EK359" s="424"/>
      <c r="EL359" s="424"/>
      <c r="EM359" s="424"/>
      <c r="EN359" s="424"/>
      <c r="EO359" s="425"/>
      <c r="EP359" s="333"/>
    </row>
    <row r="360" spans="80:146" x14ac:dyDescent="0.25">
      <c r="CB360" s="350"/>
      <c r="CC360" s="350"/>
      <c r="CD360" s="350"/>
      <c r="CE360" s="350"/>
      <c r="CF360" s="350"/>
      <c r="CG360" s="350"/>
      <c r="CH360" s="300"/>
      <c r="CR360" s="350"/>
      <c r="CS360" s="300"/>
      <c r="CT360" s="522" t="str">
        <f t="shared" si="357"/>
        <v/>
      </c>
      <c r="CU360" s="371" t="str">
        <f ca="1">IF(OR(CT360="",DA360="",CT360=DA360,ISNA(VLOOKUP(CONCATENATE(CT360,DA360),games.a,2,FALSE))),"",CONCATENATE(CT360,DA360))</f>
        <v/>
      </c>
      <c r="CV360" s="371" t="str">
        <f ca="1">IF(CU360="","",CONCATENATE(VLOOKUP(CU360,games.a,9,FALSE),VLOOKUP(CU360,games.a,12,FALSE)))</f>
        <v/>
      </c>
      <c r="CW360" s="369" t="str">
        <f ca="1">IF(CU360="","",VLOOKUP(CU360,games.a,10,FALSE))</f>
        <v/>
      </c>
      <c r="CX360" s="369" t="str">
        <f ca="1">IF(CU360="","",VLOOKUP(CU360,games.a,13,FALSE))</f>
        <v/>
      </c>
      <c r="CY360" s="423" t="str">
        <f ca="1">IF(CU360="","",VLOOKUP(CU360,games.a,6,FALSE))</f>
        <v/>
      </c>
      <c r="CZ360" s="409" t="str">
        <f ca="1">IF(CU360="","",VLOOKUP(CU360,games.a,7,FALSE))</f>
        <v/>
      </c>
      <c r="DA360" s="523" t="str">
        <f t="shared" ca="1" si="358"/>
        <v/>
      </c>
      <c r="DB360" s="302"/>
      <c r="DC360" s="364"/>
      <c r="DD360" s="302"/>
      <c r="DF360" s="424"/>
      <c r="DG360" s="424"/>
      <c r="DH360" s="424"/>
      <c r="DI360" s="424"/>
      <c r="DJ360" s="424"/>
      <c r="DK360" s="424"/>
      <c r="DL360" s="424"/>
      <c r="DM360" s="424"/>
      <c r="DN360" s="424"/>
      <c r="DO360" s="424"/>
      <c r="DP360" s="424"/>
      <c r="DQ360" s="424"/>
      <c r="DR360" s="424"/>
      <c r="DS360" s="424"/>
      <c r="DT360" s="424"/>
      <c r="DU360" s="424"/>
      <c r="DV360" s="424"/>
      <c r="DW360" s="424"/>
      <c r="DX360" s="424"/>
      <c r="DY360" s="424"/>
      <c r="DZ360" s="424"/>
      <c r="EA360" s="424"/>
      <c r="EB360" s="424"/>
      <c r="EC360" s="424"/>
      <c r="ED360" s="424"/>
      <c r="EE360" s="424"/>
      <c r="EF360" s="424"/>
      <c r="EG360" s="424"/>
      <c r="EH360" s="424"/>
      <c r="EI360" s="424"/>
      <c r="EJ360" s="424"/>
      <c r="EK360" s="424"/>
      <c r="EL360" s="424"/>
      <c r="EM360" s="424"/>
      <c r="EN360" s="424"/>
      <c r="EO360" s="425"/>
      <c r="EP360" s="333"/>
    </row>
    <row r="361" spans="80:146" x14ac:dyDescent="0.25">
      <c r="CB361" s="350"/>
      <c r="CC361" s="350"/>
      <c r="CD361" s="350"/>
      <c r="CE361" s="350"/>
      <c r="CF361" s="350"/>
      <c r="CG361" s="350"/>
      <c r="CH361" s="300"/>
      <c r="CR361" s="350"/>
      <c r="CS361" s="300"/>
      <c r="CT361" s="522" t="str">
        <f t="shared" si="357"/>
        <v/>
      </c>
      <c r="CU361" s="371" t="str">
        <f ca="1">IF(OR(CT361="",DA361="",CT361=DA361,ISNA(VLOOKUP(CONCATENATE(CT361,DA361),games.a,2,FALSE))),"",CONCATENATE(CT361,DA361))</f>
        <v/>
      </c>
      <c r="CV361" s="371" t="str">
        <f ca="1">IF(CU361="","",CONCATENATE(VLOOKUP(CU361,games.a,9,FALSE),VLOOKUP(CU361,games.a,12,FALSE)))</f>
        <v/>
      </c>
      <c r="CW361" s="369" t="str">
        <f ca="1">IF(CU361="","",VLOOKUP(CU361,games.a,10,FALSE))</f>
        <v/>
      </c>
      <c r="CX361" s="369" t="str">
        <f ca="1">IF(CU361="","",VLOOKUP(CU361,games.a,13,FALSE))</f>
        <v/>
      </c>
      <c r="CY361" s="423" t="str">
        <f ca="1">IF(CU361="","",VLOOKUP(CU361,games.a,6,FALSE))</f>
        <v/>
      </c>
      <c r="CZ361" s="409" t="str">
        <f ca="1">IF(CU361="","",VLOOKUP(CU361,games.a,7,FALSE))</f>
        <v/>
      </c>
      <c r="DA361" s="523" t="str">
        <f t="shared" ca="1" si="358"/>
        <v/>
      </c>
      <c r="DB361" s="302"/>
      <c r="DC361" s="364"/>
      <c r="DD361" s="302"/>
      <c r="DF361" s="424"/>
      <c r="DG361" s="424"/>
      <c r="DH361" s="424"/>
      <c r="DI361" s="424"/>
      <c r="DJ361" s="424"/>
      <c r="DK361" s="424"/>
      <c r="DL361" s="424"/>
      <c r="DM361" s="424"/>
      <c r="DN361" s="424"/>
      <c r="DO361" s="424"/>
      <c r="DP361" s="424"/>
      <c r="DQ361" s="424"/>
      <c r="DR361" s="424"/>
      <c r="DS361" s="424"/>
      <c r="DT361" s="424"/>
      <c r="DU361" s="424"/>
      <c r="DV361" s="424"/>
      <c r="DW361" s="424"/>
      <c r="DX361" s="424"/>
      <c r="DY361" s="424"/>
      <c r="DZ361" s="424"/>
      <c r="EA361" s="424"/>
      <c r="EB361" s="424"/>
      <c r="EC361" s="424"/>
      <c r="ED361" s="424"/>
      <c r="EE361" s="424"/>
      <c r="EF361" s="424"/>
      <c r="EG361" s="424"/>
      <c r="EH361" s="424"/>
      <c r="EI361" s="424"/>
      <c r="EJ361" s="424"/>
      <c r="EK361" s="424"/>
      <c r="EL361" s="424"/>
      <c r="EM361" s="424"/>
      <c r="EN361" s="424"/>
      <c r="EO361" s="425"/>
      <c r="EP361" s="333"/>
    </row>
    <row r="362" spans="80:146" x14ac:dyDescent="0.25">
      <c r="CB362" s="350"/>
      <c r="CC362" s="350"/>
      <c r="CD362" s="350"/>
      <c r="CE362" s="350"/>
      <c r="CF362" s="350"/>
      <c r="CG362" s="350"/>
      <c r="CH362" s="300"/>
      <c r="CR362" s="350"/>
      <c r="CS362" s="300"/>
      <c r="CT362" s="301"/>
      <c r="CU362" s="458" t="s">
        <v>157</v>
      </c>
      <c r="CV362" s="458" t="s">
        <v>158</v>
      </c>
      <c r="CW362" s="459" t="s">
        <v>159</v>
      </c>
      <c r="CX362" s="459"/>
      <c r="CY362" s="460" t="s">
        <v>160</v>
      </c>
      <c r="CZ362" s="459" t="s">
        <v>135</v>
      </c>
      <c r="DA362" s="302"/>
      <c r="DB362" s="302"/>
      <c r="DC362" s="364"/>
      <c r="DD362" s="302"/>
      <c r="DF362" s="424"/>
      <c r="DG362" s="424"/>
      <c r="DH362" s="424"/>
      <c r="DI362" s="424"/>
      <c r="DJ362" s="424"/>
      <c r="DK362" s="424"/>
      <c r="DL362" s="424"/>
      <c r="DM362" s="424"/>
      <c r="DN362" s="424"/>
      <c r="DO362" s="424"/>
      <c r="DP362" s="424"/>
      <c r="DQ362" s="424"/>
      <c r="DR362" s="424"/>
      <c r="DS362" s="424"/>
      <c r="DT362" s="424"/>
      <c r="DU362" s="424"/>
      <c r="DV362" s="424"/>
      <c r="DW362" s="424"/>
      <c r="DX362" s="424"/>
      <c r="DY362" s="424"/>
      <c r="DZ362" s="424"/>
      <c r="EA362" s="424"/>
      <c r="EB362" s="424"/>
      <c r="EC362" s="424"/>
      <c r="ED362" s="424"/>
      <c r="EE362" s="424"/>
      <c r="EF362" s="424"/>
      <c r="EG362" s="424"/>
      <c r="EH362" s="424"/>
      <c r="EI362" s="424"/>
      <c r="EJ362" s="424"/>
      <c r="EK362" s="424"/>
      <c r="EL362" s="424"/>
      <c r="EM362" s="424"/>
      <c r="EN362" s="424"/>
      <c r="EO362" s="425"/>
      <c r="EP362" s="333"/>
    </row>
    <row r="363" spans="80:146" x14ac:dyDescent="0.25">
      <c r="CB363" s="350"/>
      <c r="CC363" s="350"/>
      <c r="CD363" s="350"/>
      <c r="CE363" s="350"/>
      <c r="CF363" s="350"/>
      <c r="CG363" s="350"/>
      <c r="CR363" s="350"/>
      <c r="CS363" s="300"/>
      <c r="CT363" s="395" t="str">
        <f ca="1">CT352</f>
        <v/>
      </c>
      <c r="CU363" s="465" t="str">
        <f ca="1">IF(OR(CT363="",DA363="",CT363=DA363,COUNTIF(games.rv,CT363&amp;DA363)=0),"",CONCATENATE(CT363,DA363))</f>
        <v/>
      </c>
      <c r="CV363" s="360" t="str">
        <f ca="1">IF(CU363="","",CONCATENATE(VLOOKUP(CU363,games.r,9,FALSE),VLOOKUP(CU363,games.r,12,FALSE)))</f>
        <v/>
      </c>
      <c r="CW363" s="354" t="str">
        <f ca="1">IF(CU363="","",VLOOKUP(CU363,games.r,10,FALSE))</f>
        <v/>
      </c>
      <c r="CX363" s="354" t="str">
        <f ca="1">IF(CU363="","",VLOOKUP(CU363,games.r,13,FALSE))</f>
        <v/>
      </c>
      <c r="CY363" s="361" t="str">
        <f ca="1">IF(CU363="","",VLOOKUP(CU363,games.r,6,FALSE))</f>
        <v/>
      </c>
      <c r="CZ363" s="362" t="str">
        <f ca="1">IF(CU363="","",VLOOKUP(CU363,games.r,7,FALSE))</f>
        <v/>
      </c>
      <c r="DA363" s="466" t="str">
        <f ca="1">CT323</f>
        <v/>
      </c>
      <c r="DB363" s="302"/>
      <c r="DC363" s="364"/>
      <c r="DD363" s="302"/>
      <c r="DF363" s="424"/>
      <c r="DG363" s="424"/>
      <c r="DH363" s="424"/>
      <c r="DI363" s="424"/>
      <c r="DJ363" s="424"/>
      <c r="DK363" s="424"/>
      <c r="DL363" s="424"/>
      <c r="DM363" s="424"/>
      <c r="DN363" s="424"/>
      <c r="DO363" s="424"/>
      <c r="DP363" s="424"/>
      <c r="DQ363" s="424"/>
      <c r="DR363" s="424"/>
      <c r="DS363" s="424"/>
      <c r="DT363" s="424"/>
      <c r="DU363" s="424"/>
      <c r="DV363" s="424"/>
      <c r="DW363" s="424"/>
      <c r="DX363" s="424"/>
      <c r="DY363" s="424"/>
      <c r="DZ363" s="424"/>
      <c r="EA363" s="424"/>
      <c r="EB363" s="424"/>
      <c r="EC363" s="424"/>
      <c r="ED363" s="424"/>
      <c r="EE363" s="424"/>
      <c r="EF363" s="424"/>
      <c r="EG363" s="424"/>
      <c r="EH363" s="424"/>
      <c r="EI363" s="424"/>
      <c r="EJ363" s="424"/>
      <c r="EK363" s="424"/>
      <c r="EL363" s="424"/>
      <c r="EM363" s="424"/>
      <c r="EN363" s="424"/>
      <c r="EO363" s="425"/>
      <c r="EP363" s="333"/>
    </row>
    <row r="364" spans="80:146" x14ac:dyDescent="0.25">
      <c r="CB364" s="350"/>
      <c r="CC364" s="350"/>
      <c r="CD364" s="350"/>
      <c r="CE364" s="350"/>
      <c r="CF364" s="350"/>
      <c r="CG364" s="350"/>
      <c r="CR364" s="350"/>
      <c r="CS364" s="300"/>
      <c r="CT364" s="395" t="str">
        <f t="shared" ref="CT364:CT372" ca="1" si="359">CT353</f>
        <v/>
      </c>
      <c r="CU364" s="465" t="str">
        <f ca="1">IF(OR(CT364="",DA364="",CT364=DA364,COUNTIF(games.rv,CT364&amp;DA364)=0),"",CONCATENATE(CT364,DA364))</f>
        <v/>
      </c>
      <c r="CV364" s="360" t="str">
        <f ca="1">IF(CU364="","",CONCATENATE(VLOOKUP(CU364,games.r,9,FALSE),VLOOKUP(CU364,games.r,12,FALSE)))</f>
        <v/>
      </c>
      <c r="CW364" s="354" t="str">
        <f ca="1">IF(CU364="","",VLOOKUP(CU364,games.r,10,FALSE))</f>
        <v/>
      </c>
      <c r="CX364" s="354" t="str">
        <f ca="1">IF(CU364="","",VLOOKUP(CU364,games.r,13,FALSE))</f>
        <v/>
      </c>
      <c r="CY364" s="361" t="str">
        <f ca="1">IF(CU364="","",VLOOKUP(CU364,games.r,6,FALSE))</f>
        <v/>
      </c>
      <c r="CZ364" s="362" t="str">
        <f ca="1">IF(CU364="","",VLOOKUP(CU364,games.r,7,FALSE))</f>
        <v/>
      </c>
      <c r="DA364" s="379" t="str">
        <f ca="1">DA363</f>
        <v/>
      </c>
      <c r="DB364" s="302"/>
      <c r="DC364" s="364"/>
      <c r="DD364" s="302"/>
      <c r="DF364" s="424"/>
      <c r="DG364" s="424"/>
      <c r="DH364" s="424"/>
      <c r="DI364" s="424"/>
      <c r="DJ364" s="424"/>
      <c r="DK364" s="424"/>
      <c r="DL364" s="424"/>
      <c r="DM364" s="424"/>
      <c r="DN364" s="424"/>
      <c r="DO364" s="424"/>
      <c r="DP364" s="424"/>
      <c r="DQ364" s="424"/>
      <c r="DR364" s="424"/>
      <c r="DS364" s="424"/>
      <c r="DT364" s="424"/>
      <c r="DU364" s="424"/>
      <c r="DV364" s="424"/>
      <c r="DW364" s="424"/>
      <c r="DX364" s="424"/>
      <c r="DY364" s="424"/>
      <c r="DZ364" s="424"/>
      <c r="EA364" s="424"/>
      <c r="EB364" s="424"/>
      <c r="EC364" s="424"/>
      <c r="ED364" s="424"/>
      <c r="EE364" s="424"/>
      <c r="EF364" s="424"/>
      <c r="EG364" s="424"/>
      <c r="EH364" s="424"/>
      <c r="EI364" s="424"/>
      <c r="EJ364" s="424"/>
      <c r="EK364" s="424"/>
      <c r="EL364" s="424"/>
      <c r="EM364" s="424"/>
      <c r="EN364" s="424"/>
      <c r="EO364" s="425"/>
      <c r="EP364" s="333"/>
    </row>
    <row r="365" spans="80:146" x14ac:dyDescent="0.25">
      <c r="CB365" s="350"/>
      <c r="CC365" s="350"/>
      <c r="CD365" s="350"/>
      <c r="CE365" s="350"/>
      <c r="CF365" s="350"/>
      <c r="CG365" s="350"/>
      <c r="CR365" s="350"/>
      <c r="CS365" s="300"/>
      <c r="CT365" s="395" t="str">
        <f t="shared" ca="1" si="359"/>
        <v/>
      </c>
      <c r="CU365" s="465" t="str">
        <f ca="1">IF(OR(CT365="",DA365="",CT365=DA365,COUNTIF(games.rv,CT365&amp;DA365)=0),"",CONCATENATE(CT365,DA365))</f>
        <v/>
      </c>
      <c r="CV365" s="360" t="str">
        <f ca="1">IF(CU365="","",CONCATENATE(VLOOKUP(CU365,games.r,9,FALSE),VLOOKUP(CU365,games.r,12,FALSE)))</f>
        <v/>
      </c>
      <c r="CW365" s="354" t="str">
        <f ca="1">IF(CU365="","",VLOOKUP(CU365,games.r,10,FALSE))</f>
        <v/>
      </c>
      <c r="CX365" s="354" t="str">
        <f ca="1">IF(CU365="","",VLOOKUP(CU365,games.r,13,FALSE))</f>
        <v/>
      </c>
      <c r="CY365" s="361" t="str">
        <f ca="1">IF(CU365="","",VLOOKUP(CU365,games.r,6,FALSE))</f>
        <v/>
      </c>
      <c r="CZ365" s="362" t="str">
        <f ca="1">IF(CU365="","",VLOOKUP(CU365,games.r,7,FALSE))</f>
        <v/>
      </c>
      <c r="DA365" s="379" t="str">
        <f t="shared" ref="DA365:DA372" ca="1" si="360">DA364</f>
        <v/>
      </c>
      <c r="DB365" s="302"/>
      <c r="DC365" s="364"/>
      <c r="DD365" s="302"/>
      <c r="DF365" s="424"/>
      <c r="DG365" s="424"/>
      <c r="DH365" s="424"/>
      <c r="DI365" s="424"/>
      <c r="DJ365" s="424"/>
      <c r="DK365" s="424"/>
      <c r="DL365" s="424"/>
      <c r="DM365" s="424"/>
      <c r="DN365" s="424"/>
      <c r="DO365" s="424"/>
      <c r="DP365" s="424"/>
      <c r="DQ365" s="424"/>
      <c r="DR365" s="424"/>
      <c r="DS365" s="424"/>
      <c r="DT365" s="424"/>
      <c r="DU365" s="424"/>
      <c r="DV365" s="424"/>
      <c r="DW365" s="424"/>
      <c r="DX365" s="424"/>
      <c r="DY365" s="424"/>
      <c r="DZ365" s="424"/>
      <c r="EA365" s="424"/>
      <c r="EB365" s="424"/>
      <c r="EC365" s="424"/>
      <c r="ED365" s="424"/>
      <c r="EE365" s="424"/>
      <c r="EF365" s="424"/>
      <c r="EG365" s="424"/>
      <c r="EH365" s="424"/>
      <c r="EI365" s="424"/>
      <c r="EJ365" s="424"/>
      <c r="EK365" s="424"/>
      <c r="EL365" s="424"/>
      <c r="EM365" s="424"/>
      <c r="EN365" s="424"/>
      <c r="EO365" s="425"/>
      <c r="EP365" s="333"/>
    </row>
    <row r="366" spans="80:146" x14ac:dyDescent="0.25">
      <c r="CB366" s="350"/>
      <c r="CC366" s="454" t="s">
        <v>212</v>
      </c>
      <c r="CD366" s="454" t="s">
        <v>420</v>
      </c>
      <c r="CE366" s="454" t="s">
        <v>421</v>
      </c>
      <c r="CF366" s="296"/>
      <c r="CG366" s="296"/>
      <c r="CI366" s="455" t="str">
        <f>IF(CH367=0,"xxx",VLOOKUP(CH367,CC367:CF376,IF(ASZTAB!$AJ$44,3,2),FALSE))</f>
        <v>xxx</v>
      </c>
      <c r="CJ366" s="456"/>
      <c r="CK366" s="457" t="s">
        <v>370</v>
      </c>
      <c r="CL366" s="455" t="str">
        <f>IF(CH368=0,"xxx",VLOOKUP(CH368,CC367:CF376,IF(ASZTAB!$AJ$44,3,2),FALSE))</f>
        <v>xxx</v>
      </c>
      <c r="CM366" s="456"/>
      <c r="CN366" s="457" t="s">
        <v>371</v>
      </c>
      <c r="CO366" s="455" t="str">
        <f>IF(CH369=0,"xxx",VLOOKUP(CH369,CC367:CF376,IF(ASZTAB!$AJ$44,3,2),FALSE))</f>
        <v>xxx</v>
      </c>
      <c r="CP366" s="456"/>
      <c r="CQ366" s="457" t="s">
        <v>372</v>
      </c>
      <c r="CR366" s="350"/>
      <c r="CS366" s="300"/>
      <c r="CT366" s="395" t="str">
        <f t="shared" ca="1" si="359"/>
        <v/>
      </c>
      <c r="CU366" s="465" t="str">
        <f ca="1">IF(OR(CT366="",DA366="",CT366=DA366,COUNTIF(games.rv,CT366&amp;DA366)=0),"",CONCATENATE(CT366,DA366))</f>
        <v/>
      </c>
      <c r="CV366" s="360" t="str">
        <f ca="1">IF(CU366="","",CONCATENATE(VLOOKUP(CU366,games.r,9,FALSE),VLOOKUP(CU366,games.r,12,FALSE)))</f>
        <v/>
      </c>
      <c r="CW366" s="354" t="str">
        <f ca="1">IF(CU366="","",VLOOKUP(CU366,games.r,10,FALSE))</f>
        <v/>
      </c>
      <c r="CX366" s="354" t="str">
        <f ca="1">IF(CU366="","",VLOOKUP(CU366,games.r,13,FALSE))</f>
        <v/>
      </c>
      <c r="CY366" s="361" t="str">
        <f ca="1">IF(CU366="","",VLOOKUP(CU366,games.r,6,FALSE))</f>
        <v/>
      </c>
      <c r="CZ366" s="362" t="str">
        <f ca="1">IF(CU366="","",VLOOKUP(CU366,games.r,7,FALSE))</f>
        <v/>
      </c>
      <c r="DA366" s="379" t="str">
        <f t="shared" ca="1" si="360"/>
        <v/>
      </c>
      <c r="DB366" s="302"/>
      <c r="DC366" s="364"/>
      <c r="DD366" s="302"/>
      <c r="DF366" s="424"/>
      <c r="DG366" s="424"/>
      <c r="DH366" s="424"/>
      <c r="DI366" s="424"/>
      <c r="DJ366" s="424"/>
      <c r="DK366" s="424"/>
      <c r="DL366" s="424"/>
      <c r="DM366" s="424"/>
      <c r="DN366" s="424"/>
      <c r="DO366" s="424"/>
      <c r="DP366" s="424"/>
      <c r="DQ366" s="424"/>
      <c r="DR366" s="424"/>
      <c r="DS366" s="424"/>
      <c r="DT366" s="424"/>
      <c r="DU366" s="424"/>
      <c r="DV366" s="424"/>
      <c r="DW366" s="424"/>
      <c r="DX366" s="424"/>
      <c r="DY366" s="424"/>
      <c r="DZ366" s="424"/>
      <c r="EA366" s="424"/>
      <c r="EB366" s="424"/>
      <c r="EC366" s="424"/>
      <c r="ED366" s="424"/>
      <c r="EE366" s="424"/>
      <c r="EF366" s="424"/>
      <c r="EG366" s="424"/>
      <c r="EH366" s="424"/>
      <c r="EI366" s="424"/>
      <c r="EJ366" s="424"/>
      <c r="EK366" s="424"/>
      <c r="EL366" s="424"/>
      <c r="EM366" s="424"/>
      <c r="EN366" s="424"/>
      <c r="EO366" s="425"/>
      <c r="EP366" s="333"/>
    </row>
    <row r="367" spans="80:146" x14ac:dyDescent="0.25">
      <c r="CB367" s="350"/>
      <c r="CC367" s="461">
        <f>IF(ASZTAB!$AJ$44,COUNTIF($BI$90:$BI$99,CE367)*IF(CE367=0,0,1),COUNTIF($BG$90:$BG$99,CD367)*IF(CD367=0,0,1))+CF367/1000</f>
        <v>1E-3</v>
      </c>
      <c r="CD367" s="352">
        <f>LARGE($BG$90:$BG$99,CF367)</f>
        <v>0</v>
      </c>
      <c r="CE367" s="353">
        <f>LARGE($BI$90:$BI$99,CF367)</f>
        <v>0</v>
      </c>
      <c r="CF367" s="354">
        <v>1</v>
      </c>
      <c r="CG367" s="350"/>
      <c r="CH367" s="462">
        <f>IF(LARGE(CC367:CC376,CF367)&lt;2,0,LARGE(CC367:CC376,CF367))</f>
        <v>0</v>
      </c>
      <c r="CI367" s="356" t="str">
        <f>IF(OR(CI$366=$BG90,CI$366=$BI90),$AW90,"")</f>
        <v/>
      </c>
      <c r="CJ367" s="357" t="str">
        <f t="shared" ref="CJ367:CJ376" si="361">IF(CI367="","",CF367)</f>
        <v/>
      </c>
      <c r="CK367" s="463" t="str">
        <f>IF(ISERR(LARGE(CJ367:CJ376,CF367)),"",LARGE(CJ367:CJ376,CF367))</f>
        <v/>
      </c>
      <c r="CL367" s="356" t="str">
        <f>IF(OR(CL$366=$BG90,CL$366=$BI90),$AW90,"")</f>
        <v/>
      </c>
      <c r="CM367" s="357" t="str">
        <f t="shared" ref="CM367:CM376" si="362">IF(CL367="","",CF367)</f>
        <v/>
      </c>
      <c r="CN367" s="463" t="str">
        <f>IF(ISERR(LARGE(CM367:CM376,CF367)),"",LARGE(CM367:CM376,CF367))</f>
        <v/>
      </c>
      <c r="CO367" s="356" t="str">
        <f>IF(OR(CO$366=$BG90,CO$366=$BI90),$AW90,"")</f>
        <v/>
      </c>
      <c r="CP367" s="357" t="str">
        <f t="shared" ref="CP367:CP376" si="363">IF(CO367="","",CF367)</f>
        <v/>
      </c>
      <c r="CQ367" s="463" t="str">
        <f>IF(ISERR(LARGE(CP367:CP376,CF367)),"",LARGE(CP367:CP376,CF367))</f>
        <v/>
      </c>
      <c r="CR367" s="350"/>
      <c r="CS367" s="300"/>
      <c r="CT367" s="395" t="str">
        <f t="shared" ca="1" si="359"/>
        <v/>
      </c>
      <c r="CU367" s="465" t="str">
        <f ca="1">IF(OR(CT367="",DA367="",CT367=DA367,COUNTIF(games.rv,CT367&amp;DA367)=0),"",CONCATENATE(CT367,DA367))</f>
        <v/>
      </c>
      <c r="CV367" s="360" t="str">
        <f ca="1">IF(CU367="","",CONCATENATE(VLOOKUP(CU367,games.r,9,FALSE),VLOOKUP(CU367,games.r,12,FALSE)))</f>
        <v/>
      </c>
      <c r="CW367" s="354" t="str">
        <f ca="1">IF(CU367="","",VLOOKUP(CU367,games.r,10,FALSE))</f>
        <v/>
      </c>
      <c r="CX367" s="354" t="str">
        <f ca="1">IF(CU367="","",VLOOKUP(CU367,games.r,13,FALSE))</f>
        <v/>
      </c>
      <c r="CY367" s="361" t="str">
        <f ca="1">IF(CU367="","",VLOOKUP(CU367,games.r,6,FALSE))</f>
        <v/>
      </c>
      <c r="CZ367" s="362" t="str">
        <f ca="1">IF(CU367="","",VLOOKUP(CU367,games.r,7,FALSE))</f>
        <v/>
      </c>
      <c r="DA367" s="379" t="str">
        <f t="shared" ca="1" si="360"/>
        <v/>
      </c>
      <c r="DB367" s="302"/>
      <c r="DC367" s="364"/>
      <c r="DD367" s="302"/>
      <c r="DF367" s="424"/>
      <c r="DG367" s="424"/>
      <c r="DH367" s="424"/>
      <c r="DI367" s="424"/>
      <c r="DJ367" s="424"/>
      <c r="DK367" s="424"/>
      <c r="DL367" s="424"/>
      <c r="DM367" s="424"/>
      <c r="DN367" s="424"/>
      <c r="DO367" s="424"/>
      <c r="DP367" s="424"/>
      <c r="DQ367" s="424"/>
      <c r="DR367" s="424"/>
      <c r="DS367" s="424"/>
      <c r="DT367" s="424"/>
      <c r="DU367" s="424"/>
      <c r="DV367" s="424"/>
      <c r="DW367" s="424"/>
      <c r="DX367" s="424"/>
      <c r="DY367" s="424"/>
      <c r="DZ367" s="424"/>
      <c r="EA367" s="424"/>
      <c r="EB367" s="424"/>
      <c r="EC367" s="424"/>
      <c r="ED367" s="424"/>
      <c r="EE367" s="424"/>
      <c r="EF367" s="424"/>
      <c r="EG367" s="424"/>
      <c r="EH367" s="424"/>
      <c r="EI367" s="424"/>
      <c r="EJ367" s="424"/>
      <c r="EK367" s="424"/>
      <c r="EL367" s="424"/>
      <c r="EM367" s="424"/>
      <c r="EN367" s="424"/>
      <c r="EO367" s="425"/>
      <c r="EP367" s="333"/>
    </row>
    <row r="368" spans="80:146" x14ac:dyDescent="0.25">
      <c r="CB368" s="350"/>
      <c r="CC368" s="353">
        <f>IF(ASZTAB!$AJ$44,COUNTIF($BI$90:$BI$99,CE368)*IF(OR(CE368=CE367,CE368=0),0,1),COUNTIF($BG$90:$BG$99,CD368)*IF(OR(CD368=CD367,CD368=0),0,1))+CF368/1000</f>
        <v>2E-3</v>
      </c>
      <c r="CD368" s="352">
        <f t="shared" ref="CD368:CD376" si="364">LARGE($BG$90:$BG$99,CF368)</f>
        <v>0</v>
      </c>
      <c r="CE368" s="353">
        <f t="shared" ref="CE368:CE376" si="365">LARGE($BI$90:$BI$99,CF368)</f>
        <v>0</v>
      </c>
      <c r="CF368" s="354">
        <v>2</v>
      </c>
      <c r="CG368" s="350"/>
      <c r="CH368" s="462">
        <f>IF(LARGE(CC367:CC376,CF368)&lt;2,0,LARGE(CC367:CC376,CF368))</f>
        <v>0</v>
      </c>
      <c r="CI368" s="356" t="str">
        <f t="shared" ref="CI368:CI376" si="366">IF(OR(CI$366=$BG91,CI$366=$BI91),$AW91,"")</f>
        <v/>
      </c>
      <c r="CJ368" s="357" t="str">
        <f t="shared" si="361"/>
        <v/>
      </c>
      <c r="CK368" s="463" t="str">
        <f>IF(ISERR(LARGE(CJ367:CJ376,CF368)),"",LARGE(CJ367:CJ376,CF368))</f>
        <v/>
      </c>
      <c r="CL368" s="356" t="str">
        <f t="shared" ref="CL368:CL376" si="367">IF(OR(CL$366=$BG91,CL$366=$BI91),$AW91,"")</f>
        <v/>
      </c>
      <c r="CM368" s="357" t="str">
        <f t="shared" si="362"/>
        <v/>
      </c>
      <c r="CN368" s="463" t="str">
        <f>IF(ISERR(LARGE(CM367:CM376,CF368)),"",LARGE(CM367:CM376,CF368))</f>
        <v/>
      </c>
      <c r="CO368" s="356" t="str">
        <f t="shared" ref="CO368:CO376" si="368">IF(OR(CO$366=$BG91,CO$366=$BI91),$AW91,"")</f>
        <v/>
      </c>
      <c r="CP368" s="357" t="str">
        <f t="shared" si="363"/>
        <v/>
      </c>
      <c r="CQ368" s="463" t="str">
        <f>IF(ISERR(LARGE(CP367:CP376,CF368)),"",LARGE(CP367:CP376,CF368))</f>
        <v/>
      </c>
      <c r="CR368" s="350"/>
      <c r="CS368" s="300"/>
      <c r="CT368" s="522" t="str">
        <f t="shared" si="359"/>
        <v/>
      </c>
      <c r="CU368" s="371" t="str">
        <f ca="1">IF(OR(CT368="",DA368="",CT368=DA368,ISNA(VLOOKUP(CONCATENATE(CT368,DA368),games.a,2,FALSE))),"",CONCATENATE(CT368,DA368))</f>
        <v/>
      </c>
      <c r="CV368" s="371" t="str">
        <f ca="1">IF(CU368="","",CONCATENATE(VLOOKUP(CU368,games.a,9,FALSE),VLOOKUP(CU368,games.a,12,FALSE)))</f>
        <v/>
      </c>
      <c r="CW368" s="369" t="str">
        <f ca="1">IF(CU368="","",VLOOKUP(CU368,games.a,10,FALSE))</f>
        <v/>
      </c>
      <c r="CX368" s="369" t="str">
        <f ca="1">IF(CU368="","",VLOOKUP(CU368,games.a,13,FALSE))</f>
        <v/>
      </c>
      <c r="CY368" s="423" t="str">
        <f ca="1">IF(CU368="","",VLOOKUP(CU368,games.a,6,FALSE))</f>
        <v/>
      </c>
      <c r="CZ368" s="409" t="str">
        <f ca="1">IF(CU368="","",VLOOKUP(CU368,games.a,7,FALSE))</f>
        <v/>
      </c>
      <c r="DA368" s="523" t="str">
        <f t="shared" ca="1" si="360"/>
        <v/>
      </c>
      <c r="DB368" s="302"/>
      <c r="DC368" s="364"/>
      <c r="DD368" s="302"/>
      <c r="DF368" s="424"/>
      <c r="DG368" s="424"/>
      <c r="DH368" s="424"/>
      <c r="DI368" s="424"/>
      <c r="DJ368" s="424"/>
      <c r="DK368" s="424"/>
      <c r="DL368" s="424"/>
      <c r="DM368" s="424"/>
      <c r="DN368" s="424"/>
      <c r="DO368" s="424"/>
      <c r="DP368" s="424"/>
      <c r="DQ368" s="424"/>
      <c r="DR368" s="424"/>
      <c r="DS368" s="424"/>
      <c r="DT368" s="424"/>
      <c r="DU368" s="424"/>
      <c r="DV368" s="424"/>
      <c r="DW368" s="424"/>
      <c r="DX368" s="424"/>
      <c r="DY368" s="424"/>
      <c r="DZ368" s="424"/>
      <c r="EA368" s="424"/>
      <c r="EB368" s="424"/>
      <c r="EC368" s="424"/>
      <c r="ED368" s="424"/>
      <c r="EE368" s="424"/>
      <c r="EF368" s="424"/>
      <c r="EG368" s="424"/>
      <c r="EH368" s="424"/>
      <c r="EI368" s="424"/>
      <c r="EJ368" s="424"/>
      <c r="EK368" s="424"/>
      <c r="EL368" s="424"/>
      <c r="EM368" s="424"/>
      <c r="EN368" s="424"/>
      <c r="EO368" s="425"/>
      <c r="EP368" s="333"/>
    </row>
    <row r="369" spans="80:146" x14ac:dyDescent="0.25">
      <c r="CB369" s="350"/>
      <c r="CC369" s="353">
        <f>IF(ASZTAB!$AJ$44,COUNTIF($BI$90:$BI$99,CE369)*IF(OR(CE369=CE368,CE369=0),0,1),COUNTIF($BG$90:$BG$99,CD369)*IF(OR(CD369=CD368,CD369=0),0,1))+CF369/1000</f>
        <v>3.0000000000000001E-3</v>
      </c>
      <c r="CD369" s="352">
        <f t="shared" si="364"/>
        <v>0</v>
      </c>
      <c r="CE369" s="353">
        <f t="shared" si="365"/>
        <v>0</v>
      </c>
      <c r="CF369" s="354">
        <v>3</v>
      </c>
      <c r="CG369" s="350"/>
      <c r="CH369" s="462">
        <f>IF(LARGE(CC367:CC376,CF369)&lt;2,0,LARGE(CC367:CC376,CF369))</f>
        <v>0</v>
      </c>
      <c r="CI369" s="356" t="str">
        <f t="shared" si="366"/>
        <v/>
      </c>
      <c r="CJ369" s="357" t="str">
        <f t="shared" si="361"/>
        <v/>
      </c>
      <c r="CK369" s="463" t="str">
        <f>IF(ISERR(LARGE(CJ367:CJ376,CF369)),"",LARGE(CJ367:CJ376,CF369))</f>
        <v/>
      </c>
      <c r="CL369" s="356" t="str">
        <f t="shared" si="367"/>
        <v/>
      </c>
      <c r="CM369" s="357" t="str">
        <f t="shared" si="362"/>
        <v/>
      </c>
      <c r="CN369" s="463" t="str">
        <f>IF(ISERR(LARGE(CM367:CM376,CF369)),"",LARGE(CM367:CM376,CF369))</f>
        <v/>
      </c>
      <c r="CO369" s="356" t="str">
        <f t="shared" si="368"/>
        <v/>
      </c>
      <c r="CP369" s="357" t="str">
        <f t="shared" si="363"/>
        <v/>
      </c>
      <c r="CQ369" s="380"/>
      <c r="CR369" s="350"/>
      <c r="CS369" s="300"/>
      <c r="CT369" s="522" t="str">
        <f t="shared" si="359"/>
        <v/>
      </c>
      <c r="CU369" s="371" t="str">
        <f ca="1">IF(OR(CT369="",DA369="",CT369=DA369,ISNA(VLOOKUP(CONCATENATE(CT369,DA369),games.a,2,FALSE))),"",CONCATENATE(CT369,DA369))</f>
        <v/>
      </c>
      <c r="CV369" s="371" t="str">
        <f ca="1">IF(CU369="","",CONCATENATE(VLOOKUP(CU369,games.a,9,FALSE),VLOOKUP(CU369,games.a,12,FALSE)))</f>
        <v/>
      </c>
      <c r="CW369" s="369" t="str">
        <f ca="1">IF(CU369="","",VLOOKUP(CU369,games.a,10,FALSE))</f>
        <v/>
      </c>
      <c r="CX369" s="369" t="str">
        <f ca="1">IF(CU369="","",VLOOKUP(CU369,games.a,13,FALSE))</f>
        <v/>
      </c>
      <c r="CY369" s="423" t="str">
        <f ca="1">IF(CU369="","",VLOOKUP(CU369,games.a,6,FALSE))</f>
        <v/>
      </c>
      <c r="CZ369" s="409" t="str">
        <f ca="1">IF(CU369="","",VLOOKUP(CU369,games.a,7,FALSE))</f>
        <v/>
      </c>
      <c r="DA369" s="523" t="str">
        <f t="shared" ca="1" si="360"/>
        <v/>
      </c>
      <c r="DB369" s="302"/>
      <c r="DC369" s="364"/>
      <c r="DD369" s="302"/>
      <c r="DF369" s="424"/>
      <c r="DG369" s="424"/>
      <c r="DH369" s="424"/>
      <c r="DI369" s="424"/>
      <c r="DJ369" s="424"/>
      <c r="DK369" s="424"/>
      <c r="DL369" s="424"/>
      <c r="DM369" s="424"/>
      <c r="DN369" s="424"/>
      <c r="DO369" s="424"/>
      <c r="DP369" s="424"/>
      <c r="DQ369" s="424"/>
      <c r="DR369" s="424"/>
      <c r="DS369" s="424"/>
      <c r="DT369" s="424"/>
      <c r="DU369" s="424"/>
      <c r="DV369" s="424"/>
      <c r="DW369" s="424"/>
      <c r="DX369" s="424"/>
      <c r="DY369" s="424"/>
      <c r="DZ369" s="424"/>
      <c r="EA369" s="424"/>
      <c r="EB369" s="424"/>
      <c r="EC369" s="424"/>
      <c r="ED369" s="424"/>
      <c r="EE369" s="424"/>
      <c r="EF369" s="424"/>
      <c r="EG369" s="424"/>
      <c r="EH369" s="424"/>
      <c r="EI369" s="424"/>
      <c r="EJ369" s="424"/>
      <c r="EK369" s="424"/>
      <c r="EL369" s="424"/>
      <c r="EM369" s="424"/>
      <c r="EN369" s="424"/>
      <c r="EO369" s="425"/>
      <c r="EP369" s="333"/>
    </row>
    <row r="370" spans="80:146" x14ac:dyDescent="0.25">
      <c r="CB370" s="350"/>
      <c r="CC370" s="353">
        <f>IF(ASZTAB!$AJ$44,COUNTIF($BI$90:$BI$99,CE370)*IF(OR(CE370=CE369,CE370=0),0,1),COUNTIF($BG$90:$BG$99,CD370)*IF(OR(CD370=CD369,CD370=0),0,1))+CF370/1000</f>
        <v>4.0000000000000001E-3</v>
      </c>
      <c r="CD370" s="352">
        <f t="shared" si="364"/>
        <v>0</v>
      </c>
      <c r="CE370" s="353">
        <f t="shared" si="365"/>
        <v>0</v>
      </c>
      <c r="CF370" s="354">
        <v>4</v>
      </c>
      <c r="CG370" s="350"/>
      <c r="CH370" s="300"/>
      <c r="CI370" s="356" t="str">
        <f t="shared" si="366"/>
        <v/>
      </c>
      <c r="CJ370" s="357" t="str">
        <f t="shared" si="361"/>
        <v/>
      </c>
      <c r="CK370" s="463" t="str">
        <f>IF(ISERR(LARGE(CJ367:CJ376,CF370)),"",LARGE(CJ367:CJ376,CF370))</f>
        <v/>
      </c>
      <c r="CL370" s="356" t="str">
        <f t="shared" si="367"/>
        <v/>
      </c>
      <c r="CM370" s="357" t="str">
        <f t="shared" si="362"/>
        <v/>
      </c>
      <c r="CN370" s="380"/>
      <c r="CO370" s="356" t="str">
        <f t="shared" si="368"/>
        <v/>
      </c>
      <c r="CP370" s="357" t="str">
        <f t="shared" si="363"/>
        <v/>
      </c>
      <c r="CQ370" s="385"/>
      <c r="CR370" s="350"/>
      <c r="CS370" s="300"/>
      <c r="CT370" s="522" t="str">
        <f t="shared" si="359"/>
        <v/>
      </c>
      <c r="CU370" s="371" t="str">
        <f ca="1">IF(OR(CT370="",DA370="",CT370=DA370,ISNA(VLOOKUP(CONCATENATE(CT370,DA370),games.a,2,FALSE))),"",CONCATENATE(CT370,DA370))</f>
        <v/>
      </c>
      <c r="CV370" s="371" t="str">
        <f ca="1">IF(CU370="","",CONCATENATE(VLOOKUP(CU370,games.a,9,FALSE),VLOOKUP(CU370,games.a,12,FALSE)))</f>
        <v/>
      </c>
      <c r="CW370" s="369" t="str">
        <f ca="1">IF(CU370="","",VLOOKUP(CU370,games.a,10,FALSE))</f>
        <v/>
      </c>
      <c r="CX370" s="369" t="str">
        <f ca="1">IF(CU370="","",VLOOKUP(CU370,games.a,13,FALSE))</f>
        <v/>
      </c>
      <c r="CY370" s="423" t="str">
        <f ca="1">IF(CU370="","",VLOOKUP(CU370,games.a,6,FALSE))</f>
        <v/>
      </c>
      <c r="CZ370" s="409" t="str">
        <f ca="1">IF(CU370="","",VLOOKUP(CU370,games.a,7,FALSE))</f>
        <v/>
      </c>
      <c r="DA370" s="523" t="str">
        <f t="shared" ca="1" si="360"/>
        <v/>
      </c>
      <c r="DB370" s="302"/>
      <c r="DC370" s="364"/>
      <c r="DD370" s="302"/>
      <c r="DF370" s="424"/>
      <c r="DG370" s="424"/>
      <c r="DH370" s="424"/>
      <c r="DI370" s="424"/>
      <c r="DJ370" s="424"/>
      <c r="DK370" s="424"/>
      <c r="DL370" s="424"/>
      <c r="DM370" s="424"/>
      <c r="DN370" s="424"/>
      <c r="DO370" s="424"/>
      <c r="DP370" s="424"/>
      <c r="DQ370" s="424"/>
      <c r="DR370" s="424"/>
      <c r="DS370" s="424"/>
      <c r="DT370" s="424"/>
      <c r="DU370" s="424"/>
      <c r="DV370" s="424"/>
      <c r="DW370" s="424"/>
      <c r="DX370" s="424"/>
      <c r="DY370" s="424"/>
      <c r="DZ370" s="424"/>
      <c r="EA370" s="424"/>
      <c r="EB370" s="424"/>
      <c r="EC370" s="424"/>
      <c r="ED370" s="424"/>
      <c r="EE370" s="424"/>
      <c r="EF370" s="424"/>
      <c r="EG370" s="424"/>
      <c r="EH370" s="424"/>
      <c r="EI370" s="424"/>
      <c r="EJ370" s="424"/>
      <c r="EK370" s="424"/>
      <c r="EL370" s="424"/>
      <c r="EM370" s="424"/>
      <c r="EN370" s="424"/>
      <c r="EO370" s="425"/>
      <c r="EP370" s="333"/>
    </row>
    <row r="371" spans="80:146" x14ac:dyDescent="0.25">
      <c r="CB371" s="350"/>
      <c r="CC371" s="353">
        <f>IF(ASZTAB!$AJ$44,COUNTIF($BI$90:$BI$99,CE371)*IF(OR(CE371=CE370,CE371=0),0,1),COUNTIF($BG$90:$BG$99,CD371)*IF(OR(CD371=CD370,CD371=0),0,1))+CF371/1000</f>
        <v>5.0000000000000001E-3</v>
      </c>
      <c r="CD371" s="352">
        <f t="shared" si="364"/>
        <v>0</v>
      </c>
      <c r="CE371" s="353">
        <f t="shared" si="365"/>
        <v>0</v>
      </c>
      <c r="CF371" s="354">
        <v>5</v>
      </c>
      <c r="CG371" s="350"/>
      <c r="CH371" s="300"/>
      <c r="CI371" s="356" t="str">
        <f t="shared" si="366"/>
        <v/>
      </c>
      <c r="CJ371" s="357" t="str">
        <f t="shared" si="361"/>
        <v/>
      </c>
      <c r="CK371" s="463" t="str">
        <f>IF(ISERR(LARGE(CJ367:CJ376,CF371)),"",LARGE(CJ367:CJ376,CF371))</f>
        <v/>
      </c>
      <c r="CL371" s="356" t="str">
        <f t="shared" si="367"/>
        <v/>
      </c>
      <c r="CM371" s="357" t="str">
        <f t="shared" si="362"/>
        <v/>
      </c>
      <c r="CN371" s="385"/>
      <c r="CO371" s="356" t="str">
        <f t="shared" si="368"/>
        <v/>
      </c>
      <c r="CP371" s="357" t="str">
        <f t="shared" si="363"/>
        <v/>
      </c>
      <c r="CQ371" s="385"/>
      <c r="CR371" s="350"/>
      <c r="CS371" s="300"/>
      <c r="CT371" s="522" t="str">
        <f t="shared" si="359"/>
        <v/>
      </c>
      <c r="CU371" s="371" t="str">
        <f ca="1">IF(OR(CT371="",DA371="",CT371=DA371,ISNA(VLOOKUP(CONCATENATE(CT371,DA371),games.a,2,FALSE))),"",CONCATENATE(CT371,DA371))</f>
        <v/>
      </c>
      <c r="CV371" s="371" t="str">
        <f ca="1">IF(CU371="","",CONCATENATE(VLOOKUP(CU371,games.a,9,FALSE),VLOOKUP(CU371,games.a,12,FALSE)))</f>
        <v/>
      </c>
      <c r="CW371" s="369" t="str">
        <f ca="1">IF(CU371="","",VLOOKUP(CU371,games.a,10,FALSE))</f>
        <v/>
      </c>
      <c r="CX371" s="369" t="str">
        <f ca="1">IF(CU371="","",VLOOKUP(CU371,games.a,13,FALSE))</f>
        <v/>
      </c>
      <c r="CY371" s="423" t="str">
        <f ca="1">IF(CU371="","",VLOOKUP(CU371,games.a,6,FALSE))</f>
        <v/>
      </c>
      <c r="CZ371" s="409" t="str">
        <f ca="1">IF(CU371="","",VLOOKUP(CU371,games.a,7,FALSE))</f>
        <v/>
      </c>
      <c r="DA371" s="523" t="str">
        <f t="shared" ca="1" si="360"/>
        <v/>
      </c>
      <c r="DB371" s="302"/>
      <c r="DC371" s="364"/>
      <c r="DD371" s="302"/>
      <c r="DF371" s="424"/>
      <c r="DG371" s="424"/>
      <c r="DH371" s="424"/>
      <c r="DI371" s="424"/>
      <c r="DJ371" s="424"/>
      <c r="DK371" s="424"/>
      <c r="DL371" s="424"/>
      <c r="DM371" s="424"/>
      <c r="DN371" s="424"/>
      <c r="DO371" s="424"/>
      <c r="DP371" s="424"/>
      <c r="DQ371" s="424"/>
      <c r="DR371" s="424"/>
      <c r="DS371" s="424"/>
      <c r="DT371" s="424"/>
      <c r="DU371" s="424"/>
      <c r="DV371" s="424"/>
      <c r="DW371" s="424"/>
      <c r="DX371" s="424"/>
      <c r="DY371" s="424"/>
      <c r="DZ371" s="424"/>
      <c r="EA371" s="424"/>
      <c r="EB371" s="424"/>
      <c r="EC371" s="424"/>
      <c r="ED371" s="424"/>
      <c r="EE371" s="424"/>
      <c r="EF371" s="424"/>
      <c r="EG371" s="424"/>
      <c r="EH371" s="424"/>
      <c r="EI371" s="424"/>
      <c r="EJ371" s="424"/>
      <c r="EK371" s="424"/>
      <c r="EL371" s="424"/>
      <c r="EM371" s="424"/>
      <c r="EN371" s="424"/>
      <c r="EO371" s="425"/>
      <c r="EP371" s="333"/>
    </row>
    <row r="372" spans="80:146" x14ac:dyDescent="0.25">
      <c r="CB372" s="350"/>
      <c r="CC372" s="353">
        <f>IF(ASZTAB!$AJ$44,COUNTIF($BI$90:$BI$99,CE372)*IF(OR(CE372=CE371,CE372=0),0,1),COUNTIF($BG$90:$BG$99,CD372)*IF(OR(CD372=CD371,CD372=0),0,1))+CF372/1000</f>
        <v>6.0000000000000001E-3</v>
      </c>
      <c r="CD372" s="352">
        <f t="shared" si="364"/>
        <v>0</v>
      </c>
      <c r="CE372" s="353">
        <f t="shared" si="365"/>
        <v>0</v>
      </c>
      <c r="CF372" s="354">
        <v>6</v>
      </c>
      <c r="CG372" s="350"/>
      <c r="CH372" s="300"/>
      <c r="CI372" s="356" t="str">
        <f t="shared" si="366"/>
        <v/>
      </c>
      <c r="CJ372" s="357" t="str">
        <f t="shared" si="361"/>
        <v/>
      </c>
      <c r="CK372" s="380"/>
      <c r="CL372" s="356" t="str">
        <f t="shared" si="367"/>
        <v/>
      </c>
      <c r="CM372" s="357" t="str">
        <f t="shared" si="362"/>
        <v/>
      </c>
      <c r="CN372" s="385"/>
      <c r="CO372" s="356" t="str">
        <f t="shared" si="368"/>
        <v/>
      </c>
      <c r="CP372" s="357" t="str">
        <f t="shared" si="363"/>
        <v/>
      </c>
      <c r="CQ372" s="385"/>
      <c r="CR372" s="350"/>
      <c r="CS372" s="300"/>
      <c r="CT372" s="522" t="str">
        <f t="shared" si="359"/>
        <v/>
      </c>
      <c r="CU372" s="371" t="str">
        <f ca="1">IF(OR(CT372="",DA372="",CT372=DA372,ISNA(VLOOKUP(CONCATENATE(CT372,DA372),games.a,2,FALSE))),"",CONCATENATE(CT372,DA372))</f>
        <v/>
      </c>
      <c r="CV372" s="371" t="str">
        <f ca="1">IF(CU372="","",CONCATENATE(VLOOKUP(CU372,games.a,9,FALSE),VLOOKUP(CU372,games.a,12,FALSE)))</f>
        <v/>
      </c>
      <c r="CW372" s="369" t="str">
        <f ca="1">IF(CU372="","",VLOOKUP(CU372,games.a,10,FALSE))</f>
        <v/>
      </c>
      <c r="CX372" s="369" t="str">
        <f ca="1">IF(CU372="","",VLOOKUP(CU372,games.a,13,FALSE))</f>
        <v/>
      </c>
      <c r="CY372" s="423" t="str">
        <f ca="1">IF(CU372="","",VLOOKUP(CU372,games.a,6,FALSE))</f>
        <v/>
      </c>
      <c r="CZ372" s="409" t="str">
        <f ca="1">IF(CU372="","",VLOOKUP(CU372,games.a,7,FALSE))</f>
        <v/>
      </c>
      <c r="DA372" s="523" t="str">
        <f t="shared" ca="1" si="360"/>
        <v/>
      </c>
      <c r="DB372" s="302"/>
      <c r="DC372" s="364"/>
      <c r="DD372" s="302"/>
      <c r="DF372" s="424"/>
      <c r="DG372" s="424"/>
      <c r="DH372" s="424"/>
      <c r="DI372" s="424"/>
      <c r="DJ372" s="424"/>
      <c r="DK372" s="424"/>
      <c r="DL372" s="424"/>
      <c r="DM372" s="424"/>
      <c r="DN372" s="424"/>
      <c r="DO372" s="424"/>
      <c r="DP372" s="424"/>
      <c r="DQ372" s="424"/>
      <c r="DR372" s="424"/>
      <c r="DS372" s="424"/>
      <c r="DT372" s="424"/>
      <c r="DU372" s="424"/>
      <c r="DV372" s="424"/>
      <c r="DW372" s="424"/>
      <c r="DX372" s="424"/>
      <c r="DY372" s="424"/>
      <c r="DZ372" s="424"/>
      <c r="EA372" s="424"/>
      <c r="EB372" s="424"/>
      <c r="EC372" s="424"/>
      <c r="ED372" s="424"/>
      <c r="EE372" s="424"/>
      <c r="EF372" s="424"/>
      <c r="EG372" s="424"/>
      <c r="EH372" s="424"/>
      <c r="EI372" s="424"/>
      <c r="EJ372" s="424"/>
      <c r="EK372" s="424"/>
      <c r="EL372" s="424"/>
      <c r="EM372" s="424"/>
      <c r="EN372" s="424"/>
      <c r="EO372" s="425"/>
      <c r="EP372" s="333"/>
    </row>
    <row r="373" spans="80:146" x14ac:dyDescent="0.25">
      <c r="CB373" s="350"/>
      <c r="CC373" s="353">
        <f>IF(ASZTAB!$AJ$44,COUNTIF($BI$90:$BI$99,CE373)*IF(OR(CE373=CE372,CE373=0),0,1),COUNTIF($BG$90:$BG$99,CD373)*IF(OR(CD373=CD372,CD373=0),0,1))+CF373/1000</f>
        <v>7.0000000000000001E-3</v>
      </c>
      <c r="CD373" s="352">
        <f t="shared" si="364"/>
        <v>0</v>
      </c>
      <c r="CE373" s="353">
        <f t="shared" si="365"/>
        <v>0</v>
      </c>
      <c r="CF373" s="354">
        <v>7</v>
      </c>
      <c r="CG373" s="350"/>
      <c r="CH373" s="300"/>
      <c r="CI373" s="356" t="str">
        <f t="shared" si="366"/>
        <v/>
      </c>
      <c r="CJ373" s="357" t="str">
        <f t="shared" si="361"/>
        <v/>
      </c>
      <c r="CK373" s="385"/>
      <c r="CL373" s="356" t="str">
        <f t="shared" si="367"/>
        <v/>
      </c>
      <c r="CM373" s="357" t="str">
        <f t="shared" si="362"/>
        <v/>
      </c>
      <c r="CN373" s="385"/>
      <c r="CO373" s="356" t="str">
        <f t="shared" si="368"/>
        <v/>
      </c>
      <c r="CP373" s="357" t="str">
        <f t="shared" si="363"/>
        <v/>
      </c>
      <c r="CQ373" s="385"/>
      <c r="CR373" s="350"/>
      <c r="CS373" s="445"/>
      <c r="CT373" s="301"/>
      <c r="CU373" s="302"/>
      <c r="CV373" s="302"/>
      <c r="CW373" s="302"/>
      <c r="CX373" s="302"/>
      <c r="CY373" s="302"/>
      <c r="CZ373" s="302"/>
      <c r="DA373" s="302"/>
      <c r="DB373" s="302"/>
      <c r="DC373" s="446" t="s">
        <v>216</v>
      </c>
      <c r="DD373" s="302"/>
      <c r="DF373" s="424"/>
      <c r="DG373" s="424"/>
      <c r="DH373" s="424"/>
      <c r="DI373" s="424"/>
      <c r="DJ373" s="424"/>
      <c r="DK373" s="424"/>
      <c r="DL373" s="424"/>
      <c r="DM373" s="424"/>
      <c r="DN373" s="424"/>
      <c r="DO373" s="424"/>
      <c r="DP373" s="424"/>
      <c r="DQ373" s="424"/>
      <c r="DR373" s="424"/>
      <c r="DS373" s="424"/>
      <c r="DT373" s="424"/>
      <c r="DU373" s="424"/>
      <c r="DV373" s="424"/>
      <c r="DW373" s="424"/>
      <c r="DX373" s="424"/>
      <c r="DY373" s="424"/>
      <c r="DZ373" s="424"/>
      <c r="EA373" s="424"/>
      <c r="EB373" s="424"/>
      <c r="EC373" s="424"/>
      <c r="ED373" s="424"/>
      <c r="EE373" s="424"/>
      <c r="EF373" s="424"/>
      <c r="EG373" s="424"/>
      <c r="EH373" s="424"/>
      <c r="EI373" s="424"/>
      <c r="EJ373" s="424"/>
      <c r="EK373" s="424"/>
      <c r="EL373" s="424"/>
      <c r="EM373" s="424"/>
      <c r="EN373" s="424"/>
      <c r="EO373" s="425"/>
      <c r="EP373" s="333"/>
    </row>
    <row r="374" spans="80:146" x14ac:dyDescent="0.25">
      <c r="CB374" s="350"/>
      <c r="CC374" s="353">
        <f>IF(ASZTAB!$AJ$44,COUNTIF($BI$90:$BI$99,CE374)*IF(OR(CE374=CE373,CE374=0),0,1),COUNTIF($BG$90:$BG$99,CD374)*IF(OR(CD374=CD373,CD374=0),0,1))+CF374/1000</f>
        <v>8.0000000000000002E-3</v>
      </c>
      <c r="CD374" s="352">
        <f t="shared" si="364"/>
        <v>0</v>
      </c>
      <c r="CE374" s="353">
        <f t="shared" si="365"/>
        <v>0</v>
      </c>
      <c r="CF374" s="354">
        <v>8</v>
      </c>
      <c r="CG374" s="350"/>
      <c r="CH374" s="300"/>
      <c r="CI374" s="356" t="str">
        <f t="shared" si="366"/>
        <v/>
      </c>
      <c r="CJ374" s="357" t="str">
        <f t="shared" si="361"/>
        <v/>
      </c>
      <c r="CK374" s="385"/>
      <c r="CL374" s="356" t="str">
        <f t="shared" si="367"/>
        <v/>
      </c>
      <c r="CM374" s="357" t="str">
        <f t="shared" si="362"/>
        <v/>
      </c>
      <c r="CN374" s="385"/>
      <c r="CO374" s="356" t="str">
        <f t="shared" si="368"/>
        <v/>
      </c>
      <c r="CP374" s="357" t="str">
        <f t="shared" si="363"/>
        <v/>
      </c>
      <c r="CQ374" s="385"/>
      <c r="CR374" s="350"/>
      <c r="CS374" s="445"/>
      <c r="CT374" s="301"/>
      <c r="CU374" s="302"/>
      <c r="CV374" s="302"/>
      <c r="CW374" s="302"/>
      <c r="CX374" s="302"/>
      <c r="CY374" s="302"/>
      <c r="CZ374" s="302"/>
      <c r="DA374" s="447"/>
      <c r="DB374" s="302"/>
      <c r="DC374" s="448" t="s">
        <v>218</v>
      </c>
      <c r="DD374" s="302"/>
      <c r="DF374" s="424"/>
      <c r="DG374" s="424"/>
      <c r="DH374" s="424"/>
      <c r="DI374" s="424"/>
      <c r="DJ374" s="424"/>
      <c r="DK374" s="424"/>
      <c r="DL374" s="424"/>
      <c r="DM374" s="424"/>
      <c r="DN374" s="424"/>
      <c r="DO374" s="424"/>
      <c r="DP374" s="424"/>
      <c r="DQ374" s="424"/>
      <c r="DR374" s="424"/>
      <c r="DS374" s="424"/>
      <c r="DT374" s="424"/>
      <c r="DU374" s="424"/>
      <c r="DV374" s="424"/>
      <c r="DW374" s="424"/>
      <c r="DX374" s="424"/>
      <c r="DY374" s="424"/>
      <c r="DZ374" s="424"/>
      <c r="EA374" s="424"/>
      <c r="EB374" s="424"/>
      <c r="EC374" s="424"/>
      <c r="ED374" s="424"/>
      <c r="EE374" s="424"/>
      <c r="EF374" s="424"/>
      <c r="EG374" s="424"/>
      <c r="EH374" s="424"/>
      <c r="EI374" s="424"/>
      <c r="EJ374" s="424"/>
      <c r="EK374" s="424"/>
      <c r="EL374" s="424"/>
      <c r="EM374" s="424"/>
      <c r="EN374" s="424"/>
      <c r="EO374" s="425"/>
      <c r="EP374" s="333"/>
    </row>
    <row r="375" spans="80:146" x14ac:dyDescent="0.25">
      <c r="CB375" s="350"/>
      <c r="CC375" s="353">
        <f>IF(ASZTAB!$AJ$44,COUNTIF($BI$90:$BI$99,CE375)*IF(OR(CE375=CE374,CE375=0),0,1),COUNTIF($BG$90:$BG$99,CD375)*IF(OR(CD375=CD374,CD375=0),0,1))+CF375/1000</f>
        <v>8.9999999999999993E-3</v>
      </c>
      <c r="CD375" s="352">
        <f t="shared" si="364"/>
        <v>0</v>
      </c>
      <c r="CE375" s="353">
        <f t="shared" si="365"/>
        <v>0</v>
      </c>
      <c r="CF375" s="354">
        <v>9</v>
      </c>
      <c r="CG375" s="350"/>
      <c r="CH375" s="300"/>
      <c r="CI375" s="356" t="str">
        <f t="shared" si="366"/>
        <v/>
      </c>
      <c r="CJ375" s="357" t="str">
        <f t="shared" si="361"/>
        <v/>
      </c>
      <c r="CK375" s="385"/>
      <c r="CL375" s="356" t="str">
        <f t="shared" si="367"/>
        <v/>
      </c>
      <c r="CM375" s="357" t="str">
        <f t="shared" si="362"/>
        <v/>
      </c>
      <c r="CN375" s="385"/>
      <c r="CO375" s="356" t="str">
        <f t="shared" si="368"/>
        <v/>
      </c>
      <c r="CP375" s="357" t="str">
        <f t="shared" si="363"/>
        <v/>
      </c>
      <c r="CQ375" s="385"/>
      <c r="CR375" s="350"/>
      <c r="CS375" s="300"/>
      <c r="CT375" s="323" t="b">
        <f ca="1">OR(NOT(ASZTAB!$AJ$44),COUNTIF(CY375:CY395,"")&lt;=18-(DA375-1)*DA375/2)</f>
        <v>1</v>
      </c>
      <c r="CU375" s="458" t="s">
        <v>157</v>
      </c>
      <c r="CV375" s="458" t="s">
        <v>158</v>
      </c>
      <c r="CW375" s="459" t="s">
        <v>159</v>
      </c>
      <c r="CX375" s="459"/>
      <c r="CY375" s="460" t="s">
        <v>160</v>
      </c>
      <c r="CZ375" s="459" t="s">
        <v>135</v>
      </c>
      <c r="DA375" s="323">
        <f ca="1">COUNT(CN319:CN321)</f>
        <v>0</v>
      </c>
      <c r="DB375" s="302"/>
      <c r="DC375" s="364"/>
      <c r="DD375" s="302"/>
      <c r="DF375" s="424"/>
      <c r="DG375" s="329" t="s">
        <v>229</v>
      </c>
      <c r="DH375" s="365"/>
      <c r="DI375" s="329" t="s">
        <v>152</v>
      </c>
      <c r="DJ375" s="329" t="s">
        <v>153</v>
      </c>
      <c r="DK375" s="329" t="s">
        <v>154</v>
      </c>
      <c r="DL375" s="329" t="s">
        <v>155</v>
      </c>
      <c r="DM375" s="329" t="s">
        <v>125</v>
      </c>
      <c r="DN375" s="329" t="s">
        <v>226</v>
      </c>
      <c r="DO375" s="329" t="s">
        <v>126</v>
      </c>
      <c r="DP375" s="329" t="s">
        <v>227</v>
      </c>
      <c r="DQ375" s="424"/>
      <c r="DR375" s="424"/>
      <c r="DS375" s="424"/>
      <c r="DT375" s="329" t="s">
        <v>228</v>
      </c>
      <c r="DU375" s="329" t="s">
        <v>156</v>
      </c>
      <c r="DV375" s="329" t="s">
        <v>208</v>
      </c>
      <c r="DW375" s="424"/>
      <c r="DX375" s="424"/>
      <c r="DY375" s="424"/>
      <c r="DZ375" s="424"/>
      <c r="EA375" s="424"/>
      <c r="EB375" s="424"/>
      <c r="EC375" s="424"/>
      <c r="ED375" s="424"/>
      <c r="EE375" s="424"/>
      <c r="EF375" s="424"/>
      <c r="EG375" s="424"/>
      <c r="EH375" s="424"/>
      <c r="EI375" s="424"/>
      <c r="EJ375" s="424"/>
      <c r="EK375" s="424"/>
      <c r="EL375" s="424"/>
      <c r="EM375" s="424"/>
      <c r="EN375" s="424"/>
      <c r="EO375" s="425"/>
      <c r="EP375" s="333"/>
    </row>
    <row r="376" spans="80:146" x14ac:dyDescent="0.25">
      <c r="CB376" s="350"/>
      <c r="CC376" s="353">
        <f>IF(ASZTAB!$AJ$44,COUNTIF($BI$90:$BI$99,CE376)*IF(OR(CE376=CE375,CE376=0),0,1),COUNTIF($BG$90:$BG$99,CD376)*IF(OR(CD376=CD375,CD376=0),0,1))+CF376/1000</f>
        <v>0.01</v>
      </c>
      <c r="CD376" s="352">
        <f t="shared" si="364"/>
        <v>0</v>
      </c>
      <c r="CE376" s="353">
        <f t="shared" si="365"/>
        <v>0</v>
      </c>
      <c r="CF376" s="354">
        <v>10</v>
      </c>
      <c r="CG376" s="350"/>
      <c r="CH376" s="300"/>
      <c r="CI376" s="356" t="str">
        <f t="shared" si="366"/>
        <v/>
      </c>
      <c r="CJ376" s="357" t="str">
        <f t="shared" si="361"/>
        <v/>
      </c>
      <c r="CK376" s="357"/>
      <c r="CL376" s="356" t="str">
        <f t="shared" si="367"/>
        <v/>
      </c>
      <c r="CM376" s="357" t="str">
        <f t="shared" si="362"/>
        <v/>
      </c>
      <c r="CN376" s="357"/>
      <c r="CO376" s="356" t="str">
        <f t="shared" si="368"/>
        <v/>
      </c>
      <c r="CP376" s="357" t="str">
        <f t="shared" si="363"/>
        <v/>
      </c>
      <c r="CQ376" s="357"/>
      <c r="CR376" s="350"/>
      <c r="CS376" s="300"/>
      <c r="CT376" s="464" t="str">
        <f ca="1">IF(CN319="","",VLOOKUP(CN319,xxx.rv1,7,FALSE))</f>
        <v/>
      </c>
      <c r="CU376" s="465" t="str">
        <f ca="1">IF(OR(CT376="",DA376="",CT376=DA376,COUNTIF(games.rv,CT376&amp;DA376)=0),"",CONCATENATE(CT376,DA376))</f>
        <v/>
      </c>
      <c r="CV376" s="360" t="str">
        <f ca="1">IF(CU376="","",CONCATENATE(VLOOKUP(CU376,games.r,9,FALSE),VLOOKUP(CU376,games.r,12,FALSE)))</f>
        <v/>
      </c>
      <c r="CW376" s="354" t="str">
        <f ca="1">IF(CU376="","",VLOOKUP(CU376,games.r,10,FALSE))</f>
        <v/>
      </c>
      <c r="CX376" s="354" t="str">
        <f ca="1">IF(CU376="","",VLOOKUP(CU376,games.r,13,FALSE))</f>
        <v/>
      </c>
      <c r="CY376" s="361" t="str">
        <f ca="1">IF(CU376="","",VLOOKUP(CU376,games.r,6,FALSE))</f>
        <v/>
      </c>
      <c r="CZ376" s="362" t="str">
        <f ca="1">IF(CU376="","",VLOOKUP(CU376,games.r,7,FALSE))</f>
        <v/>
      </c>
      <c r="DA376" s="466" t="str">
        <f ca="1">CT376</f>
        <v/>
      </c>
      <c r="DB376" s="302"/>
      <c r="DC376" s="364"/>
      <c r="DD376" s="302"/>
      <c r="DF376" s="424"/>
      <c r="DG376" s="366" t="str">
        <f ca="1">IF(OR(NOT(ASZTAB!$AJ$44),CT375),CT376,"")</f>
        <v/>
      </c>
      <c r="DH376" s="365"/>
      <c r="DI376" s="366">
        <f ca="1">IF(DG376="",0,COUNTIF(xxgy.rv,DG376))</f>
        <v>0</v>
      </c>
      <c r="DJ376" s="366">
        <f ca="1">IF(DG376="",0,COUNTIF(xxd.rv,DG376))</f>
        <v>0</v>
      </c>
      <c r="DK376" s="366">
        <f ca="1">IF(DG376="",0,1)*(SUMIF(xxo.rv,DG376,xxl.rv)+SUMIF(xxi.rv,DG376,xxk.rv))</f>
        <v>0</v>
      </c>
      <c r="DL376" s="366">
        <f ca="1">IF(DG376="",0,1)*(SUMIF(xxo.rv,DG376,xxk.rv)+SUMIF(xxi.rv,DG376,xxl.rv))</f>
        <v>0</v>
      </c>
      <c r="DM376" s="366">
        <f ca="1">DK376-DL376</f>
        <v>0</v>
      </c>
      <c r="DN376" s="366">
        <f ca="1">IF(DL376=0,0,DK376/DL376)</f>
        <v>0</v>
      </c>
      <c r="DO376" s="366">
        <f ca="1">ASZTAB!$AJ$48*DI376+IF(ASZTAB!$AJ$44,0,1)*DJ376</f>
        <v>0</v>
      </c>
      <c r="DP376" s="396">
        <f ca="1">DO376*1000000+IF(ASZTAB!$AJ$44,DN376,DM376)*1000*0</f>
        <v>0</v>
      </c>
      <c r="DQ376" s="424"/>
      <c r="DR376" s="424"/>
      <c r="DS376" s="424"/>
      <c r="DT376" s="366">
        <f ca="1">IF(OR(ISERR(DP376),ISNA(DP376)),0,DP376)</f>
        <v>0</v>
      </c>
      <c r="DU376" s="366">
        <f ca="1">IF(DT376=0,0,RANK(DT376,DT376:DT378,1))</f>
        <v>0</v>
      </c>
      <c r="DV376" s="366">
        <f ca="1">DU376*40000*IF(COUNTIF($EN$319:$EN$328,DG376)&gt;0,0,1)</f>
        <v>0</v>
      </c>
      <c r="DW376" s="424"/>
      <c r="DX376" s="424"/>
      <c r="DY376" s="424"/>
      <c r="DZ376" s="424"/>
      <c r="EA376" s="424"/>
      <c r="EB376" s="424"/>
      <c r="EC376" s="424"/>
      <c r="ED376" s="424"/>
      <c r="EE376" s="424"/>
      <c r="EF376" s="424"/>
      <c r="EG376" s="424"/>
      <c r="EH376" s="424"/>
      <c r="EI376" s="424"/>
      <c r="EJ376" s="424"/>
      <c r="EK376" s="424"/>
      <c r="EL376" s="424"/>
      <c r="EM376" s="424"/>
      <c r="EN376" s="424"/>
      <c r="EO376" s="425"/>
      <c r="EP376" s="333"/>
    </row>
    <row r="377" spans="80:146" x14ac:dyDescent="0.25">
      <c r="CB377" s="350"/>
      <c r="CC377" s="350"/>
      <c r="CD377" s="350"/>
      <c r="CE377" s="350"/>
      <c r="CF377" s="350"/>
      <c r="CG377" s="350"/>
      <c r="CR377" s="350"/>
      <c r="CS377" s="300"/>
      <c r="CT377" s="464" t="str">
        <f ca="1">IF(CN320="","",VLOOKUP(CN320,xxx.rv1,7,FALSE))</f>
        <v/>
      </c>
      <c r="CU377" s="465" t="str">
        <f ca="1">IF(OR(CT377="",DA377="",CT377=DA377,COUNTIF(games.rv,CT377&amp;DA377)=0),"",CONCATENATE(CT377,DA377))</f>
        <v/>
      </c>
      <c r="CV377" s="360" t="str">
        <f ca="1">IF(CU377="","",CONCATENATE(VLOOKUP(CU377,games.r,9,FALSE),VLOOKUP(CU377,games.r,12,FALSE)))</f>
        <v/>
      </c>
      <c r="CW377" s="354" t="str">
        <f ca="1">IF(CU377="","",VLOOKUP(CU377,games.r,10,FALSE))</f>
        <v/>
      </c>
      <c r="CX377" s="354" t="str">
        <f ca="1">IF(CU377="","",VLOOKUP(CU377,games.r,13,FALSE))</f>
        <v/>
      </c>
      <c r="CY377" s="361" t="str">
        <f ca="1">IF(CU377="","",VLOOKUP(CU377,games.r,6,FALSE))</f>
        <v/>
      </c>
      <c r="CZ377" s="362" t="str">
        <f ca="1">IF(CU377="","",VLOOKUP(CU377,games.r,7,FALSE))</f>
        <v/>
      </c>
      <c r="DA377" s="379" t="str">
        <f ca="1">DA376</f>
        <v/>
      </c>
      <c r="DB377" s="302"/>
      <c r="DC377" s="364"/>
      <c r="DD377" s="302"/>
      <c r="DF377" s="424"/>
      <c r="DG377" s="366" t="str">
        <f ca="1">IF(OR(NOT(ASZTAB!$AJ$44),CT375),CT377,"")</f>
        <v/>
      </c>
      <c r="DH377" s="365"/>
      <c r="DI377" s="366">
        <f ca="1">IF(DG377="",0,COUNTIF(xxgy.rv,DG377))</f>
        <v>0</v>
      </c>
      <c r="DJ377" s="366">
        <f ca="1">IF(DG377="",0,COUNTIF(xxd.rv,DG377))</f>
        <v>0</v>
      </c>
      <c r="DK377" s="366">
        <f ca="1">IF(DG377="",0,1)*(SUMIF(xxo.rv,DG377,xxl.rv)+SUMIF(xxi.rv,DG377,xxk.rv))</f>
        <v>0</v>
      </c>
      <c r="DL377" s="366">
        <f ca="1">IF(DG377="",0,1)*(SUMIF(xxo.rv,DG377,xxk.rv)+SUMIF(xxi.rv,DG377,xxl.rv))</f>
        <v>0</v>
      </c>
      <c r="DM377" s="366">
        <f ca="1">DK377-DL377</f>
        <v>0</v>
      </c>
      <c r="DN377" s="366">
        <f ca="1">IF(DL377=0,0,DK377/DL377)</f>
        <v>0</v>
      </c>
      <c r="DO377" s="366">
        <f ca="1">ASZTAB!$AJ$48*DI377+IF(ASZTAB!$AJ$44,0,1)*DJ377</f>
        <v>0</v>
      </c>
      <c r="DP377" s="396">
        <f ca="1">DO377*1000000+IF(ASZTAB!$AJ$44,DN377,DM377)*1000*0</f>
        <v>0</v>
      </c>
      <c r="DQ377" s="424"/>
      <c r="DR377" s="424"/>
      <c r="DS377" s="424"/>
      <c r="DT377" s="366">
        <f ca="1">IF(OR(ISERR(DP377),ISNA(DP377)),0,DP377)</f>
        <v>0</v>
      </c>
      <c r="DU377" s="366">
        <f ca="1">IF(DT377=0,0,RANK(DT377,DT376:DT378,1))</f>
        <v>0</v>
      </c>
      <c r="DV377" s="366">
        <f ca="1">DU377*40000*IF(COUNTIF($EN$319:$EN$328,DG377)&gt;0,0,1)</f>
        <v>0</v>
      </c>
      <c r="DW377" s="424"/>
      <c r="DX377" s="424"/>
      <c r="DY377" s="424"/>
      <c r="DZ377" s="424"/>
      <c r="EA377" s="424"/>
      <c r="EB377" s="424"/>
      <c r="EC377" s="424"/>
      <c r="ED377" s="424"/>
      <c r="EE377" s="424"/>
      <c r="EF377" s="424"/>
      <c r="EG377" s="424"/>
      <c r="EH377" s="424"/>
      <c r="EI377" s="424"/>
      <c r="EJ377" s="424"/>
      <c r="EK377" s="424"/>
      <c r="EL377" s="424"/>
      <c r="EM377" s="424"/>
      <c r="EN377" s="424"/>
      <c r="EO377" s="425"/>
      <c r="EP377" s="333"/>
    </row>
    <row r="378" spans="80:146" x14ac:dyDescent="0.25">
      <c r="CB378" s="350"/>
      <c r="CC378" s="350"/>
      <c r="CD378" s="350"/>
      <c r="CE378" s="350"/>
      <c r="CF378" s="350"/>
      <c r="CG378" s="350"/>
      <c r="CR378" s="350"/>
      <c r="CS378" s="300"/>
      <c r="CT378" s="464" t="str">
        <f ca="1">IF(CN321="","",VLOOKUP(CN321,xxx.rv1,7,FALSE))</f>
        <v/>
      </c>
      <c r="CU378" s="465" t="str">
        <f ca="1">IF(OR(CT378="",DA378="",CT378=DA378,COUNTIF(games.rv,CT378&amp;DA378)=0),"",CONCATENATE(CT378,DA378))</f>
        <v/>
      </c>
      <c r="CV378" s="360" t="str">
        <f ca="1">IF(CU378="","",CONCATENATE(VLOOKUP(CU378,games.r,9,FALSE),VLOOKUP(CU378,games.r,12,FALSE)))</f>
        <v/>
      </c>
      <c r="CW378" s="354" t="str">
        <f ca="1">IF(CU378="","",VLOOKUP(CU378,games.r,10,FALSE))</f>
        <v/>
      </c>
      <c r="CX378" s="354" t="str">
        <f ca="1">IF(CU378="","",VLOOKUP(CU378,games.r,13,FALSE))</f>
        <v/>
      </c>
      <c r="CY378" s="361" t="str">
        <f ca="1">IF(CU378="","",VLOOKUP(CU378,games.r,6,FALSE))</f>
        <v/>
      </c>
      <c r="CZ378" s="362" t="str">
        <f ca="1">IF(CU378="","",VLOOKUP(CU378,games.r,7,FALSE))</f>
        <v/>
      </c>
      <c r="DA378" s="379" t="str">
        <f ca="1">DA377</f>
        <v/>
      </c>
      <c r="DB378" s="302"/>
      <c r="DC378" s="364"/>
      <c r="DD378" s="302"/>
      <c r="DF378" s="424"/>
      <c r="DG378" s="366" t="str">
        <f ca="1">IF(OR(NOT(ASZTAB!$AJ$44),CT375),CT378,"")</f>
        <v/>
      </c>
      <c r="DH378" s="365"/>
      <c r="DI378" s="366">
        <f ca="1">IF(DG378="",0,COUNTIF(xxgy.rv,DG378))</f>
        <v>0</v>
      </c>
      <c r="DJ378" s="366">
        <f ca="1">IF(DG378="",0,COUNTIF(xxd.rv,DG378))</f>
        <v>0</v>
      </c>
      <c r="DK378" s="366">
        <f ca="1">IF(DG378="",0,1)*(SUMIF(xxo.rv,DG378,xxl.rv)+SUMIF(xxi.rv,DG378,xxk.rv))</f>
        <v>0</v>
      </c>
      <c r="DL378" s="366">
        <f ca="1">IF(DG378="",0,1)*(SUMIF(xxo.rv,DG378,xxk.rv)+SUMIF(xxi.rv,DG378,xxl.rv))</f>
        <v>0</v>
      </c>
      <c r="DM378" s="366">
        <f ca="1">DK378-DL378</f>
        <v>0</v>
      </c>
      <c r="DN378" s="366">
        <f ca="1">IF(DL378=0,0,DK378/DL378)</f>
        <v>0</v>
      </c>
      <c r="DO378" s="366">
        <f ca="1">ASZTAB!$AJ$48*DI378+IF(ASZTAB!$AJ$44,0,1)*DJ378</f>
        <v>0</v>
      </c>
      <c r="DP378" s="396">
        <f ca="1">DO378*1000000+IF(ASZTAB!$AJ$44,DN378,DM378)*1000*0</f>
        <v>0</v>
      </c>
      <c r="DQ378" s="424"/>
      <c r="DR378" s="424"/>
      <c r="DS378" s="424"/>
      <c r="DT378" s="366">
        <f ca="1">IF(OR(ISERR(DP378),ISNA(DP378)),0,DP378)</f>
        <v>0</v>
      </c>
      <c r="DU378" s="366">
        <f ca="1">IF(DT378=0,0,RANK(DT378,DT376:DT378,1))</f>
        <v>0</v>
      </c>
      <c r="DV378" s="366">
        <f ca="1">DU378*40000*IF(COUNTIF($EN$319:$EN$328,DG378)&gt;0,0,1)</f>
        <v>0</v>
      </c>
      <c r="DW378" s="424"/>
      <c r="DX378" s="424"/>
      <c r="DY378" s="424"/>
      <c r="DZ378" s="424"/>
      <c r="EA378" s="424"/>
      <c r="EB378" s="424"/>
      <c r="EC378" s="424"/>
      <c r="ED378" s="424"/>
      <c r="EE378" s="424"/>
      <c r="EF378" s="424"/>
      <c r="EG378" s="424"/>
      <c r="EH378" s="424"/>
      <c r="EI378" s="424"/>
      <c r="EJ378" s="424"/>
      <c r="EK378" s="424"/>
      <c r="EL378" s="424"/>
      <c r="EM378" s="424"/>
      <c r="EN378" s="424"/>
      <c r="EO378" s="425"/>
      <c r="EP378" s="333"/>
    </row>
    <row r="379" spans="80:146" x14ac:dyDescent="0.25">
      <c r="CB379" s="350"/>
      <c r="CC379" s="350"/>
      <c r="CD379" s="350"/>
      <c r="CE379" s="350"/>
      <c r="CF379" s="350"/>
      <c r="CG379" s="350"/>
      <c r="CR379" s="445"/>
      <c r="CS379" s="300"/>
      <c r="CT379" s="522" t="str">
        <f>IF(NOT($AD$98),"",CT376)</f>
        <v/>
      </c>
      <c r="CU379" s="371" t="str">
        <f ca="1">IF(OR(CT379="",DA379="",CT379=DA379,ISNA(VLOOKUP(CONCATENATE(CT379,DA379),games.a,2,FALSE))),"",CONCATENATE(CT379,DA379))</f>
        <v/>
      </c>
      <c r="CV379" s="371" t="str">
        <f ca="1">IF(CU379="","",CONCATENATE(VLOOKUP(CU379,games.a,9,FALSE),VLOOKUP(CU379,games.a,12,FALSE)))</f>
        <v/>
      </c>
      <c r="CW379" s="369" t="str">
        <f ca="1">IF(CU379="","",VLOOKUP(CU379,games.a,10,FALSE))</f>
        <v/>
      </c>
      <c r="CX379" s="369" t="str">
        <f ca="1">IF(CU379="","",VLOOKUP(CU379,games.a,13,FALSE))</f>
        <v/>
      </c>
      <c r="CY379" s="423" t="str">
        <f ca="1">IF(CU379="","",VLOOKUP(CU379,games.a,6,FALSE))</f>
        <v/>
      </c>
      <c r="CZ379" s="409" t="str">
        <f ca="1">IF(CU379="","",VLOOKUP(CU379,games.a,7,FALSE))</f>
        <v/>
      </c>
      <c r="DA379" s="523" t="str">
        <f ca="1">DA378</f>
        <v/>
      </c>
      <c r="DB379" s="302"/>
      <c r="DC379" s="364"/>
      <c r="DD379" s="302"/>
      <c r="DF379" s="424"/>
      <c r="DG379" s="424"/>
      <c r="DH379" s="424"/>
      <c r="DI379" s="424"/>
      <c r="DJ379" s="424"/>
      <c r="DK379" s="424"/>
      <c r="DL379" s="424"/>
      <c r="DM379" s="424"/>
      <c r="DN379" s="424"/>
      <c r="DO379" s="424"/>
      <c r="DP379" s="424"/>
      <c r="DQ379" s="424"/>
      <c r="DR379" s="424"/>
      <c r="DS379" s="424"/>
      <c r="DT379" s="424"/>
      <c r="DU379" s="424"/>
      <c r="DV379" s="424"/>
      <c r="DW379" s="424"/>
      <c r="DX379" s="424"/>
      <c r="DY379" s="424"/>
      <c r="DZ379" s="424"/>
      <c r="EA379" s="424"/>
      <c r="EB379" s="424"/>
      <c r="EC379" s="424"/>
      <c r="ED379" s="424"/>
      <c r="EE379" s="424"/>
      <c r="EF379" s="424"/>
      <c r="EG379" s="424"/>
      <c r="EH379" s="424"/>
      <c r="EI379" s="424"/>
      <c r="EJ379" s="424"/>
      <c r="EK379" s="424"/>
      <c r="EL379" s="424"/>
      <c r="EM379" s="424"/>
      <c r="EN379" s="424"/>
      <c r="EO379" s="425"/>
      <c r="EP379" s="333"/>
    </row>
    <row r="380" spans="80:146" x14ac:dyDescent="0.25">
      <c r="CB380" s="350"/>
      <c r="CC380" s="350"/>
      <c r="CD380" s="350"/>
      <c r="CE380" s="350"/>
      <c r="CF380" s="350"/>
      <c r="CG380" s="350"/>
      <c r="CR380" s="445"/>
      <c r="CS380" s="300"/>
      <c r="CT380" s="522" t="str">
        <f>IF(NOT($AD$98),"",CT377)</f>
        <v/>
      </c>
      <c r="CU380" s="371" t="str">
        <f ca="1">IF(OR(CT380="",DA380="",CT380=DA380,ISNA(VLOOKUP(CONCATENATE(CT380,DA380),games.a,2,FALSE))),"",CONCATENATE(CT380,DA380))</f>
        <v/>
      </c>
      <c r="CV380" s="371" t="str">
        <f ca="1">IF(CU380="","",CONCATENATE(VLOOKUP(CU380,games.a,9,FALSE),VLOOKUP(CU380,games.a,12,FALSE)))</f>
        <v/>
      </c>
      <c r="CW380" s="369" t="str">
        <f ca="1">IF(CU380="","",VLOOKUP(CU380,games.a,10,FALSE))</f>
        <v/>
      </c>
      <c r="CX380" s="369" t="str">
        <f ca="1">IF(CU380="","",VLOOKUP(CU380,games.a,13,FALSE))</f>
        <v/>
      </c>
      <c r="CY380" s="423" t="str">
        <f ca="1">IF(CU380="","",VLOOKUP(CU380,games.a,6,FALSE))</f>
        <v/>
      </c>
      <c r="CZ380" s="409" t="str">
        <f ca="1">IF(CU380="","",VLOOKUP(CU380,games.a,7,FALSE))</f>
        <v/>
      </c>
      <c r="DA380" s="523" t="str">
        <f ca="1">DA379</f>
        <v/>
      </c>
      <c r="DB380" s="302"/>
      <c r="DC380" s="364"/>
      <c r="DD380" s="302"/>
      <c r="DF380" s="424"/>
      <c r="DG380" s="424"/>
      <c r="DH380" s="424"/>
      <c r="DI380" s="424"/>
      <c r="DJ380" s="424"/>
      <c r="DK380" s="424"/>
      <c r="DL380" s="424"/>
      <c r="DM380" s="424"/>
      <c r="DN380" s="424"/>
      <c r="DO380" s="424"/>
      <c r="DP380" s="424"/>
      <c r="DQ380" s="424"/>
      <c r="DR380" s="424"/>
      <c r="DS380" s="424"/>
      <c r="DT380" s="424"/>
      <c r="DU380" s="424"/>
      <c r="DV380" s="424"/>
      <c r="DW380" s="424"/>
      <c r="DX380" s="424"/>
      <c r="DY380" s="424"/>
      <c r="DZ380" s="424"/>
      <c r="EA380" s="424"/>
      <c r="EB380" s="424"/>
      <c r="EC380" s="424"/>
      <c r="ED380" s="424"/>
      <c r="EE380" s="424"/>
      <c r="EF380" s="424"/>
      <c r="EG380" s="424"/>
      <c r="EH380" s="424"/>
      <c r="EI380" s="424"/>
      <c r="EJ380" s="424"/>
      <c r="EK380" s="424"/>
      <c r="EL380" s="424"/>
      <c r="EM380" s="424"/>
      <c r="EN380" s="424"/>
      <c r="EO380" s="425"/>
      <c r="EP380" s="333"/>
    </row>
    <row r="381" spans="80:146" x14ac:dyDescent="0.25">
      <c r="CB381" s="350"/>
      <c r="CC381" s="350"/>
      <c r="CD381" s="350"/>
      <c r="CE381" s="350"/>
      <c r="CF381" s="350"/>
      <c r="CG381" s="350"/>
      <c r="CR381" s="445"/>
      <c r="CS381" s="300"/>
      <c r="CT381" s="522" t="str">
        <f>IF(NOT($AD$98),"",CT378)</f>
        <v/>
      </c>
      <c r="CU381" s="371" t="str">
        <f ca="1">IF(OR(CT381="",DA381="",CT381=DA381,ISNA(VLOOKUP(CONCATENATE(CT381,DA381),games.a,2,FALSE))),"",CONCATENATE(CT381,DA381))</f>
        <v/>
      </c>
      <c r="CV381" s="371" t="str">
        <f ca="1">IF(CU381="","",CONCATENATE(VLOOKUP(CU381,games.a,9,FALSE),VLOOKUP(CU381,games.a,12,FALSE)))</f>
        <v/>
      </c>
      <c r="CW381" s="369" t="str">
        <f ca="1">IF(CU381="","",VLOOKUP(CU381,games.a,10,FALSE))</f>
        <v/>
      </c>
      <c r="CX381" s="369" t="str">
        <f ca="1">IF(CU381="","",VLOOKUP(CU381,games.a,13,FALSE))</f>
        <v/>
      </c>
      <c r="CY381" s="423" t="str">
        <f ca="1">IF(CU381="","",VLOOKUP(CU381,games.a,6,FALSE))</f>
        <v/>
      </c>
      <c r="CZ381" s="409" t="str">
        <f ca="1">IF(CU381="","",VLOOKUP(CU381,games.a,7,FALSE))</f>
        <v/>
      </c>
      <c r="DA381" s="523" t="str">
        <f ca="1">DA380</f>
        <v/>
      </c>
      <c r="DB381" s="302"/>
      <c r="DC381" s="364"/>
      <c r="DD381" s="302"/>
      <c r="DF381" s="424"/>
      <c r="DG381" s="424"/>
      <c r="DH381" s="424"/>
      <c r="DI381" s="424"/>
      <c r="DJ381" s="424"/>
      <c r="DK381" s="424"/>
      <c r="DL381" s="424"/>
      <c r="DM381" s="424"/>
      <c r="DN381" s="424"/>
      <c r="DO381" s="424"/>
      <c r="DP381" s="424"/>
      <c r="DQ381" s="424"/>
      <c r="DR381" s="424"/>
      <c r="DS381" s="424"/>
      <c r="DT381" s="424"/>
      <c r="DU381" s="424"/>
      <c r="DV381" s="424"/>
      <c r="DW381" s="424"/>
      <c r="DX381" s="424"/>
      <c r="DY381" s="424"/>
      <c r="DZ381" s="424"/>
      <c r="EA381" s="424"/>
      <c r="EB381" s="424"/>
      <c r="EC381" s="424"/>
      <c r="ED381" s="424"/>
      <c r="EE381" s="424"/>
      <c r="EF381" s="424"/>
      <c r="EG381" s="424"/>
      <c r="EH381" s="424"/>
      <c r="EI381" s="424"/>
      <c r="EJ381" s="424"/>
      <c r="EK381" s="424"/>
      <c r="EL381" s="424"/>
      <c r="EM381" s="424"/>
      <c r="EN381" s="424"/>
      <c r="EO381" s="425"/>
      <c r="EP381" s="333"/>
    </row>
    <row r="382" spans="80:146" x14ac:dyDescent="0.25">
      <c r="CB382" s="350"/>
      <c r="CC382" s="350"/>
      <c r="CD382" s="350"/>
      <c r="CE382" s="350"/>
      <c r="CF382" s="350"/>
      <c r="CG382" s="350"/>
      <c r="CR382" s="445"/>
      <c r="CS382" s="300"/>
      <c r="CT382" s="301"/>
      <c r="CU382" s="458" t="s">
        <v>157</v>
      </c>
      <c r="CV382" s="458" t="s">
        <v>158</v>
      </c>
      <c r="CW382" s="459" t="s">
        <v>159</v>
      </c>
      <c r="CX382" s="459"/>
      <c r="CY382" s="460" t="s">
        <v>160</v>
      </c>
      <c r="CZ382" s="459" t="s">
        <v>135</v>
      </c>
      <c r="DA382" s="302"/>
      <c r="DB382" s="302"/>
      <c r="DC382" s="364"/>
      <c r="DD382" s="302"/>
      <c r="DF382" s="424"/>
      <c r="DG382" s="424"/>
      <c r="DH382" s="424"/>
      <c r="DI382" s="424"/>
      <c r="DJ382" s="424"/>
      <c r="DK382" s="424"/>
      <c r="DL382" s="424"/>
      <c r="DM382" s="424"/>
      <c r="DN382" s="424"/>
      <c r="DO382" s="424"/>
      <c r="DP382" s="424"/>
      <c r="DQ382" s="424"/>
      <c r="DR382" s="424"/>
      <c r="DS382" s="424"/>
      <c r="DT382" s="424"/>
      <c r="DU382" s="424"/>
      <c r="DV382" s="424"/>
      <c r="DW382" s="424"/>
      <c r="DX382" s="424"/>
      <c r="DY382" s="424"/>
      <c r="DZ382" s="424"/>
      <c r="EA382" s="424"/>
      <c r="EB382" s="424"/>
      <c r="EC382" s="424"/>
      <c r="ED382" s="424"/>
      <c r="EE382" s="424"/>
      <c r="EF382" s="424"/>
      <c r="EG382" s="424"/>
      <c r="EH382" s="424"/>
      <c r="EI382" s="424"/>
      <c r="EJ382" s="424"/>
      <c r="EK382" s="424"/>
      <c r="EL382" s="424"/>
      <c r="EM382" s="424"/>
      <c r="EN382" s="424"/>
      <c r="EO382" s="425"/>
      <c r="EP382" s="333"/>
    </row>
    <row r="383" spans="80:146" x14ac:dyDescent="0.25">
      <c r="CB383" s="350"/>
      <c r="CC383" s="350"/>
      <c r="CD383" s="350"/>
      <c r="CE383" s="350"/>
      <c r="CF383" s="350"/>
      <c r="CG383" s="350"/>
      <c r="CR383" s="445"/>
      <c r="CS383" s="300"/>
      <c r="CT383" s="395" t="str">
        <f t="shared" ref="CT383:CT388" ca="1" si="369">CT376</f>
        <v/>
      </c>
      <c r="CU383" s="465" t="str">
        <f ca="1">IF(OR(CT383="",DA383="",CT383=DA383,COUNTIF(games.rv,CT383&amp;DA383)=0),"",CONCATENATE(CT383,DA383))</f>
        <v/>
      </c>
      <c r="CV383" s="360" t="str">
        <f ca="1">IF(CU383="","",CONCATENATE(VLOOKUP(CU383,games.r,9,FALSE),VLOOKUP(CU383,games.r,12,FALSE)))</f>
        <v/>
      </c>
      <c r="CW383" s="354" t="str">
        <f ca="1">IF(CU383="","",VLOOKUP(CU383,games.r,10,FALSE))</f>
        <v/>
      </c>
      <c r="CX383" s="354" t="str">
        <f ca="1">IF(CU383="","",VLOOKUP(CU383,games.r,13,FALSE))</f>
        <v/>
      </c>
      <c r="CY383" s="361" t="str">
        <f ca="1">IF(CU383="","",VLOOKUP(CU383,games.r,6,FALSE))</f>
        <v/>
      </c>
      <c r="CZ383" s="362" t="str">
        <f ca="1">IF(CU383="","",VLOOKUP(CU383,games.r,7,FALSE))</f>
        <v/>
      </c>
      <c r="DA383" s="466" t="str">
        <f ca="1">CT377</f>
        <v/>
      </c>
      <c r="DB383" s="302"/>
      <c r="DC383" s="364"/>
      <c r="DD383" s="302"/>
      <c r="DF383" s="424"/>
      <c r="DG383" s="424"/>
      <c r="DH383" s="424"/>
      <c r="DI383" s="424"/>
      <c r="DJ383" s="424"/>
      <c r="DK383" s="424"/>
      <c r="DL383" s="424"/>
      <c r="DM383" s="424"/>
      <c r="DN383" s="424"/>
      <c r="DO383" s="424"/>
      <c r="DP383" s="424"/>
      <c r="DQ383" s="424"/>
      <c r="DR383" s="424"/>
      <c r="DS383" s="424"/>
      <c r="DT383" s="424"/>
      <c r="DU383" s="424"/>
      <c r="DV383" s="424"/>
      <c r="DW383" s="424"/>
      <c r="DX383" s="424"/>
      <c r="DY383" s="424"/>
      <c r="DZ383" s="424"/>
      <c r="EA383" s="424"/>
      <c r="EB383" s="424"/>
      <c r="EC383" s="424"/>
      <c r="ED383" s="424"/>
      <c r="EE383" s="424"/>
      <c r="EF383" s="424"/>
      <c r="EG383" s="424"/>
      <c r="EH383" s="424"/>
      <c r="EI383" s="424"/>
      <c r="EJ383" s="424"/>
      <c r="EK383" s="424"/>
      <c r="EL383" s="424"/>
      <c r="EM383" s="424"/>
      <c r="EN383" s="424"/>
      <c r="EO383" s="425"/>
      <c r="EP383" s="333"/>
    </row>
    <row r="384" spans="80:146" x14ac:dyDescent="0.25">
      <c r="CB384" s="350"/>
      <c r="CC384" s="350"/>
      <c r="CD384" s="350"/>
      <c r="CE384" s="350"/>
      <c r="CF384" s="350"/>
      <c r="CG384" s="350"/>
      <c r="CR384" s="445"/>
      <c r="CS384" s="300"/>
      <c r="CT384" s="395" t="str">
        <f t="shared" ca="1" si="369"/>
        <v/>
      </c>
      <c r="CU384" s="465" t="str">
        <f ca="1">IF(OR(CT384="",DA384="",CT384=DA384,COUNTIF(games.rv,CT384&amp;DA384)=0),"",CONCATENATE(CT384,DA384))</f>
        <v/>
      </c>
      <c r="CV384" s="360" t="str">
        <f ca="1">IF(CU384="","",CONCATENATE(VLOOKUP(CU384,games.r,9,FALSE),VLOOKUP(CU384,games.r,12,FALSE)))</f>
        <v/>
      </c>
      <c r="CW384" s="354" t="str">
        <f ca="1">IF(CU384="","",VLOOKUP(CU384,games.r,10,FALSE))</f>
        <v/>
      </c>
      <c r="CX384" s="354" t="str">
        <f ca="1">IF(CU384="","",VLOOKUP(CU384,games.r,13,FALSE))</f>
        <v/>
      </c>
      <c r="CY384" s="361" t="str">
        <f ca="1">IF(CU384="","",VLOOKUP(CU384,games.r,6,FALSE))</f>
        <v/>
      </c>
      <c r="CZ384" s="362" t="str">
        <f ca="1">IF(CU384="","",VLOOKUP(CU384,games.r,7,FALSE))</f>
        <v/>
      </c>
      <c r="DA384" s="379" t="str">
        <f ca="1">DA383</f>
        <v/>
      </c>
      <c r="DB384" s="302"/>
      <c r="DC384" s="364"/>
      <c r="DD384" s="302"/>
      <c r="DF384" s="424"/>
      <c r="DG384" s="424"/>
      <c r="DH384" s="424"/>
      <c r="DI384" s="424"/>
      <c r="DJ384" s="424"/>
      <c r="DK384" s="424"/>
      <c r="DL384" s="424"/>
      <c r="DM384" s="424"/>
      <c r="DN384" s="424"/>
      <c r="DO384" s="424"/>
      <c r="DP384" s="424"/>
      <c r="DQ384" s="424"/>
      <c r="DR384" s="424"/>
      <c r="DS384" s="424"/>
      <c r="DT384" s="424"/>
      <c r="DU384" s="424"/>
      <c r="DV384" s="424"/>
      <c r="DW384" s="424"/>
      <c r="DX384" s="424"/>
      <c r="DY384" s="424"/>
      <c r="DZ384" s="424"/>
      <c r="EA384" s="424"/>
      <c r="EB384" s="424"/>
      <c r="EC384" s="424"/>
      <c r="ED384" s="424"/>
      <c r="EE384" s="424"/>
      <c r="EF384" s="424"/>
      <c r="EG384" s="424"/>
      <c r="EH384" s="424"/>
      <c r="EI384" s="424"/>
      <c r="EJ384" s="424"/>
      <c r="EK384" s="424"/>
      <c r="EL384" s="424"/>
      <c r="EM384" s="424"/>
      <c r="EN384" s="424"/>
      <c r="EO384" s="425"/>
      <c r="EP384" s="333"/>
    </row>
    <row r="385" spans="80:146" x14ac:dyDescent="0.25">
      <c r="CB385" s="350"/>
      <c r="CC385" s="350"/>
      <c r="CD385" s="350"/>
      <c r="CE385" s="350"/>
      <c r="CF385" s="350"/>
      <c r="CG385" s="350"/>
      <c r="CR385" s="445"/>
      <c r="CS385" s="300"/>
      <c r="CT385" s="395" t="str">
        <f t="shared" ca="1" si="369"/>
        <v/>
      </c>
      <c r="CU385" s="465" t="str">
        <f ca="1">IF(OR(CT385="",DA385="",CT385=DA385,COUNTIF(games.rv,CT385&amp;DA385)=0),"",CONCATENATE(CT385,DA385))</f>
        <v/>
      </c>
      <c r="CV385" s="360" t="str">
        <f ca="1">IF(CU385="","",CONCATENATE(VLOOKUP(CU385,games.r,9,FALSE),VLOOKUP(CU385,games.r,12,FALSE)))</f>
        <v/>
      </c>
      <c r="CW385" s="354" t="str">
        <f ca="1">IF(CU385="","",VLOOKUP(CU385,games.r,10,FALSE))</f>
        <v/>
      </c>
      <c r="CX385" s="354" t="str">
        <f ca="1">IF(CU385="","",VLOOKUP(CU385,games.r,13,FALSE))</f>
        <v/>
      </c>
      <c r="CY385" s="361" t="str">
        <f ca="1">IF(CU385="","",VLOOKUP(CU385,games.r,6,FALSE))</f>
        <v/>
      </c>
      <c r="CZ385" s="362" t="str">
        <f ca="1">IF(CU385="","",VLOOKUP(CU385,games.r,7,FALSE))</f>
        <v/>
      </c>
      <c r="DA385" s="379" t="str">
        <f ca="1">DA384</f>
        <v/>
      </c>
      <c r="DB385" s="302"/>
      <c r="DC385" s="364"/>
      <c r="DD385" s="302"/>
      <c r="DF385" s="424"/>
      <c r="DG385" s="424"/>
      <c r="DH385" s="424"/>
      <c r="DI385" s="424"/>
      <c r="DJ385" s="424"/>
      <c r="DK385" s="424"/>
      <c r="DL385" s="424"/>
      <c r="DM385" s="424"/>
      <c r="DN385" s="424"/>
      <c r="DO385" s="424"/>
      <c r="DP385" s="424"/>
      <c r="DQ385" s="424"/>
      <c r="DR385" s="424"/>
      <c r="DS385" s="424"/>
      <c r="DT385" s="424"/>
      <c r="DU385" s="424"/>
      <c r="DV385" s="424"/>
      <c r="DW385" s="424"/>
      <c r="DX385" s="424"/>
      <c r="DY385" s="424"/>
      <c r="DZ385" s="424"/>
      <c r="EA385" s="424"/>
      <c r="EB385" s="424"/>
      <c r="EC385" s="424"/>
      <c r="ED385" s="424"/>
      <c r="EE385" s="424"/>
      <c r="EF385" s="424"/>
      <c r="EG385" s="424"/>
      <c r="EH385" s="424"/>
      <c r="EI385" s="424"/>
      <c r="EJ385" s="424"/>
      <c r="EK385" s="424"/>
      <c r="EL385" s="424"/>
      <c r="EM385" s="424"/>
      <c r="EN385" s="424"/>
      <c r="EO385" s="425"/>
      <c r="EP385" s="333"/>
    </row>
    <row r="386" spans="80:146" x14ac:dyDescent="0.25">
      <c r="CB386" s="350"/>
      <c r="CC386" s="350"/>
      <c r="CD386" s="350"/>
      <c r="CE386" s="350"/>
      <c r="CF386" s="350"/>
      <c r="CG386" s="350"/>
      <c r="CR386" s="445"/>
      <c r="CS386" s="300"/>
      <c r="CT386" s="533" t="str">
        <f t="shared" si="369"/>
        <v/>
      </c>
      <c r="CU386" s="371" t="str">
        <f ca="1">IF(OR(CT386="",DA386="",CT386=DA386,ISNA(VLOOKUP(CONCATENATE(CT386,DA386),games.a,2,FALSE))),"",CONCATENATE(CT386,DA386))</f>
        <v/>
      </c>
      <c r="CV386" s="371" t="str">
        <f ca="1">IF(CU386="","",CONCATENATE(VLOOKUP(CU386,games.a,9,FALSE),VLOOKUP(CU386,games.a,12,FALSE)))</f>
        <v/>
      </c>
      <c r="CW386" s="369" t="str">
        <f ca="1">IF(CU386="","",VLOOKUP(CU386,games.a,10,FALSE))</f>
        <v/>
      </c>
      <c r="CX386" s="369" t="str">
        <f ca="1">IF(CU386="","",VLOOKUP(CU386,games.a,13,FALSE))</f>
        <v/>
      </c>
      <c r="CY386" s="423" t="str">
        <f ca="1">IF(CU386="","",VLOOKUP(CU386,games.a,6,FALSE))</f>
        <v/>
      </c>
      <c r="CZ386" s="409" t="str">
        <f ca="1">IF(CU386="","",VLOOKUP(CU386,games.a,7,FALSE))</f>
        <v/>
      </c>
      <c r="DA386" s="523" t="str">
        <f ca="1">DA385</f>
        <v/>
      </c>
      <c r="DB386" s="302"/>
      <c r="DC386" s="364"/>
      <c r="DD386" s="302"/>
      <c r="DF386" s="424"/>
      <c r="DG386" s="424"/>
      <c r="DH386" s="424"/>
      <c r="DI386" s="424"/>
      <c r="DJ386" s="424"/>
      <c r="DK386" s="424"/>
      <c r="DL386" s="424"/>
      <c r="DM386" s="424"/>
      <c r="DN386" s="424"/>
      <c r="DO386" s="424"/>
      <c r="DP386" s="424"/>
      <c r="DQ386" s="424"/>
      <c r="DR386" s="424"/>
      <c r="DS386" s="424"/>
      <c r="DT386" s="424"/>
      <c r="DU386" s="424"/>
      <c r="DV386" s="424"/>
      <c r="DW386" s="424"/>
      <c r="DX386" s="424"/>
      <c r="DY386" s="424"/>
      <c r="DZ386" s="424"/>
      <c r="EA386" s="424"/>
      <c r="EB386" s="424"/>
      <c r="EC386" s="424"/>
      <c r="ED386" s="424"/>
      <c r="EE386" s="424"/>
      <c r="EF386" s="424"/>
      <c r="EG386" s="424"/>
      <c r="EH386" s="424"/>
      <c r="EI386" s="424"/>
      <c r="EJ386" s="424"/>
      <c r="EK386" s="424"/>
      <c r="EL386" s="424"/>
      <c r="EM386" s="424"/>
      <c r="EN386" s="424"/>
      <c r="EO386" s="425"/>
      <c r="EP386" s="333"/>
    </row>
    <row r="387" spans="80:146" x14ac:dyDescent="0.25">
      <c r="CB387" s="350"/>
      <c r="CC387" s="350"/>
      <c r="CD387" s="350"/>
      <c r="CE387" s="350"/>
      <c r="CF387" s="350"/>
      <c r="CG387" s="350"/>
      <c r="CR387" s="445"/>
      <c r="CS387" s="300"/>
      <c r="CT387" s="533" t="str">
        <f t="shared" si="369"/>
        <v/>
      </c>
      <c r="CU387" s="371" t="str">
        <f ca="1">IF(OR(CT387="",DA387="",CT387=DA387,ISNA(VLOOKUP(CONCATENATE(CT387,DA387),games.a,2,FALSE))),"",CONCATENATE(CT387,DA387))</f>
        <v/>
      </c>
      <c r="CV387" s="371" t="str">
        <f ca="1">IF(CU387="","",CONCATENATE(VLOOKUP(CU387,games.a,9,FALSE),VLOOKUP(CU387,games.a,12,FALSE)))</f>
        <v/>
      </c>
      <c r="CW387" s="369" t="str">
        <f ca="1">IF(CU387="","",VLOOKUP(CU387,games.a,10,FALSE))</f>
        <v/>
      </c>
      <c r="CX387" s="369" t="str">
        <f ca="1">IF(CU387="","",VLOOKUP(CU387,games.a,13,FALSE))</f>
        <v/>
      </c>
      <c r="CY387" s="423" t="str">
        <f ca="1">IF(CU387="","",VLOOKUP(CU387,games.a,6,FALSE))</f>
        <v/>
      </c>
      <c r="CZ387" s="409" t="str">
        <f ca="1">IF(CU387="","",VLOOKUP(CU387,games.a,7,FALSE))</f>
        <v/>
      </c>
      <c r="DA387" s="523" t="str">
        <f ca="1">DA386</f>
        <v/>
      </c>
      <c r="DB387" s="302"/>
      <c r="DC387" s="364"/>
      <c r="DD387" s="302"/>
      <c r="DF387" s="424"/>
      <c r="DG387" s="424"/>
      <c r="DH387" s="424"/>
      <c r="DI387" s="424"/>
      <c r="DJ387" s="424"/>
      <c r="DK387" s="424"/>
      <c r="DL387" s="424"/>
      <c r="DM387" s="424"/>
      <c r="DN387" s="424"/>
      <c r="DO387" s="424"/>
      <c r="DP387" s="424"/>
      <c r="DQ387" s="424"/>
      <c r="DR387" s="424"/>
      <c r="DS387" s="424"/>
      <c r="DT387" s="424"/>
      <c r="DU387" s="424"/>
      <c r="DV387" s="424"/>
      <c r="DW387" s="424"/>
      <c r="DX387" s="424"/>
      <c r="DY387" s="424"/>
      <c r="DZ387" s="424"/>
      <c r="EA387" s="424"/>
      <c r="EB387" s="424"/>
      <c r="EC387" s="424"/>
      <c r="ED387" s="424"/>
      <c r="EE387" s="424"/>
      <c r="EF387" s="424"/>
      <c r="EG387" s="424"/>
      <c r="EH387" s="424"/>
      <c r="EI387" s="424"/>
      <c r="EJ387" s="424"/>
      <c r="EK387" s="424"/>
      <c r="EL387" s="424"/>
      <c r="EM387" s="424"/>
      <c r="EN387" s="424"/>
      <c r="EO387" s="425"/>
      <c r="EP387" s="333"/>
    </row>
    <row r="388" spans="80:146" x14ac:dyDescent="0.25">
      <c r="CB388" s="350"/>
      <c r="CC388" s="350"/>
      <c r="CD388" s="350"/>
      <c r="CE388" s="350"/>
      <c r="CF388" s="350"/>
      <c r="CG388" s="350"/>
      <c r="CR388" s="445"/>
      <c r="CS388" s="300"/>
      <c r="CT388" s="533" t="str">
        <f t="shared" si="369"/>
        <v/>
      </c>
      <c r="CU388" s="371" t="str">
        <f ca="1">IF(OR(CT388="",DA388="",CT388=DA388,ISNA(VLOOKUP(CONCATENATE(CT388,DA388),games.a,2,FALSE))),"",CONCATENATE(CT388,DA388))</f>
        <v/>
      </c>
      <c r="CV388" s="371" t="str">
        <f ca="1">IF(CU388="","",CONCATENATE(VLOOKUP(CU388,games.a,9,FALSE),VLOOKUP(CU388,games.a,12,FALSE)))</f>
        <v/>
      </c>
      <c r="CW388" s="369" t="str">
        <f ca="1">IF(CU388="","",VLOOKUP(CU388,games.a,10,FALSE))</f>
        <v/>
      </c>
      <c r="CX388" s="369" t="str">
        <f ca="1">IF(CU388="","",VLOOKUP(CU388,games.a,13,FALSE))</f>
        <v/>
      </c>
      <c r="CY388" s="423" t="str">
        <f ca="1">IF(CU388="","",VLOOKUP(CU388,games.a,6,FALSE))</f>
        <v/>
      </c>
      <c r="CZ388" s="409" t="str">
        <f ca="1">IF(CU388="","",VLOOKUP(CU388,games.a,7,FALSE))</f>
        <v/>
      </c>
      <c r="DA388" s="523" t="str">
        <f ca="1">DA387</f>
        <v/>
      </c>
      <c r="DB388" s="302"/>
      <c r="DC388" s="364"/>
      <c r="DD388" s="302"/>
      <c r="DF388" s="424"/>
      <c r="DG388" s="424"/>
      <c r="DH388" s="424"/>
      <c r="DI388" s="424"/>
      <c r="DJ388" s="424"/>
      <c r="DK388" s="424"/>
      <c r="DL388" s="424"/>
      <c r="DM388" s="424"/>
      <c r="DN388" s="424"/>
      <c r="DO388" s="424"/>
      <c r="DP388" s="424"/>
      <c r="DQ388" s="424"/>
      <c r="DR388" s="424"/>
      <c r="DS388" s="424"/>
      <c r="DT388" s="424"/>
      <c r="DU388" s="424"/>
      <c r="DV388" s="424"/>
      <c r="DW388" s="424"/>
      <c r="DX388" s="424"/>
      <c r="DY388" s="424"/>
      <c r="DZ388" s="424"/>
      <c r="EA388" s="424"/>
      <c r="EB388" s="424"/>
      <c r="EC388" s="424"/>
      <c r="ED388" s="424"/>
      <c r="EE388" s="424"/>
      <c r="EF388" s="424"/>
      <c r="EG388" s="424"/>
      <c r="EH388" s="424"/>
      <c r="EI388" s="424"/>
      <c r="EJ388" s="424"/>
      <c r="EK388" s="424"/>
      <c r="EL388" s="424"/>
      <c r="EM388" s="424"/>
      <c r="EN388" s="424"/>
      <c r="EO388" s="425"/>
      <c r="EP388" s="437"/>
    </row>
    <row r="389" spans="80:146" x14ac:dyDescent="0.25">
      <c r="CB389" s="350"/>
      <c r="CC389" s="350"/>
      <c r="CD389" s="350"/>
      <c r="CE389" s="350"/>
      <c r="CF389" s="350"/>
      <c r="CG389" s="350"/>
      <c r="CR389" s="445"/>
      <c r="CS389" s="300"/>
      <c r="CT389" s="301"/>
      <c r="CU389" s="458" t="s">
        <v>157</v>
      </c>
      <c r="CV389" s="458" t="s">
        <v>158</v>
      </c>
      <c r="CW389" s="459" t="s">
        <v>159</v>
      </c>
      <c r="CX389" s="459"/>
      <c r="CY389" s="460" t="s">
        <v>160</v>
      </c>
      <c r="CZ389" s="459" t="s">
        <v>135</v>
      </c>
      <c r="DA389" s="302"/>
      <c r="DB389" s="302"/>
      <c r="DC389" s="364"/>
      <c r="DD389" s="302"/>
      <c r="DF389" s="424"/>
      <c r="DG389" s="424"/>
      <c r="DH389" s="424"/>
      <c r="DI389" s="424"/>
      <c r="DJ389" s="424"/>
      <c r="DK389" s="424"/>
      <c r="DL389" s="424"/>
      <c r="DM389" s="424"/>
      <c r="DN389" s="424"/>
      <c r="DO389" s="424"/>
      <c r="DP389" s="424"/>
      <c r="DQ389" s="424"/>
      <c r="DR389" s="424"/>
      <c r="DS389" s="424"/>
      <c r="DT389" s="424"/>
      <c r="DU389" s="424"/>
      <c r="DV389" s="424"/>
      <c r="DW389" s="424"/>
      <c r="DX389" s="424"/>
      <c r="DY389" s="424"/>
      <c r="DZ389" s="424"/>
      <c r="EA389" s="424"/>
      <c r="EB389" s="424"/>
      <c r="EC389" s="424"/>
      <c r="ED389" s="424"/>
      <c r="EE389" s="424"/>
      <c r="EF389" s="424"/>
      <c r="EG389" s="424"/>
      <c r="EH389" s="424"/>
      <c r="EI389" s="424"/>
      <c r="EJ389" s="424"/>
      <c r="EK389" s="424"/>
      <c r="EL389" s="424"/>
      <c r="EM389" s="424"/>
      <c r="EN389" s="424"/>
      <c r="EO389" s="425"/>
      <c r="EP389" s="437"/>
    </row>
    <row r="390" spans="80:146" x14ac:dyDescent="0.25">
      <c r="CB390" s="350"/>
      <c r="CC390" s="350"/>
      <c r="CD390" s="350"/>
      <c r="CE390" s="350"/>
      <c r="CF390" s="350"/>
      <c r="CG390" s="350"/>
      <c r="CR390" s="445"/>
      <c r="CS390" s="300"/>
      <c r="CT390" s="395" t="str">
        <f t="shared" ref="CT390:CT395" ca="1" si="370">CT383</f>
        <v/>
      </c>
      <c r="CU390" s="465" t="str">
        <f ca="1">IF(OR(CT390="",DA390="",CT390=DA390,COUNTIF(games.rv,CT390&amp;DA390)=0),"",CONCATENATE(CT390,DA390))</f>
        <v/>
      </c>
      <c r="CV390" s="360" t="str">
        <f ca="1">IF(CU390="","",CONCATENATE(VLOOKUP(CU390,games.r,9,FALSE),VLOOKUP(CU390,games.r,12,FALSE)))</f>
        <v/>
      </c>
      <c r="CW390" s="354" t="str">
        <f ca="1">IF(CU390="","",VLOOKUP(CU390,games.r,10,FALSE))</f>
        <v/>
      </c>
      <c r="CX390" s="354" t="str">
        <f ca="1">IF(CU390="","",VLOOKUP(CU390,games.r,13,FALSE))</f>
        <v/>
      </c>
      <c r="CY390" s="361" t="str">
        <f ca="1">IF(CU390="","",VLOOKUP(CU390,games.r,6,FALSE))</f>
        <v/>
      </c>
      <c r="CZ390" s="362" t="str">
        <f ca="1">IF(CU390="","",VLOOKUP(CU390,games.r,7,FALSE))</f>
        <v/>
      </c>
      <c r="DA390" s="466" t="str">
        <f ca="1">CT378</f>
        <v/>
      </c>
      <c r="DB390" s="302"/>
      <c r="DC390" s="364"/>
      <c r="DD390" s="302"/>
      <c r="DF390" s="424"/>
      <c r="DG390" s="424"/>
      <c r="DH390" s="424"/>
      <c r="DI390" s="424"/>
      <c r="DJ390" s="424"/>
      <c r="DK390" s="424"/>
      <c r="DL390" s="424"/>
      <c r="DM390" s="424"/>
      <c r="DN390" s="424"/>
      <c r="DO390" s="424"/>
      <c r="DP390" s="424"/>
      <c r="DQ390" s="424"/>
      <c r="DR390" s="424"/>
      <c r="DS390" s="424"/>
      <c r="DT390" s="424"/>
      <c r="DU390" s="424"/>
      <c r="DV390" s="424"/>
      <c r="DW390" s="424"/>
      <c r="DX390" s="424"/>
      <c r="DY390" s="424"/>
      <c r="DZ390" s="424"/>
      <c r="EA390" s="424"/>
      <c r="EB390" s="424"/>
      <c r="EC390" s="424"/>
      <c r="ED390" s="424"/>
      <c r="EE390" s="424"/>
      <c r="EF390" s="424"/>
      <c r="EG390" s="424"/>
      <c r="EH390" s="424"/>
      <c r="EI390" s="424"/>
      <c r="EJ390" s="424"/>
      <c r="EK390" s="424"/>
      <c r="EL390" s="424"/>
      <c r="EM390" s="424"/>
      <c r="EN390" s="424"/>
      <c r="EO390" s="425"/>
      <c r="EP390" s="437"/>
    </row>
    <row r="391" spans="80:146" x14ac:dyDescent="0.25">
      <c r="CB391" s="350"/>
      <c r="CC391" s="350"/>
      <c r="CD391" s="350"/>
      <c r="CE391" s="350"/>
      <c r="CF391" s="350"/>
      <c r="CG391" s="350"/>
      <c r="CR391" s="445"/>
      <c r="CS391" s="300"/>
      <c r="CT391" s="395" t="str">
        <f t="shared" ca="1" si="370"/>
        <v/>
      </c>
      <c r="CU391" s="465" t="str">
        <f ca="1">IF(OR(CT391="",DA391="",CT391=DA391,COUNTIF(games.rv,CT391&amp;DA391)=0),"",CONCATENATE(CT391,DA391))</f>
        <v/>
      </c>
      <c r="CV391" s="360" t="str">
        <f ca="1">IF(CU391="","",CONCATENATE(VLOOKUP(CU391,games.r,9,FALSE),VLOOKUP(CU391,games.r,12,FALSE)))</f>
        <v/>
      </c>
      <c r="CW391" s="354" t="str">
        <f ca="1">IF(CU391="","",VLOOKUP(CU391,games.r,10,FALSE))</f>
        <v/>
      </c>
      <c r="CX391" s="354" t="str">
        <f ca="1">IF(CU391="","",VLOOKUP(CU391,games.r,13,FALSE))</f>
        <v/>
      </c>
      <c r="CY391" s="361" t="str">
        <f ca="1">IF(CU391="","",VLOOKUP(CU391,games.r,6,FALSE))</f>
        <v/>
      </c>
      <c r="CZ391" s="362" t="str">
        <f ca="1">IF(CU391="","",VLOOKUP(CU391,games.r,7,FALSE))</f>
        <v/>
      </c>
      <c r="DA391" s="379" t="str">
        <f ca="1">DA390</f>
        <v/>
      </c>
      <c r="DB391" s="302"/>
      <c r="DC391" s="364"/>
      <c r="DD391" s="302"/>
      <c r="DF391" s="424"/>
      <c r="DG391" s="424"/>
      <c r="DH391" s="424"/>
      <c r="DI391" s="424"/>
      <c r="DJ391" s="424"/>
      <c r="DK391" s="424"/>
      <c r="DL391" s="424"/>
      <c r="DM391" s="424"/>
      <c r="DN391" s="424"/>
      <c r="DO391" s="424"/>
      <c r="DP391" s="424"/>
      <c r="DQ391" s="424"/>
      <c r="DR391" s="424"/>
      <c r="DS391" s="424"/>
      <c r="DT391" s="424"/>
      <c r="DU391" s="424"/>
      <c r="DV391" s="424"/>
      <c r="DW391" s="424"/>
      <c r="DX391" s="424"/>
      <c r="DY391" s="424"/>
      <c r="DZ391" s="424"/>
      <c r="EA391" s="424"/>
      <c r="EB391" s="424"/>
      <c r="EC391" s="424"/>
      <c r="ED391" s="424"/>
      <c r="EE391" s="424"/>
      <c r="EF391" s="424"/>
      <c r="EG391" s="424"/>
      <c r="EH391" s="424"/>
      <c r="EI391" s="424"/>
      <c r="EJ391" s="424"/>
      <c r="EK391" s="424"/>
      <c r="EL391" s="424"/>
      <c r="EM391" s="424"/>
      <c r="EN391" s="424"/>
      <c r="EO391" s="425"/>
      <c r="EP391" s="437"/>
    </row>
    <row r="392" spans="80:146" x14ac:dyDescent="0.25">
      <c r="CB392" s="350"/>
      <c r="CC392" s="350"/>
      <c r="CD392" s="350"/>
      <c r="CE392" s="350"/>
      <c r="CF392" s="350"/>
      <c r="CG392" s="350"/>
      <c r="CR392" s="445"/>
      <c r="CS392" s="300"/>
      <c r="CT392" s="395" t="str">
        <f t="shared" ca="1" si="370"/>
        <v/>
      </c>
      <c r="CU392" s="465" t="str">
        <f ca="1">IF(OR(CT392="",DA392="",CT392=DA392,COUNTIF(games.rv,CT392&amp;DA392)=0),"",CONCATENATE(CT392,DA392))</f>
        <v/>
      </c>
      <c r="CV392" s="360" t="str">
        <f ca="1">IF(CU392="","",CONCATENATE(VLOOKUP(CU392,games.r,9,FALSE),VLOOKUP(CU392,games.r,12,FALSE)))</f>
        <v/>
      </c>
      <c r="CW392" s="354" t="str">
        <f ca="1">IF(CU392="","",VLOOKUP(CU392,games.r,10,FALSE))</f>
        <v/>
      </c>
      <c r="CX392" s="354" t="str">
        <f ca="1">IF(CU392="","",VLOOKUP(CU392,games.r,13,FALSE))</f>
        <v/>
      </c>
      <c r="CY392" s="361" t="str">
        <f ca="1">IF(CU392="","",VLOOKUP(CU392,games.r,6,FALSE))</f>
        <v/>
      </c>
      <c r="CZ392" s="362" t="str">
        <f ca="1">IF(CU392="","",VLOOKUP(CU392,games.r,7,FALSE))</f>
        <v/>
      </c>
      <c r="DA392" s="379" t="str">
        <f ca="1">DA391</f>
        <v/>
      </c>
      <c r="DB392" s="302"/>
      <c r="DC392" s="364"/>
      <c r="DD392" s="302"/>
      <c r="DF392" s="424"/>
      <c r="DG392" s="424"/>
      <c r="DH392" s="424"/>
      <c r="DI392" s="424"/>
      <c r="DJ392" s="424"/>
      <c r="DK392" s="424"/>
      <c r="DL392" s="424"/>
      <c r="DM392" s="424"/>
      <c r="DN392" s="424"/>
      <c r="DO392" s="424"/>
      <c r="DP392" s="424"/>
      <c r="DQ392" s="424"/>
      <c r="DR392" s="424"/>
      <c r="DS392" s="424"/>
      <c r="DT392" s="424"/>
      <c r="DU392" s="424"/>
      <c r="DV392" s="424"/>
      <c r="DW392" s="424"/>
      <c r="DX392" s="424"/>
      <c r="DY392" s="424"/>
      <c r="DZ392" s="424"/>
      <c r="EA392" s="424"/>
      <c r="EB392" s="424"/>
      <c r="EC392" s="424"/>
      <c r="ED392" s="424"/>
      <c r="EE392" s="424"/>
      <c r="EF392" s="424"/>
      <c r="EG392" s="424"/>
      <c r="EH392" s="424"/>
      <c r="EI392" s="424"/>
      <c r="EJ392" s="424"/>
      <c r="EK392" s="424"/>
      <c r="EL392" s="424"/>
      <c r="EM392" s="424"/>
      <c r="EN392" s="424"/>
      <c r="EO392" s="425"/>
      <c r="EP392" s="333"/>
    </row>
    <row r="393" spans="80:146" x14ac:dyDescent="0.25">
      <c r="CB393" s="350"/>
      <c r="CC393" s="350"/>
      <c r="CD393" s="350"/>
      <c r="CE393" s="350"/>
      <c r="CF393" s="350"/>
      <c r="CG393" s="350"/>
      <c r="CR393" s="445"/>
      <c r="CS393" s="300"/>
      <c r="CT393" s="533" t="str">
        <f t="shared" si="370"/>
        <v/>
      </c>
      <c r="CU393" s="371" t="str">
        <f ca="1">IF(OR(CT393="",DA393="",CT393=DA393,ISNA(VLOOKUP(CONCATENATE(CT393,DA393),games.a,2,FALSE))),"",CONCATENATE(CT393,DA393))</f>
        <v/>
      </c>
      <c r="CV393" s="371" t="str">
        <f ca="1">IF(CU393="","",CONCATENATE(VLOOKUP(CU393,games.a,9,FALSE),VLOOKUP(CU393,games.a,12,FALSE)))</f>
        <v/>
      </c>
      <c r="CW393" s="369" t="str">
        <f ca="1">IF(CU393="","",VLOOKUP(CU393,games.a,10,FALSE))</f>
        <v/>
      </c>
      <c r="CX393" s="369" t="str">
        <f ca="1">IF(CU393="","",VLOOKUP(CU393,games.a,13,FALSE))</f>
        <v/>
      </c>
      <c r="CY393" s="423" t="str">
        <f ca="1">IF(CU393="","",VLOOKUP(CU393,games.a,6,FALSE))</f>
        <v/>
      </c>
      <c r="CZ393" s="409" t="str">
        <f ca="1">IF(CU393="","",VLOOKUP(CU393,games.a,7,FALSE))</f>
        <v/>
      </c>
      <c r="DA393" s="523" t="str">
        <f ca="1">DA392</f>
        <v/>
      </c>
      <c r="DB393" s="302"/>
      <c r="DC393" s="364"/>
      <c r="DD393" s="302"/>
      <c r="DF393" s="424"/>
      <c r="DG393" s="424"/>
      <c r="DH393" s="424"/>
      <c r="DI393" s="424"/>
      <c r="DJ393" s="424"/>
      <c r="DK393" s="424"/>
      <c r="DL393" s="424"/>
      <c r="DM393" s="424"/>
      <c r="DN393" s="424"/>
      <c r="DO393" s="424"/>
      <c r="DP393" s="424"/>
      <c r="DQ393" s="424"/>
      <c r="DR393" s="424"/>
      <c r="DS393" s="424"/>
      <c r="DT393" s="424"/>
      <c r="DU393" s="424"/>
      <c r="DV393" s="424"/>
      <c r="DW393" s="424"/>
      <c r="DX393" s="424"/>
      <c r="DY393" s="424"/>
      <c r="DZ393" s="424"/>
      <c r="EA393" s="424"/>
      <c r="EB393" s="424"/>
      <c r="EC393" s="424"/>
      <c r="ED393" s="424"/>
      <c r="EE393" s="424"/>
      <c r="EF393" s="424"/>
      <c r="EG393" s="424"/>
      <c r="EH393" s="424"/>
      <c r="EI393" s="424"/>
      <c r="EJ393" s="424"/>
      <c r="EK393" s="424"/>
      <c r="EL393" s="424"/>
      <c r="EM393" s="424"/>
      <c r="EN393" s="424"/>
      <c r="EO393" s="425"/>
      <c r="EP393" s="333"/>
    </row>
    <row r="394" spans="80:146" x14ac:dyDescent="0.25">
      <c r="CB394" s="350"/>
      <c r="CC394" s="350"/>
      <c r="CD394" s="350"/>
      <c r="CE394" s="350"/>
      <c r="CF394" s="350"/>
      <c r="CG394" s="350"/>
      <c r="CR394" s="445"/>
      <c r="CS394" s="300"/>
      <c r="CT394" s="533" t="str">
        <f t="shared" si="370"/>
        <v/>
      </c>
      <c r="CU394" s="371" t="str">
        <f ca="1">IF(OR(CT394="",DA394="",CT394=DA394,ISNA(VLOOKUP(CONCATENATE(CT394,DA394),games.a,2,FALSE))),"",CONCATENATE(CT394,DA394))</f>
        <v/>
      </c>
      <c r="CV394" s="371" t="str">
        <f ca="1">IF(CU394="","",CONCATENATE(VLOOKUP(CU394,games.a,9,FALSE),VLOOKUP(CU394,games.a,12,FALSE)))</f>
        <v/>
      </c>
      <c r="CW394" s="369" t="str">
        <f ca="1">IF(CU394="","",VLOOKUP(CU394,games.a,10,FALSE))</f>
        <v/>
      </c>
      <c r="CX394" s="369" t="str">
        <f ca="1">IF(CU394="","",VLOOKUP(CU394,games.a,13,FALSE))</f>
        <v/>
      </c>
      <c r="CY394" s="423" t="str">
        <f ca="1">IF(CU394="","",VLOOKUP(CU394,games.a,6,FALSE))</f>
        <v/>
      </c>
      <c r="CZ394" s="409" t="str">
        <f ca="1">IF(CU394="","",VLOOKUP(CU394,games.a,7,FALSE))</f>
        <v/>
      </c>
      <c r="DA394" s="523" t="str">
        <f ca="1">DA393</f>
        <v/>
      </c>
      <c r="DB394" s="302"/>
      <c r="DC394" s="364"/>
      <c r="DD394" s="302"/>
      <c r="DF394" s="424"/>
      <c r="DG394" s="424"/>
      <c r="DH394" s="424"/>
      <c r="DI394" s="424"/>
      <c r="DJ394" s="424"/>
      <c r="DK394" s="424"/>
      <c r="DL394" s="424"/>
      <c r="DM394" s="424"/>
      <c r="DN394" s="424"/>
      <c r="DO394" s="424"/>
      <c r="DP394" s="424"/>
      <c r="DQ394" s="424"/>
      <c r="DR394" s="424"/>
      <c r="DS394" s="424"/>
      <c r="DT394" s="424"/>
      <c r="DU394" s="424"/>
      <c r="DV394" s="424"/>
      <c r="DW394" s="424"/>
      <c r="DX394" s="424"/>
      <c r="DY394" s="424"/>
      <c r="DZ394" s="424"/>
      <c r="EA394" s="424"/>
      <c r="EB394" s="424"/>
      <c r="EC394" s="424"/>
      <c r="ED394" s="424"/>
      <c r="EE394" s="424"/>
      <c r="EF394" s="424"/>
      <c r="EG394" s="424"/>
      <c r="EH394" s="424"/>
      <c r="EI394" s="424"/>
      <c r="EJ394" s="424"/>
      <c r="EK394" s="424"/>
      <c r="EL394" s="424"/>
      <c r="EM394" s="424"/>
      <c r="EN394" s="424"/>
      <c r="EO394" s="425"/>
      <c r="EP394" s="333"/>
    </row>
    <row r="395" spans="80:146" x14ac:dyDescent="0.25">
      <c r="CB395" s="350"/>
      <c r="CC395" s="350"/>
      <c r="CD395" s="350"/>
      <c r="CE395" s="350"/>
      <c r="CF395" s="350"/>
      <c r="CG395" s="350"/>
      <c r="CR395" s="445"/>
      <c r="CS395" s="300"/>
      <c r="CT395" s="533" t="str">
        <f t="shared" si="370"/>
        <v/>
      </c>
      <c r="CU395" s="371" t="str">
        <f ca="1">IF(OR(CT395="",DA395="",CT395=DA395,ISNA(VLOOKUP(CONCATENATE(CT395,DA395),games.a,2,FALSE))),"",CONCATENATE(CT395,DA395))</f>
        <v/>
      </c>
      <c r="CV395" s="371" t="str">
        <f ca="1">IF(CU395="","",CONCATENATE(VLOOKUP(CU395,games.a,9,FALSE),VLOOKUP(CU395,games.a,12,FALSE)))</f>
        <v/>
      </c>
      <c r="CW395" s="369" t="str">
        <f ca="1">IF(CU395="","",VLOOKUP(CU395,games.a,10,FALSE))</f>
        <v/>
      </c>
      <c r="CX395" s="369" t="str">
        <f ca="1">IF(CU395="","",VLOOKUP(CU395,games.a,13,FALSE))</f>
        <v/>
      </c>
      <c r="CY395" s="423" t="str">
        <f ca="1">IF(CU395="","",VLOOKUP(CU395,games.a,6,FALSE))</f>
        <v/>
      </c>
      <c r="CZ395" s="409" t="str">
        <f ca="1">IF(CU395="","",VLOOKUP(CU395,games.a,7,FALSE))</f>
        <v/>
      </c>
      <c r="DA395" s="523" t="str">
        <f ca="1">DA394</f>
        <v/>
      </c>
      <c r="DB395" s="302"/>
      <c r="DC395" s="364"/>
      <c r="DD395" s="302"/>
      <c r="DF395" s="424"/>
      <c r="DG395" s="424"/>
      <c r="DH395" s="424"/>
      <c r="DI395" s="424"/>
      <c r="DJ395" s="424"/>
      <c r="DK395" s="424"/>
      <c r="DL395" s="424"/>
      <c r="DM395" s="424"/>
      <c r="DN395" s="424"/>
      <c r="DO395" s="424"/>
      <c r="DP395" s="424"/>
      <c r="DQ395" s="424"/>
      <c r="DR395" s="424"/>
      <c r="DS395" s="424"/>
      <c r="DT395" s="424"/>
      <c r="DU395" s="424"/>
      <c r="DV395" s="424"/>
      <c r="DW395" s="424"/>
      <c r="DX395" s="424"/>
      <c r="DY395" s="424"/>
      <c r="DZ395" s="424"/>
      <c r="EA395" s="424"/>
      <c r="EB395" s="424"/>
      <c r="EC395" s="424"/>
      <c r="ED395" s="424"/>
      <c r="EE395" s="424"/>
      <c r="EF395" s="424"/>
      <c r="EG395" s="424"/>
      <c r="EH395" s="424"/>
      <c r="EI395" s="424"/>
      <c r="EJ395" s="424"/>
      <c r="EK395" s="424"/>
      <c r="EL395" s="424"/>
      <c r="EM395" s="424"/>
      <c r="EN395" s="424"/>
      <c r="EO395" s="425"/>
      <c r="EP395" s="333"/>
    </row>
    <row r="396" spans="80:146" x14ac:dyDescent="0.25">
      <c r="CB396" s="350"/>
      <c r="CC396" s="350"/>
      <c r="CD396" s="350"/>
      <c r="CE396" s="350"/>
      <c r="CF396" s="350"/>
      <c r="CG396" s="350"/>
      <c r="CR396" s="445"/>
      <c r="CS396" s="445"/>
      <c r="CT396" s="301"/>
      <c r="CU396" s="302"/>
      <c r="CV396" s="302"/>
      <c r="CW396" s="302"/>
      <c r="CX396" s="302"/>
      <c r="CY396" s="302"/>
      <c r="CZ396" s="302"/>
      <c r="DA396" s="447"/>
      <c r="DB396" s="302"/>
      <c r="DC396" s="446" t="s">
        <v>218</v>
      </c>
      <c r="DD396" s="302"/>
      <c r="DF396" s="424"/>
      <c r="DG396" s="424"/>
      <c r="DH396" s="424"/>
      <c r="DI396" s="424"/>
      <c r="DJ396" s="424"/>
      <c r="DK396" s="424"/>
      <c r="DL396" s="424"/>
      <c r="DM396" s="424"/>
      <c r="DN396" s="424"/>
      <c r="DO396" s="424"/>
      <c r="DP396" s="424"/>
      <c r="DQ396" s="424"/>
      <c r="DR396" s="424"/>
      <c r="DS396" s="424"/>
      <c r="DT396" s="424"/>
      <c r="DU396" s="424"/>
      <c r="DV396" s="424"/>
      <c r="DW396" s="424"/>
      <c r="DX396" s="424"/>
      <c r="DY396" s="424"/>
      <c r="DZ396" s="424"/>
      <c r="EA396" s="424"/>
      <c r="EB396" s="424"/>
      <c r="EC396" s="424"/>
      <c r="ED396" s="424"/>
      <c r="EE396" s="424"/>
      <c r="EF396" s="424"/>
      <c r="EG396" s="424"/>
      <c r="EH396" s="424"/>
      <c r="EI396" s="424"/>
      <c r="EJ396" s="424"/>
      <c r="EK396" s="424"/>
      <c r="EL396" s="424"/>
      <c r="EM396" s="424"/>
      <c r="EN396" s="424"/>
      <c r="EO396" s="425"/>
      <c r="EP396" s="333"/>
    </row>
    <row r="397" spans="80:146" x14ac:dyDescent="0.25">
      <c r="CB397" s="350"/>
      <c r="CC397" s="350"/>
      <c r="CD397" s="350"/>
      <c r="CE397" s="350"/>
      <c r="CF397" s="350"/>
      <c r="CG397" s="350"/>
      <c r="CR397" s="445"/>
      <c r="CS397" s="445"/>
      <c r="CT397" s="301"/>
      <c r="CU397" s="302"/>
      <c r="CV397" s="302"/>
      <c r="CW397" s="302"/>
      <c r="CX397" s="302"/>
      <c r="CY397" s="302"/>
      <c r="CZ397" s="302"/>
      <c r="DA397" s="447"/>
      <c r="DB397" s="302"/>
      <c r="DC397" s="450" t="s">
        <v>219</v>
      </c>
      <c r="DD397" s="302"/>
      <c r="DF397" s="424"/>
      <c r="DG397" s="424"/>
      <c r="DH397" s="424"/>
      <c r="DI397" s="424"/>
      <c r="DJ397" s="424"/>
      <c r="DK397" s="424"/>
      <c r="DL397" s="424"/>
      <c r="DM397" s="424"/>
      <c r="DN397" s="424"/>
      <c r="DO397" s="424"/>
      <c r="DP397" s="424"/>
      <c r="DQ397" s="424"/>
      <c r="DR397" s="424"/>
      <c r="DS397" s="424"/>
      <c r="DT397" s="424"/>
      <c r="DU397" s="424"/>
      <c r="DV397" s="424"/>
      <c r="DW397" s="424"/>
      <c r="DX397" s="424"/>
      <c r="DY397" s="424"/>
      <c r="DZ397" s="424"/>
      <c r="EA397" s="424"/>
      <c r="EB397" s="424"/>
      <c r="EC397" s="424"/>
      <c r="ED397" s="424"/>
      <c r="EE397" s="424"/>
      <c r="EF397" s="424"/>
      <c r="EG397" s="424"/>
      <c r="EH397" s="424"/>
      <c r="EI397" s="424"/>
      <c r="EJ397" s="424"/>
      <c r="EK397" s="424"/>
      <c r="EL397" s="424"/>
      <c r="EM397" s="424"/>
      <c r="EN397" s="424"/>
      <c r="EO397" s="425"/>
      <c r="EP397" s="333"/>
    </row>
    <row r="398" spans="80:146" x14ac:dyDescent="0.25">
      <c r="CB398" s="350"/>
      <c r="CC398" s="350"/>
      <c r="CD398" s="350"/>
      <c r="CE398" s="350"/>
      <c r="CF398" s="350"/>
      <c r="CG398" s="350"/>
      <c r="CR398" s="445"/>
      <c r="CS398" s="300"/>
      <c r="CT398" s="323" t="b">
        <f ca="1">OR(NOT(ASZTAB!$AJ$44),COUNTIF(CY398:CY407,"")&lt;=8-(DA398-1)*DA398/2)</f>
        <v>1</v>
      </c>
      <c r="CU398" s="458" t="s">
        <v>157</v>
      </c>
      <c r="CV398" s="458" t="s">
        <v>158</v>
      </c>
      <c r="CW398" s="459" t="s">
        <v>159</v>
      </c>
      <c r="CX398" s="459"/>
      <c r="CY398" s="460" t="s">
        <v>160</v>
      </c>
      <c r="CZ398" s="459" t="s">
        <v>135</v>
      </c>
      <c r="DA398" s="323">
        <f ca="1">COUNT(CQ319:CQ320)</f>
        <v>0</v>
      </c>
      <c r="DB398" s="302"/>
      <c r="DC398" s="364"/>
      <c r="DD398" s="302"/>
      <c r="DF398" s="424"/>
      <c r="DG398" s="329" t="s">
        <v>229</v>
      </c>
      <c r="DH398" s="365"/>
      <c r="DI398" s="329" t="s">
        <v>152</v>
      </c>
      <c r="DJ398" s="329" t="s">
        <v>153</v>
      </c>
      <c r="DK398" s="329" t="s">
        <v>154</v>
      </c>
      <c r="DL398" s="329" t="s">
        <v>155</v>
      </c>
      <c r="DM398" s="329" t="s">
        <v>125</v>
      </c>
      <c r="DN398" s="329" t="s">
        <v>226</v>
      </c>
      <c r="DO398" s="329" t="s">
        <v>126</v>
      </c>
      <c r="DP398" s="329" t="s">
        <v>227</v>
      </c>
      <c r="DQ398" s="424"/>
      <c r="DR398" s="424"/>
      <c r="DS398" s="424"/>
      <c r="DT398" s="329" t="s">
        <v>228</v>
      </c>
      <c r="DU398" s="329" t="s">
        <v>156</v>
      </c>
      <c r="DV398" s="329" t="s">
        <v>208</v>
      </c>
      <c r="DW398" s="424"/>
      <c r="DX398" s="424"/>
      <c r="DY398" s="424"/>
      <c r="DZ398" s="424"/>
      <c r="EA398" s="424"/>
      <c r="EB398" s="424"/>
      <c r="EC398" s="424"/>
      <c r="ED398" s="424"/>
      <c r="EE398" s="424"/>
      <c r="EF398" s="424"/>
      <c r="EG398" s="424"/>
      <c r="EH398" s="424"/>
      <c r="EI398" s="424"/>
      <c r="EJ398" s="424"/>
      <c r="EK398" s="424"/>
      <c r="EL398" s="424"/>
      <c r="EM398" s="424"/>
      <c r="EN398" s="424"/>
      <c r="EO398" s="425"/>
      <c r="EP398" s="333"/>
    </row>
    <row r="399" spans="80:146" x14ac:dyDescent="0.25">
      <c r="CB399" s="350"/>
      <c r="CC399" s="350"/>
      <c r="CD399" s="350"/>
      <c r="CE399" s="350"/>
      <c r="CF399" s="350"/>
      <c r="CG399" s="350"/>
      <c r="CR399" s="445"/>
      <c r="CS399" s="300"/>
      <c r="CT399" s="464" t="str">
        <f ca="1">IF(CQ319="","",VLOOKUP(CQ319,xxx.rv1,10,FALSE))</f>
        <v/>
      </c>
      <c r="CU399" s="465" t="str">
        <f ca="1">IF(OR(CT399="",DA399="",CT399=DA399,COUNTIF(games.rv,CT399&amp;DA399)=0),"",CONCATENATE(CT399,DA399))</f>
        <v/>
      </c>
      <c r="CV399" s="360" t="str">
        <f ca="1">IF(CU399="","",CONCATENATE(VLOOKUP(CU399,games.r,9,FALSE),VLOOKUP(CU399,games.r,12,FALSE)))</f>
        <v/>
      </c>
      <c r="CW399" s="354" t="str">
        <f ca="1">IF(CU399="","",VLOOKUP(CU399,games.r,10,FALSE))</f>
        <v/>
      </c>
      <c r="CX399" s="354" t="str">
        <f ca="1">IF(CU399="","",VLOOKUP(CU399,games.r,13,FALSE))</f>
        <v/>
      </c>
      <c r="CY399" s="361" t="str">
        <f ca="1">IF(CU399="","",VLOOKUP(CU399,games.r,6,FALSE))</f>
        <v/>
      </c>
      <c r="CZ399" s="362" t="str">
        <f ca="1">IF(CU399="","",VLOOKUP(CU399,games.r,7,FALSE))</f>
        <v/>
      </c>
      <c r="DA399" s="466" t="str">
        <f ca="1">CT399</f>
        <v/>
      </c>
      <c r="DB399" s="302"/>
      <c r="DC399" s="364"/>
      <c r="DD399" s="302"/>
      <c r="DF399" s="424"/>
      <c r="DG399" s="366" t="str">
        <f ca="1">IF(OR(NOT(ASZTAB!$AJ$44),CT398),CT399,"")</f>
        <v/>
      </c>
      <c r="DH399" s="365"/>
      <c r="DI399" s="366">
        <f ca="1">IF(DG399="",0,COUNTIF(xxgy.rv,DG399))</f>
        <v>0</v>
      </c>
      <c r="DJ399" s="366">
        <f ca="1">IF(DG399="",0,COUNTIF(xxd.rv,DG399))</f>
        <v>0</v>
      </c>
      <c r="DK399" s="366">
        <f ca="1">IF(DG399="",0,1)*(SUMIF(xxo.rv,DG399,xxl.rv)+SUMIF(xxi.rv,DG399,xxk.rv))</f>
        <v>0</v>
      </c>
      <c r="DL399" s="366">
        <f ca="1">IF(DG399="",0,1)*(SUMIF(xxo.rv,DG399,xxk.rv)+SUMIF(xxi.rv,DG399,xxl.rv))</f>
        <v>0</v>
      </c>
      <c r="DM399" s="366">
        <f ca="1">DK399-DL399</f>
        <v>0</v>
      </c>
      <c r="DN399" s="366">
        <f ca="1">IF(DL399=0,0,DK399/DL399)</f>
        <v>0</v>
      </c>
      <c r="DO399" s="366">
        <f ca="1">ASZTAB!$AJ$48*DI399+IF(ASZTAB!$AJ$44,0,1)*DJ399</f>
        <v>0</v>
      </c>
      <c r="DP399" s="396">
        <f ca="1">DO399*1000000+IF(ASZTAB!$AJ$44,DN399,DM399)*1000*0</f>
        <v>0</v>
      </c>
      <c r="DQ399" s="424"/>
      <c r="DR399" s="424"/>
      <c r="DS399" s="424"/>
      <c r="DT399" s="366">
        <f ca="1">IF(OR(ISERR(DP399),ISNA(DP399)),0,DP399)</f>
        <v>0</v>
      </c>
      <c r="DU399" s="366">
        <f ca="1">IF(DT399=0,0,RANK(DT399,DT399:DT400,1))</f>
        <v>0</v>
      </c>
      <c r="DV399" s="366">
        <f ca="1">DU399*40000*IF(COUNTIF($EN$319:$EN$328,DG399)&gt;0,0,1)</f>
        <v>0</v>
      </c>
      <c r="DW399" s="424"/>
      <c r="DX399" s="424"/>
      <c r="DY399" s="424"/>
      <c r="DZ399" s="424"/>
      <c r="EA399" s="424"/>
      <c r="EB399" s="424"/>
      <c r="EC399" s="424"/>
      <c r="ED399" s="424"/>
      <c r="EE399" s="424"/>
      <c r="EF399" s="424"/>
      <c r="EG399" s="424"/>
      <c r="EH399" s="424"/>
      <c r="EI399" s="424"/>
      <c r="EJ399" s="424"/>
      <c r="EK399" s="424"/>
      <c r="EL399" s="424"/>
      <c r="EM399" s="424"/>
      <c r="EN399" s="424"/>
      <c r="EO399" s="425"/>
      <c r="EP399" s="333"/>
    </row>
    <row r="400" spans="80:146" x14ac:dyDescent="0.25">
      <c r="CB400" s="350"/>
      <c r="CC400" s="350"/>
      <c r="CD400" s="350"/>
      <c r="CE400" s="350"/>
      <c r="CF400" s="350"/>
      <c r="CG400" s="350"/>
      <c r="CR400" s="445"/>
      <c r="CS400" s="300"/>
      <c r="CT400" s="464" t="str">
        <f ca="1">IF(CQ320="","",VLOOKUP(CQ320,xxx.rv1,10,FALSE))</f>
        <v/>
      </c>
      <c r="CU400" s="465" t="str">
        <f ca="1">IF(OR(CT400="",DA400="",CT400=DA400,COUNTIF(games.rv,CT400&amp;DA400)=0),"",CONCATENATE(CT400,DA400))</f>
        <v/>
      </c>
      <c r="CV400" s="360" t="str">
        <f ca="1">IF(CU400="","",CONCATENATE(VLOOKUP(CU400,games.r,9,FALSE),VLOOKUP(CU400,games.r,12,FALSE)))</f>
        <v/>
      </c>
      <c r="CW400" s="354" t="str">
        <f ca="1">IF(CU400="","",VLOOKUP(CU400,games.r,10,FALSE))</f>
        <v/>
      </c>
      <c r="CX400" s="354" t="str">
        <f ca="1">IF(CU400="","",VLOOKUP(CU400,games.r,13,FALSE))</f>
        <v/>
      </c>
      <c r="CY400" s="361" t="str">
        <f ca="1">IF(CU400="","",VLOOKUP(CU400,games.r,6,FALSE))</f>
        <v/>
      </c>
      <c r="CZ400" s="362" t="str">
        <f ca="1">IF(CU400="","",VLOOKUP(CU400,games.r,7,FALSE))</f>
        <v/>
      </c>
      <c r="DA400" s="379" t="str">
        <f ca="1">DA399</f>
        <v/>
      </c>
      <c r="DB400" s="302"/>
      <c r="DC400" s="364"/>
      <c r="DD400" s="302"/>
      <c r="DF400" s="424"/>
      <c r="DG400" s="366" t="str">
        <f ca="1">IF(OR(NOT(ASZTAB!$AJ$44),CT398),CT400,"")</f>
        <v/>
      </c>
      <c r="DH400" s="365"/>
      <c r="DI400" s="366">
        <f ca="1">IF(DG400="",0,COUNTIF(xxgy.rv,DG400))</f>
        <v>0</v>
      </c>
      <c r="DJ400" s="366">
        <f ca="1">IF(DG400="",0,COUNTIF(xxd.rv,DG400))</f>
        <v>0</v>
      </c>
      <c r="DK400" s="366">
        <f ca="1">IF(DG400="",0,1)*(SUMIF(xxo.rv,DG400,xxl.rv)+SUMIF(xxi.rv,DG400,xxk.rv))</f>
        <v>0</v>
      </c>
      <c r="DL400" s="366">
        <f ca="1">IF(DG400="",0,1)*(SUMIF(xxo.rv,DG400,xxk.rv)+SUMIF(xxi.rv,DG400,xxl.rv))</f>
        <v>0</v>
      </c>
      <c r="DM400" s="366">
        <f ca="1">DK400-DL400</f>
        <v>0</v>
      </c>
      <c r="DN400" s="366">
        <f ca="1">IF(DL400=0,0,DK400/DL400)</f>
        <v>0</v>
      </c>
      <c r="DO400" s="366">
        <f ca="1">ASZTAB!$AJ$48*DI400+IF(ASZTAB!$AJ$44,0,1)*DJ400</f>
        <v>0</v>
      </c>
      <c r="DP400" s="396">
        <f ca="1">DO400*1000000+IF(ASZTAB!$AJ$44,DN400,DM400)*1000*0</f>
        <v>0</v>
      </c>
      <c r="DQ400" s="424"/>
      <c r="DR400" s="424"/>
      <c r="DS400" s="424"/>
      <c r="DT400" s="366">
        <f ca="1">IF(OR(ISERR(DP400),ISNA(DP400)),0,DP400)</f>
        <v>0</v>
      </c>
      <c r="DU400" s="366">
        <f ca="1">IF(DT400=0,0,RANK(DT400,DT399:DT400,1))</f>
        <v>0</v>
      </c>
      <c r="DV400" s="366">
        <f ca="1">DU400*40000*IF(COUNTIF($EN$319:$EN$328,DG400)&gt;0,0,1)</f>
        <v>0</v>
      </c>
      <c r="DW400" s="424"/>
      <c r="DX400" s="424"/>
      <c r="DY400" s="424"/>
      <c r="DZ400" s="424"/>
      <c r="EA400" s="424"/>
      <c r="EB400" s="424"/>
      <c r="EC400" s="424"/>
      <c r="ED400" s="424"/>
      <c r="EE400" s="424"/>
      <c r="EF400" s="424"/>
      <c r="EG400" s="424"/>
      <c r="EH400" s="424"/>
      <c r="EI400" s="424"/>
      <c r="EJ400" s="424"/>
      <c r="EK400" s="424"/>
      <c r="EL400" s="424"/>
      <c r="EM400" s="424"/>
      <c r="EN400" s="424"/>
      <c r="EO400" s="425"/>
      <c r="EP400" s="333"/>
    </row>
    <row r="401" spans="80:146" x14ac:dyDescent="0.25">
      <c r="CB401" s="350"/>
      <c r="CC401" s="350"/>
      <c r="CD401" s="350"/>
      <c r="CE401" s="350"/>
      <c r="CF401" s="350"/>
      <c r="CG401" s="350"/>
      <c r="CR401" s="445"/>
      <c r="CS401" s="300"/>
      <c r="CT401" s="522" t="str">
        <f>IF(NOT($AD$98),"",CT399)</f>
        <v/>
      </c>
      <c r="CU401" s="371" t="str">
        <f ca="1">IF(OR(CT401="",DA401="",CT401=DA401,ISNA(VLOOKUP(CONCATENATE(CT401,DA401),games.a,2,FALSE))),"",CONCATENATE(CT401,DA401))</f>
        <v/>
      </c>
      <c r="CV401" s="371" t="str">
        <f ca="1">IF(CU401="","",CONCATENATE(VLOOKUP(CU401,games.a,9,FALSE),VLOOKUP(CU401,games.a,12,FALSE)))</f>
        <v/>
      </c>
      <c r="CW401" s="369" t="str">
        <f ca="1">IF(CU401="","",VLOOKUP(CU401,games.a,10,FALSE))</f>
        <v/>
      </c>
      <c r="CX401" s="369" t="str">
        <f ca="1">IF(CU401="","",VLOOKUP(CU401,games.a,13,FALSE))</f>
        <v/>
      </c>
      <c r="CY401" s="423" t="str">
        <f ca="1">IF(CU401="","",VLOOKUP(CU401,games.a,6,FALSE))</f>
        <v/>
      </c>
      <c r="CZ401" s="409" t="str">
        <f ca="1">IF(CU401="","",VLOOKUP(CU401,games.a,7,FALSE))</f>
        <v/>
      </c>
      <c r="DA401" s="523" t="str">
        <f ca="1">DA400</f>
        <v/>
      </c>
      <c r="DB401" s="302"/>
      <c r="DC401" s="364"/>
      <c r="DD401" s="302"/>
      <c r="DF401" s="424"/>
      <c r="DG401" s="424"/>
      <c r="DH401" s="424"/>
      <c r="DI401" s="424"/>
      <c r="DJ401" s="424"/>
      <c r="DK401" s="424"/>
      <c r="DL401" s="424"/>
      <c r="DM401" s="424"/>
      <c r="DN401" s="424"/>
      <c r="DO401" s="424"/>
      <c r="DP401" s="424"/>
      <c r="DQ401" s="424"/>
      <c r="DR401" s="424"/>
      <c r="DS401" s="424"/>
      <c r="DT401" s="424"/>
      <c r="DU401" s="424"/>
      <c r="DV401" s="424"/>
      <c r="DW401" s="424"/>
      <c r="DX401" s="424"/>
      <c r="DY401" s="424"/>
      <c r="DZ401" s="424"/>
      <c r="EA401" s="424"/>
      <c r="EB401" s="424"/>
      <c r="EC401" s="424"/>
      <c r="ED401" s="424"/>
      <c r="EE401" s="424"/>
      <c r="EF401" s="424"/>
      <c r="EG401" s="424"/>
      <c r="EH401" s="424"/>
      <c r="EI401" s="424"/>
      <c r="EJ401" s="424"/>
      <c r="EK401" s="424"/>
      <c r="EL401" s="424"/>
      <c r="EM401" s="424"/>
      <c r="EN401" s="424"/>
      <c r="EO401" s="425"/>
      <c r="EP401" s="333"/>
    </row>
    <row r="402" spans="80:146" x14ac:dyDescent="0.25">
      <c r="CB402" s="350"/>
      <c r="CC402" s="350"/>
      <c r="CD402" s="350"/>
      <c r="CE402" s="350"/>
      <c r="CF402" s="350"/>
      <c r="CG402" s="350"/>
      <c r="CR402" s="445"/>
      <c r="CS402" s="300"/>
      <c r="CT402" s="522" t="str">
        <f>IF(NOT($AD$98),"",CT400)</f>
        <v/>
      </c>
      <c r="CU402" s="371" t="str">
        <f ca="1">IF(OR(CT402="",DA402="",CT402=DA402,ISNA(VLOOKUP(CONCATENATE(CT402,DA402),games.a,2,FALSE))),"",CONCATENATE(CT402,DA402))</f>
        <v/>
      </c>
      <c r="CV402" s="371" t="str">
        <f ca="1">IF(CU402="","",CONCATENATE(VLOOKUP(CU402,games.a,9,FALSE),VLOOKUP(CU402,games.a,12,FALSE)))</f>
        <v/>
      </c>
      <c r="CW402" s="369" t="str">
        <f ca="1">IF(CU402="","",VLOOKUP(CU402,games.a,10,FALSE))</f>
        <v/>
      </c>
      <c r="CX402" s="369" t="str">
        <f ca="1">IF(CU402="","",VLOOKUP(CU402,games.a,13,FALSE))</f>
        <v/>
      </c>
      <c r="CY402" s="423" t="str">
        <f ca="1">IF(CU402="","",VLOOKUP(CU402,games.a,6,FALSE))</f>
        <v/>
      </c>
      <c r="CZ402" s="409" t="str">
        <f ca="1">IF(CU402="","",VLOOKUP(CU402,games.a,7,FALSE))</f>
        <v/>
      </c>
      <c r="DA402" s="523" t="str">
        <f ca="1">DA401</f>
        <v/>
      </c>
      <c r="DB402" s="302"/>
      <c r="DC402" s="364"/>
      <c r="DD402" s="302"/>
      <c r="DF402" s="424"/>
      <c r="DG402" s="424"/>
      <c r="DH402" s="424"/>
      <c r="DI402" s="424"/>
      <c r="DJ402" s="424"/>
      <c r="DK402" s="424"/>
      <c r="DL402" s="424"/>
      <c r="DM402" s="424"/>
      <c r="DN402" s="424"/>
      <c r="DO402" s="424"/>
      <c r="DP402" s="424"/>
      <c r="DQ402" s="424"/>
      <c r="DR402" s="424"/>
      <c r="DS402" s="424"/>
      <c r="DT402" s="424"/>
      <c r="DU402" s="424"/>
      <c r="DV402" s="424"/>
      <c r="DW402" s="424"/>
      <c r="DX402" s="424"/>
      <c r="DY402" s="424"/>
      <c r="DZ402" s="424"/>
      <c r="EA402" s="424"/>
      <c r="EB402" s="424"/>
      <c r="EC402" s="424"/>
      <c r="ED402" s="424"/>
      <c r="EE402" s="424"/>
      <c r="EF402" s="424"/>
      <c r="EG402" s="424"/>
      <c r="EH402" s="424"/>
      <c r="EI402" s="424"/>
      <c r="EJ402" s="424"/>
      <c r="EK402" s="424"/>
      <c r="EL402" s="424"/>
      <c r="EM402" s="424"/>
      <c r="EN402" s="424"/>
      <c r="EO402" s="425"/>
      <c r="EP402" s="333"/>
    </row>
    <row r="403" spans="80:146" x14ac:dyDescent="0.25">
      <c r="CB403" s="350"/>
      <c r="CC403" s="350"/>
      <c r="CD403" s="350"/>
      <c r="CE403" s="350"/>
      <c r="CF403" s="350"/>
      <c r="CG403" s="350"/>
      <c r="CR403" s="445"/>
      <c r="CS403" s="300"/>
      <c r="CT403" s="301"/>
      <c r="CU403" s="458" t="s">
        <v>157</v>
      </c>
      <c r="CV403" s="458" t="s">
        <v>158</v>
      </c>
      <c r="CW403" s="459" t="s">
        <v>159</v>
      </c>
      <c r="CX403" s="459"/>
      <c r="CY403" s="460" t="s">
        <v>160</v>
      </c>
      <c r="CZ403" s="459" t="s">
        <v>135</v>
      </c>
      <c r="DA403" s="302"/>
      <c r="DB403" s="302"/>
      <c r="DC403" s="364"/>
      <c r="DD403" s="302"/>
      <c r="DF403" s="424"/>
      <c r="DG403" s="424"/>
      <c r="DH403" s="424"/>
      <c r="DI403" s="424"/>
      <c r="DJ403" s="424"/>
      <c r="DK403" s="424"/>
      <c r="DL403" s="424"/>
      <c r="DM403" s="424"/>
      <c r="DN403" s="424"/>
      <c r="DO403" s="424"/>
      <c r="DP403" s="424"/>
      <c r="DQ403" s="424"/>
      <c r="DR403" s="424"/>
      <c r="DS403" s="424"/>
      <c r="DT403" s="424"/>
      <c r="DU403" s="424"/>
      <c r="DV403" s="424"/>
      <c r="DW403" s="424"/>
      <c r="DX403" s="424"/>
      <c r="DY403" s="424"/>
      <c r="DZ403" s="424"/>
      <c r="EA403" s="424"/>
      <c r="EB403" s="424"/>
      <c r="EC403" s="424"/>
      <c r="ED403" s="424"/>
      <c r="EE403" s="424"/>
      <c r="EF403" s="424"/>
      <c r="EG403" s="424"/>
      <c r="EH403" s="424"/>
      <c r="EI403" s="424"/>
      <c r="EJ403" s="424"/>
      <c r="EK403" s="424"/>
      <c r="EL403" s="424"/>
      <c r="EM403" s="424"/>
      <c r="EN403" s="424"/>
      <c r="EO403" s="425"/>
      <c r="EP403" s="333"/>
    </row>
    <row r="404" spans="80:146" x14ac:dyDescent="0.25">
      <c r="CB404" s="350"/>
      <c r="CC404" s="350"/>
      <c r="CD404" s="350"/>
      <c r="CE404" s="350"/>
      <c r="CF404" s="350"/>
      <c r="CG404" s="350"/>
      <c r="CR404" s="445"/>
      <c r="CS404" s="300"/>
      <c r="CT404" s="395" t="str">
        <f ca="1">CT399</f>
        <v/>
      </c>
      <c r="CU404" s="465" t="str">
        <f ca="1">IF(OR(CT404="",DA404="",CT404=DA404,COUNTIF(games.rv,CT404&amp;DA404)=0),"",CONCATENATE(CT404,DA404))</f>
        <v/>
      </c>
      <c r="CV404" s="360" t="str">
        <f ca="1">IF(CU404="","",CONCATENATE(VLOOKUP(CU404,games.r,9,FALSE),VLOOKUP(CU404,games.r,12,FALSE)))</f>
        <v/>
      </c>
      <c r="CW404" s="354" t="str">
        <f ca="1">IF(CU404="","",VLOOKUP(CU404,games.r,10,FALSE))</f>
        <v/>
      </c>
      <c r="CX404" s="354" t="str">
        <f ca="1">IF(CU404="","",VLOOKUP(CU404,games.r,13,FALSE))</f>
        <v/>
      </c>
      <c r="CY404" s="361" t="str">
        <f ca="1">IF(CU404="","",VLOOKUP(CU404,games.r,6,FALSE))</f>
        <v/>
      </c>
      <c r="CZ404" s="362" t="str">
        <f ca="1">IF(CU404="","",VLOOKUP(CU404,games.r,7,FALSE))</f>
        <v/>
      </c>
      <c r="DA404" s="466" t="str">
        <f ca="1">CT400</f>
        <v/>
      </c>
      <c r="DB404" s="302"/>
      <c r="DC404" s="364"/>
      <c r="DD404" s="302"/>
      <c r="DF404" s="424"/>
      <c r="DG404" s="424"/>
      <c r="DH404" s="424"/>
      <c r="DI404" s="424"/>
      <c r="DJ404" s="424"/>
      <c r="DK404" s="424"/>
      <c r="DL404" s="424"/>
      <c r="DM404" s="424"/>
      <c r="DN404" s="424"/>
      <c r="DO404" s="424"/>
      <c r="DP404" s="424"/>
      <c r="DQ404" s="424"/>
      <c r="DR404" s="424"/>
      <c r="DS404" s="424"/>
      <c r="DT404" s="424"/>
      <c r="DU404" s="424"/>
      <c r="DV404" s="424"/>
      <c r="DW404" s="424"/>
      <c r="DX404" s="424"/>
      <c r="DY404" s="424"/>
      <c r="DZ404" s="424"/>
      <c r="EA404" s="424"/>
      <c r="EB404" s="424"/>
      <c r="EC404" s="424"/>
      <c r="ED404" s="424"/>
      <c r="EE404" s="424"/>
      <c r="EF404" s="424"/>
      <c r="EG404" s="424"/>
      <c r="EH404" s="424"/>
      <c r="EI404" s="424"/>
      <c r="EJ404" s="424"/>
      <c r="EK404" s="424"/>
      <c r="EL404" s="424"/>
      <c r="EM404" s="424"/>
      <c r="EN404" s="424"/>
      <c r="EO404" s="425"/>
      <c r="EP404" s="333"/>
    </row>
    <row r="405" spans="80:146" x14ac:dyDescent="0.25">
      <c r="CB405" s="350"/>
      <c r="CC405" s="350"/>
      <c r="CD405" s="350"/>
      <c r="CE405" s="350"/>
      <c r="CF405" s="350"/>
      <c r="CG405" s="350"/>
      <c r="CR405" s="445"/>
      <c r="CS405" s="300"/>
      <c r="CT405" s="395" t="str">
        <f ca="1">CT400</f>
        <v/>
      </c>
      <c r="CU405" s="465" t="str">
        <f ca="1">IF(OR(CT405="",DA405="",CT405=DA405,COUNTIF(games.rv,CT405&amp;DA405)=0),"",CONCATENATE(CT405,DA405))</f>
        <v/>
      </c>
      <c r="CV405" s="360" t="str">
        <f ca="1">IF(CU405="","",CONCATENATE(VLOOKUP(CU405,games.r,9,FALSE),VLOOKUP(CU405,games.r,12,FALSE)))</f>
        <v/>
      </c>
      <c r="CW405" s="354" t="str">
        <f ca="1">IF(CU405="","",VLOOKUP(CU405,games.r,10,FALSE))</f>
        <v/>
      </c>
      <c r="CX405" s="354" t="str">
        <f ca="1">IF(CU405="","",VLOOKUP(CU405,games.r,13,FALSE))</f>
        <v/>
      </c>
      <c r="CY405" s="361" t="str">
        <f ca="1">IF(CU405="","",VLOOKUP(CU405,games.r,6,FALSE))</f>
        <v/>
      </c>
      <c r="CZ405" s="362" t="str">
        <f ca="1">IF(CU405="","",VLOOKUP(CU405,games.r,7,FALSE))</f>
        <v/>
      </c>
      <c r="DA405" s="379" t="str">
        <f ca="1">DA404</f>
        <v/>
      </c>
      <c r="DB405" s="302"/>
      <c r="DC405" s="364"/>
      <c r="DD405" s="302"/>
      <c r="DF405" s="424"/>
      <c r="DG405" s="424"/>
      <c r="DH405" s="424"/>
      <c r="DI405" s="424"/>
      <c r="DJ405" s="424"/>
      <c r="DK405" s="424"/>
      <c r="DL405" s="424"/>
      <c r="DM405" s="424"/>
      <c r="DN405" s="424"/>
      <c r="DO405" s="424"/>
      <c r="DP405" s="424"/>
      <c r="DQ405" s="424"/>
      <c r="DR405" s="424"/>
      <c r="DS405" s="424"/>
      <c r="DT405" s="424"/>
      <c r="DU405" s="424"/>
      <c r="DV405" s="424"/>
      <c r="DW405" s="424"/>
      <c r="DX405" s="424"/>
      <c r="DY405" s="424"/>
      <c r="DZ405" s="424"/>
      <c r="EA405" s="424"/>
      <c r="EB405" s="424"/>
      <c r="EC405" s="424"/>
      <c r="ED405" s="424"/>
      <c r="EE405" s="424"/>
      <c r="EF405" s="424"/>
      <c r="EG405" s="424"/>
      <c r="EH405" s="424"/>
      <c r="EI405" s="424"/>
      <c r="EJ405" s="424"/>
      <c r="EK405" s="424"/>
      <c r="EL405" s="424"/>
      <c r="EM405" s="424"/>
      <c r="EN405" s="424"/>
      <c r="EO405" s="425"/>
      <c r="EP405" s="333"/>
    </row>
    <row r="406" spans="80:146" x14ac:dyDescent="0.25">
      <c r="CB406" s="350"/>
      <c r="CC406" s="350"/>
      <c r="CD406" s="350"/>
      <c r="CE406" s="350"/>
      <c r="CF406" s="350"/>
      <c r="CG406" s="350"/>
      <c r="CR406" s="445"/>
      <c r="CS406" s="300"/>
      <c r="CT406" s="522" t="str">
        <f>CT401</f>
        <v/>
      </c>
      <c r="CU406" s="371" t="str">
        <f ca="1">IF(OR(CT406="",DA406="",CT406=DA406,ISNA(VLOOKUP(CONCATENATE(CT406,DA406),games.a,2,FALSE))),"",CONCATENATE(CT406,DA406))</f>
        <v/>
      </c>
      <c r="CV406" s="371" t="str">
        <f ca="1">IF(CU406="","",CONCATENATE(VLOOKUP(CU406,games.a,9,FALSE),VLOOKUP(CU406,games.a,12,FALSE)))</f>
        <v/>
      </c>
      <c r="CW406" s="369" t="str">
        <f ca="1">IF(CU406="","",VLOOKUP(CU406,games.a,10,FALSE))</f>
        <v/>
      </c>
      <c r="CX406" s="369" t="str">
        <f ca="1">IF(CU406="","",VLOOKUP(CU406,games.a,13,FALSE))</f>
        <v/>
      </c>
      <c r="CY406" s="423" t="str">
        <f ca="1">IF(CU406="","",VLOOKUP(CU406,games.a,6,FALSE))</f>
        <v/>
      </c>
      <c r="CZ406" s="409" t="str">
        <f ca="1">IF(CU406="","",VLOOKUP(CU406,games.a,7,FALSE))</f>
        <v/>
      </c>
      <c r="DA406" s="523" t="str">
        <f ca="1">DA405</f>
        <v/>
      </c>
      <c r="DB406" s="302"/>
      <c r="DC406" s="364"/>
      <c r="DD406" s="302"/>
      <c r="DF406" s="424"/>
      <c r="DG406" s="424"/>
      <c r="DH406" s="424"/>
      <c r="DI406" s="424"/>
      <c r="DJ406" s="424"/>
      <c r="DK406" s="424"/>
      <c r="DL406" s="424"/>
      <c r="DM406" s="424"/>
      <c r="DN406" s="424"/>
      <c r="DO406" s="424"/>
      <c r="DP406" s="424"/>
      <c r="DQ406" s="424"/>
      <c r="DR406" s="424"/>
      <c r="DS406" s="424"/>
      <c r="DT406" s="424"/>
      <c r="DU406" s="424"/>
      <c r="DV406" s="424"/>
      <c r="DW406" s="424"/>
      <c r="DX406" s="424"/>
      <c r="DY406" s="424"/>
      <c r="DZ406" s="424"/>
      <c r="EA406" s="424"/>
      <c r="EB406" s="424"/>
      <c r="EC406" s="424"/>
      <c r="ED406" s="424"/>
      <c r="EE406" s="424"/>
      <c r="EF406" s="424"/>
      <c r="EG406" s="424"/>
      <c r="EH406" s="424"/>
      <c r="EI406" s="424"/>
      <c r="EJ406" s="424"/>
      <c r="EK406" s="424"/>
      <c r="EL406" s="424"/>
      <c r="EM406" s="424"/>
      <c r="EN406" s="424"/>
      <c r="EO406" s="425"/>
      <c r="EP406" s="333"/>
    </row>
    <row r="407" spans="80:146" x14ac:dyDescent="0.25">
      <c r="CB407" s="350"/>
      <c r="CC407" s="350"/>
      <c r="CD407" s="350"/>
      <c r="CE407" s="350"/>
      <c r="CF407" s="350"/>
      <c r="CG407" s="350"/>
      <c r="CR407" s="445"/>
      <c r="CS407" s="300"/>
      <c r="CT407" s="522" t="str">
        <f>CT402</f>
        <v/>
      </c>
      <c r="CU407" s="371" t="str">
        <f ca="1">IF(OR(CT407="",DA407="",CT407=DA407,ISNA(VLOOKUP(CONCATENATE(CT407,DA407),games.a,2,FALSE))),"",CONCATENATE(CT407,DA407))</f>
        <v/>
      </c>
      <c r="CV407" s="371" t="str">
        <f ca="1">IF(CU407="","",CONCATENATE(VLOOKUP(CU407,games.a,9,FALSE),VLOOKUP(CU407,games.a,12,FALSE)))</f>
        <v/>
      </c>
      <c r="CW407" s="369" t="str">
        <f ca="1">IF(CU407="","",VLOOKUP(CU407,games.a,10,FALSE))</f>
        <v/>
      </c>
      <c r="CX407" s="369" t="str">
        <f ca="1">IF(CU407="","",VLOOKUP(CU407,games.a,13,FALSE))</f>
        <v/>
      </c>
      <c r="CY407" s="423" t="str">
        <f ca="1">IF(CU407="","",VLOOKUP(CU407,games.a,6,FALSE))</f>
        <v/>
      </c>
      <c r="CZ407" s="409" t="str">
        <f ca="1">IF(CU407="","",VLOOKUP(CU407,games.a,7,FALSE))</f>
        <v/>
      </c>
      <c r="DA407" s="523" t="str">
        <f ca="1">DA406</f>
        <v/>
      </c>
      <c r="DB407" s="302"/>
      <c r="DC407" s="364"/>
      <c r="DD407" s="302"/>
      <c r="DF407" s="424"/>
      <c r="DG407" s="424"/>
      <c r="DH407" s="424"/>
      <c r="DI407" s="424"/>
      <c r="DJ407" s="424"/>
      <c r="DK407" s="424"/>
      <c r="DL407" s="424"/>
      <c r="DM407" s="424"/>
      <c r="DN407" s="424"/>
      <c r="DO407" s="424"/>
      <c r="DP407" s="424"/>
      <c r="DQ407" s="424"/>
      <c r="DR407" s="424"/>
      <c r="DS407" s="424"/>
      <c r="DT407" s="424"/>
      <c r="DU407" s="424"/>
      <c r="DV407" s="424"/>
      <c r="DW407" s="424"/>
      <c r="DX407" s="424"/>
      <c r="DY407" s="424"/>
      <c r="DZ407" s="424"/>
      <c r="EA407" s="424"/>
      <c r="EB407" s="424"/>
      <c r="EC407" s="424"/>
      <c r="ED407" s="424"/>
      <c r="EE407" s="424"/>
      <c r="EF407" s="424"/>
      <c r="EG407" s="424"/>
      <c r="EH407" s="424"/>
      <c r="EI407" s="424"/>
      <c r="EJ407" s="424"/>
      <c r="EK407" s="424"/>
      <c r="EL407" s="424"/>
      <c r="EM407" s="424"/>
      <c r="EN407" s="424"/>
      <c r="EO407" s="425"/>
      <c r="EP407" s="333"/>
    </row>
    <row r="408" spans="80:146" x14ac:dyDescent="0.25">
      <c r="CB408" s="350"/>
      <c r="CC408" s="350"/>
      <c r="CD408" s="350"/>
      <c r="CE408" s="350"/>
      <c r="CF408" s="350"/>
      <c r="CG408" s="350"/>
      <c r="CR408" s="445"/>
      <c r="CS408" s="445"/>
      <c r="CT408" s="301"/>
      <c r="CU408" s="302"/>
      <c r="CV408" s="302"/>
      <c r="CW408" s="302"/>
      <c r="CX408" s="302"/>
      <c r="CY408" s="302"/>
      <c r="CZ408" s="302"/>
      <c r="DA408" s="447"/>
      <c r="DB408" s="302"/>
      <c r="DC408" s="446" t="s">
        <v>219</v>
      </c>
      <c r="DD408" s="302"/>
      <c r="DF408" s="424"/>
      <c r="DG408" s="424"/>
      <c r="DH408" s="424"/>
      <c r="DI408" s="424"/>
      <c r="DJ408" s="424"/>
      <c r="DK408" s="424"/>
      <c r="DL408" s="424"/>
      <c r="DM408" s="424"/>
      <c r="DN408" s="424"/>
      <c r="DO408" s="424"/>
      <c r="DP408" s="424"/>
      <c r="DQ408" s="424"/>
      <c r="DR408" s="424"/>
      <c r="DS408" s="424"/>
      <c r="DT408" s="424"/>
      <c r="DU408" s="424"/>
      <c r="DV408" s="424"/>
      <c r="DW408" s="424"/>
      <c r="DX408" s="424"/>
      <c r="DY408" s="424"/>
      <c r="DZ408" s="424"/>
      <c r="EA408" s="424"/>
      <c r="EB408" s="424"/>
      <c r="EC408" s="424"/>
      <c r="ED408" s="424"/>
      <c r="EE408" s="424"/>
      <c r="EF408" s="424"/>
      <c r="EG408" s="424"/>
      <c r="EH408" s="424"/>
      <c r="EI408" s="424"/>
      <c r="EJ408" s="424"/>
      <c r="EK408" s="424"/>
      <c r="EL408" s="424"/>
      <c r="EM408" s="424"/>
      <c r="EN408" s="424"/>
      <c r="EO408" s="425"/>
      <c r="EP408" s="333"/>
    </row>
    <row r="409" spans="80:146" x14ac:dyDescent="0.25">
      <c r="CB409" s="350"/>
      <c r="CC409" s="350"/>
      <c r="CD409" s="350"/>
      <c r="CE409" s="350"/>
      <c r="CF409" s="350"/>
      <c r="CG409" s="350"/>
      <c r="CR409" s="445"/>
      <c r="CS409" s="300"/>
      <c r="CT409" s="301"/>
      <c r="CU409" s="302"/>
      <c r="CV409" s="302"/>
      <c r="CW409" s="302"/>
      <c r="CX409" s="302"/>
      <c r="CY409" s="302"/>
      <c r="CZ409" s="302"/>
      <c r="DA409" s="447"/>
      <c r="DB409" s="302"/>
      <c r="DC409" s="450" t="s">
        <v>220</v>
      </c>
      <c r="DD409" s="302"/>
      <c r="DF409" s="424"/>
      <c r="DG409" s="424"/>
      <c r="DH409" s="424"/>
      <c r="DI409" s="424"/>
      <c r="DJ409" s="424"/>
      <c r="DK409" s="424"/>
      <c r="DL409" s="424"/>
      <c r="DM409" s="424"/>
      <c r="DN409" s="424"/>
      <c r="DO409" s="424"/>
      <c r="DP409" s="424"/>
      <c r="DQ409" s="424"/>
      <c r="DR409" s="424"/>
      <c r="DS409" s="424"/>
      <c r="DT409" s="424"/>
      <c r="DU409" s="424"/>
      <c r="DV409" s="424"/>
      <c r="DW409" s="424"/>
      <c r="DX409" s="424"/>
      <c r="DY409" s="424"/>
      <c r="DZ409" s="424"/>
      <c r="EA409" s="424"/>
      <c r="EB409" s="424"/>
      <c r="EC409" s="424"/>
      <c r="ED409" s="424"/>
      <c r="EE409" s="424"/>
      <c r="EF409" s="424"/>
      <c r="EG409" s="424"/>
      <c r="EH409" s="424"/>
      <c r="EI409" s="424"/>
      <c r="EJ409" s="424"/>
      <c r="EK409" s="424"/>
      <c r="EL409" s="424"/>
      <c r="EM409" s="424"/>
      <c r="EN409" s="424"/>
      <c r="EO409" s="425"/>
      <c r="EP409" s="333"/>
    </row>
    <row r="410" spans="80:146" x14ac:dyDescent="0.25">
      <c r="CB410" s="350"/>
      <c r="CC410" s="350"/>
      <c r="CD410" s="350"/>
      <c r="CE410" s="350"/>
      <c r="CF410" s="350"/>
      <c r="CG410" s="350"/>
      <c r="CR410" s="445"/>
      <c r="CS410" s="300"/>
      <c r="CT410" s="323" t="b">
        <f ca="1">OR(NOT(ASZTAB!$AJ$44),COUNTIF(CY410:CY464,"")&lt;=50-(DA410-1)*DA410/2)</f>
        <v>1</v>
      </c>
      <c r="CU410" s="458" t="s">
        <v>157</v>
      </c>
      <c r="CV410" s="458" t="s">
        <v>158</v>
      </c>
      <c r="CW410" s="459" t="s">
        <v>159</v>
      </c>
      <c r="CX410" s="459"/>
      <c r="CY410" s="460" t="s">
        <v>160</v>
      </c>
      <c r="CZ410" s="459" t="s">
        <v>135</v>
      </c>
      <c r="DA410" s="323">
        <f ca="1">COUNT(CK343:CK347)</f>
        <v>0</v>
      </c>
      <c r="DB410" s="302"/>
      <c r="DC410" s="364"/>
      <c r="DD410" s="302"/>
      <c r="DF410" s="424"/>
      <c r="DG410" s="329" t="s">
        <v>223</v>
      </c>
      <c r="DH410" s="329" t="s">
        <v>224</v>
      </c>
      <c r="DI410" s="329" t="s">
        <v>152</v>
      </c>
      <c r="DK410" s="329" t="s">
        <v>154</v>
      </c>
      <c r="DL410" s="329" t="s">
        <v>155</v>
      </c>
      <c r="DN410" s="329" t="s">
        <v>226</v>
      </c>
      <c r="DP410" s="329" t="s">
        <v>227</v>
      </c>
      <c r="DT410" s="329" t="s">
        <v>228</v>
      </c>
      <c r="DU410" s="329" t="s">
        <v>156</v>
      </c>
      <c r="DV410" s="329" t="s">
        <v>208</v>
      </c>
      <c r="DX410" s="329" t="s">
        <v>212</v>
      </c>
      <c r="DY410" s="330" t="s">
        <v>227</v>
      </c>
      <c r="DZ410" s="329" t="s">
        <v>225</v>
      </c>
      <c r="EA410" s="328"/>
      <c r="EB410" s="328"/>
      <c r="EC410" s="328"/>
      <c r="ED410" s="331" t="str">
        <f ca="1">IF(EC411=0,"xxx",VLOOKUP(EC411,DX411:EA415,IF(ASZTAB!$AJ$54,2,3),FALSE))</f>
        <v>xxx</v>
      </c>
      <c r="EE410" s="328"/>
      <c r="EF410" s="328"/>
      <c r="EG410" s="331" t="str">
        <f ca="1">IF(EC412=0,"xxx",VLOOKUP(EC412,DX411:EA415,IF(ASZTAB!$AJ$54,2,3),FALSE))</f>
        <v>xxx</v>
      </c>
      <c r="EH410" s="328"/>
      <c r="EI410" s="328"/>
      <c r="EM410" s="424"/>
      <c r="EN410" s="458"/>
      <c r="EO410" s="425"/>
      <c r="EP410" s="333"/>
    </row>
    <row r="411" spans="80:146" x14ac:dyDescent="0.25">
      <c r="CB411" s="350"/>
      <c r="CC411" s="350"/>
      <c r="CD411" s="350"/>
      <c r="CE411" s="350"/>
      <c r="CF411" s="350"/>
      <c r="CG411" s="350"/>
      <c r="CR411" s="445"/>
      <c r="CT411" s="464" t="str">
        <f ca="1">IF(CK343="","",VLOOKUP(CK343,xxx.rv2,4,FALSE))</f>
        <v/>
      </c>
      <c r="CU411" s="465" t="str">
        <f ca="1">IF(OR(CT411="",DA411="",CT411=DA411,COUNTIF(games.rv,CT411&amp;DA411)=0),"",CONCATENATE(CT411,DA411))</f>
        <v/>
      </c>
      <c r="CV411" s="360" t="str">
        <f ca="1">IF(CU411="","",CONCATENATE(VLOOKUP(CU411,games.r,9,FALSE),VLOOKUP(CU411,games.r,12,FALSE)))</f>
        <v/>
      </c>
      <c r="CW411" s="354" t="str">
        <f ca="1">IF(CU411="","",VLOOKUP(CU411,games.r,10,FALSE))</f>
        <v/>
      </c>
      <c r="CX411" s="354" t="str">
        <f ca="1">IF(CU411="","",VLOOKUP(CU411,games.r,13,FALSE))</f>
        <v/>
      </c>
      <c r="CY411" s="361" t="str">
        <f ca="1">IF(CU411="","",VLOOKUP(CU411,games.r,6,FALSE))</f>
        <v/>
      </c>
      <c r="CZ411" s="362" t="str">
        <f ca="1">IF(CU411="","",VLOOKUP(CU411,games.r,7,FALSE))</f>
        <v/>
      </c>
      <c r="DA411" s="466" t="str">
        <f ca="1">CT411</f>
        <v/>
      </c>
      <c r="DB411" s="302"/>
      <c r="DC411" s="364"/>
      <c r="DF411" s="424"/>
      <c r="DG411" s="366" t="str">
        <f ca="1">IF(AND(ASZTAB!$AJ$44,CT410,DA410&lt;&gt;2),CT411,"")</f>
        <v/>
      </c>
      <c r="DH411" s="366">
        <f ca="1">IF(DG411="",-1,COUNTIF(xxgy.rv,DG411))</f>
        <v>-1</v>
      </c>
      <c r="DI411" s="366">
        <f ca="1">IF(DG411="",0,COUNTIF(yygy.rv,DG411))</f>
        <v>0</v>
      </c>
      <c r="DK411" s="366">
        <f ca="1">IF(DG411="",0,1)*(SUMIF(yyo.rv,DG411,yyl.rv)+SUMIF(yyi.rv,DG411,yyk.rv))</f>
        <v>0</v>
      </c>
      <c r="DL411" s="366">
        <f ca="1">IF(DG411="",0,1)*(SUMIF(yyo.rv,DG411,yyk.rv)+SUMIF(yyi.rv,DG411,yyl.rv))</f>
        <v>0</v>
      </c>
      <c r="DN411" s="366">
        <f ca="1">IF(DL411=0,0,DK411/DL411)</f>
        <v>0</v>
      </c>
      <c r="DP411" s="366">
        <f ca="1">DH411*1000000+DI411*1000+DN411</f>
        <v>-1000000</v>
      </c>
      <c r="DT411" s="366">
        <f ca="1">IF(OR(ISERR(DP411),ISNA(DP411),DH411&lt;0),0,DP411)</f>
        <v>0</v>
      </c>
      <c r="DU411" s="366">
        <f ca="1">IF(DT411=0,0,RANK(DT411,DT411:DT415,1))</f>
        <v>0</v>
      </c>
      <c r="DV411" s="366">
        <f ca="1">DU411*40000*IF(COUNTIF($EN$411:$EN$420,DG411)&gt;0,0,1)</f>
        <v>0</v>
      </c>
      <c r="DX411" s="367">
        <f ca="1">IF(ASZTAB!$AJ$54,COUNTIF(DP417:DP421,DY411)*IF(DY411=0,0,1),COUNTIF(DH411:DH415,DZ411)*IF(DZ411&lt;0,0,1))+EA411/1000</f>
        <v>1E-3</v>
      </c>
      <c r="DY411" s="367">
        <f ca="1">LARGE(DP417:DP421,EA411)</f>
        <v>0</v>
      </c>
      <c r="DZ411" s="369">
        <f ca="1">LARGE(DH411:DH415,EA411)</f>
        <v>-1</v>
      </c>
      <c r="EA411" s="369">
        <v>1</v>
      </c>
      <c r="EB411" s="365"/>
      <c r="EC411" s="370">
        <f ca="1">IF(LARGE(DX411:DX415,EA411)&lt;2,0,LARGE(DX411:DX415,EA411))</f>
        <v>0</v>
      </c>
      <c r="ED411" s="371" t="str">
        <f ca="1">IF(DH411=ED410,DG411,IF(DP417=ED410,DG417,""))</f>
        <v/>
      </c>
      <c r="EE411" s="369" t="str">
        <f ca="1">IF(ED411="","",EA411)</f>
        <v/>
      </c>
      <c r="EF411" s="372" t="str">
        <f ca="1">IF(ISERR(LARGE(EE411:EE415,EA411)),"",LARGE(EE411:EE415,EA411))</f>
        <v/>
      </c>
      <c r="EG411" s="371" t="str">
        <f ca="1">IF(DH411=EG410,DG411,IF(DP417=EG410,DG417,""))</f>
        <v/>
      </c>
      <c r="EH411" s="369" t="str">
        <f ca="1">IF(EG411="","",EA411)</f>
        <v/>
      </c>
      <c r="EI411" s="372" t="str">
        <f ca="1">IF(ISERR(LARGE(EH411:EH415,EA411)),"",LARGE(EH411:EH415,EA411))</f>
        <v/>
      </c>
      <c r="EM411" s="424"/>
      <c r="EN411" s="366"/>
      <c r="EO411" s="425"/>
      <c r="EP411" s="333"/>
    </row>
    <row r="412" spans="80:146" x14ac:dyDescent="0.25">
      <c r="CB412" s="350"/>
      <c r="CC412" s="350"/>
      <c r="CD412" s="350"/>
      <c r="CE412" s="350"/>
      <c r="CF412" s="350"/>
      <c r="CG412" s="350"/>
      <c r="CR412" s="445"/>
      <c r="CS412" s="445"/>
      <c r="CT412" s="464" t="str">
        <f ca="1">IF(CK344="","",VLOOKUP(CK344,xxx.rv2,4,FALSE))</f>
        <v/>
      </c>
      <c r="CU412" s="465" t="str">
        <f ca="1">IF(OR(CT412="",DA412="",CT412=DA412,COUNTIF(games.rv,CT412&amp;DA412)=0),"",CONCATENATE(CT412,DA412))</f>
        <v/>
      </c>
      <c r="CV412" s="360" t="str">
        <f ca="1">IF(CU412="","",CONCATENATE(VLOOKUP(CU412,games.r,9,FALSE),VLOOKUP(CU412,games.r,12,FALSE)))</f>
        <v/>
      </c>
      <c r="CW412" s="354" t="str">
        <f ca="1">IF(CU412="","",VLOOKUP(CU412,games.r,10,FALSE))</f>
        <v/>
      </c>
      <c r="CX412" s="354" t="str">
        <f ca="1">IF(CU412="","",VLOOKUP(CU412,games.r,13,FALSE))</f>
        <v/>
      </c>
      <c r="CY412" s="361" t="str">
        <f ca="1">IF(CU412="","",VLOOKUP(CU412,games.r,6,FALSE))</f>
        <v/>
      </c>
      <c r="CZ412" s="362" t="str">
        <f ca="1">IF(CU412="","",VLOOKUP(CU412,games.r,7,FALSE))</f>
        <v/>
      </c>
      <c r="DA412" s="379" t="str">
        <f t="shared" ref="DA412:DA420" ca="1" si="371">DA411</f>
        <v/>
      </c>
      <c r="DB412" s="302"/>
      <c r="DC412" s="364"/>
      <c r="DD412" s="445"/>
      <c r="DF412" s="424"/>
      <c r="DG412" s="366" t="str">
        <f ca="1">IF(AND(ASZTAB!$AJ$44,CT410,DA410&lt;&gt;2),CT412,"")</f>
        <v/>
      </c>
      <c r="DH412" s="366">
        <f ca="1">IF(DG412="",-1,COUNTIF(xxgy.rv,DG412))</f>
        <v>-1</v>
      </c>
      <c r="DI412" s="366">
        <f ca="1">IF(DG412="",0,COUNTIF(yygy.rv,DG412))</f>
        <v>0</v>
      </c>
      <c r="DK412" s="366">
        <f ca="1">IF(DG412="",0,1)*(SUMIF(yyo.rv,DG412,yyl.rv)+SUMIF(yyi.rv,DG412,yyk.rv))</f>
        <v>0</v>
      </c>
      <c r="DL412" s="366">
        <f ca="1">IF(DG412="",0,1)*(SUMIF(yyo.rv,DG412,yyk.rv)+SUMIF(yyi.rv,DG412,yyl.rv))</f>
        <v>0</v>
      </c>
      <c r="DN412" s="366">
        <f ca="1">IF(DL412=0,0,DK412/DL412)</f>
        <v>0</v>
      </c>
      <c r="DP412" s="366">
        <f ca="1">DH412*1000000+DI412*1000+DN412</f>
        <v>-1000000</v>
      </c>
      <c r="DT412" s="366">
        <f ca="1">IF(OR(ISERR(DP412),ISNA(DP412),DH412&lt;0),0,DP412)</f>
        <v>0</v>
      </c>
      <c r="DU412" s="366">
        <f ca="1">IF(DT412=0,0,RANK(DT412,DT411:DT415,1))</f>
        <v>0</v>
      </c>
      <c r="DV412" s="366">
        <f ca="1">DU412*40000*IF(COUNTIF($EN$411:$EN$420,DG412)&gt;0,0,1)</f>
        <v>0</v>
      </c>
      <c r="DX412" s="367">
        <f ca="1">IF(ASZTAB!$AJ$54,COUNTIF(DP417:DP421,DY411)*IF(OR(DY412=0,DY412=DY411),0,1),COUNTIF(DH411:DH415,DZ412)*IF(OR(DZ412=DZ411,DZ412&lt;0),0,1))+EA412/1000</f>
        <v>2E-3</v>
      </c>
      <c r="DY412" s="367">
        <f ca="1">LARGE(DP417:DP421,EA412)</f>
        <v>0</v>
      </c>
      <c r="DZ412" s="369">
        <f ca="1">LARGE(DH411:DH415,EA412)</f>
        <v>-1</v>
      </c>
      <c r="EA412" s="369">
        <v>2</v>
      </c>
      <c r="EB412" s="365"/>
      <c r="EC412" s="370">
        <f ca="1">IF(LARGE(DX411:DX415,EA412)&lt;2,0,LARGE(DX411:DX415,EA412))</f>
        <v>0</v>
      </c>
      <c r="ED412" s="371" t="str">
        <f ca="1">IF(DH412=ED410,DG412,IF(DP418=ED410,DG418,""))</f>
        <v/>
      </c>
      <c r="EE412" s="369" t="str">
        <f ca="1">IF(ED412="","",EA412)</f>
        <v/>
      </c>
      <c r="EF412" s="372" t="str">
        <f ca="1">IF(ISERR(LARGE(EE411:EE415,EA412)),"",LARGE(EE411:EE415,EA412))</f>
        <v/>
      </c>
      <c r="EG412" s="371" t="str">
        <f ca="1">IF(DH412=EG410,DG412,IF(DP418=EG410,DG418,""))</f>
        <v/>
      </c>
      <c r="EH412" s="369" t="str">
        <f ca="1">IF(EG412="","",EA412)</f>
        <v/>
      </c>
      <c r="EI412" s="372" t="str">
        <f ca="1">IF(ISERR(LARGE(EH411:EH415,EA412)),"",LARGE(EH411:EH415,EA412))</f>
        <v/>
      </c>
      <c r="EM412" s="424"/>
      <c r="EN412" s="366"/>
      <c r="EO412" s="425"/>
      <c r="EP412" s="333"/>
    </row>
    <row r="413" spans="80:146" x14ac:dyDescent="0.25">
      <c r="CB413" s="350"/>
      <c r="CC413" s="350"/>
      <c r="CD413" s="350"/>
      <c r="CE413" s="350"/>
      <c r="CF413" s="350"/>
      <c r="CG413" s="350"/>
      <c r="CR413" s="445"/>
      <c r="CS413" s="445"/>
      <c r="CT413" s="464" t="str">
        <f ca="1">IF(CK345="","",VLOOKUP(CK345,xxx.rv2,4,FALSE))</f>
        <v/>
      </c>
      <c r="CU413" s="465" t="str">
        <f ca="1">IF(OR(CT413="",DA413="",CT413=DA413,COUNTIF(games.rv,CT413&amp;DA413)=0),"",CONCATENATE(CT413,DA413))</f>
        <v/>
      </c>
      <c r="CV413" s="360" t="str">
        <f ca="1">IF(CU413="","",CONCATENATE(VLOOKUP(CU413,games.r,9,FALSE),VLOOKUP(CU413,games.r,12,FALSE)))</f>
        <v/>
      </c>
      <c r="CW413" s="354" t="str">
        <f ca="1">IF(CU413="","",VLOOKUP(CU413,games.r,10,FALSE))</f>
        <v/>
      </c>
      <c r="CX413" s="354" t="str">
        <f ca="1">IF(CU413="","",VLOOKUP(CU413,games.r,13,FALSE))</f>
        <v/>
      </c>
      <c r="CY413" s="361" t="str">
        <f ca="1">IF(CU413="","",VLOOKUP(CU413,games.r,6,FALSE))</f>
        <v/>
      </c>
      <c r="CZ413" s="362" t="str">
        <f ca="1">IF(CU413="","",VLOOKUP(CU413,games.r,7,FALSE))</f>
        <v/>
      </c>
      <c r="DA413" s="379" t="str">
        <f t="shared" ca="1" si="371"/>
        <v/>
      </c>
      <c r="DB413" s="302"/>
      <c r="DC413" s="364"/>
      <c r="DD413" s="445"/>
      <c r="DF413" s="424"/>
      <c r="DG413" s="366" t="str">
        <f ca="1">IF(AND(ASZTAB!$AJ$44,CT410,DA410&lt;&gt;2),CT413,"")</f>
        <v/>
      </c>
      <c r="DH413" s="366">
        <f ca="1">IF(DG413="",-1,COUNTIF(xxgy.rv,DG413))</f>
        <v>-1</v>
      </c>
      <c r="DI413" s="366">
        <f ca="1">IF(DG413="",0,COUNTIF(yygy.rv,DG413))</f>
        <v>0</v>
      </c>
      <c r="DK413" s="366">
        <f ca="1">IF(DG413="",0,1)*(SUMIF(yyo.rv,DG413,yyl.rv)+SUMIF(yyi.rv,DG413,yyk.rv))</f>
        <v>0</v>
      </c>
      <c r="DL413" s="366">
        <f ca="1">IF(DG413="",0,1)*(SUMIF(yyo.rv,DG413,yyk.rv)+SUMIF(yyi.rv,DG413,yyl.rv))</f>
        <v>0</v>
      </c>
      <c r="DN413" s="366">
        <f ca="1">IF(DL413=0,0,DK413/DL413)</f>
        <v>0</v>
      </c>
      <c r="DP413" s="366">
        <f ca="1">DH413*1000000+DI413*1000+DN413</f>
        <v>-1000000</v>
      </c>
      <c r="DT413" s="366">
        <f ca="1">IF(OR(ISERR(DP413),ISNA(DP413),DH413&lt;0),0,DP413)</f>
        <v>0</v>
      </c>
      <c r="DU413" s="366">
        <f ca="1">IF(DT413=0,0,RANK(DT413,DT411:DT415,1))</f>
        <v>0</v>
      </c>
      <c r="DV413" s="366">
        <f ca="1">DU413*40000*IF(COUNTIF($EN$411:$EN$420,DG413)&gt;0,0,1)</f>
        <v>0</v>
      </c>
      <c r="DW413" s="365"/>
      <c r="DX413" s="367">
        <f ca="1">IF(ASZTAB!$AJ$54,COUNTIF(DP417:DP421,DY412)*IF(OR(DY413=0,DY413=DY412),0,1),COUNTIF(DH411:DH415,DZ413)*IF(OR(DZ413=DZ412,DZ413&lt;0),0,1))+EA413/1000</f>
        <v>3.0000000000000001E-3</v>
      </c>
      <c r="DY413" s="367">
        <f ca="1">LARGE(DP417:DP421,EA413)</f>
        <v>0</v>
      </c>
      <c r="DZ413" s="369">
        <f ca="1">LARGE(DH411:DH415,EA413)</f>
        <v>-1</v>
      </c>
      <c r="EA413" s="369">
        <v>3</v>
      </c>
      <c r="EB413" s="365"/>
      <c r="EC413" s="365"/>
      <c r="ED413" s="371" t="str">
        <f ca="1">IF(DH413=ED410,DG413,IF(DP419=ED410,DG419,""))</f>
        <v/>
      </c>
      <c r="EE413" s="369" t="str">
        <f ca="1">IF(ED413="","",EA413)</f>
        <v/>
      </c>
      <c r="EF413" s="388" t="str">
        <f ca="1">IF(ISERR(LARGE(EE411:EE415,EA413)),"",LARGE(EE411:EE415,EA413))</f>
        <v/>
      </c>
      <c r="EG413" s="371" t="str">
        <f ca="1">IF(DH413=EG410,DG413,IF(DP419=EG410,DG419,""))</f>
        <v/>
      </c>
      <c r="EH413" s="369" t="str">
        <f ca="1">IF(EG413="","",EA413)</f>
        <v/>
      </c>
      <c r="EI413" s="381"/>
      <c r="EM413" s="424"/>
      <c r="EN413" s="366"/>
      <c r="EO413" s="425"/>
      <c r="EP413" s="333"/>
    </row>
    <row r="414" spans="80:146" x14ac:dyDescent="0.25">
      <c r="CB414" s="350"/>
      <c r="CC414" s="350"/>
      <c r="CD414" s="350"/>
      <c r="CE414" s="350"/>
      <c r="CF414" s="350"/>
      <c r="CG414" s="350"/>
      <c r="CR414" s="445"/>
      <c r="CS414" s="445"/>
      <c r="CT414" s="464" t="str">
        <f ca="1">IF(CK346="","",VLOOKUP(CK346,xxx.rv2,4,FALSE))</f>
        <v/>
      </c>
      <c r="CU414" s="465" t="str">
        <f ca="1">IF(OR(CT414="",DA414="",CT414=DA414,COUNTIF(games.rv,CT414&amp;DA414)=0),"",CONCATENATE(CT414,DA414))</f>
        <v/>
      </c>
      <c r="CV414" s="360" t="str">
        <f ca="1">IF(CU414="","",CONCATENATE(VLOOKUP(CU414,games.r,9,FALSE),VLOOKUP(CU414,games.r,12,FALSE)))</f>
        <v/>
      </c>
      <c r="CW414" s="354" t="str">
        <f ca="1">IF(CU414="","",VLOOKUP(CU414,games.r,10,FALSE))</f>
        <v/>
      </c>
      <c r="CX414" s="354" t="str">
        <f ca="1">IF(CU414="","",VLOOKUP(CU414,games.r,13,FALSE))</f>
        <v/>
      </c>
      <c r="CY414" s="361" t="str">
        <f ca="1">IF(CU414="","",VLOOKUP(CU414,games.r,6,FALSE))</f>
        <v/>
      </c>
      <c r="CZ414" s="362" t="str">
        <f ca="1">IF(CU414="","",VLOOKUP(CU414,games.r,7,FALSE))</f>
        <v/>
      </c>
      <c r="DA414" s="379" t="str">
        <f t="shared" ca="1" si="371"/>
        <v/>
      </c>
      <c r="DB414" s="302"/>
      <c r="DC414" s="364"/>
      <c r="DD414" s="445"/>
      <c r="DF414" s="424"/>
      <c r="DG414" s="366" t="str">
        <f ca="1">IF(AND(ASZTAB!$AJ$44,CT410,DA410&lt;&gt;2),CT414,"")</f>
        <v/>
      </c>
      <c r="DH414" s="366">
        <f ca="1">IF(DG414="",-1,COUNTIF(xxgy.rv,DG414))</f>
        <v>-1</v>
      </c>
      <c r="DI414" s="366">
        <f ca="1">IF(DG414="",0,COUNTIF(yygy.rv,DG414))</f>
        <v>0</v>
      </c>
      <c r="DK414" s="366">
        <f ca="1">IF(DG414="",0,1)*(SUMIF(yyo.rv,DG414,yyl.rv)+SUMIF(yyi.rv,DG414,yyk.rv))</f>
        <v>0</v>
      </c>
      <c r="DL414" s="366">
        <f ca="1">IF(DG414="",0,1)*(SUMIF(yyo.rv,DG414,yyk.rv)+SUMIF(yyi.rv,DG414,yyl.rv))</f>
        <v>0</v>
      </c>
      <c r="DN414" s="366">
        <f ca="1">IF(DL414=0,0,DK414/DL414)</f>
        <v>0</v>
      </c>
      <c r="DP414" s="366">
        <f ca="1">DH414*1000000+DI414*1000+DN414</f>
        <v>-1000000</v>
      </c>
      <c r="DT414" s="366">
        <f ca="1">IF(OR(ISERR(DP414),ISNA(DP414),DH414&lt;0),0,DP414)</f>
        <v>0</v>
      </c>
      <c r="DU414" s="366">
        <f ca="1">IF(DT414=0,0,RANK(DT414,DT411:DT415,1))</f>
        <v>0</v>
      </c>
      <c r="DV414" s="366">
        <f ca="1">DU414*40000*IF(COUNTIF($EN$411:$EN$420,DG414)&gt;0,0,1)</f>
        <v>0</v>
      </c>
      <c r="DW414" s="365"/>
      <c r="DX414" s="367">
        <f ca="1">IF(ASZTAB!$AJ$54,COUNTIF(DP417:DP421,DY413)*IF(OR(DY414=0,DY414=DY413),0,1),COUNTIF(DH411:DH415,DZ414)*IF(OR(DZ414=DZ413,DZ414&lt;0),0,1))+EA414/1000</f>
        <v>4.0000000000000001E-3</v>
      </c>
      <c r="DY414" s="367">
        <f ca="1">LARGE(DP417:DP421,EA414)</f>
        <v>0</v>
      </c>
      <c r="DZ414" s="369">
        <f ca="1">LARGE(DH411:DH415,EA414)</f>
        <v>-1</v>
      </c>
      <c r="EA414" s="369">
        <v>4</v>
      </c>
      <c r="EB414" s="365"/>
      <c r="EC414" s="365"/>
      <c r="ED414" s="371" t="str">
        <f ca="1">IF(DH414=ED410,DG414,IF(DP420=ED410,DG420,""))</f>
        <v/>
      </c>
      <c r="EE414" s="369" t="str">
        <f ca="1">IF(ED414="","",EA414)</f>
        <v/>
      </c>
      <c r="EF414" s="386"/>
      <c r="EG414" s="371" t="str">
        <f ca="1">IF(DH414=EG410,DG414,IF(DP420=EG410,DG420,""))</f>
        <v/>
      </c>
      <c r="EH414" s="369" t="str">
        <f ca="1">IF(EG414="","",EA414)</f>
        <v/>
      </c>
      <c r="EI414" s="386"/>
      <c r="EM414" s="424"/>
      <c r="EN414" s="366"/>
      <c r="EO414" s="425"/>
      <c r="EP414" s="333"/>
    </row>
    <row r="415" spans="80:146" x14ac:dyDescent="0.25">
      <c r="CB415" s="350"/>
      <c r="CC415" s="350"/>
      <c r="CD415" s="350"/>
      <c r="CE415" s="350"/>
      <c r="CF415" s="350"/>
      <c r="CG415" s="350"/>
      <c r="CR415" s="445"/>
      <c r="CS415" s="445"/>
      <c r="CT415" s="464" t="str">
        <f ca="1">IF(CK347="","",VLOOKUP(CK347,xxx.rv2,4,FALSE))</f>
        <v/>
      </c>
      <c r="CU415" s="465" t="str">
        <f ca="1">IF(OR(CT415="",DA415="",CT415=DA415,COUNTIF(games.rv,CT415&amp;DA415)=0),"",CONCATENATE(CT415,DA415))</f>
        <v/>
      </c>
      <c r="CV415" s="360" t="str">
        <f ca="1">IF(CU415="","",CONCATENATE(VLOOKUP(CU415,games.r,9,FALSE),VLOOKUP(CU415,games.r,12,FALSE)))</f>
        <v/>
      </c>
      <c r="CW415" s="354" t="str">
        <f ca="1">IF(CU415="","",VLOOKUP(CU415,games.r,10,FALSE))</f>
        <v/>
      </c>
      <c r="CX415" s="354" t="str">
        <f ca="1">IF(CU415="","",VLOOKUP(CU415,games.r,13,FALSE))</f>
        <v/>
      </c>
      <c r="CY415" s="361" t="str">
        <f ca="1">IF(CU415="","",VLOOKUP(CU415,games.r,6,FALSE))</f>
        <v/>
      </c>
      <c r="CZ415" s="362" t="str">
        <f ca="1">IF(CU415="","",VLOOKUP(CU415,games.r,7,FALSE))</f>
        <v/>
      </c>
      <c r="DA415" s="379" t="str">
        <f t="shared" ca="1" si="371"/>
        <v/>
      </c>
      <c r="DB415" s="302"/>
      <c r="DC415" s="364"/>
      <c r="DD415" s="445"/>
      <c r="DF415" s="424"/>
      <c r="DG415" s="366" t="str">
        <f ca="1">IF(AND(ASZTAB!$AJ$44,CT410,DA410&lt;&gt;2),CT415,"")</f>
        <v/>
      </c>
      <c r="DH415" s="366">
        <f ca="1">IF(DG415="",-1,COUNTIF(xxgy.rv,DG415))</f>
        <v>-1</v>
      </c>
      <c r="DI415" s="366">
        <f ca="1">IF(DG415="",0,COUNTIF(yygy.rv,DG415))</f>
        <v>0</v>
      </c>
      <c r="DK415" s="366">
        <f ca="1">IF(DG415="",0,1)*(SUMIF(yyo.rv,DG415,yyl.rv)+SUMIF(yyi.rv,DG415,yyk.rv))</f>
        <v>0</v>
      </c>
      <c r="DL415" s="366">
        <f ca="1">IF(DG415="",0,1)*(SUMIF(yyo.rv,DG415,yyk.rv)+SUMIF(yyi.rv,DG415,yyl.rv))</f>
        <v>0</v>
      </c>
      <c r="DN415" s="366">
        <f ca="1">IF(DL415=0,0,DK415/DL415)</f>
        <v>0</v>
      </c>
      <c r="DP415" s="366">
        <f ca="1">DH415*1000000+DI415*1000+DN415</f>
        <v>-1000000</v>
      </c>
      <c r="DT415" s="366">
        <f ca="1">IF(OR(ISERR(DP415),ISNA(DP415),DH415&lt;0),0,DP415)</f>
        <v>0</v>
      </c>
      <c r="DU415" s="366">
        <f ca="1">IF(DT415=0,0,RANK(DT415,DT411:DT415,1))</f>
        <v>0</v>
      </c>
      <c r="DV415" s="366">
        <f ca="1">DU415*40000*IF(COUNTIF($EN$411:$EN$420,DG415)&gt;0,0,1)</f>
        <v>0</v>
      </c>
      <c r="DW415" s="365"/>
      <c r="DX415" s="367">
        <f ca="1">IF(ASZTAB!$AJ$54,COUNTIF(DP417:DP421,DY414)*IF(OR(DY415=0,DY415=DY414),0,1),COUNTIF(DH411:DH415,DZ415)*IF(OR(DZ415=DZ414,DZ415&lt;0),0,1))+EA415/1000</f>
        <v>5.0000000000000001E-3</v>
      </c>
      <c r="DY415" s="367">
        <f ca="1">LARGE(DP417:DP421,EA415)</f>
        <v>0</v>
      </c>
      <c r="DZ415" s="369">
        <f ca="1">LARGE(DH411:DH415,EA415)</f>
        <v>-1</v>
      </c>
      <c r="EA415" s="369">
        <v>5</v>
      </c>
      <c r="EB415" s="365"/>
      <c r="EC415" s="365"/>
      <c r="ED415" s="371" t="str">
        <f ca="1">IF(DH415=ED410,DG415,IF(DP421=ED410,DG421,""))</f>
        <v/>
      </c>
      <c r="EE415" s="369" t="str">
        <f ca="1">IF(ED415="","",EA415)</f>
        <v/>
      </c>
      <c r="EF415" s="391"/>
      <c r="EG415" s="371" t="str">
        <f ca="1">IF(DH415=EG410,DG415,IF(DP421=EG410,DG421,""))</f>
        <v/>
      </c>
      <c r="EH415" s="369" t="str">
        <f ca="1">IF(EG415="","",EA415)</f>
        <v/>
      </c>
      <c r="EI415" s="391"/>
      <c r="EM415" s="424"/>
      <c r="EN415" s="366"/>
      <c r="EO415" s="425"/>
      <c r="EP415" s="333"/>
    </row>
    <row r="416" spans="80:146" x14ac:dyDescent="0.25">
      <c r="CB416" s="350"/>
      <c r="CC416" s="350"/>
      <c r="CD416" s="350"/>
      <c r="CE416" s="350"/>
      <c r="CF416" s="350"/>
      <c r="CG416" s="350"/>
      <c r="CR416" s="445"/>
      <c r="CS416" s="445"/>
      <c r="CT416" s="522" t="str">
        <f>IF(NOT($AD$105),"",CT411)</f>
        <v/>
      </c>
      <c r="CU416" s="371" t="str">
        <f ca="1">IF(OR(CT416="",DA416="",CT416=DA416,ISNA(VLOOKUP(CONCATENATE(CT416,DA416),games.a,2,FALSE))),"",CONCATENATE(CT416,DA416))</f>
        <v/>
      </c>
      <c r="CV416" s="371" t="str">
        <f ca="1">IF(CU416="","",CONCATENATE(VLOOKUP(CU416,games.a,9,FALSE),VLOOKUP(CU416,games.a,12,FALSE)))</f>
        <v/>
      </c>
      <c r="CW416" s="369" t="str">
        <f ca="1">IF(CU416="","",VLOOKUP(CU416,games.a,10,FALSE))</f>
        <v/>
      </c>
      <c r="CX416" s="369" t="str">
        <f ca="1">IF(CU416="","",VLOOKUP(CU416,games.a,13,FALSE))</f>
        <v/>
      </c>
      <c r="CY416" s="423" t="str">
        <f ca="1">IF(CU416="","",VLOOKUP(CU416,games.a,6,FALSE))</f>
        <v/>
      </c>
      <c r="CZ416" s="409" t="str">
        <f ca="1">IF(CU416="","",VLOOKUP(CU416,games.a,7,FALSE))</f>
        <v/>
      </c>
      <c r="DA416" s="523" t="str">
        <f t="shared" ca="1" si="371"/>
        <v/>
      </c>
      <c r="DB416" s="302"/>
      <c r="DC416" s="364"/>
      <c r="DD416" s="445"/>
      <c r="DF416" s="424"/>
      <c r="DG416" s="329" t="s">
        <v>229</v>
      </c>
      <c r="DH416" s="365"/>
      <c r="DI416" s="329" t="s">
        <v>152</v>
      </c>
      <c r="DJ416" s="329" t="s">
        <v>153</v>
      </c>
      <c r="DK416" s="329" t="s">
        <v>154</v>
      </c>
      <c r="DL416" s="329" t="s">
        <v>155</v>
      </c>
      <c r="DM416" s="329" t="s">
        <v>125</v>
      </c>
      <c r="DN416" s="329" t="s">
        <v>226</v>
      </c>
      <c r="DO416" s="329" t="s">
        <v>126</v>
      </c>
      <c r="DP416" s="329" t="s">
        <v>227</v>
      </c>
      <c r="DQ416" s="330" t="s">
        <v>154</v>
      </c>
      <c r="DR416" s="330" t="s">
        <v>155</v>
      </c>
      <c r="DS416" s="330" t="s">
        <v>125</v>
      </c>
      <c r="DT416" s="329" t="s">
        <v>228</v>
      </c>
      <c r="DU416" s="329" t="s">
        <v>156</v>
      </c>
      <c r="DV416" s="329" t="s">
        <v>208</v>
      </c>
      <c r="DW416" s="365"/>
      <c r="DX416" s="365"/>
      <c r="DY416" s="365"/>
      <c r="DZ416" s="365"/>
      <c r="EA416" s="365"/>
      <c r="EB416" s="365"/>
      <c r="EC416" s="365"/>
      <c r="ED416" s="365"/>
      <c r="EE416" s="365"/>
      <c r="EF416" s="365"/>
      <c r="EG416" s="365"/>
      <c r="EH416" s="365"/>
      <c r="EI416" s="365"/>
      <c r="EJ416" s="365"/>
      <c r="EK416" s="365"/>
      <c r="EL416" s="365"/>
      <c r="EM416" s="424"/>
      <c r="EN416" s="366"/>
      <c r="EO416" s="425"/>
      <c r="EP416" s="333"/>
    </row>
    <row r="417" spans="80:146" x14ac:dyDescent="0.25">
      <c r="CB417" s="350"/>
      <c r="CC417" s="350"/>
      <c r="CD417" s="350"/>
      <c r="CE417" s="350"/>
      <c r="CF417" s="350"/>
      <c r="CG417" s="350"/>
      <c r="CR417" s="445"/>
      <c r="CS417" s="445"/>
      <c r="CT417" s="522" t="str">
        <f>IF(NOT($AD$105),"",CT412)</f>
        <v/>
      </c>
      <c r="CU417" s="371" t="str">
        <f ca="1">IF(OR(CT417="",DA417="",CT417=DA417,ISNA(VLOOKUP(CONCATENATE(CT417,DA417),games.a,2,FALSE))),"",CONCATENATE(CT417,DA417))</f>
        <v/>
      </c>
      <c r="CV417" s="371" t="str">
        <f ca="1">IF(CU417="","",CONCATENATE(VLOOKUP(CU417,games.a,9,FALSE),VLOOKUP(CU417,games.a,12,FALSE)))</f>
        <v/>
      </c>
      <c r="CW417" s="369" t="str">
        <f ca="1">IF(CU417="","",VLOOKUP(CU417,games.a,10,FALSE))</f>
        <v/>
      </c>
      <c r="CX417" s="369" t="str">
        <f ca="1">IF(CU417="","",VLOOKUP(CU417,games.a,13,FALSE))</f>
        <v/>
      </c>
      <c r="CY417" s="423" t="str">
        <f ca="1">IF(CU417="","",VLOOKUP(CU417,games.a,6,FALSE))</f>
        <v/>
      </c>
      <c r="CZ417" s="409" t="str">
        <f ca="1">IF(CU417="","",VLOOKUP(CU417,games.a,7,FALSE))</f>
        <v/>
      </c>
      <c r="DA417" s="523" t="str">
        <f t="shared" ca="1" si="371"/>
        <v/>
      </c>
      <c r="DB417" s="302"/>
      <c r="DC417" s="364"/>
      <c r="DD417" s="445"/>
      <c r="DF417" s="424"/>
      <c r="DG417" s="366" t="str">
        <f ca="1">IF(OR(NOT(ASZTAB!$AJ$44),AND(CT410,DG411="")),CT411,"")</f>
        <v/>
      </c>
      <c r="DH417" s="365"/>
      <c r="DI417" s="366">
        <f ca="1">IF(DG417="",0,COUNTIF(xxgy.rv,DG417))</f>
        <v>0</v>
      </c>
      <c r="DJ417" s="366">
        <f ca="1">IF(DG417="",0,COUNTIF(xxd.rv,DG417))</f>
        <v>0</v>
      </c>
      <c r="DK417" s="366">
        <f ca="1">IF(DG417="",0,1)*(SUMIF(xxo.rv,DG417,xxl.rv)+SUMIF(xxi.rv,DG417,xxk.rv))</f>
        <v>0</v>
      </c>
      <c r="DL417" s="366">
        <f ca="1">IF(DG417="",0,1)*(SUMIF(xxo.rv,DG417,xxk.rv)+SUMIF(xxi.rv,DG417,xxl.rv))</f>
        <v>0</v>
      </c>
      <c r="DM417" s="366">
        <f ca="1">DK417-DL417</f>
        <v>0</v>
      </c>
      <c r="DN417" s="366">
        <f ca="1">IF(DL417=0,0,DK417/DL417)</f>
        <v>0</v>
      </c>
      <c r="DO417" s="366">
        <f ca="1">ASZTAB!$AJ$48*DI417+IF(ASZTAB!$AJ$44,0,1)*DJ417</f>
        <v>0</v>
      </c>
      <c r="DP417" s="396">
        <f ca="1">DO417*1000000+IF(ASZTAB!$AJ$44,DN417,DM417)*1000*0</f>
        <v>0</v>
      </c>
      <c r="DQ417" s="366">
        <f ca="1">IF(DG417="",0,1)*(SUMIF(yyo.rv,DG417,yyl.rv)+SUMIF(yyi.rv,DG417,yyk.rv))</f>
        <v>0</v>
      </c>
      <c r="DR417" s="366">
        <f ca="1">IF(DG417="",0,1)*(SUMIF(yyo.rv,DG417,yyk.rv)+SUMIF(yyi.rv,DG417,yyl.rv))</f>
        <v>0</v>
      </c>
      <c r="DS417" s="366">
        <f ca="1">DQ417-DR417</f>
        <v>0</v>
      </c>
      <c r="DT417" s="366">
        <f ca="1">IF(OR(ISERR(DP417),ISNA(DP417)),0,DP417)+IF(ASZTAB!$AJ$54,DS417,0)</f>
        <v>0</v>
      </c>
      <c r="DU417" s="366">
        <f ca="1">IF(DT417=0,0,RANK(DT417,DT417:DT421,1))</f>
        <v>0</v>
      </c>
      <c r="DV417" s="366">
        <f ca="1">DU417*40000*IF(COUNTIF($EN$411:$EN$420,DG417)&gt;0,0,1)</f>
        <v>0</v>
      </c>
      <c r="DW417" s="365"/>
      <c r="DZ417" s="365"/>
      <c r="EA417" s="365"/>
      <c r="EB417" s="365"/>
      <c r="EC417" s="398"/>
      <c r="ED417" s="329" t="s">
        <v>157</v>
      </c>
      <c r="EE417" s="329" t="s">
        <v>158</v>
      </c>
      <c r="EF417" s="399"/>
      <c r="EG417" s="400"/>
      <c r="EH417" s="401" t="s">
        <v>160</v>
      </c>
      <c r="EI417" s="402" t="s">
        <v>135</v>
      </c>
      <c r="EJ417" s="403">
        <f ca="1">COUNT(EF411:EF413)</f>
        <v>0</v>
      </c>
      <c r="EK417" s="365"/>
      <c r="EL417" s="365"/>
      <c r="EM417" s="424"/>
      <c r="EN417" s="366"/>
      <c r="EO417" s="425"/>
      <c r="EP417" s="333"/>
    </row>
    <row r="418" spans="80:146" x14ac:dyDescent="0.25">
      <c r="CB418" s="350"/>
      <c r="CC418" s="350"/>
      <c r="CD418" s="350"/>
      <c r="CE418" s="350"/>
      <c r="CF418" s="350"/>
      <c r="CG418" s="350"/>
      <c r="CR418" s="445"/>
      <c r="CS418" s="445"/>
      <c r="CT418" s="522" t="str">
        <f>IF(NOT($AD$105),"",CT413)</f>
        <v/>
      </c>
      <c r="CU418" s="371" t="str">
        <f ca="1">IF(OR(CT418="",DA418="",CT418=DA418,ISNA(VLOOKUP(CONCATENATE(CT418,DA418),games.a,2,FALSE))),"",CONCATENATE(CT418,DA418))</f>
        <v/>
      </c>
      <c r="CV418" s="371" t="str">
        <f ca="1">IF(CU418="","",CONCATENATE(VLOOKUP(CU418,games.a,9,FALSE),VLOOKUP(CU418,games.a,12,FALSE)))</f>
        <v/>
      </c>
      <c r="CW418" s="369" t="str">
        <f ca="1">IF(CU418="","",VLOOKUP(CU418,games.a,10,FALSE))</f>
        <v/>
      </c>
      <c r="CX418" s="369" t="str">
        <f ca="1">IF(CU418="","",VLOOKUP(CU418,games.a,13,FALSE))</f>
        <v/>
      </c>
      <c r="CY418" s="423" t="str">
        <f ca="1">IF(CU418="","",VLOOKUP(CU418,games.a,6,FALSE))</f>
        <v/>
      </c>
      <c r="CZ418" s="409" t="str">
        <f ca="1">IF(CU418="","",VLOOKUP(CU418,games.a,7,FALSE))</f>
        <v/>
      </c>
      <c r="DA418" s="523" t="str">
        <f t="shared" ca="1" si="371"/>
        <v/>
      </c>
      <c r="DB418" s="302"/>
      <c r="DC418" s="364"/>
      <c r="DD418" s="445"/>
      <c r="DF418" s="424"/>
      <c r="DG418" s="366" t="str">
        <f ca="1">IF(OR(NOT(ASZTAB!$AJ$44),AND(CT410,DG412="")),CT412,"")</f>
        <v/>
      </c>
      <c r="DH418" s="365"/>
      <c r="DI418" s="366">
        <f ca="1">IF(DG418="",0,COUNTIF(xxgy.rv,DG418))</f>
        <v>0</v>
      </c>
      <c r="DJ418" s="366">
        <f ca="1">IF(DG418="",0,COUNTIF(xxd.rv,DG418))</f>
        <v>0</v>
      </c>
      <c r="DK418" s="366">
        <f ca="1">IF(DG418="",0,1)*(SUMIF(xxo.rv,DG418,xxl.rv)+SUMIF(xxi.rv,DG418,xxk.rv))</f>
        <v>0</v>
      </c>
      <c r="DL418" s="366">
        <f ca="1">IF(DG418="",0,1)*(SUMIF(xxo.rv,DG418,xxk.rv)+SUMIF(xxi.rv,DG418,xxl.rv))</f>
        <v>0</v>
      </c>
      <c r="DM418" s="366">
        <f ca="1">DK418-DL418</f>
        <v>0</v>
      </c>
      <c r="DN418" s="366">
        <f ca="1">IF(DL418=0,0,DK418/DL418)</f>
        <v>0</v>
      </c>
      <c r="DO418" s="366">
        <f ca="1">ASZTAB!$AJ$48*DI418+IF(ASZTAB!$AJ$44,0,1)*DJ418</f>
        <v>0</v>
      </c>
      <c r="DP418" s="396">
        <f ca="1">DO418*1000000+IF(ASZTAB!$AJ$44,DN418,DM418)*1000*0</f>
        <v>0</v>
      </c>
      <c r="DQ418" s="366">
        <f ca="1">IF(DG418="",0,1)*(SUMIF(yyo.rv,DG418,yyl.rv)+SUMIF(yyi.rv,DG418,yyk.rv))</f>
        <v>0</v>
      </c>
      <c r="DR418" s="366">
        <f ca="1">IF(DG418="",0,1)*(SUMIF(yyo.rv,DG418,yyk.rv)+SUMIF(yyi.rv,DG418,yyl.rv))</f>
        <v>0</v>
      </c>
      <c r="DS418" s="366">
        <f ca="1">DQ418-DR418</f>
        <v>0</v>
      </c>
      <c r="DT418" s="366">
        <f ca="1">IF(OR(ISERR(DP418),ISNA(DP418)),0,DP418)+IF(ASZTAB!$AJ$54,DS418,0)</f>
        <v>0</v>
      </c>
      <c r="DU418" s="366">
        <f ca="1">IF(DT418=0,0,RANK(DT418,DT417:DT421,1))</f>
        <v>0</v>
      </c>
      <c r="DV418" s="366">
        <f ca="1">DU418*40000*IF(COUNTIF($EN$411:$EN$420,DG418)&gt;0,0,1)</f>
        <v>0</v>
      </c>
      <c r="DW418" s="365"/>
      <c r="DZ418" s="365"/>
      <c r="EA418" s="365"/>
      <c r="EB418" s="365"/>
      <c r="EC418" s="404" t="str">
        <f ca="1">IF(EF411="","",VLOOKUP(EF411,yyy.rv2,4,FALSE))</f>
        <v/>
      </c>
      <c r="ED418" s="371" t="str">
        <f ca="1">IF(OR(EC418="",EJ418="",EC418=EJ418,ISNA(VLOOKUP(CONCATENATE(EC418,EJ418),games.r,2,FALSE))),"",CONCATENATE(EC418,EJ418))</f>
        <v/>
      </c>
      <c r="EE418" s="405" t="str">
        <f ca="1">IF(OR(ED418="",EJ417&gt;2),"",CONCATENATE(VLOOKUP(ED418,games.r,9,FALSE),VLOOKUP(ED418,games.r,12,FALSE)))</f>
        <v/>
      </c>
      <c r="EF418" s="406"/>
      <c r="EG418" s="407"/>
      <c r="EH418" s="408" t="str">
        <f ca="1">IF(ED418="","",VLOOKUP(ED418,games.r,6,FALSE))</f>
        <v/>
      </c>
      <c r="EI418" s="409" t="str">
        <f ca="1">IF(ED418="","",VLOOKUP(ED418,games.r,7,FALSE))</f>
        <v/>
      </c>
      <c r="EJ418" s="410" t="str">
        <f ca="1">EC418</f>
        <v/>
      </c>
      <c r="EK418" s="411"/>
      <c r="EL418" s="412"/>
      <c r="EM418" s="424"/>
      <c r="EN418" s="366"/>
      <c r="EO418" s="425"/>
      <c r="EP418" s="333"/>
    </row>
    <row r="419" spans="80:146" x14ac:dyDescent="0.25">
      <c r="CB419" s="350"/>
      <c r="CC419" s="350"/>
      <c r="CD419" s="350"/>
      <c r="CE419" s="350"/>
      <c r="CF419" s="350"/>
      <c r="CG419" s="350"/>
      <c r="CR419" s="445"/>
      <c r="CS419" s="445"/>
      <c r="CT419" s="522" t="str">
        <f>IF(NOT($AD$105),"",CT414)</f>
        <v/>
      </c>
      <c r="CU419" s="371" t="str">
        <f ca="1">IF(OR(CT419="",DA419="",CT419=DA419,ISNA(VLOOKUP(CONCATENATE(CT419,DA419),games.a,2,FALSE))),"",CONCATENATE(CT419,DA419))</f>
        <v/>
      </c>
      <c r="CV419" s="371" t="str">
        <f ca="1">IF(CU419="","",CONCATENATE(VLOOKUP(CU419,games.a,9,FALSE),VLOOKUP(CU419,games.a,12,FALSE)))</f>
        <v/>
      </c>
      <c r="CW419" s="369" t="str">
        <f ca="1">IF(CU419="","",VLOOKUP(CU419,games.a,10,FALSE))</f>
        <v/>
      </c>
      <c r="CX419" s="369" t="str">
        <f ca="1">IF(CU419="","",VLOOKUP(CU419,games.a,13,FALSE))</f>
        <v/>
      </c>
      <c r="CY419" s="423" t="str">
        <f ca="1">IF(CU419="","",VLOOKUP(CU419,games.a,6,FALSE))</f>
        <v/>
      </c>
      <c r="CZ419" s="409" t="str">
        <f ca="1">IF(CU419="","",VLOOKUP(CU419,games.a,7,FALSE))</f>
        <v/>
      </c>
      <c r="DA419" s="523" t="str">
        <f t="shared" ca="1" si="371"/>
        <v/>
      </c>
      <c r="DB419" s="302"/>
      <c r="DC419" s="364"/>
      <c r="DD419" s="445"/>
      <c r="DF419" s="424"/>
      <c r="DG419" s="366" t="str">
        <f ca="1">IF(OR(NOT(ASZTAB!$AJ$44),AND(CT410,DG413="")),CT413,"")</f>
        <v/>
      </c>
      <c r="DH419" s="365"/>
      <c r="DI419" s="366">
        <f ca="1">IF(DG419="",0,COUNTIF(xxgy.rv,DG419))</f>
        <v>0</v>
      </c>
      <c r="DJ419" s="366">
        <f ca="1">IF(DG419="",0,COUNTIF(xxd.rv,DG419))</f>
        <v>0</v>
      </c>
      <c r="DK419" s="366">
        <f ca="1">IF(DG419="",0,1)*(SUMIF(xxo.rv,DG419,xxl.rv)+SUMIF(xxi.rv,DG419,xxk.rv))</f>
        <v>0</v>
      </c>
      <c r="DL419" s="366">
        <f ca="1">IF(DG419="",0,1)*(SUMIF(xxo.rv,DG419,xxk.rv)+SUMIF(xxi.rv,DG419,xxl.rv))</f>
        <v>0</v>
      </c>
      <c r="DM419" s="366">
        <f ca="1">DK419-DL419</f>
        <v>0</v>
      </c>
      <c r="DN419" s="366">
        <f ca="1">IF(DL419=0,0,DK419/DL419)</f>
        <v>0</v>
      </c>
      <c r="DO419" s="366">
        <f ca="1">ASZTAB!$AJ$48*DI419+IF(ASZTAB!$AJ$44,0,1)*DJ419</f>
        <v>0</v>
      </c>
      <c r="DP419" s="396">
        <f ca="1">DO419*1000000+IF(ASZTAB!$AJ$44,DN419,DM419)*1000*0</f>
        <v>0</v>
      </c>
      <c r="DQ419" s="366">
        <f ca="1">IF(DG419="",0,1)*(SUMIF(yyo.rv,DG419,yyl.rv)+SUMIF(yyi.rv,DG419,yyk.rv))</f>
        <v>0</v>
      </c>
      <c r="DR419" s="366">
        <f ca="1">IF(DG419="",0,1)*(SUMIF(yyo.rv,DG419,yyk.rv)+SUMIF(yyi.rv,DG419,yyl.rv))</f>
        <v>0</v>
      </c>
      <c r="DS419" s="366">
        <f ca="1">DQ419-DR419</f>
        <v>0</v>
      </c>
      <c r="DT419" s="366">
        <f ca="1">IF(OR(ISERR(DP419),ISNA(DP419)),0,DP419)+IF(ASZTAB!$AJ$54,DS419,0)</f>
        <v>0</v>
      </c>
      <c r="DU419" s="366">
        <f ca="1">IF(DT419=0,0,RANK(DT419,DT417:DT421,1))</f>
        <v>0</v>
      </c>
      <c r="DV419" s="366">
        <f ca="1">DU419*40000*IF(COUNTIF($EN$411:$EN$420,DG419)&gt;0,0,1)</f>
        <v>0</v>
      </c>
      <c r="DW419" s="365"/>
      <c r="DZ419" s="365"/>
      <c r="EA419" s="365"/>
      <c r="EB419" s="365"/>
      <c r="EC419" s="404" t="str">
        <f ca="1">IF(EF412="","",VLOOKUP(EF412,yyy.rv2,4,FALSE))</f>
        <v/>
      </c>
      <c r="ED419" s="371" t="str">
        <f ca="1">IF(OR(EC419="",EJ419="",EC419=EJ419,ISNA(VLOOKUP(CONCATENATE(EC419,EJ419),games.r,2,FALSE))),"",CONCATENATE(EC419,EJ419))</f>
        <v/>
      </c>
      <c r="EE419" s="405" t="str">
        <f ca="1">IF(OR(ED419="",EJ417&gt;2),"",CONCATENATE(VLOOKUP(ED419,games.r,9,FALSE),VLOOKUP(ED419,games.r,12,FALSE)))</f>
        <v/>
      </c>
      <c r="EF419" s="413"/>
      <c r="EG419" s="414"/>
      <c r="EH419" s="408" t="str">
        <f ca="1">IF(ED419="","",VLOOKUP(ED419,games.r,6,FALSE))</f>
        <v/>
      </c>
      <c r="EI419" s="409" t="str">
        <f ca="1">IF(ED419="","",VLOOKUP(ED419,games.r,7,FALSE))</f>
        <v/>
      </c>
      <c r="EJ419" s="415" t="str">
        <f ca="1">EJ418</f>
        <v/>
      </c>
      <c r="EK419" s="416"/>
      <c r="EL419" s="417"/>
      <c r="EM419" s="424"/>
      <c r="EN419" s="366"/>
      <c r="EO419" s="425"/>
      <c r="EP419" s="333"/>
    </row>
    <row r="420" spans="80:146" x14ac:dyDescent="0.25">
      <c r="CB420" s="350"/>
      <c r="CC420" s="350"/>
      <c r="CD420" s="350"/>
      <c r="CE420" s="350"/>
      <c r="CF420" s="350"/>
      <c r="CG420" s="350"/>
      <c r="CR420" s="445"/>
      <c r="CS420" s="445"/>
      <c r="CT420" s="522" t="str">
        <f>IF(NOT($AD$105),"",CT415)</f>
        <v/>
      </c>
      <c r="CU420" s="371" t="str">
        <f ca="1">IF(OR(CT420="",DA420="",CT420=DA420,ISNA(VLOOKUP(CONCATENATE(CT420,DA420),games.a,2,FALSE))),"",CONCATENATE(CT420,DA420))</f>
        <v/>
      </c>
      <c r="CV420" s="371" t="str">
        <f ca="1">IF(CU420="","",CONCATENATE(VLOOKUP(CU420,games.a,9,FALSE),VLOOKUP(CU420,games.a,12,FALSE)))</f>
        <v/>
      </c>
      <c r="CW420" s="369" t="str">
        <f ca="1">IF(CU420="","",VLOOKUP(CU420,games.a,10,FALSE))</f>
        <v/>
      </c>
      <c r="CX420" s="369" t="str">
        <f ca="1">IF(CU420="","",VLOOKUP(CU420,games.a,13,FALSE))</f>
        <v/>
      </c>
      <c r="CY420" s="423" t="str">
        <f ca="1">IF(CU420="","",VLOOKUP(CU420,games.a,6,FALSE))</f>
        <v/>
      </c>
      <c r="CZ420" s="409" t="str">
        <f ca="1">IF(CU420="","",VLOOKUP(CU420,games.a,7,FALSE))</f>
        <v/>
      </c>
      <c r="DA420" s="523" t="str">
        <f t="shared" ca="1" si="371"/>
        <v/>
      </c>
      <c r="DB420" s="302"/>
      <c r="DC420" s="364"/>
      <c r="DD420" s="445"/>
      <c r="DF420" s="424"/>
      <c r="DG420" s="366" t="str">
        <f ca="1">IF(OR(NOT(ASZTAB!$AJ$44),AND(CT410,DG414="")),CT414,"")</f>
        <v/>
      </c>
      <c r="DH420" s="365"/>
      <c r="DI420" s="366">
        <f ca="1">IF(DG420="",0,COUNTIF(xxgy.rv,DG420))</f>
        <v>0</v>
      </c>
      <c r="DJ420" s="366">
        <f ca="1">IF(DG420="",0,COUNTIF(xxd.rv,DG420))</f>
        <v>0</v>
      </c>
      <c r="DK420" s="366">
        <f ca="1">IF(DG420="",0,1)*(SUMIF(xxo.rv,DG420,xxl.rv)+SUMIF(xxi.rv,DG420,xxk.rv))</f>
        <v>0</v>
      </c>
      <c r="DL420" s="366">
        <f ca="1">IF(DG420="",0,1)*(SUMIF(xxo.rv,DG420,xxk.rv)+SUMIF(xxi.rv,DG420,xxl.rv))</f>
        <v>0</v>
      </c>
      <c r="DM420" s="366">
        <f ca="1">DK420-DL420</f>
        <v>0</v>
      </c>
      <c r="DN420" s="366">
        <f ca="1">IF(DL420=0,0,DK420/DL420)</f>
        <v>0</v>
      </c>
      <c r="DO420" s="366">
        <f ca="1">ASZTAB!$AJ$48*DI420+IF(ASZTAB!$AJ$44,0,1)*DJ420</f>
        <v>0</v>
      </c>
      <c r="DP420" s="396">
        <f ca="1">DO420*1000000+IF(ASZTAB!$AJ$44,DN420,DM420)*1000*0</f>
        <v>0</v>
      </c>
      <c r="DQ420" s="366">
        <f ca="1">IF(DG420="",0,1)*(SUMIF(yyo.rv,DG420,yyl.rv)+SUMIF(yyi.rv,DG420,yyk.rv))</f>
        <v>0</v>
      </c>
      <c r="DR420" s="366">
        <f ca="1">IF(DG420="",0,1)*(SUMIF(yyo.rv,DG420,yyk.rv)+SUMIF(yyi.rv,DG420,yyl.rv))</f>
        <v>0</v>
      </c>
      <c r="DS420" s="366">
        <f ca="1">DQ420-DR420</f>
        <v>0</v>
      </c>
      <c r="DT420" s="366">
        <f ca="1">IF(OR(ISERR(DP420),ISNA(DP420)),0,DP420)+IF(ASZTAB!$AJ$54,DS420,0)</f>
        <v>0</v>
      </c>
      <c r="DU420" s="366">
        <f ca="1">IF(DT420=0,0,RANK(DT420,DT417:DT421,1))</f>
        <v>0</v>
      </c>
      <c r="DV420" s="366">
        <f ca="1">DU420*40000*IF(COUNTIF($EN$411:$EN$420,DG420)&gt;0,0,1)</f>
        <v>0</v>
      </c>
      <c r="DW420" s="365"/>
      <c r="DZ420" s="365"/>
      <c r="EA420" s="365"/>
      <c r="EB420" s="365"/>
      <c r="EC420" s="404" t="str">
        <f ca="1">IF(EF413="","",VLOOKUP(EF413,yyy.rv2,4,FALSE))</f>
        <v/>
      </c>
      <c r="ED420" s="371" t="str">
        <f ca="1">IF(OR(EC420="",EJ420="",EC420=EJ420,ISNA(VLOOKUP(CONCATENATE(EC420,EJ420),games.r,2,FALSE))),"",CONCATENATE(EC420,EJ420))</f>
        <v/>
      </c>
      <c r="EE420" s="405" t="str">
        <f ca="1">IF(OR(ED420="",EJ417&gt;2),"",CONCATENATE(VLOOKUP(ED420,games.r,9,FALSE),VLOOKUP(ED420,games.r,12,FALSE)))</f>
        <v/>
      </c>
      <c r="EF420" s="413"/>
      <c r="EG420" s="414"/>
      <c r="EH420" s="408" t="str">
        <f ca="1">IF(ED420="","",VLOOKUP(ED420,games.r,6,FALSE))</f>
        <v/>
      </c>
      <c r="EI420" s="409" t="str">
        <f ca="1">IF(ED420="","",VLOOKUP(ED420,games.r,7,FALSE))</f>
        <v/>
      </c>
      <c r="EJ420" s="415" t="str">
        <f ca="1">EJ419</f>
        <v/>
      </c>
      <c r="EK420" s="416"/>
      <c r="EL420" s="417"/>
      <c r="EM420" s="424"/>
      <c r="EN420" s="366"/>
      <c r="EO420" s="425"/>
      <c r="EP420" s="333"/>
    </row>
    <row r="421" spans="80:146" x14ac:dyDescent="0.25">
      <c r="CB421" s="350"/>
      <c r="CC421" s="350"/>
      <c r="CD421" s="350"/>
      <c r="CE421" s="350"/>
      <c r="CF421" s="350"/>
      <c r="CG421" s="350"/>
      <c r="CR421" s="445"/>
      <c r="CS421" s="445"/>
      <c r="CT421" s="301"/>
      <c r="CU421" s="458" t="s">
        <v>157</v>
      </c>
      <c r="CV421" s="458" t="s">
        <v>158</v>
      </c>
      <c r="CW421" s="459" t="s">
        <v>159</v>
      </c>
      <c r="CX421" s="459"/>
      <c r="CY421" s="460" t="s">
        <v>160</v>
      </c>
      <c r="CZ421" s="459" t="s">
        <v>135</v>
      </c>
      <c r="DA421" s="302"/>
      <c r="DB421" s="302"/>
      <c r="DC421" s="364"/>
      <c r="DD421" s="445"/>
      <c r="DF421" s="424"/>
      <c r="DG421" s="366" t="str">
        <f ca="1">IF(OR(NOT(ASZTAB!$AJ$44),AND(CT410,DG415="")),CT415,"")</f>
        <v/>
      </c>
      <c r="DH421" s="365"/>
      <c r="DI421" s="366">
        <f ca="1">IF(DG421="",0,COUNTIF(xxgy.rv,DG421))</f>
        <v>0</v>
      </c>
      <c r="DJ421" s="366">
        <f ca="1">IF(DG421="",0,COUNTIF(xxd.rv,DG421))</f>
        <v>0</v>
      </c>
      <c r="DK421" s="366">
        <f ca="1">IF(DG421="",0,1)*(SUMIF(xxo.rv,DG421,xxl.rv)+SUMIF(xxi.rv,DG421,xxk.rv))</f>
        <v>0</v>
      </c>
      <c r="DL421" s="366">
        <f ca="1">IF(DG421="",0,1)*(SUMIF(xxo.rv,DG421,xxk.rv)+SUMIF(xxi.rv,DG421,xxl.rv))</f>
        <v>0</v>
      </c>
      <c r="DM421" s="366">
        <f ca="1">DK421-DL421</f>
        <v>0</v>
      </c>
      <c r="DN421" s="366">
        <f ca="1">IF(DL421=0,0,DK421/DL421)</f>
        <v>0</v>
      </c>
      <c r="DO421" s="366">
        <f ca="1">ASZTAB!$AJ$48*DI421+IF(ASZTAB!$AJ$44,0,1)*DJ421</f>
        <v>0</v>
      </c>
      <c r="DP421" s="396">
        <f ca="1">DO421*1000000+IF(ASZTAB!$AJ$44,DN421,DM421)*1000*0</f>
        <v>0</v>
      </c>
      <c r="DQ421" s="366">
        <f ca="1">IF(DG421="",0,1)*(SUMIF(yyo.rv,DG421,yyl.rv)+SUMIF(yyi.rv,DG421,yyk.rv))</f>
        <v>0</v>
      </c>
      <c r="DR421" s="366">
        <f ca="1">IF(DG421="",0,1)*(SUMIF(yyo.rv,DG421,yyk.rv)+SUMIF(yyi.rv,DG421,yyl.rv))</f>
        <v>0</v>
      </c>
      <c r="DS421" s="366">
        <f ca="1">DQ421-DR421</f>
        <v>0</v>
      </c>
      <c r="DT421" s="366">
        <f ca="1">IF(OR(ISERR(DP421),ISNA(DP421)),0,DP421)+IF(ASZTAB!$AJ$54,DS421,0)</f>
        <v>0</v>
      </c>
      <c r="DU421" s="366">
        <f ca="1">IF(DT421=0,0,RANK(DT421,DT417:DT421,1))</f>
        <v>0</v>
      </c>
      <c r="DV421" s="366">
        <f ca="1">DU421*40000*IF(COUNTIF($EN$411:$EN$420,DG421)&gt;0,0,1)</f>
        <v>0</v>
      </c>
      <c r="DW421" s="365"/>
      <c r="DZ421" s="365"/>
      <c r="EA421" s="365"/>
      <c r="EB421" s="365"/>
      <c r="EC421" s="404" t="str">
        <f>IF(NOT($AD$105),"",EC418)</f>
        <v/>
      </c>
      <c r="ED421" s="360" t="str">
        <f ca="1">IF(OR(EC421="",EJ421="",EC421=EJ421,ISNA(VLOOKUP(CONCATENATE(EC421,EJ421),games.a,2,FALSE))),"",CONCATENATE(EC421,EJ421))</f>
        <v/>
      </c>
      <c r="EE421" s="524" t="str">
        <f ca="1">IF(OR(ED421="",EJ417&gt;2),"",CONCATENATE(VLOOKUP(ED421,games.a,9,FALSE),VLOOKUP(ED421,games.a,12,FALSE)))</f>
        <v/>
      </c>
      <c r="EF421" s="413"/>
      <c r="EG421" s="414"/>
      <c r="EH421" s="525" t="str">
        <f ca="1">IF(ED421="","",VLOOKUP(ED421,games.a,6,FALSE))</f>
        <v/>
      </c>
      <c r="EI421" s="362" t="str">
        <f ca="1">IF(ED421="","",VLOOKUP(ED421,games.a,7,FALSE))</f>
        <v/>
      </c>
      <c r="EJ421" s="526" t="str">
        <f ca="1">EJ420</f>
        <v/>
      </c>
      <c r="EK421" s="527"/>
      <c r="EL421" s="528"/>
      <c r="EM421" s="424"/>
      <c r="EN421" s="424"/>
      <c r="EO421" s="425"/>
      <c r="EP421" s="333"/>
    </row>
    <row r="422" spans="80:146" x14ac:dyDescent="0.25">
      <c r="CB422" s="350"/>
      <c r="CC422" s="350"/>
      <c r="CD422" s="350"/>
      <c r="CE422" s="350"/>
      <c r="CF422" s="350"/>
      <c r="CG422" s="350"/>
      <c r="CR422" s="445"/>
      <c r="CS422" s="445"/>
      <c r="CT422" s="395" t="str">
        <f t="shared" ref="CT422:CT431" ca="1" si="372">CT411</f>
        <v/>
      </c>
      <c r="CU422" s="465" t="str">
        <f ca="1">IF(OR(CT422="",DA422="",CT422=DA422,COUNTIF(games.rv,CT422&amp;DA422)=0),"",CONCATENATE(CT422,DA422))</f>
        <v/>
      </c>
      <c r="CV422" s="360" t="str">
        <f ca="1">IF(CU422="","",CONCATENATE(VLOOKUP(CU422,games.r,9,FALSE),VLOOKUP(CU422,games.r,12,FALSE)))</f>
        <v/>
      </c>
      <c r="CW422" s="354" t="str">
        <f ca="1">IF(CU422="","",VLOOKUP(CU422,games.r,10,FALSE))</f>
        <v/>
      </c>
      <c r="CX422" s="354" t="str">
        <f ca="1">IF(CU422="","",VLOOKUP(CU422,games.r,13,FALSE))</f>
        <v/>
      </c>
      <c r="CY422" s="361" t="str">
        <f ca="1">IF(CU422="","",VLOOKUP(CU422,games.r,6,FALSE))</f>
        <v/>
      </c>
      <c r="CZ422" s="362" t="str">
        <f ca="1">IF(CU422="","",VLOOKUP(CU422,games.r,7,FALSE))</f>
        <v/>
      </c>
      <c r="DA422" s="466" t="str">
        <f ca="1">CT412</f>
        <v/>
      </c>
      <c r="DB422" s="302"/>
      <c r="DC422" s="364"/>
      <c r="DD422" s="445"/>
      <c r="DF422" s="424"/>
      <c r="DW422" s="365"/>
      <c r="DX422" s="424"/>
      <c r="DZ422" s="365"/>
      <c r="EA422" s="365"/>
      <c r="EB422" s="365"/>
      <c r="EC422" s="404" t="str">
        <f>IF(NOT($AD$105),"",EC419)</f>
        <v/>
      </c>
      <c r="ED422" s="360" t="str">
        <f ca="1">IF(OR(EC422="",EJ422="",EC422=EJ422,ISNA(VLOOKUP(CONCATENATE(EC422,EJ422),games.a,2,FALSE))),"",CONCATENATE(EC422,EJ422))</f>
        <v/>
      </c>
      <c r="EE422" s="524" t="str">
        <f ca="1">IF(OR(ED422="",EJ417&gt;2),"",CONCATENATE(VLOOKUP(ED422,games.a,9,FALSE),VLOOKUP(ED422,games.a,12,FALSE)))</f>
        <v/>
      </c>
      <c r="EF422" s="413"/>
      <c r="EG422" s="414"/>
      <c r="EH422" s="525" t="str">
        <f ca="1">IF(ED422="","",VLOOKUP(ED422,games.a,6,FALSE))</f>
        <v/>
      </c>
      <c r="EI422" s="362" t="str">
        <f ca="1">IF(ED422="","",VLOOKUP(ED422,games.a,7,FALSE))</f>
        <v/>
      </c>
      <c r="EJ422" s="526" t="str">
        <f ca="1">EJ421</f>
        <v/>
      </c>
      <c r="EK422" s="527"/>
      <c r="EL422" s="528"/>
      <c r="EM422" s="424"/>
      <c r="EN422" s="424"/>
      <c r="EO422" s="425"/>
      <c r="EP422" s="333"/>
    </row>
    <row r="423" spans="80:146" x14ac:dyDescent="0.25">
      <c r="CB423" s="350"/>
      <c r="CC423" s="350"/>
      <c r="CD423" s="350"/>
      <c r="CE423" s="350"/>
      <c r="CF423" s="350"/>
      <c r="CG423" s="350"/>
      <c r="CR423" s="445"/>
      <c r="CS423" s="445"/>
      <c r="CT423" s="395" t="str">
        <f t="shared" ca="1" si="372"/>
        <v/>
      </c>
      <c r="CU423" s="465" t="str">
        <f ca="1">IF(OR(CT423="",DA423="",CT423=DA423,COUNTIF(games.rv,CT423&amp;DA423)=0),"",CONCATENATE(CT423,DA423))</f>
        <v/>
      </c>
      <c r="CV423" s="360" t="str">
        <f ca="1">IF(CU423="","",CONCATENATE(VLOOKUP(CU423,games.r,9,FALSE),VLOOKUP(CU423,games.r,12,FALSE)))</f>
        <v/>
      </c>
      <c r="CW423" s="354" t="str">
        <f ca="1">IF(CU423="","",VLOOKUP(CU423,games.r,10,FALSE))</f>
        <v/>
      </c>
      <c r="CX423" s="354" t="str">
        <f ca="1">IF(CU423="","",VLOOKUP(CU423,games.r,13,FALSE))</f>
        <v/>
      </c>
      <c r="CY423" s="361" t="str">
        <f ca="1">IF(CU423="","",VLOOKUP(CU423,games.r,6,FALSE))</f>
        <v/>
      </c>
      <c r="CZ423" s="362" t="str">
        <f ca="1">IF(CU423="","",VLOOKUP(CU423,games.r,7,FALSE))</f>
        <v/>
      </c>
      <c r="DA423" s="379" t="str">
        <f t="shared" ref="DA423:DA431" ca="1" si="373">DA422</f>
        <v/>
      </c>
      <c r="DB423" s="302"/>
      <c r="DC423" s="364"/>
      <c r="DD423" s="445"/>
      <c r="DF423" s="424"/>
      <c r="DW423" s="365"/>
      <c r="DX423" s="424"/>
      <c r="DZ423" s="365"/>
      <c r="EC423" s="404" t="str">
        <f>IF(NOT($AD$105),"",EC420)</f>
        <v/>
      </c>
      <c r="ED423" s="360" t="str">
        <f ca="1">IF(OR(EC423="",EJ423="",EC423=EJ423,ISNA(VLOOKUP(CONCATENATE(EC423,EJ423),games.a,2,FALSE))),"",CONCATENATE(EC423,EJ423))</f>
        <v/>
      </c>
      <c r="EE423" s="524" t="str">
        <f ca="1">IF(OR(ED423="",EJ417&gt;2),"",CONCATENATE(VLOOKUP(ED423,games.a,9,FALSE),VLOOKUP(ED423,games.a,12,FALSE)))</f>
        <v/>
      </c>
      <c r="EF423" s="413"/>
      <c r="EG423" s="414"/>
      <c r="EH423" s="525" t="str">
        <f ca="1">IF(ED423="","",VLOOKUP(ED423,games.a,6,FALSE))</f>
        <v/>
      </c>
      <c r="EI423" s="362" t="str">
        <f ca="1">IF(ED423="","",VLOOKUP(ED423,games.a,7,FALSE))</f>
        <v/>
      </c>
      <c r="EJ423" s="526" t="str">
        <f ca="1">EJ422</f>
        <v/>
      </c>
      <c r="EK423" s="527"/>
      <c r="EL423" s="528"/>
      <c r="EM423" s="424"/>
      <c r="EN423" s="424"/>
      <c r="EO423" s="425"/>
      <c r="EP423" s="333"/>
    </row>
    <row r="424" spans="80:146" x14ac:dyDescent="0.25">
      <c r="CB424" s="350"/>
      <c r="CC424" s="350"/>
      <c r="CD424" s="350"/>
      <c r="CE424" s="350"/>
      <c r="CF424" s="350"/>
      <c r="CG424" s="350"/>
      <c r="CR424" s="445"/>
      <c r="CS424" s="445"/>
      <c r="CT424" s="395" t="str">
        <f t="shared" ca="1" si="372"/>
        <v/>
      </c>
      <c r="CU424" s="465" t="str">
        <f ca="1">IF(OR(CT424="",DA424="",CT424=DA424,COUNTIF(games.rv,CT424&amp;DA424)=0),"",CONCATENATE(CT424,DA424))</f>
        <v/>
      </c>
      <c r="CV424" s="360" t="str">
        <f ca="1">IF(CU424="","",CONCATENATE(VLOOKUP(CU424,games.r,9,FALSE),VLOOKUP(CU424,games.r,12,FALSE)))</f>
        <v/>
      </c>
      <c r="CW424" s="354" t="str">
        <f ca="1">IF(CU424="","",VLOOKUP(CU424,games.r,10,FALSE))</f>
        <v/>
      </c>
      <c r="CX424" s="354" t="str">
        <f ca="1">IF(CU424="","",VLOOKUP(CU424,games.r,13,FALSE))</f>
        <v/>
      </c>
      <c r="CY424" s="361" t="str">
        <f ca="1">IF(CU424="","",VLOOKUP(CU424,games.r,6,FALSE))</f>
        <v/>
      </c>
      <c r="CZ424" s="362" t="str">
        <f ca="1">IF(CU424="","",VLOOKUP(CU424,games.r,7,FALSE))</f>
        <v/>
      </c>
      <c r="DA424" s="379" t="str">
        <f t="shared" ca="1" si="373"/>
        <v/>
      </c>
      <c r="DB424" s="302"/>
      <c r="DC424" s="364"/>
      <c r="DD424" s="445"/>
      <c r="DF424" s="424"/>
      <c r="DW424" s="365"/>
      <c r="DX424" s="424"/>
      <c r="DZ424" s="365"/>
      <c r="EA424" s="365"/>
      <c r="EB424" s="365"/>
      <c r="EC424" s="398"/>
      <c r="ED424" s="329" t="s">
        <v>157</v>
      </c>
      <c r="EE424" s="329" t="s">
        <v>158</v>
      </c>
      <c r="EF424" s="399"/>
      <c r="EG424" s="400"/>
      <c r="EH424" s="401" t="s">
        <v>160</v>
      </c>
      <c r="EI424" s="402" t="s">
        <v>135</v>
      </c>
      <c r="EJ424" s="398"/>
      <c r="EK424" s="365"/>
      <c r="EL424" s="365"/>
      <c r="EM424" s="424"/>
      <c r="EN424" s="424"/>
      <c r="EO424" s="425"/>
      <c r="EP424" s="333"/>
    </row>
    <row r="425" spans="80:146" x14ac:dyDescent="0.25">
      <c r="CB425" s="350"/>
      <c r="CC425" s="350"/>
      <c r="CD425" s="350"/>
      <c r="CE425" s="350"/>
      <c r="CF425" s="350"/>
      <c r="CG425" s="350"/>
      <c r="CR425" s="445"/>
      <c r="CS425" s="445"/>
      <c r="CT425" s="395" t="str">
        <f t="shared" ca="1" si="372"/>
        <v/>
      </c>
      <c r="CU425" s="465" t="str">
        <f ca="1">IF(OR(CT425="",DA425="",CT425=DA425,COUNTIF(games.rv,CT425&amp;DA425)=0),"",CONCATENATE(CT425,DA425))</f>
        <v/>
      </c>
      <c r="CV425" s="360" t="str">
        <f ca="1">IF(CU425="","",CONCATENATE(VLOOKUP(CU425,games.r,9,FALSE),VLOOKUP(CU425,games.r,12,FALSE)))</f>
        <v/>
      </c>
      <c r="CW425" s="354" t="str">
        <f ca="1">IF(CU425="","",VLOOKUP(CU425,games.r,10,FALSE))</f>
        <v/>
      </c>
      <c r="CX425" s="354" t="str">
        <f ca="1">IF(CU425="","",VLOOKUP(CU425,games.r,13,FALSE))</f>
        <v/>
      </c>
      <c r="CY425" s="361" t="str">
        <f ca="1">IF(CU425="","",VLOOKUP(CU425,games.r,6,FALSE))</f>
        <v/>
      </c>
      <c r="CZ425" s="362" t="str">
        <f ca="1">IF(CU425="","",VLOOKUP(CU425,games.r,7,FALSE))</f>
        <v/>
      </c>
      <c r="DA425" s="379" t="str">
        <f t="shared" ca="1" si="373"/>
        <v/>
      </c>
      <c r="DB425" s="302"/>
      <c r="DC425" s="364"/>
      <c r="DD425" s="445"/>
      <c r="DF425" s="424"/>
      <c r="DW425" s="365"/>
      <c r="DX425" s="424"/>
      <c r="DZ425" s="365"/>
      <c r="EA425" s="365"/>
      <c r="EB425" s="365"/>
      <c r="EC425" s="404" t="str">
        <f t="shared" ref="EC425:EC430" ca="1" si="374">EC418</f>
        <v/>
      </c>
      <c r="ED425" s="371" t="str">
        <f ca="1">IF(OR(EC425="",EJ425="",EC425=EJ425,ISNA(VLOOKUP(CONCATENATE(EC425,EJ425),games.r,2,FALSE))),"",CONCATENATE(EC425,EJ425))</f>
        <v/>
      </c>
      <c r="EE425" s="405" t="str">
        <f ca="1">IF(OR(ED425="",EJ417&gt;2),"",CONCATENATE(VLOOKUP(ED425,games.r,9,FALSE),VLOOKUP(ED425,games.r,12,FALSE)))</f>
        <v/>
      </c>
      <c r="EF425" s="406"/>
      <c r="EG425" s="407"/>
      <c r="EH425" s="408" t="str">
        <f ca="1">IF(ED425="","",VLOOKUP(ED425,games.r,6,FALSE))</f>
        <v/>
      </c>
      <c r="EI425" s="409" t="str">
        <f ca="1">IF(ED425="","",VLOOKUP(ED425,games.r,7,FALSE))</f>
        <v/>
      </c>
      <c r="EJ425" s="410" t="str">
        <f ca="1">EC419</f>
        <v/>
      </c>
      <c r="EK425" s="411"/>
      <c r="EL425" s="412"/>
      <c r="EM425" s="424"/>
      <c r="EN425" s="424"/>
      <c r="EO425" s="425"/>
      <c r="EP425" s="333"/>
    </row>
    <row r="426" spans="80:146" x14ac:dyDescent="0.25">
      <c r="CB426" s="350"/>
      <c r="CC426" s="350"/>
      <c r="CD426" s="350"/>
      <c r="CE426" s="350"/>
      <c r="CF426" s="350"/>
      <c r="CG426" s="350"/>
      <c r="CR426" s="445"/>
      <c r="CS426" s="445"/>
      <c r="CT426" s="395" t="str">
        <f t="shared" ca="1" si="372"/>
        <v/>
      </c>
      <c r="CU426" s="465" t="str">
        <f ca="1">IF(OR(CT426="",DA426="",CT426=DA426,COUNTIF(games.rv,CT426&amp;DA426)=0),"",CONCATENATE(CT426,DA426))</f>
        <v/>
      </c>
      <c r="CV426" s="360" t="str">
        <f ca="1">IF(CU426="","",CONCATENATE(VLOOKUP(CU426,games.r,9,FALSE),VLOOKUP(CU426,games.r,12,FALSE)))</f>
        <v/>
      </c>
      <c r="CW426" s="354" t="str">
        <f ca="1">IF(CU426="","",VLOOKUP(CU426,games.r,10,FALSE))</f>
        <v/>
      </c>
      <c r="CX426" s="354" t="str">
        <f ca="1">IF(CU426="","",VLOOKUP(CU426,games.r,13,FALSE))</f>
        <v/>
      </c>
      <c r="CY426" s="361" t="str">
        <f ca="1">IF(CU426="","",VLOOKUP(CU426,games.r,6,FALSE))</f>
        <v/>
      </c>
      <c r="CZ426" s="362" t="str">
        <f ca="1">IF(CU426="","",VLOOKUP(CU426,games.r,7,FALSE))</f>
        <v/>
      </c>
      <c r="DA426" s="379" t="str">
        <f t="shared" ca="1" si="373"/>
        <v/>
      </c>
      <c r="DB426" s="302"/>
      <c r="DC426" s="364"/>
      <c r="DD426" s="445"/>
      <c r="DF426" s="424"/>
      <c r="DW426" s="365"/>
      <c r="DX426" s="424"/>
      <c r="DZ426" s="424"/>
      <c r="EA426" s="365"/>
      <c r="EB426" s="365"/>
      <c r="EC426" s="404" t="str">
        <f t="shared" ca="1" si="374"/>
        <v/>
      </c>
      <c r="ED426" s="371" t="str">
        <f ca="1">IF(OR(EC426="",EJ426="",EC426=EJ426,ISNA(VLOOKUP(CONCATENATE(EC426,EJ426),games.r,2,FALSE))),"",CONCATENATE(EC426,EJ426))</f>
        <v/>
      </c>
      <c r="EE426" s="405" t="str">
        <f ca="1">IF(OR(ED426="",EJ417&gt;2),"",CONCATENATE(VLOOKUP(ED426,games.r,9,FALSE),VLOOKUP(ED426,games.r,12,FALSE)))</f>
        <v/>
      </c>
      <c r="EF426" s="413"/>
      <c r="EG426" s="414"/>
      <c r="EH426" s="408" t="str">
        <f ca="1">IF(ED426="","",VLOOKUP(ED426,games.r,6,FALSE))</f>
        <v/>
      </c>
      <c r="EI426" s="409" t="str">
        <f ca="1">IF(ED426="","",VLOOKUP(ED426,games.r,7,FALSE))</f>
        <v/>
      </c>
      <c r="EJ426" s="415" t="str">
        <f ca="1">EJ425</f>
        <v/>
      </c>
      <c r="EK426" s="416"/>
      <c r="EL426" s="417"/>
      <c r="EM426" s="424"/>
      <c r="EN426" s="424"/>
      <c r="EO426" s="425"/>
      <c r="EP426" s="333"/>
    </row>
    <row r="427" spans="80:146" x14ac:dyDescent="0.25">
      <c r="CB427" s="350"/>
      <c r="CC427" s="350"/>
      <c r="CD427" s="350"/>
      <c r="CE427" s="350"/>
      <c r="CF427" s="350"/>
      <c r="CG427" s="350"/>
      <c r="CR427" s="445"/>
      <c r="CS427" s="445"/>
      <c r="CT427" s="522" t="str">
        <f t="shared" si="372"/>
        <v/>
      </c>
      <c r="CU427" s="371" t="str">
        <f ca="1">IF(OR(CT427="",DA427="",CT427=DA427,ISNA(VLOOKUP(CONCATENATE(CT427,DA427),games.a,2,FALSE))),"",CONCATENATE(CT427,DA427))</f>
        <v/>
      </c>
      <c r="CV427" s="371" t="str">
        <f ca="1">IF(CU427="","",CONCATENATE(VLOOKUP(CU427,games.a,9,FALSE),VLOOKUP(CU427,games.a,12,FALSE)))</f>
        <v/>
      </c>
      <c r="CW427" s="369" t="str">
        <f ca="1">IF(CU427="","",VLOOKUP(CU427,games.a,10,FALSE))</f>
        <v/>
      </c>
      <c r="CX427" s="369" t="str">
        <f ca="1">IF(CU427="","",VLOOKUP(CU427,games.a,13,FALSE))</f>
        <v/>
      </c>
      <c r="CY427" s="423" t="str">
        <f ca="1">IF(CU427="","",VLOOKUP(CU427,games.a,6,FALSE))</f>
        <v/>
      </c>
      <c r="CZ427" s="409" t="str">
        <f ca="1">IF(CU427="","",VLOOKUP(CU427,games.a,7,FALSE))</f>
        <v/>
      </c>
      <c r="DA427" s="523" t="str">
        <f t="shared" ca="1" si="373"/>
        <v/>
      </c>
      <c r="DB427" s="302"/>
      <c r="DC427" s="364"/>
      <c r="DD427" s="445"/>
      <c r="DF427" s="424"/>
      <c r="DW427" s="365"/>
      <c r="DX427" s="424"/>
      <c r="DZ427" s="424"/>
      <c r="EA427" s="424"/>
      <c r="EB427" s="424"/>
      <c r="EC427" s="404" t="str">
        <f t="shared" ca="1" si="374"/>
        <v/>
      </c>
      <c r="ED427" s="371" t="str">
        <f ca="1">IF(OR(EC427="",EJ427="",EC427=EJ427,ISNA(VLOOKUP(CONCATENATE(EC427,EJ427),games.r,2,FALSE))),"",CONCATENATE(EC427,EJ427))</f>
        <v/>
      </c>
      <c r="EE427" s="405" t="str">
        <f ca="1">IF(OR(ED427="",EJ417&gt;2),"",CONCATENATE(VLOOKUP(ED427,games.r,9,FALSE),VLOOKUP(ED427,games.r,12,FALSE)))</f>
        <v/>
      </c>
      <c r="EF427" s="413"/>
      <c r="EG427" s="414"/>
      <c r="EH427" s="408" t="str">
        <f ca="1">IF(ED427="","",VLOOKUP(ED427,games.r,6,FALSE))</f>
        <v/>
      </c>
      <c r="EI427" s="409" t="str">
        <f ca="1">IF(ED427="","",VLOOKUP(ED427,games.r,7,FALSE))</f>
        <v/>
      </c>
      <c r="EJ427" s="415" t="str">
        <f ca="1">EJ426</f>
        <v/>
      </c>
      <c r="EK427" s="416"/>
      <c r="EL427" s="417"/>
      <c r="EM427" s="424"/>
      <c r="EN427" s="424"/>
      <c r="EO427" s="425"/>
      <c r="EP427" s="333"/>
    </row>
    <row r="428" spans="80:146" x14ac:dyDescent="0.25">
      <c r="CB428" s="350"/>
      <c r="CC428" s="350"/>
      <c r="CD428" s="350"/>
      <c r="CE428" s="350"/>
      <c r="CF428" s="350"/>
      <c r="CG428" s="350"/>
      <c r="CR428" s="445"/>
      <c r="CS428" s="445"/>
      <c r="CT428" s="522" t="str">
        <f t="shared" si="372"/>
        <v/>
      </c>
      <c r="CU428" s="371" t="str">
        <f ca="1">IF(OR(CT428="",DA428="",CT428=DA428,ISNA(VLOOKUP(CONCATENATE(CT428,DA428),games.a,2,FALSE))),"",CONCATENATE(CT428,DA428))</f>
        <v/>
      </c>
      <c r="CV428" s="371" t="str">
        <f ca="1">IF(CU428="","",CONCATENATE(VLOOKUP(CU428,games.a,9,FALSE),VLOOKUP(CU428,games.a,12,FALSE)))</f>
        <v/>
      </c>
      <c r="CW428" s="369" t="str">
        <f ca="1">IF(CU428="","",VLOOKUP(CU428,games.a,10,FALSE))</f>
        <v/>
      </c>
      <c r="CX428" s="369" t="str">
        <f ca="1">IF(CU428="","",VLOOKUP(CU428,games.a,13,FALSE))</f>
        <v/>
      </c>
      <c r="CY428" s="423" t="str">
        <f ca="1">IF(CU428="","",VLOOKUP(CU428,games.a,6,FALSE))</f>
        <v/>
      </c>
      <c r="CZ428" s="409" t="str">
        <f ca="1">IF(CU428="","",VLOOKUP(CU428,games.a,7,FALSE))</f>
        <v/>
      </c>
      <c r="DA428" s="523" t="str">
        <f t="shared" ca="1" si="373"/>
        <v/>
      </c>
      <c r="DB428" s="302"/>
      <c r="DC428" s="364"/>
      <c r="DD428" s="445"/>
      <c r="DF428" s="424"/>
      <c r="DW428" s="365"/>
      <c r="DX428" s="424"/>
      <c r="DY428" s="424"/>
      <c r="DZ428" s="424"/>
      <c r="EA428" s="424"/>
      <c r="EB428" s="424"/>
      <c r="EC428" s="404" t="str">
        <f t="shared" si="374"/>
        <v/>
      </c>
      <c r="ED428" s="360" t="str">
        <f ca="1">IF(OR(EC428="",EJ428="",EC428=EJ428,ISNA(VLOOKUP(CONCATENATE(EC428,EJ428),games.a,2,FALSE))),"",CONCATENATE(EC428,EJ428))</f>
        <v/>
      </c>
      <c r="EE428" s="524" t="str">
        <f ca="1">IF(OR(ED428="",EJ417&gt;2),"",CONCATENATE(VLOOKUP(ED428,games.a,9,FALSE),VLOOKUP(ED428,games.a,12,FALSE)))</f>
        <v/>
      </c>
      <c r="EF428" s="413"/>
      <c r="EG428" s="414"/>
      <c r="EH428" s="525" t="str">
        <f ca="1">IF(ED428="","",VLOOKUP(ED428,games.a,6,FALSE))</f>
        <v/>
      </c>
      <c r="EI428" s="362" t="str">
        <f ca="1">IF(ED428="","",VLOOKUP(ED428,games.a,7,FALSE))</f>
        <v/>
      </c>
      <c r="EJ428" s="526" t="str">
        <f ca="1">EJ427</f>
        <v/>
      </c>
      <c r="EK428" s="527"/>
      <c r="EL428" s="528"/>
      <c r="EM428" s="424"/>
      <c r="EN428" s="424"/>
      <c r="EO428" s="425"/>
      <c r="EP428" s="333"/>
    </row>
    <row r="429" spans="80:146" x14ac:dyDescent="0.25">
      <c r="CB429" s="350"/>
      <c r="CC429" s="350"/>
      <c r="CD429" s="350"/>
      <c r="CE429" s="350"/>
      <c r="CF429" s="350"/>
      <c r="CG429" s="350"/>
      <c r="CR429" s="445"/>
      <c r="CS429" s="445"/>
      <c r="CT429" s="522" t="str">
        <f t="shared" si="372"/>
        <v/>
      </c>
      <c r="CU429" s="371" t="str">
        <f ca="1">IF(OR(CT429="",DA429="",CT429=DA429,ISNA(VLOOKUP(CONCATENATE(CT429,DA429),games.a,2,FALSE))),"",CONCATENATE(CT429,DA429))</f>
        <v/>
      </c>
      <c r="CV429" s="371" t="str">
        <f ca="1">IF(CU429="","",CONCATENATE(VLOOKUP(CU429,games.a,9,FALSE),VLOOKUP(CU429,games.a,12,FALSE)))</f>
        <v/>
      </c>
      <c r="CW429" s="369" t="str">
        <f ca="1">IF(CU429="","",VLOOKUP(CU429,games.a,10,FALSE))</f>
        <v/>
      </c>
      <c r="CX429" s="369" t="str">
        <f ca="1">IF(CU429="","",VLOOKUP(CU429,games.a,13,FALSE))</f>
        <v/>
      </c>
      <c r="CY429" s="423" t="str">
        <f ca="1">IF(CU429="","",VLOOKUP(CU429,games.a,6,FALSE))</f>
        <v/>
      </c>
      <c r="CZ429" s="409" t="str">
        <f ca="1">IF(CU429="","",VLOOKUP(CU429,games.a,7,FALSE))</f>
        <v/>
      </c>
      <c r="DA429" s="523" t="str">
        <f t="shared" ca="1" si="373"/>
        <v/>
      </c>
      <c r="DB429" s="302"/>
      <c r="DC429" s="364"/>
      <c r="DD429" s="445"/>
      <c r="DF429" s="424"/>
      <c r="DW429" s="365"/>
      <c r="DX429" s="424"/>
      <c r="DY429" s="424"/>
      <c r="DZ429" s="424"/>
      <c r="EA429" s="424"/>
      <c r="EB429" s="424"/>
      <c r="EC429" s="404" t="str">
        <f t="shared" si="374"/>
        <v/>
      </c>
      <c r="ED429" s="360" t="str">
        <f ca="1">IF(OR(EC429="",EJ429="",EC429=EJ429,ISNA(VLOOKUP(CONCATENATE(EC429,EJ429),games.a,2,FALSE))),"",CONCATENATE(EC429,EJ429))</f>
        <v/>
      </c>
      <c r="EE429" s="524" t="str">
        <f ca="1">IF(OR(ED429="",EJ417&gt;2),"",CONCATENATE(VLOOKUP(ED429,games.a,9,FALSE),VLOOKUP(ED429,games.a,12,FALSE)))</f>
        <v/>
      </c>
      <c r="EF429" s="413"/>
      <c r="EG429" s="414"/>
      <c r="EH429" s="525" t="str">
        <f ca="1">IF(ED429="","",VLOOKUP(ED429,games.a,6,FALSE))</f>
        <v/>
      </c>
      <c r="EI429" s="362" t="str">
        <f ca="1">IF(ED429="","",VLOOKUP(ED429,games.a,7,FALSE))</f>
        <v/>
      </c>
      <c r="EJ429" s="526" t="str">
        <f ca="1">EJ428</f>
        <v/>
      </c>
      <c r="EK429" s="527"/>
      <c r="EL429" s="528"/>
      <c r="EM429" s="424"/>
      <c r="EN429" s="424"/>
      <c r="EO429" s="425"/>
      <c r="EP429" s="333"/>
    </row>
    <row r="430" spans="80:146" x14ac:dyDescent="0.25">
      <c r="CB430" s="350"/>
      <c r="CC430" s="350"/>
      <c r="CD430" s="350"/>
      <c r="CE430" s="350"/>
      <c r="CF430" s="350"/>
      <c r="CG430" s="350"/>
      <c r="CR430" s="445"/>
      <c r="CS430" s="445"/>
      <c r="CT430" s="522" t="str">
        <f t="shared" si="372"/>
        <v/>
      </c>
      <c r="CU430" s="371" t="str">
        <f ca="1">IF(OR(CT430="",DA430="",CT430=DA430,ISNA(VLOOKUP(CONCATENATE(CT430,DA430),games.a,2,FALSE))),"",CONCATENATE(CT430,DA430))</f>
        <v/>
      </c>
      <c r="CV430" s="371" t="str">
        <f ca="1">IF(CU430="","",CONCATENATE(VLOOKUP(CU430,games.a,9,FALSE),VLOOKUP(CU430,games.a,12,FALSE)))</f>
        <v/>
      </c>
      <c r="CW430" s="369" t="str">
        <f ca="1">IF(CU430="","",VLOOKUP(CU430,games.a,10,FALSE))</f>
        <v/>
      </c>
      <c r="CX430" s="369" t="str">
        <f ca="1">IF(CU430="","",VLOOKUP(CU430,games.a,13,FALSE))</f>
        <v/>
      </c>
      <c r="CY430" s="423" t="str">
        <f ca="1">IF(CU430="","",VLOOKUP(CU430,games.a,6,FALSE))</f>
        <v/>
      </c>
      <c r="CZ430" s="409" t="str">
        <f ca="1">IF(CU430="","",VLOOKUP(CU430,games.a,7,FALSE))</f>
        <v/>
      </c>
      <c r="DA430" s="523" t="str">
        <f t="shared" ca="1" si="373"/>
        <v/>
      </c>
      <c r="DB430" s="302"/>
      <c r="DC430" s="364"/>
      <c r="DD430" s="445"/>
      <c r="DF430" s="424"/>
      <c r="DW430" s="365"/>
      <c r="DX430" s="424"/>
      <c r="DY430" s="424"/>
      <c r="DZ430" s="424"/>
      <c r="EC430" s="404" t="str">
        <f t="shared" si="374"/>
        <v/>
      </c>
      <c r="ED430" s="360" t="str">
        <f ca="1">IF(OR(EC430="",EJ430="",EC430=EJ430,ISNA(VLOOKUP(CONCATENATE(EC430,EJ430),games.a,2,FALSE))),"",CONCATENATE(EC430,EJ430))</f>
        <v/>
      </c>
      <c r="EE430" s="524" t="str">
        <f ca="1">IF(OR(ED430="",EJ417&gt;2),"",CONCATENATE(VLOOKUP(ED430,games.a,9,FALSE),VLOOKUP(ED430,games.a,12,FALSE)))</f>
        <v/>
      </c>
      <c r="EF430" s="413"/>
      <c r="EG430" s="414"/>
      <c r="EH430" s="525" t="str">
        <f ca="1">IF(ED430="","",VLOOKUP(ED430,games.a,6,FALSE))</f>
        <v/>
      </c>
      <c r="EI430" s="362" t="str">
        <f ca="1">IF(ED430="","",VLOOKUP(ED430,games.a,7,FALSE))</f>
        <v/>
      </c>
      <c r="EJ430" s="526" t="str">
        <f ca="1">EJ429</f>
        <v/>
      </c>
      <c r="EK430" s="527"/>
      <c r="EL430" s="528"/>
      <c r="EO430" s="425"/>
      <c r="EP430" s="333"/>
    </row>
    <row r="431" spans="80:146" x14ac:dyDescent="0.25">
      <c r="CB431" s="350"/>
      <c r="CC431" s="350"/>
      <c r="CD431" s="350"/>
      <c r="CE431" s="350"/>
      <c r="CF431" s="350"/>
      <c r="CG431" s="350"/>
      <c r="CR431" s="445"/>
      <c r="CS431" s="445"/>
      <c r="CT431" s="522" t="str">
        <f t="shared" si="372"/>
        <v/>
      </c>
      <c r="CU431" s="371" t="str">
        <f ca="1">IF(OR(CT431="",DA431="",CT431=DA431,ISNA(VLOOKUP(CONCATENATE(CT431,DA431),games.a,2,FALSE))),"",CONCATENATE(CT431,DA431))</f>
        <v/>
      </c>
      <c r="CV431" s="371" t="str">
        <f ca="1">IF(CU431="","",CONCATENATE(VLOOKUP(CU431,games.a,9,FALSE),VLOOKUP(CU431,games.a,12,FALSE)))</f>
        <v/>
      </c>
      <c r="CW431" s="369" t="str">
        <f ca="1">IF(CU431="","",VLOOKUP(CU431,games.a,10,FALSE))</f>
        <v/>
      </c>
      <c r="CX431" s="369" t="str">
        <f ca="1">IF(CU431="","",VLOOKUP(CU431,games.a,13,FALSE))</f>
        <v/>
      </c>
      <c r="CY431" s="423" t="str">
        <f ca="1">IF(CU431="","",VLOOKUP(CU431,games.a,6,FALSE))</f>
        <v/>
      </c>
      <c r="CZ431" s="409" t="str">
        <f ca="1">IF(CU431="","",VLOOKUP(CU431,games.a,7,FALSE))</f>
        <v/>
      </c>
      <c r="DA431" s="523" t="str">
        <f t="shared" ca="1" si="373"/>
        <v/>
      </c>
      <c r="DB431" s="302"/>
      <c r="DC431" s="364"/>
      <c r="DD431" s="445"/>
      <c r="DF431" s="424"/>
      <c r="DW431" s="424"/>
      <c r="DX431" s="424"/>
      <c r="DY431" s="424"/>
      <c r="DZ431" s="424"/>
      <c r="EA431" s="424"/>
      <c r="EB431" s="424"/>
      <c r="EC431" s="398"/>
      <c r="ED431" s="329" t="s">
        <v>157</v>
      </c>
      <c r="EE431" s="329" t="s">
        <v>158</v>
      </c>
      <c r="EF431" s="399"/>
      <c r="EG431" s="400"/>
      <c r="EH431" s="401" t="s">
        <v>160</v>
      </c>
      <c r="EI431" s="402" t="s">
        <v>135</v>
      </c>
      <c r="EJ431" s="398"/>
      <c r="EK431" s="365"/>
      <c r="EL431" s="365"/>
      <c r="EO431" s="425"/>
      <c r="EP431" s="333"/>
    </row>
    <row r="432" spans="80:146" x14ac:dyDescent="0.25">
      <c r="CB432" s="350"/>
      <c r="CC432" s="350"/>
      <c r="CD432" s="350"/>
      <c r="CE432" s="350"/>
      <c r="CF432" s="350"/>
      <c r="CG432" s="445"/>
      <c r="CR432" s="445"/>
      <c r="CS432" s="445"/>
      <c r="CT432" s="301"/>
      <c r="CU432" s="458" t="s">
        <v>157</v>
      </c>
      <c r="CV432" s="458" t="s">
        <v>158</v>
      </c>
      <c r="CW432" s="459" t="s">
        <v>159</v>
      </c>
      <c r="CX432" s="459"/>
      <c r="CY432" s="460" t="s">
        <v>160</v>
      </c>
      <c r="CZ432" s="459" t="s">
        <v>135</v>
      </c>
      <c r="DA432" s="302"/>
      <c r="DB432" s="302"/>
      <c r="DC432" s="364"/>
      <c r="DD432" s="445"/>
      <c r="DF432" s="424"/>
      <c r="DW432" s="424"/>
      <c r="DX432" s="424"/>
      <c r="DY432" s="424"/>
      <c r="DZ432" s="424"/>
      <c r="EA432" s="424"/>
      <c r="EB432" s="424"/>
      <c r="EC432" s="404" t="str">
        <f t="shared" ref="EC432:EC437" ca="1" si="375">EC425</f>
        <v/>
      </c>
      <c r="ED432" s="371" t="str">
        <f ca="1">IF(OR(EC432="",EJ432="",EC432=EJ432,ISNA(VLOOKUP(CONCATENATE(EC432,EJ432),games.r,2,FALSE))),"",CONCATENATE(EC432,EJ432))</f>
        <v/>
      </c>
      <c r="EE432" s="405" t="str">
        <f ca="1">IF(OR(ED432="",EJ417&gt;2),"",CONCATENATE(VLOOKUP(ED432,games.r,9,FALSE),VLOOKUP(ED432,games.r,12,FALSE)))</f>
        <v/>
      </c>
      <c r="EF432" s="406"/>
      <c r="EG432" s="407"/>
      <c r="EH432" s="408" t="str">
        <f ca="1">IF(ED432="","",VLOOKUP(ED432,games.r,6,FALSE))</f>
        <v/>
      </c>
      <c r="EI432" s="409" t="str">
        <f ca="1">IF(ED432="","",VLOOKUP(ED432,games.r,7,FALSE))</f>
        <v/>
      </c>
      <c r="EJ432" s="410" t="str">
        <f ca="1">EC420</f>
        <v/>
      </c>
      <c r="EK432" s="411"/>
      <c r="EL432" s="412"/>
      <c r="EO432" s="425"/>
      <c r="EP432" s="333"/>
    </row>
    <row r="433" spans="80:146" x14ac:dyDescent="0.25">
      <c r="CB433" s="350"/>
      <c r="CC433" s="350"/>
      <c r="CD433" s="350"/>
      <c r="CE433" s="350"/>
      <c r="CF433" s="350"/>
      <c r="CG433" s="445"/>
      <c r="CR433" s="445"/>
      <c r="CS433" s="445"/>
      <c r="CT433" s="395" t="str">
        <f t="shared" ref="CT433:CT442" ca="1" si="376">CT422</f>
        <v/>
      </c>
      <c r="CU433" s="465" t="str">
        <f ca="1">IF(OR(CT433="",DA433="",CT433=DA433,COUNTIF(games.rv,CT433&amp;DA433)=0),"",CONCATENATE(CT433,DA433))</f>
        <v/>
      </c>
      <c r="CV433" s="360" t="str">
        <f ca="1">IF(CU433="","",CONCATENATE(VLOOKUP(CU433,games.r,9,FALSE),VLOOKUP(CU433,games.r,12,FALSE)))</f>
        <v/>
      </c>
      <c r="CW433" s="354" t="str">
        <f ca="1">IF(CU433="","",VLOOKUP(CU433,games.r,10,FALSE))</f>
        <v/>
      </c>
      <c r="CX433" s="354" t="str">
        <f ca="1">IF(CU433="","",VLOOKUP(CU433,games.r,13,FALSE))</f>
        <v/>
      </c>
      <c r="CY433" s="361" t="str">
        <f ca="1">IF(CU433="","",VLOOKUP(CU433,games.r,6,FALSE))</f>
        <v/>
      </c>
      <c r="CZ433" s="362" t="str">
        <f ca="1">IF(CU433="","",VLOOKUP(CU433,games.r,7,FALSE))</f>
        <v/>
      </c>
      <c r="DA433" s="466" t="str">
        <f ca="1">CT413</f>
        <v/>
      </c>
      <c r="DB433" s="302"/>
      <c r="DC433" s="364"/>
      <c r="DD433" s="445"/>
      <c r="DF433" s="424"/>
      <c r="DW433" s="424"/>
      <c r="DX433" s="424"/>
      <c r="DY433" s="424"/>
      <c r="DZ433" s="424"/>
      <c r="EA433" s="424"/>
      <c r="EB433" s="424"/>
      <c r="EC433" s="404" t="str">
        <f t="shared" ca="1" si="375"/>
        <v/>
      </c>
      <c r="ED433" s="371" t="str">
        <f ca="1">IF(OR(EC433="",EJ433="",EC433=EJ433,ISNA(VLOOKUP(CONCATENATE(EC433,EJ433),games.r,2,FALSE))),"",CONCATENATE(EC433,EJ433))</f>
        <v/>
      </c>
      <c r="EE433" s="405" t="str">
        <f ca="1">IF(OR(ED433="",EJ417&gt;2),"",CONCATENATE(VLOOKUP(ED433,games.r,9,FALSE),VLOOKUP(ED433,games.r,12,FALSE)))</f>
        <v/>
      </c>
      <c r="EF433" s="413"/>
      <c r="EG433" s="414"/>
      <c r="EH433" s="408" t="str">
        <f ca="1">IF(ED433="","",VLOOKUP(ED433,games.r,6,FALSE))</f>
        <v/>
      </c>
      <c r="EI433" s="409" t="str">
        <f ca="1">IF(ED433="","",VLOOKUP(ED433,games.r,7,FALSE))</f>
        <v/>
      </c>
      <c r="EJ433" s="415" t="str">
        <f ca="1">EJ432</f>
        <v/>
      </c>
      <c r="EK433" s="416"/>
      <c r="EL433" s="417"/>
      <c r="EO433" s="425"/>
      <c r="EP433" s="333"/>
    </row>
    <row r="434" spans="80:146" x14ac:dyDescent="0.25">
      <c r="CB434" s="445"/>
      <c r="CC434" s="350"/>
      <c r="CD434" s="350"/>
      <c r="CE434" s="350"/>
      <c r="CF434" s="350"/>
      <c r="CG434" s="445"/>
      <c r="CR434" s="445"/>
      <c r="CS434" s="445"/>
      <c r="CT434" s="395" t="str">
        <f t="shared" ca="1" si="376"/>
        <v/>
      </c>
      <c r="CU434" s="465" t="str">
        <f ca="1">IF(OR(CT434="",DA434="",CT434=DA434,COUNTIF(games.rv,CT434&amp;DA434)=0),"",CONCATENATE(CT434,DA434))</f>
        <v/>
      </c>
      <c r="CV434" s="360" t="str">
        <f ca="1">IF(CU434="","",CONCATENATE(VLOOKUP(CU434,games.r,9,FALSE),VLOOKUP(CU434,games.r,12,FALSE)))</f>
        <v/>
      </c>
      <c r="CW434" s="354" t="str">
        <f ca="1">IF(CU434="","",VLOOKUP(CU434,games.r,10,FALSE))</f>
        <v/>
      </c>
      <c r="CX434" s="354" t="str">
        <f ca="1">IF(CU434="","",VLOOKUP(CU434,games.r,13,FALSE))</f>
        <v/>
      </c>
      <c r="CY434" s="361" t="str">
        <f ca="1">IF(CU434="","",VLOOKUP(CU434,games.r,6,FALSE))</f>
        <v/>
      </c>
      <c r="CZ434" s="362" t="str">
        <f ca="1">IF(CU434="","",VLOOKUP(CU434,games.r,7,FALSE))</f>
        <v/>
      </c>
      <c r="DA434" s="379" t="str">
        <f t="shared" ref="DA434:DA442" ca="1" si="377">DA433</f>
        <v/>
      </c>
      <c r="DB434" s="302"/>
      <c r="DC434" s="364"/>
      <c r="DD434" s="445"/>
      <c r="DF434" s="424"/>
      <c r="DW434" s="424"/>
      <c r="DX434" s="424"/>
      <c r="DY434" s="424"/>
      <c r="DZ434" s="424"/>
      <c r="EA434" s="424"/>
      <c r="EB434" s="424"/>
      <c r="EC434" s="404" t="str">
        <f t="shared" ca="1" si="375"/>
        <v/>
      </c>
      <c r="ED434" s="371" t="str">
        <f ca="1">IF(OR(EC434="",EJ434="",EC434=EJ434,ISNA(VLOOKUP(CONCATENATE(EC434,EJ434),games.r,2,FALSE))),"",CONCATENATE(EC434,EJ434))</f>
        <v/>
      </c>
      <c r="EE434" s="405" t="str">
        <f ca="1">IF(OR(ED434="",EJ417&gt;2),"",CONCATENATE(VLOOKUP(ED434,games.r,9,FALSE),VLOOKUP(ED434,games.r,12,FALSE)))</f>
        <v/>
      </c>
      <c r="EF434" s="413"/>
      <c r="EG434" s="414"/>
      <c r="EH434" s="408" t="str">
        <f ca="1">IF(ED434="","",VLOOKUP(ED434,games.r,6,FALSE))</f>
        <v/>
      </c>
      <c r="EI434" s="409" t="str">
        <f ca="1">IF(ED434="","",VLOOKUP(ED434,games.r,7,FALSE))</f>
        <v/>
      </c>
      <c r="EJ434" s="415" t="str">
        <f ca="1">EJ433</f>
        <v/>
      </c>
      <c r="EK434" s="416"/>
      <c r="EL434" s="417"/>
      <c r="EO434" s="425"/>
      <c r="EP434" s="333"/>
    </row>
    <row r="435" spans="80:146" x14ac:dyDescent="0.25">
      <c r="CB435" s="445"/>
      <c r="CC435" s="350"/>
      <c r="CD435" s="350"/>
      <c r="CE435" s="350"/>
      <c r="CF435" s="350"/>
      <c r="CG435" s="445"/>
      <c r="CR435" s="445"/>
      <c r="CS435" s="445"/>
      <c r="CT435" s="395" t="str">
        <f t="shared" ca="1" si="376"/>
        <v/>
      </c>
      <c r="CU435" s="465" t="str">
        <f ca="1">IF(OR(CT435="",DA435="",CT435=DA435,COUNTIF(games.rv,CT435&amp;DA435)=0),"",CONCATENATE(CT435,DA435))</f>
        <v/>
      </c>
      <c r="CV435" s="360" t="str">
        <f ca="1">IF(CU435="","",CONCATENATE(VLOOKUP(CU435,games.r,9,FALSE),VLOOKUP(CU435,games.r,12,FALSE)))</f>
        <v/>
      </c>
      <c r="CW435" s="354" t="str">
        <f ca="1">IF(CU435="","",VLOOKUP(CU435,games.r,10,FALSE))</f>
        <v/>
      </c>
      <c r="CX435" s="354" t="str">
        <f ca="1">IF(CU435="","",VLOOKUP(CU435,games.r,13,FALSE))</f>
        <v/>
      </c>
      <c r="CY435" s="361" t="str">
        <f ca="1">IF(CU435="","",VLOOKUP(CU435,games.r,6,FALSE))</f>
        <v/>
      </c>
      <c r="CZ435" s="362" t="str">
        <f ca="1">IF(CU435="","",VLOOKUP(CU435,games.r,7,FALSE))</f>
        <v/>
      </c>
      <c r="DA435" s="379" t="str">
        <f t="shared" ca="1" si="377"/>
        <v/>
      </c>
      <c r="DB435" s="302"/>
      <c r="DC435" s="364"/>
      <c r="DD435" s="445"/>
      <c r="DF435" s="424"/>
      <c r="DW435" s="424"/>
      <c r="DX435" s="424"/>
      <c r="DY435" s="424"/>
      <c r="DZ435" s="424"/>
      <c r="EA435" s="424"/>
      <c r="EB435" s="424"/>
      <c r="EC435" s="404" t="str">
        <f t="shared" si="375"/>
        <v/>
      </c>
      <c r="ED435" s="360" t="str">
        <f ca="1">IF(OR(EC435="",EJ435="",EC435=EJ435,ISNA(VLOOKUP(CONCATENATE(EC435,EJ435),games.a,2,FALSE))),"",CONCATENATE(EC435,EJ435))</f>
        <v/>
      </c>
      <c r="EE435" s="524" t="str">
        <f ca="1">IF(OR(ED435="",EJ417&gt;2),"",CONCATENATE(VLOOKUP(ED435,games.a,9,FALSE),VLOOKUP(ED435,games.a,12,FALSE)))</f>
        <v/>
      </c>
      <c r="EF435" s="413"/>
      <c r="EG435" s="414"/>
      <c r="EH435" s="525" t="str">
        <f ca="1">IF(ED435="","",VLOOKUP(ED435,games.a,6,FALSE))</f>
        <v/>
      </c>
      <c r="EI435" s="362" t="str">
        <f ca="1">IF(ED435="","",VLOOKUP(ED435,games.a,7,FALSE))</f>
        <v/>
      </c>
      <c r="EJ435" s="526" t="str">
        <f ca="1">EJ434</f>
        <v/>
      </c>
      <c r="EK435" s="527"/>
      <c r="EL435" s="528"/>
      <c r="EO435" s="425"/>
      <c r="EP435" s="333"/>
    </row>
    <row r="436" spans="80:146" x14ac:dyDescent="0.25">
      <c r="CB436" s="445"/>
      <c r="CC436" s="350"/>
      <c r="CD436" s="350"/>
      <c r="CE436" s="350"/>
      <c r="CF436" s="350"/>
      <c r="CG436" s="445"/>
      <c r="CR436" s="445"/>
      <c r="CS436" s="445"/>
      <c r="CT436" s="395" t="str">
        <f t="shared" ca="1" si="376"/>
        <v/>
      </c>
      <c r="CU436" s="465" t="str">
        <f ca="1">IF(OR(CT436="",DA436="",CT436=DA436,COUNTIF(games.rv,CT436&amp;DA436)=0),"",CONCATENATE(CT436,DA436))</f>
        <v/>
      </c>
      <c r="CV436" s="360" t="str">
        <f ca="1">IF(CU436="","",CONCATENATE(VLOOKUP(CU436,games.r,9,FALSE),VLOOKUP(CU436,games.r,12,FALSE)))</f>
        <v/>
      </c>
      <c r="CW436" s="354" t="str">
        <f ca="1">IF(CU436="","",VLOOKUP(CU436,games.r,10,FALSE))</f>
        <v/>
      </c>
      <c r="CX436" s="354" t="str">
        <f ca="1">IF(CU436="","",VLOOKUP(CU436,games.r,13,FALSE))</f>
        <v/>
      </c>
      <c r="CY436" s="361" t="str">
        <f ca="1">IF(CU436="","",VLOOKUP(CU436,games.r,6,FALSE))</f>
        <v/>
      </c>
      <c r="CZ436" s="362" t="str">
        <f ca="1">IF(CU436="","",VLOOKUP(CU436,games.r,7,FALSE))</f>
        <v/>
      </c>
      <c r="DA436" s="379" t="str">
        <f t="shared" ca="1" si="377"/>
        <v/>
      </c>
      <c r="DB436" s="302"/>
      <c r="DC436" s="364"/>
      <c r="DD436" s="445"/>
      <c r="DF436" s="424"/>
      <c r="DW436" s="424"/>
      <c r="DX436" s="424"/>
      <c r="DY436" s="424"/>
      <c r="DZ436" s="424"/>
      <c r="EA436" s="424"/>
      <c r="EB436" s="424"/>
      <c r="EC436" s="404" t="str">
        <f t="shared" si="375"/>
        <v/>
      </c>
      <c r="ED436" s="360" t="str">
        <f ca="1">IF(OR(EC436="",EJ436="",EC436=EJ436,ISNA(VLOOKUP(CONCATENATE(EC436,EJ436),games.a,2,FALSE))),"",CONCATENATE(EC436,EJ436))</f>
        <v/>
      </c>
      <c r="EE436" s="524" t="str">
        <f ca="1">IF(OR(ED436="",EJ417&gt;2),"",CONCATENATE(VLOOKUP(ED436,games.a,9,FALSE),VLOOKUP(ED436,games.a,12,FALSE)))</f>
        <v/>
      </c>
      <c r="EF436" s="413"/>
      <c r="EG436" s="414"/>
      <c r="EH436" s="525" t="str">
        <f ca="1">IF(ED436="","",VLOOKUP(ED436,games.a,6,FALSE))</f>
        <v/>
      </c>
      <c r="EI436" s="362" t="str">
        <f ca="1">IF(ED436="","",VLOOKUP(ED436,games.a,7,FALSE))</f>
        <v/>
      </c>
      <c r="EJ436" s="526" t="str">
        <f ca="1">EJ435</f>
        <v/>
      </c>
      <c r="EK436" s="527"/>
      <c r="EL436" s="528"/>
      <c r="EO436" s="425"/>
      <c r="EP436" s="333"/>
    </row>
    <row r="437" spans="80:146" x14ac:dyDescent="0.25">
      <c r="CB437" s="445"/>
      <c r="CC437" s="350"/>
      <c r="CD437" s="350"/>
      <c r="CE437" s="350"/>
      <c r="CF437" s="350"/>
      <c r="CG437" s="445"/>
      <c r="CR437" s="445"/>
      <c r="CS437" s="445"/>
      <c r="CT437" s="395" t="str">
        <f t="shared" ca="1" si="376"/>
        <v/>
      </c>
      <c r="CU437" s="465" t="str">
        <f ca="1">IF(OR(CT437="",DA437="",CT437=DA437,COUNTIF(games.rv,CT437&amp;DA437)=0),"",CONCATENATE(CT437,DA437))</f>
        <v/>
      </c>
      <c r="CV437" s="360" t="str">
        <f ca="1">IF(CU437="","",CONCATENATE(VLOOKUP(CU437,games.r,9,FALSE),VLOOKUP(CU437,games.r,12,FALSE)))</f>
        <v/>
      </c>
      <c r="CW437" s="354" t="str">
        <f ca="1">IF(CU437="","",VLOOKUP(CU437,games.r,10,FALSE))</f>
        <v/>
      </c>
      <c r="CX437" s="354" t="str">
        <f ca="1">IF(CU437="","",VLOOKUP(CU437,games.r,13,FALSE))</f>
        <v/>
      </c>
      <c r="CY437" s="361" t="str">
        <f ca="1">IF(CU437="","",VLOOKUP(CU437,games.r,6,FALSE))</f>
        <v/>
      </c>
      <c r="CZ437" s="362" t="str">
        <f ca="1">IF(CU437="","",VLOOKUP(CU437,games.r,7,FALSE))</f>
        <v/>
      </c>
      <c r="DA437" s="379" t="str">
        <f t="shared" ca="1" si="377"/>
        <v/>
      </c>
      <c r="DB437" s="302"/>
      <c r="DC437" s="364"/>
      <c r="DD437" s="445"/>
      <c r="DF437" s="424"/>
      <c r="DW437" s="424"/>
      <c r="DX437" s="424"/>
      <c r="DY437" s="424"/>
      <c r="DZ437" s="424"/>
      <c r="EA437" s="424"/>
      <c r="EC437" s="404" t="str">
        <f t="shared" si="375"/>
        <v/>
      </c>
      <c r="ED437" s="360" t="str">
        <f ca="1">IF(OR(EC437="",EJ437="",EC437=EJ437,ISNA(VLOOKUP(CONCATENATE(EC437,EJ437),games.a,2,FALSE))),"",CONCATENATE(EC437,EJ437))</f>
        <v/>
      </c>
      <c r="EE437" s="524" t="str">
        <f ca="1">IF(OR(ED437="",EJ417&gt;2),"",CONCATENATE(VLOOKUP(ED437,games.a,9,FALSE),VLOOKUP(ED437,games.a,12,FALSE)))</f>
        <v/>
      </c>
      <c r="EF437" s="413"/>
      <c r="EG437" s="414"/>
      <c r="EH437" s="525" t="str">
        <f ca="1">IF(ED437="","",VLOOKUP(ED437,games.a,6,FALSE))</f>
        <v/>
      </c>
      <c r="EI437" s="362" t="str">
        <f ca="1">IF(ED437="","",VLOOKUP(ED437,games.a,7,FALSE))</f>
        <v/>
      </c>
      <c r="EJ437" s="526" t="str">
        <f ca="1">EJ436</f>
        <v/>
      </c>
      <c r="EK437" s="527"/>
      <c r="EL437" s="528"/>
      <c r="EO437" s="425"/>
      <c r="EP437" s="333"/>
    </row>
    <row r="438" spans="80:146" x14ac:dyDescent="0.25">
      <c r="CB438" s="445"/>
      <c r="CC438" s="350"/>
      <c r="CD438" s="350"/>
      <c r="CE438" s="350"/>
      <c r="CF438" s="350"/>
      <c r="CG438" s="445"/>
      <c r="CR438" s="445"/>
      <c r="CS438" s="445"/>
      <c r="CT438" s="522" t="str">
        <f t="shared" si="376"/>
        <v/>
      </c>
      <c r="CU438" s="371" t="str">
        <f ca="1">IF(OR(CT438="",DA438="",CT438=DA438,ISNA(VLOOKUP(CONCATENATE(CT438,DA438),games.a,2,FALSE))),"",CONCATENATE(CT438,DA438))</f>
        <v/>
      </c>
      <c r="CV438" s="371" t="str">
        <f ca="1">IF(CU438="","",CONCATENATE(VLOOKUP(CU438,games.a,9,FALSE),VLOOKUP(CU438,games.a,12,FALSE)))</f>
        <v/>
      </c>
      <c r="CW438" s="369" t="str">
        <f ca="1">IF(CU438="","",VLOOKUP(CU438,games.a,10,FALSE))</f>
        <v/>
      </c>
      <c r="CX438" s="369" t="str">
        <f ca="1">IF(CU438="","",VLOOKUP(CU438,games.a,13,FALSE))</f>
        <v/>
      </c>
      <c r="CY438" s="423" t="str">
        <f ca="1">IF(CU438="","",VLOOKUP(CU438,games.a,6,FALSE))</f>
        <v/>
      </c>
      <c r="CZ438" s="409" t="str">
        <f ca="1">IF(CU438="","",VLOOKUP(CU438,games.a,7,FALSE))</f>
        <v/>
      </c>
      <c r="DA438" s="523" t="str">
        <f t="shared" ca="1" si="377"/>
        <v/>
      </c>
      <c r="DB438" s="302"/>
      <c r="DC438" s="364"/>
      <c r="DD438" s="445"/>
      <c r="DF438" s="424"/>
      <c r="DW438" s="424"/>
      <c r="DX438" s="424"/>
      <c r="DY438" s="424"/>
      <c r="DZ438" s="424"/>
      <c r="EA438" s="424"/>
      <c r="EB438" s="424"/>
      <c r="EC438" s="424"/>
      <c r="ED438" s="424"/>
      <c r="EE438" s="424"/>
      <c r="EF438" s="424"/>
      <c r="EG438" s="424"/>
      <c r="EH438" s="424"/>
      <c r="EI438" s="424"/>
      <c r="EJ438" s="424"/>
      <c r="EK438" s="424"/>
      <c r="EL438" s="424"/>
      <c r="EO438" s="425"/>
      <c r="EP438" s="333"/>
    </row>
    <row r="439" spans="80:146" x14ac:dyDescent="0.25">
      <c r="CB439" s="445"/>
      <c r="CC439" s="350"/>
      <c r="CD439" s="350"/>
      <c r="CE439" s="350"/>
      <c r="CF439" s="350"/>
      <c r="CG439" s="445"/>
      <c r="CR439" s="445"/>
      <c r="CS439" s="445"/>
      <c r="CT439" s="522" t="str">
        <f t="shared" si="376"/>
        <v/>
      </c>
      <c r="CU439" s="371" t="str">
        <f ca="1">IF(OR(CT439="",DA439="",CT439=DA439,ISNA(VLOOKUP(CONCATENATE(CT439,DA439),games.a,2,FALSE))),"",CONCATENATE(CT439,DA439))</f>
        <v/>
      </c>
      <c r="CV439" s="371" t="str">
        <f ca="1">IF(CU439="","",CONCATENATE(VLOOKUP(CU439,games.a,9,FALSE),VLOOKUP(CU439,games.a,12,FALSE)))</f>
        <v/>
      </c>
      <c r="CW439" s="369" t="str">
        <f ca="1">IF(CU439="","",VLOOKUP(CU439,games.a,10,FALSE))</f>
        <v/>
      </c>
      <c r="CX439" s="369" t="str">
        <f ca="1">IF(CU439="","",VLOOKUP(CU439,games.a,13,FALSE))</f>
        <v/>
      </c>
      <c r="CY439" s="423" t="str">
        <f ca="1">IF(CU439="","",VLOOKUP(CU439,games.a,6,FALSE))</f>
        <v/>
      </c>
      <c r="CZ439" s="409" t="str">
        <f ca="1">IF(CU439="","",VLOOKUP(CU439,games.a,7,FALSE))</f>
        <v/>
      </c>
      <c r="DA439" s="523" t="str">
        <f t="shared" ca="1" si="377"/>
        <v/>
      </c>
      <c r="DB439" s="302"/>
      <c r="DC439" s="364"/>
      <c r="DD439" s="445"/>
      <c r="DF439" s="424"/>
      <c r="DG439" s="424"/>
      <c r="DH439" s="424"/>
      <c r="DI439" s="424"/>
      <c r="DJ439" s="424"/>
      <c r="DK439" s="424"/>
      <c r="DL439" s="424"/>
      <c r="DM439" s="424"/>
      <c r="DN439" s="424"/>
      <c r="DO439" s="424"/>
      <c r="DP439" s="424"/>
      <c r="DQ439" s="424"/>
      <c r="DR439" s="424"/>
      <c r="DS439" s="424"/>
      <c r="DT439" s="424"/>
      <c r="DU439" s="424"/>
      <c r="DV439" s="424"/>
      <c r="DW439" s="424"/>
      <c r="DX439" s="424"/>
      <c r="DY439" s="424"/>
      <c r="DZ439" s="424"/>
      <c r="EA439" s="424"/>
      <c r="EB439" s="424"/>
      <c r="EC439" s="424"/>
      <c r="ED439" s="424"/>
      <c r="EE439" s="424"/>
      <c r="EF439" s="424"/>
      <c r="EG439" s="424"/>
      <c r="EH439" s="424"/>
      <c r="EI439" s="424"/>
      <c r="EJ439" s="424"/>
      <c r="EK439" s="424"/>
      <c r="EL439" s="424"/>
      <c r="EO439" s="425"/>
      <c r="EP439" s="333"/>
    </row>
    <row r="440" spans="80:146" x14ac:dyDescent="0.25">
      <c r="CB440" s="445"/>
      <c r="CC440" s="350"/>
      <c r="CD440" s="350"/>
      <c r="CE440" s="350"/>
      <c r="CF440" s="350"/>
      <c r="CG440" s="445"/>
      <c r="CR440" s="445"/>
      <c r="CS440" s="445"/>
      <c r="CT440" s="522" t="str">
        <f t="shared" si="376"/>
        <v/>
      </c>
      <c r="CU440" s="371" t="str">
        <f ca="1">IF(OR(CT440="",DA440="",CT440=DA440,ISNA(VLOOKUP(CONCATENATE(CT440,DA440),games.a,2,FALSE))),"",CONCATENATE(CT440,DA440))</f>
        <v/>
      </c>
      <c r="CV440" s="371" t="str">
        <f ca="1">IF(CU440="","",CONCATENATE(VLOOKUP(CU440,games.a,9,FALSE),VLOOKUP(CU440,games.a,12,FALSE)))</f>
        <v/>
      </c>
      <c r="CW440" s="369" t="str">
        <f ca="1">IF(CU440="","",VLOOKUP(CU440,games.a,10,FALSE))</f>
        <v/>
      </c>
      <c r="CX440" s="369" t="str">
        <f ca="1">IF(CU440="","",VLOOKUP(CU440,games.a,13,FALSE))</f>
        <v/>
      </c>
      <c r="CY440" s="423" t="str">
        <f ca="1">IF(CU440="","",VLOOKUP(CU440,games.a,6,FALSE))</f>
        <v/>
      </c>
      <c r="CZ440" s="409" t="str">
        <f ca="1">IF(CU440="","",VLOOKUP(CU440,games.a,7,FALSE))</f>
        <v/>
      </c>
      <c r="DA440" s="523" t="str">
        <f t="shared" ca="1" si="377"/>
        <v/>
      </c>
      <c r="DB440" s="302"/>
      <c r="DC440" s="364"/>
      <c r="DD440" s="445"/>
      <c r="DF440" s="424"/>
      <c r="DG440" s="424"/>
      <c r="DH440" s="424"/>
      <c r="DI440" s="424"/>
      <c r="DJ440" s="424"/>
      <c r="DK440" s="424"/>
      <c r="DL440" s="424"/>
      <c r="DM440" s="424"/>
      <c r="DN440" s="424"/>
      <c r="DO440" s="424"/>
      <c r="DP440" s="424"/>
      <c r="DQ440" s="424"/>
      <c r="DR440" s="424"/>
      <c r="DS440" s="424"/>
      <c r="DT440" s="424"/>
      <c r="DU440" s="424"/>
      <c r="DV440" s="424"/>
      <c r="DW440" s="424"/>
      <c r="DX440" s="424"/>
      <c r="DY440" s="424"/>
      <c r="DZ440" s="424"/>
      <c r="EA440" s="424"/>
      <c r="EB440" s="424"/>
      <c r="EC440" s="398"/>
      <c r="ED440" s="329" t="s">
        <v>157</v>
      </c>
      <c r="EE440" s="329" t="s">
        <v>158</v>
      </c>
      <c r="EF440" s="399"/>
      <c r="EG440" s="400"/>
      <c r="EH440" s="401" t="s">
        <v>160</v>
      </c>
      <c r="EI440" s="402" t="s">
        <v>135</v>
      </c>
      <c r="EJ440" s="424"/>
      <c r="EK440" s="365"/>
      <c r="EL440" s="365"/>
      <c r="EO440" s="425"/>
      <c r="EP440" s="333"/>
    </row>
    <row r="441" spans="80:146" x14ac:dyDescent="0.25">
      <c r="CB441" s="445"/>
      <c r="CC441" s="350"/>
      <c r="CD441" s="350"/>
      <c r="CE441" s="350"/>
      <c r="CF441" s="350"/>
      <c r="CG441" s="445"/>
      <c r="CR441" s="445"/>
      <c r="CS441" s="445"/>
      <c r="CT441" s="522" t="str">
        <f t="shared" si="376"/>
        <v/>
      </c>
      <c r="CU441" s="371" t="str">
        <f ca="1">IF(OR(CT441="",DA441="",CT441=DA441,ISNA(VLOOKUP(CONCATENATE(CT441,DA441),games.a,2,FALSE))),"",CONCATENATE(CT441,DA441))</f>
        <v/>
      </c>
      <c r="CV441" s="371" t="str">
        <f ca="1">IF(CU441="","",CONCATENATE(VLOOKUP(CU441,games.a,9,FALSE),VLOOKUP(CU441,games.a,12,FALSE)))</f>
        <v/>
      </c>
      <c r="CW441" s="369" t="str">
        <f ca="1">IF(CU441="","",VLOOKUP(CU441,games.a,10,FALSE))</f>
        <v/>
      </c>
      <c r="CX441" s="369" t="str">
        <f ca="1">IF(CU441="","",VLOOKUP(CU441,games.a,13,FALSE))</f>
        <v/>
      </c>
      <c r="CY441" s="423" t="str">
        <f ca="1">IF(CU441="","",VLOOKUP(CU441,games.a,6,FALSE))</f>
        <v/>
      </c>
      <c r="CZ441" s="409" t="str">
        <f ca="1">IF(CU441="","",VLOOKUP(CU441,games.a,7,FALSE))</f>
        <v/>
      </c>
      <c r="DA441" s="523" t="str">
        <f t="shared" ca="1" si="377"/>
        <v/>
      </c>
      <c r="DB441" s="302"/>
      <c r="DC441" s="364"/>
      <c r="DD441" s="445"/>
      <c r="DF441" s="424"/>
      <c r="DG441" s="424"/>
      <c r="DH441" s="424"/>
      <c r="DI441" s="424"/>
      <c r="DJ441" s="424"/>
      <c r="DK441" s="424"/>
      <c r="DL441" s="424"/>
      <c r="DM441" s="424"/>
      <c r="DN441" s="424"/>
      <c r="DO441" s="424"/>
      <c r="DP441" s="424"/>
      <c r="DQ441" s="424"/>
      <c r="DR441" s="424"/>
      <c r="DS441" s="424"/>
      <c r="DT441" s="424"/>
      <c r="DU441" s="424"/>
      <c r="DV441" s="424"/>
      <c r="DW441" s="424"/>
      <c r="DX441" s="424"/>
      <c r="DY441" s="424"/>
      <c r="DZ441" s="424"/>
      <c r="EA441" s="424"/>
      <c r="EB441" s="424"/>
      <c r="EC441" s="404" t="str">
        <f ca="1">IF(EI411="","",VLOOKUP(EI411,yyy.rv2,7,FALSE))</f>
        <v/>
      </c>
      <c r="ED441" s="371" t="str">
        <f ca="1">IF(OR(EC441="",EJ441="",EC441=EJ441,ISNA(VLOOKUP(CONCATENATE(EC441,EJ441),games.r,2,FALSE))),"",CONCATENATE(EC441,EJ441))</f>
        <v/>
      </c>
      <c r="EE441" s="371" t="str">
        <f ca="1">IF(ED441="","",CONCATENATE(VLOOKUP(ED441,games.r,9,FALSE),VLOOKUP(ED441,games.r,12,FALSE)))</f>
        <v/>
      </c>
      <c r="EF441" s="406"/>
      <c r="EG441" s="407"/>
      <c r="EH441" s="408" t="str">
        <f ca="1">IF(ED441="","",VLOOKUP(ED441,games.r,6,FALSE))</f>
        <v/>
      </c>
      <c r="EI441" s="409" t="str">
        <f ca="1">IF(ED441="","",VLOOKUP(ED441,games.r,7,FALSE))</f>
        <v/>
      </c>
      <c r="EJ441" s="410" t="str">
        <f ca="1">EC441</f>
        <v/>
      </c>
      <c r="EK441" s="411"/>
      <c r="EL441" s="412"/>
      <c r="EO441" s="425"/>
      <c r="EP441" s="333"/>
    </row>
    <row r="442" spans="80:146" x14ac:dyDescent="0.25">
      <c r="CB442" s="445"/>
      <c r="CC442" s="350"/>
      <c r="CD442" s="350"/>
      <c r="CE442" s="350"/>
      <c r="CF442" s="350"/>
      <c r="CG442" s="445"/>
      <c r="CR442" s="445"/>
      <c r="CS442" s="445"/>
      <c r="CT442" s="522" t="str">
        <f t="shared" si="376"/>
        <v/>
      </c>
      <c r="CU442" s="371" t="str">
        <f ca="1">IF(OR(CT442="",DA442="",CT442=DA442,ISNA(VLOOKUP(CONCATENATE(CT442,DA442),games.a,2,FALSE))),"",CONCATENATE(CT442,DA442))</f>
        <v/>
      </c>
      <c r="CV442" s="371" t="str">
        <f ca="1">IF(CU442="","",CONCATENATE(VLOOKUP(CU442,games.a,9,FALSE),VLOOKUP(CU442,games.a,12,FALSE)))</f>
        <v/>
      </c>
      <c r="CW442" s="369" t="str">
        <f ca="1">IF(CU442="","",VLOOKUP(CU442,games.a,10,FALSE))</f>
        <v/>
      </c>
      <c r="CX442" s="369" t="str">
        <f ca="1">IF(CU442="","",VLOOKUP(CU442,games.a,13,FALSE))</f>
        <v/>
      </c>
      <c r="CY442" s="423" t="str">
        <f ca="1">IF(CU442="","",VLOOKUP(CU442,games.a,6,FALSE))</f>
        <v/>
      </c>
      <c r="CZ442" s="409" t="str">
        <f ca="1">IF(CU442="","",VLOOKUP(CU442,games.a,7,FALSE))</f>
        <v/>
      </c>
      <c r="DA442" s="523" t="str">
        <f t="shared" ca="1" si="377"/>
        <v/>
      </c>
      <c r="DB442" s="302"/>
      <c r="DC442" s="364"/>
      <c r="DD442" s="445"/>
      <c r="DF442" s="424"/>
      <c r="DG442" s="424"/>
      <c r="DH442" s="424"/>
      <c r="DI442" s="424"/>
      <c r="DJ442" s="424"/>
      <c r="DK442" s="424"/>
      <c r="DL442" s="424"/>
      <c r="DM442" s="424"/>
      <c r="DN442" s="424"/>
      <c r="DO442" s="424"/>
      <c r="DP442" s="424"/>
      <c r="DQ442" s="424"/>
      <c r="DR442" s="424"/>
      <c r="DS442" s="424"/>
      <c r="DT442" s="424"/>
      <c r="DU442" s="424"/>
      <c r="DV442" s="424"/>
      <c r="DW442" s="424"/>
      <c r="DX442" s="424"/>
      <c r="DY442" s="424"/>
      <c r="DZ442" s="424"/>
      <c r="EA442" s="424"/>
      <c r="EB442" s="424"/>
      <c r="EC442" s="404" t="str">
        <f ca="1">IF(EI412="","",VLOOKUP(EI412,yyy.rv2,7,FALSE))</f>
        <v/>
      </c>
      <c r="ED442" s="371" t="str">
        <f ca="1">IF(OR(EC442="",EJ442="",EC442=EJ442,ISNA(VLOOKUP(CONCATENATE(EC442,EJ442),games.r,2,FALSE))),"",CONCATENATE(EC442,EJ442))</f>
        <v/>
      </c>
      <c r="EE442" s="371" t="str">
        <f ca="1">IF(ED442="","",CONCATENATE(VLOOKUP(ED442,games.r,9,FALSE),VLOOKUP(ED442,games.r,12,FALSE)))</f>
        <v/>
      </c>
      <c r="EF442" s="413"/>
      <c r="EG442" s="414"/>
      <c r="EH442" s="408" t="str">
        <f ca="1">IF(ED442="","",VLOOKUP(ED442,games.r,6,FALSE))</f>
        <v/>
      </c>
      <c r="EI442" s="409" t="str">
        <f ca="1">IF(ED442="","",VLOOKUP(ED442,games.r,7,FALSE))</f>
        <v/>
      </c>
      <c r="EJ442" s="415" t="str">
        <f ca="1">EJ441</f>
        <v/>
      </c>
      <c r="EK442" s="416"/>
      <c r="EL442" s="417"/>
      <c r="EO442" s="425"/>
      <c r="EP442" s="333"/>
    </row>
    <row r="443" spans="80:146" x14ac:dyDescent="0.25">
      <c r="CB443" s="445"/>
      <c r="CC443" s="350"/>
      <c r="CD443" s="350"/>
      <c r="CE443" s="350"/>
      <c r="CF443" s="350"/>
      <c r="CG443" s="445"/>
      <c r="CR443" s="445"/>
      <c r="CS443" s="445"/>
      <c r="CT443" s="301"/>
      <c r="CU443" s="458" t="s">
        <v>157</v>
      </c>
      <c r="CV443" s="458" t="s">
        <v>158</v>
      </c>
      <c r="CW443" s="459" t="s">
        <v>159</v>
      </c>
      <c r="CX443" s="459"/>
      <c r="CY443" s="460" t="s">
        <v>160</v>
      </c>
      <c r="CZ443" s="459" t="s">
        <v>135</v>
      </c>
      <c r="DA443" s="302"/>
      <c r="DB443" s="302"/>
      <c r="DC443" s="364"/>
      <c r="DD443" s="445"/>
      <c r="DF443" s="424"/>
      <c r="DG443" s="424"/>
      <c r="DH443" s="424"/>
      <c r="DI443" s="424"/>
      <c r="DJ443" s="424"/>
      <c r="DK443" s="424"/>
      <c r="DL443" s="424"/>
      <c r="DM443" s="424"/>
      <c r="DN443" s="424"/>
      <c r="DO443" s="424"/>
      <c r="DP443" s="424"/>
      <c r="DQ443" s="424"/>
      <c r="DR443" s="424"/>
      <c r="DS443" s="424"/>
      <c r="DT443" s="424"/>
      <c r="DU443" s="424"/>
      <c r="DV443" s="424"/>
      <c r="DW443" s="424"/>
      <c r="DX443" s="424"/>
      <c r="DY443" s="424"/>
      <c r="DZ443" s="424"/>
      <c r="EA443" s="424"/>
      <c r="EB443" s="424"/>
      <c r="EC443" s="404" t="str">
        <f>IF(NOT($AD$105),"",EC441)</f>
        <v/>
      </c>
      <c r="ED443" s="360" t="str">
        <f ca="1">IF(OR(EC443="",EJ443="",EC443=EJ443,ISNA(VLOOKUP(CONCATENATE(EC443,EJ443),games.a,2,FALSE))),"",CONCATENATE(EC443,EJ443))</f>
        <v/>
      </c>
      <c r="EE443" s="360" t="str">
        <f ca="1">IF(ED443="","",CONCATENATE(VLOOKUP(ED443,games.a,9,FALSE),VLOOKUP(ED443,games.a,12,FALSE)))</f>
        <v/>
      </c>
      <c r="EF443" s="413"/>
      <c r="EG443" s="414"/>
      <c r="EH443" s="525" t="str">
        <f ca="1">IF(ED443="","",VLOOKUP(ED443,games.a,6,FALSE))</f>
        <v/>
      </c>
      <c r="EI443" s="362" t="str">
        <f ca="1">IF(ED443="","",VLOOKUP(ED443,games.a,7,FALSE))</f>
        <v/>
      </c>
      <c r="EJ443" s="526" t="str">
        <f ca="1">EJ442</f>
        <v/>
      </c>
      <c r="EK443" s="527"/>
      <c r="EL443" s="528"/>
      <c r="EO443" s="425"/>
      <c r="EP443" s="333"/>
    </row>
    <row r="444" spans="80:146" x14ac:dyDescent="0.25">
      <c r="CB444" s="445"/>
      <c r="CC444" s="350"/>
      <c r="CD444" s="350"/>
      <c r="CE444" s="350"/>
      <c r="CF444" s="350"/>
      <c r="CG444" s="445"/>
      <c r="CR444" s="445"/>
      <c r="CS444" s="445"/>
      <c r="CT444" s="395" t="str">
        <f t="shared" ref="CT444:CT453" ca="1" si="378">CT433</f>
        <v/>
      </c>
      <c r="CU444" s="465" t="str">
        <f ca="1">IF(OR(CT444="",DA444="",CT444=DA444,COUNTIF(games.rv,CT444&amp;DA444)=0),"",CONCATENATE(CT444,DA444))</f>
        <v/>
      </c>
      <c r="CV444" s="360" t="str">
        <f ca="1">IF(CU444="","",CONCATENATE(VLOOKUP(CU444,games.r,9,FALSE),VLOOKUP(CU444,games.r,12,FALSE)))</f>
        <v/>
      </c>
      <c r="CW444" s="354" t="str">
        <f ca="1">IF(CU444="","",VLOOKUP(CU444,games.r,10,FALSE))</f>
        <v/>
      </c>
      <c r="CX444" s="354" t="str">
        <f ca="1">IF(CU444="","",VLOOKUP(CU444,games.r,13,FALSE))</f>
        <v/>
      </c>
      <c r="CY444" s="361" t="str">
        <f ca="1">IF(CU444="","",VLOOKUP(CU444,games.r,6,FALSE))</f>
        <v/>
      </c>
      <c r="CZ444" s="362" t="str">
        <f ca="1">IF(CU444="","",VLOOKUP(CU444,games.r,7,FALSE))</f>
        <v/>
      </c>
      <c r="DA444" s="466" t="str">
        <f ca="1">CT414</f>
        <v/>
      </c>
      <c r="DB444" s="302"/>
      <c r="DC444" s="364"/>
      <c r="DD444" s="445"/>
      <c r="DF444" s="424"/>
      <c r="DG444" s="424"/>
      <c r="DH444" s="424"/>
      <c r="DI444" s="424"/>
      <c r="DJ444" s="424"/>
      <c r="DK444" s="424"/>
      <c r="DL444" s="424"/>
      <c r="DM444" s="424"/>
      <c r="DN444" s="424"/>
      <c r="DO444" s="424"/>
      <c r="DP444" s="424"/>
      <c r="DQ444" s="424"/>
      <c r="DR444" s="424"/>
      <c r="DS444" s="424"/>
      <c r="DT444" s="424"/>
      <c r="DU444" s="424"/>
      <c r="DV444" s="424"/>
      <c r="DW444" s="424"/>
      <c r="DX444" s="424"/>
      <c r="DY444" s="424"/>
      <c r="DZ444" s="424"/>
      <c r="EA444" s="424"/>
      <c r="EB444" s="424"/>
      <c r="EC444" s="404" t="str">
        <f>IF(NOT($AD$105),"",EC442)</f>
        <v/>
      </c>
      <c r="ED444" s="360" t="str">
        <f ca="1">IF(OR(EC444="",EJ444="",EC444=EJ444,ISNA(VLOOKUP(CONCATENATE(EC444,EJ444),games.a,2,FALSE))),"",CONCATENATE(EC444,EJ444))</f>
        <v/>
      </c>
      <c r="EE444" s="360" t="str">
        <f ca="1">IF(ED444="","",CONCATENATE(VLOOKUP(ED444,games.a,9,FALSE),VLOOKUP(ED444,games.a,12,FALSE)))</f>
        <v/>
      </c>
      <c r="EF444" s="413"/>
      <c r="EG444" s="414"/>
      <c r="EH444" s="525" t="str">
        <f ca="1">IF(ED444="","",VLOOKUP(ED444,games.a,6,FALSE))</f>
        <v/>
      </c>
      <c r="EI444" s="362" t="str">
        <f ca="1">IF(ED444="","",VLOOKUP(ED444,games.a,7,FALSE))</f>
        <v/>
      </c>
      <c r="EJ444" s="526" t="str">
        <f ca="1">EJ443</f>
        <v/>
      </c>
      <c r="EK444" s="527"/>
      <c r="EL444" s="528"/>
      <c r="EO444" s="425"/>
      <c r="EP444" s="333"/>
    </row>
    <row r="445" spans="80:146" x14ac:dyDescent="0.25">
      <c r="CB445" s="445"/>
      <c r="CC445" s="350"/>
      <c r="CD445" s="350"/>
      <c r="CE445" s="350"/>
      <c r="CF445" s="350"/>
      <c r="CG445" s="445"/>
      <c r="CR445" s="445"/>
      <c r="CS445" s="445"/>
      <c r="CT445" s="395" t="str">
        <f t="shared" ca="1" si="378"/>
        <v/>
      </c>
      <c r="CU445" s="465" t="str">
        <f ca="1">IF(OR(CT445="",DA445="",CT445=DA445,COUNTIF(games.rv,CT445&amp;DA445)=0),"",CONCATENATE(CT445,DA445))</f>
        <v/>
      </c>
      <c r="CV445" s="360" t="str">
        <f ca="1">IF(CU445="","",CONCATENATE(VLOOKUP(CU445,games.r,9,FALSE),VLOOKUP(CU445,games.r,12,FALSE)))</f>
        <v/>
      </c>
      <c r="CW445" s="354" t="str">
        <f ca="1">IF(CU445="","",VLOOKUP(CU445,games.r,10,FALSE))</f>
        <v/>
      </c>
      <c r="CX445" s="354" t="str">
        <f ca="1">IF(CU445="","",VLOOKUP(CU445,games.r,13,FALSE))</f>
        <v/>
      </c>
      <c r="CY445" s="361" t="str">
        <f ca="1">IF(CU445="","",VLOOKUP(CU445,games.r,6,FALSE))</f>
        <v/>
      </c>
      <c r="CZ445" s="362" t="str">
        <f ca="1">IF(CU445="","",VLOOKUP(CU445,games.r,7,FALSE))</f>
        <v/>
      </c>
      <c r="DA445" s="379" t="str">
        <f t="shared" ref="DA445:DA453" ca="1" si="379">DA444</f>
        <v/>
      </c>
      <c r="DB445" s="302"/>
      <c r="DC445" s="364"/>
      <c r="DD445" s="445"/>
      <c r="DF445" s="424"/>
      <c r="DG445" s="424"/>
      <c r="DH445" s="424"/>
      <c r="DI445" s="424"/>
      <c r="DJ445" s="424"/>
      <c r="DK445" s="424"/>
      <c r="DL445" s="424"/>
      <c r="DM445" s="424"/>
      <c r="DN445" s="424"/>
      <c r="DO445" s="424"/>
      <c r="DP445" s="424"/>
      <c r="DQ445" s="424"/>
      <c r="DR445" s="424"/>
      <c r="DS445" s="424"/>
      <c r="DT445" s="424"/>
      <c r="DU445" s="424"/>
      <c r="DV445" s="424"/>
      <c r="DW445" s="424"/>
      <c r="DX445" s="424"/>
      <c r="DY445" s="424"/>
      <c r="DZ445" s="424"/>
      <c r="EA445" s="424"/>
      <c r="EB445" s="424"/>
      <c r="EC445" s="404"/>
      <c r="ED445" s="329" t="s">
        <v>157</v>
      </c>
      <c r="EE445" s="329" t="s">
        <v>158</v>
      </c>
      <c r="EF445" s="399"/>
      <c r="EG445" s="400"/>
      <c r="EH445" s="401" t="s">
        <v>160</v>
      </c>
      <c r="EI445" s="402" t="s">
        <v>135</v>
      </c>
      <c r="EJ445" s="398"/>
      <c r="EK445" s="365"/>
      <c r="EL445" s="365"/>
      <c r="EO445" s="425"/>
      <c r="EP445" s="333"/>
    </row>
    <row r="446" spans="80:146" x14ac:dyDescent="0.25">
      <c r="CB446" s="445"/>
      <c r="CC446" s="350"/>
      <c r="CD446" s="350"/>
      <c r="CE446" s="350"/>
      <c r="CF446" s="350"/>
      <c r="CG446" s="445"/>
      <c r="CR446" s="445"/>
      <c r="CS446" s="445"/>
      <c r="CT446" s="395" t="str">
        <f t="shared" ca="1" si="378"/>
        <v/>
      </c>
      <c r="CU446" s="465" t="str">
        <f ca="1">IF(OR(CT446="",DA446="",CT446=DA446,COUNTIF(games.rv,CT446&amp;DA446)=0),"",CONCATENATE(CT446,DA446))</f>
        <v/>
      </c>
      <c r="CV446" s="360" t="str">
        <f ca="1">IF(CU446="","",CONCATENATE(VLOOKUP(CU446,games.r,9,FALSE),VLOOKUP(CU446,games.r,12,FALSE)))</f>
        <v/>
      </c>
      <c r="CW446" s="354" t="str">
        <f ca="1">IF(CU446="","",VLOOKUP(CU446,games.r,10,FALSE))</f>
        <v/>
      </c>
      <c r="CX446" s="354" t="str">
        <f ca="1">IF(CU446="","",VLOOKUP(CU446,games.r,13,FALSE))</f>
        <v/>
      </c>
      <c r="CY446" s="361" t="str">
        <f ca="1">IF(CU446="","",VLOOKUP(CU446,games.r,6,FALSE))</f>
        <v/>
      </c>
      <c r="CZ446" s="362" t="str">
        <f ca="1">IF(CU446="","",VLOOKUP(CU446,games.r,7,FALSE))</f>
        <v/>
      </c>
      <c r="DA446" s="379" t="str">
        <f t="shared" ca="1" si="379"/>
        <v/>
      </c>
      <c r="DB446" s="302"/>
      <c r="DC446" s="364"/>
      <c r="DD446" s="445"/>
      <c r="DF446" s="424"/>
      <c r="DG446" s="424"/>
      <c r="DH446" s="424"/>
      <c r="DI446" s="424"/>
      <c r="DJ446" s="424"/>
      <c r="DK446" s="424"/>
      <c r="DL446" s="424"/>
      <c r="DM446" s="424"/>
      <c r="DN446" s="424"/>
      <c r="DO446" s="424"/>
      <c r="DP446" s="424"/>
      <c r="DQ446" s="424"/>
      <c r="DR446" s="424"/>
      <c r="DS446" s="424"/>
      <c r="DT446" s="424"/>
      <c r="DU446" s="424"/>
      <c r="DV446" s="424"/>
      <c r="DW446" s="424"/>
      <c r="DX446" s="424"/>
      <c r="DY446" s="424"/>
      <c r="DZ446" s="424"/>
      <c r="EA446" s="424"/>
      <c r="EB446" s="424"/>
      <c r="EC446" s="404" t="str">
        <f ca="1">EC441</f>
        <v/>
      </c>
      <c r="ED446" s="371" t="str">
        <f ca="1">IF(OR(EC446="",EJ446="",EC446=EJ446,ISNA(VLOOKUP(CONCATENATE(EC446,EJ446),games.r,2,FALSE))),"",CONCATENATE(EC446,EJ446))</f>
        <v/>
      </c>
      <c r="EE446" s="371" t="str">
        <f ca="1">IF(ED446="","",CONCATENATE(VLOOKUP(ED446,games.r,9,FALSE),VLOOKUP(ED446,games.r,12,FALSE)))</f>
        <v/>
      </c>
      <c r="EF446" s="406"/>
      <c r="EG446" s="407"/>
      <c r="EH446" s="408" t="str">
        <f ca="1">IF(ED446="","",VLOOKUP(ED446,games.r,6,FALSE))</f>
        <v/>
      </c>
      <c r="EI446" s="409" t="str">
        <f ca="1">IF(ED446="","",VLOOKUP(ED446,games.r,7,FALSE))</f>
        <v/>
      </c>
      <c r="EJ446" s="410" t="str">
        <f ca="1">EC442</f>
        <v/>
      </c>
      <c r="EK446" s="411"/>
      <c r="EL446" s="412"/>
      <c r="EO446" s="425"/>
      <c r="EP446" s="333"/>
    </row>
    <row r="447" spans="80:146" x14ac:dyDescent="0.25">
      <c r="CB447" s="445"/>
      <c r="CC447" s="350"/>
      <c r="CD447" s="350"/>
      <c r="CE447" s="350"/>
      <c r="CF447" s="350"/>
      <c r="CG447" s="445"/>
      <c r="CR447" s="445"/>
      <c r="CS447" s="445"/>
      <c r="CT447" s="395" t="str">
        <f t="shared" ca="1" si="378"/>
        <v/>
      </c>
      <c r="CU447" s="465" t="str">
        <f ca="1">IF(OR(CT447="",DA447="",CT447=DA447,COUNTIF(games.rv,CT447&amp;DA447)=0),"",CONCATENATE(CT447,DA447))</f>
        <v/>
      </c>
      <c r="CV447" s="360" t="str">
        <f ca="1">IF(CU447="","",CONCATENATE(VLOOKUP(CU447,games.r,9,FALSE),VLOOKUP(CU447,games.r,12,FALSE)))</f>
        <v/>
      </c>
      <c r="CW447" s="354" t="str">
        <f ca="1">IF(CU447="","",VLOOKUP(CU447,games.r,10,FALSE))</f>
        <v/>
      </c>
      <c r="CX447" s="354" t="str">
        <f ca="1">IF(CU447="","",VLOOKUP(CU447,games.r,13,FALSE))</f>
        <v/>
      </c>
      <c r="CY447" s="361" t="str">
        <f ca="1">IF(CU447="","",VLOOKUP(CU447,games.r,6,FALSE))</f>
        <v/>
      </c>
      <c r="CZ447" s="362" t="str">
        <f ca="1">IF(CU447="","",VLOOKUP(CU447,games.r,7,FALSE))</f>
        <v/>
      </c>
      <c r="DA447" s="379" t="str">
        <f t="shared" ca="1" si="379"/>
        <v/>
      </c>
      <c r="DB447" s="302"/>
      <c r="DC447" s="364"/>
      <c r="DD447" s="445"/>
      <c r="DF447" s="424"/>
      <c r="DG447" s="424"/>
      <c r="DH447" s="424"/>
      <c r="DI447" s="424"/>
      <c r="DJ447" s="424"/>
      <c r="DK447" s="424"/>
      <c r="DL447" s="424"/>
      <c r="DM447" s="424"/>
      <c r="DN447" s="424"/>
      <c r="DO447" s="424"/>
      <c r="DP447" s="424"/>
      <c r="DQ447" s="424"/>
      <c r="DR447" s="424"/>
      <c r="DS447" s="424"/>
      <c r="DT447" s="424"/>
      <c r="DU447" s="424"/>
      <c r="DV447" s="424"/>
      <c r="DW447" s="424"/>
      <c r="DX447" s="424"/>
      <c r="DY447" s="424"/>
      <c r="DZ447" s="424"/>
      <c r="EA447" s="424"/>
      <c r="EB447" s="424"/>
      <c r="EC447" s="404" t="str">
        <f ca="1">EC442</f>
        <v/>
      </c>
      <c r="ED447" s="371" t="str">
        <f ca="1">IF(OR(EC447="",EJ447="",EC447=EJ447,ISNA(VLOOKUP(CONCATENATE(EC447,EJ447),games.r,2,FALSE))),"",CONCATENATE(EC447,EJ447))</f>
        <v/>
      </c>
      <c r="EE447" s="371" t="str">
        <f ca="1">IF(ED447="","",CONCATENATE(VLOOKUP(ED447,games.r,9,FALSE),VLOOKUP(ED447,games.r,12,FALSE)))</f>
        <v/>
      </c>
      <c r="EF447" s="413"/>
      <c r="EG447" s="414"/>
      <c r="EH447" s="408" t="str">
        <f ca="1">IF(ED447="","",VLOOKUP(ED447,games.r,6,FALSE))</f>
        <v/>
      </c>
      <c r="EI447" s="409" t="str">
        <f ca="1">IF(ED447="","",VLOOKUP(ED447,games.r,7,FALSE))</f>
        <v/>
      </c>
      <c r="EJ447" s="415" t="str">
        <f ca="1">EJ446</f>
        <v/>
      </c>
      <c r="EK447" s="416"/>
      <c r="EL447" s="417"/>
      <c r="EO447" s="425"/>
      <c r="EP447" s="333"/>
    </row>
    <row r="448" spans="80:146" x14ac:dyDescent="0.25">
      <c r="CB448" s="445"/>
      <c r="CC448" s="350"/>
      <c r="CD448" s="350"/>
      <c r="CE448" s="350"/>
      <c r="CF448" s="350"/>
      <c r="CG448" s="445"/>
      <c r="CR448" s="445"/>
      <c r="CS448" s="445"/>
      <c r="CT448" s="395" t="str">
        <f t="shared" ca="1" si="378"/>
        <v/>
      </c>
      <c r="CU448" s="465" t="str">
        <f ca="1">IF(OR(CT448="",DA448="",CT448=DA448,COUNTIF(games.rv,CT448&amp;DA448)=0),"",CONCATENATE(CT448,DA448))</f>
        <v/>
      </c>
      <c r="CV448" s="360" t="str">
        <f ca="1">IF(CU448="","",CONCATENATE(VLOOKUP(CU448,games.r,9,FALSE),VLOOKUP(CU448,games.r,12,FALSE)))</f>
        <v/>
      </c>
      <c r="CW448" s="354" t="str">
        <f ca="1">IF(CU448="","",VLOOKUP(CU448,games.r,10,FALSE))</f>
        <v/>
      </c>
      <c r="CX448" s="354" t="str">
        <f ca="1">IF(CU448="","",VLOOKUP(CU448,games.r,13,FALSE))</f>
        <v/>
      </c>
      <c r="CY448" s="361" t="str">
        <f ca="1">IF(CU448="","",VLOOKUP(CU448,games.r,6,FALSE))</f>
        <v/>
      </c>
      <c r="CZ448" s="362" t="str">
        <f ca="1">IF(CU448="","",VLOOKUP(CU448,games.r,7,FALSE))</f>
        <v/>
      </c>
      <c r="DA448" s="379" t="str">
        <f t="shared" ca="1" si="379"/>
        <v/>
      </c>
      <c r="DB448" s="302"/>
      <c r="DC448" s="364"/>
      <c r="DD448" s="445"/>
      <c r="DF448" s="424"/>
      <c r="DG448" s="424"/>
      <c r="DH448" s="424"/>
      <c r="DI448" s="424"/>
      <c r="DJ448" s="424"/>
      <c r="DK448" s="424"/>
      <c r="DL448" s="424"/>
      <c r="DM448" s="424"/>
      <c r="DN448" s="424"/>
      <c r="DO448" s="424"/>
      <c r="DP448" s="424"/>
      <c r="DQ448" s="424"/>
      <c r="DR448" s="424"/>
      <c r="DS448" s="424"/>
      <c r="DT448" s="424"/>
      <c r="DU448" s="424"/>
      <c r="DV448" s="424"/>
      <c r="DW448" s="424"/>
      <c r="DX448" s="424"/>
      <c r="DY448" s="424"/>
      <c r="DZ448" s="424"/>
      <c r="EA448" s="424"/>
      <c r="EB448" s="424"/>
      <c r="EC448" s="404" t="str">
        <f>EC443</f>
        <v/>
      </c>
      <c r="ED448" s="360" t="str">
        <f ca="1">IF(OR(EC448="",EJ448="",EC448=EJ448,ISNA(VLOOKUP(CONCATENATE(EC448,EJ448),games.a,2,FALSE))),"",CONCATENATE(EC448,EJ448))</f>
        <v/>
      </c>
      <c r="EE448" s="360" t="str">
        <f ca="1">IF(ED448="","",CONCATENATE(VLOOKUP(ED448,games.a,9,FALSE),VLOOKUP(ED448,games.a,12,FALSE)))</f>
        <v/>
      </c>
      <c r="EF448" s="413"/>
      <c r="EG448" s="414"/>
      <c r="EH448" s="525" t="str">
        <f ca="1">IF(ED448="","",VLOOKUP(ED448,games.a,6,FALSE))</f>
        <v/>
      </c>
      <c r="EI448" s="362" t="str">
        <f ca="1">IF(ED448="","",VLOOKUP(ED448,games.a,7,FALSE))</f>
        <v/>
      </c>
      <c r="EJ448" s="526" t="str">
        <f ca="1">EJ447</f>
        <v/>
      </c>
      <c r="EK448" s="527"/>
      <c r="EL448" s="528"/>
      <c r="EO448" s="425"/>
      <c r="EP448" s="333"/>
    </row>
    <row r="449" spans="80:146" x14ac:dyDescent="0.25">
      <c r="CB449" s="445"/>
      <c r="CC449" s="350"/>
      <c r="CD449" s="350"/>
      <c r="CE449" s="350"/>
      <c r="CF449" s="350"/>
      <c r="CG449" s="445"/>
      <c r="CR449" s="445"/>
      <c r="CS449" s="445"/>
      <c r="CT449" s="522" t="str">
        <f t="shared" si="378"/>
        <v/>
      </c>
      <c r="CU449" s="371" t="str">
        <f ca="1">IF(OR(CT449="",DA449="",CT449=DA449,ISNA(VLOOKUP(CONCATENATE(CT449,DA449),games.a,2,FALSE))),"",CONCATENATE(CT449,DA449))</f>
        <v/>
      </c>
      <c r="CV449" s="371" t="str">
        <f ca="1">IF(CU449="","",CONCATENATE(VLOOKUP(CU449,games.a,9,FALSE),VLOOKUP(CU449,games.a,12,FALSE)))</f>
        <v/>
      </c>
      <c r="CW449" s="369" t="str">
        <f ca="1">IF(CU449="","",VLOOKUP(CU449,games.a,10,FALSE))</f>
        <v/>
      </c>
      <c r="CX449" s="369" t="str">
        <f ca="1">IF(CU449="","",VLOOKUP(CU449,games.a,13,FALSE))</f>
        <v/>
      </c>
      <c r="CY449" s="423" t="str">
        <f ca="1">IF(CU449="","",VLOOKUP(CU449,games.a,6,FALSE))</f>
        <v/>
      </c>
      <c r="CZ449" s="409" t="str">
        <f ca="1">IF(CU449="","",VLOOKUP(CU449,games.a,7,FALSE))</f>
        <v/>
      </c>
      <c r="DA449" s="523" t="str">
        <f t="shared" ca="1" si="379"/>
        <v/>
      </c>
      <c r="DB449" s="302"/>
      <c r="DC449" s="364"/>
      <c r="DD449" s="445"/>
      <c r="DF449" s="424"/>
      <c r="DG449" s="424"/>
      <c r="DH449" s="424"/>
      <c r="DI449" s="424"/>
      <c r="DJ449" s="424"/>
      <c r="DK449" s="424"/>
      <c r="DL449" s="424"/>
      <c r="DM449" s="424"/>
      <c r="DN449" s="424"/>
      <c r="DO449" s="424"/>
      <c r="DP449" s="424"/>
      <c r="DQ449" s="424"/>
      <c r="DR449" s="424"/>
      <c r="DS449" s="424"/>
      <c r="DT449" s="424"/>
      <c r="DU449" s="424"/>
      <c r="DV449" s="424"/>
      <c r="DW449" s="424"/>
      <c r="DX449" s="424"/>
      <c r="DY449" s="424"/>
      <c r="DZ449" s="424"/>
      <c r="EA449" s="424"/>
      <c r="EB449" s="424"/>
      <c r="EC449" s="404" t="str">
        <f>EC444</f>
        <v/>
      </c>
      <c r="ED449" s="360" t="str">
        <f ca="1">IF(OR(EC449="",EJ449="",EC449=EJ449,ISNA(VLOOKUP(CONCATENATE(EC449,EJ449),games.a,2,FALSE))),"",CONCATENATE(EC449,EJ449))</f>
        <v/>
      </c>
      <c r="EE449" s="360" t="str">
        <f ca="1">IF(ED449="","",CONCATENATE(VLOOKUP(ED449,games.a,9,FALSE),VLOOKUP(ED449,games.a,12,FALSE)))</f>
        <v/>
      </c>
      <c r="EF449" s="420"/>
      <c r="EG449" s="421"/>
      <c r="EH449" s="525" t="str">
        <f ca="1">IF(ED449="","",VLOOKUP(ED449,games.a,6,FALSE))</f>
        <v/>
      </c>
      <c r="EI449" s="362" t="str">
        <f ca="1">IF(ED449="","",VLOOKUP(ED449,games.a,7,FALSE))</f>
        <v/>
      </c>
      <c r="EJ449" s="526" t="str">
        <f ca="1">EJ448</f>
        <v/>
      </c>
      <c r="EK449" s="527"/>
      <c r="EL449" s="528"/>
      <c r="EO449" s="425"/>
      <c r="EP449" s="333"/>
    </row>
    <row r="450" spans="80:146" x14ac:dyDescent="0.25">
      <c r="CB450" s="445"/>
      <c r="CC450" s="350"/>
      <c r="CD450" s="350"/>
      <c r="CE450" s="350"/>
      <c r="CF450" s="350"/>
      <c r="CG450" s="445"/>
      <c r="CR450" s="445"/>
      <c r="CS450" s="445"/>
      <c r="CT450" s="522" t="str">
        <f t="shared" si="378"/>
        <v/>
      </c>
      <c r="CU450" s="371" t="str">
        <f ca="1">IF(OR(CT450="",DA450="",CT450=DA450,ISNA(VLOOKUP(CONCATENATE(CT450,DA450),games.a,2,FALSE))),"",CONCATENATE(CT450,DA450))</f>
        <v/>
      </c>
      <c r="CV450" s="371" t="str">
        <f ca="1">IF(CU450="","",CONCATENATE(VLOOKUP(CU450,games.a,9,FALSE),VLOOKUP(CU450,games.a,12,FALSE)))</f>
        <v/>
      </c>
      <c r="CW450" s="369" t="str">
        <f ca="1">IF(CU450="","",VLOOKUP(CU450,games.a,10,FALSE))</f>
        <v/>
      </c>
      <c r="CX450" s="369" t="str">
        <f ca="1">IF(CU450="","",VLOOKUP(CU450,games.a,13,FALSE))</f>
        <v/>
      </c>
      <c r="CY450" s="423" t="str">
        <f ca="1">IF(CU450="","",VLOOKUP(CU450,games.a,6,FALSE))</f>
        <v/>
      </c>
      <c r="CZ450" s="409" t="str">
        <f ca="1">IF(CU450="","",VLOOKUP(CU450,games.a,7,FALSE))</f>
        <v/>
      </c>
      <c r="DA450" s="523" t="str">
        <f t="shared" ca="1" si="379"/>
        <v/>
      </c>
      <c r="DB450" s="302"/>
      <c r="DC450" s="364"/>
      <c r="DD450" s="445"/>
      <c r="DF450" s="424"/>
      <c r="DW450" s="424"/>
      <c r="DX450" s="424"/>
      <c r="DY450" s="424"/>
      <c r="DZ450" s="424"/>
      <c r="EA450" s="424"/>
      <c r="EB450" s="424"/>
      <c r="EO450" s="425"/>
      <c r="EP450" s="333"/>
    </row>
    <row r="451" spans="80:146" x14ac:dyDescent="0.25">
      <c r="CB451" s="445"/>
      <c r="CC451" s="350"/>
      <c r="CD451" s="350"/>
      <c r="CE451" s="350"/>
      <c r="CF451" s="350"/>
      <c r="CG451" s="445"/>
      <c r="CR451" s="445"/>
      <c r="CS451" s="445"/>
      <c r="CT451" s="522" t="str">
        <f t="shared" si="378"/>
        <v/>
      </c>
      <c r="CU451" s="371" t="str">
        <f ca="1">IF(OR(CT451="",DA451="",CT451=DA451,ISNA(VLOOKUP(CONCATENATE(CT451,DA451),games.a,2,FALSE))),"",CONCATENATE(CT451,DA451))</f>
        <v/>
      </c>
      <c r="CV451" s="371" t="str">
        <f ca="1">IF(CU451="","",CONCATENATE(VLOOKUP(CU451,games.a,9,FALSE),VLOOKUP(CU451,games.a,12,FALSE)))</f>
        <v/>
      </c>
      <c r="CW451" s="369" t="str">
        <f ca="1">IF(CU451="","",VLOOKUP(CU451,games.a,10,FALSE))</f>
        <v/>
      </c>
      <c r="CX451" s="369" t="str">
        <f ca="1">IF(CU451="","",VLOOKUP(CU451,games.a,13,FALSE))</f>
        <v/>
      </c>
      <c r="CY451" s="423" t="str">
        <f ca="1">IF(CU451="","",VLOOKUP(CU451,games.a,6,FALSE))</f>
        <v/>
      </c>
      <c r="CZ451" s="409" t="str">
        <f ca="1">IF(CU451="","",VLOOKUP(CU451,games.a,7,FALSE))</f>
        <v/>
      </c>
      <c r="DA451" s="523" t="str">
        <f t="shared" ca="1" si="379"/>
        <v/>
      </c>
      <c r="DB451" s="302"/>
      <c r="DC451" s="364"/>
      <c r="DD451" s="445"/>
      <c r="DF451" s="424"/>
      <c r="DW451" s="424"/>
      <c r="DX451" s="424"/>
      <c r="DY451" s="424"/>
      <c r="DZ451" s="424"/>
      <c r="EA451" s="424"/>
      <c r="EB451" s="424"/>
      <c r="EO451" s="425"/>
      <c r="EP451" s="333"/>
    </row>
    <row r="452" spans="80:146" x14ac:dyDescent="0.25">
      <c r="CB452" s="445"/>
      <c r="CC452" s="350"/>
      <c r="CD452" s="350"/>
      <c r="CE452" s="350"/>
      <c r="CF452" s="350"/>
      <c r="CG452" s="445"/>
      <c r="CR452" s="445"/>
      <c r="CS452" s="445"/>
      <c r="CT452" s="522" t="str">
        <f t="shared" si="378"/>
        <v/>
      </c>
      <c r="CU452" s="371" t="str">
        <f ca="1">IF(OR(CT452="",DA452="",CT452=DA452,ISNA(VLOOKUP(CONCATENATE(CT452,DA452),games.a,2,FALSE))),"",CONCATENATE(CT452,DA452))</f>
        <v/>
      </c>
      <c r="CV452" s="371" t="str">
        <f ca="1">IF(CU452="","",CONCATENATE(VLOOKUP(CU452,games.a,9,FALSE),VLOOKUP(CU452,games.a,12,FALSE)))</f>
        <v/>
      </c>
      <c r="CW452" s="369" t="str">
        <f ca="1">IF(CU452="","",VLOOKUP(CU452,games.a,10,FALSE))</f>
        <v/>
      </c>
      <c r="CX452" s="369" t="str">
        <f ca="1">IF(CU452="","",VLOOKUP(CU452,games.a,13,FALSE))</f>
        <v/>
      </c>
      <c r="CY452" s="423" t="str">
        <f ca="1">IF(CU452="","",VLOOKUP(CU452,games.a,6,FALSE))</f>
        <v/>
      </c>
      <c r="CZ452" s="409" t="str">
        <f ca="1">IF(CU452="","",VLOOKUP(CU452,games.a,7,FALSE))</f>
        <v/>
      </c>
      <c r="DA452" s="523" t="str">
        <f t="shared" ca="1" si="379"/>
        <v/>
      </c>
      <c r="DB452" s="302"/>
      <c r="DC452" s="364"/>
      <c r="DD452" s="445"/>
      <c r="DF452" s="424"/>
      <c r="DW452" s="424"/>
      <c r="DX452" s="424"/>
      <c r="DY452" s="424"/>
      <c r="DZ452" s="424"/>
      <c r="EA452" s="424"/>
      <c r="EB452" s="424"/>
      <c r="EO452" s="425"/>
      <c r="EP452" s="333"/>
    </row>
    <row r="453" spans="80:146" x14ac:dyDescent="0.25">
      <c r="CB453" s="445"/>
      <c r="CC453" s="350"/>
      <c r="CD453" s="350"/>
      <c r="CE453" s="350"/>
      <c r="CF453" s="350"/>
      <c r="CG453" s="445"/>
      <c r="CR453" s="445"/>
      <c r="CS453" s="445"/>
      <c r="CT453" s="522" t="str">
        <f t="shared" si="378"/>
        <v/>
      </c>
      <c r="CU453" s="371" t="str">
        <f ca="1">IF(OR(CT453="",DA453="",CT453=DA453,ISNA(VLOOKUP(CONCATENATE(CT453,DA453),games.a,2,FALSE))),"",CONCATENATE(CT453,DA453))</f>
        <v/>
      </c>
      <c r="CV453" s="371" t="str">
        <f ca="1">IF(CU453="","",CONCATENATE(VLOOKUP(CU453,games.a,9,FALSE),VLOOKUP(CU453,games.a,12,FALSE)))</f>
        <v/>
      </c>
      <c r="CW453" s="369" t="str">
        <f ca="1">IF(CU453="","",VLOOKUP(CU453,games.a,10,FALSE))</f>
        <v/>
      </c>
      <c r="CX453" s="369" t="str">
        <f ca="1">IF(CU453="","",VLOOKUP(CU453,games.a,13,FALSE))</f>
        <v/>
      </c>
      <c r="CY453" s="423" t="str">
        <f ca="1">IF(CU453="","",VLOOKUP(CU453,games.a,6,FALSE))</f>
        <v/>
      </c>
      <c r="CZ453" s="409" t="str">
        <f ca="1">IF(CU453="","",VLOOKUP(CU453,games.a,7,FALSE))</f>
        <v/>
      </c>
      <c r="DA453" s="523" t="str">
        <f t="shared" ca="1" si="379"/>
        <v/>
      </c>
      <c r="DB453" s="302"/>
      <c r="DC453" s="364"/>
      <c r="DD453" s="445"/>
      <c r="DF453" s="424"/>
      <c r="DW453" s="424"/>
      <c r="DX453" s="424"/>
      <c r="DY453" s="424"/>
      <c r="DZ453" s="424"/>
      <c r="EA453" s="424"/>
      <c r="EB453" s="424"/>
      <c r="EO453" s="425"/>
      <c r="EP453" s="333"/>
    </row>
    <row r="454" spans="80:146" x14ac:dyDescent="0.25">
      <c r="CB454" s="445"/>
      <c r="CC454" s="350"/>
      <c r="CD454" s="350"/>
      <c r="CE454" s="350"/>
      <c r="CF454" s="350"/>
      <c r="CG454" s="445"/>
      <c r="CR454" s="445"/>
      <c r="CS454" s="445"/>
      <c r="CT454" s="301"/>
      <c r="CU454" s="458" t="s">
        <v>157</v>
      </c>
      <c r="CV454" s="458" t="s">
        <v>158</v>
      </c>
      <c r="CW454" s="459" t="s">
        <v>159</v>
      </c>
      <c r="CX454" s="459"/>
      <c r="CY454" s="460" t="s">
        <v>160</v>
      </c>
      <c r="CZ454" s="459" t="s">
        <v>135</v>
      </c>
      <c r="DA454" s="302"/>
      <c r="DB454" s="302"/>
      <c r="DC454" s="364"/>
      <c r="DD454" s="445"/>
      <c r="DF454" s="424"/>
      <c r="DW454" s="424"/>
      <c r="DX454" s="424"/>
      <c r="DY454" s="424"/>
      <c r="DZ454" s="424"/>
      <c r="EA454" s="424"/>
      <c r="EB454" s="424"/>
      <c r="EO454" s="425"/>
      <c r="EP454" s="333"/>
    </row>
    <row r="455" spans="80:146" x14ac:dyDescent="0.25">
      <c r="CB455" s="445"/>
      <c r="CC455" s="350"/>
      <c r="CD455" s="350"/>
      <c r="CE455" s="350"/>
      <c r="CF455" s="350"/>
      <c r="CG455" s="445"/>
      <c r="CR455" s="445"/>
      <c r="CS455" s="445"/>
      <c r="CT455" s="395" t="str">
        <f t="shared" ref="CT455:CT464" ca="1" si="380">CT444</f>
        <v/>
      </c>
      <c r="CU455" s="465" t="str">
        <f ca="1">IF(OR(CT455="",DA455="",CT455=DA455,COUNTIF(games.rv,CT455&amp;DA455)=0),"",CONCATENATE(CT455,DA455))</f>
        <v/>
      </c>
      <c r="CV455" s="360" t="str">
        <f ca="1">IF(CU455="","",CONCATENATE(VLOOKUP(CU455,games.r,9,FALSE),VLOOKUP(CU455,games.r,12,FALSE)))</f>
        <v/>
      </c>
      <c r="CW455" s="354" t="str">
        <f ca="1">IF(CU455="","",VLOOKUP(CU455,games.r,10,FALSE))</f>
        <v/>
      </c>
      <c r="CX455" s="354" t="str">
        <f ca="1">IF(CU455="","",VLOOKUP(CU455,games.r,13,FALSE))</f>
        <v/>
      </c>
      <c r="CY455" s="361" t="str">
        <f ca="1">IF(CU455="","",VLOOKUP(CU455,games.r,6,FALSE))</f>
        <v/>
      </c>
      <c r="CZ455" s="362" t="str">
        <f ca="1">IF(CU455="","",VLOOKUP(CU455,games.r,7,FALSE))</f>
        <v/>
      </c>
      <c r="DA455" s="466" t="str">
        <f ca="1">CT415</f>
        <v/>
      </c>
      <c r="DB455" s="302"/>
      <c r="DC455" s="364"/>
      <c r="DD455" s="445"/>
      <c r="DF455" s="424"/>
      <c r="DW455" s="424"/>
      <c r="DX455" s="424"/>
      <c r="DY455" s="424"/>
      <c r="DZ455" s="424"/>
      <c r="EA455" s="424"/>
      <c r="EB455" s="424"/>
      <c r="EO455" s="425"/>
      <c r="EP455" s="333"/>
    </row>
    <row r="456" spans="80:146" x14ac:dyDescent="0.25">
      <c r="CB456" s="445"/>
      <c r="CC456" s="350"/>
      <c r="CD456" s="350"/>
      <c r="CE456" s="350"/>
      <c r="CF456" s="350"/>
      <c r="CG456" s="445"/>
      <c r="CR456" s="445"/>
      <c r="CS456" s="445"/>
      <c r="CT456" s="395" t="str">
        <f t="shared" ca="1" si="380"/>
        <v/>
      </c>
      <c r="CU456" s="465" t="str">
        <f ca="1">IF(OR(CT456="",DA456="",CT456=DA456,COUNTIF(games.rv,CT456&amp;DA456)=0),"",CONCATENATE(CT456,DA456))</f>
        <v/>
      </c>
      <c r="CV456" s="360" t="str">
        <f ca="1">IF(CU456="","",CONCATENATE(VLOOKUP(CU456,games.r,9,FALSE),VLOOKUP(CU456,games.r,12,FALSE)))</f>
        <v/>
      </c>
      <c r="CW456" s="354" t="str">
        <f ca="1">IF(CU456="","",VLOOKUP(CU456,games.r,10,FALSE))</f>
        <v/>
      </c>
      <c r="CX456" s="354" t="str">
        <f ca="1">IF(CU456="","",VLOOKUP(CU456,games.r,13,FALSE))</f>
        <v/>
      </c>
      <c r="CY456" s="361" t="str">
        <f ca="1">IF(CU456="","",VLOOKUP(CU456,games.r,6,FALSE))</f>
        <v/>
      </c>
      <c r="CZ456" s="362" t="str">
        <f ca="1">IF(CU456="","",VLOOKUP(CU456,games.r,7,FALSE))</f>
        <v/>
      </c>
      <c r="DA456" s="379" t="str">
        <f t="shared" ref="DA456:DA464" ca="1" si="381">DA455</f>
        <v/>
      </c>
      <c r="DB456" s="302"/>
      <c r="DC456" s="364"/>
      <c r="DD456" s="445"/>
      <c r="DF456" s="424"/>
      <c r="DW456" s="424"/>
      <c r="DX456" s="424"/>
      <c r="DY456" s="424"/>
      <c r="DZ456" s="424"/>
      <c r="EA456" s="424"/>
      <c r="EB456" s="424"/>
      <c r="EO456" s="425"/>
      <c r="EP456" s="333"/>
    </row>
    <row r="457" spans="80:146" x14ac:dyDescent="0.25">
      <c r="CB457" s="445"/>
      <c r="CC457" s="350"/>
      <c r="CD457" s="350"/>
      <c r="CE457" s="350"/>
      <c r="CF457" s="350"/>
      <c r="CG457" s="445"/>
      <c r="CR457" s="445"/>
      <c r="CS457" s="445"/>
      <c r="CT457" s="395" t="str">
        <f t="shared" ca="1" si="380"/>
        <v/>
      </c>
      <c r="CU457" s="465" t="str">
        <f ca="1">IF(OR(CT457="",DA457="",CT457=DA457,COUNTIF(games.rv,CT457&amp;DA457)=0),"",CONCATENATE(CT457,DA457))</f>
        <v/>
      </c>
      <c r="CV457" s="360" t="str">
        <f ca="1">IF(CU457="","",CONCATENATE(VLOOKUP(CU457,games.r,9,FALSE),VLOOKUP(CU457,games.r,12,FALSE)))</f>
        <v/>
      </c>
      <c r="CW457" s="354" t="str">
        <f ca="1">IF(CU457="","",VLOOKUP(CU457,games.r,10,FALSE))</f>
        <v/>
      </c>
      <c r="CX457" s="354" t="str">
        <f ca="1">IF(CU457="","",VLOOKUP(CU457,games.r,13,FALSE))</f>
        <v/>
      </c>
      <c r="CY457" s="361" t="str">
        <f ca="1">IF(CU457="","",VLOOKUP(CU457,games.r,6,FALSE))</f>
        <v/>
      </c>
      <c r="CZ457" s="362" t="str">
        <f ca="1">IF(CU457="","",VLOOKUP(CU457,games.r,7,FALSE))</f>
        <v/>
      </c>
      <c r="DA457" s="379" t="str">
        <f t="shared" ca="1" si="381"/>
        <v/>
      </c>
      <c r="DB457" s="302"/>
      <c r="DC457" s="364"/>
      <c r="DD457" s="445"/>
      <c r="DF457" s="424"/>
      <c r="DW457" s="424"/>
      <c r="DX457" s="424"/>
      <c r="DY457" s="424"/>
      <c r="DZ457" s="424"/>
      <c r="EA457" s="424"/>
      <c r="EB457" s="424"/>
      <c r="EO457" s="425"/>
      <c r="EP457" s="333"/>
    </row>
    <row r="458" spans="80:146" x14ac:dyDescent="0.25">
      <c r="CB458" s="445"/>
      <c r="CC458" s="350"/>
      <c r="CD458" s="350"/>
      <c r="CE458" s="350"/>
      <c r="CF458" s="350"/>
      <c r="CG458" s="445"/>
      <c r="CR458" s="445"/>
      <c r="CS458" s="445"/>
      <c r="CT458" s="395" t="str">
        <f t="shared" ca="1" si="380"/>
        <v/>
      </c>
      <c r="CU458" s="465" t="str">
        <f ca="1">IF(OR(CT458="",DA458="",CT458=DA458,COUNTIF(games.rv,CT458&amp;DA458)=0),"",CONCATENATE(CT458,DA458))</f>
        <v/>
      </c>
      <c r="CV458" s="360" t="str">
        <f ca="1">IF(CU458="","",CONCATENATE(VLOOKUP(CU458,games.r,9,FALSE),VLOOKUP(CU458,games.r,12,FALSE)))</f>
        <v/>
      </c>
      <c r="CW458" s="354" t="str">
        <f ca="1">IF(CU458="","",VLOOKUP(CU458,games.r,10,FALSE))</f>
        <v/>
      </c>
      <c r="CX458" s="354" t="str">
        <f ca="1">IF(CU458="","",VLOOKUP(CU458,games.r,13,FALSE))</f>
        <v/>
      </c>
      <c r="CY458" s="361" t="str">
        <f ca="1">IF(CU458="","",VLOOKUP(CU458,games.r,6,FALSE))</f>
        <v/>
      </c>
      <c r="CZ458" s="362" t="str">
        <f ca="1">IF(CU458="","",VLOOKUP(CU458,games.r,7,FALSE))</f>
        <v/>
      </c>
      <c r="DA458" s="379" t="str">
        <f t="shared" ca="1" si="381"/>
        <v/>
      </c>
      <c r="DB458" s="302"/>
      <c r="DC458" s="364"/>
      <c r="DD458" s="445"/>
      <c r="DF458" s="424"/>
      <c r="DW458" s="424"/>
      <c r="DX458" s="424"/>
      <c r="DY458" s="424"/>
      <c r="DZ458" s="424"/>
      <c r="EA458" s="424"/>
      <c r="EB458" s="424"/>
      <c r="EO458" s="425"/>
      <c r="EP458" s="333"/>
    </row>
    <row r="459" spans="80:146" x14ac:dyDescent="0.25">
      <c r="CB459" s="445"/>
      <c r="CC459" s="350"/>
      <c r="CD459" s="350"/>
      <c r="CE459" s="350"/>
      <c r="CF459" s="350"/>
      <c r="CG459" s="445"/>
      <c r="CQ459" s="302"/>
      <c r="CR459" s="445"/>
      <c r="CS459" s="445"/>
      <c r="CT459" s="395" t="str">
        <f t="shared" ca="1" si="380"/>
        <v/>
      </c>
      <c r="CU459" s="465" t="str">
        <f ca="1">IF(OR(CT459="",DA459="",CT459=DA459,COUNTIF(games.rv,CT459&amp;DA459)=0),"",CONCATENATE(CT459,DA459))</f>
        <v/>
      </c>
      <c r="CV459" s="360" t="str">
        <f ca="1">IF(CU459="","",CONCATENATE(VLOOKUP(CU459,games.r,9,FALSE),VLOOKUP(CU459,games.r,12,FALSE)))</f>
        <v/>
      </c>
      <c r="CW459" s="354" t="str">
        <f ca="1">IF(CU459="","",VLOOKUP(CU459,games.r,10,FALSE))</f>
        <v/>
      </c>
      <c r="CX459" s="354" t="str">
        <f ca="1">IF(CU459="","",VLOOKUP(CU459,games.r,13,FALSE))</f>
        <v/>
      </c>
      <c r="CY459" s="361" t="str">
        <f ca="1">IF(CU459="","",VLOOKUP(CU459,games.r,6,FALSE))</f>
        <v/>
      </c>
      <c r="CZ459" s="362" t="str">
        <f ca="1">IF(CU459="","",VLOOKUP(CU459,games.r,7,FALSE))</f>
        <v/>
      </c>
      <c r="DA459" s="379" t="str">
        <f t="shared" ca="1" si="381"/>
        <v/>
      </c>
      <c r="DB459" s="302"/>
      <c r="DC459" s="364"/>
      <c r="DD459" s="445"/>
      <c r="DF459" s="424"/>
      <c r="DW459" s="424"/>
      <c r="DX459" s="424"/>
      <c r="DY459" s="424"/>
      <c r="DZ459" s="424"/>
      <c r="EA459" s="424"/>
      <c r="EB459" s="424"/>
      <c r="EO459" s="425"/>
      <c r="EP459" s="333"/>
    </row>
    <row r="460" spans="80:146" x14ac:dyDescent="0.25">
      <c r="CB460" s="445"/>
      <c r="CC460" s="350"/>
      <c r="CD460" s="350"/>
      <c r="CE460" s="350"/>
      <c r="CF460" s="350"/>
      <c r="CG460" s="445"/>
      <c r="CQ460" s="302"/>
      <c r="CR460" s="445"/>
      <c r="CS460" s="445"/>
      <c r="CT460" s="522" t="str">
        <f t="shared" si="380"/>
        <v/>
      </c>
      <c r="CU460" s="371" t="str">
        <f ca="1">IF(OR(CT460="",DA460="",CT460=DA460,ISNA(VLOOKUP(CONCATENATE(CT460,DA460),games.a,2,FALSE))),"",CONCATENATE(CT460,DA460))</f>
        <v/>
      </c>
      <c r="CV460" s="371" t="str">
        <f ca="1">IF(CU460="","",CONCATENATE(VLOOKUP(CU460,games.a,9,FALSE),VLOOKUP(CU460,games.a,12,FALSE)))</f>
        <v/>
      </c>
      <c r="CW460" s="369" t="str">
        <f ca="1">IF(CU460="","",VLOOKUP(CU460,games.a,10,FALSE))</f>
        <v/>
      </c>
      <c r="CX460" s="369" t="str">
        <f ca="1">IF(CU460="","",VLOOKUP(CU460,games.a,13,FALSE))</f>
        <v/>
      </c>
      <c r="CY460" s="423" t="str">
        <f ca="1">IF(CU460="","",VLOOKUP(CU460,games.a,6,FALSE))</f>
        <v/>
      </c>
      <c r="CZ460" s="409" t="str">
        <f ca="1">IF(CU460="","",VLOOKUP(CU460,games.a,7,FALSE))</f>
        <v/>
      </c>
      <c r="DA460" s="523" t="str">
        <f t="shared" ca="1" si="381"/>
        <v/>
      </c>
      <c r="DB460" s="302"/>
      <c r="DC460" s="364"/>
      <c r="DD460" s="445"/>
      <c r="DF460" s="424"/>
      <c r="DW460" s="424"/>
      <c r="DX460" s="424"/>
      <c r="DY460" s="424"/>
      <c r="DZ460" s="424"/>
      <c r="EA460" s="424"/>
      <c r="EB460" s="424"/>
      <c r="EO460" s="425"/>
      <c r="EP460" s="333"/>
    </row>
    <row r="461" spans="80:146" x14ac:dyDescent="0.25">
      <c r="CB461" s="445"/>
      <c r="CC461" s="350"/>
      <c r="CD461" s="350"/>
      <c r="CE461" s="350"/>
      <c r="CF461" s="350"/>
      <c r="CG461" s="445"/>
      <c r="CQ461" s="302"/>
      <c r="CR461" s="445"/>
      <c r="CS461" s="445"/>
      <c r="CT461" s="522" t="str">
        <f t="shared" si="380"/>
        <v/>
      </c>
      <c r="CU461" s="371" t="str">
        <f ca="1">IF(OR(CT461="",DA461="",CT461=DA461,ISNA(VLOOKUP(CONCATENATE(CT461,DA461),games.a,2,FALSE))),"",CONCATENATE(CT461,DA461))</f>
        <v/>
      </c>
      <c r="CV461" s="371" t="str">
        <f ca="1">IF(CU461="","",CONCATENATE(VLOOKUP(CU461,games.a,9,FALSE),VLOOKUP(CU461,games.a,12,FALSE)))</f>
        <v/>
      </c>
      <c r="CW461" s="369" t="str">
        <f ca="1">IF(CU461="","",VLOOKUP(CU461,games.a,10,FALSE))</f>
        <v/>
      </c>
      <c r="CX461" s="369" t="str">
        <f ca="1">IF(CU461="","",VLOOKUP(CU461,games.a,13,FALSE))</f>
        <v/>
      </c>
      <c r="CY461" s="423" t="str">
        <f ca="1">IF(CU461="","",VLOOKUP(CU461,games.a,6,FALSE))</f>
        <v/>
      </c>
      <c r="CZ461" s="409" t="str">
        <f ca="1">IF(CU461="","",VLOOKUP(CU461,games.a,7,FALSE))</f>
        <v/>
      </c>
      <c r="DA461" s="523" t="str">
        <f t="shared" ca="1" si="381"/>
        <v/>
      </c>
      <c r="DB461" s="302"/>
      <c r="DC461" s="364"/>
      <c r="DD461" s="445"/>
      <c r="DF461" s="424"/>
      <c r="DW461" s="424"/>
      <c r="DX461" s="424"/>
      <c r="DY461" s="424"/>
      <c r="DZ461" s="424"/>
      <c r="EA461" s="424"/>
      <c r="EB461" s="424"/>
      <c r="EO461" s="425"/>
      <c r="EP461" s="333"/>
    </row>
    <row r="462" spans="80:146" x14ac:dyDescent="0.25">
      <c r="CB462" s="445"/>
      <c r="CC462" s="350"/>
      <c r="CD462" s="350"/>
      <c r="CE462" s="350"/>
      <c r="CF462" s="350"/>
      <c r="CG462" s="445"/>
      <c r="CQ462" s="302"/>
      <c r="CR462" s="445"/>
      <c r="CS462" s="445"/>
      <c r="CT462" s="522" t="str">
        <f t="shared" si="380"/>
        <v/>
      </c>
      <c r="CU462" s="371" t="str">
        <f ca="1">IF(OR(CT462="",DA462="",CT462=DA462,ISNA(VLOOKUP(CONCATENATE(CT462,DA462),games.a,2,FALSE))),"",CONCATENATE(CT462,DA462))</f>
        <v/>
      </c>
      <c r="CV462" s="371" t="str">
        <f ca="1">IF(CU462="","",CONCATENATE(VLOOKUP(CU462,games.a,9,FALSE),VLOOKUP(CU462,games.a,12,FALSE)))</f>
        <v/>
      </c>
      <c r="CW462" s="369" t="str">
        <f ca="1">IF(CU462="","",VLOOKUP(CU462,games.a,10,FALSE))</f>
        <v/>
      </c>
      <c r="CX462" s="369" t="str">
        <f ca="1">IF(CU462="","",VLOOKUP(CU462,games.a,13,FALSE))</f>
        <v/>
      </c>
      <c r="CY462" s="423" t="str">
        <f ca="1">IF(CU462="","",VLOOKUP(CU462,games.a,6,FALSE))</f>
        <v/>
      </c>
      <c r="CZ462" s="409" t="str">
        <f ca="1">IF(CU462="","",VLOOKUP(CU462,games.a,7,FALSE))</f>
        <v/>
      </c>
      <c r="DA462" s="523" t="str">
        <f t="shared" ca="1" si="381"/>
        <v/>
      </c>
      <c r="DB462" s="302"/>
      <c r="DC462" s="364"/>
      <c r="DD462" s="445"/>
      <c r="DF462" s="424"/>
      <c r="DW462" s="424"/>
      <c r="DX462" s="424"/>
      <c r="DY462" s="424"/>
      <c r="DZ462" s="424"/>
      <c r="EA462" s="424"/>
      <c r="EB462" s="424"/>
      <c r="EO462" s="425"/>
      <c r="EP462" s="333"/>
    </row>
    <row r="463" spans="80:146" x14ac:dyDescent="0.25">
      <c r="CB463" s="445"/>
      <c r="CC463" s="300"/>
      <c r="CD463" s="300"/>
      <c r="CE463" s="300"/>
      <c r="CF463" s="449"/>
      <c r="CG463" s="445"/>
      <c r="CQ463" s="302"/>
      <c r="CR463" s="445"/>
      <c r="CS463" s="445"/>
      <c r="CT463" s="522" t="str">
        <f t="shared" si="380"/>
        <v/>
      </c>
      <c r="CU463" s="371" t="str">
        <f ca="1">IF(OR(CT463="",DA463="",CT463=DA463,ISNA(VLOOKUP(CONCATENATE(CT463,DA463),games.a,2,FALSE))),"",CONCATENATE(CT463,DA463))</f>
        <v/>
      </c>
      <c r="CV463" s="371" t="str">
        <f ca="1">IF(CU463="","",CONCATENATE(VLOOKUP(CU463,games.a,9,FALSE),VLOOKUP(CU463,games.a,12,FALSE)))</f>
        <v/>
      </c>
      <c r="CW463" s="369" t="str">
        <f ca="1">IF(CU463="","",VLOOKUP(CU463,games.a,10,FALSE))</f>
        <v/>
      </c>
      <c r="CX463" s="369" t="str">
        <f ca="1">IF(CU463="","",VLOOKUP(CU463,games.a,13,FALSE))</f>
        <v/>
      </c>
      <c r="CY463" s="423" t="str">
        <f ca="1">IF(CU463="","",VLOOKUP(CU463,games.a,6,FALSE))</f>
        <v/>
      </c>
      <c r="CZ463" s="409" t="str">
        <f ca="1">IF(CU463="","",VLOOKUP(CU463,games.a,7,FALSE))</f>
        <v/>
      </c>
      <c r="DA463" s="523" t="str">
        <f t="shared" ca="1" si="381"/>
        <v/>
      </c>
      <c r="DB463" s="302"/>
      <c r="DC463" s="364"/>
      <c r="DD463" s="445"/>
      <c r="DF463" s="424"/>
      <c r="DW463" s="424"/>
      <c r="DX463" s="424"/>
      <c r="DY463" s="424"/>
      <c r="DZ463" s="424"/>
      <c r="EA463" s="424"/>
      <c r="EB463" s="424"/>
      <c r="EO463" s="425"/>
      <c r="EP463" s="333"/>
    </row>
    <row r="464" spans="80:146" x14ac:dyDescent="0.25">
      <c r="CB464" s="445"/>
      <c r="CC464" s="300"/>
      <c r="CD464" s="300"/>
      <c r="CE464" s="300"/>
      <c r="CF464" s="449"/>
      <c r="CG464" s="445"/>
      <c r="CQ464" s="302"/>
      <c r="CR464" s="445"/>
      <c r="CS464" s="445"/>
      <c r="CT464" s="522" t="str">
        <f t="shared" si="380"/>
        <v/>
      </c>
      <c r="CU464" s="371" t="str">
        <f ca="1">IF(OR(CT464="",DA464="",CT464=DA464,ISNA(VLOOKUP(CONCATENATE(CT464,DA464),games.a,2,FALSE))),"",CONCATENATE(CT464,DA464))</f>
        <v/>
      </c>
      <c r="CV464" s="371" t="str">
        <f ca="1">IF(CU464="","",CONCATENATE(VLOOKUP(CU464,games.a,9,FALSE),VLOOKUP(CU464,games.a,12,FALSE)))</f>
        <v/>
      </c>
      <c r="CW464" s="369" t="str">
        <f ca="1">IF(CU464="","",VLOOKUP(CU464,games.a,10,FALSE))</f>
        <v/>
      </c>
      <c r="CX464" s="369" t="str">
        <f ca="1">IF(CU464="","",VLOOKUP(CU464,games.a,13,FALSE))</f>
        <v/>
      </c>
      <c r="CY464" s="423" t="str">
        <f ca="1">IF(CU464="","",VLOOKUP(CU464,games.a,6,FALSE))</f>
        <v/>
      </c>
      <c r="CZ464" s="409" t="str">
        <f ca="1">IF(CU464="","",VLOOKUP(CU464,games.a,7,FALSE))</f>
        <v/>
      </c>
      <c r="DA464" s="523" t="str">
        <f t="shared" ca="1" si="381"/>
        <v/>
      </c>
      <c r="DB464" s="302"/>
      <c r="DC464" s="364"/>
      <c r="DD464" s="445"/>
      <c r="DF464" s="424"/>
      <c r="DW464" s="424"/>
      <c r="DX464" s="424"/>
      <c r="DY464" s="424"/>
      <c r="DZ464" s="424"/>
      <c r="EA464" s="424"/>
      <c r="EB464" s="424"/>
      <c r="EO464" s="425"/>
      <c r="EP464" s="333"/>
    </row>
    <row r="465" spans="80:146" x14ac:dyDescent="0.25">
      <c r="CB465" s="445"/>
      <c r="CC465" s="300"/>
      <c r="CD465" s="300"/>
      <c r="CE465" s="300"/>
      <c r="CF465" s="449"/>
      <c r="CG465" s="445"/>
      <c r="CQ465" s="302"/>
      <c r="CR465" s="445"/>
      <c r="CS465" s="445"/>
      <c r="CT465" s="301"/>
      <c r="CU465" s="302"/>
      <c r="CV465" s="302"/>
      <c r="CW465" s="302"/>
      <c r="CX465" s="302"/>
      <c r="CY465" s="302"/>
      <c r="CZ465" s="302"/>
      <c r="DA465" s="302"/>
      <c r="DB465" s="302"/>
      <c r="DC465" s="446" t="s">
        <v>220</v>
      </c>
      <c r="DD465" s="445"/>
      <c r="DF465" s="424"/>
      <c r="DW465" s="424"/>
      <c r="DX465" s="424"/>
      <c r="DY465" s="424"/>
      <c r="DZ465" s="424"/>
      <c r="EA465" s="424"/>
      <c r="EB465" s="424"/>
      <c r="EO465" s="425"/>
      <c r="EP465" s="333"/>
    </row>
    <row r="466" spans="80:146" x14ac:dyDescent="0.25">
      <c r="CB466" s="445"/>
      <c r="CC466" s="300"/>
      <c r="CD466" s="300"/>
      <c r="CE466" s="300"/>
      <c r="CF466" s="449"/>
      <c r="CG466" s="445"/>
      <c r="CQ466" s="302"/>
      <c r="CT466" s="301"/>
      <c r="CU466" s="302"/>
      <c r="CV466" s="302"/>
      <c r="CW466" s="302"/>
      <c r="CX466" s="302"/>
      <c r="CY466" s="302"/>
      <c r="CZ466" s="302"/>
      <c r="DA466" s="447"/>
      <c r="DB466" s="302"/>
      <c r="DC466" s="448" t="s">
        <v>221</v>
      </c>
      <c r="DW466" s="424"/>
      <c r="DX466" s="424"/>
      <c r="DY466" s="424"/>
      <c r="DZ466" s="424"/>
      <c r="EA466" s="424"/>
      <c r="EB466" s="424"/>
      <c r="EO466" s="425"/>
      <c r="EP466" s="333"/>
    </row>
    <row r="467" spans="80:146" x14ac:dyDescent="0.25">
      <c r="CB467" s="445"/>
      <c r="CC467" s="300"/>
      <c r="CD467" s="300"/>
      <c r="CE467" s="300"/>
      <c r="CF467" s="449"/>
      <c r="CG467" s="445"/>
      <c r="CT467" s="323" t="b">
        <f ca="1">OR(NOT(ASZTAB!$AJ$44),COUNTIF(CY467:CY487,"")&lt;=18-(DA467-1)*DA467/2)</f>
        <v>1</v>
      </c>
      <c r="CU467" s="458" t="s">
        <v>157</v>
      </c>
      <c r="CV467" s="458" t="s">
        <v>158</v>
      </c>
      <c r="CW467" s="459" t="s">
        <v>159</v>
      </c>
      <c r="CX467" s="459"/>
      <c r="CY467" s="460" t="s">
        <v>160</v>
      </c>
      <c r="CZ467" s="459" t="s">
        <v>135</v>
      </c>
      <c r="DA467" s="323">
        <f ca="1">COUNT(CN343:CN345)</f>
        <v>0</v>
      </c>
      <c r="DB467" s="302"/>
      <c r="DC467" s="364"/>
      <c r="DG467" s="329" t="s">
        <v>229</v>
      </c>
      <c r="DH467" s="365"/>
      <c r="DI467" s="329" t="s">
        <v>152</v>
      </c>
      <c r="DJ467" s="329" t="s">
        <v>153</v>
      </c>
      <c r="DK467" s="329" t="s">
        <v>154</v>
      </c>
      <c r="DL467" s="329" t="s">
        <v>155</v>
      </c>
      <c r="DM467" s="329" t="s">
        <v>125</v>
      </c>
      <c r="DN467" s="329" t="s">
        <v>226</v>
      </c>
      <c r="DO467" s="329" t="s">
        <v>126</v>
      </c>
      <c r="DP467" s="329" t="s">
        <v>227</v>
      </c>
      <c r="DQ467" s="424"/>
      <c r="DR467" s="424"/>
      <c r="DS467" s="424"/>
      <c r="DT467" s="329" t="s">
        <v>228</v>
      </c>
      <c r="DU467" s="329" t="s">
        <v>156</v>
      </c>
      <c r="DV467" s="329" t="s">
        <v>208</v>
      </c>
      <c r="DW467" s="424"/>
      <c r="DX467" s="424"/>
      <c r="DY467" s="424"/>
      <c r="DZ467" s="424"/>
      <c r="EA467" s="424"/>
      <c r="EB467" s="424"/>
      <c r="EP467" s="333"/>
    </row>
    <row r="468" spans="80:146" x14ac:dyDescent="0.25">
      <c r="CB468" s="445"/>
      <c r="CC468" s="300"/>
      <c r="CD468" s="300"/>
      <c r="CE468" s="300"/>
      <c r="CF468" s="449"/>
      <c r="CG468" s="445"/>
      <c r="CT468" s="464" t="str">
        <f ca="1">IF(CN343="","",VLOOKUP(CN343,xxx.rv2,7,FALSE))</f>
        <v/>
      </c>
      <c r="CU468" s="465" t="str">
        <f ca="1">IF(OR(CT468="",DA468="",CT468=DA468,COUNTIF(games.rv,CT468&amp;DA468)=0),"",CONCATENATE(CT468,DA468))</f>
        <v/>
      </c>
      <c r="CV468" s="360" t="str">
        <f ca="1">IF(CU468="","",CONCATENATE(VLOOKUP(CU468,games.r,9,FALSE),VLOOKUP(CU468,games.r,12,FALSE)))</f>
        <v/>
      </c>
      <c r="CW468" s="354" t="str">
        <f ca="1">IF(CU468="","",VLOOKUP(CU468,games.r,10,FALSE))</f>
        <v/>
      </c>
      <c r="CX468" s="354" t="str">
        <f ca="1">IF(CU468="","",VLOOKUP(CU468,games.r,13,FALSE))</f>
        <v/>
      </c>
      <c r="CY468" s="361" t="str">
        <f ca="1">IF(CU468="","",VLOOKUP(CU468,games.r,6,FALSE))</f>
        <v/>
      </c>
      <c r="CZ468" s="362" t="str">
        <f ca="1">IF(CU468="","",VLOOKUP(CU468,games.r,7,FALSE))</f>
        <v/>
      </c>
      <c r="DA468" s="466" t="str">
        <f ca="1">CT468</f>
        <v/>
      </c>
      <c r="DB468" s="302"/>
      <c r="DC468" s="364"/>
      <c r="DG468" s="366" t="str">
        <f ca="1">IF(OR(NOT(ASZTAB!$AJ$44),CT467),CT468,"")</f>
        <v/>
      </c>
      <c r="DH468" s="365"/>
      <c r="DI468" s="366">
        <f ca="1">IF(DG468="",0,COUNTIF(xxgy.rv,DG468))</f>
        <v>0</v>
      </c>
      <c r="DJ468" s="366">
        <f ca="1">IF(DG468="",0,COUNTIF(xxd.rv,DG468))</f>
        <v>0</v>
      </c>
      <c r="DK468" s="366">
        <f ca="1">IF(DG468="",0,1)*(SUMIF(xxo.rv,DG468,xxl.rv)+SUMIF(xxi.rv,DG468,xxk.rv))</f>
        <v>0</v>
      </c>
      <c r="DL468" s="366">
        <f ca="1">IF(DG468="",0,1)*(SUMIF(xxo.rv,DG468,xxk.rv)+SUMIF(xxi.rv,DG468,xxl.rv))</f>
        <v>0</v>
      </c>
      <c r="DM468" s="366">
        <f ca="1">DK468-DL468</f>
        <v>0</v>
      </c>
      <c r="DN468" s="366">
        <f ca="1">IF(DL468=0,0,DK468/DL468)</f>
        <v>0</v>
      </c>
      <c r="DO468" s="366">
        <f ca="1">ASZTAB!$AJ$48*DI468+IF(ASZTAB!$AJ$44,0,1)*DJ468</f>
        <v>0</v>
      </c>
      <c r="DP468" s="396">
        <f ca="1">DO468*1000000+IF(ASZTAB!$AJ$44,DN468,DM468)*1000*0</f>
        <v>0</v>
      </c>
      <c r="DQ468" s="424"/>
      <c r="DR468" s="424"/>
      <c r="DS468" s="424"/>
      <c r="DT468" s="366">
        <f ca="1">IF(OR(ISERR(DP468),ISNA(DP468)),0,DP468)</f>
        <v>0</v>
      </c>
      <c r="DU468" s="366">
        <f ca="1">IF(DT468=0,0,RANK(DT468,DT468:DT470,1))</f>
        <v>0</v>
      </c>
      <c r="DV468" s="366">
        <f ca="1">DU468*40000*IF(COUNTIF($EN$411:$EN$420,DG468)&gt;0,0,1)</f>
        <v>0</v>
      </c>
      <c r="DW468" s="424"/>
      <c r="DX468" s="424"/>
      <c r="DY468" s="424"/>
      <c r="DZ468" s="424"/>
      <c r="EA468" s="424"/>
      <c r="EB468" s="424"/>
      <c r="EP468" s="333"/>
    </row>
    <row r="469" spans="80:146" x14ac:dyDescent="0.25">
      <c r="CB469" s="445"/>
      <c r="CC469" s="300"/>
      <c r="CD469" s="300"/>
      <c r="CE469" s="300"/>
      <c r="CF469" s="449"/>
      <c r="CG469" s="445"/>
      <c r="CT469" s="464" t="str">
        <f ca="1">IF(CN344="","",VLOOKUP(CN344,xxx.rv2,7,FALSE))</f>
        <v/>
      </c>
      <c r="CU469" s="465" t="str">
        <f ca="1">IF(OR(CT469="",DA469="",CT469=DA469,COUNTIF(games.rv,CT469&amp;DA469)=0),"",CONCATENATE(CT469,DA469))</f>
        <v/>
      </c>
      <c r="CV469" s="360" t="str">
        <f ca="1">IF(CU469="","",CONCATENATE(VLOOKUP(CU469,games.r,9,FALSE),VLOOKUP(CU469,games.r,12,FALSE)))</f>
        <v/>
      </c>
      <c r="CW469" s="354" t="str">
        <f ca="1">IF(CU469="","",VLOOKUP(CU469,games.r,10,FALSE))</f>
        <v/>
      </c>
      <c r="CX469" s="354" t="str">
        <f ca="1">IF(CU469="","",VLOOKUP(CU469,games.r,13,FALSE))</f>
        <v/>
      </c>
      <c r="CY469" s="361" t="str">
        <f ca="1">IF(CU469="","",VLOOKUP(CU469,games.r,6,FALSE))</f>
        <v/>
      </c>
      <c r="CZ469" s="362" t="str">
        <f ca="1">IF(CU469="","",VLOOKUP(CU469,games.r,7,FALSE))</f>
        <v/>
      </c>
      <c r="DA469" s="379" t="str">
        <f ca="1">DA468</f>
        <v/>
      </c>
      <c r="DB469" s="302"/>
      <c r="DC469" s="364"/>
      <c r="DG469" s="366" t="str">
        <f ca="1">IF(OR(NOT(ASZTAB!$AJ$44),CT467),CT469,"")</f>
        <v/>
      </c>
      <c r="DH469" s="365"/>
      <c r="DI469" s="366">
        <f ca="1">IF(DG469="",0,COUNTIF(xxgy.rv,DG469))</f>
        <v>0</v>
      </c>
      <c r="DJ469" s="366">
        <f ca="1">IF(DG469="",0,COUNTIF(xxd.rv,DG469))</f>
        <v>0</v>
      </c>
      <c r="DK469" s="366">
        <f ca="1">IF(DG469="",0,1)*(SUMIF(xxo.rv,DG469,xxl.rv)+SUMIF(xxi.rv,DG469,xxk.rv))</f>
        <v>0</v>
      </c>
      <c r="DL469" s="366">
        <f ca="1">IF(DG469="",0,1)*(SUMIF(xxo.rv,DG469,xxk.rv)+SUMIF(xxi.rv,DG469,xxl.rv))</f>
        <v>0</v>
      </c>
      <c r="DM469" s="366">
        <f ca="1">DK469-DL469</f>
        <v>0</v>
      </c>
      <c r="DN469" s="366">
        <f ca="1">IF(DL469=0,0,DK469/DL469)</f>
        <v>0</v>
      </c>
      <c r="DO469" s="366">
        <f ca="1">ASZTAB!$AJ$48*DI469+IF(ASZTAB!$AJ$44,0,1)*DJ469</f>
        <v>0</v>
      </c>
      <c r="DP469" s="396">
        <f ca="1">DO469*1000000+IF(ASZTAB!$AJ$44,DN469,DM469)*1000*0</f>
        <v>0</v>
      </c>
      <c r="DQ469" s="424"/>
      <c r="DR469" s="424"/>
      <c r="DS469" s="424"/>
      <c r="DT469" s="366">
        <f ca="1">IF(OR(ISERR(DP469),ISNA(DP469)),0,DP469)</f>
        <v>0</v>
      </c>
      <c r="DU469" s="366">
        <f ca="1">IF(DT469=0,0,RANK(DT469,DT468:DT470,1))</f>
        <v>0</v>
      </c>
      <c r="DV469" s="366">
        <f ca="1">DU469*40000*IF(COUNTIF($EN$411:$EN$420,DG469)&gt;0,0,1)</f>
        <v>0</v>
      </c>
      <c r="DW469" s="424"/>
      <c r="DX469" s="424"/>
      <c r="DY469" s="424"/>
      <c r="DZ469" s="424"/>
      <c r="EA469" s="424"/>
      <c r="EB469" s="424"/>
      <c r="EP469" s="333"/>
    </row>
    <row r="470" spans="80:146" x14ac:dyDescent="0.25">
      <c r="CB470" s="445"/>
      <c r="CC470" s="300"/>
      <c r="CD470" s="300"/>
      <c r="CE470" s="300"/>
      <c r="CF470" s="449"/>
      <c r="CG470" s="445"/>
      <c r="CT470" s="464" t="str">
        <f ca="1">IF(CN345="","",VLOOKUP(CN345,xxx.rv2,7,FALSE))</f>
        <v/>
      </c>
      <c r="CU470" s="465" t="str">
        <f ca="1">IF(OR(CT470="",DA470="",CT470=DA470,COUNTIF(games.rv,CT470&amp;DA470)=0),"",CONCATENATE(CT470,DA470))</f>
        <v/>
      </c>
      <c r="CV470" s="360" t="str">
        <f ca="1">IF(CU470="","",CONCATENATE(VLOOKUP(CU470,games.r,9,FALSE),VLOOKUP(CU470,games.r,12,FALSE)))</f>
        <v/>
      </c>
      <c r="CW470" s="354" t="str">
        <f ca="1">IF(CU470="","",VLOOKUP(CU470,games.r,10,FALSE))</f>
        <v/>
      </c>
      <c r="CX470" s="354" t="str">
        <f ca="1">IF(CU470="","",VLOOKUP(CU470,games.r,13,FALSE))</f>
        <v/>
      </c>
      <c r="CY470" s="361" t="str">
        <f ca="1">IF(CU470="","",VLOOKUP(CU470,games.r,6,FALSE))</f>
        <v/>
      </c>
      <c r="CZ470" s="362" t="str">
        <f ca="1">IF(CU470="","",VLOOKUP(CU470,games.r,7,FALSE))</f>
        <v/>
      </c>
      <c r="DA470" s="379" t="str">
        <f ca="1">DA469</f>
        <v/>
      </c>
      <c r="DB470" s="302"/>
      <c r="DC470" s="364"/>
      <c r="DG470" s="366" t="str">
        <f ca="1">IF(OR(NOT(ASZTAB!$AJ$44),CT467),CT470,"")</f>
        <v/>
      </c>
      <c r="DH470" s="365"/>
      <c r="DI470" s="366">
        <f ca="1">IF(DG470="",0,COUNTIF(xxgy.rv,DG470))</f>
        <v>0</v>
      </c>
      <c r="DJ470" s="366">
        <f ca="1">IF(DG470="",0,COUNTIF(xxd.rv,DG470))</f>
        <v>0</v>
      </c>
      <c r="DK470" s="366">
        <f ca="1">IF(DG470="",0,1)*(SUMIF(xxo.rv,DG470,xxl.rv)+SUMIF(xxi.rv,DG470,xxk.rv))</f>
        <v>0</v>
      </c>
      <c r="DL470" s="366">
        <f ca="1">IF(DG470="",0,1)*(SUMIF(xxo.rv,DG470,xxk.rv)+SUMIF(xxi.rv,DG470,xxl.rv))</f>
        <v>0</v>
      </c>
      <c r="DM470" s="366">
        <f ca="1">DK470-DL470</f>
        <v>0</v>
      </c>
      <c r="DN470" s="366">
        <f ca="1">IF(DL470=0,0,DK470/DL470)</f>
        <v>0</v>
      </c>
      <c r="DO470" s="366">
        <f ca="1">ASZTAB!$AJ$48*DI470+IF(ASZTAB!$AJ$44,0,1)*DJ470</f>
        <v>0</v>
      </c>
      <c r="DP470" s="396">
        <f ca="1">DO470*1000000+IF(ASZTAB!$AJ$44,DN470,DM470)*1000*0</f>
        <v>0</v>
      </c>
      <c r="DQ470" s="424"/>
      <c r="DR470" s="424"/>
      <c r="DS470" s="424"/>
      <c r="DT470" s="366">
        <f ca="1">IF(OR(ISERR(DP470),ISNA(DP470)),0,DP470)</f>
        <v>0</v>
      </c>
      <c r="DU470" s="366">
        <f ca="1">IF(DT470=0,0,RANK(DT470,DT468:DT470,1))</f>
        <v>0</v>
      </c>
      <c r="DV470" s="366">
        <f ca="1">DU470*40000*IF(COUNTIF($EN$411:$EN$420,DG470)&gt;0,0,1)</f>
        <v>0</v>
      </c>
      <c r="DW470" s="424"/>
      <c r="DX470" s="424"/>
      <c r="DY470" s="424"/>
      <c r="DZ470" s="424"/>
      <c r="EA470" s="424"/>
      <c r="EB470" s="424"/>
      <c r="EP470" s="333"/>
    </row>
    <row r="471" spans="80:146" x14ac:dyDescent="0.25">
      <c r="CB471" s="445"/>
      <c r="CC471" s="300"/>
      <c r="CD471" s="300"/>
      <c r="CE471" s="300"/>
      <c r="CF471" s="449"/>
      <c r="CG471" s="445"/>
      <c r="CT471" s="522" t="str">
        <f>IF(NOT($AD$105),"",CT468)</f>
        <v/>
      </c>
      <c r="CU471" s="371" t="str">
        <f ca="1">IF(OR(CT471="",DA471="",CT471=DA471,ISNA(VLOOKUP(CONCATENATE(CT471,DA471),games.a,2,FALSE))),"",CONCATENATE(CT471,DA471))</f>
        <v/>
      </c>
      <c r="CV471" s="371" t="str">
        <f ca="1">IF(CU471="","",CONCATENATE(VLOOKUP(CU471,games.a,9,FALSE),VLOOKUP(CU471,games.a,12,FALSE)))</f>
        <v/>
      </c>
      <c r="CW471" s="369" t="str">
        <f ca="1">IF(CU471="","",VLOOKUP(CU471,games.a,10,FALSE))</f>
        <v/>
      </c>
      <c r="CX471" s="369" t="str">
        <f ca="1">IF(CU471="","",VLOOKUP(CU471,games.a,13,FALSE))</f>
        <v/>
      </c>
      <c r="CY471" s="423" t="str">
        <f ca="1">IF(CU471="","",VLOOKUP(CU471,games.a,6,FALSE))</f>
        <v/>
      </c>
      <c r="CZ471" s="409" t="str">
        <f ca="1">IF(CU471="","",VLOOKUP(CU471,games.a,7,FALSE))</f>
        <v/>
      </c>
      <c r="DA471" s="523" t="str">
        <f ca="1">DA470</f>
        <v/>
      </c>
      <c r="DB471" s="302"/>
      <c r="DC471" s="364"/>
      <c r="DG471" s="424"/>
      <c r="DH471" s="424"/>
      <c r="DI471" s="424"/>
      <c r="DJ471" s="424"/>
      <c r="DK471" s="424"/>
      <c r="DL471" s="424"/>
      <c r="DM471" s="424"/>
      <c r="DN471" s="424"/>
      <c r="DO471" s="424"/>
      <c r="DP471" s="424"/>
      <c r="DQ471" s="424"/>
      <c r="DR471" s="424"/>
      <c r="DS471" s="424"/>
      <c r="DT471" s="424"/>
      <c r="DU471" s="424"/>
      <c r="DV471" s="424"/>
      <c r="DW471" s="424"/>
      <c r="DX471" s="424"/>
      <c r="DY471" s="424"/>
      <c r="DZ471" s="424"/>
      <c r="EA471" s="424"/>
      <c r="EB471" s="424"/>
      <c r="EP471" s="333"/>
    </row>
    <row r="472" spans="80:146" x14ac:dyDescent="0.25">
      <c r="CB472" s="445"/>
      <c r="CC472" s="300"/>
      <c r="CD472" s="300"/>
      <c r="CE472" s="300"/>
      <c r="CF472" s="449"/>
      <c r="CG472" s="445"/>
      <c r="CT472" s="522" t="str">
        <f>IF(NOT($AD$105),"",CT469)</f>
        <v/>
      </c>
      <c r="CU472" s="371" t="str">
        <f ca="1">IF(OR(CT472="",DA472="",CT472=DA472,ISNA(VLOOKUP(CONCATENATE(CT472,DA472),games.a,2,FALSE))),"",CONCATENATE(CT472,DA472))</f>
        <v/>
      </c>
      <c r="CV472" s="371" t="str">
        <f ca="1">IF(CU472="","",CONCATENATE(VLOOKUP(CU472,games.a,9,FALSE),VLOOKUP(CU472,games.a,12,FALSE)))</f>
        <v/>
      </c>
      <c r="CW472" s="369" t="str">
        <f ca="1">IF(CU472="","",VLOOKUP(CU472,games.a,10,FALSE))</f>
        <v/>
      </c>
      <c r="CX472" s="369" t="str">
        <f ca="1">IF(CU472="","",VLOOKUP(CU472,games.a,13,FALSE))</f>
        <v/>
      </c>
      <c r="CY472" s="423" t="str">
        <f ca="1">IF(CU472="","",VLOOKUP(CU472,games.a,6,FALSE))</f>
        <v/>
      </c>
      <c r="CZ472" s="409" t="str">
        <f ca="1">IF(CU472="","",VLOOKUP(CU472,games.a,7,FALSE))</f>
        <v/>
      </c>
      <c r="DA472" s="523" t="str">
        <f ca="1">DA471</f>
        <v/>
      </c>
      <c r="DB472" s="302"/>
      <c r="DC472" s="364"/>
      <c r="DG472" s="424"/>
      <c r="DH472" s="424"/>
      <c r="DI472" s="424"/>
      <c r="DJ472" s="424"/>
      <c r="DK472" s="424"/>
      <c r="DL472" s="424"/>
      <c r="DM472" s="424"/>
      <c r="DN472" s="424"/>
      <c r="DO472" s="424"/>
      <c r="DP472" s="424"/>
      <c r="DQ472" s="424"/>
      <c r="DR472" s="424"/>
      <c r="DS472" s="424"/>
      <c r="DT472" s="424"/>
      <c r="DU472" s="424"/>
      <c r="DV472" s="424"/>
      <c r="DW472" s="424"/>
      <c r="DX472" s="424"/>
      <c r="DY472" s="424"/>
      <c r="DZ472" s="424"/>
      <c r="EA472" s="424"/>
      <c r="EB472" s="424"/>
      <c r="EP472" s="333"/>
    </row>
    <row r="473" spans="80:146" x14ac:dyDescent="0.25">
      <c r="CB473" s="445"/>
      <c r="CC473" s="300"/>
      <c r="CD473" s="300"/>
      <c r="CE473" s="300"/>
      <c r="CF473" s="449"/>
      <c r="CG473" s="445"/>
      <c r="CT473" s="522" t="str">
        <f>IF(NOT($AD$105),"",CT470)</f>
        <v/>
      </c>
      <c r="CU473" s="371" t="str">
        <f ca="1">IF(OR(CT473="",DA473="",CT473=DA473,ISNA(VLOOKUP(CONCATENATE(CT473,DA473),games.a,2,FALSE))),"",CONCATENATE(CT473,DA473))</f>
        <v/>
      </c>
      <c r="CV473" s="371" t="str">
        <f ca="1">IF(CU473="","",CONCATENATE(VLOOKUP(CU473,games.a,9,FALSE),VLOOKUP(CU473,games.a,12,FALSE)))</f>
        <v/>
      </c>
      <c r="CW473" s="369" t="str">
        <f ca="1">IF(CU473="","",VLOOKUP(CU473,games.a,10,FALSE))</f>
        <v/>
      </c>
      <c r="CX473" s="369" t="str">
        <f ca="1">IF(CU473="","",VLOOKUP(CU473,games.a,13,FALSE))</f>
        <v/>
      </c>
      <c r="CY473" s="423" t="str">
        <f ca="1">IF(CU473="","",VLOOKUP(CU473,games.a,6,FALSE))</f>
        <v/>
      </c>
      <c r="CZ473" s="409" t="str">
        <f ca="1">IF(CU473="","",VLOOKUP(CU473,games.a,7,FALSE))</f>
        <v/>
      </c>
      <c r="DA473" s="523" t="str">
        <f ca="1">DA472</f>
        <v/>
      </c>
      <c r="DB473" s="302"/>
      <c r="DC473" s="364"/>
      <c r="DG473" s="424"/>
      <c r="DH473" s="424"/>
      <c r="DI473" s="424"/>
      <c r="DJ473" s="424"/>
      <c r="DK473" s="424"/>
      <c r="DL473" s="424"/>
      <c r="DM473" s="424"/>
      <c r="DN473" s="424"/>
      <c r="DO473" s="424"/>
      <c r="DP473" s="424"/>
      <c r="DQ473" s="424"/>
      <c r="DR473" s="424"/>
      <c r="DS473" s="424"/>
      <c r="DT473" s="424"/>
      <c r="DU473" s="424"/>
      <c r="DV473" s="424"/>
      <c r="DW473" s="424"/>
      <c r="DX473" s="424"/>
      <c r="DY473" s="424"/>
      <c r="DZ473" s="424"/>
      <c r="EA473" s="424"/>
      <c r="EB473" s="424"/>
      <c r="EP473" s="333"/>
    </row>
    <row r="474" spans="80:146" x14ac:dyDescent="0.25">
      <c r="CB474" s="445"/>
      <c r="CC474" s="300"/>
      <c r="CD474" s="300"/>
      <c r="CE474" s="300"/>
      <c r="CF474" s="449"/>
      <c r="CG474" s="445"/>
      <c r="CT474" s="301"/>
      <c r="CU474" s="458" t="s">
        <v>157</v>
      </c>
      <c r="CV474" s="458" t="s">
        <v>158</v>
      </c>
      <c r="CW474" s="459" t="s">
        <v>159</v>
      </c>
      <c r="CX474" s="459"/>
      <c r="CY474" s="460" t="s">
        <v>160</v>
      </c>
      <c r="CZ474" s="459" t="s">
        <v>135</v>
      </c>
      <c r="DA474" s="302"/>
      <c r="DB474" s="302"/>
      <c r="DC474" s="364"/>
      <c r="DG474" s="424"/>
      <c r="DH474" s="424"/>
      <c r="DI474" s="424"/>
      <c r="DJ474" s="424"/>
      <c r="DK474" s="424"/>
      <c r="DL474" s="424"/>
      <c r="DM474" s="424"/>
      <c r="DN474" s="424"/>
      <c r="DO474" s="424"/>
      <c r="DP474" s="424"/>
      <c r="DQ474" s="424"/>
      <c r="DR474" s="424"/>
      <c r="DS474" s="424"/>
      <c r="DT474" s="424"/>
      <c r="DU474" s="424"/>
      <c r="DV474" s="424"/>
      <c r="DW474" s="424"/>
      <c r="DX474" s="424"/>
      <c r="DY474" s="424"/>
      <c r="DZ474" s="424"/>
      <c r="EA474" s="424"/>
      <c r="EB474" s="424"/>
      <c r="EP474" s="333"/>
    </row>
    <row r="475" spans="80:146" x14ac:dyDescent="0.25">
      <c r="CB475" s="445"/>
      <c r="CC475" s="300"/>
      <c r="CD475" s="300"/>
      <c r="CE475" s="300"/>
      <c r="CF475" s="449"/>
      <c r="CG475" s="445"/>
      <c r="CT475" s="395" t="str">
        <f t="shared" ref="CT475:CT480" ca="1" si="382">CT468</f>
        <v/>
      </c>
      <c r="CU475" s="465" t="str">
        <f ca="1">IF(OR(CT475="",DA475="",CT475=DA475,COUNTIF(games.rv,CT475&amp;DA475)=0),"",CONCATENATE(CT475,DA475))</f>
        <v/>
      </c>
      <c r="CV475" s="360" t="str">
        <f ca="1">IF(CU475="","",CONCATENATE(VLOOKUP(CU475,games.r,9,FALSE),VLOOKUP(CU475,games.r,12,FALSE)))</f>
        <v/>
      </c>
      <c r="CW475" s="354" t="str">
        <f ca="1">IF(CU475="","",VLOOKUP(CU475,games.r,10,FALSE))</f>
        <v/>
      </c>
      <c r="CX475" s="354" t="str">
        <f ca="1">IF(CU475="","",VLOOKUP(CU475,games.r,13,FALSE))</f>
        <v/>
      </c>
      <c r="CY475" s="361" t="str">
        <f ca="1">IF(CU475="","",VLOOKUP(CU475,games.r,6,FALSE))</f>
        <v/>
      </c>
      <c r="CZ475" s="362" t="str">
        <f ca="1">IF(CU475="","",VLOOKUP(CU475,games.r,7,FALSE))</f>
        <v/>
      </c>
      <c r="DA475" s="466" t="str">
        <f ca="1">CT469</f>
        <v/>
      </c>
      <c r="DB475" s="302"/>
      <c r="DC475" s="364"/>
      <c r="DG475" s="424"/>
      <c r="DH475" s="424"/>
      <c r="DI475" s="424"/>
      <c r="DJ475" s="424"/>
      <c r="DK475" s="424"/>
      <c r="DL475" s="424"/>
      <c r="DM475" s="424"/>
      <c r="DN475" s="424"/>
      <c r="DO475" s="424"/>
      <c r="DP475" s="424"/>
      <c r="DQ475" s="424"/>
      <c r="DR475" s="424"/>
      <c r="DS475" s="424"/>
      <c r="DT475" s="424"/>
      <c r="DU475" s="424"/>
      <c r="DV475" s="424"/>
      <c r="DW475" s="424"/>
      <c r="DX475" s="424"/>
      <c r="DY475" s="424"/>
      <c r="DZ475" s="424"/>
      <c r="EA475" s="424"/>
      <c r="EB475" s="424"/>
      <c r="EP475" s="333"/>
    </row>
    <row r="476" spans="80:146" x14ac:dyDescent="0.25">
      <c r="CB476" s="445"/>
      <c r="CC476" s="300"/>
      <c r="CD476" s="300"/>
      <c r="CE476" s="300"/>
      <c r="CF476" s="449"/>
      <c r="CG476" s="445"/>
      <c r="CT476" s="395" t="str">
        <f t="shared" ca="1" si="382"/>
        <v/>
      </c>
      <c r="CU476" s="465" t="str">
        <f ca="1">IF(OR(CT476="",DA476="",CT476=DA476,COUNTIF(games.rv,CT476&amp;DA476)=0),"",CONCATENATE(CT476,DA476))</f>
        <v/>
      </c>
      <c r="CV476" s="360" t="str">
        <f ca="1">IF(CU476="","",CONCATENATE(VLOOKUP(CU476,games.r,9,FALSE),VLOOKUP(CU476,games.r,12,FALSE)))</f>
        <v/>
      </c>
      <c r="CW476" s="354" t="str">
        <f ca="1">IF(CU476="","",VLOOKUP(CU476,games.r,10,FALSE))</f>
        <v/>
      </c>
      <c r="CX476" s="354" t="str">
        <f ca="1">IF(CU476="","",VLOOKUP(CU476,games.r,13,FALSE))</f>
        <v/>
      </c>
      <c r="CY476" s="361" t="str">
        <f ca="1">IF(CU476="","",VLOOKUP(CU476,games.r,6,FALSE))</f>
        <v/>
      </c>
      <c r="CZ476" s="362" t="str">
        <f ca="1">IF(CU476="","",VLOOKUP(CU476,games.r,7,FALSE))</f>
        <v/>
      </c>
      <c r="DA476" s="379" t="str">
        <f ca="1">DA475</f>
        <v/>
      </c>
      <c r="DB476" s="302"/>
      <c r="DC476" s="364"/>
      <c r="DG476" s="424"/>
      <c r="DH476" s="424"/>
      <c r="DI476" s="424"/>
      <c r="DJ476" s="424"/>
      <c r="DK476" s="424"/>
      <c r="DL476" s="424"/>
      <c r="DM476" s="424"/>
      <c r="DN476" s="424"/>
      <c r="DO476" s="424"/>
      <c r="DP476" s="424"/>
      <c r="DQ476" s="424"/>
      <c r="DR476" s="424"/>
      <c r="DS476" s="424"/>
      <c r="DT476" s="424"/>
      <c r="DU476" s="424"/>
      <c r="DV476" s="424"/>
      <c r="DW476" s="424"/>
      <c r="DX476" s="424"/>
      <c r="DY476" s="424"/>
      <c r="DZ476" s="424"/>
      <c r="EA476" s="424"/>
      <c r="EB476" s="424"/>
      <c r="EP476" s="333"/>
    </row>
    <row r="477" spans="80:146" x14ac:dyDescent="0.25">
      <c r="CB477" s="445"/>
      <c r="CC477" s="300"/>
      <c r="CD477" s="300"/>
      <c r="CE477" s="300"/>
      <c r="CF477" s="449"/>
      <c r="CG477" s="445"/>
      <c r="CT477" s="395" t="str">
        <f t="shared" ca="1" si="382"/>
        <v/>
      </c>
      <c r="CU477" s="465" t="str">
        <f ca="1">IF(OR(CT477="",DA477="",CT477=DA477,COUNTIF(games.rv,CT477&amp;DA477)=0),"",CONCATENATE(CT477,DA477))</f>
        <v/>
      </c>
      <c r="CV477" s="360" t="str">
        <f ca="1">IF(CU477="","",CONCATENATE(VLOOKUP(CU477,games.r,9,FALSE),VLOOKUP(CU477,games.r,12,FALSE)))</f>
        <v/>
      </c>
      <c r="CW477" s="354" t="str">
        <f ca="1">IF(CU477="","",VLOOKUP(CU477,games.r,10,FALSE))</f>
        <v/>
      </c>
      <c r="CX477" s="354" t="str">
        <f ca="1">IF(CU477="","",VLOOKUP(CU477,games.r,13,FALSE))</f>
        <v/>
      </c>
      <c r="CY477" s="361" t="str">
        <f ca="1">IF(CU477="","",VLOOKUP(CU477,games.r,6,FALSE))</f>
        <v/>
      </c>
      <c r="CZ477" s="362" t="str">
        <f ca="1">IF(CU477="","",VLOOKUP(CU477,games.r,7,FALSE))</f>
        <v/>
      </c>
      <c r="DA477" s="379" t="str">
        <f ca="1">DA476</f>
        <v/>
      </c>
      <c r="DB477" s="302"/>
      <c r="DC477" s="364"/>
      <c r="DG477" s="424"/>
      <c r="DH477" s="424"/>
      <c r="DI477" s="424"/>
      <c r="DJ477" s="424"/>
      <c r="DK477" s="424"/>
      <c r="DL477" s="424"/>
      <c r="DM477" s="424"/>
      <c r="DN477" s="424"/>
      <c r="DO477" s="424"/>
      <c r="DP477" s="424"/>
      <c r="DQ477" s="424"/>
      <c r="DR477" s="424"/>
      <c r="DS477" s="424"/>
      <c r="DT477" s="424"/>
      <c r="DU477" s="424"/>
      <c r="DV477" s="424"/>
      <c r="DW477" s="424"/>
      <c r="DX477" s="424"/>
      <c r="DY477" s="424"/>
      <c r="DZ477" s="424"/>
      <c r="EA477" s="424"/>
      <c r="EB477" s="424"/>
      <c r="EP477" s="333"/>
    </row>
    <row r="478" spans="80:146" x14ac:dyDescent="0.25">
      <c r="CB478" s="445"/>
      <c r="CC478" s="300"/>
      <c r="CD478" s="300"/>
      <c r="CE478" s="300"/>
      <c r="CF478" s="449"/>
      <c r="CG478" s="445"/>
      <c r="CT478" s="533" t="str">
        <f t="shared" si="382"/>
        <v/>
      </c>
      <c r="CU478" s="371" t="str">
        <f ca="1">IF(OR(CT478="",DA478="",CT478=DA478,ISNA(VLOOKUP(CONCATENATE(CT478,DA478),games.a,2,FALSE))),"",CONCATENATE(CT478,DA478))</f>
        <v/>
      </c>
      <c r="CV478" s="371" t="str">
        <f ca="1">IF(CU478="","",CONCATENATE(VLOOKUP(CU478,games.a,9,FALSE),VLOOKUP(CU478,games.a,12,FALSE)))</f>
        <v/>
      </c>
      <c r="CW478" s="369" t="str">
        <f ca="1">IF(CU478="","",VLOOKUP(CU478,games.a,10,FALSE))</f>
        <v/>
      </c>
      <c r="CX478" s="369" t="str">
        <f ca="1">IF(CU478="","",VLOOKUP(CU478,games.a,13,FALSE))</f>
        <v/>
      </c>
      <c r="CY478" s="423" t="str">
        <f ca="1">IF(CU478="","",VLOOKUP(CU478,games.a,6,FALSE))</f>
        <v/>
      </c>
      <c r="CZ478" s="409" t="str">
        <f ca="1">IF(CU478="","",VLOOKUP(CU478,games.a,7,FALSE))</f>
        <v/>
      </c>
      <c r="DA478" s="523" t="str">
        <f ca="1">DA477</f>
        <v/>
      </c>
      <c r="DB478" s="302"/>
      <c r="DC478" s="364"/>
      <c r="DG478" s="424"/>
      <c r="DH478" s="424"/>
      <c r="DI478" s="424"/>
      <c r="DJ478" s="424"/>
      <c r="DK478" s="424"/>
      <c r="DL478" s="424"/>
      <c r="DM478" s="424"/>
      <c r="DN478" s="424"/>
      <c r="DO478" s="424"/>
      <c r="DP478" s="424"/>
      <c r="DQ478" s="424"/>
      <c r="DR478" s="424"/>
      <c r="DS478" s="424"/>
      <c r="DT478" s="424"/>
      <c r="DU478" s="424"/>
      <c r="DV478" s="424"/>
      <c r="DW478" s="424"/>
      <c r="DX478" s="424"/>
      <c r="DY478" s="424"/>
      <c r="DZ478" s="424"/>
      <c r="EA478" s="424"/>
      <c r="EB478" s="424"/>
      <c r="EP478" s="333"/>
    </row>
    <row r="479" spans="80:146" x14ac:dyDescent="0.25">
      <c r="CB479" s="445"/>
      <c r="CC479" s="300"/>
      <c r="CD479" s="300"/>
      <c r="CE479" s="300"/>
      <c r="CF479" s="449"/>
      <c r="CG479" s="445"/>
      <c r="CT479" s="533" t="str">
        <f t="shared" si="382"/>
        <v/>
      </c>
      <c r="CU479" s="371" t="str">
        <f ca="1">IF(OR(CT479="",DA479="",CT479=DA479,ISNA(VLOOKUP(CONCATENATE(CT479,DA479),games.a,2,FALSE))),"",CONCATENATE(CT479,DA479))</f>
        <v/>
      </c>
      <c r="CV479" s="371" t="str">
        <f ca="1">IF(CU479="","",CONCATENATE(VLOOKUP(CU479,games.a,9,FALSE),VLOOKUP(CU479,games.a,12,FALSE)))</f>
        <v/>
      </c>
      <c r="CW479" s="369" t="str">
        <f ca="1">IF(CU479="","",VLOOKUP(CU479,games.a,10,FALSE))</f>
        <v/>
      </c>
      <c r="CX479" s="369" t="str">
        <f ca="1">IF(CU479="","",VLOOKUP(CU479,games.a,13,FALSE))</f>
        <v/>
      </c>
      <c r="CY479" s="423" t="str">
        <f ca="1">IF(CU479="","",VLOOKUP(CU479,games.a,6,FALSE))</f>
        <v/>
      </c>
      <c r="CZ479" s="409" t="str">
        <f ca="1">IF(CU479="","",VLOOKUP(CU479,games.a,7,FALSE))</f>
        <v/>
      </c>
      <c r="DA479" s="523" t="str">
        <f ca="1">DA478</f>
        <v/>
      </c>
      <c r="DB479" s="302"/>
      <c r="DC479" s="364"/>
      <c r="DG479" s="424"/>
      <c r="DH479" s="424"/>
      <c r="DI479" s="424"/>
      <c r="DJ479" s="424"/>
      <c r="DK479" s="424"/>
      <c r="DL479" s="424"/>
      <c r="DM479" s="424"/>
      <c r="DN479" s="424"/>
      <c r="DO479" s="424"/>
      <c r="DP479" s="424"/>
      <c r="DQ479" s="424"/>
      <c r="DR479" s="424"/>
      <c r="DS479" s="424"/>
      <c r="DT479" s="424"/>
      <c r="DU479" s="424"/>
      <c r="DV479" s="424"/>
      <c r="DW479" s="424"/>
      <c r="DX479" s="424"/>
      <c r="DY479" s="424"/>
      <c r="DZ479" s="424"/>
      <c r="EA479" s="424"/>
      <c r="EB479" s="424"/>
      <c r="EP479" s="333"/>
    </row>
    <row r="480" spans="80:146" x14ac:dyDescent="0.25">
      <c r="CB480" s="445"/>
      <c r="CC480" s="300"/>
      <c r="CD480" s="300"/>
      <c r="CE480" s="300"/>
      <c r="CF480" s="449"/>
      <c r="CG480" s="445"/>
      <c r="CT480" s="533" t="str">
        <f t="shared" si="382"/>
        <v/>
      </c>
      <c r="CU480" s="371" t="str">
        <f ca="1">IF(OR(CT480="",DA480="",CT480=DA480,ISNA(VLOOKUP(CONCATENATE(CT480,DA480),games.a,2,FALSE))),"",CONCATENATE(CT480,DA480))</f>
        <v/>
      </c>
      <c r="CV480" s="371" t="str">
        <f ca="1">IF(CU480="","",CONCATENATE(VLOOKUP(CU480,games.a,9,FALSE),VLOOKUP(CU480,games.a,12,FALSE)))</f>
        <v/>
      </c>
      <c r="CW480" s="369" t="str">
        <f ca="1">IF(CU480="","",VLOOKUP(CU480,games.a,10,FALSE))</f>
        <v/>
      </c>
      <c r="CX480" s="369" t="str">
        <f ca="1">IF(CU480="","",VLOOKUP(CU480,games.a,13,FALSE))</f>
        <v/>
      </c>
      <c r="CY480" s="423" t="str">
        <f ca="1">IF(CU480="","",VLOOKUP(CU480,games.a,6,FALSE))</f>
        <v/>
      </c>
      <c r="CZ480" s="409" t="str">
        <f ca="1">IF(CU480="","",VLOOKUP(CU480,games.a,7,FALSE))</f>
        <v/>
      </c>
      <c r="DA480" s="523" t="str">
        <f ca="1">DA479</f>
        <v/>
      </c>
      <c r="DB480" s="302"/>
      <c r="DC480" s="364"/>
      <c r="DG480" s="424"/>
      <c r="DH480" s="424"/>
      <c r="DI480" s="424"/>
      <c r="DJ480" s="424"/>
      <c r="DK480" s="424"/>
      <c r="DL480" s="424"/>
      <c r="DM480" s="424"/>
      <c r="DN480" s="424"/>
      <c r="DO480" s="424"/>
      <c r="DP480" s="424"/>
      <c r="DQ480" s="424"/>
      <c r="DR480" s="424"/>
      <c r="DS480" s="424"/>
      <c r="DT480" s="424"/>
      <c r="DU480" s="424"/>
      <c r="DV480" s="424"/>
      <c r="DW480" s="424"/>
      <c r="DX480" s="424"/>
      <c r="DY480" s="424"/>
      <c r="DZ480" s="424"/>
      <c r="EA480" s="424"/>
      <c r="EB480" s="424"/>
      <c r="EP480" s="333"/>
    </row>
    <row r="481" spans="80:146" x14ac:dyDescent="0.25">
      <c r="CB481" s="445"/>
      <c r="CC481" s="300"/>
      <c r="CD481" s="300"/>
      <c r="CE481" s="300"/>
      <c r="CF481" s="449"/>
      <c r="CG481" s="445"/>
      <c r="CT481" s="301"/>
      <c r="CU481" s="458" t="s">
        <v>157</v>
      </c>
      <c r="CV481" s="458" t="s">
        <v>158</v>
      </c>
      <c r="CW481" s="459" t="s">
        <v>159</v>
      </c>
      <c r="CX481" s="459"/>
      <c r="CY481" s="460" t="s">
        <v>160</v>
      </c>
      <c r="CZ481" s="459" t="s">
        <v>135</v>
      </c>
      <c r="DA481" s="302"/>
      <c r="DB481" s="302"/>
      <c r="DC481" s="364"/>
      <c r="DG481" s="424"/>
      <c r="DH481" s="424"/>
      <c r="DI481" s="424"/>
      <c r="DJ481" s="424"/>
      <c r="DK481" s="424"/>
      <c r="DL481" s="424"/>
      <c r="DM481" s="424"/>
      <c r="DN481" s="424"/>
      <c r="DO481" s="424"/>
      <c r="DP481" s="424"/>
      <c r="DQ481" s="424"/>
      <c r="DR481" s="424"/>
      <c r="DS481" s="424"/>
      <c r="DT481" s="424"/>
      <c r="DU481" s="424"/>
      <c r="DV481" s="424"/>
      <c r="DW481" s="424"/>
      <c r="DX481" s="424"/>
      <c r="DY481" s="424"/>
      <c r="DZ481" s="424"/>
      <c r="EA481" s="424"/>
      <c r="EB481" s="424"/>
      <c r="EP481" s="333"/>
    </row>
    <row r="482" spans="80:146" x14ac:dyDescent="0.25">
      <c r="CB482" s="445"/>
      <c r="CC482" s="300"/>
      <c r="CD482" s="300"/>
      <c r="CE482" s="300"/>
      <c r="CF482" s="449"/>
      <c r="CG482" s="445"/>
      <c r="CT482" s="395" t="str">
        <f t="shared" ref="CT482:CT487" ca="1" si="383">CT475</f>
        <v/>
      </c>
      <c r="CU482" s="465" t="str">
        <f ca="1">IF(OR(CT482="",DA482="",CT482=DA482,COUNTIF(games.rv,CT482&amp;DA482)=0),"",CONCATENATE(CT482,DA482))</f>
        <v/>
      </c>
      <c r="CV482" s="360" t="str">
        <f ca="1">IF(CU482="","",CONCATENATE(VLOOKUP(CU482,games.r,9,FALSE),VLOOKUP(CU482,games.r,12,FALSE)))</f>
        <v/>
      </c>
      <c r="CW482" s="354" t="str">
        <f ca="1">IF(CU482="","",VLOOKUP(CU482,games.r,10,FALSE))</f>
        <v/>
      </c>
      <c r="CX482" s="354" t="str">
        <f ca="1">IF(CU482="","",VLOOKUP(CU482,games.r,13,FALSE))</f>
        <v/>
      </c>
      <c r="CY482" s="361" t="str">
        <f ca="1">IF(CU482="","",VLOOKUP(CU482,games.r,6,FALSE))</f>
        <v/>
      </c>
      <c r="CZ482" s="362" t="str">
        <f ca="1">IF(CU482="","",VLOOKUP(CU482,games.r,7,FALSE))</f>
        <v/>
      </c>
      <c r="DA482" s="466" t="str">
        <f ca="1">CT470</f>
        <v/>
      </c>
      <c r="DB482" s="302"/>
      <c r="DC482" s="364"/>
      <c r="DG482" s="424"/>
      <c r="DH482" s="424"/>
      <c r="DI482" s="424"/>
      <c r="DJ482" s="424"/>
      <c r="DK482" s="424"/>
      <c r="DL482" s="424"/>
      <c r="DM482" s="424"/>
      <c r="DN482" s="424"/>
      <c r="DO482" s="424"/>
      <c r="DP482" s="424"/>
      <c r="DQ482" s="424"/>
      <c r="DR482" s="424"/>
      <c r="DS482" s="424"/>
      <c r="DT482" s="424"/>
      <c r="DU482" s="424"/>
      <c r="DV482" s="424"/>
      <c r="DW482" s="424"/>
      <c r="DX482" s="424"/>
      <c r="DY482" s="424"/>
      <c r="DZ482" s="424"/>
      <c r="EA482" s="424"/>
      <c r="EB482" s="424"/>
      <c r="EP482" s="333"/>
    </row>
    <row r="483" spans="80:146" x14ac:dyDescent="0.25">
      <c r="CB483" s="445"/>
      <c r="CC483" s="300"/>
      <c r="CD483" s="300"/>
      <c r="CE483" s="300"/>
      <c r="CF483" s="449"/>
      <c r="CG483" s="445"/>
      <c r="CT483" s="395" t="str">
        <f t="shared" ca="1" si="383"/>
        <v/>
      </c>
      <c r="CU483" s="465" t="str">
        <f ca="1">IF(OR(CT483="",DA483="",CT483=DA483,COUNTIF(games.rv,CT483&amp;DA483)=0),"",CONCATENATE(CT483,DA483))</f>
        <v/>
      </c>
      <c r="CV483" s="360" t="str">
        <f ca="1">IF(CU483="","",CONCATENATE(VLOOKUP(CU483,games.r,9,FALSE),VLOOKUP(CU483,games.r,12,FALSE)))</f>
        <v/>
      </c>
      <c r="CW483" s="354" t="str">
        <f ca="1">IF(CU483="","",VLOOKUP(CU483,games.r,10,FALSE))</f>
        <v/>
      </c>
      <c r="CX483" s="354" t="str">
        <f ca="1">IF(CU483="","",VLOOKUP(CU483,games.r,13,FALSE))</f>
        <v/>
      </c>
      <c r="CY483" s="361" t="str">
        <f ca="1">IF(CU483="","",VLOOKUP(CU483,games.r,6,FALSE))</f>
        <v/>
      </c>
      <c r="CZ483" s="362" t="str">
        <f ca="1">IF(CU483="","",VLOOKUP(CU483,games.r,7,FALSE))</f>
        <v/>
      </c>
      <c r="DA483" s="379" t="str">
        <f ca="1">DA482</f>
        <v/>
      </c>
      <c r="DB483" s="302"/>
      <c r="DC483" s="364"/>
      <c r="DG483" s="424"/>
      <c r="DH483" s="424"/>
      <c r="DI483" s="424"/>
      <c r="DJ483" s="424"/>
      <c r="DK483" s="424"/>
      <c r="DL483" s="424"/>
      <c r="DM483" s="424"/>
      <c r="DN483" s="424"/>
      <c r="DO483" s="424"/>
      <c r="DP483" s="424"/>
      <c r="DQ483" s="424"/>
      <c r="DR483" s="424"/>
      <c r="DS483" s="424"/>
      <c r="DT483" s="424"/>
      <c r="DU483" s="424"/>
      <c r="DV483" s="424"/>
      <c r="DW483" s="424"/>
      <c r="DX483" s="424"/>
      <c r="DY483" s="424"/>
      <c r="DZ483" s="424"/>
      <c r="EA483" s="424"/>
      <c r="EB483" s="424"/>
      <c r="EP483" s="333"/>
    </row>
    <row r="484" spans="80:146" x14ac:dyDescent="0.25">
      <c r="CB484" s="445"/>
      <c r="CC484" s="300"/>
      <c r="CD484" s="300"/>
      <c r="CE484" s="300"/>
      <c r="CF484" s="449"/>
      <c r="CG484" s="445"/>
      <c r="CT484" s="395" t="str">
        <f t="shared" ca="1" si="383"/>
        <v/>
      </c>
      <c r="CU484" s="465" t="str">
        <f ca="1">IF(OR(CT484="",DA484="",CT484=DA484,COUNTIF(games.rv,CT484&amp;DA484)=0),"",CONCATENATE(CT484,DA484))</f>
        <v/>
      </c>
      <c r="CV484" s="360" t="str">
        <f ca="1">IF(CU484="","",CONCATENATE(VLOOKUP(CU484,games.r,9,FALSE),VLOOKUP(CU484,games.r,12,FALSE)))</f>
        <v/>
      </c>
      <c r="CW484" s="354" t="str">
        <f ca="1">IF(CU484="","",VLOOKUP(CU484,games.r,10,FALSE))</f>
        <v/>
      </c>
      <c r="CX484" s="354" t="str">
        <f ca="1">IF(CU484="","",VLOOKUP(CU484,games.r,13,FALSE))</f>
        <v/>
      </c>
      <c r="CY484" s="361" t="str">
        <f ca="1">IF(CU484="","",VLOOKUP(CU484,games.r,6,FALSE))</f>
        <v/>
      </c>
      <c r="CZ484" s="362" t="str">
        <f ca="1">IF(CU484="","",VLOOKUP(CU484,games.r,7,FALSE))</f>
        <v/>
      </c>
      <c r="DA484" s="379" t="str">
        <f ca="1">DA483</f>
        <v/>
      </c>
      <c r="DB484" s="302"/>
      <c r="DC484" s="364"/>
      <c r="DG484" s="424"/>
      <c r="DH484" s="424"/>
      <c r="DI484" s="424"/>
      <c r="DJ484" s="424"/>
      <c r="DK484" s="424"/>
      <c r="DL484" s="424"/>
      <c r="DM484" s="424"/>
      <c r="DN484" s="424"/>
      <c r="DO484" s="424"/>
      <c r="DP484" s="424"/>
      <c r="DQ484" s="424"/>
      <c r="DR484" s="424"/>
      <c r="DS484" s="424"/>
      <c r="DT484" s="424"/>
      <c r="DU484" s="424"/>
      <c r="DV484" s="424"/>
      <c r="DW484" s="424"/>
      <c r="DX484" s="424"/>
      <c r="DY484" s="424"/>
      <c r="DZ484" s="424"/>
      <c r="EA484" s="424"/>
      <c r="EB484" s="424"/>
      <c r="EP484" s="333"/>
    </row>
    <row r="485" spans="80:146" x14ac:dyDescent="0.25">
      <c r="CB485" s="445"/>
      <c r="CC485" s="300"/>
      <c r="CD485" s="300"/>
      <c r="CE485" s="300"/>
      <c r="CF485" s="449"/>
      <c r="CG485" s="445"/>
      <c r="CT485" s="533" t="str">
        <f t="shared" si="383"/>
        <v/>
      </c>
      <c r="CU485" s="371" t="str">
        <f ca="1">IF(OR(CT485="",DA485="",CT485=DA485,ISNA(VLOOKUP(CONCATENATE(CT485,DA485),games.a,2,FALSE))),"",CONCATENATE(CT485,DA485))</f>
        <v/>
      </c>
      <c r="CV485" s="371" t="str">
        <f ca="1">IF(CU485="","",CONCATENATE(VLOOKUP(CU485,games.a,9,FALSE),VLOOKUP(CU485,games.a,12,FALSE)))</f>
        <v/>
      </c>
      <c r="CW485" s="369" t="str">
        <f ca="1">IF(CU485="","",VLOOKUP(CU485,games.a,10,FALSE))</f>
        <v/>
      </c>
      <c r="CX485" s="369" t="str">
        <f ca="1">IF(CU485="","",VLOOKUP(CU485,games.a,13,FALSE))</f>
        <v/>
      </c>
      <c r="CY485" s="423" t="str">
        <f ca="1">IF(CU485="","",VLOOKUP(CU485,games.a,6,FALSE))</f>
        <v/>
      </c>
      <c r="CZ485" s="409" t="str">
        <f ca="1">IF(CU485="","",VLOOKUP(CU485,games.a,7,FALSE))</f>
        <v/>
      </c>
      <c r="DA485" s="523" t="str">
        <f ca="1">DA484</f>
        <v/>
      </c>
      <c r="DB485" s="302"/>
      <c r="DC485" s="364"/>
      <c r="DG485" s="424"/>
      <c r="DH485" s="424"/>
      <c r="DI485" s="424"/>
      <c r="DJ485" s="424"/>
      <c r="DK485" s="424"/>
      <c r="DL485" s="424"/>
      <c r="DM485" s="424"/>
      <c r="DN485" s="424"/>
      <c r="DO485" s="424"/>
      <c r="DP485" s="424"/>
      <c r="DQ485" s="424"/>
      <c r="DR485" s="424"/>
      <c r="DS485" s="424"/>
      <c r="DT485" s="424"/>
      <c r="DU485" s="424"/>
      <c r="DV485" s="424"/>
      <c r="DW485" s="424"/>
      <c r="DX485" s="424"/>
      <c r="DY485" s="424"/>
      <c r="DZ485" s="424"/>
      <c r="EA485" s="424"/>
      <c r="EB485" s="424"/>
      <c r="EP485" s="333"/>
    </row>
    <row r="486" spans="80:146" x14ac:dyDescent="0.25">
      <c r="CB486" s="445"/>
      <c r="CC486" s="300"/>
      <c r="CD486" s="300"/>
      <c r="CE486" s="300"/>
      <c r="CF486" s="449"/>
      <c r="CG486" s="445"/>
      <c r="CO486" s="302"/>
      <c r="CT486" s="533" t="str">
        <f t="shared" si="383"/>
        <v/>
      </c>
      <c r="CU486" s="371" t="str">
        <f ca="1">IF(OR(CT486="",DA486="",CT486=DA486,ISNA(VLOOKUP(CONCATENATE(CT486,DA486),games.a,2,FALSE))),"",CONCATENATE(CT486,DA486))</f>
        <v/>
      </c>
      <c r="CV486" s="371" t="str">
        <f ca="1">IF(CU486="","",CONCATENATE(VLOOKUP(CU486,games.a,9,FALSE),VLOOKUP(CU486,games.a,12,FALSE)))</f>
        <v/>
      </c>
      <c r="CW486" s="369" t="str">
        <f ca="1">IF(CU486="","",VLOOKUP(CU486,games.a,10,FALSE))</f>
        <v/>
      </c>
      <c r="CX486" s="369" t="str">
        <f ca="1">IF(CU486="","",VLOOKUP(CU486,games.a,13,FALSE))</f>
        <v/>
      </c>
      <c r="CY486" s="423" t="str">
        <f ca="1">IF(CU486="","",VLOOKUP(CU486,games.a,6,FALSE))</f>
        <v/>
      </c>
      <c r="CZ486" s="409" t="str">
        <f ca="1">IF(CU486="","",VLOOKUP(CU486,games.a,7,FALSE))</f>
        <v/>
      </c>
      <c r="DA486" s="523" t="str">
        <f ca="1">DA485</f>
        <v/>
      </c>
      <c r="DB486" s="302"/>
      <c r="DC486" s="364"/>
      <c r="DG486" s="424"/>
      <c r="DH486" s="424"/>
      <c r="DI486" s="424"/>
      <c r="DJ486" s="424"/>
      <c r="DK486" s="424"/>
      <c r="DL486" s="424"/>
      <c r="DM486" s="424"/>
      <c r="DN486" s="424"/>
      <c r="DO486" s="424"/>
      <c r="DP486" s="424"/>
      <c r="DQ486" s="424"/>
      <c r="DR486" s="424"/>
      <c r="DS486" s="424"/>
      <c r="DT486" s="424"/>
      <c r="DU486" s="424"/>
      <c r="DV486" s="424"/>
      <c r="DW486" s="424"/>
      <c r="DX486" s="424"/>
      <c r="DY486" s="424"/>
      <c r="DZ486" s="424"/>
      <c r="EA486" s="424"/>
      <c r="EB486" s="424"/>
      <c r="EP486" s="333"/>
    </row>
    <row r="487" spans="80:146" x14ac:dyDescent="0.25">
      <c r="CB487" s="445"/>
      <c r="CC487" s="300"/>
      <c r="CD487" s="300"/>
      <c r="CE487" s="300"/>
      <c r="CF487" s="449"/>
      <c r="CG487" s="445"/>
      <c r="CO487" s="302"/>
      <c r="CT487" s="533" t="str">
        <f t="shared" si="383"/>
        <v/>
      </c>
      <c r="CU487" s="371" t="str">
        <f ca="1">IF(OR(CT487="",DA487="",CT487=DA487,ISNA(VLOOKUP(CONCATENATE(CT487,DA487),games.a,2,FALSE))),"",CONCATENATE(CT487,DA487))</f>
        <v/>
      </c>
      <c r="CV487" s="371" t="str">
        <f ca="1">IF(CU487="","",CONCATENATE(VLOOKUP(CU487,games.a,9,FALSE),VLOOKUP(CU487,games.a,12,FALSE)))</f>
        <v/>
      </c>
      <c r="CW487" s="369" t="str">
        <f ca="1">IF(CU487="","",VLOOKUP(CU487,games.a,10,FALSE))</f>
        <v/>
      </c>
      <c r="CX487" s="369" t="str">
        <f ca="1">IF(CU487="","",VLOOKUP(CU487,games.a,13,FALSE))</f>
        <v/>
      </c>
      <c r="CY487" s="423" t="str">
        <f ca="1">IF(CU487="","",VLOOKUP(CU487,games.a,6,FALSE))</f>
        <v/>
      </c>
      <c r="CZ487" s="409" t="str">
        <f ca="1">IF(CU487="","",VLOOKUP(CU487,games.a,7,FALSE))</f>
        <v/>
      </c>
      <c r="DA487" s="523" t="str">
        <f ca="1">DA486</f>
        <v/>
      </c>
      <c r="DB487" s="302"/>
      <c r="DC487" s="364"/>
      <c r="DG487" s="424"/>
      <c r="DH487" s="424"/>
      <c r="DI487" s="424"/>
      <c r="DJ487" s="424"/>
      <c r="DK487" s="424"/>
      <c r="DL487" s="424"/>
      <c r="DM487" s="424"/>
      <c r="DN487" s="424"/>
      <c r="DO487" s="424"/>
      <c r="DP487" s="424"/>
      <c r="DQ487" s="424"/>
      <c r="DR487" s="424"/>
      <c r="DS487" s="424"/>
      <c r="DT487" s="424"/>
      <c r="DU487" s="424"/>
      <c r="DV487" s="424"/>
      <c r="DW487" s="424"/>
      <c r="DX487" s="424"/>
      <c r="DY487" s="424"/>
      <c r="DZ487" s="424"/>
      <c r="EA487" s="424"/>
      <c r="EB487" s="424"/>
      <c r="EP487" s="333"/>
    </row>
    <row r="488" spans="80:146" x14ac:dyDescent="0.25">
      <c r="CB488" s="445"/>
      <c r="CC488" s="300"/>
      <c r="CD488" s="300"/>
      <c r="CE488" s="300"/>
      <c r="CF488" s="449"/>
      <c r="CG488" s="445"/>
      <c r="CO488" s="302"/>
      <c r="CT488" s="301"/>
      <c r="CU488" s="302"/>
      <c r="CV488" s="302"/>
      <c r="CW488" s="302"/>
      <c r="CX488" s="302"/>
      <c r="CY488" s="302"/>
      <c r="CZ488" s="302"/>
      <c r="DA488" s="447"/>
      <c r="DB488" s="302"/>
      <c r="DC488" s="446" t="s">
        <v>221</v>
      </c>
      <c r="DG488" s="424"/>
      <c r="DH488" s="424"/>
      <c r="DI488" s="424"/>
      <c r="DJ488" s="424"/>
      <c r="DK488" s="424"/>
      <c r="DL488" s="424"/>
      <c r="DM488" s="424"/>
      <c r="DN488" s="424"/>
      <c r="DO488" s="424"/>
      <c r="DP488" s="424"/>
      <c r="DQ488" s="424"/>
      <c r="DR488" s="424"/>
      <c r="DS488" s="424"/>
      <c r="DT488" s="424"/>
      <c r="DU488" s="424"/>
      <c r="DV488" s="424"/>
      <c r="DW488" s="424"/>
      <c r="DX488" s="424"/>
      <c r="DY488" s="424"/>
      <c r="DZ488" s="424"/>
      <c r="EA488" s="424"/>
      <c r="EB488" s="424"/>
      <c r="EP488" s="333"/>
    </row>
    <row r="489" spans="80:146" x14ac:dyDescent="0.25">
      <c r="CB489" s="445"/>
      <c r="CC489" s="300"/>
      <c r="CD489" s="300"/>
      <c r="CE489" s="300"/>
      <c r="CF489" s="449"/>
      <c r="CG489" s="445"/>
      <c r="CO489" s="302"/>
      <c r="CT489" s="301"/>
      <c r="CU489" s="302"/>
      <c r="CV489" s="302"/>
      <c r="CW489" s="302"/>
      <c r="CX489" s="302"/>
      <c r="CY489" s="302"/>
      <c r="CZ489" s="302"/>
      <c r="DA489" s="447"/>
      <c r="DB489" s="302"/>
      <c r="DC489" s="448" t="s">
        <v>222</v>
      </c>
      <c r="DG489" s="424"/>
      <c r="DH489" s="424"/>
      <c r="DI489" s="424"/>
      <c r="DJ489" s="424"/>
      <c r="DK489" s="424"/>
      <c r="DL489" s="424"/>
      <c r="DM489" s="424"/>
      <c r="DN489" s="424"/>
      <c r="DO489" s="424"/>
      <c r="DP489" s="424"/>
      <c r="DQ489" s="424"/>
      <c r="DR489" s="424"/>
      <c r="DS489" s="424"/>
      <c r="DT489" s="424"/>
      <c r="DU489" s="424"/>
      <c r="DV489" s="424"/>
      <c r="DW489" s="424"/>
      <c r="DX489" s="424"/>
      <c r="DY489" s="424"/>
      <c r="DZ489" s="424"/>
      <c r="EA489" s="424"/>
      <c r="EB489" s="424"/>
      <c r="EP489" s="333"/>
    </row>
    <row r="490" spans="80:146" x14ac:dyDescent="0.25">
      <c r="CB490" s="445"/>
      <c r="CC490" s="300"/>
      <c r="CD490" s="300"/>
      <c r="CE490" s="300"/>
      <c r="CF490" s="449"/>
      <c r="CG490" s="445"/>
      <c r="CO490" s="302"/>
      <c r="CT490" s="323" t="b">
        <f ca="1">OR(NOT(ASZTAB!$AJ$44),COUNTIF(CY490:CY499,"")&lt;=8-(DA490-1)*DA490/2)</f>
        <v>1</v>
      </c>
      <c r="CU490" s="458" t="s">
        <v>157</v>
      </c>
      <c r="CV490" s="458" t="s">
        <v>158</v>
      </c>
      <c r="CW490" s="459" t="s">
        <v>159</v>
      </c>
      <c r="CX490" s="459"/>
      <c r="CY490" s="460" t="s">
        <v>160</v>
      </c>
      <c r="CZ490" s="459" t="s">
        <v>135</v>
      </c>
      <c r="DA490" s="323">
        <f ca="1">COUNT(CQ343:CQ344)</f>
        <v>0</v>
      </c>
      <c r="DB490" s="302"/>
      <c r="DC490" s="364"/>
      <c r="DG490" s="329" t="s">
        <v>229</v>
      </c>
      <c r="DH490" s="365"/>
      <c r="DI490" s="329" t="s">
        <v>152</v>
      </c>
      <c r="DJ490" s="329" t="s">
        <v>153</v>
      </c>
      <c r="DK490" s="329" t="s">
        <v>154</v>
      </c>
      <c r="DL490" s="329" t="s">
        <v>155</v>
      </c>
      <c r="DM490" s="329" t="s">
        <v>125</v>
      </c>
      <c r="DN490" s="329" t="s">
        <v>226</v>
      </c>
      <c r="DO490" s="329" t="s">
        <v>126</v>
      </c>
      <c r="DP490" s="329" t="s">
        <v>227</v>
      </c>
      <c r="DQ490" s="424"/>
      <c r="DR490" s="424"/>
      <c r="DS490" s="424"/>
      <c r="DT490" s="329" t="s">
        <v>228</v>
      </c>
      <c r="DU490" s="329" t="s">
        <v>156</v>
      </c>
      <c r="DV490" s="329" t="s">
        <v>208</v>
      </c>
      <c r="DW490" s="424"/>
      <c r="DX490" s="424"/>
      <c r="DY490" s="424"/>
      <c r="DZ490" s="424"/>
      <c r="EA490" s="424"/>
      <c r="EB490" s="424"/>
      <c r="EP490" s="333"/>
    </row>
    <row r="491" spans="80:146" x14ac:dyDescent="0.25">
      <c r="CB491" s="445"/>
      <c r="CC491" s="300"/>
      <c r="CD491" s="300"/>
      <c r="CE491" s="300"/>
      <c r="CF491" s="449"/>
      <c r="CG491" s="445"/>
      <c r="CO491" s="302"/>
      <c r="CT491" s="464" t="str">
        <f ca="1">IF(CQ343="","",VLOOKUP(CQ343,xxx.rv2,10,FALSE))</f>
        <v/>
      </c>
      <c r="CU491" s="465" t="str">
        <f ca="1">IF(OR(CT491="",DA491="",CT491=DA491,COUNTIF(games.rv,CT491&amp;DA491)=0),"",CONCATENATE(CT491,DA491))</f>
        <v/>
      </c>
      <c r="CV491" s="360" t="str">
        <f ca="1">IF(CU491="","",CONCATENATE(VLOOKUP(CU491,games.r,9,FALSE),VLOOKUP(CU491,games.r,12,FALSE)))</f>
        <v/>
      </c>
      <c r="CW491" s="354" t="str">
        <f ca="1">IF(CU491="","",VLOOKUP(CU491,games.r,10,FALSE))</f>
        <v/>
      </c>
      <c r="CX491" s="354" t="str">
        <f ca="1">IF(CU491="","",VLOOKUP(CU491,games.r,13,FALSE))</f>
        <v/>
      </c>
      <c r="CY491" s="361" t="str">
        <f ca="1">IF(CU491="","",VLOOKUP(CU491,games.r,6,FALSE))</f>
        <v/>
      </c>
      <c r="CZ491" s="362" t="str">
        <f ca="1">IF(CU491="","",VLOOKUP(CU491,games.r,7,FALSE))</f>
        <v/>
      </c>
      <c r="DA491" s="466" t="str">
        <f ca="1">CT491</f>
        <v/>
      </c>
      <c r="DB491" s="302"/>
      <c r="DC491" s="364"/>
      <c r="DG491" s="366" t="str">
        <f ca="1">IF(OR(NOT(ASZTAB!$AJ$44),CT490),CT491,"")</f>
        <v/>
      </c>
      <c r="DH491" s="365"/>
      <c r="DI491" s="366">
        <f ca="1">IF(DG491="",0,COUNTIF(xxgy.rv,DG491))</f>
        <v>0</v>
      </c>
      <c r="DJ491" s="366">
        <f ca="1">IF(DG491="",0,COUNTIF(xxd.rv,DG491))</f>
        <v>0</v>
      </c>
      <c r="DK491" s="366">
        <f ca="1">IF(DG491="",0,1)*(SUMIF(xxo.rv,DG491,xxl.rv)+SUMIF(xxi.rv,DG491,xxk.rv))</f>
        <v>0</v>
      </c>
      <c r="DL491" s="366">
        <f ca="1">IF(DG491="",0,1)*(SUMIF(xxo.rv,DG491,xxk.rv)+SUMIF(xxi.rv,DG491,xxl.rv))</f>
        <v>0</v>
      </c>
      <c r="DM491" s="366">
        <f ca="1">DK491-DL491</f>
        <v>0</v>
      </c>
      <c r="DN491" s="366">
        <f ca="1">IF(DL491=0,0,DK491/DL491)</f>
        <v>0</v>
      </c>
      <c r="DO491" s="366">
        <f ca="1">ASZTAB!$AJ$48*DI491+IF(ASZTAB!$AJ$44,0,1)*DJ491</f>
        <v>0</v>
      </c>
      <c r="DP491" s="396">
        <f ca="1">DO491*1000000+IF(ASZTAB!$AJ$44,DN491,DM491)*1000*0</f>
        <v>0</v>
      </c>
      <c r="DQ491" s="424"/>
      <c r="DR491" s="424"/>
      <c r="DS491" s="424"/>
      <c r="DT491" s="366">
        <f ca="1">IF(OR(ISERR(DP491),ISNA(DP491)),0,DP491)</f>
        <v>0</v>
      </c>
      <c r="DU491" s="366">
        <f ca="1">IF(DT491=0,0,RANK(DT491,DT491:DT492,1))</f>
        <v>0</v>
      </c>
      <c r="DV491" s="366">
        <f ca="1">DU491*40000*IF(COUNTIF($EN$411:$EN$420,DG491)&gt;0,0,1)</f>
        <v>0</v>
      </c>
      <c r="DW491" s="424"/>
      <c r="DX491" s="424"/>
      <c r="DY491" s="424"/>
      <c r="DZ491" s="424"/>
      <c r="EA491" s="424"/>
      <c r="EB491" s="424"/>
      <c r="EP491" s="333"/>
    </row>
    <row r="492" spans="80:146" x14ac:dyDescent="0.25">
      <c r="CB492" s="445"/>
      <c r="CC492" s="300"/>
      <c r="CD492" s="300"/>
      <c r="CE492" s="300"/>
      <c r="CF492" s="449"/>
      <c r="CG492" s="445"/>
      <c r="CO492" s="302"/>
      <c r="CT492" s="464" t="str">
        <f ca="1">IF(CQ344="","",VLOOKUP(CQ344,xxx.rv2,10,FALSE))</f>
        <v/>
      </c>
      <c r="CU492" s="465" t="str">
        <f ca="1">IF(OR(CT492="",DA492="",CT492=DA492,COUNTIF(games.rv,CT492&amp;DA492)=0),"",CONCATENATE(CT492,DA492))</f>
        <v/>
      </c>
      <c r="CV492" s="360" t="str">
        <f ca="1">IF(CU492="","",CONCATENATE(VLOOKUP(CU492,games.r,9,FALSE),VLOOKUP(CU492,games.r,12,FALSE)))</f>
        <v/>
      </c>
      <c r="CW492" s="354" t="str">
        <f ca="1">IF(CU492="","",VLOOKUP(CU492,games.r,10,FALSE))</f>
        <v/>
      </c>
      <c r="CX492" s="354" t="str">
        <f ca="1">IF(CU492="","",VLOOKUP(CU492,games.r,13,FALSE))</f>
        <v/>
      </c>
      <c r="CY492" s="361" t="str">
        <f ca="1">IF(CU492="","",VLOOKUP(CU492,games.r,6,FALSE))</f>
        <v/>
      </c>
      <c r="CZ492" s="362" t="str">
        <f ca="1">IF(CU492="","",VLOOKUP(CU492,games.r,7,FALSE))</f>
        <v/>
      </c>
      <c r="DA492" s="379" t="str">
        <f ca="1">DA491</f>
        <v/>
      </c>
      <c r="DB492" s="302"/>
      <c r="DC492" s="364"/>
      <c r="DG492" s="366" t="str">
        <f ca="1">IF(OR(NOT(ASZTAB!$AJ$44),CT490),CT492,"")</f>
        <v/>
      </c>
      <c r="DH492" s="365"/>
      <c r="DI492" s="366">
        <f ca="1">IF(DG492="",0,COUNTIF(xxgy.rv,DG492))</f>
        <v>0</v>
      </c>
      <c r="DJ492" s="366">
        <f ca="1">IF(DG492="",0,COUNTIF(xxd.rv,DG492))</f>
        <v>0</v>
      </c>
      <c r="DK492" s="366">
        <f ca="1">IF(DG492="",0,1)*(SUMIF(xxo.rv,DG492,xxl.rv)+SUMIF(xxi.rv,DG492,xxk.rv))</f>
        <v>0</v>
      </c>
      <c r="DL492" s="366">
        <f ca="1">IF(DG492="",0,1)*(SUMIF(xxo.rv,DG492,xxk.rv)+SUMIF(xxi.rv,DG492,xxl.rv))</f>
        <v>0</v>
      </c>
      <c r="DM492" s="366">
        <f ca="1">DK492-DL492</f>
        <v>0</v>
      </c>
      <c r="DN492" s="366">
        <f ca="1">IF(DL492=0,0,DK492/DL492)</f>
        <v>0</v>
      </c>
      <c r="DO492" s="366">
        <f ca="1">ASZTAB!$AJ$48*DI492+IF(ASZTAB!$AJ$44,0,1)*DJ492</f>
        <v>0</v>
      </c>
      <c r="DP492" s="396">
        <f ca="1">DO492*1000000+IF(ASZTAB!$AJ$44,DN492,DM492)*1000*0</f>
        <v>0</v>
      </c>
      <c r="DQ492" s="424"/>
      <c r="DR492" s="424"/>
      <c r="DS492" s="424"/>
      <c r="DT492" s="366">
        <f ca="1">IF(OR(ISERR(DP492),ISNA(DP492)),0,DP492)</f>
        <v>0</v>
      </c>
      <c r="DU492" s="366">
        <f ca="1">IF(DT492=0,0,RANK(DT492,DT491:DT492,1))</f>
        <v>0</v>
      </c>
      <c r="DV492" s="366">
        <f ca="1">DU492*40000*IF(COUNTIF($EN$411:$EN$420,DG492)&gt;0,0,1)</f>
        <v>0</v>
      </c>
      <c r="DW492" s="424"/>
      <c r="DX492" s="424"/>
      <c r="DY492" s="424"/>
      <c r="DZ492" s="424"/>
      <c r="EA492" s="424"/>
      <c r="EB492" s="424"/>
      <c r="EP492" s="333"/>
    </row>
    <row r="493" spans="80:146" x14ac:dyDescent="0.25">
      <c r="CB493" s="445"/>
      <c r="CC493" s="300"/>
      <c r="CD493" s="300"/>
      <c r="CE493" s="300"/>
      <c r="CF493" s="449"/>
      <c r="CG493" s="445"/>
      <c r="CO493" s="302"/>
      <c r="CT493" s="522" t="str">
        <f>IF(NOT($AD$105),"",CT491)</f>
        <v/>
      </c>
      <c r="CU493" s="371" t="str">
        <f ca="1">IF(OR(CT493="",DA493="",CT493=DA493,ISNA(VLOOKUP(CONCATENATE(CT493,DA493),games.a,2,FALSE))),"",CONCATENATE(CT493,DA493))</f>
        <v/>
      </c>
      <c r="CV493" s="371" t="str">
        <f ca="1">IF(CU493="","",CONCATENATE(VLOOKUP(CU493,games.a,9,FALSE),VLOOKUP(CU493,games.a,12,FALSE)))</f>
        <v/>
      </c>
      <c r="CW493" s="369" t="str">
        <f ca="1">IF(CU493="","",VLOOKUP(CU493,games.a,10,FALSE))</f>
        <v/>
      </c>
      <c r="CX493" s="369" t="str">
        <f ca="1">IF(CU493="","",VLOOKUP(CU493,games.a,13,FALSE))</f>
        <v/>
      </c>
      <c r="CY493" s="423" t="str">
        <f ca="1">IF(CU493="","",VLOOKUP(CU493,games.a,6,FALSE))</f>
        <v/>
      </c>
      <c r="CZ493" s="409" t="str">
        <f ca="1">IF(CU493="","",VLOOKUP(CU493,games.a,7,FALSE))</f>
        <v/>
      </c>
      <c r="DA493" s="523" t="str">
        <f ca="1">DA492</f>
        <v/>
      </c>
      <c r="DB493" s="302"/>
      <c r="DC493" s="364"/>
      <c r="DG493" s="424"/>
      <c r="DH493" s="424"/>
      <c r="DI493" s="424"/>
      <c r="DJ493" s="424"/>
      <c r="DK493" s="424"/>
      <c r="DL493" s="424"/>
      <c r="DM493" s="424"/>
      <c r="DN493" s="424"/>
      <c r="DO493" s="424"/>
      <c r="DP493" s="424"/>
      <c r="DQ493" s="424"/>
      <c r="DR493" s="424"/>
      <c r="DS493" s="424"/>
      <c r="DT493" s="424"/>
      <c r="DU493" s="424"/>
      <c r="DV493" s="424"/>
      <c r="DW493" s="424"/>
      <c r="DX493" s="424"/>
      <c r="DY493" s="424"/>
      <c r="DZ493" s="424"/>
      <c r="EA493" s="424"/>
      <c r="EB493" s="424"/>
      <c r="EP493" s="333"/>
    </row>
    <row r="494" spans="80:146" x14ac:dyDescent="0.25">
      <c r="CB494" s="445"/>
      <c r="CC494" s="300"/>
      <c r="CD494" s="300"/>
      <c r="CE494" s="300"/>
      <c r="CF494" s="449"/>
      <c r="CG494" s="445"/>
      <c r="CT494" s="522" t="str">
        <f>IF(NOT($AD$105),"",CT492)</f>
        <v/>
      </c>
      <c r="CU494" s="371" t="str">
        <f ca="1">IF(OR(CT494="",DA494="",CT494=DA494,ISNA(VLOOKUP(CONCATENATE(CT494,DA494),games.a,2,FALSE))),"",CONCATENATE(CT494,DA494))</f>
        <v/>
      </c>
      <c r="CV494" s="371" t="str">
        <f ca="1">IF(CU494="","",CONCATENATE(VLOOKUP(CU494,games.a,9,FALSE),VLOOKUP(CU494,games.a,12,FALSE)))</f>
        <v/>
      </c>
      <c r="CW494" s="369" t="str">
        <f ca="1">IF(CU494="","",VLOOKUP(CU494,games.a,10,FALSE))</f>
        <v/>
      </c>
      <c r="CX494" s="369" t="str">
        <f ca="1">IF(CU494="","",VLOOKUP(CU494,games.a,13,FALSE))</f>
        <v/>
      </c>
      <c r="CY494" s="423" t="str">
        <f ca="1">IF(CU494="","",VLOOKUP(CU494,games.a,6,FALSE))</f>
        <v/>
      </c>
      <c r="CZ494" s="409" t="str">
        <f ca="1">IF(CU494="","",VLOOKUP(CU494,games.a,7,FALSE))</f>
        <v/>
      </c>
      <c r="DA494" s="523" t="str">
        <f ca="1">DA493</f>
        <v/>
      </c>
      <c r="DB494" s="302"/>
      <c r="DC494" s="364"/>
      <c r="DG494" s="424"/>
      <c r="DH494" s="424"/>
      <c r="DI494" s="424"/>
      <c r="DJ494" s="424"/>
      <c r="DK494" s="424"/>
      <c r="DL494" s="424"/>
      <c r="DM494" s="424"/>
      <c r="DN494" s="424"/>
      <c r="DO494" s="424"/>
      <c r="DP494" s="424"/>
      <c r="DQ494" s="424"/>
      <c r="DR494" s="424"/>
      <c r="DS494" s="424"/>
      <c r="DT494" s="424"/>
      <c r="DU494" s="424"/>
      <c r="DV494" s="424"/>
      <c r="DW494" s="424"/>
      <c r="DX494" s="424"/>
      <c r="DY494" s="424"/>
      <c r="DZ494" s="424"/>
      <c r="EA494" s="424"/>
      <c r="EB494" s="424"/>
      <c r="EP494" s="333"/>
    </row>
    <row r="495" spans="80:146" x14ac:dyDescent="0.25">
      <c r="CB495" s="445"/>
      <c r="CC495" s="300"/>
      <c r="CD495" s="300"/>
      <c r="CE495" s="300"/>
      <c r="CF495" s="449"/>
      <c r="CG495" s="445"/>
      <c r="CP495" s="302"/>
      <c r="CT495" s="301"/>
      <c r="CU495" s="458" t="s">
        <v>157</v>
      </c>
      <c r="CV495" s="458" t="s">
        <v>158</v>
      </c>
      <c r="CW495" s="459" t="s">
        <v>159</v>
      </c>
      <c r="CX495" s="459"/>
      <c r="CY495" s="460" t="s">
        <v>160</v>
      </c>
      <c r="CZ495" s="459" t="s">
        <v>135</v>
      </c>
      <c r="DA495" s="302"/>
      <c r="DB495" s="302"/>
      <c r="DC495" s="364"/>
      <c r="DG495" s="424"/>
      <c r="DH495" s="424"/>
      <c r="DI495" s="424"/>
      <c r="DJ495" s="424"/>
      <c r="DK495" s="424"/>
      <c r="DL495" s="424"/>
      <c r="DM495" s="424"/>
      <c r="DN495" s="424"/>
      <c r="DO495" s="424"/>
      <c r="DP495" s="424"/>
      <c r="DQ495" s="424"/>
      <c r="DR495" s="424"/>
      <c r="DS495" s="424"/>
      <c r="DT495" s="424"/>
      <c r="DU495" s="424"/>
      <c r="DV495" s="424"/>
      <c r="DW495" s="424"/>
      <c r="DX495" s="424"/>
      <c r="DY495" s="424"/>
      <c r="DZ495" s="424"/>
      <c r="EA495" s="424"/>
      <c r="EB495" s="424"/>
      <c r="EP495" s="333"/>
    </row>
    <row r="496" spans="80:146" x14ac:dyDescent="0.25">
      <c r="CB496" s="445"/>
      <c r="CC496" s="300"/>
      <c r="CD496" s="300"/>
      <c r="CE496" s="300"/>
      <c r="CF496" s="449"/>
      <c r="CG496" s="445"/>
      <c r="CP496" s="302"/>
      <c r="CT496" s="395" t="str">
        <f ca="1">CT491</f>
        <v/>
      </c>
      <c r="CU496" s="465" t="str">
        <f ca="1">IF(OR(CT496="",DA496="",CT496=DA496,COUNTIF(games.rv,CT496&amp;DA496)=0),"",CONCATENATE(CT496,DA496))</f>
        <v/>
      </c>
      <c r="CV496" s="360" t="str">
        <f ca="1">IF(CU496="","",CONCATENATE(VLOOKUP(CU496,games.r,9,FALSE),VLOOKUP(CU496,games.r,12,FALSE)))</f>
        <v/>
      </c>
      <c r="CW496" s="354" t="str">
        <f ca="1">IF(CU496="","",VLOOKUP(CU496,games.r,10,FALSE))</f>
        <v/>
      </c>
      <c r="CX496" s="354" t="str">
        <f ca="1">IF(CU496="","",VLOOKUP(CU496,games.r,13,FALSE))</f>
        <v/>
      </c>
      <c r="CY496" s="361" t="str">
        <f ca="1">IF(CU496="","",VLOOKUP(CU496,games.r,6,FALSE))</f>
        <v/>
      </c>
      <c r="CZ496" s="362" t="str">
        <f ca="1">IF(CU496="","",VLOOKUP(CU496,games.r,7,FALSE))</f>
        <v/>
      </c>
      <c r="DA496" s="466" t="str">
        <f ca="1">CT492</f>
        <v/>
      </c>
      <c r="DB496" s="302"/>
      <c r="DC496" s="364"/>
      <c r="DG496" s="424"/>
      <c r="DH496" s="424"/>
      <c r="DI496" s="424"/>
      <c r="DJ496" s="424"/>
      <c r="DK496" s="424"/>
      <c r="DL496" s="424"/>
      <c r="DM496" s="424"/>
      <c r="DN496" s="424"/>
      <c r="DO496" s="424"/>
      <c r="DP496" s="424"/>
      <c r="DQ496" s="424"/>
      <c r="DR496" s="424"/>
      <c r="DS496" s="424"/>
      <c r="DT496" s="424"/>
      <c r="DU496" s="424"/>
      <c r="DV496" s="424"/>
      <c r="DW496" s="424"/>
      <c r="DX496" s="424"/>
      <c r="DY496" s="424"/>
      <c r="DZ496" s="424"/>
      <c r="EA496" s="424"/>
      <c r="EB496" s="424"/>
      <c r="EP496" s="333"/>
    </row>
    <row r="497" spans="80:146" x14ac:dyDescent="0.25">
      <c r="CB497" s="445"/>
      <c r="CC497" s="300"/>
      <c r="CD497" s="300"/>
      <c r="CE497" s="300"/>
      <c r="CF497" s="449"/>
      <c r="CG497" s="445"/>
      <c r="CP497" s="302"/>
      <c r="CT497" s="395" t="str">
        <f ca="1">CT492</f>
        <v/>
      </c>
      <c r="CU497" s="465" t="str">
        <f ca="1">IF(OR(CT497="",DA497="",CT497=DA497,COUNTIF(games.rv,CT497&amp;DA497)=0),"",CONCATENATE(CT497,DA497))</f>
        <v/>
      </c>
      <c r="CV497" s="360" t="str">
        <f ca="1">IF(CU497="","",CONCATENATE(VLOOKUP(CU497,games.r,9,FALSE),VLOOKUP(CU497,games.r,12,FALSE)))</f>
        <v/>
      </c>
      <c r="CW497" s="354" t="str">
        <f ca="1">IF(CU497="","",VLOOKUP(CU497,games.r,10,FALSE))</f>
        <v/>
      </c>
      <c r="CX497" s="354" t="str">
        <f ca="1">IF(CU497="","",VLOOKUP(CU497,games.r,13,FALSE))</f>
        <v/>
      </c>
      <c r="CY497" s="361" t="str">
        <f ca="1">IF(CU497="","",VLOOKUP(CU497,games.r,6,FALSE))</f>
        <v/>
      </c>
      <c r="CZ497" s="362" t="str">
        <f ca="1">IF(CU497="","",VLOOKUP(CU497,games.r,7,FALSE))</f>
        <v/>
      </c>
      <c r="DA497" s="379" t="str">
        <f ca="1">DA496</f>
        <v/>
      </c>
      <c r="DB497" s="302"/>
      <c r="DC497" s="364"/>
      <c r="DG497" s="424"/>
      <c r="DH497" s="424"/>
      <c r="DI497" s="424"/>
      <c r="DJ497" s="424"/>
      <c r="DK497" s="424"/>
      <c r="DL497" s="424"/>
      <c r="DM497" s="424"/>
      <c r="DN497" s="424"/>
      <c r="DO497" s="424"/>
      <c r="DP497" s="424"/>
      <c r="DQ497" s="424"/>
      <c r="DR497" s="424"/>
      <c r="DS497" s="424"/>
      <c r="DT497" s="424"/>
      <c r="DU497" s="424"/>
      <c r="DV497" s="424"/>
      <c r="DW497" s="424"/>
      <c r="DX497" s="424"/>
      <c r="DY497" s="424"/>
      <c r="DZ497" s="424"/>
      <c r="EA497" s="424"/>
      <c r="EP497" s="333"/>
    </row>
    <row r="498" spans="80:146" x14ac:dyDescent="0.25">
      <c r="CB498" s="445"/>
      <c r="CC498" s="300"/>
      <c r="CD498" s="300"/>
      <c r="CE498" s="300"/>
      <c r="CF498" s="449"/>
      <c r="CG498" s="445"/>
      <c r="CP498" s="302"/>
      <c r="CT498" s="522" t="str">
        <f>CT493</f>
        <v/>
      </c>
      <c r="CU498" s="371" t="str">
        <f ca="1">IF(OR(CT498="",DA498="",CT498=DA498,ISNA(VLOOKUP(CONCATENATE(CT498,DA498),games.a,2,FALSE))),"",CONCATENATE(CT498,DA498))</f>
        <v/>
      </c>
      <c r="CV498" s="371" t="str">
        <f ca="1">IF(CU498="","",CONCATENATE(VLOOKUP(CU498,games.a,9,FALSE),VLOOKUP(CU498,games.a,12,FALSE)))</f>
        <v/>
      </c>
      <c r="CW498" s="369" t="str">
        <f ca="1">IF(CU498="","",VLOOKUP(CU498,games.a,10,FALSE))</f>
        <v/>
      </c>
      <c r="CX498" s="369" t="str">
        <f ca="1">IF(CU498="","",VLOOKUP(CU498,games.a,13,FALSE))</f>
        <v/>
      </c>
      <c r="CY498" s="423" t="str">
        <f ca="1">IF(CU498="","",VLOOKUP(CU498,games.a,6,FALSE))</f>
        <v/>
      </c>
      <c r="CZ498" s="409" t="str">
        <f ca="1">IF(CU498="","",VLOOKUP(CU498,games.a,7,FALSE))</f>
        <v/>
      </c>
      <c r="DA498" s="523" t="str">
        <f ca="1">DA497</f>
        <v/>
      </c>
      <c r="DB498" s="302"/>
      <c r="DC498" s="364"/>
      <c r="DG498" s="424"/>
      <c r="DH498" s="424"/>
      <c r="DI498" s="424"/>
      <c r="DJ498" s="424"/>
      <c r="DK498" s="424"/>
      <c r="DL498" s="424"/>
      <c r="DM498" s="424"/>
      <c r="DN498" s="424"/>
      <c r="DO498" s="424"/>
      <c r="DP498" s="424"/>
      <c r="DQ498" s="424"/>
      <c r="DR498" s="424"/>
      <c r="DS498" s="424"/>
      <c r="DT498" s="424"/>
      <c r="DU498" s="424"/>
      <c r="DV498" s="424"/>
      <c r="DW498" s="424"/>
      <c r="DX498" s="424"/>
      <c r="DY498" s="424"/>
      <c r="DZ498" s="424"/>
      <c r="EA498" s="424"/>
      <c r="EP498" s="333"/>
    </row>
    <row r="499" spans="80:146" x14ac:dyDescent="0.25">
      <c r="CB499" s="445"/>
      <c r="CC499" s="300"/>
      <c r="CD499" s="300"/>
      <c r="CE499" s="300"/>
      <c r="CF499" s="449"/>
      <c r="CG499" s="445"/>
      <c r="CP499" s="302"/>
      <c r="CT499" s="522" t="str">
        <f>CT494</f>
        <v/>
      </c>
      <c r="CU499" s="371" t="str">
        <f ca="1">IF(OR(CT499="",DA499="",CT499=DA499,ISNA(VLOOKUP(CONCATENATE(CT499,DA499),games.a,2,FALSE))),"",CONCATENATE(CT499,DA499))</f>
        <v/>
      </c>
      <c r="CV499" s="371" t="str">
        <f ca="1">IF(CU499="","",CONCATENATE(VLOOKUP(CU499,games.a,9,FALSE),VLOOKUP(CU499,games.a,12,FALSE)))</f>
        <v/>
      </c>
      <c r="CW499" s="369" t="str">
        <f ca="1">IF(CU499="","",VLOOKUP(CU499,games.a,10,FALSE))</f>
        <v/>
      </c>
      <c r="CX499" s="369" t="str">
        <f ca="1">IF(CU499="","",VLOOKUP(CU499,games.a,13,FALSE))</f>
        <v/>
      </c>
      <c r="CY499" s="423" t="str">
        <f ca="1">IF(CU499="","",VLOOKUP(CU499,games.a,6,FALSE))</f>
        <v/>
      </c>
      <c r="CZ499" s="409" t="str">
        <f ca="1">IF(CU499="","",VLOOKUP(CU499,games.a,7,FALSE))</f>
        <v/>
      </c>
      <c r="DA499" s="523" t="str">
        <f ca="1">DA498</f>
        <v/>
      </c>
      <c r="DB499" s="302"/>
      <c r="DC499" s="364"/>
      <c r="DG499" s="424"/>
      <c r="DH499" s="424"/>
      <c r="DI499" s="424"/>
      <c r="DJ499" s="424"/>
      <c r="DK499" s="424"/>
      <c r="DL499" s="424"/>
      <c r="DM499" s="424"/>
      <c r="DN499" s="424"/>
      <c r="DO499" s="424"/>
      <c r="DP499" s="424"/>
      <c r="DQ499" s="424"/>
      <c r="DR499" s="424"/>
      <c r="DS499" s="424"/>
      <c r="DT499" s="424"/>
      <c r="DU499" s="424"/>
      <c r="DV499" s="424"/>
      <c r="DW499" s="424"/>
      <c r="DX499" s="424"/>
      <c r="DY499" s="424"/>
      <c r="DZ499" s="424"/>
      <c r="EA499" s="424"/>
      <c r="EP499" s="333"/>
    </row>
    <row r="500" spans="80:146" x14ac:dyDescent="0.25">
      <c r="CB500" s="445"/>
      <c r="CC500" s="300"/>
      <c r="CD500" s="300"/>
      <c r="CE500" s="300"/>
      <c r="CF500" s="449"/>
      <c r="CG500" s="445"/>
      <c r="CP500" s="302"/>
      <c r="CT500" s="301"/>
      <c r="CU500" s="302"/>
      <c r="CV500" s="302"/>
      <c r="CW500" s="302"/>
      <c r="CX500" s="302"/>
      <c r="CY500" s="302"/>
      <c r="CZ500" s="302"/>
      <c r="DA500" s="302"/>
      <c r="DB500" s="302"/>
      <c r="DC500" s="446" t="s">
        <v>222</v>
      </c>
      <c r="DG500" s="424"/>
      <c r="DH500" s="424"/>
      <c r="DI500" s="424"/>
      <c r="DJ500" s="424"/>
      <c r="DK500" s="424"/>
      <c r="DL500" s="424"/>
      <c r="DM500" s="424"/>
      <c r="DN500" s="424"/>
      <c r="DO500" s="424"/>
      <c r="DP500" s="424"/>
      <c r="DQ500" s="424"/>
      <c r="DR500" s="424"/>
      <c r="DS500" s="424"/>
      <c r="DT500" s="424"/>
      <c r="DU500" s="424"/>
      <c r="DV500" s="424"/>
      <c r="DW500" s="424"/>
      <c r="DX500" s="424"/>
      <c r="DY500" s="424"/>
      <c r="DZ500" s="424"/>
      <c r="EA500" s="424"/>
      <c r="EP500" s="333"/>
    </row>
    <row r="501" spans="80:146" x14ac:dyDescent="0.25">
      <c r="CB501" s="445"/>
      <c r="CC501" s="300"/>
      <c r="CD501" s="300"/>
      <c r="CE501" s="300"/>
      <c r="CF501" s="449"/>
      <c r="CG501" s="445"/>
      <c r="CP501" s="302"/>
      <c r="CT501" s="301"/>
      <c r="CU501" s="302"/>
      <c r="CV501" s="302"/>
      <c r="CW501" s="302"/>
      <c r="CX501" s="302"/>
      <c r="CY501" s="302"/>
      <c r="CZ501" s="302"/>
      <c r="DA501" s="447"/>
      <c r="DB501" s="302"/>
      <c r="DC501" s="450" t="s">
        <v>370</v>
      </c>
      <c r="DD501" s="302"/>
      <c r="DF501" s="424"/>
      <c r="DG501" s="424"/>
      <c r="DH501" s="424"/>
      <c r="DI501" s="424"/>
      <c r="DJ501" s="424"/>
      <c r="DK501" s="424"/>
      <c r="DL501" s="424"/>
      <c r="DM501" s="424"/>
      <c r="DN501" s="424"/>
      <c r="DO501" s="424"/>
      <c r="DP501" s="424"/>
      <c r="DQ501" s="424"/>
      <c r="DR501" s="424"/>
      <c r="DS501" s="424"/>
      <c r="DT501" s="424"/>
      <c r="DU501" s="424"/>
      <c r="DV501" s="424"/>
      <c r="DW501" s="424"/>
      <c r="DX501" s="424"/>
      <c r="DY501" s="424"/>
      <c r="DZ501" s="424"/>
      <c r="EA501" s="424"/>
      <c r="EB501" s="424"/>
      <c r="EC501" s="424"/>
      <c r="ED501" s="424"/>
      <c r="EE501" s="424"/>
      <c r="EF501" s="424"/>
      <c r="EG501" s="424"/>
      <c r="EH501" s="424"/>
      <c r="EI501" s="424"/>
      <c r="EJ501" s="424"/>
      <c r="EK501" s="424"/>
      <c r="EL501" s="424"/>
      <c r="EM501" s="424"/>
      <c r="EN501" s="424"/>
      <c r="EO501" s="425"/>
      <c r="EP501" s="333"/>
    </row>
    <row r="502" spans="80:146" x14ac:dyDescent="0.25">
      <c r="CT502" s="323" t="b">
        <f ca="1">OR(NOT(ASZTAB!$AJ$44),COUNTIF(CY502:CY556,"")&lt;=50-(DA502-1)*DA502/2)</f>
        <v>1</v>
      </c>
      <c r="CU502" s="458" t="s">
        <v>157</v>
      </c>
      <c r="CV502" s="458" t="s">
        <v>158</v>
      </c>
      <c r="CW502" s="459" t="s">
        <v>159</v>
      </c>
      <c r="CX502" s="459"/>
      <c r="CY502" s="460" t="s">
        <v>160</v>
      </c>
      <c r="CZ502" s="459" t="s">
        <v>135</v>
      </c>
      <c r="DA502" s="323">
        <f>COUNT(CK367:CK371)</f>
        <v>0</v>
      </c>
      <c r="DB502" s="302"/>
      <c r="DC502" s="364"/>
      <c r="DD502" s="302"/>
      <c r="DF502" s="424"/>
      <c r="DG502" s="329" t="s">
        <v>223</v>
      </c>
      <c r="DH502" s="329" t="s">
        <v>224</v>
      </c>
      <c r="DI502" s="329" t="s">
        <v>152</v>
      </c>
      <c r="DK502" s="329" t="s">
        <v>154</v>
      </c>
      <c r="DL502" s="329" t="s">
        <v>155</v>
      </c>
      <c r="DN502" s="329" t="s">
        <v>226</v>
      </c>
      <c r="DP502" s="329" t="s">
        <v>227</v>
      </c>
      <c r="DT502" s="329" t="s">
        <v>228</v>
      </c>
      <c r="DU502" s="329" t="s">
        <v>156</v>
      </c>
      <c r="DV502" s="329" t="s">
        <v>208</v>
      </c>
      <c r="DX502" s="329" t="s">
        <v>212</v>
      </c>
      <c r="DY502" s="330" t="s">
        <v>227</v>
      </c>
      <c r="DZ502" s="329" t="s">
        <v>225</v>
      </c>
      <c r="EA502" s="328"/>
      <c r="EB502" s="328"/>
      <c r="EC502" s="328"/>
      <c r="ED502" s="331" t="str">
        <f ca="1">IF(EC503=0,"xxx",VLOOKUP(EC503,DX503:EA507,IF(ASZTAB!$AJ$54,2,3),FALSE))</f>
        <v>xxx</v>
      </c>
      <c r="EE502" s="328"/>
      <c r="EF502" s="328"/>
      <c r="EG502" s="331" t="str">
        <f ca="1">IF(EC504=0,"xxx",VLOOKUP(EC504,DX503:EA507,IF(ASZTAB!$AJ$54,2,3),FALSE))</f>
        <v>xxx</v>
      </c>
      <c r="EH502" s="328"/>
      <c r="EI502" s="328"/>
      <c r="EM502" s="424"/>
      <c r="EN502" s="458"/>
      <c r="EO502" s="425"/>
    </row>
    <row r="503" spans="80:146" x14ac:dyDescent="0.25">
      <c r="CT503" s="464" t="str">
        <f>IF(CK367="","",VLOOKUP(CK367,xxx.rv3,4,FALSE))</f>
        <v/>
      </c>
      <c r="CU503" s="465" t="str">
        <f ca="1">IF(OR(CT503="",DA503="",CT503=DA503,COUNTIF(games.rv,CT503&amp;DA503)=0),"",CONCATENATE(CT503,DA503))</f>
        <v/>
      </c>
      <c r="CV503" s="360" t="str">
        <f ca="1">IF(CU503="","",CONCATENATE(VLOOKUP(CU503,games.r,9,FALSE),VLOOKUP(CU503,games.r,12,FALSE)))</f>
        <v/>
      </c>
      <c r="CW503" s="354" t="str">
        <f ca="1">IF(CU503="","",VLOOKUP(CU503,games.r,10,FALSE))</f>
        <v/>
      </c>
      <c r="CX503" s="354" t="str">
        <f ca="1">IF(CU503="","",VLOOKUP(CU503,games.r,13,FALSE))</f>
        <v/>
      </c>
      <c r="CY503" s="361" t="str">
        <f ca="1">IF(CU503="","",VLOOKUP(CU503,games.r,6,FALSE))</f>
        <v/>
      </c>
      <c r="CZ503" s="362" t="str">
        <f ca="1">IF(CU503="","",VLOOKUP(CU503,games.r,7,FALSE))</f>
        <v/>
      </c>
      <c r="DA503" s="466" t="str">
        <f>CT503</f>
        <v/>
      </c>
      <c r="DB503" s="302"/>
      <c r="DC503" s="364"/>
      <c r="DF503" s="424"/>
      <c r="DG503" s="366" t="str">
        <f ca="1">IF(AND(ASZTAB!$AJ$44,CT502,DA502&lt;&gt;2),CT503,"")</f>
        <v/>
      </c>
      <c r="DH503" s="366">
        <f ca="1">IF(DG503="",-1,COUNTIF(xxgy.rv,DG503))</f>
        <v>-1</v>
      </c>
      <c r="DI503" s="366">
        <f ca="1">IF(DG503="",0,COUNTIF(yygy.rv,DG503))</f>
        <v>0</v>
      </c>
      <c r="DK503" s="366">
        <f ca="1">IF(DG503="",0,1)*(SUMIF(yyo.rv,DG503,yyl.rv)+SUMIF(yyi.rv,DG503,yyk.rv))</f>
        <v>0</v>
      </c>
      <c r="DL503" s="366">
        <f ca="1">IF(DG503="",0,1)*(SUMIF(yyo.rv,DG503,yyk.rv)+SUMIF(yyi.rv,DG503,yyl.rv))</f>
        <v>0</v>
      </c>
      <c r="DN503" s="366">
        <f ca="1">IF(DL503=0,0,DK503/DL503)</f>
        <v>0</v>
      </c>
      <c r="DP503" s="366">
        <f ca="1">DH503*1000000+DI503*1000+DN503</f>
        <v>-1000000</v>
      </c>
      <c r="DT503" s="366">
        <f ca="1">IF(OR(ISERR(DP503),ISNA(DP503),DH503&lt;0),0,DP503)</f>
        <v>0</v>
      </c>
      <c r="DU503" s="366">
        <f ca="1">IF(DT503=0,0,RANK(DT503,DT503:DT507,1))</f>
        <v>0</v>
      </c>
      <c r="DV503" s="366">
        <f ca="1">DU503*40000*IF(COUNTIF($EN$503:$EN$512,DG503)&gt;0,0,1)</f>
        <v>0</v>
      </c>
      <c r="DX503" s="367">
        <f ca="1">IF(ASZTAB!$AJ$54,COUNTIF(DP509:DP513,DY503)*IF(DY503=0,0,1),COUNTIF(DH503:DH507,DZ503)*IF(DZ503&lt;0,0,1))+EA503/1000</f>
        <v>1E-3</v>
      </c>
      <c r="DY503" s="367">
        <f ca="1">LARGE(DP509:DP513,EA503)</f>
        <v>0</v>
      </c>
      <c r="DZ503" s="369">
        <f ca="1">LARGE(DH503:DH507,EA503)</f>
        <v>-1</v>
      </c>
      <c r="EA503" s="369">
        <v>1</v>
      </c>
      <c r="EB503" s="365"/>
      <c r="EC503" s="370">
        <f ca="1">IF(LARGE(DX503:DX507,EA503)&lt;2,0,LARGE(DX503:DX507,EA503))</f>
        <v>0</v>
      </c>
      <c r="ED503" s="371" t="str">
        <f ca="1">IF(DH503=ED502,DG503,IF(DP509=ED502,DG509,""))</f>
        <v/>
      </c>
      <c r="EE503" s="369" t="str">
        <f ca="1">IF(ED503="","",EA503)</f>
        <v/>
      </c>
      <c r="EF503" s="372" t="str">
        <f ca="1">IF(ISERR(LARGE(EE503:EE507,EA503)),"",LARGE(EE503:EE507,EA503))</f>
        <v/>
      </c>
      <c r="EG503" s="371" t="str">
        <f ca="1">IF(DH503=EG502,DG503,IF(DP509=EG502,DG509,""))</f>
        <v/>
      </c>
      <c r="EH503" s="369" t="str">
        <f ca="1">IF(EG503="","",EA503)</f>
        <v/>
      </c>
      <c r="EI503" s="372" t="str">
        <f ca="1">IF(ISERR(LARGE(EH503:EH507,EA503)),"",LARGE(EH503:EH507,EA503))</f>
        <v/>
      </c>
      <c r="EM503" s="424"/>
      <c r="EN503" s="366"/>
      <c r="EO503" s="425"/>
    </row>
    <row r="504" spans="80:146" x14ac:dyDescent="0.25">
      <c r="CT504" s="464" t="str">
        <f>IF(CK368="","",VLOOKUP(CK368,xxx.rv3,4,FALSE))</f>
        <v/>
      </c>
      <c r="CU504" s="465" t="str">
        <f ca="1">IF(OR(CT504="",DA504="",CT504=DA504,COUNTIF(games.rv,CT504&amp;DA504)=0),"",CONCATENATE(CT504,DA504))</f>
        <v/>
      </c>
      <c r="CV504" s="360" t="str">
        <f ca="1">IF(CU504="","",CONCATENATE(VLOOKUP(CU504,games.r,9,FALSE),VLOOKUP(CU504,games.r,12,FALSE)))</f>
        <v/>
      </c>
      <c r="CW504" s="354" t="str">
        <f ca="1">IF(CU504="","",VLOOKUP(CU504,games.r,10,FALSE))</f>
        <v/>
      </c>
      <c r="CX504" s="354" t="str">
        <f ca="1">IF(CU504="","",VLOOKUP(CU504,games.r,13,FALSE))</f>
        <v/>
      </c>
      <c r="CY504" s="361" t="str">
        <f ca="1">IF(CU504="","",VLOOKUP(CU504,games.r,6,FALSE))</f>
        <v/>
      </c>
      <c r="CZ504" s="362" t="str">
        <f ca="1">IF(CU504="","",VLOOKUP(CU504,games.r,7,FALSE))</f>
        <v/>
      </c>
      <c r="DA504" s="379" t="str">
        <f t="shared" ref="DA504:DA512" si="384">DA503</f>
        <v/>
      </c>
      <c r="DB504" s="302"/>
      <c r="DC504" s="364"/>
      <c r="DD504" s="445"/>
      <c r="DF504" s="424"/>
      <c r="DG504" s="366" t="str">
        <f ca="1">IF(AND(ASZTAB!$AJ$44,CT502,DA502&lt;&gt;2),CT504,"")</f>
        <v/>
      </c>
      <c r="DH504" s="366">
        <f ca="1">IF(DG504="",-1,COUNTIF(xxgy.rv,DG504))</f>
        <v>-1</v>
      </c>
      <c r="DI504" s="366">
        <f ca="1">IF(DG504="",0,COUNTIF(yygy.rv,DG504))</f>
        <v>0</v>
      </c>
      <c r="DK504" s="366">
        <f ca="1">IF(DG504="",0,1)*(SUMIF(yyo.rv,DG504,yyl.rv)+SUMIF(yyi.rv,DG504,yyk.rv))</f>
        <v>0</v>
      </c>
      <c r="DL504" s="366">
        <f ca="1">IF(DG504="",0,1)*(SUMIF(yyo.rv,DG504,yyk.rv)+SUMIF(yyi.rv,DG504,yyl.rv))</f>
        <v>0</v>
      </c>
      <c r="DN504" s="366">
        <f ca="1">IF(DL504=0,0,DK504/DL504)</f>
        <v>0</v>
      </c>
      <c r="DP504" s="366">
        <f ca="1">DH504*1000000+DI504*1000+DN504</f>
        <v>-1000000</v>
      </c>
      <c r="DT504" s="366">
        <f ca="1">IF(OR(ISERR(DP504),ISNA(DP504),DH504&lt;0),0,DP504)</f>
        <v>0</v>
      </c>
      <c r="DU504" s="366">
        <f ca="1">IF(DT504=0,0,RANK(DT504,DT503:DT507,1))</f>
        <v>0</v>
      </c>
      <c r="DV504" s="366">
        <f ca="1">DU504*40000*IF(COUNTIF($EN$503:$EN$512,DG504)&gt;0,0,1)</f>
        <v>0</v>
      </c>
      <c r="DX504" s="367">
        <f ca="1">IF(ASZTAB!$AJ$54,COUNTIF(DP509:DP513,DY503)*IF(OR(DY504=0,DY504=DY503),0,1),COUNTIF(DH503:DH507,DZ504)*IF(OR(DZ504=DZ503,DZ504&lt;0),0,1))+EA504/1000</f>
        <v>2E-3</v>
      </c>
      <c r="DY504" s="367">
        <f ca="1">LARGE(DP509:DP513,EA504)</f>
        <v>0</v>
      </c>
      <c r="DZ504" s="369">
        <f ca="1">LARGE(DH503:DH507,EA504)</f>
        <v>-1</v>
      </c>
      <c r="EA504" s="369">
        <v>2</v>
      </c>
      <c r="EB504" s="365"/>
      <c r="EC504" s="370">
        <f ca="1">IF(LARGE(DX503:DX507,EA504)&lt;2,0,LARGE(DX503:DX507,EA504))</f>
        <v>0</v>
      </c>
      <c r="ED504" s="371" t="str">
        <f ca="1">IF(DH504=ED502,DG504,IF(DP510=ED502,DG510,""))</f>
        <v/>
      </c>
      <c r="EE504" s="369" t="str">
        <f ca="1">IF(ED504="","",EA504)</f>
        <v/>
      </c>
      <c r="EF504" s="372" t="str">
        <f ca="1">IF(ISERR(LARGE(EE503:EE507,EA504)),"",LARGE(EE503:EE507,EA504))</f>
        <v/>
      </c>
      <c r="EG504" s="371" t="str">
        <f ca="1">IF(DH504=EG502,DG504,IF(DP510=EG502,DG510,""))</f>
        <v/>
      </c>
      <c r="EH504" s="369" t="str">
        <f ca="1">IF(EG504="","",EA504)</f>
        <v/>
      </c>
      <c r="EI504" s="372" t="str">
        <f ca="1">IF(ISERR(LARGE(EH503:EH507,EA504)),"",LARGE(EH503:EH507,EA504))</f>
        <v/>
      </c>
      <c r="EM504" s="424"/>
      <c r="EN504" s="366"/>
      <c r="EO504" s="425"/>
    </row>
    <row r="505" spans="80:146" x14ac:dyDescent="0.25">
      <c r="CT505" s="464" t="str">
        <f>IF(CK369="","",VLOOKUP(CK369,xxx.rv3,4,FALSE))</f>
        <v/>
      </c>
      <c r="CU505" s="465" t="str">
        <f ca="1">IF(OR(CT505="",DA505="",CT505=DA505,COUNTIF(games.rv,CT505&amp;DA505)=0),"",CONCATENATE(CT505,DA505))</f>
        <v/>
      </c>
      <c r="CV505" s="360" t="str">
        <f ca="1">IF(CU505="","",CONCATENATE(VLOOKUP(CU505,games.r,9,FALSE),VLOOKUP(CU505,games.r,12,FALSE)))</f>
        <v/>
      </c>
      <c r="CW505" s="354" t="str">
        <f ca="1">IF(CU505="","",VLOOKUP(CU505,games.r,10,FALSE))</f>
        <v/>
      </c>
      <c r="CX505" s="354" t="str">
        <f ca="1">IF(CU505="","",VLOOKUP(CU505,games.r,13,FALSE))</f>
        <v/>
      </c>
      <c r="CY505" s="361" t="str">
        <f ca="1">IF(CU505="","",VLOOKUP(CU505,games.r,6,FALSE))</f>
        <v/>
      </c>
      <c r="CZ505" s="362" t="str">
        <f ca="1">IF(CU505="","",VLOOKUP(CU505,games.r,7,FALSE))</f>
        <v/>
      </c>
      <c r="DA505" s="379" t="str">
        <f t="shared" si="384"/>
        <v/>
      </c>
      <c r="DB505" s="302"/>
      <c r="DC505" s="364"/>
      <c r="DD505" s="445"/>
      <c r="DF505" s="424"/>
      <c r="DG505" s="366" t="str">
        <f ca="1">IF(AND(ASZTAB!$AJ$44,CT502,DA502&lt;&gt;2),CT505,"")</f>
        <v/>
      </c>
      <c r="DH505" s="366">
        <f ca="1">IF(DG505="",-1,COUNTIF(xxgy.rv,DG505))</f>
        <v>-1</v>
      </c>
      <c r="DI505" s="366">
        <f ca="1">IF(DG505="",0,COUNTIF(yygy.rv,DG505))</f>
        <v>0</v>
      </c>
      <c r="DK505" s="366">
        <f ca="1">IF(DG505="",0,1)*(SUMIF(yyo.rv,DG505,yyl.rv)+SUMIF(yyi.rv,DG505,yyk.rv))</f>
        <v>0</v>
      </c>
      <c r="DL505" s="366">
        <f ca="1">IF(DG505="",0,1)*(SUMIF(yyo.rv,DG505,yyk.rv)+SUMIF(yyi.rv,DG505,yyl.rv))</f>
        <v>0</v>
      </c>
      <c r="DN505" s="366">
        <f ca="1">IF(DL505=0,0,DK505/DL505)</f>
        <v>0</v>
      </c>
      <c r="DP505" s="366">
        <f ca="1">DH505*1000000+DI505*1000+DN505</f>
        <v>-1000000</v>
      </c>
      <c r="DT505" s="366">
        <f ca="1">IF(OR(ISERR(DP505),ISNA(DP505),DH505&lt;0),0,DP505)</f>
        <v>0</v>
      </c>
      <c r="DU505" s="366">
        <f ca="1">IF(DT505=0,0,RANK(DT505,DT503:DT507,1))</f>
        <v>0</v>
      </c>
      <c r="DV505" s="366">
        <f ca="1">DU505*40000*IF(COUNTIF($EN$503:$EN$512,DG505)&gt;0,0,1)</f>
        <v>0</v>
      </c>
      <c r="DW505" s="365"/>
      <c r="DX505" s="367">
        <f ca="1">IF(ASZTAB!$AJ$54,COUNTIF(DP509:DP513,DY504)*IF(OR(DY505=0,DY505=DY504),0,1),COUNTIF(DH503:DH507,DZ505)*IF(OR(DZ505=DZ504,DZ505&lt;0),0,1))+EA505/1000</f>
        <v>3.0000000000000001E-3</v>
      </c>
      <c r="DY505" s="367">
        <f ca="1">LARGE(DP509:DP513,EA505)</f>
        <v>0</v>
      </c>
      <c r="DZ505" s="369">
        <f ca="1">LARGE(DH503:DH507,EA505)</f>
        <v>-1</v>
      </c>
      <c r="EA505" s="369">
        <v>3</v>
      </c>
      <c r="EB505" s="365"/>
      <c r="EC505" s="365"/>
      <c r="ED505" s="371" t="str">
        <f ca="1">IF(DH505=ED502,DG505,IF(DP511=ED502,DG511,""))</f>
        <v/>
      </c>
      <c r="EE505" s="369" t="str">
        <f ca="1">IF(ED505="","",EA505)</f>
        <v/>
      </c>
      <c r="EF505" s="388" t="str">
        <f ca="1">IF(ISERR(LARGE(EE503:EE507,EA505)),"",LARGE(EE503:EE507,EA505))</f>
        <v/>
      </c>
      <c r="EG505" s="371" t="str">
        <f ca="1">IF(DH505=EG502,DG505,IF(DP511=EG502,DG511,""))</f>
        <v/>
      </c>
      <c r="EH505" s="369" t="str">
        <f ca="1">IF(EG505="","",EA505)</f>
        <v/>
      </c>
      <c r="EI505" s="381"/>
      <c r="EM505" s="424"/>
      <c r="EN505" s="366"/>
      <c r="EO505" s="425"/>
    </row>
    <row r="506" spans="80:146" x14ac:dyDescent="0.25">
      <c r="CT506" s="464" t="str">
        <f>IF(CK370="","",VLOOKUP(CK370,xxx.rv3,4,FALSE))</f>
        <v/>
      </c>
      <c r="CU506" s="465" t="str">
        <f ca="1">IF(OR(CT506="",DA506="",CT506=DA506,COUNTIF(games.rv,CT506&amp;DA506)=0),"",CONCATENATE(CT506,DA506))</f>
        <v/>
      </c>
      <c r="CV506" s="360" t="str">
        <f ca="1">IF(CU506="","",CONCATENATE(VLOOKUP(CU506,games.r,9,FALSE),VLOOKUP(CU506,games.r,12,FALSE)))</f>
        <v/>
      </c>
      <c r="CW506" s="354" t="str">
        <f ca="1">IF(CU506="","",VLOOKUP(CU506,games.r,10,FALSE))</f>
        <v/>
      </c>
      <c r="CX506" s="354" t="str">
        <f ca="1">IF(CU506="","",VLOOKUP(CU506,games.r,13,FALSE))</f>
        <v/>
      </c>
      <c r="CY506" s="361" t="str">
        <f ca="1">IF(CU506="","",VLOOKUP(CU506,games.r,6,FALSE))</f>
        <v/>
      </c>
      <c r="CZ506" s="362" t="str">
        <f ca="1">IF(CU506="","",VLOOKUP(CU506,games.r,7,FALSE))</f>
        <v/>
      </c>
      <c r="DA506" s="379" t="str">
        <f t="shared" si="384"/>
        <v/>
      </c>
      <c r="DB506" s="302"/>
      <c r="DC506" s="364"/>
      <c r="DD506" s="445"/>
      <c r="DF506" s="424"/>
      <c r="DG506" s="366" t="str">
        <f ca="1">IF(AND(ASZTAB!$AJ$44,CT502,DA502&lt;&gt;2),CT506,"")</f>
        <v/>
      </c>
      <c r="DH506" s="366">
        <f ca="1">IF(DG506="",-1,COUNTIF(xxgy.rv,DG506))</f>
        <v>-1</v>
      </c>
      <c r="DI506" s="366">
        <f ca="1">IF(DG506="",0,COUNTIF(yygy.rv,DG506))</f>
        <v>0</v>
      </c>
      <c r="DK506" s="366">
        <f ca="1">IF(DG506="",0,1)*(SUMIF(yyo.rv,DG506,yyl.rv)+SUMIF(yyi.rv,DG506,yyk.rv))</f>
        <v>0</v>
      </c>
      <c r="DL506" s="366">
        <f ca="1">IF(DG506="",0,1)*(SUMIF(yyo.rv,DG506,yyk.rv)+SUMIF(yyi.rv,DG506,yyl.rv))</f>
        <v>0</v>
      </c>
      <c r="DN506" s="366">
        <f ca="1">IF(DL506=0,0,DK506/DL506)</f>
        <v>0</v>
      </c>
      <c r="DP506" s="366">
        <f ca="1">DH506*1000000+DI506*1000+DN506</f>
        <v>-1000000</v>
      </c>
      <c r="DT506" s="366">
        <f ca="1">IF(OR(ISERR(DP506),ISNA(DP506),DH506&lt;0),0,DP506)</f>
        <v>0</v>
      </c>
      <c r="DU506" s="366">
        <f ca="1">IF(DT506=0,0,RANK(DT506,DT503:DT507,1))</f>
        <v>0</v>
      </c>
      <c r="DV506" s="366">
        <f ca="1">DU506*40000*IF(COUNTIF($EN$503:$EN$512,DG506)&gt;0,0,1)</f>
        <v>0</v>
      </c>
      <c r="DW506" s="365"/>
      <c r="DX506" s="367">
        <f ca="1">IF(ASZTAB!$AJ$54,COUNTIF(DP509:DP513,DY505)*IF(OR(DY506=0,DY506=DY505),0,1),COUNTIF(DH503:DH507,DZ506)*IF(OR(DZ506=DZ505,DZ506&lt;0),0,1))+EA506/1000</f>
        <v>4.0000000000000001E-3</v>
      </c>
      <c r="DY506" s="367">
        <f ca="1">LARGE(DP509:DP513,EA506)</f>
        <v>0</v>
      </c>
      <c r="DZ506" s="369">
        <f ca="1">LARGE(DH503:DH507,EA506)</f>
        <v>-1</v>
      </c>
      <c r="EA506" s="369">
        <v>4</v>
      </c>
      <c r="EB506" s="365"/>
      <c r="EC506" s="365"/>
      <c r="ED506" s="371" t="str">
        <f ca="1">IF(DH506=ED502,DG506,IF(DP512=ED502,DG512,""))</f>
        <v/>
      </c>
      <c r="EE506" s="369" t="str">
        <f ca="1">IF(ED506="","",EA506)</f>
        <v/>
      </c>
      <c r="EF506" s="386"/>
      <c r="EG506" s="371" t="str">
        <f ca="1">IF(DH506=EG502,DG506,IF(DP512=EG502,DG512,""))</f>
        <v/>
      </c>
      <c r="EH506" s="369" t="str">
        <f ca="1">IF(EG506="","",EA506)</f>
        <v/>
      </c>
      <c r="EI506" s="386"/>
      <c r="EM506" s="424"/>
      <c r="EN506" s="366"/>
      <c r="EO506" s="425"/>
    </row>
    <row r="507" spans="80:146" x14ac:dyDescent="0.25">
      <c r="CT507" s="464" t="str">
        <f>IF(CK371="","",VLOOKUP(CK371,xxx.rv3,4,FALSE))</f>
        <v/>
      </c>
      <c r="CU507" s="465" t="str">
        <f ca="1">IF(OR(CT507="",DA507="",CT507=DA507,COUNTIF(games.rv,CT507&amp;DA507)=0),"",CONCATENATE(CT507,DA507))</f>
        <v/>
      </c>
      <c r="CV507" s="360" t="str">
        <f ca="1">IF(CU507="","",CONCATENATE(VLOOKUP(CU507,games.r,9,FALSE),VLOOKUP(CU507,games.r,12,FALSE)))</f>
        <v/>
      </c>
      <c r="CW507" s="354" t="str">
        <f ca="1">IF(CU507="","",VLOOKUP(CU507,games.r,10,FALSE))</f>
        <v/>
      </c>
      <c r="CX507" s="354" t="str">
        <f ca="1">IF(CU507="","",VLOOKUP(CU507,games.r,13,FALSE))</f>
        <v/>
      </c>
      <c r="CY507" s="361" t="str">
        <f ca="1">IF(CU507="","",VLOOKUP(CU507,games.r,6,FALSE))</f>
        <v/>
      </c>
      <c r="CZ507" s="362" t="str">
        <f ca="1">IF(CU507="","",VLOOKUP(CU507,games.r,7,FALSE))</f>
        <v/>
      </c>
      <c r="DA507" s="379" t="str">
        <f t="shared" si="384"/>
        <v/>
      </c>
      <c r="DB507" s="302"/>
      <c r="DC507" s="364"/>
      <c r="DD507" s="445"/>
      <c r="DF507" s="424"/>
      <c r="DG507" s="366" t="str">
        <f ca="1">IF(AND(ASZTAB!$AJ$44,CT502,DA502&lt;&gt;2),CT507,"")</f>
        <v/>
      </c>
      <c r="DH507" s="366">
        <f ca="1">IF(DG507="",-1,COUNTIF(xxgy.rv,DG507))</f>
        <v>-1</v>
      </c>
      <c r="DI507" s="366">
        <f ca="1">IF(DG507="",0,COUNTIF(yygy.rv,DG507))</f>
        <v>0</v>
      </c>
      <c r="DK507" s="366">
        <f ca="1">IF(DG507="",0,1)*(SUMIF(yyo.rv,DG507,yyl.rv)+SUMIF(yyi.rv,DG507,yyk.rv))</f>
        <v>0</v>
      </c>
      <c r="DL507" s="366">
        <f ca="1">IF(DG507="",0,1)*(SUMIF(yyo.rv,DG507,yyk.rv)+SUMIF(yyi.rv,DG507,yyl.rv))</f>
        <v>0</v>
      </c>
      <c r="DN507" s="366">
        <f ca="1">IF(DL507=0,0,DK507/DL507)</f>
        <v>0</v>
      </c>
      <c r="DP507" s="366">
        <f ca="1">DH507*1000000+DI507*1000+DN507</f>
        <v>-1000000</v>
      </c>
      <c r="DT507" s="366">
        <f ca="1">IF(OR(ISERR(DP507),ISNA(DP507),DH507&lt;0),0,DP507)</f>
        <v>0</v>
      </c>
      <c r="DU507" s="366">
        <f ca="1">IF(DT507=0,0,RANK(DT507,DT503:DT507,1))</f>
        <v>0</v>
      </c>
      <c r="DV507" s="366">
        <f ca="1">DU507*40000*IF(COUNTIF($EN$503:$EN$512,DG507)&gt;0,0,1)</f>
        <v>0</v>
      </c>
      <c r="DW507" s="365"/>
      <c r="DX507" s="367">
        <f ca="1">IF(ASZTAB!$AJ$54,COUNTIF(DP509:DP513,DY506)*IF(OR(DY507=0,DY507=DY506),0,1),COUNTIF(DH503:DH507,DZ507)*IF(OR(DZ507=DZ506,DZ507&lt;0),0,1))+EA507/1000</f>
        <v>5.0000000000000001E-3</v>
      </c>
      <c r="DY507" s="367">
        <f ca="1">LARGE(DP509:DP513,EA507)</f>
        <v>0</v>
      </c>
      <c r="DZ507" s="369">
        <f ca="1">LARGE(DH503:DH507,EA507)</f>
        <v>-1</v>
      </c>
      <c r="EA507" s="369">
        <v>5</v>
      </c>
      <c r="EB507" s="365"/>
      <c r="EC507" s="365"/>
      <c r="ED507" s="371" t="str">
        <f ca="1">IF(DH507=ED502,DG507,IF(DP513=ED502,DG513,""))</f>
        <v/>
      </c>
      <c r="EE507" s="369" t="str">
        <f ca="1">IF(ED507="","",EA507)</f>
        <v/>
      </c>
      <c r="EF507" s="391"/>
      <c r="EG507" s="371" t="str">
        <f ca="1">IF(DH507=EG502,DG507,IF(DP513=EG502,DG513,""))</f>
        <v/>
      </c>
      <c r="EH507" s="369" t="str">
        <f ca="1">IF(EG507="","",EA507)</f>
        <v/>
      </c>
      <c r="EI507" s="391"/>
      <c r="EM507" s="424"/>
      <c r="EN507" s="366"/>
      <c r="EO507" s="425"/>
    </row>
    <row r="508" spans="80:146" x14ac:dyDescent="0.25">
      <c r="CT508" s="522" t="str">
        <f>IF(NOT($AD$112),"",CT503)</f>
        <v/>
      </c>
      <c r="CU508" s="371" t="str">
        <f>IF(OR(CT508="",DA508="",CT508=DA508,ISNA(VLOOKUP(CONCATENATE(CT508,DA508),games.a,2,FALSE))),"",CONCATENATE(CT508,DA508))</f>
        <v/>
      </c>
      <c r="CV508" s="371" t="str">
        <f>IF(CU508="","",CONCATENATE(VLOOKUP(CU508,games.a,9,FALSE),VLOOKUP(CU508,games.a,12,FALSE)))</f>
        <v/>
      </c>
      <c r="CW508" s="369" t="str">
        <f>IF(CU508="","",VLOOKUP(CU508,games.a,10,FALSE))</f>
        <v/>
      </c>
      <c r="CX508" s="369" t="str">
        <f>IF(CU508="","",VLOOKUP(CU508,games.a,13,FALSE))</f>
        <v/>
      </c>
      <c r="CY508" s="423" t="str">
        <f>IF(CU508="","",VLOOKUP(CU508,games.a,6,FALSE))</f>
        <v/>
      </c>
      <c r="CZ508" s="409" t="str">
        <f>IF(CU508="","",VLOOKUP(CU508,games.a,7,FALSE))</f>
        <v/>
      </c>
      <c r="DA508" s="523" t="str">
        <f t="shared" si="384"/>
        <v/>
      </c>
      <c r="DB508" s="302"/>
      <c r="DC508" s="364"/>
      <c r="DD508" s="445"/>
      <c r="DF508" s="424"/>
      <c r="DG508" s="329" t="s">
        <v>229</v>
      </c>
      <c r="DH508" s="365"/>
      <c r="DI508" s="329" t="s">
        <v>152</v>
      </c>
      <c r="DJ508" s="329" t="s">
        <v>153</v>
      </c>
      <c r="DK508" s="329" t="s">
        <v>154</v>
      </c>
      <c r="DL508" s="329" t="s">
        <v>155</v>
      </c>
      <c r="DM508" s="329" t="s">
        <v>125</v>
      </c>
      <c r="DN508" s="329" t="s">
        <v>226</v>
      </c>
      <c r="DO508" s="329" t="s">
        <v>126</v>
      </c>
      <c r="DP508" s="329" t="s">
        <v>227</v>
      </c>
      <c r="DQ508" s="330" t="s">
        <v>154</v>
      </c>
      <c r="DR508" s="330" t="s">
        <v>155</v>
      </c>
      <c r="DS508" s="330" t="s">
        <v>125</v>
      </c>
      <c r="DT508" s="329" t="s">
        <v>228</v>
      </c>
      <c r="DU508" s="329" t="s">
        <v>156</v>
      </c>
      <c r="DV508" s="329" t="s">
        <v>208</v>
      </c>
      <c r="DW508" s="365"/>
      <c r="DX508" s="365"/>
      <c r="DY508" s="365"/>
      <c r="DZ508" s="365"/>
      <c r="EA508" s="365"/>
      <c r="EB508" s="365"/>
      <c r="EC508" s="365"/>
      <c r="ED508" s="365"/>
      <c r="EE508" s="365"/>
      <c r="EF508" s="365"/>
      <c r="EG508" s="365"/>
      <c r="EH508" s="365"/>
      <c r="EI508" s="365"/>
      <c r="EJ508" s="365"/>
      <c r="EK508" s="365"/>
      <c r="EL508" s="365"/>
      <c r="EM508" s="424"/>
      <c r="EN508" s="366"/>
      <c r="EO508" s="425"/>
    </row>
    <row r="509" spans="80:146" x14ac:dyDescent="0.25">
      <c r="CT509" s="522" t="str">
        <f>IF(NOT($AD$112),"",CT504)</f>
        <v/>
      </c>
      <c r="CU509" s="371" t="str">
        <f>IF(OR(CT509="",DA509="",CT509=DA509,ISNA(VLOOKUP(CONCATENATE(CT509,DA509),games.a,2,FALSE))),"",CONCATENATE(CT509,DA509))</f>
        <v/>
      </c>
      <c r="CV509" s="371" t="str">
        <f>IF(CU509="","",CONCATENATE(VLOOKUP(CU509,games.a,9,FALSE),VLOOKUP(CU509,games.a,12,FALSE)))</f>
        <v/>
      </c>
      <c r="CW509" s="369" t="str">
        <f>IF(CU509="","",VLOOKUP(CU509,games.a,10,FALSE))</f>
        <v/>
      </c>
      <c r="CX509" s="369" t="str">
        <f>IF(CU509="","",VLOOKUP(CU509,games.a,13,FALSE))</f>
        <v/>
      </c>
      <c r="CY509" s="423" t="str">
        <f>IF(CU509="","",VLOOKUP(CU509,games.a,6,FALSE))</f>
        <v/>
      </c>
      <c r="CZ509" s="409" t="str">
        <f>IF(CU509="","",VLOOKUP(CU509,games.a,7,FALSE))</f>
        <v/>
      </c>
      <c r="DA509" s="523" t="str">
        <f t="shared" si="384"/>
        <v/>
      </c>
      <c r="DB509" s="302"/>
      <c r="DC509" s="364"/>
      <c r="DD509" s="445"/>
      <c r="DF509" s="424"/>
      <c r="DG509" s="366" t="str">
        <f ca="1">IF(OR(NOT(ASZTAB!$AJ$44),AND(CT502,DG503="")),CT503,"")</f>
        <v/>
      </c>
      <c r="DH509" s="365"/>
      <c r="DI509" s="366">
        <f ca="1">IF(DG509="",0,COUNTIF(xxgy.rv,DG509))</f>
        <v>0</v>
      </c>
      <c r="DJ509" s="366">
        <f ca="1">IF(DG509="",0,COUNTIF(xxd.rv,DG509))</f>
        <v>0</v>
      </c>
      <c r="DK509" s="366">
        <f ca="1">IF(DG509="",0,1)*(SUMIF(xxo.rv,DG509,xxl.rv)+SUMIF(xxi.rv,DG509,xxk.rv))</f>
        <v>0</v>
      </c>
      <c r="DL509" s="366">
        <f ca="1">IF(DG509="",0,1)*(SUMIF(xxo.rv,DG509,xxk.rv)+SUMIF(xxi.rv,DG509,xxl.rv))</f>
        <v>0</v>
      </c>
      <c r="DM509" s="366">
        <f ca="1">DK509-DL509</f>
        <v>0</v>
      </c>
      <c r="DN509" s="366">
        <f ca="1">IF(DL509=0,0,DK509/DL509)</f>
        <v>0</v>
      </c>
      <c r="DO509" s="366">
        <f ca="1">ASZTAB!$AJ$48*DI509+IF(ASZTAB!$AJ$44,0,1)*DJ509</f>
        <v>0</v>
      </c>
      <c r="DP509" s="396">
        <f ca="1">DO509*1000000+IF(ASZTAB!$AJ$44,DN509,DM509)*1000*0</f>
        <v>0</v>
      </c>
      <c r="DQ509" s="366">
        <f ca="1">IF(DG509="",0,1)*(SUMIF(yyo.rv,DG509,yyl.rv)+SUMIF(yyi.rv,DG509,yyk.rv))</f>
        <v>0</v>
      </c>
      <c r="DR509" s="366">
        <f ca="1">IF(DG509="",0,1)*(SUMIF(yyo.rv,DG509,yyk.rv)+SUMIF(yyi.rv,DG509,yyl.rv))</f>
        <v>0</v>
      </c>
      <c r="DS509" s="366">
        <f ca="1">DQ509-DR509</f>
        <v>0</v>
      </c>
      <c r="DT509" s="366">
        <f ca="1">IF(OR(ISERR(DP509),ISNA(DP509)),0,DP509)+IF(ASZTAB!$AJ$54,DS509,0)</f>
        <v>0</v>
      </c>
      <c r="DU509" s="366">
        <f ca="1">IF(DT509=0,0,RANK(DT509,DT509:DT513,1))</f>
        <v>0</v>
      </c>
      <c r="DV509" s="366">
        <f ca="1">DU509*40000*IF(COUNTIF($EN$503:$EN$512,DG509)&gt;0,0,1)</f>
        <v>0</v>
      </c>
      <c r="DW509" s="365"/>
      <c r="DZ509" s="365"/>
      <c r="EA509" s="365"/>
      <c r="EB509" s="365"/>
      <c r="EC509" s="398"/>
      <c r="ED509" s="329" t="s">
        <v>157</v>
      </c>
      <c r="EE509" s="329" t="s">
        <v>158</v>
      </c>
      <c r="EF509" s="399"/>
      <c r="EG509" s="400"/>
      <c r="EH509" s="401" t="s">
        <v>160</v>
      </c>
      <c r="EI509" s="402" t="s">
        <v>135</v>
      </c>
      <c r="EJ509" s="403">
        <f ca="1">COUNT(EF503:EF505)</f>
        <v>0</v>
      </c>
      <c r="EK509" s="365"/>
      <c r="EL509" s="365"/>
      <c r="EM509" s="424"/>
      <c r="EN509" s="366"/>
      <c r="EO509" s="425"/>
    </row>
    <row r="510" spans="80:146" x14ac:dyDescent="0.25">
      <c r="CT510" s="522" t="str">
        <f>IF(NOT($AD$112),"",CT505)</f>
        <v/>
      </c>
      <c r="CU510" s="371" t="str">
        <f>IF(OR(CT510="",DA510="",CT510=DA510,ISNA(VLOOKUP(CONCATENATE(CT510,DA510),games.a,2,FALSE))),"",CONCATENATE(CT510,DA510))</f>
        <v/>
      </c>
      <c r="CV510" s="371" t="str">
        <f>IF(CU510="","",CONCATENATE(VLOOKUP(CU510,games.a,9,FALSE),VLOOKUP(CU510,games.a,12,FALSE)))</f>
        <v/>
      </c>
      <c r="CW510" s="369" t="str">
        <f>IF(CU510="","",VLOOKUP(CU510,games.a,10,FALSE))</f>
        <v/>
      </c>
      <c r="CX510" s="369" t="str">
        <f>IF(CU510="","",VLOOKUP(CU510,games.a,13,FALSE))</f>
        <v/>
      </c>
      <c r="CY510" s="423" t="str">
        <f>IF(CU510="","",VLOOKUP(CU510,games.a,6,FALSE))</f>
        <v/>
      </c>
      <c r="CZ510" s="409" t="str">
        <f>IF(CU510="","",VLOOKUP(CU510,games.a,7,FALSE))</f>
        <v/>
      </c>
      <c r="DA510" s="523" t="str">
        <f t="shared" si="384"/>
        <v/>
      </c>
      <c r="DB510" s="302"/>
      <c r="DC510" s="364"/>
      <c r="DD510" s="445"/>
      <c r="DF510" s="424"/>
      <c r="DG510" s="366" t="str">
        <f ca="1">IF(OR(NOT(ASZTAB!$AJ$44),AND(CT502,DG504="")),CT504,"")</f>
        <v/>
      </c>
      <c r="DH510" s="365"/>
      <c r="DI510" s="366">
        <f ca="1">IF(DG510="",0,COUNTIF(xxgy.rv,DG510))</f>
        <v>0</v>
      </c>
      <c r="DJ510" s="366">
        <f ca="1">IF(DG510="",0,COUNTIF(xxd.rv,DG510))</f>
        <v>0</v>
      </c>
      <c r="DK510" s="366">
        <f ca="1">IF(DG510="",0,1)*(SUMIF(xxo.rv,DG510,xxl.rv)+SUMIF(xxi.rv,DG510,xxk.rv))</f>
        <v>0</v>
      </c>
      <c r="DL510" s="366">
        <f ca="1">IF(DG510="",0,1)*(SUMIF(xxo.rv,DG510,xxk.rv)+SUMIF(xxi.rv,DG510,xxl.rv))</f>
        <v>0</v>
      </c>
      <c r="DM510" s="366">
        <f ca="1">DK510-DL510</f>
        <v>0</v>
      </c>
      <c r="DN510" s="366">
        <f ca="1">IF(DL510=0,0,DK510/DL510)</f>
        <v>0</v>
      </c>
      <c r="DO510" s="366">
        <f ca="1">ASZTAB!$AJ$48*DI510+IF(ASZTAB!$AJ$44,0,1)*DJ510</f>
        <v>0</v>
      </c>
      <c r="DP510" s="396">
        <f ca="1">DO510*1000000+IF(ASZTAB!$AJ$44,DN510,DM510)*1000*0</f>
        <v>0</v>
      </c>
      <c r="DQ510" s="366">
        <f ca="1">IF(DG510="",0,1)*(SUMIF(yyo.rv,DG510,yyl.rv)+SUMIF(yyi.rv,DG510,yyk.rv))</f>
        <v>0</v>
      </c>
      <c r="DR510" s="366">
        <f ca="1">IF(DG510="",0,1)*(SUMIF(yyo.rv,DG510,yyk.rv)+SUMIF(yyi.rv,DG510,yyl.rv))</f>
        <v>0</v>
      </c>
      <c r="DS510" s="366">
        <f ca="1">DQ510-DR510</f>
        <v>0</v>
      </c>
      <c r="DT510" s="366">
        <f ca="1">IF(OR(ISERR(DP510),ISNA(DP510)),0,DP510)+IF(ASZTAB!$AJ$54,DS510,0)</f>
        <v>0</v>
      </c>
      <c r="DU510" s="366">
        <f ca="1">IF(DT510=0,0,RANK(DT510,DT509:DT513,1))</f>
        <v>0</v>
      </c>
      <c r="DV510" s="366">
        <f ca="1">DU510*40000*IF(COUNTIF($EN$503:$EN$512,DG510)&gt;0,0,1)</f>
        <v>0</v>
      </c>
      <c r="DW510" s="365"/>
      <c r="DZ510" s="365"/>
      <c r="EA510" s="365"/>
      <c r="EB510" s="365"/>
      <c r="EC510" s="404" t="str">
        <f ca="1">IF(EF503="","",VLOOKUP(EF503,yyy.rv3,4,FALSE))</f>
        <v/>
      </c>
      <c r="ED510" s="371" t="str">
        <f ca="1">IF(OR(EC510="",EJ510="",EC510=EJ510,ISNA(VLOOKUP(CONCATENATE(EC510,EJ510),games.r,2,FALSE))),"",CONCATENATE(EC510,EJ510))</f>
        <v/>
      </c>
      <c r="EE510" s="405" t="str">
        <f ca="1">IF(OR(ED510="",EJ509&gt;2),"",CONCATENATE(VLOOKUP(ED510,games.r,9,FALSE),VLOOKUP(ED510,games.r,12,FALSE)))</f>
        <v/>
      </c>
      <c r="EF510" s="406"/>
      <c r="EG510" s="407"/>
      <c r="EH510" s="408" t="str">
        <f ca="1">IF(ED510="","",VLOOKUP(ED510,games.r,6,FALSE))</f>
        <v/>
      </c>
      <c r="EI510" s="409" t="str">
        <f ca="1">IF(ED510="","",VLOOKUP(ED510,games.r,7,FALSE))</f>
        <v/>
      </c>
      <c r="EJ510" s="410" t="str">
        <f ca="1">EC510</f>
        <v/>
      </c>
      <c r="EK510" s="411"/>
      <c r="EL510" s="412"/>
      <c r="EM510" s="424"/>
      <c r="EN510" s="366"/>
      <c r="EO510" s="425"/>
    </row>
    <row r="511" spans="80:146" x14ac:dyDescent="0.25">
      <c r="CT511" s="522" t="str">
        <f>IF(NOT($AD$112),"",CT506)</f>
        <v/>
      </c>
      <c r="CU511" s="371" t="str">
        <f>IF(OR(CT511="",DA511="",CT511=DA511,ISNA(VLOOKUP(CONCATENATE(CT511,DA511),games.a,2,FALSE))),"",CONCATENATE(CT511,DA511))</f>
        <v/>
      </c>
      <c r="CV511" s="371" t="str">
        <f>IF(CU511="","",CONCATENATE(VLOOKUP(CU511,games.a,9,FALSE),VLOOKUP(CU511,games.a,12,FALSE)))</f>
        <v/>
      </c>
      <c r="CW511" s="369" t="str">
        <f>IF(CU511="","",VLOOKUP(CU511,games.a,10,FALSE))</f>
        <v/>
      </c>
      <c r="CX511" s="369" t="str">
        <f>IF(CU511="","",VLOOKUP(CU511,games.a,13,FALSE))</f>
        <v/>
      </c>
      <c r="CY511" s="423" t="str">
        <f>IF(CU511="","",VLOOKUP(CU511,games.a,6,FALSE))</f>
        <v/>
      </c>
      <c r="CZ511" s="409" t="str">
        <f>IF(CU511="","",VLOOKUP(CU511,games.a,7,FALSE))</f>
        <v/>
      </c>
      <c r="DA511" s="523" t="str">
        <f t="shared" si="384"/>
        <v/>
      </c>
      <c r="DB511" s="302"/>
      <c r="DC511" s="364"/>
      <c r="DD511" s="445"/>
      <c r="DF511" s="424"/>
      <c r="DG511" s="366" t="str">
        <f ca="1">IF(OR(NOT(ASZTAB!$AJ$44),AND(CT502,DG505="")),CT505,"")</f>
        <v/>
      </c>
      <c r="DH511" s="365"/>
      <c r="DI511" s="366">
        <f ca="1">IF(DG511="",0,COUNTIF(xxgy.rv,DG511))</f>
        <v>0</v>
      </c>
      <c r="DJ511" s="366">
        <f ca="1">IF(DG511="",0,COUNTIF(xxd.rv,DG511))</f>
        <v>0</v>
      </c>
      <c r="DK511" s="366">
        <f ca="1">IF(DG511="",0,1)*(SUMIF(xxo.rv,DG511,xxl.rv)+SUMIF(xxi.rv,DG511,xxk.rv))</f>
        <v>0</v>
      </c>
      <c r="DL511" s="366">
        <f ca="1">IF(DG511="",0,1)*(SUMIF(xxo.rv,DG511,xxk.rv)+SUMIF(xxi.rv,DG511,xxl.rv))</f>
        <v>0</v>
      </c>
      <c r="DM511" s="366">
        <f ca="1">DK511-DL511</f>
        <v>0</v>
      </c>
      <c r="DN511" s="366">
        <f ca="1">IF(DL511=0,0,DK511/DL511)</f>
        <v>0</v>
      </c>
      <c r="DO511" s="366">
        <f ca="1">ASZTAB!$AJ$48*DI511+IF(ASZTAB!$AJ$44,0,1)*DJ511</f>
        <v>0</v>
      </c>
      <c r="DP511" s="396">
        <f ca="1">DO511*1000000+IF(ASZTAB!$AJ$44,DN511,DM511)*1000*0</f>
        <v>0</v>
      </c>
      <c r="DQ511" s="366">
        <f ca="1">IF(DG511="",0,1)*(SUMIF(yyo.rv,DG511,yyl.rv)+SUMIF(yyi.rv,DG511,yyk.rv))</f>
        <v>0</v>
      </c>
      <c r="DR511" s="366">
        <f ca="1">IF(DG511="",0,1)*(SUMIF(yyo.rv,DG511,yyk.rv)+SUMIF(yyi.rv,DG511,yyl.rv))</f>
        <v>0</v>
      </c>
      <c r="DS511" s="366">
        <f ca="1">DQ511-DR511</f>
        <v>0</v>
      </c>
      <c r="DT511" s="366">
        <f ca="1">IF(OR(ISERR(DP511),ISNA(DP511)),0,DP511)+IF(ASZTAB!$AJ$54,DS511,0)</f>
        <v>0</v>
      </c>
      <c r="DU511" s="366">
        <f ca="1">IF(DT511=0,0,RANK(DT511,DT509:DT513,1))</f>
        <v>0</v>
      </c>
      <c r="DV511" s="366">
        <f ca="1">DU511*40000*IF(COUNTIF($EN$503:$EN$512,DG511)&gt;0,0,1)</f>
        <v>0</v>
      </c>
      <c r="DW511" s="365"/>
      <c r="DZ511" s="365"/>
      <c r="EA511" s="365"/>
      <c r="EB511" s="365"/>
      <c r="EC511" s="404" t="str">
        <f ca="1">IF(EF504="","",VLOOKUP(EF504,yyy.rv3,4,FALSE))</f>
        <v/>
      </c>
      <c r="ED511" s="371" t="str">
        <f ca="1">IF(OR(EC511="",EJ511="",EC511=EJ511,ISNA(VLOOKUP(CONCATENATE(EC511,EJ511),games.r,2,FALSE))),"",CONCATENATE(EC511,EJ511))</f>
        <v/>
      </c>
      <c r="EE511" s="405" t="str">
        <f ca="1">IF(OR(ED511="",EJ509&gt;2),"",CONCATENATE(VLOOKUP(ED511,games.r,9,FALSE),VLOOKUP(ED511,games.r,12,FALSE)))</f>
        <v/>
      </c>
      <c r="EF511" s="413"/>
      <c r="EG511" s="414"/>
      <c r="EH511" s="408" t="str">
        <f ca="1">IF(ED511="","",VLOOKUP(ED511,games.r,6,FALSE))</f>
        <v/>
      </c>
      <c r="EI511" s="409" t="str">
        <f ca="1">IF(ED511="","",VLOOKUP(ED511,games.r,7,FALSE))</f>
        <v/>
      </c>
      <c r="EJ511" s="415" t="str">
        <f ca="1">EJ510</f>
        <v/>
      </c>
      <c r="EK511" s="416"/>
      <c r="EL511" s="417"/>
      <c r="EM511" s="424"/>
      <c r="EN511" s="366"/>
      <c r="EO511" s="425"/>
    </row>
    <row r="512" spans="80:146" x14ac:dyDescent="0.25">
      <c r="CT512" s="522" t="str">
        <f>IF(NOT($AD$112),"",CT507)</f>
        <v/>
      </c>
      <c r="CU512" s="371" t="str">
        <f>IF(OR(CT512="",DA512="",CT512=DA512,ISNA(VLOOKUP(CONCATENATE(CT512,DA512),games.a,2,FALSE))),"",CONCATENATE(CT512,DA512))</f>
        <v/>
      </c>
      <c r="CV512" s="371" t="str">
        <f>IF(CU512="","",CONCATENATE(VLOOKUP(CU512,games.a,9,FALSE),VLOOKUP(CU512,games.a,12,FALSE)))</f>
        <v/>
      </c>
      <c r="CW512" s="369" t="str">
        <f>IF(CU512="","",VLOOKUP(CU512,games.a,10,FALSE))</f>
        <v/>
      </c>
      <c r="CX512" s="369" t="str">
        <f>IF(CU512="","",VLOOKUP(CU512,games.a,13,FALSE))</f>
        <v/>
      </c>
      <c r="CY512" s="423" t="str">
        <f>IF(CU512="","",VLOOKUP(CU512,games.a,6,FALSE))</f>
        <v/>
      </c>
      <c r="CZ512" s="409" t="str">
        <f>IF(CU512="","",VLOOKUP(CU512,games.a,7,FALSE))</f>
        <v/>
      </c>
      <c r="DA512" s="523" t="str">
        <f t="shared" si="384"/>
        <v/>
      </c>
      <c r="DB512" s="302"/>
      <c r="DC512" s="364"/>
      <c r="DD512" s="445"/>
      <c r="DF512" s="424"/>
      <c r="DG512" s="366" t="str">
        <f ca="1">IF(OR(NOT(ASZTAB!$AJ$44),AND(CT502,DG506="")),CT506,"")</f>
        <v/>
      </c>
      <c r="DH512" s="365"/>
      <c r="DI512" s="366">
        <f ca="1">IF(DG512="",0,COUNTIF(xxgy.rv,DG512))</f>
        <v>0</v>
      </c>
      <c r="DJ512" s="366">
        <f ca="1">IF(DG512="",0,COUNTIF(xxd.rv,DG512))</f>
        <v>0</v>
      </c>
      <c r="DK512" s="366">
        <f ca="1">IF(DG512="",0,1)*(SUMIF(xxo.rv,DG512,xxl.rv)+SUMIF(xxi.rv,DG512,xxk.rv))</f>
        <v>0</v>
      </c>
      <c r="DL512" s="366">
        <f ca="1">IF(DG512="",0,1)*(SUMIF(xxo.rv,DG512,xxk.rv)+SUMIF(xxi.rv,DG512,xxl.rv))</f>
        <v>0</v>
      </c>
      <c r="DM512" s="366">
        <f ca="1">DK512-DL512</f>
        <v>0</v>
      </c>
      <c r="DN512" s="366">
        <f ca="1">IF(DL512=0,0,DK512/DL512)</f>
        <v>0</v>
      </c>
      <c r="DO512" s="366">
        <f ca="1">ASZTAB!$AJ$48*DI512+IF(ASZTAB!$AJ$44,0,1)*DJ512</f>
        <v>0</v>
      </c>
      <c r="DP512" s="396">
        <f ca="1">DO512*1000000+IF(ASZTAB!$AJ$44,DN512,DM512)*1000*0</f>
        <v>0</v>
      </c>
      <c r="DQ512" s="366">
        <f ca="1">IF(DG512="",0,1)*(SUMIF(yyo.rv,DG512,yyl.rv)+SUMIF(yyi.rv,DG512,yyk.rv))</f>
        <v>0</v>
      </c>
      <c r="DR512" s="366">
        <f ca="1">IF(DG512="",0,1)*(SUMIF(yyo.rv,DG512,yyk.rv)+SUMIF(yyi.rv,DG512,yyl.rv))</f>
        <v>0</v>
      </c>
      <c r="DS512" s="366">
        <f ca="1">DQ512-DR512</f>
        <v>0</v>
      </c>
      <c r="DT512" s="366">
        <f ca="1">IF(OR(ISERR(DP512),ISNA(DP512)),0,DP512)+IF(ASZTAB!$AJ$54,DS512,0)</f>
        <v>0</v>
      </c>
      <c r="DU512" s="366">
        <f ca="1">IF(DT512=0,0,RANK(DT512,DT509:DT513,1))</f>
        <v>0</v>
      </c>
      <c r="DV512" s="366">
        <f ca="1">DU512*40000*IF(COUNTIF($EN$503:$EN$512,DG512)&gt;0,0,1)</f>
        <v>0</v>
      </c>
      <c r="DW512" s="365"/>
      <c r="DZ512" s="365"/>
      <c r="EA512" s="365"/>
      <c r="EB512" s="365"/>
      <c r="EC512" s="404" t="str">
        <f ca="1">IF(EF505="","",VLOOKUP(EF505,yyy.rv3,4,FALSE))</f>
        <v/>
      </c>
      <c r="ED512" s="371" t="str">
        <f ca="1">IF(OR(EC512="",EJ512="",EC512=EJ512,ISNA(VLOOKUP(CONCATENATE(EC512,EJ512),games.r,2,FALSE))),"",CONCATENATE(EC512,EJ512))</f>
        <v/>
      </c>
      <c r="EE512" s="405" t="str">
        <f ca="1">IF(OR(ED512="",EJ509&gt;2),"",CONCATENATE(VLOOKUP(ED512,games.r,9,FALSE),VLOOKUP(ED512,games.r,12,FALSE)))</f>
        <v/>
      </c>
      <c r="EF512" s="413"/>
      <c r="EG512" s="414"/>
      <c r="EH512" s="408" t="str">
        <f ca="1">IF(ED512="","",VLOOKUP(ED512,games.r,6,FALSE))</f>
        <v/>
      </c>
      <c r="EI512" s="409" t="str">
        <f ca="1">IF(ED512="","",VLOOKUP(ED512,games.r,7,FALSE))</f>
        <v/>
      </c>
      <c r="EJ512" s="415" t="str">
        <f ca="1">EJ511</f>
        <v/>
      </c>
      <c r="EK512" s="416"/>
      <c r="EL512" s="417"/>
      <c r="EM512" s="424"/>
      <c r="EN512" s="366"/>
      <c r="EO512" s="425"/>
    </row>
    <row r="513" spans="98:145" x14ac:dyDescent="0.25">
      <c r="CT513" s="301"/>
      <c r="CU513" s="458" t="s">
        <v>157</v>
      </c>
      <c r="CV513" s="458" t="s">
        <v>158</v>
      </c>
      <c r="CW513" s="459" t="s">
        <v>159</v>
      </c>
      <c r="CX513" s="459"/>
      <c r="CY513" s="460" t="s">
        <v>160</v>
      </c>
      <c r="CZ513" s="459" t="s">
        <v>135</v>
      </c>
      <c r="DA513" s="302"/>
      <c r="DB513" s="302"/>
      <c r="DC513" s="364"/>
      <c r="DD513" s="445"/>
      <c r="DF513" s="424"/>
      <c r="DG513" s="366" t="str">
        <f ca="1">IF(OR(NOT(ASZTAB!$AJ$44),AND(CT502,DG507="")),CT507,"")</f>
        <v/>
      </c>
      <c r="DH513" s="365"/>
      <c r="DI513" s="366">
        <f ca="1">IF(DG513="",0,COUNTIF(xxgy.rv,DG513))</f>
        <v>0</v>
      </c>
      <c r="DJ513" s="366">
        <f ca="1">IF(DG513="",0,COUNTIF(xxd.rv,DG513))</f>
        <v>0</v>
      </c>
      <c r="DK513" s="366">
        <f ca="1">IF(DG513="",0,1)*(SUMIF(xxo.rv,DG513,xxl.rv)+SUMIF(xxi.rv,DG513,xxk.rv))</f>
        <v>0</v>
      </c>
      <c r="DL513" s="366">
        <f ca="1">IF(DG513="",0,1)*(SUMIF(xxo.rv,DG513,xxk.rv)+SUMIF(xxi.rv,DG513,xxl.rv))</f>
        <v>0</v>
      </c>
      <c r="DM513" s="366">
        <f ca="1">DK513-DL513</f>
        <v>0</v>
      </c>
      <c r="DN513" s="366">
        <f ca="1">IF(DL513=0,0,DK513/DL513)</f>
        <v>0</v>
      </c>
      <c r="DO513" s="366">
        <f ca="1">ASZTAB!$AJ$48*DI513+IF(ASZTAB!$AJ$44,0,1)*DJ513</f>
        <v>0</v>
      </c>
      <c r="DP513" s="396">
        <f ca="1">DO513*1000000+IF(ASZTAB!$AJ$44,DN513,DM513)*1000*0</f>
        <v>0</v>
      </c>
      <c r="DQ513" s="366">
        <f ca="1">IF(DG513="",0,1)*(SUMIF(yyo.rv,DG513,yyl.rv)+SUMIF(yyi.rv,DG513,yyk.rv))</f>
        <v>0</v>
      </c>
      <c r="DR513" s="366">
        <f ca="1">IF(DG513="",0,1)*(SUMIF(yyo.rv,DG513,yyk.rv)+SUMIF(yyi.rv,DG513,yyl.rv))</f>
        <v>0</v>
      </c>
      <c r="DS513" s="366">
        <f ca="1">DQ513-DR513</f>
        <v>0</v>
      </c>
      <c r="DT513" s="366">
        <f ca="1">IF(OR(ISERR(DP513),ISNA(DP513)),0,DP513)+IF(ASZTAB!$AJ$54,DS513,0)</f>
        <v>0</v>
      </c>
      <c r="DU513" s="366">
        <f ca="1">IF(DT513=0,0,RANK(DT513,DT509:DT513,1))</f>
        <v>0</v>
      </c>
      <c r="DV513" s="366">
        <f ca="1">DU513*40000*IF(COUNTIF($EN$503:$EN$512,DG513)&gt;0,0,1)</f>
        <v>0</v>
      </c>
      <c r="DW513" s="365"/>
      <c r="DZ513" s="365"/>
      <c r="EA513" s="365"/>
      <c r="EB513" s="365"/>
      <c r="EC513" s="404" t="str">
        <f>IF(NOT($AD$112),"",EC510)</f>
        <v/>
      </c>
      <c r="ED513" s="360" t="str">
        <f ca="1">IF(OR(EC513="",EJ513="",EC513=EJ513,ISNA(VLOOKUP(CONCATENATE(EC513,EJ513),games.a,2,FALSE))),"",CONCATENATE(EC513,EJ513))</f>
        <v/>
      </c>
      <c r="EE513" s="524" t="str">
        <f ca="1">IF(OR(ED513="",EJ509&gt;2),"",CONCATENATE(VLOOKUP(ED513,games.a,9,FALSE),VLOOKUP(ED513,games.a,12,FALSE)))</f>
        <v/>
      </c>
      <c r="EF513" s="413"/>
      <c r="EG513" s="414"/>
      <c r="EH513" s="525" t="str">
        <f ca="1">IF(ED513="","",VLOOKUP(ED513,games.a,6,FALSE))</f>
        <v/>
      </c>
      <c r="EI513" s="362" t="str">
        <f ca="1">IF(ED513="","",VLOOKUP(ED513,games.a,7,FALSE))</f>
        <v/>
      </c>
      <c r="EJ513" s="526" t="str">
        <f ca="1">EJ512</f>
        <v/>
      </c>
      <c r="EK513" s="527"/>
      <c r="EL513" s="528"/>
      <c r="EM513" s="424"/>
      <c r="EN513" s="424"/>
      <c r="EO513" s="425"/>
    </row>
    <row r="514" spans="98:145" x14ac:dyDescent="0.25">
      <c r="CT514" s="395" t="str">
        <f t="shared" ref="CT514:CT523" si="385">CT503</f>
        <v/>
      </c>
      <c r="CU514" s="465" t="str">
        <f ca="1">IF(OR(CT514="",DA514="",CT514=DA514,COUNTIF(games.rv,CT514&amp;DA514)=0),"",CONCATENATE(CT514,DA514))</f>
        <v/>
      </c>
      <c r="CV514" s="360" t="str">
        <f ca="1">IF(CU514="","",CONCATENATE(VLOOKUP(CU514,games.r,9,FALSE),VLOOKUP(CU514,games.r,12,FALSE)))</f>
        <v/>
      </c>
      <c r="CW514" s="354" t="str">
        <f ca="1">IF(CU514="","",VLOOKUP(CU514,games.r,10,FALSE))</f>
        <v/>
      </c>
      <c r="CX514" s="354" t="str">
        <f ca="1">IF(CU514="","",VLOOKUP(CU514,games.r,13,FALSE))</f>
        <v/>
      </c>
      <c r="CY514" s="361" t="str">
        <f ca="1">IF(CU514="","",VLOOKUP(CU514,games.r,6,FALSE))</f>
        <v/>
      </c>
      <c r="CZ514" s="362" t="str">
        <f ca="1">IF(CU514="","",VLOOKUP(CU514,games.r,7,FALSE))</f>
        <v/>
      </c>
      <c r="DA514" s="466" t="str">
        <f>CT504</f>
        <v/>
      </c>
      <c r="DB514" s="302"/>
      <c r="DC514" s="364"/>
      <c r="DD514" s="445"/>
      <c r="DF514" s="424"/>
      <c r="DW514" s="365"/>
      <c r="DX514" s="424"/>
      <c r="DZ514" s="365"/>
      <c r="EA514" s="365"/>
      <c r="EB514" s="365"/>
      <c r="EC514" s="404" t="str">
        <f>IF(NOT($AD$112),"",EC511)</f>
        <v/>
      </c>
      <c r="ED514" s="360" t="str">
        <f ca="1">IF(OR(EC514="",EJ514="",EC514=EJ514,ISNA(VLOOKUP(CONCATENATE(EC514,EJ514),games.a,2,FALSE))),"",CONCATENATE(EC514,EJ514))</f>
        <v/>
      </c>
      <c r="EE514" s="524" t="str">
        <f ca="1">IF(OR(ED514="",EJ509&gt;2),"",CONCATENATE(VLOOKUP(ED514,games.a,9,FALSE),VLOOKUP(ED514,games.a,12,FALSE)))</f>
        <v/>
      </c>
      <c r="EF514" s="413"/>
      <c r="EG514" s="414"/>
      <c r="EH514" s="525" t="str">
        <f ca="1">IF(ED514="","",VLOOKUP(ED514,games.a,6,FALSE))</f>
        <v/>
      </c>
      <c r="EI514" s="362" t="str">
        <f ca="1">IF(ED514="","",VLOOKUP(ED514,games.a,7,FALSE))</f>
        <v/>
      </c>
      <c r="EJ514" s="526" t="str">
        <f ca="1">EJ513</f>
        <v/>
      </c>
      <c r="EK514" s="527"/>
      <c r="EL514" s="528"/>
      <c r="EM514" s="424"/>
      <c r="EN514" s="424"/>
      <c r="EO514" s="425"/>
    </row>
    <row r="515" spans="98:145" x14ac:dyDescent="0.25">
      <c r="CT515" s="395" t="str">
        <f t="shared" si="385"/>
        <v/>
      </c>
      <c r="CU515" s="465" t="str">
        <f ca="1">IF(OR(CT515="",DA515="",CT515=DA515,COUNTIF(games.rv,CT515&amp;DA515)=0),"",CONCATENATE(CT515,DA515))</f>
        <v/>
      </c>
      <c r="CV515" s="360" t="str">
        <f ca="1">IF(CU515="","",CONCATENATE(VLOOKUP(CU515,games.r,9,FALSE),VLOOKUP(CU515,games.r,12,FALSE)))</f>
        <v/>
      </c>
      <c r="CW515" s="354" t="str">
        <f ca="1">IF(CU515="","",VLOOKUP(CU515,games.r,10,FALSE))</f>
        <v/>
      </c>
      <c r="CX515" s="354" t="str">
        <f ca="1">IF(CU515="","",VLOOKUP(CU515,games.r,13,FALSE))</f>
        <v/>
      </c>
      <c r="CY515" s="361" t="str">
        <f ca="1">IF(CU515="","",VLOOKUP(CU515,games.r,6,FALSE))</f>
        <v/>
      </c>
      <c r="CZ515" s="362" t="str">
        <f ca="1">IF(CU515="","",VLOOKUP(CU515,games.r,7,FALSE))</f>
        <v/>
      </c>
      <c r="DA515" s="379" t="str">
        <f t="shared" ref="DA515:DA523" si="386">DA514</f>
        <v/>
      </c>
      <c r="DB515" s="302"/>
      <c r="DC515" s="364"/>
      <c r="DD515" s="445"/>
      <c r="DF515" s="424"/>
      <c r="DW515" s="365"/>
      <c r="DX515" s="424"/>
      <c r="DZ515" s="365"/>
      <c r="EC515" s="404" t="str">
        <f>IF(NOT($AD$112),"",EC512)</f>
        <v/>
      </c>
      <c r="ED515" s="360" t="str">
        <f ca="1">IF(OR(EC515="",EJ515="",EC515=EJ515,ISNA(VLOOKUP(CONCATENATE(EC515,EJ515),games.a,2,FALSE))),"",CONCATENATE(EC515,EJ515))</f>
        <v/>
      </c>
      <c r="EE515" s="524" t="str">
        <f ca="1">IF(OR(ED515="",EJ509&gt;2),"",CONCATENATE(VLOOKUP(ED515,games.a,9,FALSE),VLOOKUP(ED515,games.a,12,FALSE)))</f>
        <v/>
      </c>
      <c r="EF515" s="413"/>
      <c r="EG515" s="414"/>
      <c r="EH515" s="525" t="str">
        <f ca="1">IF(ED515="","",VLOOKUP(ED515,games.a,6,FALSE))</f>
        <v/>
      </c>
      <c r="EI515" s="362" t="str">
        <f ca="1">IF(ED515="","",VLOOKUP(ED515,games.a,7,FALSE))</f>
        <v/>
      </c>
      <c r="EJ515" s="526" t="str">
        <f ca="1">EJ514</f>
        <v/>
      </c>
      <c r="EK515" s="527"/>
      <c r="EL515" s="528"/>
      <c r="EM515" s="424"/>
      <c r="EN515" s="424"/>
      <c r="EO515" s="425"/>
    </row>
    <row r="516" spans="98:145" x14ac:dyDescent="0.25">
      <c r="CT516" s="395" t="str">
        <f t="shared" si="385"/>
        <v/>
      </c>
      <c r="CU516" s="465" t="str">
        <f ca="1">IF(OR(CT516="",DA516="",CT516=DA516,COUNTIF(games.rv,CT516&amp;DA516)=0),"",CONCATENATE(CT516,DA516))</f>
        <v/>
      </c>
      <c r="CV516" s="360" t="str">
        <f ca="1">IF(CU516="","",CONCATENATE(VLOOKUP(CU516,games.r,9,FALSE),VLOOKUP(CU516,games.r,12,FALSE)))</f>
        <v/>
      </c>
      <c r="CW516" s="354" t="str">
        <f ca="1">IF(CU516="","",VLOOKUP(CU516,games.r,10,FALSE))</f>
        <v/>
      </c>
      <c r="CX516" s="354" t="str">
        <f ca="1">IF(CU516="","",VLOOKUP(CU516,games.r,13,FALSE))</f>
        <v/>
      </c>
      <c r="CY516" s="361" t="str">
        <f ca="1">IF(CU516="","",VLOOKUP(CU516,games.r,6,FALSE))</f>
        <v/>
      </c>
      <c r="CZ516" s="362" t="str">
        <f ca="1">IF(CU516="","",VLOOKUP(CU516,games.r,7,FALSE))</f>
        <v/>
      </c>
      <c r="DA516" s="379" t="str">
        <f t="shared" si="386"/>
        <v/>
      </c>
      <c r="DB516" s="302"/>
      <c r="DC516" s="364"/>
      <c r="DD516" s="445"/>
      <c r="DF516" s="424"/>
      <c r="DW516" s="365"/>
      <c r="DX516" s="424"/>
      <c r="DZ516" s="365"/>
      <c r="EA516" s="365"/>
      <c r="EB516" s="365"/>
      <c r="EC516" s="398"/>
      <c r="ED516" s="329" t="s">
        <v>157</v>
      </c>
      <c r="EE516" s="329" t="s">
        <v>158</v>
      </c>
      <c r="EF516" s="399"/>
      <c r="EG516" s="400"/>
      <c r="EH516" s="401" t="s">
        <v>160</v>
      </c>
      <c r="EI516" s="402" t="s">
        <v>135</v>
      </c>
      <c r="EJ516" s="398"/>
      <c r="EK516" s="365"/>
      <c r="EL516" s="365"/>
      <c r="EM516" s="424"/>
      <c r="EN516" s="424"/>
      <c r="EO516" s="425"/>
    </row>
    <row r="517" spans="98:145" x14ac:dyDescent="0.25">
      <c r="CT517" s="395" t="str">
        <f t="shared" si="385"/>
        <v/>
      </c>
      <c r="CU517" s="465" t="str">
        <f ca="1">IF(OR(CT517="",DA517="",CT517=DA517,COUNTIF(games.rv,CT517&amp;DA517)=0),"",CONCATENATE(CT517,DA517))</f>
        <v/>
      </c>
      <c r="CV517" s="360" t="str">
        <f ca="1">IF(CU517="","",CONCATENATE(VLOOKUP(CU517,games.r,9,FALSE),VLOOKUP(CU517,games.r,12,FALSE)))</f>
        <v/>
      </c>
      <c r="CW517" s="354" t="str">
        <f ca="1">IF(CU517="","",VLOOKUP(CU517,games.r,10,FALSE))</f>
        <v/>
      </c>
      <c r="CX517" s="354" t="str">
        <f ca="1">IF(CU517="","",VLOOKUP(CU517,games.r,13,FALSE))</f>
        <v/>
      </c>
      <c r="CY517" s="361" t="str">
        <f ca="1">IF(CU517="","",VLOOKUP(CU517,games.r,6,FALSE))</f>
        <v/>
      </c>
      <c r="CZ517" s="362" t="str">
        <f ca="1">IF(CU517="","",VLOOKUP(CU517,games.r,7,FALSE))</f>
        <v/>
      </c>
      <c r="DA517" s="379" t="str">
        <f t="shared" si="386"/>
        <v/>
      </c>
      <c r="DB517" s="302"/>
      <c r="DC517" s="364"/>
      <c r="DD517" s="445"/>
      <c r="DF517" s="424"/>
      <c r="DW517" s="365"/>
      <c r="DX517" s="424"/>
      <c r="DZ517" s="365"/>
      <c r="EA517" s="365"/>
      <c r="EB517" s="365"/>
      <c r="EC517" s="404" t="str">
        <f t="shared" ref="EC517:EC522" ca="1" si="387">EC510</f>
        <v/>
      </c>
      <c r="ED517" s="371" t="str">
        <f ca="1">IF(OR(EC517="",EJ517="",EC517=EJ517,ISNA(VLOOKUP(CONCATENATE(EC517,EJ517),games.r,2,FALSE))),"",CONCATENATE(EC517,EJ517))</f>
        <v/>
      </c>
      <c r="EE517" s="405" t="str">
        <f ca="1">IF(OR(ED517="",EJ509&gt;2),"",CONCATENATE(VLOOKUP(ED517,games.r,9,FALSE),VLOOKUP(ED517,games.r,12,FALSE)))</f>
        <v/>
      </c>
      <c r="EF517" s="406"/>
      <c r="EG517" s="407"/>
      <c r="EH517" s="408" t="str">
        <f ca="1">IF(ED517="","",VLOOKUP(ED517,games.r,6,FALSE))</f>
        <v/>
      </c>
      <c r="EI517" s="409" t="str">
        <f ca="1">IF(ED517="","",VLOOKUP(ED517,games.r,7,FALSE))</f>
        <v/>
      </c>
      <c r="EJ517" s="410" t="str">
        <f ca="1">EC511</f>
        <v/>
      </c>
      <c r="EK517" s="411"/>
      <c r="EL517" s="412"/>
      <c r="EM517" s="424"/>
      <c r="EN517" s="424"/>
      <c r="EO517" s="425"/>
    </row>
    <row r="518" spans="98:145" x14ac:dyDescent="0.25">
      <c r="CT518" s="395" t="str">
        <f t="shared" si="385"/>
        <v/>
      </c>
      <c r="CU518" s="465" t="str">
        <f ca="1">IF(OR(CT518="",DA518="",CT518=DA518,COUNTIF(games.rv,CT518&amp;DA518)=0),"",CONCATENATE(CT518,DA518))</f>
        <v/>
      </c>
      <c r="CV518" s="360" t="str">
        <f ca="1">IF(CU518="","",CONCATENATE(VLOOKUP(CU518,games.r,9,FALSE),VLOOKUP(CU518,games.r,12,FALSE)))</f>
        <v/>
      </c>
      <c r="CW518" s="354" t="str">
        <f ca="1">IF(CU518="","",VLOOKUP(CU518,games.r,10,FALSE))</f>
        <v/>
      </c>
      <c r="CX518" s="354" t="str">
        <f ca="1">IF(CU518="","",VLOOKUP(CU518,games.r,13,FALSE))</f>
        <v/>
      </c>
      <c r="CY518" s="361" t="str">
        <f ca="1">IF(CU518="","",VLOOKUP(CU518,games.r,6,FALSE))</f>
        <v/>
      </c>
      <c r="CZ518" s="362" t="str">
        <f ca="1">IF(CU518="","",VLOOKUP(CU518,games.r,7,FALSE))</f>
        <v/>
      </c>
      <c r="DA518" s="379" t="str">
        <f t="shared" si="386"/>
        <v/>
      </c>
      <c r="DB518" s="302"/>
      <c r="DC518" s="364"/>
      <c r="DD518" s="445"/>
      <c r="DF518" s="424"/>
      <c r="DW518" s="365"/>
      <c r="DX518" s="424"/>
      <c r="DZ518" s="424"/>
      <c r="EA518" s="365"/>
      <c r="EB518" s="365"/>
      <c r="EC518" s="404" t="str">
        <f t="shared" ca="1" si="387"/>
        <v/>
      </c>
      <c r="ED518" s="371" t="str">
        <f ca="1">IF(OR(EC518="",EJ518="",EC518=EJ518,ISNA(VLOOKUP(CONCATENATE(EC518,EJ518),games.r,2,FALSE))),"",CONCATENATE(EC518,EJ518))</f>
        <v/>
      </c>
      <c r="EE518" s="405" t="str">
        <f ca="1">IF(OR(ED518="",EJ509&gt;2),"",CONCATENATE(VLOOKUP(ED518,games.r,9,FALSE),VLOOKUP(ED518,games.r,12,FALSE)))</f>
        <v/>
      </c>
      <c r="EF518" s="413"/>
      <c r="EG518" s="414"/>
      <c r="EH518" s="408" t="str">
        <f ca="1">IF(ED518="","",VLOOKUP(ED518,games.r,6,FALSE))</f>
        <v/>
      </c>
      <c r="EI518" s="409" t="str">
        <f ca="1">IF(ED518="","",VLOOKUP(ED518,games.r,7,FALSE))</f>
        <v/>
      </c>
      <c r="EJ518" s="415" t="str">
        <f ca="1">EJ517</f>
        <v/>
      </c>
      <c r="EK518" s="416"/>
      <c r="EL518" s="417"/>
      <c r="EM518" s="424"/>
      <c r="EN518" s="424"/>
      <c r="EO518" s="425"/>
    </row>
    <row r="519" spans="98:145" x14ac:dyDescent="0.25">
      <c r="CT519" s="522" t="str">
        <f t="shared" si="385"/>
        <v/>
      </c>
      <c r="CU519" s="371" t="str">
        <f>IF(OR(CT519="",DA519="",CT519=DA519,ISNA(VLOOKUP(CONCATENATE(CT519,DA519),games.a,2,FALSE))),"",CONCATENATE(CT519,DA519))</f>
        <v/>
      </c>
      <c r="CV519" s="371" t="str">
        <f>IF(CU519="","",CONCATENATE(VLOOKUP(CU519,games.a,9,FALSE),VLOOKUP(CU519,games.a,12,FALSE)))</f>
        <v/>
      </c>
      <c r="CW519" s="369" t="str">
        <f>IF(CU519="","",VLOOKUP(CU519,games.a,10,FALSE))</f>
        <v/>
      </c>
      <c r="CX519" s="369" t="str">
        <f>IF(CU519="","",VLOOKUP(CU519,games.a,13,FALSE))</f>
        <v/>
      </c>
      <c r="CY519" s="423" t="str">
        <f>IF(CU519="","",VLOOKUP(CU519,games.a,6,FALSE))</f>
        <v/>
      </c>
      <c r="CZ519" s="409" t="str">
        <f>IF(CU519="","",VLOOKUP(CU519,games.a,7,FALSE))</f>
        <v/>
      </c>
      <c r="DA519" s="523" t="str">
        <f t="shared" si="386"/>
        <v/>
      </c>
      <c r="DB519" s="302"/>
      <c r="DC519" s="364"/>
      <c r="DD519" s="445"/>
      <c r="DF519" s="424"/>
      <c r="DW519" s="365"/>
      <c r="DX519" s="424"/>
      <c r="DZ519" s="424"/>
      <c r="EA519" s="424"/>
      <c r="EB519" s="424"/>
      <c r="EC519" s="404" t="str">
        <f t="shared" ca="1" si="387"/>
        <v/>
      </c>
      <c r="ED519" s="371" t="str">
        <f ca="1">IF(OR(EC519="",EJ519="",EC519=EJ519,ISNA(VLOOKUP(CONCATENATE(EC519,EJ519),games.r,2,FALSE))),"",CONCATENATE(EC519,EJ519))</f>
        <v/>
      </c>
      <c r="EE519" s="405" t="str">
        <f ca="1">IF(OR(ED519="",EJ509&gt;2),"",CONCATENATE(VLOOKUP(ED519,games.r,9,FALSE),VLOOKUP(ED519,games.r,12,FALSE)))</f>
        <v/>
      </c>
      <c r="EF519" s="413"/>
      <c r="EG519" s="414"/>
      <c r="EH519" s="408" t="str">
        <f ca="1">IF(ED519="","",VLOOKUP(ED519,games.r,6,FALSE))</f>
        <v/>
      </c>
      <c r="EI519" s="409" t="str">
        <f ca="1">IF(ED519="","",VLOOKUP(ED519,games.r,7,FALSE))</f>
        <v/>
      </c>
      <c r="EJ519" s="415" t="str">
        <f ca="1">EJ518</f>
        <v/>
      </c>
      <c r="EK519" s="416"/>
      <c r="EL519" s="417"/>
      <c r="EM519" s="424"/>
      <c r="EN519" s="424"/>
      <c r="EO519" s="425"/>
    </row>
    <row r="520" spans="98:145" x14ac:dyDescent="0.25">
      <c r="CT520" s="522" t="str">
        <f t="shared" si="385"/>
        <v/>
      </c>
      <c r="CU520" s="371" t="str">
        <f>IF(OR(CT520="",DA520="",CT520=DA520,ISNA(VLOOKUP(CONCATENATE(CT520,DA520),games.a,2,FALSE))),"",CONCATENATE(CT520,DA520))</f>
        <v/>
      </c>
      <c r="CV520" s="371" t="str">
        <f>IF(CU520="","",CONCATENATE(VLOOKUP(CU520,games.a,9,FALSE),VLOOKUP(CU520,games.a,12,FALSE)))</f>
        <v/>
      </c>
      <c r="CW520" s="369" t="str">
        <f>IF(CU520="","",VLOOKUP(CU520,games.a,10,FALSE))</f>
        <v/>
      </c>
      <c r="CX520" s="369" t="str">
        <f>IF(CU520="","",VLOOKUP(CU520,games.a,13,FALSE))</f>
        <v/>
      </c>
      <c r="CY520" s="423" t="str">
        <f>IF(CU520="","",VLOOKUP(CU520,games.a,6,FALSE))</f>
        <v/>
      </c>
      <c r="CZ520" s="409" t="str">
        <f>IF(CU520="","",VLOOKUP(CU520,games.a,7,FALSE))</f>
        <v/>
      </c>
      <c r="DA520" s="523" t="str">
        <f t="shared" si="386"/>
        <v/>
      </c>
      <c r="DB520" s="302"/>
      <c r="DC520" s="364"/>
      <c r="DD520" s="445"/>
      <c r="DF520" s="424"/>
      <c r="DW520" s="365"/>
      <c r="DX520" s="424"/>
      <c r="DY520" s="424"/>
      <c r="DZ520" s="424"/>
      <c r="EA520" s="424"/>
      <c r="EB520" s="424"/>
      <c r="EC520" s="404" t="str">
        <f t="shared" si="387"/>
        <v/>
      </c>
      <c r="ED520" s="360" t="str">
        <f ca="1">IF(OR(EC520="",EJ520="",EC520=EJ520,ISNA(VLOOKUP(CONCATENATE(EC520,EJ520),games.a,2,FALSE))),"",CONCATENATE(EC520,EJ520))</f>
        <v/>
      </c>
      <c r="EE520" s="524" t="str">
        <f ca="1">IF(OR(ED520="",EJ509&gt;2),"",CONCATENATE(VLOOKUP(ED520,games.a,9,FALSE),VLOOKUP(ED520,games.a,12,FALSE)))</f>
        <v/>
      </c>
      <c r="EF520" s="413"/>
      <c r="EG520" s="414"/>
      <c r="EH520" s="525" t="str">
        <f ca="1">IF(ED520="","",VLOOKUP(ED520,games.a,6,FALSE))</f>
        <v/>
      </c>
      <c r="EI520" s="362" t="str">
        <f ca="1">IF(ED520="","",VLOOKUP(ED520,games.a,7,FALSE))</f>
        <v/>
      </c>
      <c r="EJ520" s="526" t="str">
        <f ca="1">EJ519</f>
        <v/>
      </c>
      <c r="EK520" s="527"/>
      <c r="EL520" s="528"/>
      <c r="EM520" s="424"/>
      <c r="EN520" s="424"/>
      <c r="EO520" s="425"/>
    </row>
    <row r="521" spans="98:145" x14ac:dyDescent="0.25">
      <c r="CT521" s="522" t="str">
        <f t="shared" si="385"/>
        <v/>
      </c>
      <c r="CU521" s="371" t="str">
        <f>IF(OR(CT521="",DA521="",CT521=DA521,ISNA(VLOOKUP(CONCATENATE(CT521,DA521),games.a,2,FALSE))),"",CONCATENATE(CT521,DA521))</f>
        <v/>
      </c>
      <c r="CV521" s="371" t="str">
        <f>IF(CU521="","",CONCATENATE(VLOOKUP(CU521,games.a,9,FALSE),VLOOKUP(CU521,games.a,12,FALSE)))</f>
        <v/>
      </c>
      <c r="CW521" s="369" t="str">
        <f>IF(CU521="","",VLOOKUP(CU521,games.a,10,FALSE))</f>
        <v/>
      </c>
      <c r="CX521" s="369" t="str">
        <f>IF(CU521="","",VLOOKUP(CU521,games.a,13,FALSE))</f>
        <v/>
      </c>
      <c r="CY521" s="423" t="str">
        <f>IF(CU521="","",VLOOKUP(CU521,games.a,6,FALSE))</f>
        <v/>
      </c>
      <c r="CZ521" s="409" t="str">
        <f>IF(CU521="","",VLOOKUP(CU521,games.a,7,FALSE))</f>
        <v/>
      </c>
      <c r="DA521" s="523" t="str">
        <f t="shared" si="386"/>
        <v/>
      </c>
      <c r="DB521" s="302"/>
      <c r="DC521" s="364"/>
      <c r="DD521" s="445"/>
      <c r="DF521" s="424"/>
      <c r="DW521" s="365"/>
      <c r="DX521" s="424"/>
      <c r="DY521" s="424"/>
      <c r="DZ521" s="424"/>
      <c r="EA521" s="424"/>
      <c r="EB521" s="424"/>
      <c r="EC521" s="404" t="str">
        <f t="shared" si="387"/>
        <v/>
      </c>
      <c r="ED521" s="360" t="str">
        <f ca="1">IF(OR(EC521="",EJ521="",EC521=EJ521,ISNA(VLOOKUP(CONCATENATE(EC521,EJ521),games.a,2,FALSE))),"",CONCATENATE(EC521,EJ521))</f>
        <v/>
      </c>
      <c r="EE521" s="524" t="str">
        <f ca="1">IF(OR(ED521="",EJ509&gt;2),"",CONCATENATE(VLOOKUP(ED521,games.a,9,FALSE),VLOOKUP(ED521,games.a,12,FALSE)))</f>
        <v/>
      </c>
      <c r="EF521" s="413"/>
      <c r="EG521" s="414"/>
      <c r="EH521" s="525" t="str">
        <f ca="1">IF(ED521="","",VLOOKUP(ED521,games.a,6,FALSE))</f>
        <v/>
      </c>
      <c r="EI521" s="362" t="str">
        <f ca="1">IF(ED521="","",VLOOKUP(ED521,games.a,7,FALSE))</f>
        <v/>
      </c>
      <c r="EJ521" s="526" t="str">
        <f ca="1">EJ520</f>
        <v/>
      </c>
      <c r="EK521" s="527"/>
      <c r="EL521" s="528"/>
      <c r="EM521" s="424"/>
      <c r="EN521" s="424"/>
      <c r="EO521" s="425"/>
    </row>
    <row r="522" spans="98:145" x14ac:dyDescent="0.25">
      <c r="CT522" s="522" t="str">
        <f t="shared" si="385"/>
        <v/>
      </c>
      <c r="CU522" s="371" t="str">
        <f>IF(OR(CT522="",DA522="",CT522=DA522,ISNA(VLOOKUP(CONCATENATE(CT522,DA522),games.a,2,FALSE))),"",CONCATENATE(CT522,DA522))</f>
        <v/>
      </c>
      <c r="CV522" s="371" t="str">
        <f>IF(CU522="","",CONCATENATE(VLOOKUP(CU522,games.a,9,FALSE),VLOOKUP(CU522,games.a,12,FALSE)))</f>
        <v/>
      </c>
      <c r="CW522" s="369" t="str">
        <f>IF(CU522="","",VLOOKUP(CU522,games.a,10,FALSE))</f>
        <v/>
      </c>
      <c r="CX522" s="369" t="str">
        <f>IF(CU522="","",VLOOKUP(CU522,games.a,13,FALSE))</f>
        <v/>
      </c>
      <c r="CY522" s="423" t="str">
        <f>IF(CU522="","",VLOOKUP(CU522,games.a,6,FALSE))</f>
        <v/>
      </c>
      <c r="CZ522" s="409" t="str">
        <f>IF(CU522="","",VLOOKUP(CU522,games.a,7,FALSE))</f>
        <v/>
      </c>
      <c r="DA522" s="523" t="str">
        <f t="shared" si="386"/>
        <v/>
      </c>
      <c r="DB522" s="302"/>
      <c r="DC522" s="364"/>
      <c r="DD522" s="445"/>
      <c r="DF522" s="424"/>
      <c r="DW522" s="365"/>
      <c r="DX522" s="424"/>
      <c r="DY522" s="424"/>
      <c r="DZ522" s="424"/>
      <c r="EC522" s="404" t="str">
        <f t="shared" si="387"/>
        <v/>
      </c>
      <c r="ED522" s="360" t="str">
        <f ca="1">IF(OR(EC522="",EJ522="",EC522=EJ522,ISNA(VLOOKUP(CONCATENATE(EC522,EJ522),games.a,2,FALSE))),"",CONCATENATE(EC522,EJ522))</f>
        <v/>
      </c>
      <c r="EE522" s="524" t="str">
        <f ca="1">IF(OR(ED522="",EJ509&gt;2),"",CONCATENATE(VLOOKUP(ED522,games.a,9,FALSE),VLOOKUP(ED522,games.a,12,FALSE)))</f>
        <v/>
      </c>
      <c r="EF522" s="413"/>
      <c r="EG522" s="414"/>
      <c r="EH522" s="525" t="str">
        <f ca="1">IF(ED522="","",VLOOKUP(ED522,games.a,6,FALSE))</f>
        <v/>
      </c>
      <c r="EI522" s="362" t="str">
        <f ca="1">IF(ED522="","",VLOOKUP(ED522,games.a,7,FALSE))</f>
        <v/>
      </c>
      <c r="EJ522" s="526" t="str">
        <f ca="1">EJ521</f>
        <v/>
      </c>
      <c r="EK522" s="527"/>
      <c r="EL522" s="528"/>
      <c r="EO522" s="425"/>
    </row>
    <row r="523" spans="98:145" x14ac:dyDescent="0.25">
      <c r="CT523" s="522" t="str">
        <f t="shared" si="385"/>
        <v/>
      </c>
      <c r="CU523" s="371" t="str">
        <f>IF(OR(CT523="",DA523="",CT523=DA523,ISNA(VLOOKUP(CONCATENATE(CT523,DA523),games.a,2,FALSE))),"",CONCATENATE(CT523,DA523))</f>
        <v/>
      </c>
      <c r="CV523" s="371" t="str">
        <f>IF(CU523="","",CONCATENATE(VLOOKUP(CU523,games.a,9,FALSE),VLOOKUP(CU523,games.a,12,FALSE)))</f>
        <v/>
      </c>
      <c r="CW523" s="369" t="str">
        <f>IF(CU523="","",VLOOKUP(CU523,games.a,10,FALSE))</f>
        <v/>
      </c>
      <c r="CX523" s="369" t="str">
        <f>IF(CU523="","",VLOOKUP(CU523,games.a,13,FALSE))</f>
        <v/>
      </c>
      <c r="CY523" s="423" t="str">
        <f>IF(CU523="","",VLOOKUP(CU523,games.a,6,FALSE))</f>
        <v/>
      </c>
      <c r="CZ523" s="409" t="str">
        <f>IF(CU523="","",VLOOKUP(CU523,games.a,7,FALSE))</f>
        <v/>
      </c>
      <c r="DA523" s="523" t="str">
        <f t="shared" si="386"/>
        <v/>
      </c>
      <c r="DB523" s="302"/>
      <c r="DC523" s="364"/>
      <c r="DD523" s="445"/>
      <c r="DF523" s="424"/>
      <c r="DW523" s="424"/>
      <c r="DX523" s="424"/>
      <c r="DY523" s="424"/>
      <c r="DZ523" s="424"/>
      <c r="EA523" s="424"/>
      <c r="EB523" s="424"/>
      <c r="EC523" s="398"/>
      <c r="ED523" s="329" t="s">
        <v>157</v>
      </c>
      <c r="EE523" s="329" t="s">
        <v>158</v>
      </c>
      <c r="EF523" s="399"/>
      <c r="EG523" s="400"/>
      <c r="EH523" s="401" t="s">
        <v>160</v>
      </c>
      <c r="EI523" s="402" t="s">
        <v>135</v>
      </c>
      <c r="EJ523" s="398"/>
      <c r="EK523" s="365"/>
      <c r="EL523" s="365"/>
      <c r="EO523" s="425"/>
    </row>
    <row r="524" spans="98:145" x14ac:dyDescent="0.25">
      <c r="CT524" s="301"/>
      <c r="CU524" s="458" t="s">
        <v>157</v>
      </c>
      <c r="CV524" s="458" t="s">
        <v>158</v>
      </c>
      <c r="CW524" s="459" t="s">
        <v>159</v>
      </c>
      <c r="CX524" s="459"/>
      <c r="CY524" s="460" t="s">
        <v>160</v>
      </c>
      <c r="CZ524" s="459" t="s">
        <v>135</v>
      </c>
      <c r="DA524" s="302"/>
      <c r="DB524" s="302"/>
      <c r="DC524" s="364"/>
      <c r="DD524" s="445"/>
      <c r="DF524" s="424"/>
      <c r="DW524" s="424"/>
      <c r="DX524" s="424"/>
      <c r="DY524" s="424"/>
      <c r="DZ524" s="424"/>
      <c r="EA524" s="424"/>
      <c r="EB524" s="424"/>
      <c r="EC524" s="404" t="str">
        <f t="shared" ref="EC524:EC529" ca="1" si="388">EC517</f>
        <v/>
      </c>
      <c r="ED524" s="371" t="str">
        <f ca="1">IF(OR(EC524="",EJ524="",EC524=EJ524,ISNA(VLOOKUP(CONCATENATE(EC524,EJ524),games.r,2,FALSE))),"",CONCATENATE(EC524,EJ524))</f>
        <v/>
      </c>
      <c r="EE524" s="405" t="str">
        <f ca="1">IF(OR(ED524="",EJ509&gt;2),"",CONCATENATE(VLOOKUP(ED524,games.r,9,FALSE),VLOOKUP(ED524,games.r,12,FALSE)))</f>
        <v/>
      </c>
      <c r="EF524" s="406"/>
      <c r="EG524" s="407"/>
      <c r="EH524" s="408" t="str">
        <f ca="1">IF(ED524="","",VLOOKUP(ED524,games.r,6,FALSE))</f>
        <v/>
      </c>
      <c r="EI524" s="409" t="str">
        <f ca="1">IF(ED524="","",VLOOKUP(ED524,games.r,7,FALSE))</f>
        <v/>
      </c>
      <c r="EJ524" s="410" t="str">
        <f ca="1">EC512</f>
        <v/>
      </c>
      <c r="EK524" s="411"/>
      <c r="EL524" s="412"/>
      <c r="EO524" s="425"/>
    </row>
    <row r="525" spans="98:145" x14ac:dyDescent="0.25">
      <c r="CT525" s="395" t="str">
        <f t="shared" ref="CT525:CT534" si="389">CT514</f>
        <v/>
      </c>
      <c r="CU525" s="465" t="str">
        <f ca="1">IF(OR(CT525="",DA525="",CT525=DA525,COUNTIF(games.rv,CT525&amp;DA525)=0),"",CONCATENATE(CT525,DA525))</f>
        <v/>
      </c>
      <c r="CV525" s="360" t="str">
        <f ca="1">IF(CU525="","",CONCATENATE(VLOOKUP(CU525,games.r,9,FALSE),VLOOKUP(CU525,games.r,12,FALSE)))</f>
        <v/>
      </c>
      <c r="CW525" s="354" t="str">
        <f ca="1">IF(CU525="","",VLOOKUP(CU525,games.r,10,FALSE))</f>
        <v/>
      </c>
      <c r="CX525" s="354" t="str">
        <f ca="1">IF(CU525="","",VLOOKUP(CU525,games.r,13,FALSE))</f>
        <v/>
      </c>
      <c r="CY525" s="361" t="str">
        <f ca="1">IF(CU525="","",VLOOKUP(CU525,games.r,6,FALSE))</f>
        <v/>
      </c>
      <c r="CZ525" s="362" t="str">
        <f ca="1">IF(CU525="","",VLOOKUP(CU525,games.r,7,FALSE))</f>
        <v/>
      </c>
      <c r="DA525" s="466" t="str">
        <f>CT505</f>
        <v/>
      </c>
      <c r="DB525" s="302"/>
      <c r="DC525" s="364"/>
      <c r="DD525" s="445"/>
      <c r="DF525" s="424"/>
      <c r="DW525" s="424"/>
      <c r="DX525" s="424"/>
      <c r="DY525" s="424"/>
      <c r="DZ525" s="424"/>
      <c r="EA525" s="424"/>
      <c r="EB525" s="424"/>
      <c r="EC525" s="404" t="str">
        <f t="shared" ca="1" si="388"/>
        <v/>
      </c>
      <c r="ED525" s="371" t="str">
        <f ca="1">IF(OR(EC525="",EJ525="",EC525=EJ525,ISNA(VLOOKUP(CONCATENATE(EC525,EJ525),games.r,2,FALSE))),"",CONCATENATE(EC525,EJ525))</f>
        <v/>
      </c>
      <c r="EE525" s="405" t="str">
        <f ca="1">IF(OR(ED525="",EJ509&gt;2),"",CONCATENATE(VLOOKUP(ED525,games.r,9,FALSE),VLOOKUP(ED525,games.r,12,FALSE)))</f>
        <v/>
      </c>
      <c r="EF525" s="413"/>
      <c r="EG525" s="414"/>
      <c r="EH525" s="408" t="str">
        <f ca="1">IF(ED525="","",VLOOKUP(ED525,games.r,6,FALSE))</f>
        <v/>
      </c>
      <c r="EI525" s="409" t="str">
        <f ca="1">IF(ED525="","",VLOOKUP(ED525,games.r,7,FALSE))</f>
        <v/>
      </c>
      <c r="EJ525" s="415" t="str">
        <f ca="1">EJ524</f>
        <v/>
      </c>
      <c r="EK525" s="416"/>
      <c r="EL525" s="417"/>
      <c r="EO525" s="425"/>
    </row>
    <row r="526" spans="98:145" x14ac:dyDescent="0.25">
      <c r="CT526" s="395" t="str">
        <f t="shared" si="389"/>
        <v/>
      </c>
      <c r="CU526" s="465" t="str">
        <f ca="1">IF(OR(CT526="",DA526="",CT526=DA526,COUNTIF(games.rv,CT526&amp;DA526)=0),"",CONCATENATE(CT526,DA526))</f>
        <v/>
      </c>
      <c r="CV526" s="360" t="str">
        <f ca="1">IF(CU526="","",CONCATENATE(VLOOKUP(CU526,games.r,9,FALSE),VLOOKUP(CU526,games.r,12,FALSE)))</f>
        <v/>
      </c>
      <c r="CW526" s="354" t="str">
        <f ca="1">IF(CU526="","",VLOOKUP(CU526,games.r,10,FALSE))</f>
        <v/>
      </c>
      <c r="CX526" s="354" t="str">
        <f ca="1">IF(CU526="","",VLOOKUP(CU526,games.r,13,FALSE))</f>
        <v/>
      </c>
      <c r="CY526" s="361" t="str">
        <f ca="1">IF(CU526="","",VLOOKUP(CU526,games.r,6,FALSE))</f>
        <v/>
      </c>
      <c r="CZ526" s="362" t="str">
        <f ca="1">IF(CU526="","",VLOOKUP(CU526,games.r,7,FALSE))</f>
        <v/>
      </c>
      <c r="DA526" s="379" t="str">
        <f t="shared" ref="DA526:DA534" si="390">DA525</f>
        <v/>
      </c>
      <c r="DB526" s="302"/>
      <c r="DC526" s="364"/>
      <c r="DD526" s="445"/>
      <c r="DF526" s="424"/>
      <c r="DW526" s="424"/>
      <c r="DX526" s="424"/>
      <c r="DY526" s="424"/>
      <c r="DZ526" s="424"/>
      <c r="EA526" s="424"/>
      <c r="EB526" s="424"/>
      <c r="EC526" s="404" t="str">
        <f t="shared" ca="1" si="388"/>
        <v/>
      </c>
      <c r="ED526" s="371" t="str">
        <f ca="1">IF(OR(EC526="",EJ526="",EC526=EJ526,ISNA(VLOOKUP(CONCATENATE(EC526,EJ526),games.r,2,FALSE))),"",CONCATENATE(EC526,EJ526))</f>
        <v/>
      </c>
      <c r="EE526" s="405" t="str">
        <f ca="1">IF(OR(ED526="",EJ509&gt;2),"",CONCATENATE(VLOOKUP(ED526,games.r,9,FALSE),VLOOKUP(ED526,games.r,12,FALSE)))</f>
        <v/>
      </c>
      <c r="EF526" s="413"/>
      <c r="EG526" s="414"/>
      <c r="EH526" s="408" t="str">
        <f ca="1">IF(ED526="","",VLOOKUP(ED526,games.r,6,FALSE))</f>
        <v/>
      </c>
      <c r="EI526" s="409" t="str">
        <f ca="1">IF(ED526="","",VLOOKUP(ED526,games.r,7,FALSE))</f>
        <v/>
      </c>
      <c r="EJ526" s="415" t="str">
        <f ca="1">EJ525</f>
        <v/>
      </c>
      <c r="EK526" s="416"/>
      <c r="EL526" s="417"/>
      <c r="EO526" s="425"/>
    </row>
    <row r="527" spans="98:145" x14ac:dyDescent="0.25">
      <c r="CT527" s="395" t="str">
        <f t="shared" si="389"/>
        <v/>
      </c>
      <c r="CU527" s="465" t="str">
        <f ca="1">IF(OR(CT527="",DA527="",CT527=DA527,COUNTIF(games.rv,CT527&amp;DA527)=0),"",CONCATENATE(CT527,DA527))</f>
        <v/>
      </c>
      <c r="CV527" s="360" t="str">
        <f ca="1">IF(CU527="","",CONCATENATE(VLOOKUP(CU527,games.r,9,FALSE),VLOOKUP(CU527,games.r,12,FALSE)))</f>
        <v/>
      </c>
      <c r="CW527" s="354" t="str">
        <f ca="1">IF(CU527="","",VLOOKUP(CU527,games.r,10,FALSE))</f>
        <v/>
      </c>
      <c r="CX527" s="354" t="str">
        <f ca="1">IF(CU527="","",VLOOKUP(CU527,games.r,13,FALSE))</f>
        <v/>
      </c>
      <c r="CY527" s="361" t="str">
        <f ca="1">IF(CU527="","",VLOOKUP(CU527,games.r,6,FALSE))</f>
        <v/>
      </c>
      <c r="CZ527" s="362" t="str">
        <f ca="1">IF(CU527="","",VLOOKUP(CU527,games.r,7,FALSE))</f>
        <v/>
      </c>
      <c r="DA527" s="379" t="str">
        <f t="shared" si="390"/>
        <v/>
      </c>
      <c r="DB527" s="302"/>
      <c r="DC527" s="364"/>
      <c r="DD527" s="445"/>
      <c r="DF527" s="424"/>
      <c r="DW527" s="424"/>
      <c r="DX527" s="424"/>
      <c r="DY527" s="424"/>
      <c r="DZ527" s="424"/>
      <c r="EA527" s="424"/>
      <c r="EB527" s="424"/>
      <c r="EC527" s="404" t="str">
        <f t="shared" si="388"/>
        <v/>
      </c>
      <c r="ED527" s="360" t="str">
        <f ca="1">IF(OR(EC527="",EJ527="",EC527=EJ527,ISNA(VLOOKUP(CONCATENATE(EC527,EJ527),games.a,2,FALSE))),"",CONCATENATE(EC527,EJ527))</f>
        <v/>
      </c>
      <c r="EE527" s="524" t="str">
        <f ca="1">IF(OR(ED527="",EJ509&gt;2),"",CONCATENATE(VLOOKUP(ED527,games.a,9,FALSE),VLOOKUP(ED527,games.a,12,FALSE)))</f>
        <v/>
      </c>
      <c r="EF527" s="413"/>
      <c r="EG527" s="414"/>
      <c r="EH527" s="525" t="str">
        <f ca="1">IF(ED527="","",VLOOKUP(ED527,games.a,6,FALSE))</f>
        <v/>
      </c>
      <c r="EI527" s="362" t="str">
        <f ca="1">IF(ED527="","",VLOOKUP(ED527,games.a,7,FALSE))</f>
        <v/>
      </c>
      <c r="EJ527" s="526" t="str">
        <f ca="1">EJ526</f>
        <v/>
      </c>
      <c r="EK527" s="527"/>
      <c r="EL527" s="528"/>
      <c r="EO527" s="425"/>
    </row>
    <row r="528" spans="98:145" x14ac:dyDescent="0.25">
      <c r="CT528" s="395" t="str">
        <f t="shared" si="389"/>
        <v/>
      </c>
      <c r="CU528" s="465" t="str">
        <f ca="1">IF(OR(CT528="",DA528="",CT528=DA528,COUNTIF(games.rv,CT528&amp;DA528)=0),"",CONCATENATE(CT528,DA528))</f>
        <v/>
      </c>
      <c r="CV528" s="360" t="str">
        <f ca="1">IF(CU528="","",CONCATENATE(VLOOKUP(CU528,games.r,9,FALSE),VLOOKUP(CU528,games.r,12,FALSE)))</f>
        <v/>
      </c>
      <c r="CW528" s="354" t="str">
        <f ca="1">IF(CU528="","",VLOOKUP(CU528,games.r,10,FALSE))</f>
        <v/>
      </c>
      <c r="CX528" s="354" t="str">
        <f ca="1">IF(CU528="","",VLOOKUP(CU528,games.r,13,FALSE))</f>
        <v/>
      </c>
      <c r="CY528" s="361" t="str">
        <f ca="1">IF(CU528="","",VLOOKUP(CU528,games.r,6,FALSE))</f>
        <v/>
      </c>
      <c r="CZ528" s="362" t="str">
        <f ca="1">IF(CU528="","",VLOOKUP(CU528,games.r,7,FALSE))</f>
        <v/>
      </c>
      <c r="DA528" s="379" t="str">
        <f t="shared" si="390"/>
        <v/>
      </c>
      <c r="DB528" s="302"/>
      <c r="DC528" s="364"/>
      <c r="DD528" s="445"/>
      <c r="DF528" s="424"/>
      <c r="DW528" s="424"/>
      <c r="DX528" s="424"/>
      <c r="DY528" s="424"/>
      <c r="DZ528" s="424"/>
      <c r="EA528" s="424"/>
      <c r="EB528" s="424"/>
      <c r="EC528" s="404" t="str">
        <f t="shared" si="388"/>
        <v/>
      </c>
      <c r="ED528" s="360" t="str">
        <f ca="1">IF(OR(EC528="",EJ528="",EC528=EJ528,ISNA(VLOOKUP(CONCATENATE(EC528,EJ528),games.a,2,FALSE))),"",CONCATENATE(EC528,EJ528))</f>
        <v/>
      </c>
      <c r="EE528" s="524" t="str">
        <f ca="1">IF(OR(ED528="",EJ509&gt;2),"",CONCATENATE(VLOOKUP(ED528,games.a,9,FALSE),VLOOKUP(ED528,games.a,12,FALSE)))</f>
        <v/>
      </c>
      <c r="EF528" s="413"/>
      <c r="EG528" s="414"/>
      <c r="EH528" s="525" t="str">
        <f ca="1">IF(ED528="","",VLOOKUP(ED528,games.a,6,FALSE))</f>
        <v/>
      </c>
      <c r="EI528" s="362" t="str">
        <f ca="1">IF(ED528="","",VLOOKUP(ED528,games.a,7,FALSE))</f>
        <v/>
      </c>
      <c r="EJ528" s="526" t="str">
        <f ca="1">EJ527</f>
        <v/>
      </c>
      <c r="EK528" s="527"/>
      <c r="EL528" s="528"/>
      <c r="EO528" s="425"/>
    </row>
    <row r="529" spans="98:145" x14ac:dyDescent="0.25">
      <c r="CT529" s="395" t="str">
        <f t="shared" si="389"/>
        <v/>
      </c>
      <c r="CU529" s="465" t="str">
        <f ca="1">IF(OR(CT529="",DA529="",CT529=DA529,COUNTIF(games.rv,CT529&amp;DA529)=0),"",CONCATENATE(CT529,DA529))</f>
        <v/>
      </c>
      <c r="CV529" s="360" t="str">
        <f ca="1">IF(CU529="","",CONCATENATE(VLOOKUP(CU529,games.r,9,FALSE),VLOOKUP(CU529,games.r,12,FALSE)))</f>
        <v/>
      </c>
      <c r="CW529" s="354" t="str">
        <f ca="1">IF(CU529="","",VLOOKUP(CU529,games.r,10,FALSE))</f>
        <v/>
      </c>
      <c r="CX529" s="354" t="str">
        <f ca="1">IF(CU529="","",VLOOKUP(CU529,games.r,13,FALSE))</f>
        <v/>
      </c>
      <c r="CY529" s="361" t="str">
        <f ca="1">IF(CU529="","",VLOOKUP(CU529,games.r,6,FALSE))</f>
        <v/>
      </c>
      <c r="CZ529" s="362" t="str">
        <f ca="1">IF(CU529="","",VLOOKUP(CU529,games.r,7,FALSE))</f>
        <v/>
      </c>
      <c r="DA529" s="379" t="str">
        <f t="shared" si="390"/>
        <v/>
      </c>
      <c r="DB529" s="302"/>
      <c r="DC529" s="364"/>
      <c r="DD529" s="445"/>
      <c r="DF529" s="424"/>
      <c r="DW529" s="424"/>
      <c r="DX529" s="424"/>
      <c r="DY529" s="424"/>
      <c r="DZ529" s="424"/>
      <c r="EA529" s="424"/>
      <c r="EC529" s="404" t="str">
        <f t="shared" si="388"/>
        <v/>
      </c>
      <c r="ED529" s="360" t="str">
        <f ca="1">IF(OR(EC529="",EJ529="",EC529=EJ529,ISNA(VLOOKUP(CONCATENATE(EC529,EJ529),games.a,2,FALSE))),"",CONCATENATE(EC529,EJ529))</f>
        <v/>
      </c>
      <c r="EE529" s="524" t="str">
        <f ca="1">IF(OR(ED529="",EJ509&gt;2),"",CONCATENATE(VLOOKUP(ED529,games.a,9,FALSE),VLOOKUP(ED529,games.a,12,FALSE)))</f>
        <v/>
      </c>
      <c r="EF529" s="413"/>
      <c r="EG529" s="414"/>
      <c r="EH529" s="525" t="str">
        <f ca="1">IF(ED529="","",VLOOKUP(ED529,games.a,6,FALSE))</f>
        <v/>
      </c>
      <c r="EI529" s="362" t="str">
        <f ca="1">IF(ED529="","",VLOOKUP(ED529,games.a,7,FALSE))</f>
        <v/>
      </c>
      <c r="EJ529" s="526" t="str">
        <f ca="1">EJ528</f>
        <v/>
      </c>
      <c r="EK529" s="527"/>
      <c r="EL529" s="528"/>
      <c r="EO529" s="425"/>
    </row>
    <row r="530" spans="98:145" x14ac:dyDescent="0.25">
      <c r="CT530" s="522" t="str">
        <f t="shared" si="389"/>
        <v/>
      </c>
      <c r="CU530" s="371" t="str">
        <f>IF(OR(CT530="",DA530="",CT530=DA530,ISNA(VLOOKUP(CONCATENATE(CT530,DA530),games.a,2,FALSE))),"",CONCATENATE(CT530,DA530))</f>
        <v/>
      </c>
      <c r="CV530" s="371" t="str">
        <f>IF(CU530="","",CONCATENATE(VLOOKUP(CU530,games.a,9,FALSE),VLOOKUP(CU530,games.a,12,FALSE)))</f>
        <v/>
      </c>
      <c r="CW530" s="369" t="str">
        <f>IF(CU530="","",VLOOKUP(CU530,games.a,10,FALSE))</f>
        <v/>
      </c>
      <c r="CX530" s="369" t="str">
        <f>IF(CU530="","",VLOOKUP(CU530,games.a,13,FALSE))</f>
        <v/>
      </c>
      <c r="CY530" s="423" t="str">
        <f>IF(CU530="","",VLOOKUP(CU530,games.a,6,FALSE))</f>
        <v/>
      </c>
      <c r="CZ530" s="409" t="str">
        <f>IF(CU530="","",VLOOKUP(CU530,games.a,7,FALSE))</f>
        <v/>
      </c>
      <c r="DA530" s="523" t="str">
        <f t="shared" si="390"/>
        <v/>
      </c>
      <c r="DB530" s="302"/>
      <c r="DC530" s="364"/>
      <c r="DD530" s="445"/>
      <c r="DF530" s="424"/>
      <c r="DW530" s="424"/>
      <c r="DX530" s="424"/>
      <c r="DY530" s="424"/>
      <c r="DZ530" s="424"/>
      <c r="EA530" s="424"/>
      <c r="EB530" s="424"/>
      <c r="EC530" s="424"/>
      <c r="ED530" s="424"/>
      <c r="EE530" s="424"/>
      <c r="EF530" s="424"/>
      <c r="EG530" s="424"/>
      <c r="EH530" s="424"/>
      <c r="EI530" s="424"/>
      <c r="EJ530" s="424"/>
      <c r="EK530" s="424"/>
      <c r="EL530" s="424"/>
      <c r="EO530" s="425"/>
    </row>
    <row r="531" spans="98:145" x14ac:dyDescent="0.25">
      <c r="CT531" s="522" t="str">
        <f t="shared" si="389"/>
        <v/>
      </c>
      <c r="CU531" s="371" t="str">
        <f>IF(OR(CT531="",DA531="",CT531=DA531,ISNA(VLOOKUP(CONCATENATE(CT531,DA531),games.a,2,FALSE))),"",CONCATENATE(CT531,DA531))</f>
        <v/>
      </c>
      <c r="CV531" s="371" t="str">
        <f>IF(CU531="","",CONCATENATE(VLOOKUP(CU531,games.a,9,FALSE),VLOOKUP(CU531,games.a,12,FALSE)))</f>
        <v/>
      </c>
      <c r="CW531" s="369" t="str">
        <f>IF(CU531="","",VLOOKUP(CU531,games.a,10,FALSE))</f>
        <v/>
      </c>
      <c r="CX531" s="369" t="str">
        <f>IF(CU531="","",VLOOKUP(CU531,games.a,13,FALSE))</f>
        <v/>
      </c>
      <c r="CY531" s="423" t="str">
        <f>IF(CU531="","",VLOOKUP(CU531,games.a,6,FALSE))</f>
        <v/>
      </c>
      <c r="CZ531" s="409" t="str">
        <f>IF(CU531="","",VLOOKUP(CU531,games.a,7,FALSE))</f>
        <v/>
      </c>
      <c r="DA531" s="523" t="str">
        <f t="shared" si="390"/>
        <v/>
      </c>
      <c r="DB531" s="302"/>
      <c r="DC531" s="364"/>
      <c r="DD531" s="445"/>
      <c r="DF531" s="424"/>
      <c r="DG531" s="424"/>
      <c r="DH531" s="424"/>
      <c r="DI531" s="424"/>
      <c r="DJ531" s="424"/>
      <c r="DK531" s="424"/>
      <c r="DL531" s="424"/>
      <c r="DM531" s="424"/>
      <c r="DN531" s="424"/>
      <c r="DO531" s="424"/>
      <c r="DP531" s="424"/>
      <c r="DQ531" s="424"/>
      <c r="DR531" s="424"/>
      <c r="DS531" s="424"/>
      <c r="DT531" s="424"/>
      <c r="DU531" s="424"/>
      <c r="DV531" s="424"/>
      <c r="DW531" s="424"/>
      <c r="DX531" s="424"/>
      <c r="DY531" s="424"/>
      <c r="DZ531" s="424"/>
      <c r="EA531" s="424"/>
      <c r="EB531" s="424"/>
      <c r="EC531" s="424"/>
      <c r="ED531" s="424"/>
      <c r="EE531" s="424"/>
      <c r="EF531" s="424"/>
      <c r="EG531" s="424"/>
      <c r="EH531" s="424"/>
      <c r="EI531" s="424"/>
      <c r="EJ531" s="424"/>
      <c r="EK531" s="424"/>
      <c r="EL531" s="424"/>
      <c r="EO531" s="425"/>
    </row>
    <row r="532" spans="98:145" x14ac:dyDescent="0.25">
      <c r="CT532" s="522" t="str">
        <f t="shared" si="389"/>
        <v/>
      </c>
      <c r="CU532" s="371" t="str">
        <f>IF(OR(CT532="",DA532="",CT532=DA532,ISNA(VLOOKUP(CONCATENATE(CT532,DA532),games.a,2,FALSE))),"",CONCATENATE(CT532,DA532))</f>
        <v/>
      </c>
      <c r="CV532" s="371" t="str">
        <f>IF(CU532="","",CONCATENATE(VLOOKUP(CU532,games.a,9,FALSE),VLOOKUP(CU532,games.a,12,FALSE)))</f>
        <v/>
      </c>
      <c r="CW532" s="369" t="str">
        <f>IF(CU532="","",VLOOKUP(CU532,games.a,10,FALSE))</f>
        <v/>
      </c>
      <c r="CX532" s="369" t="str">
        <f>IF(CU532="","",VLOOKUP(CU532,games.a,13,FALSE))</f>
        <v/>
      </c>
      <c r="CY532" s="423" t="str">
        <f>IF(CU532="","",VLOOKUP(CU532,games.a,6,FALSE))</f>
        <v/>
      </c>
      <c r="CZ532" s="409" t="str">
        <f>IF(CU532="","",VLOOKUP(CU532,games.a,7,FALSE))</f>
        <v/>
      </c>
      <c r="DA532" s="523" t="str">
        <f t="shared" si="390"/>
        <v/>
      </c>
      <c r="DB532" s="302"/>
      <c r="DC532" s="364"/>
      <c r="DD532" s="445"/>
      <c r="DF532" s="424"/>
      <c r="DG532" s="424"/>
      <c r="DH532" s="424"/>
      <c r="DI532" s="424"/>
      <c r="DJ532" s="424"/>
      <c r="DK532" s="424"/>
      <c r="DL532" s="424"/>
      <c r="DM532" s="424"/>
      <c r="DN532" s="424"/>
      <c r="DO532" s="424"/>
      <c r="DP532" s="424"/>
      <c r="DQ532" s="424"/>
      <c r="DR532" s="424"/>
      <c r="DS532" s="424"/>
      <c r="DT532" s="424"/>
      <c r="DU532" s="424"/>
      <c r="DV532" s="424"/>
      <c r="DW532" s="424"/>
      <c r="DX532" s="424"/>
      <c r="DY532" s="424"/>
      <c r="DZ532" s="424"/>
      <c r="EA532" s="424"/>
      <c r="EB532" s="424"/>
      <c r="EC532" s="398"/>
      <c r="ED532" s="329" t="s">
        <v>157</v>
      </c>
      <c r="EE532" s="329" t="s">
        <v>158</v>
      </c>
      <c r="EF532" s="399"/>
      <c r="EG532" s="400"/>
      <c r="EH532" s="401" t="s">
        <v>160</v>
      </c>
      <c r="EI532" s="402" t="s">
        <v>135</v>
      </c>
      <c r="EJ532" s="424"/>
      <c r="EK532" s="365"/>
      <c r="EL532" s="365"/>
      <c r="EO532" s="425"/>
    </row>
    <row r="533" spans="98:145" x14ac:dyDescent="0.25">
      <c r="CT533" s="522" t="str">
        <f t="shared" si="389"/>
        <v/>
      </c>
      <c r="CU533" s="371" t="str">
        <f>IF(OR(CT533="",DA533="",CT533=DA533,ISNA(VLOOKUP(CONCATENATE(CT533,DA533),games.a,2,FALSE))),"",CONCATENATE(CT533,DA533))</f>
        <v/>
      </c>
      <c r="CV533" s="371" t="str">
        <f>IF(CU533="","",CONCATENATE(VLOOKUP(CU533,games.a,9,FALSE),VLOOKUP(CU533,games.a,12,FALSE)))</f>
        <v/>
      </c>
      <c r="CW533" s="369" t="str">
        <f>IF(CU533="","",VLOOKUP(CU533,games.a,10,FALSE))</f>
        <v/>
      </c>
      <c r="CX533" s="369" t="str">
        <f>IF(CU533="","",VLOOKUP(CU533,games.a,13,FALSE))</f>
        <v/>
      </c>
      <c r="CY533" s="423" t="str">
        <f>IF(CU533="","",VLOOKUP(CU533,games.a,6,FALSE))</f>
        <v/>
      </c>
      <c r="CZ533" s="409" t="str">
        <f>IF(CU533="","",VLOOKUP(CU533,games.a,7,FALSE))</f>
        <v/>
      </c>
      <c r="DA533" s="523" t="str">
        <f t="shared" si="390"/>
        <v/>
      </c>
      <c r="DB533" s="302"/>
      <c r="DC533" s="364"/>
      <c r="DD533" s="445"/>
      <c r="DF533" s="424"/>
      <c r="DG533" s="424"/>
      <c r="DH533" s="424"/>
      <c r="DI533" s="424"/>
      <c r="DJ533" s="424"/>
      <c r="DK533" s="424"/>
      <c r="DL533" s="424"/>
      <c r="DM533" s="424"/>
      <c r="DN533" s="424"/>
      <c r="DO533" s="424"/>
      <c r="DP533" s="424"/>
      <c r="DQ533" s="424"/>
      <c r="DR533" s="424"/>
      <c r="DS533" s="424"/>
      <c r="DT533" s="424"/>
      <c r="DU533" s="424"/>
      <c r="DV533" s="424"/>
      <c r="DW533" s="424"/>
      <c r="DX533" s="424"/>
      <c r="DY533" s="424"/>
      <c r="DZ533" s="424"/>
      <c r="EA533" s="424"/>
      <c r="EB533" s="424"/>
      <c r="EC533" s="404" t="str">
        <f ca="1">IF(EI503="","",VLOOKUP(EI503,yyy.rv3,7,FALSE))</f>
        <v/>
      </c>
      <c r="ED533" s="371" t="str">
        <f ca="1">IF(OR(EC533="",EJ533="",EC533=EJ533,ISNA(VLOOKUP(CONCATENATE(EC533,EJ533),games.r,2,FALSE))),"",CONCATENATE(EC533,EJ533))</f>
        <v/>
      </c>
      <c r="EE533" s="371" t="str">
        <f ca="1">IF(ED533="","",CONCATENATE(VLOOKUP(ED533,games.r,9,FALSE),VLOOKUP(ED533,games.r,12,FALSE)))</f>
        <v/>
      </c>
      <c r="EF533" s="406"/>
      <c r="EG533" s="407"/>
      <c r="EH533" s="408" t="str">
        <f ca="1">IF(ED533="","",VLOOKUP(ED533,games.r,6,FALSE))</f>
        <v/>
      </c>
      <c r="EI533" s="409" t="str">
        <f ca="1">IF(ED533="","",VLOOKUP(ED533,games.r,7,FALSE))</f>
        <v/>
      </c>
      <c r="EJ533" s="410" t="str">
        <f ca="1">EC533</f>
        <v/>
      </c>
      <c r="EK533" s="411"/>
      <c r="EL533" s="412"/>
      <c r="EO533" s="425"/>
    </row>
    <row r="534" spans="98:145" x14ac:dyDescent="0.25">
      <c r="CT534" s="522" t="str">
        <f t="shared" si="389"/>
        <v/>
      </c>
      <c r="CU534" s="371" t="str">
        <f>IF(OR(CT534="",DA534="",CT534=DA534,ISNA(VLOOKUP(CONCATENATE(CT534,DA534),games.a,2,FALSE))),"",CONCATENATE(CT534,DA534))</f>
        <v/>
      </c>
      <c r="CV534" s="371" t="str">
        <f>IF(CU534="","",CONCATENATE(VLOOKUP(CU534,games.a,9,FALSE),VLOOKUP(CU534,games.a,12,FALSE)))</f>
        <v/>
      </c>
      <c r="CW534" s="369" t="str">
        <f>IF(CU534="","",VLOOKUP(CU534,games.a,10,FALSE))</f>
        <v/>
      </c>
      <c r="CX534" s="369" t="str">
        <f>IF(CU534="","",VLOOKUP(CU534,games.a,13,FALSE))</f>
        <v/>
      </c>
      <c r="CY534" s="423" t="str">
        <f>IF(CU534="","",VLOOKUP(CU534,games.a,6,FALSE))</f>
        <v/>
      </c>
      <c r="CZ534" s="409" t="str">
        <f>IF(CU534="","",VLOOKUP(CU534,games.a,7,FALSE))</f>
        <v/>
      </c>
      <c r="DA534" s="523" t="str">
        <f t="shared" si="390"/>
        <v/>
      </c>
      <c r="DB534" s="302"/>
      <c r="DC534" s="364"/>
      <c r="DD534" s="445"/>
      <c r="DF534" s="424"/>
      <c r="DG534" s="424"/>
      <c r="DH534" s="424"/>
      <c r="DI534" s="424"/>
      <c r="DJ534" s="424"/>
      <c r="DK534" s="424"/>
      <c r="DL534" s="424"/>
      <c r="DM534" s="424"/>
      <c r="DN534" s="424"/>
      <c r="DO534" s="424"/>
      <c r="DP534" s="424"/>
      <c r="DQ534" s="424"/>
      <c r="DR534" s="424"/>
      <c r="DS534" s="424"/>
      <c r="DT534" s="424"/>
      <c r="DU534" s="424"/>
      <c r="DV534" s="424"/>
      <c r="DW534" s="424"/>
      <c r="DX534" s="424"/>
      <c r="DY534" s="424"/>
      <c r="DZ534" s="424"/>
      <c r="EA534" s="424"/>
      <c r="EB534" s="424"/>
      <c r="EC534" s="404" t="str">
        <f ca="1">IF(EI504="","",VLOOKUP(EI504,yyy.rv3,7,FALSE))</f>
        <v/>
      </c>
      <c r="ED534" s="371" t="str">
        <f ca="1">IF(OR(EC534="",EJ534="",EC534=EJ534,ISNA(VLOOKUP(CONCATENATE(EC534,EJ534),games.r,2,FALSE))),"",CONCATENATE(EC534,EJ534))</f>
        <v/>
      </c>
      <c r="EE534" s="371" t="str">
        <f ca="1">IF(ED534="","",CONCATENATE(VLOOKUP(ED534,games.r,9,FALSE),VLOOKUP(ED534,games.r,12,FALSE)))</f>
        <v/>
      </c>
      <c r="EF534" s="413"/>
      <c r="EG534" s="414"/>
      <c r="EH534" s="408" t="str">
        <f ca="1">IF(ED534="","",VLOOKUP(ED534,games.r,6,FALSE))</f>
        <v/>
      </c>
      <c r="EI534" s="409" t="str">
        <f ca="1">IF(ED534="","",VLOOKUP(ED534,games.r,7,FALSE))</f>
        <v/>
      </c>
      <c r="EJ534" s="415" t="str">
        <f ca="1">EJ533</f>
        <v/>
      </c>
      <c r="EK534" s="416"/>
      <c r="EL534" s="417"/>
      <c r="EO534" s="425"/>
    </row>
    <row r="535" spans="98:145" x14ac:dyDescent="0.25">
      <c r="CT535" s="301"/>
      <c r="CU535" s="458" t="s">
        <v>157</v>
      </c>
      <c r="CV535" s="458" t="s">
        <v>158</v>
      </c>
      <c r="CW535" s="459" t="s">
        <v>159</v>
      </c>
      <c r="CX535" s="459"/>
      <c r="CY535" s="460" t="s">
        <v>160</v>
      </c>
      <c r="CZ535" s="459" t="s">
        <v>135</v>
      </c>
      <c r="DA535" s="302"/>
      <c r="DB535" s="302"/>
      <c r="DC535" s="364"/>
      <c r="DD535" s="445"/>
      <c r="DF535" s="424"/>
      <c r="DG535" s="424"/>
      <c r="DH535" s="424"/>
      <c r="DI535" s="424"/>
      <c r="DJ535" s="424"/>
      <c r="DK535" s="424"/>
      <c r="DL535" s="424"/>
      <c r="DM535" s="424"/>
      <c r="DN535" s="424"/>
      <c r="DO535" s="424"/>
      <c r="DP535" s="424"/>
      <c r="DQ535" s="424"/>
      <c r="DR535" s="424"/>
      <c r="DS535" s="424"/>
      <c r="DT535" s="424"/>
      <c r="DU535" s="424"/>
      <c r="DV535" s="424"/>
      <c r="DW535" s="424"/>
      <c r="DX535" s="424"/>
      <c r="DY535" s="424"/>
      <c r="DZ535" s="424"/>
      <c r="EA535" s="424"/>
      <c r="EB535" s="424"/>
      <c r="EC535" s="404" t="str">
        <f>IF(NOT($AD$112),"",EC533)</f>
        <v/>
      </c>
      <c r="ED535" s="360" t="str">
        <f ca="1">IF(OR(EC535="",EJ535="",EC535=EJ535,ISNA(VLOOKUP(CONCATENATE(EC535,EJ535),games.a,2,FALSE))),"",CONCATENATE(EC535,EJ535))</f>
        <v/>
      </c>
      <c r="EE535" s="360" t="str">
        <f ca="1">IF(ED535="","",CONCATENATE(VLOOKUP(ED535,games.a,9,FALSE),VLOOKUP(ED535,games.a,12,FALSE)))</f>
        <v/>
      </c>
      <c r="EF535" s="413"/>
      <c r="EG535" s="414"/>
      <c r="EH535" s="525" t="str">
        <f ca="1">IF(ED535="","",VLOOKUP(ED535,games.a,6,FALSE))</f>
        <v/>
      </c>
      <c r="EI535" s="362" t="str">
        <f ca="1">IF(ED535="","",VLOOKUP(ED535,games.a,7,FALSE))</f>
        <v/>
      </c>
      <c r="EJ535" s="526" t="str">
        <f ca="1">EJ534</f>
        <v/>
      </c>
      <c r="EK535" s="527"/>
      <c r="EL535" s="528"/>
      <c r="EO535" s="425"/>
    </row>
    <row r="536" spans="98:145" x14ac:dyDescent="0.25">
      <c r="CT536" s="395" t="str">
        <f t="shared" ref="CT536:CT545" si="391">CT525</f>
        <v/>
      </c>
      <c r="CU536" s="465" t="str">
        <f ca="1">IF(OR(CT536="",DA536="",CT536=DA536,COUNTIF(games.rv,CT536&amp;DA536)=0),"",CONCATENATE(CT536,DA536))</f>
        <v/>
      </c>
      <c r="CV536" s="360" t="str">
        <f ca="1">IF(CU536="","",CONCATENATE(VLOOKUP(CU536,games.r,9,FALSE),VLOOKUP(CU536,games.r,12,FALSE)))</f>
        <v/>
      </c>
      <c r="CW536" s="354" t="str">
        <f ca="1">IF(CU536="","",VLOOKUP(CU536,games.r,10,FALSE))</f>
        <v/>
      </c>
      <c r="CX536" s="354" t="str">
        <f ca="1">IF(CU536="","",VLOOKUP(CU536,games.r,13,FALSE))</f>
        <v/>
      </c>
      <c r="CY536" s="361" t="str">
        <f ca="1">IF(CU536="","",VLOOKUP(CU536,games.r,6,FALSE))</f>
        <v/>
      </c>
      <c r="CZ536" s="362" t="str">
        <f ca="1">IF(CU536="","",VLOOKUP(CU536,games.r,7,FALSE))</f>
        <v/>
      </c>
      <c r="DA536" s="466" t="str">
        <f>CT506</f>
        <v/>
      </c>
      <c r="DB536" s="302"/>
      <c r="DC536" s="364"/>
      <c r="DD536" s="445"/>
      <c r="DF536" s="424"/>
      <c r="DG536" s="424"/>
      <c r="DH536" s="424"/>
      <c r="DI536" s="424"/>
      <c r="DJ536" s="424"/>
      <c r="DK536" s="424"/>
      <c r="DL536" s="424"/>
      <c r="DM536" s="424"/>
      <c r="DN536" s="424"/>
      <c r="DO536" s="424"/>
      <c r="DP536" s="424"/>
      <c r="DQ536" s="424"/>
      <c r="DR536" s="424"/>
      <c r="DS536" s="424"/>
      <c r="DT536" s="424"/>
      <c r="DU536" s="424"/>
      <c r="DV536" s="424"/>
      <c r="DW536" s="424"/>
      <c r="DX536" s="424"/>
      <c r="DY536" s="424"/>
      <c r="DZ536" s="424"/>
      <c r="EA536" s="424"/>
      <c r="EB536" s="424"/>
      <c r="EC536" s="404" t="str">
        <f>IF(NOT($AD$112),"",EC534)</f>
        <v/>
      </c>
      <c r="ED536" s="360" t="str">
        <f ca="1">IF(OR(EC536="",EJ536="",EC536=EJ536,ISNA(VLOOKUP(CONCATENATE(EC536,EJ536),games.a,2,FALSE))),"",CONCATENATE(EC536,EJ536))</f>
        <v/>
      </c>
      <c r="EE536" s="360" t="str">
        <f ca="1">IF(ED536="","",CONCATENATE(VLOOKUP(ED536,games.a,9,FALSE),VLOOKUP(ED536,games.a,12,FALSE)))</f>
        <v/>
      </c>
      <c r="EF536" s="413"/>
      <c r="EG536" s="414"/>
      <c r="EH536" s="525" t="str">
        <f ca="1">IF(ED536="","",VLOOKUP(ED536,games.a,6,FALSE))</f>
        <v/>
      </c>
      <c r="EI536" s="362" t="str">
        <f ca="1">IF(ED536="","",VLOOKUP(ED536,games.a,7,FALSE))</f>
        <v/>
      </c>
      <c r="EJ536" s="526" t="str">
        <f ca="1">EJ535</f>
        <v/>
      </c>
      <c r="EK536" s="527"/>
      <c r="EL536" s="528"/>
      <c r="EO536" s="425"/>
    </row>
    <row r="537" spans="98:145" x14ac:dyDescent="0.25">
      <c r="CT537" s="395" t="str">
        <f t="shared" si="391"/>
        <v/>
      </c>
      <c r="CU537" s="465" t="str">
        <f ca="1">IF(OR(CT537="",DA537="",CT537=DA537,COUNTIF(games.rv,CT537&amp;DA537)=0),"",CONCATENATE(CT537,DA537))</f>
        <v/>
      </c>
      <c r="CV537" s="360" t="str">
        <f ca="1">IF(CU537="","",CONCATENATE(VLOOKUP(CU537,games.r,9,FALSE),VLOOKUP(CU537,games.r,12,FALSE)))</f>
        <v/>
      </c>
      <c r="CW537" s="354" t="str">
        <f ca="1">IF(CU537="","",VLOOKUP(CU537,games.r,10,FALSE))</f>
        <v/>
      </c>
      <c r="CX537" s="354" t="str">
        <f ca="1">IF(CU537="","",VLOOKUP(CU537,games.r,13,FALSE))</f>
        <v/>
      </c>
      <c r="CY537" s="361" t="str">
        <f ca="1">IF(CU537="","",VLOOKUP(CU537,games.r,6,FALSE))</f>
        <v/>
      </c>
      <c r="CZ537" s="362" t="str">
        <f ca="1">IF(CU537="","",VLOOKUP(CU537,games.r,7,FALSE))</f>
        <v/>
      </c>
      <c r="DA537" s="379" t="str">
        <f t="shared" ref="DA537:DA545" si="392">DA536</f>
        <v/>
      </c>
      <c r="DB537" s="302"/>
      <c r="DC537" s="364"/>
      <c r="DD537" s="445"/>
      <c r="DF537" s="424"/>
      <c r="DG537" s="424"/>
      <c r="DH537" s="424"/>
      <c r="DI537" s="424"/>
      <c r="DJ537" s="424"/>
      <c r="DK537" s="424"/>
      <c r="DL537" s="424"/>
      <c r="DM537" s="424"/>
      <c r="DN537" s="424"/>
      <c r="DO537" s="424"/>
      <c r="DP537" s="424"/>
      <c r="DQ537" s="424"/>
      <c r="DR537" s="424"/>
      <c r="DS537" s="424"/>
      <c r="DT537" s="424"/>
      <c r="DU537" s="424"/>
      <c r="DV537" s="424"/>
      <c r="DW537" s="424"/>
      <c r="DX537" s="424"/>
      <c r="DY537" s="424"/>
      <c r="DZ537" s="424"/>
      <c r="EA537" s="424"/>
      <c r="EB537" s="424"/>
      <c r="EC537" s="404"/>
      <c r="ED537" s="329" t="s">
        <v>157</v>
      </c>
      <c r="EE537" s="329" t="s">
        <v>158</v>
      </c>
      <c r="EF537" s="399"/>
      <c r="EG537" s="400"/>
      <c r="EH537" s="401" t="s">
        <v>160</v>
      </c>
      <c r="EI537" s="402" t="s">
        <v>135</v>
      </c>
      <c r="EJ537" s="398"/>
      <c r="EK537" s="365"/>
      <c r="EL537" s="365"/>
      <c r="EO537" s="425"/>
    </row>
    <row r="538" spans="98:145" x14ac:dyDescent="0.25">
      <c r="CT538" s="395" t="str">
        <f t="shared" si="391"/>
        <v/>
      </c>
      <c r="CU538" s="465" t="str">
        <f ca="1">IF(OR(CT538="",DA538="",CT538=DA538,COUNTIF(games.rv,CT538&amp;DA538)=0),"",CONCATENATE(CT538,DA538))</f>
        <v/>
      </c>
      <c r="CV538" s="360" t="str">
        <f ca="1">IF(CU538="","",CONCATENATE(VLOOKUP(CU538,games.r,9,FALSE),VLOOKUP(CU538,games.r,12,FALSE)))</f>
        <v/>
      </c>
      <c r="CW538" s="354" t="str">
        <f ca="1">IF(CU538="","",VLOOKUP(CU538,games.r,10,FALSE))</f>
        <v/>
      </c>
      <c r="CX538" s="354" t="str">
        <f ca="1">IF(CU538="","",VLOOKUP(CU538,games.r,13,FALSE))</f>
        <v/>
      </c>
      <c r="CY538" s="361" t="str">
        <f ca="1">IF(CU538="","",VLOOKUP(CU538,games.r,6,FALSE))</f>
        <v/>
      </c>
      <c r="CZ538" s="362" t="str">
        <f ca="1">IF(CU538="","",VLOOKUP(CU538,games.r,7,FALSE))</f>
        <v/>
      </c>
      <c r="DA538" s="379" t="str">
        <f t="shared" si="392"/>
        <v/>
      </c>
      <c r="DB538" s="302"/>
      <c r="DC538" s="364"/>
      <c r="DD538" s="445"/>
      <c r="DF538" s="424"/>
      <c r="DG538" s="424"/>
      <c r="DH538" s="424"/>
      <c r="DI538" s="424"/>
      <c r="DJ538" s="424"/>
      <c r="DK538" s="424"/>
      <c r="DL538" s="424"/>
      <c r="DM538" s="424"/>
      <c r="DN538" s="424"/>
      <c r="DO538" s="424"/>
      <c r="DP538" s="424"/>
      <c r="DQ538" s="424"/>
      <c r="DR538" s="424"/>
      <c r="DS538" s="424"/>
      <c r="DT538" s="424"/>
      <c r="DU538" s="424"/>
      <c r="DV538" s="424"/>
      <c r="DW538" s="424"/>
      <c r="DX538" s="424"/>
      <c r="DY538" s="424"/>
      <c r="DZ538" s="424"/>
      <c r="EA538" s="424"/>
      <c r="EB538" s="424"/>
      <c r="EC538" s="404" t="str">
        <f ca="1">EC533</f>
        <v/>
      </c>
      <c r="ED538" s="371" t="str">
        <f ca="1">IF(OR(EC538="",EJ538="",EC538=EJ538,ISNA(VLOOKUP(CONCATENATE(EC538,EJ538),games.r,2,FALSE))),"",CONCATENATE(EC538,EJ538))</f>
        <v/>
      </c>
      <c r="EE538" s="371" t="str">
        <f ca="1">IF(ED538="","",CONCATENATE(VLOOKUP(ED538,games.r,9,FALSE),VLOOKUP(ED538,games.r,12,FALSE)))</f>
        <v/>
      </c>
      <c r="EF538" s="406"/>
      <c r="EG538" s="407"/>
      <c r="EH538" s="408" t="str">
        <f ca="1">IF(ED538="","",VLOOKUP(ED538,games.r,6,FALSE))</f>
        <v/>
      </c>
      <c r="EI538" s="409" t="str">
        <f ca="1">IF(ED538="","",VLOOKUP(ED538,games.r,7,FALSE))</f>
        <v/>
      </c>
      <c r="EJ538" s="410" t="str">
        <f ca="1">EC534</f>
        <v/>
      </c>
      <c r="EK538" s="411"/>
      <c r="EL538" s="412"/>
      <c r="EO538" s="425"/>
    </row>
    <row r="539" spans="98:145" x14ac:dyDescent="0.25">
      <c r="CT539" s="395" t="str">
        <f t="shared" si="391"/>
        <v/>
      </c>
      <c r="CU539" s="465" t="str">
        <f ca="1">IF(OR(CT539="",DA539="",CT539=DA539,COUNTIF(games.rv,CT539&amp;DA539)=0),"",CONCATENATE(CT539,DA539))</f>
        <v/>
      </c>
      <c r="CV539" s="360" t="str">
        <f ca="1">IF(CU539="","",CONCATENATE(VLOOKUP(CU539,games.r,9,FALSE),VLOOKUP(CU539,games.r,12,FALSE)))</f>
        <v/>
      </c>
      <c r="CW539" s="354" t="str">
        <f ca="1">IF(CU539="","",VLOOKUP(CU539,games.r,10,FALSE))</f>
        <v/>
      </c>
      <c r="CX539" s="354" t="str">
        <f ca="1">IF(CU539="","",VLOOKUP(CU539,games.r,13,FALSE))</f>
        <v/>
      </c>
      <c r="CY539" s="361" t="str">
        <f ca="1">IF(CU539="","",VLOOKUP(CU539,games.r,6,FALSE))</f>
        <v/>
      </c>
      <c r="CZ539" s="362" t="str">
        <f ca="1">IF(CU539="","",VLOOKUP(CU539,games.r,7,FALSE))</f>
        <v/>
      </c>
      <c r="DA539" s="379" t="str">
        <f t="shared" si="392"/>
        <v/>
      </c>
      <c r="DB539" s="302"/>
      <c r="DC539" s="364"/>
      <c r="DD539" s="445"/>
      <c r="DF539" s="424"/>
      <c r="DG539" s="424"/>
      <c r="DH539" s="424"/>
      <c r="DI539" s="424"/>
      <c r="DJ539" s="424"/>
      <c r="DK539" s="424"/>
      <c r="DL539" s="424"/>
      <c r="DM539" s="424"/>
      <c r="DN539" s="424"/>
      <c r="DO539" s="424"/>
      <c r="DP539" s="424"/>
      <c r="DQ539" s="424"/>
      <c r="DR539" s="424"/>
      <c r="DS539" s="424"/>
      <c r="DT539" s="424"/>
      <c r="DU539" s="424"/>
      <c r="DV539" s="424"/>
      <c r="DW539" s="424"/>
      <c r="DX539" s="424"/>
      <c r="DY539" s="424"/>
      <c r="DZ539" s="424"/>
      <c r="EA539" s="424"/>
      <c r="EB539" s="424"/>
      <c r="EC539" s="404" t="str">
        <f ca="1">EC534</f>
        <v/>
      </c>
      <c r="ED539" s="371" t="str">
        <f ca="1">IF(OR(EC539="",EJ539="",EC539=EJ539,ISNA(VLOOKUP(CONCATENATE(EC539,EJ539),games.r,2,FALSE))),"",CONCATENATE(EC539,EJ539))</f>
        <v/>
      </c>
      <c r="EE539" s="371" t="str">
        <f ca="1">IF(ED539="","",CONCATENATE(VLOOKUP(ED539,games.r,9,FALSE),VLOOKUP(ED539,games.r,12,FALSE)))</f>
        <v/>
      </c>
      <c r="EF539" s="413"/>
      <c r="EG539" s="414"/>
      <c r="EH539" s="408" t="str">
        <f ca="1">IF(ED539="","",VLOOKUP(ED539,games.r,6,FALSE))</f>
        <v/>
      </c>
      <c r="EI539" s="409" t="str">
        <f ca="1">IF(ED539="","",VLOOKUP(ED539,games.r,7,FALSE))</f>
        <v/>
      </c>
      <c r="EJ539" s="415" t="str">
        <f ca="1">EJ538</f>
        <v/>
      </c>
      <c r="EK539" s="416"/>
      <c r="EL539" s="417"/>
      <c r="EO539" s="425"/>
    </row>
    <row r="540" spans="98:145" x14ac:dyDescent="0.25">
      <c r="CT540" s="395" t="str">
        <f t="shared" si="391"/>
        <v/>
      </c>
      <c r="CU540" s="465" t="str">
        <f ca="1">IF(OR(CT540="",DA540="",CT540=DA540,COUNTIF(games.rv,CT540&amp;DA540)=0),"",CONCATENATE(CT540,DA540))</f>
        <v/>
      </c>
      <c r="CV540" s="360" t="str">
        <f ca="1">IF(CU540="","",CONCATENATE(VLOOKUP(CU540,games.r,9,FALSE),VLOOKUP(CU540,games.r,12,FALSE)))</f>
        <v/>
      </c>
      <c r="CW540" s="354" t="str">
        <f ca="1">IF(CU540="","",VLOOKUP(CU540,games.r,10,FALSE))</f>
        <v/>
      </c>
      <c r="CX540" s="354" t="str">
        <f ca="1">IF(CU540="","",VLOOKUP(CU540,games.r,13,FALSE))</f>
        <v/>
      </c>
      <c r="CY540" s="361" t="str">
        <f ca="1">IF(CU540="","",VLOOKUP(CU540,games.r,6,FALSE))</f>
        <v/>
      </c>
      <c r="CZ540" s="362" t="str">
        <f ca="1">IF(CU540="","",VLOOKUP(CU540,games.r,7,FALSE))</f>
        <v/>
      </c>
      <c r="DA540" s="379" t="str">
        <f t="shared" si="392"/>
        <v/>
      </c>
      <c r="DB540" s="302"/>
      <c r="DC540" s="364"/>
      <c r="DD540" s="445"/>
      <c r="DF540" s="424"/>
      <c r="DG540" s="424"/>
      <c r="DH540" s="424"/>
      <c r="DI540" s="424"/>
      <c r="DJ540" s="424"/>
      <c r="DK540" s="424"/>
      <c r="DL540" s="424"/>
      <c r="DM540" s="424"/>
      <c r="DN540" s="424"/>
      <c r="DO540" s="424"/>
      <c r="DP540" s="424"/>
      <c r="DQ540" s="424"/>
      <c r="DR540" s="424"/>
      <c r="DS540" s="424"/>
      <c r="DT540" s="424"/>
      <c r="DU540" s="424"/>
      <c r="DV540" s="424"/>
      <c r="DW540" s="424"/>
      <c r="DX540" s="424"/>
      <c r="DY540" s="424"/>
      <c r="DZ540" s="424"/>
      <c r="EA540" s="424"/>
      <c r="EB540" s="424"/>
      <c r="EC540" s="404" t="str">
        <f>EC535</f>
        <v/>
      </c>
      <c r="ED540" s="360" t="str">
        <f ca="1">IF(OR(EC540="",EJ540="",EC540=EJ540,ISNA(VLOOKUP(CONCATENATE(EC540,EJ540),games.a,2,FALSE))),"",CONCATENATE(EC540,EJ540))</f>
        <v/>
      </c>
      <c r="EE540" s="360" t="str">
        <f ca="1">IF(ED540="","",CONCATENATE(VLOOKUP(ED540,games.a,9,FALSE),VLOOKUP(ED540,games.a,12,FALSE)))</f>
        <v/>
      </c>
      <c r="EF540" s="413"/>
      <c r="EG540" s="414"/>
      <c r="EH540" s="525" t="str">
        <f ca="1">IF(ED540="","",VLOOKUP(ED540,games.a,6,FALSE))</f>
        <v/>
      </c>
      <c r="EI540" s="362" t="str">
        <f ca="1">IF(ED540="","",VLOOKUP(ED540,games.a,7,FALSE))</f>
        <v/>
      </c>
      <c r="EJ540" s="526" t="str">
        <f ca="1">EJ539</f>
        <v/>
      </c>
      <c r="EK540" s="527"/>
      <c r="EL540" s="528"/>
      <c r="EO540" s="425"/>
    </row>
    <row r="541" spans="98:145" x14ac:dyDescent="0.25">
      <c r="CT541" s="522" t="str">
        <f t="shared" si="391"/>
        <v/>
      </c>
      <c r="CU541" s="371" t="str">
        <f>IF(OR(CT541="",DA541="",CT541=DA541,ISNA(VLOOKUP(CONCATENATE(CT541,DA541),games.a,2,FALSE))),"",CONCATENATE(CT541,DA541))</f>
        <v/>
      </c>
      <c r="CV541" s="371" t="str">
        <f>IF(CU541="","",CONCATENATE(VLOOKUP(CU541,games.a,9,FALSE),VLOOKUP(CU541,games.a,12,FALSE)))</f>
        <v/>
      </c>
      <c r="CW541" s="369" t="str">
        <f>IF(CU541="","",VLOOKUP(CU541,games.a,10,FALSE))</f>
        <v/>
      </c>
      <c r="CX541" s="369" t="str">
        <f>IF(CU541="","",VLOOKUP(CU541,games.a,13,FALSE))</f>
        <v/>
      </c>
      <c r="CY541" s="423" t="str">
        <f>IF(CU541="","",VLOOKUP(CU541,games.a,6,FALSE))</f>
        <v/>
      </c>
      <c r="CZ541" s="409" t="str">
        <f>IF(CU541="","",VLOOKUP(CU541,games.a,7,FALSE))</f>
        <v/>
      </c>
      <c r="DA541" s="523" t="str">
        <f t="shared" si="392"/>
        <v/>
      </c>
      <c r="DB541" s="302"/>
      <c r="DC541" s="364"/>
      <c r="DD541" s="445"/>
      <c r="DF541" s="424"/>
      <c r="DG541" s="424"/>
      <c r="DH541" s="424"/>
      <c r="DI541" s="424"/>
      <c r="DJ541" s="424"/>
      <c r="DK541" s="424"/>
      <c r="DL541" s="424"/>
      <c r="DM541" s="424"/>
      <c r="DN541" s="424"/>
      <c r="DO541" s="424"/>
      <c r="DP541" s="424"/>
      <c r="DQ541" s="424"/>
      <c r="DR541" s="424"/>
      <c r="DS541" s="424"/>
      <c r="DT541" s="424"/>
      <c r="DU541" s="424"/>
      <c r="DV541" s="424"/>
      <c r="DW541" s="424"/>
      <c r="DX541" s="424"/>
      <c r="DY541" s="424"/>
      <c r="DZ541" s="424"/>
      <c r="EA541" s="424"/>
      <c r="EB541" s="424"/>
      <c r="EC541" s="404" t="str">
        <f>EC536</f>
        <v/>
      </c>
      <c r="ED541" s="360" t="str">
        <f ca="1">IF(OR(EC541="",EJ541="",EC541=EJ541,ISNA(VLOOKUP(CONCATENATE(EC541,EJ541),games.a,2,FALSE))),"",CONCATENATE(EC541,EJ541))</f>
        <v/>
      </c>
      <c r="EE541" s="360" t="str">
        <f ca="1">IF(ED541="","",CONCATENATE(VLOOKUP(ED541,games.a,9,FALSE),VLOOKUP(ED541,games.a,12,FALSE)))</f>
        <v/>
      </c>
      <c r="EF541" s="420"/>
      <c r="EG541" s="421"/>
      <c r="EH541" s="525" t="str">
        <f ca="1">IF(ED541="","",VLOOKUP(ED541,games.a,6,FALSE))</f>
        <v/>
      </c>
      <c r="EI541" s="362" t="str">
        <f ca="1">IF(ED541="","",VLOOKUP(ED541,games.a,7,FALSE))</f>
        <v/>
      </c>
      <c r="EJ541" s="526" t="str">
        <f ca="1">EJ540</f>
        <v/>
      </c>
      <c r="EK541" s="527"/>
      <c r="EL541" s="528"/>
      <c r="EO541" s="425"/>
    </row>
    <row r="542" spans="98:145" x14ac:dyDescent="0.25">
      <c r="CT542" s="522" t="str">
        <f t="shared" si="391"/>
        <v/>
      </c>
      <c r="CU542" s="371" t="str">
        <f>IF(OR(CT542="",DA542="",CT542=DA542,ISNA(VLOOKUP(CONCATENATE(CT542,DA542),games.a,2,FALSE))),"",CONCATENATE(CT542,DA542))</f>
        <v/>
      </c>
      <c r="CV542" s="371" t="str">
        <f>IF(CU542="","",CONCATENATE(VLOOKUP(CU542,games.a,9,FALSE),VLOOKUP(CU542,games.a,12,FALSE)))</f>
        <v/>
      </c>
      <c r="CW542" s="369" t="str">
        <f>IF(CU542="","",VLOOKUP(CU542,games.a,10,FALSE))</f>
        <v/>
      </c>
      <c r="CX542" s="369" t="str">
        <f>IF(CU542="","",VLOOKUP(CU542,games.a,13,FALSE))</f>
        <v/>
      </c>
      <c r="CY542" s="423" t="str">
        <f>IF(CU542="","",VLOOKUP(CU542,games.a,6,FALSE))</f>
        <v/>
      </c>
      <c r="CZ542" s="409" t="str">
        <f>IF(CU542="","",VLOOKUP(CU542,games.a,7,FALSE))</f>
        <v/>
      </c>
      <c r="DA542" s="523" t="str">
        <f t="shared" si="392"/>
        <v/>
      </c>
      <c r="DB542" s="302"/>
      <c r="DC542" s="364"/>
      <c r="DD542" s="445"/>
      <c r="DF542" s="424"/>
      <c r="DW542" s="424"/>
      <c r="DX542" s="424"/>
      <c r="DY542" s="424"/>
      <c r="DZ542" s="424"/>
      <c r="EA542" s="424"/>
      <c r="EB542" s="424"/>
      <c r="EO542" s="425"/>
    </row>
    <row r="543" spans="98:145" x14ac:dyDescent="0.25">
      <c r="CT543" s="522" t="str">
        <f t="shared" si="391"/>
        <v/>
      </c>
      <c r="CU543" s="371" t="str">
        <f>IF(OR(CT543="",DA543="",CT543=DA543,ISNA(VLOOKUP(CONCATENATE(CT543,DA543),games.a,2,FALSE))),"",CONCATENATE(CT543,DA543))</f>
        <v/>
      </c>
      <c r="CV543" s="371" t="str">
        <f>IF(CU543="","",CONCATENATE(VLOOKUP(CU543,games.a,9,FALSE),VLOOKUP(CU543,games.a,12,FALSE)))</f>
        <v/>
      </c>
      <c r="CW543" s="369" t="str">
        <f>IF(CU543="","",VLOOKUP(CU543,games.a,10,FALSE))</f>
        <v/>
      </c>
      <c r="CX543" s="369" t="str">
        <f>IF(CU543="","",VLOOKUP(CU543,games.a,13,FALSE))</f>
        <v/>
      </c>
      <c r="CY543" s="423" t="str">
        <f>IF(CU543="","",VLOOKUP(CU543,games.a,6,FALSE))</f>
        <v/>
      </c>
      <c r="CZ543" s="409" t="str">
        <f>IF(CU543="","",VLOOKUP(CU543,games.a,7,FALSE))</f>
        <v/>
      </c>
      <c r="DA543" s="523" t="str">
        <f t="shared" si="392"/>
        <v/>
      </c>
      <c r="DB543" s="302"/>
      <c r="DC543" s="364"/>
      <c r="DD543" s="445"/>
      <c r="DF543" s="424"/>
      <c r="DW543" s="424"/>
      <c r="DX543" s="424"/>
      <c r="DY543" s="424"/>
      <c r="DZ543" s="424"/>
      <c r="EA543" s="424"/>
      <c r="EB543" s="424"/>
      <c r="EO543" s="425"/>
    </row>
    <row r="544" spans="98:145" x14ac:dyDescent="0.25">
      <c r="CT544" s="522" t="str">
        <f t="shared" si="391"/>
        <v/>
      </c>
      <c r="CU544" s="371" t="str">
        <f>IF(OR(CT544="",DA544="",CT544=DA544,ISNA(VLOOKUP(CONCATENATE(CT544,DA544),games.a,2,FALSE))),"",CONCATENATE(CT544,DA544))</f>
        <v/>
      </c>
      <c r="CV544" s="371" t="str">
        <f>IF(CU544="","",CONCATENATE(VLOOKUP(CU544,games.a,9,FALSE),VLOOKUP(CU544,games.a,12,FALSE)))</f>
        <v/>
      </c>
      <c r="CW544" s="369" t="str">
        <f>IF(CU544="","",VLOOKUP(CU544,games.a,10,FALSE))</f>
        <v/>
      </c>
      <c r="CX544" s="369" t="str">
        <f>IF(CU544="","",VLOOKUP(CU544,games.a,13,FALSE))</f>
        <v/>
      </c>
      <c r="CY544" s="423" t="str">
        <f>IF(CU544="","",VLOOKUP(CU544,games.a,6,FALSE))</f>
        <v/>
      </c>
      <c r="CZ544" s="409" t="str">
        <f>IF(CU544="","",VLOOKUP(CU544,games.a,7,FALSE))</f>
        <v/>
      </c>
      <c r="DA544" s="523" t="str">
        <f t="shared" si="392"/>
        <v/>
      </c>
      <c r="DB544" s="302"/>
      <c r="DC544" s="364"/>
      <c r="DD544" s="445"/>
      <c r="DF544" s="424"/>
      <c r="DW544" s="424"/>
      <c r="DX544" s="424"/>
      <c r="DY544" s="424"/>
      <c r="DZ544" s="424"/>
      <c r="EA544" s="424"/>
      <c r="EB544" s="424"/>
      <c r="EO544" s="425"/>
    </row>
    <row r="545" spans="98:145" x14ac:dyDescent="0.25">
      <c r="CT545" s="522" t="str">
        <f t="shared" si="391"/>
        <v/>
      </c>
      <c r="CU545" s="371" t="str">
        <f>IF(OR(CT545="",DA545="",CT545=DA545,ISNA(VLOOKUP(CONCATENATE(CT545,DA545),games.a,2,FALSE))),"",CONCATENATE(CT545,DA545))</f>
        <v/>
      </c>
      <c r="CV545" s="371" t="str">
        <f>IF(CU545="","",CONCATENATE(VLOOKUP(CU545,games.a,9,FALSE),VLOOKUP(CU545,games.a,12,FALSE)))</f>
        <v/>
      </c>
      <c r="CW545" s="369" t="str">
        <f>IF(CU545="","",VLOOKUP(CU545,games.a,10,FALSE))</f>
        <v/>
      </c>
      <c r="CX545" s="369" t="str">
        <f>IF(CU545="","",VLOOKUP(CU545,games.a,13,FALSE))</f>
        <v/>
      </c>
      <c r="CY545" s="423" t="str">
        <f>IF(CU545="","",VLOOKUP(CU545,games.a,6,FALSE))</f>
        <v/>
      </c>
      <c r="CZ545" s="409" t="str">
        <f>IF(CU545="","",VLOOKUP(CU545,games.a,7,FALSE))</f>
        <v/>
      </c>
      <c r="DA545" s="523" t="str">
        <f t="shared" si="392"/>
        <v/>
      </c>
      <c r="DB545" s="302"/>
      <c r="DC545" s="364"/>
      <c r="DD545" s="445"/>
      <c r="DF545" s="424"/>
      <c r="DW545" s="424"/>
      <c r="DX545" s="424"/>
      <c r="DY545" s="424"/>
      <c r="DZ545" s="424"/>
      <c r="EA545" s="424"/>
      <c r="EB545" s="424"/>
      <c r="EO545" s="425"/>
    </row>
    <row r="546" spans="98:145" x14ac:dyDescent="0.25">
      <c r="CT546" s="301"/>
      <c r="CU546" s="458" t="s">
        <v>157</v>
      </c>
      <c r="CV546" s="458" t="s">
        <v>158</v>
      </c>
      <c r="CW546" s="459" t="s">
        <v>159</v>
      </c>
      <c r="CX546" s="459"/>
      <c r="CY546" s="460" t="s">
        <v>160</v>
      </c>
      <c r="CZ546" s="459" t="s">
        <v>135</v>
      </c>
      <c r="DA546" s="302"/>
      <c r="DB546" s="302"/>
      <c r="DC546" s="364"/>
      <c r="DD546" s="445"/>
      <c r="DF546" s="424"/>
      <c r="DW546" s="424"/>
      <c r="DX546" s="424"/>
      <c r="DY546" s="424"/>
      <c r="DZ546" s="424"/>
      <c r="EA546" s="424"/>
      <c r="EB546" s="424"/>
      <c r="EO546" s="425"/>
    </row>
    <row r="547" spans="98:145" x14ac:dyDescent="0.25">
      <c r="CT547" s="395" t="str">
        <f t="shared" ref="CT547:CT556" si="393">CT536</f>
        <v/>
      </c>
      <c r="CU547" s="465" t="str">
        <f ca="1">IF(OR(CT547="",DA547="",CT547=DA547,COUNTIF(games.rv,CT547&amp;DA547)=0),"",CONCATENATE(CT547,DA547))</f>
        <v/>
      </c>
      <c r="CV547" s="360" t="str">
        <f ca="1">IF(CU547="","",CONCATENATE(VLOOKUP(CU547,games.r,9,FALSE),VLOOKUP(CU547,games.r,12,FALSE)))</f>
        <v/>
      </c>
      <c r="CW547" s="354" t="str">
        <f ca="1">IF(CU547="","",VLOOKUP(CU547,games.r,10,FALSE))</f>
        <v/>
      </c>
      <c r="CX547" s="354" t="str">
        <f ca="1">IF(CU547="","",VLOOKUP(CU547,games.r,13,FALSE))</f>
        <v/>
      </c>
      <c r="CY547" s="361" t="str">
        <f ca="1">IF(CU547="","",VLOOKUP(CU547,games.r,6,FALSE))</f>
        <v/>
      </c>
      <c r="CZ547" s="362" t="str">
        <f ca="1">IF(CU547="","",VLOOKUP(CU547,games.r,7,FALSE))</f>
        <v/>
      </c>
      <c r="DA547" s="466" t="str">
        <f>CT507</f>
        <v/>
      </c>
      <c r="DB547" s="302"/>
      <c r="DC547" s="364"/>
      <c r="DD547" s="445"/>
      <c r="DF547" s="424"/>
      <c r="DW547" s="424"/>
      <c r="DX547" s="424"/>
      <c r="DY547" s="424"/>
      <c r="DZ547" s="424"/>
      <c r="EA547" s="424"/>
      <c r="EB547" s="424"/>
      <c r="EO547" s="425"/>
    </row>
    <row r="548" spans="98:145" x14ac:dyDescent="0.25">
      <c r="CT548" s="395" t="str">
        <f t="shared" si="393"/>
        <v/>
      </c>
      <c r="CU548" s="465" t="str">
        <f ca="1">IF(OR(CT548="",DA548="",CT548=DA548,COUNTIF(games.rv,CT548&amp;DA548)=0),"",CONCATENATE(CT548,DA548))</f>
        <v/>
      </c>
      <c r="CV548" s="360" t="str">
        <f ca="1">IF(CU548="","",CONCATENATE(VLOOKUP(CU548,games.r,9,FALSE),VLOOKUP(CU548,games.r,12,FALSE)))</f>
        <v/>
      </c>
      <c r="CW548" s="354" t="str">
        <f ca="1">IF(CU548="","",VLOOKUP(CU548,games.r,10,FALSE))</f>
        <v/>
      </c>
      <c r="CX548" s="354" t="str">
        <f ca="1">IF(CU548="","",VLOOKUP(CU548,games.r,13,FALSE))</f>
        <v/>
      </c>
      <c r="CY548" s="361" t="str">
        <f ca="1">IF(CU548="","",VLOOKUP(CU548,games.r,6,FALSE))</f>
        <v/>
      </c>
      <c r="CZ548" s="362" t="str">
        <f ca="1">IF(CU548="","",VLOOKUP(CU548,games.r,7,FALSE))</f>
        <v/>
      </c>
      <c r="DA548" s="379" t="str">
        <f t="shared" ref="DA548:DA556" si="394">DA547</f>
        <v/>
      </c>
      <c r="DB548" s="302"/>
      <c r="DC548" s="364"/>
      <c r="DD548" s="445"/>
      <c r="DF548" s="424"/>
      <c r="DW548" s="424"/>
      <c r="DX548" s="424"/>
      <c r="DY548" s="424"/>
      <c r="DZ548" s="424"/>
      <c r="EA548" s="424"/>
      <c r="EB548" s="424"/>
      <c r="EO548" s="425"/>
    </row>
    <row r="549" spans="98:145" x14ac:dyDescent="0.25">
      <c r="CT549" s="395" t="str">
        <f t="shared" si="393"/>
        <v/>
      </c>
      <c r="CU549" s="465" t="str">
        <f ca="1">IF(OR(CT549="",DA549="",CT549=DA549,COUNTIF(games.rv,CT549&amp;DA549)=0),"",CONCATENATE(CT549,DA549))</f>
        <v/>
      </c>
      <c r="CV549" s="360" t="str">
        <f ca="1">IF(CU549="","",CONCATENATE(VLOOKUP(CU549,games.r,9,FALSE),VLOOKUP(CU549,games.r,12,FALSE)))</f>
        <v/>
      </c>
      <c r="CW549" s="354" t="str">
        <f ca="1">IF(CU549="","",VLOOKUP(CU549,games.r,10,FALSE))</f>
        <v/>
      </c>
      <c r="CX549" s="354" t="str">
        <f ca="1">IF(CU549="","",VLOOKUP(CU549,games.r,13,FALSE))</f>
        <v/>
      </c>
      <c r="CY549" s="361" t="str">
        <f ca="1">IF(CU549="","",VLOOKUP(CU549,games.r,6,FALSE))</f>
        <v/>
      </c>
      <c r="CZ549" s="362" t="str">
        <f ca="1">IF(CU549="","",VLOOKUP(CU549,games.r,7,FALSE))</f>
        <v/>
      </c>
      <c r="DA549" s="379" t="str">
        <f t="shared" si="394"/>
        <v/>
      </c>
      <c r="DB549" s="302"/>
      <c r="DC549" s="364"/>
      <c r="DD549" s="445"/>
      <c r="DF549" s="424"/>
      <c r="DW549" s="424"/>
      <c r="DX549" s="424"/>
      <c r="DY549" s="424"/>
      <c r="DZ549" s="424"/>
      <c r="EA549" s="424"/>
      <c r="EB549" s="424"/>
      <c r="EO549" s="425"/>
    </row>
    <row r="550" spans="98:145" x14ac:dyDescent="0.25">
      <c r="CT550" s="395" t="str">
        <f t="shared" si="393"/>
        <v/>
      </c>
      <c r="CU550" s="465" t="str">
        <f ca="1">IF(OR(CT550="",DA550="",CT550=DA550,COUNTIF(games.rv,CT550&amp;DA550)=0),"",CONCATENATE(CT550,DA550))</f>
        <v/>
      </c>
      <c r="CV550" s="360" t="str">
        <f ca="1">IF(CU550="","",CONCATENATE(VLOOKUP(CU550,games.r,9,FALSE),VLOOKUP(CU550,games.r,12,FALSE)))</f>
        <v/>
      </c>
      <c r="CW550" s="354" t="str">
        <f ca="1">IF(CU550="","",VLOOKUP(CU550,games.r,10,FALSE))</f>
        <v/>
      </c>
      <c r="CX550" s="354" t="str">
        <f ca="1">IF(CU550="","",VLOOKUP(CU550,games.r,13,FALSE))</f>
        <v/>
      </c>
      <c r="CY550" s="361" t="str">
        <f ca="1">IF(CU550="","",VLOOKUP(CU550,games.r,6,FALSE))</f>
        <v/>
      </c>
      <c r="CZ550" s="362" t="str">
        <f ca="1">IF(CU550="","",VLOOKUP(CU550,games.r,7,FALSE))</f>
        <v/>
      </c>
      <c r="DA550" s="379" t="str">
        <f t="shared" si="394"/>
        <v/>
      </c>
      <c r="DB550" s="302"/>
      <c r="DC550" s="364"/>
      <c r="DD550" s="445"/>
      <c r="DF550" s="424"/>
      <c r="DW550" s="424"/>
      <c r="DX550" s="424"/>
      <c r="DY550" s="424"/>
      <c r="DZ550" s="424"/>
      <c r="EA550" s="424"/>
      <c r="EB550" s="424"/>
      <c r="EO550" s="425"/>
    </row>
    <row r="551" spans="98:145" x14ac:dyDescent="0.25">
      <c r="CT551" s="395" t="str">
        <f t="shared" si="393"/>
        <v/>
      </c>
      <c r="CU551" s="465" t="str">
        <f ca="1">IF(OR(CT551="",DA551="",CT551=DA551,COUNTIF(games.rv,CT551&amp;DA551)=0),"",CONCATENATE(CT551,DA551))</f>
        <v/>
      </c>
      <c r="CV551" s="360" t="str">
        <f ca="1">IF(CU551="","",CONCATENATE(VLOOKUP(CU551,games.r,9,FALSE),VLOOKUP(CU551,games.r,12,FALSE)))</f>
        <v/>
      </c>
      <c r="CW551" s="354" t="str">
        <f ca="1">IF(CU551="","",VLOOKUP(CU551,games.r,10,FALSE))</f>
        <v/>
      </c>
      <c r="CX551" s="354" t="str">
        <f ca="1">IF(CU551="","",VLOOKUP(CU551,games.r,13,FALSE))</f>
        <v/>
      </c>
      <c r="CY551" s="361" t="str">
        <f ca="1">IF(CU551="","",VLOOKUP(CU551,games.r,6,FALSE))</f>
        <v/>
      </c>
      <c r="CZ551" s="362" t="str">
        <f ca="1">IF(CU551="","",VLOOKUP(CU551,games.r,7,FALSE))</f>
        <v/>
      </c>
      <c r="DA551" s="379" t="str">
        <f t="shared" si="394"/>
        <v/>
      </c>
      <c r="DB551" s="302"/>
      <c r="DC551" s="364"/>
      <c r="DD551" s="445"/>
      <c r="DF551" s="424"/>
      <c r="DW551" s="424"/>
      <c r="DX551" s="424"/>
      <c r="DY551" s="424"/>
      <c r="DZ551" s="424"/>
      <c r="EA551" s="424"/>
      <c r="EB551" s="424"/>
      <c r="EO551" s="425"/>
    </row>
    <row r="552" spans="98:145" x14ac:dyDescent="0.25">
      <c r="CT552" s="522" t="str">
        <f t="shared" si="393"/>
        <v/>
      </c>
      <c r="CU552" s="371" t="str">
        <f>IF(OR(CT552="",DA552="",CT552=DA552,ISNA(VLOOKUP(CONCATENATE(CT552,DA552),games.a,2,FALSE))),"",CONCATENATE(CT552,DA552))</f>
        <v/>
      </c>
      <c r="CV552" s="371" t="str">
        <f>IF(CU552="","",CONCATENATE(VLOOKUP(CU552,games.a,9,FALSE),VLOOKUP(CU552,games.a,12,FALSE)))</f>
        <v/>
      </c>
      <c r="CW552" s="369" t="str">
        <f>IF(CU552="","",VLOOKUP(CU552,games.a,10,FALSE))</f>
        <v/>
      </c>
      <c r="CX552" s="369" t="str">
        <f>IF(CU552="","",VLOOKUP(CU552,games.a,13,FALSE))</f>
        <v/>
      </c>
      <c r="CY552" s="423" t="str">
        <f>IF(CU552="","",VLOOKUP(CU552,games.a,6,FALSE))</f>
        <v/>
      </c>
      <c r="CZ552" s="409" t="str">
        <f>IF(CU552="","",VLOOKUP(CU552,games.a,7,FALSE))</f>
        <v/>
      </c>
      <c r="DA552" s="523" t="str">
        <f t="shared" si="394"/>
        <v/>
      </c>
      <c r="DB552" s="302"/>
      <c r="DC552" s="364"/>
      <c r="DD552" s="445"/>
      <c r="DF552" s="424"/>
      <c r="DW552" s="424"/>
      <c r="DX552" s="424"/>
      <c r="DY552" s="424"/>
      <c r="DZ552" s="424"/>
      <c r="EA552" s="424"/>
      <c r="EB552" s="424"/>
      <c r="EO552" s="425"/>
    </row>
    <row r="553" spans="98:145" x14ac:dyDescent="0.25">
      <c r="CT553" s="522" t="str">
        <f t="shared" si="393"/>
        <v/>
      </c>
      <c r="CU553" s="371" t="str">
        <f>IF(OR(CT553="",DA553="",CT553=DA553,ISNA(VLOOKUP(CONCATENATE(CT553,DA553),games.a,2,FALSE))),"",CONCATENATE(CT553,DA553))</f>
        <v/>
      </c>
      <c r="CV553" s="371" t="str">
        <f>IF(CU553="","",CONCATENATE(VLOOKUP(CU553,games.a,9,FALSE),VLOOKUP(CU553,games.a,12,FALSE)))</f>
        <v/>
      </c>
      <c r="CW553" s="369" t="str">
        <f>IF(CU553="","",VLOOKUP(CU553,games.a,10,FALSE))</f>
        <v/>
      </c>
      <c r="CX553" s="369" t="str">
        <f>IF(CU553="","",VLOOKUP(CU553,games.a,13,FALSE))</f>
        <v/>
      </c>
      <c r="CY553" s="423" t="str">
        <f>IF(CU553="","",VLOOKUP(CU553,games.a,6,FALSE))</f>
        <v/>
      </c>
      <c r="CZ553" s="409" t="str">
        <f>IF(CU553="","",VLOOKUP(CU553,games.a,7,FALSE))</f>
        <v/>
      </c>
      <c r="DA553" s="523" t="str">
        <f t="shared" si="394"/>
        <v/>
      </c>
      <c r="DB553" s="302"/>
      <c r="DC553" s="364"/>
      <c r="DD553" s="445"/>
      <c r="DF553" s="424"/>
      <c r="DW553" s="424"/>
      <c r="DX553" s="424"/>
      <c r="DY553" s="424"/>
      <c r="DZ553" s="424"/>
      <c r="EA553" s="424"/>
      <c r="EB553" s="424"/>
      <c r="EO553" s="425"/>
    </row>
    <row r="554" spans="98:145" x14ac:dyDescent="0.25">
      <c r="CT554" s="522" t="str">
        <f t="shared" si="393"/>
        <v/>
      </c>
      <c r="CU554" s="371" t="str">
        <f>IF(OR(CT554="",DA554="",CT554=DA554,ISNA(VLOOKUP(CONCATENATE(CT554,DA554),games.a,2,FALSE))),"",CONCATENATE(CT554,DA554))</f>
        <v/>
      </c>
      <c r="CV554" s="371" t="str">
        <f>IF(CU554="","",CONCATENATE(VLOOKUP(CU554,games.a,9,FALSE),VLOOKUP(CU554,games.a,12,FALSE)))</f>
        <v/>
      </c>
      <c r="CW554" s="369" t="str">
        <f>IF(CU554="","",VLOOKUP(CU554,games.a,10,FALSE))</f>
        <v/>
      </c>
      <c r="CX554" s="369" t="str">
        <f>IF(CU554="","",VLOOKUP(CU554,games.a,13,FALSE))</f>
        <v/>
      </c>
      <c r="CY554" s="423" t="str">
        <f>IF(CU554="","",VLOOKUP(CU554,games.a,6,FALSE))</f>
        <v/>
      </c>
      <c r="CZ554" s="409" t="str">
        <f>IF(CU554="","",VLOOKUP(CU554,games.a,7,FALSE))</f>
        <v/>
      </c>
      <c r="DA554" s="523" t="str">
        <f t="shared" si="394"/>
        <v/>
      </c>
      <c r="DB554" s="302"/>
      <c r="DC554" s="364"/>
      <c r="DD554" s="445"/>
      <c r="DF554" s="424"/>
      <c r="DW554" s="424"/>
      <c r="DX554" s="424"/>
      <c r="DY554" s="424"/>
      <c r="DZ554" s="424"/>
      <c r="EA554" s="424"/>
      <c r="EB554" s="424"/>
      <c r="EO554" s="425"/>
    </row>
    <row r="555" spans="98:145" x14ac:dyDescent="0.25">
      <c r="CT555" s="522" t="str">
        <f t="shared" si="393"/>
        <v/>
      </c>
      <c r="CU555" s="371" t="str">
        <f>IF(OR(CT555="",DA555="",CT555=DA555,ISNA(VLOOKUP(CONCATENATE(CT555,DA555),games.a,2,FALSE))),"",CONCATENATE(CT555,DA555))</f>
        <v/>
      </c>
      <c r="CV555" s="371" t="str">
        <f>IF(CU555="","",CONCATENATE(VLOOKUP(CU555,games.a,9,FALSE),VLOOKUP(CU555,games.a,12,FALSE)))</f>
        <v/>
      </c>
      <c r="CW555" s="369" t="str">
        <f>IF(CU555="","",VLOOKUP(CU555,games.a,10,FALSE))</f>
        <v/>
      </c>
      <c r="CX555" s="369" t="str">
        <f>IF(CU555="","",VLOOKUP(CU555,games.a,13,FALSE))</f>
        <v/>
      </c>
      <c r="CY555" s="423" t="str">
        <f>IF(CU555="","",VLOOKUP(CU555,games.a,6,FALSE))</f>
        <v/>
      </c>
      <c r="CZ555" s="409" t="str">
        <f>IF(CU555="","",VLOOKUP(CU555,games.a,7,FALSE))</f>
        <v/>
      </c>
      <c r="DA555" s="523" t="str">
        <f t="shared" si="394"/>
        <v/>
      </c>
      <c r="DB555" s="302"/>
      <c r="DC555" s="364"/>
      <c r="DD555" s="445"/>
      <c r="DF555" s="424"/>
      <c r="DW555" s="424"/>
      <c r="DX555" s="424"/>
      <c r="DY555" s="424"/>
      <c r="DZ555" s="424"/>
      <c r="EA555" s="424"/>
      <c r="EB555" s="424"/>
      <c r="EO555" s="425"/>
    </row>
    <row r="556" spans="98:145" x14ac:dyDescent="0.25">
      <c r="CT556" s="522" t="str">
        <f t="shared" si="393"/>
        <v/>
      </c>
      <c r="CU556" s="371" t="str">
        <f>IF(OR(CT556="",DA556="",CT556=DA556,ISNA(VLOOKUP(CONCATENATE(CT556,DA556),games.a,2,FALSE))),"",CONCATENATE(CT556,DA556))</f>
        <v/>
      </c>
      <c r="CV556" s="371" t="str">
        <f>IF(CU556="","",CONCATENATE(VLOOKUP(CU556,games.a,9,FALSE),VLOOKUP(CU556,games.a,12,FALSE)))</f>
        <v/>
      </c>
      <c r="CW556" s="369" t="str">
        <f>IF(CU556="","",VLOOKUP(CU556,games.a,10,FALSE))</f>
        <v/>
      </c>
      <c r="CX556" s="369" t="str">
        <f>IF(CU556="","",VLOOKUP(CU556,games.a,13,FALSE))</f>
        <v/>
      </c>
      <c r="CY556" s="423" t="str">
        <f>IF(CU556="","",VLOOKUP(CU556,games.a,6,FALSE))</f>
        <v/>
      </c>
      <c r="CZ556" s="409" t="str">
        <f>IF(CU556="","",VLOOKUP(CU556,games.a,7,FALSE))</f>
        <v/>
      </c>
      <c r="DA556" s="523" t="str">
        <f t="shared" si="394"/>
        <v/>
      </c>
      <c r="DB556" s="302"/>
      <c r="DC556" s="364"/>
      <c r="DD556" s="445"/>
      <c r="DF556" s="424"/>
      <c r="DW556" s="424"/>
      <c r="DX556" s="424"/>
      <c r="DY556" s="424"/>
      <c r="DZ556" s="424"/>
      <c r="EA556" s="424"/>
      <c r="EB556" s="424"/>
      <c r="EO556" s="425"/>
    </row>
    <row r="557" spans="98:145" x14ac:dyDescent="0.25">
      <c r="CT557" s="301"/>
      <c r="CU557" s="302"/>
      <c r="CV557" s="302"/>
      <c r="CW557" s="302"/>
      <c r="CX557" s="302"/>
      <c r="CY557" s="302"/>
      <c r="CZ557" s="302"/>
      <c r="DA557" s="302"/>
      <c r="DB557" s="302"/>
      <c r="DC557" s="446" t="s">
        <v>370</v>
      </c>
      <c r="DD557" s="445"/>
      <c r="DF557" s="424"/>
      <c r="DW557" s="424"/>
      <c r="DX557" s="424"/>
      <c r="DY557" s="424"/>
      <c r="DZ557" s="424"/>
      <c r="EA557" s="424"/>
      <c r="EB557" s="424"/>
      <c r="EO557" s="425"/>
    </row>
    <row r="558" spans="98:145" x14ac:dyDescent="0.25">
      <c r="CT558" s="301"/>
      <c r="CU558" s="302"/>
      <c r="CV558" s="302"/>
      <c r="CW558" s="302"/>
      <c r="CX558" s="302"/>
      <c r="CY558" s="302"/>
      <c r="CZ558" s="302"/>
      <c r="DA558" s="447"/>
      <c r="DB558" s="302"/>
      <c r="DC558" s="448" t="s">
        <v>371</v>
      </c>
      <c r="DW558" s="424"/>
      <c r="DX558" s="424"/>
      <c r="DY558" s="424"/>
      <c r="DZ558" s="424"/>
      <c r="EA558" s="424"/>
      <c r="EB558" s="424"/>
      <c r="EO558" s="425"/>
    </row>
    <row r="559" spans="98:145" x14ac:dyDescent="0.25">
      <c r="CT559" s="323" t="b">
        <f ca="1">OR(NOT(ASZTAB!$AJ$44),COUNTIF(CY559:CY579,"")&lt;=18-(DA559-1)*DA559/2)</f>
        <v>1</v>
      </c>
      <c r="CU559" s="458" t="s">
        <v>157</v>
      </c>
      <c r="CV559" s="458" t="s">
        <v>158</v>
      </c>
      <c r="CW559" s="459" t="s">
        <v>159</v>
      </c>
      <c r="CX559" s="459"/>
      <c r="CY559" s="460" t="s">
        <v>160</v>
      </c>
      <c r="CZ559" s="459" t="s">
        <v>135</v>
      </c>
      <c r="DA559" s="323">
        <f>COUNT(CN367:CN369)</f>
        <v>0</v>
      </c>
      <c r="DB559" s="302"/>
      <c r="DC559" s="364"/>
      <c r="DG559" s="329" t="s">
        <v>229</v>
      </c>
      <c r="DH559" s="365"/>
      <c r="DI559" s="329" t="s">
        <v>152</v>
      </c>
      <c r="DJ559" s="329" t="s">
        <v>153</v>
      </c>
      <c r="DK559" s="329" t="s">
        <v>154</v>
      </c>
      <c r="DL559" s="329" t="s">
        <v>155</v>
      </c>
      <c r="DM559" s="329" t="s">
        <v>125</v>
      </c>
      <c r="DN559" s="329" t="s">
        <v>226</v>
      </c>
      <c r="DO559" s="329" t="s">
        <v>126</v>
      </c>
      <c r="DP559" s="329" t="s">
        <v>227</v>
      </c>
      <c r="DQ559" s="424"/>
      <c r="DR559" s="424"/>
      <c r="DS559" s="424"/>
      <c r="DT559" s="329" t="s">
        <v>228</v>
      </c>
      <c r="DU559" s="329" t="s">
        <v>156</v>
      </c>
      <c r="DV559" s="329" t="s">
        <v>208</v>
      </c>
      <c r="DW559" s="424"/>
      <c r="DX559" s="424"/>
      <c r="DY559" s="424"/>
      <c r="DZ559" s="424"/>
      <c r="EA559" s="424"/>
      <c r="EB559" s="424"/>
    </row>
    <row r="560" spans="98:145" x14ac:dyDescent="0.25">
      <c r="CT560" s="464" t="str">
        <f>IF(CN367="","",VLOOKUP(CN367,xxx.rv3,7,FALSE))</f>
        <v/>
      </c>
      <c r="CU560" s="465" t="str">
        <f ca="1">IF(OR(CT560="",DA560="",CT560=DA560,COUNTIF(games.rv,CT560&amp;DA560)=0),"",CONCATENATE(CT560,DA560))</f>
        <v/>
      </c>
      <c r="CV560" s="360" t="str">
        <f ca="1">IF(CU560="","",CONCATENATE(VLOOKUP(CU560,games.r,9,FALSE),VLOOKUP(CU560,games.r,12,FALSE)))</f>
        <v/>
      </c>
      <c r="CW560" s="354" t="str">
        <f ca="1">IF(CU560="","",VLOOKUP(CU560,games.r,10,FALSE))</f>
        <v/>
      </c>
      <c r="CX560" s="354" t="str">
        <f ca="1">IF(CU560="","",VLOOKUP(CU560,games.r,13,FALSE))</f>
        <v/>
      </c>
      <c r="CY560" s="361" t="str">
        <f ca="1">IF(CU560="","",VLOOKUP(CU560,games.r,6,FALSE))</f>
        <v/>
      </c>
      <c r="CZ560" s="362" t="str">
        <f ca="1">IF(CU560="","",VLOOKUP(CU560,games.r,7,FALSE))</f>
        <v/>
      </c>
      <c r="DA560" s="466" t="str">
        <f>CT560</f>
        <v/>
      </c>
      <c r="DB560" s="302"/>
      <c r="DC560" s="364"/>
      <c r="DG560" s="366" t="str">
        <f ca="1">IF(OR(NOT(ASZTAB!$AJ$44),CT559),CT560,"")</f>
        <v/>
      </c>
      <c r="DH560" s="365"/>
      <c r="DI560" s="366">
        <f ca="1">IF(DG560="",0,COUNTIF(xxgy.rv,DG560))</f>
        <v>0</v>
      </c>
      <c r="DJ560" s="366">
        <f ca="1">IF(DG560="",0,COUNTIF(xxd.rv,DG560))</f>
        <v>0</v>
      </c>
      <c r="DK560" s="366">
        <f ca="1">IF(DG560="",0,1)*(SUMIF(xxo.rv,DG560,xxl.rv)+SUMIF(xxi.rv,DG560,xxk.rv))</f>
        <v>0</v>
      </c>
      <c r="DL560" s="366">
        <f ca="1">IF(DG560="",0,1)*(SUMIF(xxo.rv,DG560,xxk.rv)+SUMIF(xxi.rv,DG560,xxl.rv))</f>
        <v>0</v>
      </c>
      <c r="DM560" s="366">
        <f ca="1">DK560-DL560</f>
        <v>0</v>
      </c>
      <c r="DN560" s="366">
        <f ca="1">IF(DL560=0,0,DK560/DL560)</f>
        <v>0</v>
      </c>
      <c r="DO560" s="366">
        <f ca="1">ASZTAB!$AJ$48*DI560+IF(ASZTAB!$AJ$44,0,1)*DJ560</f>
        <v>0</v>
      </c>
      <c r="DP560" s="396">
        <f ca="1">DO560*1000000+IF(ASZTAB!$AJ$44,DN560,DM560)*1000*0</f>
        <v>0</v>
      </c>
      <c r="DQ560" s="424"/>
      <c r="DR560" s="424"/>
      <c r="DS560" s="424"/>
      <c r="DT560" s="366">
        <f ca="1">IF(OR(ISERR(DP560),ISNA(DP560)),0,DP560)</f>
        <v>0</v>
      </c>
      <c r="DU560" s="366">
        <f ca="1">IF(DT560=0,0,RANK(DT560,DT560:DT562,1))</f>
        <v>0</v>
      </c>
      <c r="DV560" s="366">
        <f ca="1">DU560*40000*IF(COUNTIF($EN$503:$EN$512,DG560)&gt;0,0,1)</f>
        <v>0</v>
      </c>
      <c r="DW560" s="424"/>
      <c r="DX560" s="424"/>
      <c r="DY560" s="424"/>
      <c r="DZ560" s="424"/>
      <c r="EA560" s="424"/>
      <c r="EB560" s="424"/>
    </row>
    <row r="561" spans="98:132" x14ac:dyDescent="0.25">
      <c r="CT561" s="464" t="str">
        <f>IF(CN368="","",VLOOKUP(CN368,xxx.rv3,7,FALSE))</f>
        <v/>
      </c>
      <c r="CU561" s="465" t="str">
        <f ca="1">IF(OR(CT561="",DA561="",CT561=DA561,COUNTIF(games.rv,CT561&amp;DA561)=0),"",CONCATENATE(CT561,DA561))</f>
        <v/>
      </c>
      <c r="CV561" s="360" t="str">
        <f ca="1">IF(CU561="","",CONCATENATE(VLOOKUP(CU561,games.r,9,FALSE),VLOOKUP(CU561,games.r,12,FALSE)))</f>
        <v/>
      </c>
      <c r="CW561" s="354" t="str">
        <f ca="1">IF(CU561="","",VLOOKUP(CU561,games.r,10,FALSE))</f>
        <v/>
      </c>
      <c r="CX561" s="354" t="str">
        <f ca="1">IF(CU561="","",VLOOKUP(CU561,games.r,13,FALSE))</f>
        <v/>
      </c>
      <c r="CY561" s="361" t="str">
        <f ca="1">IF(CU561="","",VLOOKUP(CU561,games.r,6,FALSE))</f>
        <v/>
      </c>
      <c r="CZ561" s="362" t="str">
        <f ca="1">IF(CU561="","",VLOOKUP(CU561,games.r,7,FALSE))</f>
        <v/>
      </c>
      <c r="DA561" s="379" t="str">
        <f>DA560</f>
        <v/>
      </c>
      <c r="DB561" s="302"/>
      <c r="DC561" s="364"/>
      <c r="DG561" s="366" t="str">
        <f ca="1">IF(OR(NOT(ASZTAB!$AJ$44),CT559),CT561,"")</f>
        <v/>
      </c>
      <c r="DH561" s="365"/>
      <c r="DI561" s="366">
        <f ca="1">IF(DG561="",0,COUNTIF(xxgy.rv,DG561))</f>
        <v>0</v>
      </c>
      <c r="DJ561" s="366">
        <f ca="1">IF(DG561="",0,COUNTIF(xxd.rv,DG561))</f>
        <v>0</v>
      </c>
      <c r="DK561" s="366">
        <f ca="1">IF(DG561="",0,1)*(SUMIF(xxo.rv,DG561,xxl.rv)+SUMIF(xxi.rv,DG561,xxk.rv))</f>
        <v>0</v>
      </c>
      <c r="DL561" s="366">
        <f ca="1">IF(DG561="",0,1)*(SUMIF(xxo.rv,DG561,xxk.rv)+SUMIF(xxi.rv,DG561,xxl.rv))</f>
        <v>0</v>
      </c>
      <c r="DM561" s="366">
        <f ca="1">DK561-DL561</f>
        <v>0</v>
      </c>
      <c r="DN561" s="366">
        <f ca="1">IF(DL561=0,0,DK561/DL561)</f>
        <v>0</v>
      </c>
      <c r="DO561" s="366">
        <f ca="1">ASZTAB!$AJ$48*DI561+IF(ASZTAB!$AJ$44,0,1)*DJ561</f>
        <v>0</v>
      </c>
      <c r="DP561" s="396">
        <f ca="1">DO561*1000000+IF(ASZTAB!$AJ$44,DN561,DM561)*1000*0</f>
        <v>0</v>
      </c>
      <c r="DQ561" s="424"/>
      <c r="DR561" s="424"/>
      <c r="DS561" s="424"/>
      <c r="DT561" s="366">
        <f ca="1">IF(OR(ISERR(DP561),ISNA(DP561)),0,DP561)</f>
        <v>0</v>
      </c>
      <c r="DU561" s="366">
        <f ca="1">IF(DT561=0,0,RANK(DT561,DT560:DT562,1))</f>
        <v>0</v>
      </c>
      <c r="DV561" s="366">
        <f ca="1">DU561*40000*IF(COUNTIF($EN$503:$EN$512,DG561)&gt;0,0,1)</f>
        <v>0</v>
      </c>
      <c r="DW561" s="424"/>
      <c r="DX561" s="424"/>
      <c r="DY561" s="424"/>
      <c r="DZ561" s="424"/>
      <c r="EA561" s="424"/>
      <c r="EB561" s="424"/>
    </row>
    <row r="562" spans="98:132" x14ac:dyDescent="0.25">
      <c r="CT562" s="464" t="str">
        <f>IF(CN369="","",VLOOKUP(CN369,xxx.rv3,7,FALSE))</f>
        <v/>
      </c>
      <c r="CU562" s="465" t="str">
        <f ca="1">IF(OR(CT562="",DA562="",CT562=DA562,COUNTIF(games.rv,CT562&amp;DA562)=0),"",CONCATENATE(CT562,DA562))</f>
        <v/>
      </c>
      <c r="CV562" s="360" t="str">
        <f ca="1">IF(CU562="","",CONCATENATE(VLOOKUP(CU562,games.r,9,FALSE),VLOOKUP(CU562,games.r,12,FALSE)))</f>
        <v/>
      </c>
      <c r="CW562" s="354" t="str">
        <f ca="1">IF(CU562="","",VLOOKUP(CU562,games.r,10,FALSE))</f>
        <v/>
      </c>
      <c r="CX562" s="354" t="str">
        <f ca="1">IF(CU562="","",VLOOKUP(CU562,games.r,13,FALSE))</f>
        <v/>
      </c>
      <c r="CY562" s="361" t="str">
        <f ca="1">IF(CU562="","",VLOOKUP(CU562,games.r,6,FALSE))</f>
        <v/>
      </c>
      <c r="CZ562" s="362" t="str">
        <f ca="1">IF(CU562="","",VLOOKUP(CU562,games.r,7,FALSE))</f>
        <v/>
      </c>
      <c r="DA562" s="379" t="str">
        <f>DA561</f>
        <v/>
      </c>
      <c r="DB562" s="302"/>
      <c r="DC562" s="364"/>
      <c r="DG562" s="366" t="str">
        <f ca="1">IF(OR(NOT(ASZTAB!$AJ$44),CT559),CT562,"")</f>
        <v/>
      </c>
      <c r="DH562" s="365"/>
      <c r="DI562" s="366">
        <f ca="1">IF(DG562="",0,COUNTIF(xxgy.rv,DG562))</f>
        <v>0</v>
      </c>
      <c r="DJ562" s="366">
        <f ca="1">IF(DG562="",0,COUNTIF(xxd.rv,DG562))</f>
        <v>0</v>
      </c>
      <c r="DK562" s="366">
        <f ca="1">IF(DG562="",0,1)*(SUMIF(xxo.rv,DG562,xxl.rv)+SUMIF(xxi.rv,DG562,xxk.rv))</f>
        <v>0</v>
      </c>
      <c r="DL562" s="366">
        <f ca="1">IF(DG562="",0,1)*(SUMIF(xxo.rv,DG562,xxk.rv)+SUMIF(xxi.rv,DG562,xxl.rv))</f>
        <v>0</v>
      </c>
      <c r="DM562" s="366">
        <f ca="1">DK562-DL562</f>
        <v>0</v>
      </c>
      <c r="DN562" s="366">
        <f ca="1">IF(DL562=0,0,DK562/DL562)</f>
        <v>0</v>
      </c>
      <c r="DO562" s="366">
        <f ca="1">ASZTAB!$AJ$48*DI562+IF(ASZTAB!$AJ$44,0,1)*DJ562</f>
        <v>0</v>
      </c>
      <c r="DP562" s="396">
        <f ca="1">DO562*1000000+IF(ASZTAB!$AJ$44,DN562,DM562)*1000*0</f>
        <v>0</v>
      </c>
      <c r="DQ562" s="424"/>
      <c r="DR562" s="424"/>
      <c r="DS562" s="424"/>
      <c r="DT562" s="366">
        <f ca="1">IF(OR(ISERR(DP562),ISNA(DP562)),0,DP562)</f>
        <v>0</v>
      </c>
      <c r="DU562" s="366">
        <f ca="1">IF(DT562=0,0,RANK(DT562,DT560:DT562,1))</f>
        <v>0</v>
      </c>
      <c r="DV562" s="366">
        <f ca="1">DU562*40000*IF(COUNTIF($EN$503:$EN$512,DG562)&gt;0,0,1)</f>
        <v>0</v>
      </c>
      <c r="DW562" s="424"/>
      <c r="DX562" s="424"/>
      <c r="DY562" s="424"/>
      <c r="DZ562" s="424"/>
      <c r="EA562" s="424"/>
      <c r="EB562" s="424"/>
    </row>
    <row r="563" spans="98:132" x14ac:dyDescent="0.25">
      <c r="CT563" s="522" t="str">
        <f>IF(NOT($AD$112),"",CT560)</f>
        <v/>
      </c>
      <c r="CU563" s="371" t="str">
        <f>IF(OR(CT563="",DA563="",CT563=DA563,ISNA(VLOOKUP(CONCATENATE(CT563,DA563),games.a,2,FALSE))),"",CONCATENATE(CT563,DA563))</f>
        <v/>
      </c>
      <c r="CV563" s="371" t="str">
        <f>IF(CU563="","",CONCATENATE(VLOOKUP(CU563,games.a,9,FALSE),VLOOKUP(CU563,games.a,12,FALSE)))</f>
        <v/>
      </c>
      <c r="CW563" s="369" t="str">
        <f>IF(CU563="","",VLOOKUP(CU563,games.a,10,FALSE))</f>
        <v/>
      </c>
      <c r="CX563" s="369" t="str">
        <f>IF(CU563="","",VLOOKUP(CU563,games.a,13,FALSE))</f>
        <v/>
      </c>
      <c r="CY563" s="423" t="str">
        <f>IF(CU563="","",VLOOKUP(CU563,games.a,6,FALSE))</f>
        <v/>
      </c>
      <c r="CZ563" s="409" t="str">
        <f>IF(CU563="","",VLOOKUP(CU563,games.a,7,FALSE))</f>
        <v/>
      </c>
      <c r="DA563" s="523" t="str">
        <f>DA562</f>
        <v/>
      </c>
      <c r="DB563" s="302"/>
      <c r="DC563" s="364"/>
      <c r="DG563" s="424"/>
      <c r="DH563" s="424"/>
      <c r="DI563" s="424"/>
      <c r="DJ563" s="424"/>
      <c r="DK563" s="424"/>
      <c r="DL563" s="424"/>
      <c r="DM563" s="424"/>
      <c r="DN563" s="424"/>
      <c r="DO563" s="424"/>
      <c r="DP563" s="424"/>
      <c r="DQ563" s="424"/>
      <c r="DR563" s="424"/>
      <c r="DS563" s="424"/>
      <c r="DT563" s="424"/>
      <c r="DU563" s="424"/>
      <c r="DV563" s="424"/>
      <c r="DW563" s="424"/>
      <c r="DX563" s="424"/>
      <c r="DY563" s="424"/>
      <c r="DZ563" s="424"/>
      <c r="EA563" s="424"/>
      <c r="EB563" s="424"/>
    </row>
    <row r="564" spans="98:132" x14ac:dyDescent="0.25">
      <c r="CT564" s="522" t="str">
        <f>IF(NOT($AD$112),"",CT561)</f>
        <v/>
      </c>
      <c r="CU564" s="371" t="str">
        <f>IF(OR(CT564="",DA564="",CT564=DA564,ISNA(VLOOKUP(CONCATENATE(CT564,DA564),games.a,2,FALSE))),"",CONCATENATE(CT564,DA564))</f>
        <v/>
      </c>
      <c r="CV564" s="371" t="str">
        <f>IF(CU564="","",CONCATENATE(VLOOKUP(CU564,games.a,9,FALSE),VLOOKUP(CU564,games.a,12,FALSE)))</f>
        <v/>
      </c>
      <c r="CW564" s="369" t="str">
        <f>IF(CU564="","",VLOOKUP(CU564,games.a,10,FALSE))</f>
        <v/>
      </c>
      <c r="CX564" s="369" t="str">
        <f>IF(CU564="","",VLOOKUP(CU564,games.a,13,FALSE))</f>
        <v/>
      </c>
      <c r="CY564" s="423" t="str">
        <f>IF(CU564="","",VLOOKUP(CU564,games.a,6,FALSE))</f>
        <v/>
      </c>
      <c r="CZ564" s="409" t="str">
        <f>IF(CU564="","",VLOOKUP(CU564,games.a,7,FALSE))</f>
        <v/>
      </c>
      <c r="DA564" s="523" t="str">
        <f>DA563</f>
        <v/>
      </c>
      <c r="DB564" s="302"/>
      <c r="DC564" s="364"/>
      <c r="DG564" s="424"/>
      <c r="DH564" s="424"/>
      <c r="DI564" s="424"/>
      <c r="DJ564" s="424"/>
      <c r="DK564" s="424"/>
      <c r="DL564" s="424"/>
      <c r="DM564" s="424"/>
      <c r="DN564" s="424"/>
      <c r="DO564" s="424"/>
      <c r="DP564" s="424"/>
      <c r="DQ564" s="424"/>
      <c r="DR564" s="424"/>
      <c r="DS564" s="424"/>
      <c r="DT564" s="424"/>
      <c r="DU564" s="424"/>
      <c r="DV564" s="424"/>
      <c r="DW564" s="424"/>
      <c r="DX564" s="424"/>
      <c r="DY564" s="424"/>
      <c r="DZ564" s="424"/>
      <c r="EA564" s="424"/>
      <c r="EB564" s="424"/>
    </row>
    <row r="565" spans="98:132" x14ac:dyDescent="0.25">
      <c r="CT565" s="522" t="str">
        <f>IF(NOT($AD$112),"",CT562)</f>
        <v/>
      </c>
      <c r="CU565" s="371" t="str">
        <f>IF(OR(CT565="",DA565="",CT565=DA565,ISNA(VLOOKUP(CONCATENATE(CT565,DA565),games.a,2,FALSE))),"",CONCATENATE(CT565,DA565))</f>
        <v/>
      </c>
      <c r="CV565" s="371" t="str">
        <f>IF(CU565="","",CONCATENATE(VLOOKUP(CU565,games.a,9,FALSE),VLOOKUP(CU565,games.a,12,FALSE)))</f>
        <v/>
      </c>
      <c r="CW565" s="369" t="str">
        <f>IF(CU565="","",VLOOKUP(CU565,games.a,10,FALSE))</f>
        <v/>
      </c>
      <c r="CX565" s="369" t="str">
        <f>IF(CU565="","",VLOOKUP(CU565,games.a,13,FALSE))</f>
        <v/>
      </c>
      <c r="CY565" s="423" t="str">
        <f>IF(CU565="","",VLOOKUP(CU565,games.a,6,FALSE))</f>
        <v/>
      </c>
      <c r="CZ565" s="409" t="str">
        <f>IF(CU565="","",VLOOKUP(CU565,games.a,7,FALSE))</f>
        <v/>
      </c>
      <c r="DA565" s="523" t="str">
        <f>DA564</f>
        <v/>
      </c>
      <c r="DB565" s="302"/>
      <c r="DC565" s="364"/>
      <c r="DG565" s="424"/>
      <c r="DH565" s="424"/>
      <c r="DI565" s="424"/>
      <c r="DJ565" s="424"/>
      <c r="DK565" s="424"/>
      <c r="DL565" s="424"/>
      <c r="DM565" s="424"/>
      <c r="DN565" s="424"/>
      <c r="DO565" s="424"/>
      <c r="DP565" s="424"/>
      <c r="DQ565" s="424"/>
      <c r="DR565" s="424"/>
      <c r="DS565" s="424"/>
      <c r="DT565" s="424"/>
      <c r="DU565" s="424"/>
      <c r="DV565" s="424"/>
      <c r="DW565" s="424"/>
      <c r="DX565" s="424"/>
      <c r="DY565" s="424"/>
      <c r="DZ565" s="424"/>
      <c r="EA565" s="424"/>
      <c r="EB565" s="424"/>
    </row>
    <row r="566" spans="98:132" x14ac:dyDescent="0.25">
      <c r="CT566" s="301"/>
      <c r="CU566" s="458" t="s">
        <v>157</v>
      </c>
      <c r="CV566" s="458" t="s">
        <v>158</v>
      </c>
      <c r="CW566" s="459" t="s">
        <v>159</v>
      </c>
      <c r="CX566" s="459"/>
      <c r="CY566" s="460" t="s">
        <v>160</v>
      </c>
      <c r="CZ566" s="459" t="s">
        <v>135</v>
      </c>
      <c r="DA566" s="302"/>
      <c r="DB566" s="302"/>
      <c r="DC566" s="364"/>
      <c r="DG566" s="424"/>
      <c r="DH566" s="424"/>
      <c r="DI566" s="424"/>
      <c r="DJ566" s="424"/>
      <c r="DK566" s="424"/>
      <c r="DL566" s="424"/>
      <c r="DM566" s="424"/>
      <c r="DN566" s="424"/>
      <c r="DO566" s="424"/>
      <c r="DP566" s="424"/>
      <c r="DQ566" s="424"/>
      <c r="DR566" s="424"/>
      <c r="DS566" s="424"/>
      <c r="DT566" s="424"/>
      <c r="DU566" s="424"/>
      <c r="DV566" s="424"/>
      <c r="DW566" s="424"/>
      <c r="DX566" s="424"/>
      <c r="DY566" s="424"/>
      <c r="DZ566" s="424"/>
      <c r="EA566" s="424"/>
      <c r="EB566" s="424"/>
    </row>
    <row r="567" spans="98:132" x14ac:dyDescent="0.25">
      <c r="CT567" s="395" t="str">
        <f t="shared" ref="CT567:CT572" si="395">CT560</f>
        <v/>
      </c>
      <c r="CU567" s="465" t="str">
        <f ca="1">IF(OR(CT567="",DA567="",CT567=DA567,COUNTIF(games.rv,CT567&amp;DA567)=0),"",CONCATENATE(CT567,DA567))</f>
        <v/>
      </c>
      <c r="CV567" s="360" t="str">
        <f ca="1">IF(CU567="","",CONCATENATE(VLOOKUP(CU567,games.r,9,FALSE),VLOOKUP(CU567,games.r,12,FALSE)))</f>
        <v/>
      </c>
      <c r="CW567" s="354" t="str">
        <f ca="1">IF(CU567="","",VLOOKUP(CU567,games.r,10,FALSE))</f>
        <v/>
      </c>
      <c r="CX567" s="354" t="str">
        <f ca="1">IF(CU567="","",VLOOKUP(CU567,games.r,13,FALSE))</f>
        <v/>
      </c>
      <c r="CY567" s="361" t="str">
        <f ca="1">IF(CU567="","",VLOOKUP(CU567,games.r,6,FALSE))</f>
        <v/>
      </c>
      <c r="CZ567" s="362" t="str">
        <f ca="1">IF(CU567="","",VLOOKUP(CU567,games.r,7,FALSE))</f>
        <v/>
      </c>
      <c r="DA567" s="466" t="str">
        <f>CT561</f>
        <v/>
      </c>
      <c r="DB567" s="302"/>
      <c r="DC567" s="364"/>
      <c r="DG567" s="424"/>
      <c r="DH567" s="424"/>
      <c r="DI567" s="424"/>
      <c r="DJ567" s="424"/>
      <c r="DK567" s="424"/>
      <c r="DL567" s="424"/>
      <c r="DM567" s="424"/>
      <c r="DN567" s="424"/>
      <c r="DO567" s="424"/>
      <c r="DP567" s="424"/>
      <c r="DQ567" s="424"/>
      <c r="DR567" s="424"/>
      <c r="DS567" s="424"/>
      <c r="DT567" s="424"/>
      <c r="DU567" s="424"/>
      <c r="DV567" s="424"/>
      <c r="DW567" s="424"/>
      <c r="DX567" s="424"/>
      <c r="DY567" s="424"/>
      <c r="DZ567" s="424"/>
      <c r="EA567" s="424"/>
      <c r="EB567" s="424"/>
    </row>
    <row r="568" spans="98:132" x14ac:dyDescent="0.25">
      <c r="CT568" s="395" t="str">
        <f t="shared" si="395"/>
        <v/>
      </c>
      <c r="CU568" s="465" t="str">
        <f ca="1">IF(OR(CT568="",DA568="",CT568=DA568,COUNTIF(games.rv,CT568&amp;DA568)=0),"",CONCATENATE(CT568,DA568))</f>
        <v/>
      </c>
      <c r="CV568" s="360" t="str">
        <f ca="1">IF(CU568="","",CONCATENATE(VLOOKUP(CU568,games.r,9,FALSE),VLOOKUP(CU568,games.r,12,FALSE)))</f>
        <v/>
      </c>
      <c r="CW568" s="354" t="str">
        <f ca="1">IF(CU568="","",VLOOKUP(CU568,games.r,10,FALSE))</f>
        <v/>
      </c>
      <c r="CX568" s="354" t="str">
        <f ca="1">IF(CU568="","",VLOOKUP(CU568,games.r,13,FALSE))</f>
        <v/>
      </c>
      <c r="CY568" s="361" t="str">
        <f ca="1">IF(CU568="","",VLOOKUP(CU568,games.r,6,FALSE))</f>
        <v/>
      </c>
      <c r="CZ568" s="362" t="str">
        <f ca="1">IF(CU568="","",VLOOKUP(CU568,games.r,7,FALSE))</f>
        <v/>
      </c>
      <c r="DA568" s="379" t="str">
        <f>DA567</f>
        <v/>
      </c>
      <c r="DB568" s="302"/>
      <c r="DC568" s="364"/>
      <c r="DG568" s="424"/>
      <c r="DH568" s="424"/>
      <c r="DI568" s="424"/>
      <c r="DJ568" s="424"/>
      <c r="DK568" s="424"/>
      <c r="DL568" s="424"/>
      <c r="DM568" s="424"/>
      <c r="DN568" s="424"/>
      <c r="DO568" s="424"/>
      <c r="DP568" s="424"/>
      <c r="DQ568" s="424"/>
      <c r="DR568" s="424"/>
      <c r="DS568" s="424"/>
      <c r="DT568" s="424"/>
      <c r="DU568" s="424"/>
      <c r="DV568" s="424"/>
      <c r="DW568" s="424"/>
      <c r="DX568" s="424"/>
      <c r="DY568" s="424"/>
      <c r="DZ568" s="424"/>
      <c r="EA568" s="424"/>
      <c r="EB568" s="424"/>
    </row>
    <row r="569" spans="98:132" x14ac:dyDescent="0.25">
      <c r="CT569" s="395" t="str">
        <f t="shared" si="395"/>
        <v/>
      </c>
      <c r="CU569" s="465" t="str">
        <f ca="1">IF(OR(CT569="",DA569="",CT569=DA569,COUNTIF(games.rv,CT569&amp;DA569)=0),"",CONCATENATE(CT569,DA569))</f>
        <v/>
      </c>
      <c r="CV569" s="360" t="str">
        <f ca="1">IF(CU569="","",CONCATENATE(VLOOKUP(CU569,games.r,9,FALSE),VLOOKUP(CU569,games.r,12,FALSE)))</f>
        <v/>
      </c>
      <c r="CW569" s="354" t="str">
        <f ca="1">IF(CU569="","",VLOOKUP(CU569,games.r,10,FALSE))</f>
        <v/>
      </c>
      <c r="CX569" s="354" t="str">
        <f ca="1">IF(CU569="","",VLOOKUP(CU569,games.r,13,FALSE))</f>
        <v/>
      </c>
      <c r="CY569" s="361" t="str">
        <f ca="1">IF(CU569="","",VLOOKUP(CU569,games.r,6,FALSE))</f>
        <v/>
      </c>
      <c r="CZ569" s="362" t="str">
        <f ca="1">IF(CU569="","",VLOOKUP(CU569,games.r,7,FALSE))</f>
        <v/>
      </c>
      <c r="DA569" s="379" t="str">
        <f>DA568</f>
        <v/>
      </c>
      <c r="DB569" s="302"/>
      <c r="DC569" s="364"/>
      <c r="DG569" s="424"/>
      <c r="DH569" s="424"/>
      <c r="DI569" s="424"/>
      <c r="DJ569" s="424"/>
      <c r="DK569" s="424"/>
      <c r="DL569" s="424"/>
      <c r="DM569" s="424"/>
      <c r="DN569" s="424"/>
      <c r="DO569" s="424"/>
      <c r="DP569" s="424"/>
      <c r="DQ569" s="424"/>
      <c r="DR569" s="424"/>
      <c r="DS569" s="424"/>
      <c r="DT569" s="424"/>
      <c r="DU569" s="424"/>
      <c r="DV569" s="424"/>
      <c r="DW569" s="424"/>
      <c r="DX569" s="424"/>
      <c r="DY569" s="424"/>
      <c r="DZ569" s="424"/>
      <c r="EA569" s="424"/>
      <c r="EB569" s="424"/>
    </row>
    <row r="570" spans="98:132" x14ac:dyDescent="0.25">
      <c r="CT570" s="533" t="str">
        <f t="shared" si="395"/>
        <v/>
      </c>
      <c r="CU570" s="371" t="str">
        <f>IF(OR(CT570="",DA570="",CT570=DA570,ISNA(VLOOKUP(CONCATENATE(CT570,DA570),games.a,2,FALSE))),"",CONCATENATE(CT570,DA570))</f>
        <v/>
      </c>
      <c r="CV570" s="371" t="str">
        <f>IF(CU570="","",CONCATENATE(VLOOKUP(CU570,games.a,9,FALSE),VLOOKUP(CU570,games.a,12,FALSE)))</f>
        <v/>
      </c>
      <c r="CW570" s="369" t="str">
        <f>IF(CU570="","",VLOOKUP(CU570,games.a,10,FALSE))</f>
        <v/>
      </c>
      <c r="CX570" s="369" t="str">
        <f>IF(CU570="","",VLOOKUP(CU570,games.a,13,FALSE))</f>
        <v/>
      </c>
      <c r="CY570" s="423" t="str">
        <f>IF(CU570="","",VLOOKUP(CU570,games.a,6,FALSE))</f>
        <v/>
      </c>
      <c r="CZ570" s="409" t="str">
        <f>IF(CU570="","",VLOOKUP(CU570,games.a,7,FALSE))</f>
        <v/>
      </c>
      <c r="DA570" s="523" t="str">
        <f>DA569</f>
        <v/>
      </c>
      <c r="DB570" s="302"/>
      <c r="DC570" s="364"/>
      <c r="DG570" s="424"/>
      <c r="DH570" s="424"/>
      <c r="DI570" s="424"/>
      <c r="DJ570" s="424"/>
      <c r="DK570" s="424"/>
      <c r="DL570" s="424"/>
      <c r="DM570" s="424"/>
      <c r="DN570" s="424"/>
      <c r="DO570" s="424"/>
      <c r="DP570" s="424"/>
      <c r="DQ570" s="424"/>
      <c r="DR570" s="424"/>
      <c r="DS570" s="424"/>
      <c r="DT570" s="424"/>
      <c r="DU570" s="424"/>
      <c r="DV570" s="424"/>
      <c r="DW570" s="424"/>
      <c r="DX570" s="424"/>
      <c r="DY570" s="424"/>
      <c r="DZ570" s="424"/>
      <c r="EA570" s="424"/>
      <c r="EB570" s="424"/>
    </row>
    <row r="571" spans="98:132" x14ac:dyDescent="0.25">
      <c r="CT571" s="533" t="str">
        <f t="shared" si="395"/>
        <v/>
      </c>
      <c r="CU571" s="371" t="str">
        <f>IF(OR(CT571="",DA571="",CT571=DA571,ISNA(VLOOKUP(CONCATENATE(CT571,DA571),games.a,2,FALSE))),"",CONCATENATE(CT571,DA571))</f>
        <v/>
      </c>
      <c r="CV571" s="371" t="str">
        <f>IF(CU571="","",CONCATENATE(VLOOKUP(CU571,games.a,9,FALSE),VLOOKUP(CU571,games.a,12,FALSE)))</f>
        <v/>
      </c>
      <c r="CW571" s="369" t="str">
        <f>IF(CU571="","",VLOOKUP(CU571,games.a,10,FALSE))</f>
        <v/>
      </c>
      <c r="CX571" s="369" t="str">
        <f>IF(CU571="","",VLOOKUP(CU571,games.a,13,FALSE))</f>
        <v/>
      </c>
      <c r="CY571" s="423" t="str">
        <f>IF(CU571="","",VLOOKUP(CU571,games.a,6,FALSE))</f>
        <v/>
      </c>
      <c r="CZ571" s="409" t="str">
        <f>IF(CU571="","",VLOOKUP(CU571,games.a,7,FALSE))</f>
        <v/>
      </c>
      <c r="DA571" s="523" t="str">
        <f>DA570</f>
        <v/>
      </c>
      <c r="DB571" s="302"/>
      <c r="DC571" s="364"/>
      <c r="DG571" s="424"/>
      <c r="DH571" s="424"/>
      <c r="DI571" s="424"/>
      <c r="DJ571" s="424"/>
      <c r="DK571" s="424"/>
      <c r="DL571" s="424"/>
      <c r="DM571" s="424"/>
      <c r="DN571" s="424"/>
      <c r="DO571" s="424"/>
      <c r="DP571" s="424"/>
      <c r="DQ571" s="424"/>
      <c r="DR571" s="424"/>
      <c r="DS571" s="424"/>
      <c r="DT571" s="424"/>
      <c r="DU571" s="424"/>
      <c r="DV571" s="424"/>
      <c r="DW571" s="424"/>
      <c r="DX571" s="424"/>
      <c r="DY571" s="424"/>
      <c r="DZ571" s="424"/>
      <c r="EA571" s="424"/>
      <c r="EB571" s="424"/>
    </row>
    <row r="572" spans="98:132" x14ac:dyDescent="0.25">
      <c r="CT572" s="533" t="str">
        <f t="shared" si="395"/>
        <v/>
      </c>
      <c r="CU572" s="371" t="str">
        <f>IF(OR(CT572="",DA572="",CT572=DA572,ISNA(VLOOKUP(CONCATENATE(CT572,DA572),games.a,2,FALSE))),"",CONCATENATE(CT572,DA572))</f>
        <v/>
      </c>
      <c r="CV572" s="371" t="str">
        <f>IF(CU572="","",CONCATENATE(VLOOKUP(CU572,games.a,9,FALSE),VLOOKUP(CU572,games.a,12,FALSE)))</f>
        <v/>
      </c>
      <c r="CW572" s="369" t="str">
        <f>IF(CU572="","",VLOOKUP(CU572,games.a,10,FALSE))</f>
        <v/>
      </c>
      <c r="CX572" s="369" t="str">
        <f>IF(CU572="","",VLOOKUP(CU572,games.a,13,FALSE))</f>
        <v/>
      </c>
      <c r="CY572" s="423" t="str">
        <f>IF(CU572="","",VLOOKUP(CU572,games.a,6,FALSE))</f>
        <v/>
      </c>
      <c r="CZ572" s="409" t="str">
        <f>IF(CU572="","",VLOOKUP(CU572,games.a,7,FALSE))</f>
        <v/>
      </c>
      <c r="DA572" s="523" t="str">
        <f>DA571</f>
        <v/>
      </c>
      <c r="DB572" s="302"/>
      <c r="DC572" s="364"/>
      <c r="DG572" s="424"/>
      <c r="DH572" s="424"/>
      <c r="DI572" s="424"/>
      <c r="DJ572" s="424"/>
      <c r="DK572" s="424"/>
      <c r="DL572" s="424"/>
      <c r="DM572" s="424"/>
      <c r="DN572" s="424"/>
      <c r="DO572" s="424"/>
      <c r="DP572" s="424"/>
      <c r="DQ572" s="424"/>
      <c r="DR572" s="424"/>
      <c r="DS572" s="424"/>
      <c r="DT572" s="424"/>
      <c r="DU572" s="424"/>
      <c r="DV572" s="424"/>
      <c r="DW572" s="424"/>
      <c r="DX572" s="424"/>
      <c r="DY572" s="424"/>
      <c r="DZ572" s="424"/>
      <c r="EA572" s="424"/>
      <c r="EB572" s="424"/>
    </row>
    <row r="573" spans="98:132" x14ac:dyDescent="0.25">
      <c r="CT573" s="301"/>
      <c r="CU573" s="458" t="s">
        <v>157</v>
      </c>
      <c r="CV573" s="458" t="s">
        <v>158</v>
      </c>
      <c r="CW573" s="459" t="s">
        <v>159</v>
      </c>
      <c r="CX573" s="459"/>
      <c r="CY573" s="460" t="s">
        <v>160</v>
      </c>
      <c r="CZ573" s="459" t="s">
        <v>135</v>
      </c>
      <c r="DA573" s="302"/>
      <c r="DB573" s="302"/>
      <c r="DC573" s="364"/>
      <c r="DG573" s="424"/>
      <c r="DH573" s="424"/>
      <c r="DI573" s="424"/>
      <c r="DJ573" s="424"/>
      <c r="DK573" s="424"/>
      <c r="DL573" s="424"/>
      <c r="DM573" s="424"/>
      <c r="DN573" s="424"/>
      <c r="DO573" s="424"/>
      <c r="DP573" s="424"/>
      <c r="DQ573" s="424"/>
      <c r="DR573" s="424"/>
      <c r="DS573" s="424"/>
      <c r="DT573" s="424"/>
      <c r="DU573" s="424"/>
      <c r="DV573" s="424"/>
      <c r="DW573" s="424"/>
      <c r="DX573" s="424"/>
      <c r="DY573" s="424"/>
      <c r="DZ573" s="424"/>
      <c r="EA573" s="424"/>
      <c r="EB573" s="424"/>
    </row>
    <row r="574" spans="98:132" x14ac:dyDescent="0.25">
      <c r="CT574" s="395" t="str">
        <f t="shared" ref="CT574:CT579" si="396">CT567</f>
        <v/>
      </c>
      <c r="CU574" s="465" t="str">
        <f ca="1">IF(OR(CT574="",DA574="",CT574=DA574,COUNTIF(games.rv,CT574&amp;DA574)=0),"",CONCATENATE(CT574,DA574))</f>
        <v/>
      </c>
      <c r="CV574" s="360" t="str">
        <f ca="1">IF(CU574="","",CONCATENATE(VLOOKUP(CU574,games.r,9,FALSE),VLOOKUP(CU574,games.r,12,FALSE)))</f>
        <v/>
      </c>
      <c r="CW574" s="354" t="str">
        <f ca="1">IF(CU574="","",VLOOKUP(CU574,games.r,10,FALSE))</f>
        <v/>
      </c>
      <c r="CX574" s="354" t="str">
        <f ca="1">IF(CU574="","",VLOOKUP(CU574,games.r,13,FALSE))</f>
        <v/>
      </c>
      <c r="CY574" s="361" t="str">
        <f ca="1">IF(CU574="","",VLOOKUP(CU574,games.r,6,FALSE))</f>
        <v/>
      </c>
      <c r="CZ574" s="362" t="str">
        <f ca="1">IF(CU574="","",VLOOKUP(CU574,games.r,7,FALSE))</f>
        <v/>
      </c>
      <c r="DA574" s="466" t="str">
        <f>CT562</f>
        <v/>
      </c>
      <c r="DB574" s="302"/>
      <c r="DC574" s="364"/>
      <c r="DG574" s="424"/>
      <c r="DH574" s="424"/>
      <c r="DI574" s="424"/>
      <c r="DJ574" s="424"/>
      <c r="DK574" s="424"/>
      <c r="DL574" s="424"/>
      <c r="DM574" s="424"/>
      <c r="DN574" s="424"/>
      <c r="DO574" s="424"/>
      <c r="DP574" s="424"/>
      <c r="DQ574" s="424"/>
      <c r="DR574" s="424"/>
      <c r="DS574" s="424"/>
      <c r="DT574" s="424"/>
      <c r="DU574" s="424"/>
      <c r="DV574" s="424"/>
      <c r="DW574" s="424"/>
      <c r="DX574" s="424"/>
      <c r="DY574" s="424"/>
      <c r="DZ574" s="424"/>
      <c r="EA574" s="424"/>
      <c r="EB574" s="424"/>
    </row>
    <row r="575" spans="98:132" x14ac:dyDescent="0.25">
      <c r="CT575" s="395" t="str">
        <f t="shared" si="396"/>
        <v/>
      </c>
      <c r="CU575" s="465" t="str">
        <f ca="1">IF(OR(CT575="",DA575="",CT575=DA575,COUNTIF(games.rv,CT575&amp;DA575)=0),"",CONCATENATE(CT575,DA575))</f>
        <v/>
      </c>
      <c r="CV575" s="360" t="str">
        <f ca="1">IF(CU575="","",CONCATENATE(VLOOKUP(CU575,games.r,9,FALSE),VLOOKUP(CU575,games.r,12,FALSE)))</f>
        <v/>
      </c>
      <c r="CW575" s="354" t="str">
        <f ca="1">IF(CU575="","",VLOOKUP(CU575,games.r,10,FALSE))</f>
        <v/>
      </c>
      <c r="CX575" s="354" t="str">
        <f ca="1">IF(CU575="","",VLOOKUP(CU575,games.r,13,FALSE))</f>
        <v/>
      </c>
      <c r="CY575" s="361" t="str">
        <f ca="1">IF(CU575="","",VLOOKUP(CU575,games.r,6,FALSE))</f>
        <v/>
      </c>
      <c r="CZ575" s="362" t="str">
        <f ca="1">IF(CU575="","",VLOOKUP(CU575,games.r,7,FALSE))</f>
        <v/>
      </c>
      <c r="DA575" s="379" t="str">
        <f>DA574</f>
        <v/>
      </c>
      <c r="DB575" s="302"/>
      <c r="DC575" s="364"/>
      <c r="DG575" s="424"/>
      <c r="DH575" s="424"/>
      <c r="DI575" s="424"/>
      <c r="DJ575" s="424"/>
      <c r="DK575" s="424"/>
      <c r="DL575" s="424"/>
      <c r="DM575" s="424"/>
      <c r="DN575" s="424"/>
      <c r="DO575" s="424"/>
      <c r="DP575" s="424"/>
      <c r="DQ575" s="424"/>
      <c r="DR575" s="424"/>
      <c r="DS575" s="424"/>
      <c r="DT575" s="424"/>
      <c r="DU575" s="424"/>
      <c r="DV575" s="424"/>
      <c r="DW575" s="424"/>
      <c r="DX575" s="424"/>
      <c r="DY575" s="424"/>
      <c r="DZ575" s="424"/>
      <c r="EA575" s="424"/>
      <c r="EB575" s="424"/>
    </row>
    <row r="576" spans="98:132" x14ac:dyDescent="0.25">
      <c r="CT576" s="395" t="str">
        <f t="shared" si="396"/>
        <v/>
      </c>
      <c r="CU576" s="465" t="str">
        <f ca="1">IF(OR(CT576="",DA576="",CT576=DA576,COUNTIF(games.rv,CT576&amp;DA576)=0),"",CONCATENATE(CT576,DA576))</f>
        <v/>
      </c>
      <c r="CV576" s="360" t="str">
        <f ca="1">IF(CU576="","",CONCATENATE(VLOOKUP(CU576,games.r,9,FALSE),VLOOKUP(CU576,games.r,12,FALSE)))</f>
        <v/>
      </c>
      <c r="CW576" s="354" t="str">
        <f ca="1">IF(CU576="","",VLOOKUP(CU576,games.r,10,FALSE))</f>
        <v/>
      </c>
      <c r="CX576" s="354" t="str">
        <f ca="1">IF(CU576="","",VLOOKUP(CU576,games.r,13,FALSE))</f>
        <v/>
      </c>
      <c r="CY576" s="361" t="str">
        <f ca="1">IF(CU576="","",VLOOKUP(CU576,games.r,6,FALSE))</f>
        <v/>
      </c>
      <c r="CZ576" s="362" t="str">
        <f ca="1">IF(CU576="","",VLOOKUP(CU576,games.r,7,FALSE))</f>
        <v/>
      </c>
      <c r="DA576" s="379" t="str">
        <f>DA575</f>
        <v/>
      </c>
      <c r="DB576" s="302"/>
      <c r="DC576" s="364"/>
      <c r="DG576" s="424"/>
      <c r="DH576" s="424"/>
      <c r="DI576" s="424"/>
      <c r="DJ576" s="424"/>
      <c r="DK576" s="424"/>
      <c r="DL576" s="424"/>
      <c r="DM576" s="424"/>
      <c r="DN576" s="424"/>
      <c r="DO576" s="424"/>
      <c r="DP576" s="424"/>
      <c r="DQ576" s="424"/>
      <c r="DR576" s="424"/>
      <c r="DS576" s="424"/>
      <c r="DT576" s="424"/>
      <c r="DU576" s="424"/>
      <c r="DV576" s="424"/>
      <c r="DW576" s="424"/>
      <c r="DX576" s="424"/>
      <c r="DY576" s="424"/>
      <c r="DZ576" s="424"/>
      <c r="EA576" s="424"/>
      <c r="EB576" s="424"/>
    </row>
    <row r="577" spans="98:132" x14ac:dyDescent="0.25">
      <c r="CT577" s="533" t="str">
        <f t="shared" si="396"/>
        <v/>
      </c>
      <c r="CU577" s="371" t="str">
        <f>IF(OR(CT577="",DA577="",CT577=DA577,ISNA(VLOOKUP(CONCATENATE(CT577,DA577),games.a,2,FALSE))),"",CONCATENATE(CT577,DA577))</f>
        <v/>
      </c>
      <c r="CV577" s="371" t="str">
        <f>IF(CU577="","",CONCATENATE(VLOOKUP(CU577,games.a,9,FALSE),VLOOKUP(CU577,games.a,12,FALSE)))</f>
        <v/>
      </c>
      <c r="CW577" s="369" t="str">
        <f>IF(CU577="","",VLOOKUP(CU577,games.a,10,FALSE))</f>
        <v/>
      </c>
      <c r="CX577" s="369" t="str">
        <f>IF(CU577="","",VLOOKUP(CU577,games.a,13,FALSE))</f>
        <v/>
      </c>
      <c r="CY577" s="423" t="str">
        <f>IF(CU577="","",VLOOKUP(CU577,games.a,6,FALSE))</f>
        <v/>
      </c>
      <c r="CZ577" s="409" t="str">
        <f>IF(CU577="","",VLOOKUP(CU577,games.a,7,FALSE))</f>
        <v/>
      </c>
      <c r="DA577" s="523" t="str">
        <f>DA576</f>
        <v/>
      </c>
      <c r="DB577" s="302"/>
      <c r="DC577" s="364"/>
      <c r="DG577" s="424"/>
      <c r="DH577" s="424"/>
      <c r="DI577" s="424"/>
      <c r="DJ577" s="424"/>
      <c r="DK577" s="424"/>
      <c r="DL577" s="424"/>
      <c r="DM577" s="424"/>
      <c r="DN577" s="424"/>
      <c r="DO577" s="424"/>
      <c r="DP577" s="424"/>
      <c r="DQ577" s="424"/>
      <c r="DR577" s="424"/>
      <c r="DS577" s="424"/>
      <c r="DT577" s="424"/>
      <c r="DU577" s="424"/>
      <c r="DV577" s="424"/>
      <c r="DW577" s="424"/>
      <c r="DX577" s="424"/>
      <c r="DY577" s="424"/>
      <c r="DZ577" s="424"/>
      <c r="EA577" s="424"/>
      <c r="EB577" s="424"/>
    </row>
    <row r="578" spans="98:132" x14ac:dyDescent="0.25">
      <c r="CT578" s="533" t="str">
        <f t="shared" si="396"/>
        <v/>
      </c>
      <c r="CU578" s="371" t="str">
        <f>IF(OR(CT578="",DA578="",CT578=DA578,ISNA(VLOOKUP(CONCATENATE(CT578,DA578),games.a,2,FALSE))),"",CONCATENATE(CT578,DA578))</f>
        <v/>
      </c>
      <c r="CV578" s="371" t="str">
        <f>IF(CU578="","",CONCATENATE(VLOOKUP(CU578,games.a,9,FALSE),VLOOKUP(CU578,games.a,12,FALSE)))</f>
        <v/>
      </c>
      <c r="CW578" s="369" t="str">
        <f>IF(CU578="","",VLOOKUP(CU578,games.a,10,FALSE))</f>
        <v/>
      </c>
      <c r="CX578" s="369" t="str">
        <f>IF(CU578="","",VLOOKUP(CU578,games.a,13,FALSE))</f>
        <v/>
      </c>
      <c r="CY578" s="423" t="str">
        <f>IF(CU578="","",VLOOKUP(CU578,games.a,6,FALSE))</f>
        <v/>
      </c>
      <c r="CZ578" s="409" t="str">
        <f>IF(CU578="","",VLOOKUP(CU578,games.a,7,FALSE))</f>
        <v/>
      </c>
      <c r="DA578" s="523" t="str">
        <f>DA577</f>
        <v/>
      </c>
      <c r="DB578" s="302"/>
      <c r="DC578" s="364"/>
      <c r="DG578" s="424"/>
      <c r="DH578" s="424"/>
      <c r="DI578" s="424"/>
      <c r="DJ578" s="424"/>
      <c r="DK578" s="424"/>
      <c r="DL578" s="424"/>
      <c r="DM578" s="424"/>
      <c r="DN578" s="424"/>
      <c r="DO578" s="424"/>
      <c r="DP578" s="424"/>
      <c r="DQ578" s="424"/>
      <c r="DR578" s="424"/>
      <c r="DS578" s="424"/>
      <c r="DT578" s="424"/>
      <c r="DU578" s="424"/>
      <c r="DV578" s="424"/>
      <c r="DW578" s="424"/>
      <c r="DX578" s="424"/>
      <c r="DY578" s="424"/>
      <c r="DZ578" s="424"/>
      <c r="EA578" s="424"/>
      <c r="EB578" s="424"/>
    </row>
    <row r="579" spans="98:132" x14ac:dyDescent="0.25">
      <c r="CT579" s="533" t="str">
        <f t="shared" si="396"/>
        <v/>
      </c>
      <c r="CU579" s="371" t="str">
        <f>IF(OR(CT579="",DA579="",CT579=DA579,ISNA(VLOOKUP(CONCATENATE(CT579,DA579),games.a,2,FALSE))),"",CONCATENATE(CT579,DA579))</f>
        <v/>
      </c>
      <c r="CV579" s="371" t="str">
        <f>IF(CU579="","",CONCATENATE(VLOOKUP(CU579,games.a,9,FALSE),VLOOKUP(CU579,games.a,12,FALSE)))</f>
        <v/>
      </c>
      <c r="CW579" s="369" t="str">
        <f>IF(CU579="","",VLOOKUP(CU579,games.a,10,FALSE))</f>
        <v/>
      </c>
      <c r="CX579" s="369" t="str">
        <f>IF(CU579="","",VLOOKUP(CU579,games.a,13,FALSE))</f>
        <v/>
      </c>
      <c r="CY579" s="423" t="str">
        <f>IF(CU579="","",VLOOKUP(CU579,games.a,6,FALSE))</f>
        <v/>
      </c>
      <c r="CZ579" s="409" t="str">
        <f>IF(CU579="","",VLOOKUP(CU579,games.a,7,FALSE))</f>
        <v/>
      </c>
      <c r="DA579" s="523" t="str">
        <f>DA578</f>
        <v/>
      </c>
      <c r="DB579" s="302"/>
      <c r="DC579" s="364"/>
      <c r="DG579" s="424"/>
      <c r="DH579" s="424"/>
      <c r="DI579" s="424"/>
      <c r="DJ579" s="424"/>
      <c r="DK579" s="424"/>
      <c r="DL579" s="424"/>
      <c r="DM579" s="424"/>
      <c r="DN579" s="424"/>
      <c r="DO579" s="424"/>
      <c r="DP579" s="424"/>
      <c r="DQ579" s="424"/>
      <c r="DR579" s="424"/>
      <c r="DS579" s="424"/>
      <c r="DT579" s="424"/>
      <c r="DU579" s="424"/>
      <c r="DV579" s="424"/>
      <c r="DW579" s="424"/>
      <c r="DX579" s="424"/>
      <c r="DY579" s="424"/>
      <c r="DZ579" s="424"/>
      <c r="EA579" s="424"/>
      <c r="EB579" s="424"/>
    </row>
    <row r="580" spans="98:132" x14ac:dyDescent="0.25">
      <c r="CT580" s="301"/>
      <c r="CU580" s="302"/>
      <c r="CV580" s="302"/>
      <c r="CW580" s="302"/>
      <c r="CX580" s="302"/>
      <c r="CY580" s="302"/>
      <c r="CZ580" s="302"/>
      <c r="DA580" s="447"/>
      <c r="DB580" s="302"/>
      <c r="DC580" s="446" t="s">
        <v>371</v>
      </c>
      <c r="DG580" s="424"/>
      <c r="DH580" s="424"/>
      <c r="DI580" s="424"/>
      <c r="DJ580" s="424"/>
      <c r="DK580" s="424"/>
      <c r="DL580" s="424"/>
      <c r="DM580" s="424"/>
      <c r="DN580" s="424"/>
      <c r="DO580" s="424"/>
      <c r="DP580" s="424"/>
      <c r="DQ580" s="424"/>
      <c r="DR580" s="424"/>
      <c r="DS580" s="424"/>
      <c r="DT580" s="424"/>
      <c r="DU580" s="424"/>
      <c r="DV580" s="424"/>
      <c r="DW580" s="424"/>
      <c r="DX580" s="424"/>
      <c r="DY580" s="424"/>
      <c r="DZ580" s="424"/>
      <c r="EA580" s="424"/>
      <c r="EB580" s="424"/>
    </row>
    <row r="581" spans="98:132" x14ac:dyDescent="0.25">
      <c r="CT581" s="301"/>
      <c r="CU581" s="302"/>
      <c r="CV581" s="302"/>
      <c r="CW581" s="302"/>
      <c r="CX581" s="302"/>
      <c r="CY581" s="302"/>
      <c r="CZ581" s="302"/>
      <c r="DA581" s="447"/>
      <c r="DB581" s="302"/>
      <c r="DC581" s="448" t="s">
        <v>372</v>
      </c>
      <c r="DG581" s="424"/>
      <c r="DH581" s="424"/>
      <c r="DI581" s="424"/>
      <c r="DJ581" s="424"/>
      <c r="DK581" s="424"/>
      <c r="DL581" s="424"/>
      <c r="DM581" s="424"/>
      <c r="DN581" s="424"/>
      <c r="DO581" s="424"/>
      <c r="DP581" s="424"/>
      <c r="DQ581" s="424"/>
      <c r="DR581" s="424"/>
      <c r="DS581" s="424"/>
      <c r="DT581" s="424"/>
      <c r="DU581" s="424"/>
      <c r="DV581" s="424"/>
      <c r="DW581" s="424"/>
      <c r="DX581" s="424"/>
      <c r="DY581" s="424"/>
      <c r="DZ581" s="424"/>
      <c r="EA581" s="424"/>
      <c r="EB581" s="424"/>
    </row>
    <row r="582" spans="98:132" x14ac:dyDescent="0.25">
      <c r="CT582" s="323" t="b">
        <f ca="1">OR(NOT(ASZTAB!$AJ$44),COUNTIF(CY582:CY591,"")&lt;=8-(DA582-1)*DA582/2)</f>
        <v>1</v>
      </c>
      <c r="CU582" s="458" t="s">
        <v>157</v>
      </c>
      <c r="CV582" s="458" t="s">
        <v>158</v>
      </c>
      <c r="CW582" s="459" t="s">
        <v>159</v>
      </c>
      <c r="CX582" s="459"/>
      <c r="CY582" s="460" t="s">
        <v>160</v>
      </c>
      <c r="CZ582" s="459" t="s">
        <v>135</v>
      </c>
      <c r="DA582" s="323">
        <f>COUNT(CQ367:CQ368)</f>
        <v>0</v>
      </c>
      <c r="DB582" s="302"/>
      <c r="DC582" s="364"/>
      <c r="DG582" s="329" t="s">
        <v>229</v>
      </c>
      <c r="DH582" s="365"/>
      <c r="DI582" s="329" t="s">
        <v>152</v>
      </c>
      <c r="DJ582" s="329" t="s">
        <v>153</v>
      </c>
      <c r="DK582" s="329" t="s">
        <v>154</v>
      </c>
      <c r="DL582" s="329" t="s">
        <v>155</v>
      </c>
      <c r="DM582" s="329" t="s">
        <v>125</v>
      </c>
      <c r="DN582" s="329" t="s">
        <v>226</v>
      </c>
      <c r="DO582" s="329" t="s">
        <v>126</v>
      </c>
      <c r="DP582" s="329" t="s">
        <v>227</v>
      </c>
      <c r="DQ582" s="424"/>
      <c r="DR582" s="424"/>
      <c r="DS582" s="424"/>
      <c r="DT582" s="329" t="s">
        <v>228</v>
      </c>
      <c r="DU582" s="329" t="s">
        <v>156</v>
      </c>
      <c r="DV582" s="329" t="s">
        <v>208</v>
      </c>
      <c r="DW582" s="424"/>
      <c r="DX582" s="424"/>
      <c r="DY582" s="424"/>
      <c r="DZ582" s="424"/>
      <c r="EA582" s="424"/>
      <c r="EB582" s="424"/>
    </row>
    <row r="583" spans="98:132" x14ac:dyDescent="0.25">
      <c r="CT583" s="464" t="str">
        <f>IF(CQ367="","",VLOOKUP(CQ367,xxx.rv3,10,FALSE))</f>
        <v/>
      </c>
      <c r="CU583" s="465" t="str">
        <f ca="1">IF(OR(CT583="",DA583="",CT583=DA583,COUNTIF(games.rv,CT583&amp;DA583)=0),"",CONCATENATE(CT583,DA583))</f>
        <v/>
      </c>
      <c r="CV583" s="360" t="str">
        <f ca="1">IF(CU583="","",CONCATENATE(VLOOKUP(CU583,games.r,9,FALSE),VLOOKUP(CU583,games.r,12,FALSE)))</f>
        <v/>
      </c>
      <c r="CW583" s="354" t="str">
        <f ca="1">IF(CU583="","",VLOOKUP(CU583,games.r,10,FALSE))</f>
        <v/>
      </c>
      <c r="CX583" s="354" t="str">
        <f ca="1">IF(CU583="","",VLOOKUP(CU583,games.r,13,FALSE))</f>
        <v/>
      </c>
      <c r="CY583" s="361" t="str">
        <f ca="1">IF(CU583="","",VLOOKUP(CU583,games.r,6,FALSE))</f>
        <v/>
      </c>
      <c r="CZ583" s="362" t="str">
        <f ca="1">IF(CU583="","",VLOOKUP(CU583,games.r,7,FALSE))</f>
        <v/>
      </c>
      <c r="DA583" s="466" t="str">
        <f>CT583</f>
        <v/>
      </c>
      <c r="DB583" s="302"/>
      <c r="DC583" s="364"/>
      <c r="DG583" s="366" t="str">
        <f ca="1">IF(OR(NOT(ASZTAB!$AJ$44),CT582),CT583,"")</f>
        <v/>
      </c>
      <c r="DH583" s="365"/>
      <c r="DI583" s="366">
        <f ca="1">IF(DG583="",0,COUNTIF(xxgy.rv,DG583))</f>
        <v>0</v>
      </c>
      <c r="DJ583" s="366">
        <f ca="1">IF(DG583="",0,COUNTIF(xxd.rv,DG583))</f>
        <v>0</v>
      </c>
      <c r="DK583" s="366">
        <f ca="1">IF(DG583="",0,1)*(SUMIF(xxo.rv,DG583,xxl.rv)+SUMIF(xxi.rv,DG583,xxk.rv))</f>
        <v>0</v>
      </c>
      <c r="DL583" s="366">
        <f ca="1">IF(DG583="",0,1)*(SUMIF(xxo.rv,DG583,xxk.rv)+SUMIF(xxi.rv,DG583,xxl.rv))</f>
        <v>0</v>
      </c>
      <c r="DM583" s="366">
        <f ca="1">DK583-DL583</f>
        <v>0</v>
      </c>
      <c r="DN583" s="366">
        <f ca="1">IF(DL583=0,0,DK583/DL583)</f>
        <v>0</v>
      </c>
      <c r="DO583" s="366">
        <f ca="1">ASZTAB!$AJ$48*DI583+IF(ASZTAB!$AJ$44,0,1)*DJ583</f>
        <v>0</v>
      </c>
      <c r="DP583" s="396">
        <f ca="1">DO583*1000000+IF(ASZTAB!$AJ$44,DN583,DM583)*1000*0</f>
        <v>0</v>
      </c>
      <c r="DQ583" s="424"/>
      <c r="DR583" s="424"/>
      <c r="DS583" s="424"/>
      <c r="DT583" s="366">
        <f ca="1">IF(OR(ISERR(DP583),ISNA(DP583)),0,DP583)</f>
        <v>0</v>
      </c>
      <c r="DU583" s="366">
        <f ca="1">IF(DT583=0,0,RANK(DT583,DT583:DT584,1))</f>
        <v>0</v>
      </c>
      <c r="DV583" s="366">
        <f ca="1">DU583*40000*IF(COUNTIF($EN$503:$EN$512,DG583)&gt;0,0,1)</f>
        <v>0</v>
      </c>
      <c r="DW583" s="424"/>
      <c r="DX583" s="424"/>
      <c r="DY583" s="424"/>
      <c r="DZ583" s="424"/>
      <c r="EA583" s="424"/>
      <c r="EB583" s="424"/>
    </row>
    <row r="584" spans="98:132" x14ac:dyDescent="0.25">
      <c r="CT584" s="464" t="str">
        <f>IF(CQ368="","",VLOOKUP(CQ368,xxx.rv3,10,FALSE))</f>
        <v/>
      </c>
      <c r="CU584" s="465" t="str">
        <f ca="1">IF(OR(CT584="",DA584="",CT584=DA584,COUNTIF(games.rv,CT584&amp;DA584)=0),"",CONCATENATE(CT584,DA584))</f>
        <v/>
      </c>
      <c r="CV584" s="360" t="str">
        <f ca="1">IF(CU584="","",CONCATENATE(VLOOKUP(CU584,games.r,9,FALSE),VLOOKUP(CU584,games.r,12,FALSE)))</f>
        <v/>
      </c>
      <c r="CW584" s="354" t="str">
        <f ca="1">IF(CU584="","",VLOOKUP(CU584,games.r,10,FALSE))</f>
        <v/>
      </c>
      <c r="CX584" s="354" t="str">
        <f ca="1">IF(CU584="","",VLOOKUP(CU584,games.r,13,FALSE))</f>
        <v/>
      </c>
      <c r="CY584" s="361" t="str">
        <f ca="1">IF(CU584="","",VLOOKUP(CU584,games.r,6,FALSE))</f>
        <v/>
      </c>
      <c r="CZ584" s="362" t="str">
        <f ca="1">IF(CU584="","",VLOOKUP(CU584,games.r,7,FALSE))</f>
        <v/>
      </c>
      <c r="DA584" s="379" t="str">
        <f>DA583</f>
        <v/>
      </c>
      <c r="DB584" s="302"/>
      <c r="DC584" s="364"/>
      <c r="DG584" s="366" t="str">
        <f ca="1">IF(OR(NOT(ASZTAB!$AJ$44),CT582),CT584,"")</f>
        <v/>
      </c>
      <c r="DH584" s="365"/>
      <c r="DI584" s="366">
        <f ca="1">IF(DG584="",0,COUNTIF(xxgy.rv,DG584))</f>
        <v>0</v>
      </c>
      <c r="DJ584" s="366">
        <f ca="1">IF(DG584="",0,COUNTIF(xxd.rv,DG584))</f>
        <v>0</v>
      </c>
      <c r="DK584" s="366">
        <f ca="1">IF(DG584="",0,1)*(SUMIF(xxo.rv,DG584,xxl.rv)+SUMIF(xxi.rv,DG584,xxk.rv))</f>
        <v>0</v>
      </c>
      <c r="DL584" s="366">
        <f ca="1">IF(DG584="",0,1)*(SUMIF(xxo.rv,DG584,xxk.rv)+SUMIF(xxi.rv,DG584,xxl.rv))</f>
        <v>0</v>
      </c>
      <c r="DM584" s="366">
        <f ca="1">DK584-DL584</f>
        <v>0</v>
      </c>
      <c r="DN584" s="366">
        <f ca="1">IF(DL584=0,0,DK584/DL584)</f>
        <v>0</v>
      </c>
      <c r="DO584" s="366">
        <f ca="1">ASZTAB!$AJ$48*DI584+IF(ASZTAB!$AJ$44,0,1)*DJ584</f>
        <v>0</v>
      </c>
      <c r="DP584" s="396">
        <f ca="1">DO584*1000000+IF(ASZTAB!$AJ$44,DN584,DM584)*1000*0</f>
        <v>0</v>
      </c>
      <c r="DQ584" s="424"/>
      <c r="DR584" s="424"/>
      <c r="DS584" s="424"/>
      <c r="DT584" s="366">
        <f ca="1">IF(OR(ISERR(DP584),ISNA(DP584)),0,DP584)</f>
        <v>0</v>
      </c>
      <c r="DU584" s="366">
        <f ca="1">IF(DT584=0,0,RANK(DT584,DT583:DT584,1))</f>
        <v>0</v>
      </c>
      <c r="DV584" s="366">
        <f ca="1">DU584*40000*IF(COUNTIF($EN$503:$EN$512,DG584)&gt;0,0,1)</f>
        <v>0</v>
      </c>
      <c r="DW584" s="424"/>
      <c r="DX584" s="424"/>
      <c r="DY584" s="424"/>
      <c r="DZ584" s="424"/>
      <c r="EA584" s="424"/>
      <c r="EB584" s="424"/>
    </row>
    <row r="585" spans="98:132" x14ac:dyDescent="0.25">
      <c r="CT585" s="522" t="str">
        <f>IF(NOT($AD$112),"",CT583)</f>
        <v/>
      </c>
      <c r="CU585" s="371" t="str">
        <f>IF(OR(CT585="",DA585="",CT585=DA585,ISNA(VLOOKUP(CONCATENATE(CT585,DA585),games.a,2,FALSE))),"",CONCATENATE(CT585,DA585))</f>
        <v/>
      </c>
      <c r="CV585" s="371" t="str">
        <f>IF(CU585="","",CONCATENATE(VLOOKUP(CU585,games.a,9,FALSE),VLOOKUP(CU585,games.a,12,FALSE)))</f>
        <v/>
      </c>
      <c r="CW585" s="369" t="str">
        <f>IF(CU585="","",VLOOKUP(CU585,games.a,10,FALSE))</f>
        <v/>
      </c>
      <c r="CX585" s="369" t="str">
        <f>IF(CU585="","",VLOOKUP(CU585,games.a,13,FALSE))</f>
        <v/>
      </c>
      <c r="CY585" s="423" t="str">
        <f>IF(CU585="","",VLOOKUP(CU585,games.a,6,FALSE))</f>
        <v/>
      </c>
      <c r="CZ585" s="409" t="str">
        <f>IF(CU585="","",VLOOKUP(CU585,games.a,7,FALSE))</f>
        <v/>
      </c>
      <c r="DA585" s="523" t="str">
        <f>DA584</f>
        <v/>
      </c>
      <c r="DB585" s="302"/>
      <c r="DC585" s="364"/>
      <c r="DG585" s="424"/>
      <c r="DH585" s="424"/>
      <c r="DI585" s="424"/>
      <c r="DJ585" s="424"/>
      <c r="DK585" s="424"/>
      <c r="DL585" s="424"/>
      <c r="DM585" s="424"/>
      <c r="DN585" s="424"/>
      <c r="DO585" s="424"/>
      <c r="DP585" s="424"/>
      <c r="DQ585" s="424"/>
      <c r="DR585" s="424"/>
      <c r="DS585" s="424"/>
      <c r="DT585" s="424"/>
      <c r="DU585" s="424"/>
      <c r="DV585" s="424"/>
      <c r="DW585" s="424"/>
      <c r="DX585" s="424"/>
      <c r="DY585" s="424"/>
      <c r="DZ585" s="424"/>
      <c r="EA585" s="424"/>
      <c r="EB585" s="424"/>
    </row>
    <row r="586" spans="98:132" x14ac:dyDescent="0.25">
      <c r="CT586" s="522" t="str">
        <f>IF(NOT($AD$112),"",CT584)</f>
        <v/>
      </c>
      <c r="CU586" s="371" t="str">
        <f>IF(OR(CT586="",DA586="",CT586=DA586,ISNA(VLOOKUP(CONCATENATE(CT586,DA586),games.a,2,FALSE))),"",CONCATENATE(CT586,DA586))</f>
        <v/>
      </c>
      <c r="CV586" s="371" t="str">
        <f>IF(CU586="","",CONCATENATE(VLOOKUP(CU586,games.a,9,FALSE),VLOOKUP(CU586,games.a,12,FALSE)))</f>
        <v/>
      </c>
      <c r="CW586" s="369" t="str">
        <f>IF(CU586="","",VLOOKUP(CU586,games.a,10,FALSE))</f>
        <v/>
      </c>
      <c r="CX586" s="369" t="str">
        <f>IF(CU586="","",VLOOKUP(CU586,games.a,13,FALSE))</f>
        <v/>
      </c>
      <c r="CY586" s="423" t="str">
        <f>IF(CU586="","",VLOOKUP(CU586,games.a,6,FALSE))</f>
        <v/>
      </c>
      <c r="CZ586" s="409" t="str">
        <f>IF(CU586="","",VLOOKUP(CU586,games.a,7,FALSE))</f>
        <v/>
      </c>
      <c r="DA586" s="523" t="str">
        <f>DA585</f>
        <v/>
      </c>
      <c r="DB586" s="302"/>
      <c r="DC586" s="364"/>
      <c r="DG586" s="424"/>
      <c r="DH586" s="424"/>
      <c r="DI586" s="424"/>
      <c r="DJ586" s="424"/>
      <c r="DK586" s="424"/>
      <c r="DL586" s="424"/>
      <c r="DM586" s="424"/>
      <c r="DN586" s="424"/>
      <c r="DO586" s="424"/>
      <c r="DP586" s="424"/>
      <c r="DQ586" s="424"/>
      <c r="DR586" s="424"/>
      <c r="DS586" s="424"/>
      <c r="DT586" s="424"/>
      <c r="DU586" s="424"/>
      <c r="DV586" s="424"/>
      <c r="DW586" s="424"/>
      <c r="DX586" s="424"/>
      <c r="DY586" s="424"/>
      <c r="DZ586" s="424"/>
      <c r="EA586" s="424"/>
      <c r="EB586" s="424"/>
    </row>
    <row r="587" spans="98:132" x14ac:dyDescent="0.25">
      <c r="CT587" s="301"/>
      <c r="CU587" s="458" t="s">
        <v>157</v>
      </c>
      <c r="CV587" s="458" t="s">
        <v>158</v>
      </c>
      <c r="CW587" s="459" t="s">
        <v>159</v>
      </c>
      <c r="CX587" s="459"/>
      <c r="CY587" s="460" t="s">
        <v>160</v>
      </c>
      <c r="CZ587" s="459" t="s">
        <v>135</v>
      </c>
      <c r="DA587" s="302"/>
      <c r="DB587" s="302"/>
      <c r="DC587" s="364"/>
      <c r="DG587" s="424"/>
      <c r="DH587" s="424"/>
      <c r="DI587" s="424"/>
      <c r="DJ587" s="424"/>
      <c r="DK587" s="424"/>
      <c r="DL587" s="424"/>
      <c r="DM587" s="424"/>
      <c r="DN587" s="424"/>
      <c r="DO587" s="424"/>
      <c r="DP587" s="424"/>
      <c r="DQ587" s="424"/>
      <c r="DR587" s="424"/>
      <c r="DS587" s="424"/>
      <c r="DT587" s="424"/>
      <c r="DU587" s="424"/>
      <c r="DV587" s="424"/>
      <c r="DW587" s="424"/>
      <c r="DX587" s="424"/>
      <c r="DY587" s="424"/>
      <c r="DZ587" s="424"/>
      <c r="EA587" s="424"/>
      <c r="EB587" s="424"/>
    </row>
    <row r="588" spans="98:132" x14ac:dyDescent="0.25">
      <c r="CT588" s="395" t="str">
        <f>CT583</f>
        <v/>
      </c>
      <c r="CU588" s="465" t="str">
        <f ca="1">IF(OR(CT588="",DA588="",CT588=DA588,COUNTIF(games.rv,CT588&amp;DA588)=0),"",CONCATENATE(CT588,DA588))</f>
        <v/>
      </c>
      <c r="CV588" s="360" t="str">
        <f ca="1">IF(CU588="","",CONCATENATE(VLOOKUP(CU588,games.r,9,FALSE),VLOOKUP(CU588,games.r,12,FALSE)))</f>
        <v/>
      </c>
      <c r="CW588" s="354" t="str">
        <f ca="1">IF(CU588="","",VLOOKUP(CU588,games.r,10,FALSE))</f>
        <v/>
      </c>
      <c r="CX588" s="354" t="str">
        <f ca="1">IF(CU588="","",VLOOKUP(CU588,games.r,13,FALSE))</f>
        <v/>
      </c>
      <c r="CY588" s="361" t="str">
        <f ca="1">IF(CU588="","",VLOOKUP(CU588,games.r,6,FALSE))</f>
        <v/>
      </c>
      <c r="CZ588" s="362" t="str">
        <f ca="1">IF(CU588="","",VLOOKUP(CU588,games.r,7,FALSE))</f>
        <v/>
      </c>
      <c r="DA588" s="466" t="str">
        <f>CT584</f>
        <v/>
      </c>
      <c r="DB588" s="302"/>
      <c r="DC588" s="364"/>
      <c r="DG588" s="424"/>
      <c r="DH588" s="424"/>
      <c r="DI588" s="424"/>
      <c r="DJ588" s="424"/>
      <c r="DK588" s="424"/>
      <c r="DL588" s="424"/>
      <c r="DM588" s="424"/>
      <c r="DN588" s="424"/>
      <c r="DO588" s="424"/>
      <c r="DP588" s="424"/>
      <c r="DQ588" s="424"/>
      <c r="DR588" s="424"/>
      <c r="DS588" s="424"/>
      <c r="DT588" s="424"/>
      <c r="DU588" s="424"/>
      <c r="DV588" s="424"/>
      <c r="DW588" s="424"/>
      <c r="DX588" s="424"/>
      <c r="DY588" s="424"/>
      <c r="DZ588" s="424"/>
      <c r="EA588" s="424"/>
      <c r="EB588" s="424"/>
    </row>
    <row r="589" spans="98:132" x14ac:dyDescent="0.25">
      <c r="CT589" s="395" t="str">
        <f>CT584</f>
        <v/>
      </c>
      <c r="CU589" s="465" t="str">
        <f ca="1">IF(OR(CT589="",DA589="",CT589=DA589,COUNTIF(games.rv,CT589&amp;DA589)=0),"",CONCATENATE(CT589,DA589))</f>
        <v/>
      </c>
      <c r="CV589" s="360" t="str">
        <f ca="1">IF(CU589="","",CONCATENATE(VLOOKUP(CU589,games.r,9,FALSE),VLOOKUP(CU589,games.r,12,FALSE)))</f>
        <v/>
      </c>
      <c r="CW589" s="354" t="str">
        <f ca="1">IF(CU589="","",VLOOKUP(CU589,games.r,10,FALSE))</f>
        <v/>
      </c>
      <c r="CX589" s="354" t="str">
        <f ca="1">IF(CU589="","",VLOOKUP(CU589,games.r,13,FALSE))</f>
        <v/>
      </c>
      <c r="CY589" s="361" t="str">
        <f ca="1">IF(CU589="","",VLOOKUP(CU589,games.r,6,FALSE))</f>
        <v/>
      </c>
      <c r="CZ589" s="362" t="str">
        <f ca="1">IF(CU589="","",VLOOKUP(CU589,games.r,7,FALSE))</f>
        <v/>
      </c>
      <c r="DA589" s="379" t="str">
        <f>DA588</f>
        <v/>
      </c>
      <c r="DB589" s="302"/>
      <c r="DC589" s="364"/>
      <c r="DG589" s="424"/>
      <c r="DH589" s="424"/>
      <c r="DI589" s="424"/>
      <c r="DJ589" s="424"/>
      <c r="DK589" s="424"/>
      <c r="DL589" s="424"/>
      <c r="DM589" s="424"/>
      <c r="DN589" s="424"/>
      <c r="DO589" s="424"/>
      <c r="DP589" s="424"/>
      <c r="DQ589" s="424"/>
      <c r="DR589" s="424"/>
      <c r="DS589" s="424"/>
      <c r="DT589" s="424"/>
      <c r="DU589" s="424"/>
      <c r="DV589" s="424"/>
      <c r="DW589" s="424"/>
      <c r="DX589" s="424"/>
      <c r="DY589" s="424"/>
      <c r="DZ589" s="424"/>
      <c r="EA589" s="424"/>
    </row>
    <row r="590" spans="98:132" x14ac:dyDescent="0.25">
      <c r="CT590" s="522" t="str">
        <f>CT585</f>
        <v/>
      </c>
      <c r="CU590" s="371" t="str">
        <f>IF(OR(CT590="",DA590="",CT590=DA590,ISNA(VLOOKUP(CONCATENATE(CT590,DA590),games.a,2,FALSE))),"",CONCATENATE(CT590,DA590))</f>
        <v/>
      </c>
      <c r="CV590" s="371" t="str">
        <f>IF(CU590="","",CONCATENATE(VLOOKUP(CU590,games.a,9,FALSE),VLOOKUP(CU590,games.a,12,FALSE)))</f>
        <v/>
      </c>
      <c r="CW590" s="369" t="str">
        <f>IF(CU590="","",VLOOKUP(CU590,games.a,10,FALSE))</f>
        <v/>
      </c>
      <c r="CX590" s="369" t="str">
        <f>IF(CU590="","",VLOOKUP(CU590,games.a,13,FALSE))</f>
        <v/>
      </c>
      <c r="CY590" s="423" t="str">
        <f>IF(CU590="","",VLOOKUP(CU590,games.a,6,FALSE))</f>
        <v/>
      </c>
      <c r="CZ590" s="409" t="str">
        <f>IF(CU590="","",VLOOKUP(CU590,games.a,7,FALSE))</f>
        <v/>
      </c>
      <c r="DA590" s="523" t="str">
        <f>DA589</f>
        <v/>
      </c>
      <c r="DB590" s="302"/>
      <c r="DC590" s="364"/>
      <c r="DG590" s="424"/>
      <c r="DH590" s="424"/>
      <c r="DI590" s="424"/>
      <c r="DJ590" s="424"/>
      <c r="DK590" s="424"/>
      <c r="DL590" s="424"/>
      <c r="DM590" s="424"/>
      <c r="DN590" s="424"/>
      <c r="DO590" s="424"/>
      <c r="DP590" s="424"/>
      <c r="DQ590" s="424"/>
      <c r="DR590" s="424"/>
      <c r="DS590" s="424"/>
      <c r="DT590" s="424"/>
      <c r="DU590" s="424"/>
      <c r="DV590" s="424"/>
      <c r="DW590" s="424"/>
      <c r="DX590" s="424"/>
      <c r="DY590" s="424"/>
      <c r="DZ590" s="424"/>
      <c r="EA590" s="424"/>
    </row>
    <row r="591" spans="98:132" x14ac:dyDescent="0.25">
      <c r="CT591" s="522" t="str">
        <f>CT586</f>
        <v/>
      </c>
      <c r="CU591" s="371" t="str">
        <f>IF(OR(CT591="",DA591="",CT591=DA591,ISNA(VLOOKUP(CONCATENATE(CT591,DA591),games.a,2,FALSE))),"",CONCATENATE(CT591,DA591))</f>
        <v/>
      </c>
      <c r="CV591" s="371" t="str">
        <f>IF(CU591="","",CONCATENATE(VLOOKUP(CU591,games.a,9,FALSE),VLOOKUP(CU591,games.a,12,FALSE)))</f>
        <v/>
      </c>
      <c r="CW591" s="369" t="str">
        <f>IF(CU591="","",VLOOKUP(CU591,games.a,10,FALSE))</f>
        <v/>
      </c>
      <c r="CX591" s="369" t="str">
        <f>IF(CU591="","",VLOOKUP(CU591,games.a,13,FALSE))</f>
        <v/>
      </c>
      <c r="CY591" s="423" t="str">
        <f>IF(CU591="","",VLOOKUP(CU591,games.a,6,FALSE))</f>
        <v/>
      </c>
      <c r="CZ591" s="409" t="str">
        <f>IF(CU591="","",VLOOKUP(CU591,games.a,7,FALSE))</f>
        <v/>
      </c>
      <c r="DA591" s="523" t="str">
        <f>DA590</f>
        <v/>
      </c>
      <c r="DB591" s="302"/>
      <c r="DC591" s="364"/>
      <c r="DG591" s="424"/>
      <c r="DH591" s="424"/>
      <c r="DI591" s="424"/>
      <c r="DJ591" s="424"/>
      <c r="DK591" s="424"/>
      <c r="DL591" s="424"/>
      <c r="DM591" s="424"/>
      <c r="DN591" s="424"/>
      <c r="DO591" s="424"/>
      <c r="DP591" s="424"/>
      <c r="DQ591" s="424"/>
      <c r="DR591" s="424"/>
      <c r="DS591" s="424"/>
      <c r="DT591" s="424"/>
      <c r="DU591" s="424"/>
      <c r="DV591" s="424"/>
      <c r="DW591" s="424"/>
      <c r="DX591" s="424"/>
      <c r="DY591" s="424"/>
      <c r="DZ591" s="424"/>
      <c r="EA591" s="424"/>
    </row>
    <row r="592" spans="98:132" x14ac:dyDescent="0.25">
      <c r="CT592" s="301"/>
      <c r="CU592" s="302"/>
      <c r="CV592" s="302"/>
      <c r="CW592" s="302"/>
      <c r="CX592" s="302"/>
      <c r="CY592" s="302"/>
      <c r="CZ592" s="302"/>
      <c r="DA592" s="302"/>
      <c r="DB592" s="302"/>
      <c r="DC592" s="446" t="s">
        <v>372</v>
      </c>
      <c r="DG592" s="424"/>
      <c r="DH592" s="424"/>
      <c r="DI592" s="424"/>
      <c r="DJ592" s="424"/>
      <c r="DK592" s="424"/>
      <c r="DL592" s="424"/>
      <c r="DM592" s="424"/>
      <c r="DN592" s="424"/>
      <c r="DO592" s="424"/>
      <c r="DP592" s="424"/>
      <c r="DQ592" s="424"/>
      <c r="DR592" s="424"/>
      <c r="DS592" s="424"/>
      <c r="DT592" s="424"/>
      <c r="DU592" s="424"/>
      <c r="DV592" s="424"/>
      <c r="DW592" s="424"/>
      <c r="DX592" s="424"/>
      <c r="DY592" s="424"/>
      <c r="DZ592" s="424"/>
      <c r="EA592" s="424"/>
    </row>
    <row r="594" spans="80:146" x14ac:dyDescent="0.25">
      <c r="CB594" s="296"/>
      <c r="CC594" s="296"/>
      <c r="CD594" s="296"/>
      <c r="CE594" s="296"/>
      <c r="CF594" s="296"/>
      <c r="CG594" s="296"/>
      <c r="CR594" s="296"/>
      <c r="CS594" s="300"/>
      <c r="CT594" s="301"/>
      <c r="CU594" s="302"/>
      <c r="CV594" s="302"/>
      <c r="CW594" s="302"/>
      <c r="CX594" s="302"/>
      <c r="CY594" s="302"/>
      <c r="CZ594" s="302"/>
      <c r="DA594" s="302"/>
      <c r="DB594" s="302"/>
      <c r="DC594" s="303"/>
      <c r="DD594" s="302"/>
      <c r="DV594" s="305"/>
    </row>
    <row r="595" spans="80:146" x14ac:dyDescent="0.25">
      <c r="CB595" s="296"/>
      <c r="CC595" s="467" t="s">
        <v>212</v>
      </c>
      <c r="CD595" s="467" t="s">
        <v>422</v>
      </c>
      <c r="CE595" s="467" t="s">
        <v>423</v>
      </c>
      <c r="CF595" s="296"/>
      <c r="CG595" s="296"/>
      <c r="CI595" s="468" t="str">
        <f ca="1">IF(CH596=0,"xxx",VLOOKUP(CH596,CC596:CF605,IF(ASZTAB!$AJ$44,3,2),FALSE))</f>
        <v>xxx</v>
      </c>
      <c r="CJ595" s="469"/>
      <c r="CK595" s="470" t="s">
        <v>216</v>
      </c>
      <c r="CL595" s="468" t="str">
        <f ca="1">IF(CH597=0,"xxx",VLOOKUP(CH597,CC596:CF605,IF(ASZTAB!$AJ$44,3,2),FALSE))</f>
        <v>xxx</v>
      </c>
      <c r="CM595" s="469"/>
      <c r="CN595" s="470" t="s">
        <v>218</v>
      </c>
      <c r="CO595" s="468" t="str">
        <f ca="1">IF(CH598=0,"xxx",VLOOKUP(CH598,CC596:CF605,IF(ASZTAB!$AJ$44,3,2),FALSE))</f>
        <v>xxx</v>
      </c>
      <c r="CP595" s="469"/>
      <c r="CQ595" s="470" t="s">
        <v>219</v>
      </c>
      <c r="CR595" s="296"/>
      <c r="CS595" s="300"/>
      <c r="CT595" s="323" t="b">
        <f ca="1">OR(NOT(ASZTAB!$AJ$44),COUNTIF(CY595:CY649,"")&lt;=50-(DA595-1)*DA595/2)</f>
        <v>1</v>
      </c>
      <c r="CU595" s="471" t="s">
        <v>157</v>
      </c>
      <c r="CV595" s="471" t="s">
        <v>158</v>
      </c>
      <c r="CW595" s="472" t="s">
        <v>159</v>
      </c>
      <c r="CX595" s="472"/>
      <c r="CY595" s="473" t="s">
        <v>160</v>
      </c>
      <c r="CZ595" s="472" t="s">
        <v>135</v>
      </c>
      <c r="DA595" s="323">
        <f ca="1">COUNT(CK596:CK600)</f>
        <v>0</v>
      </c>
      <c r="DB595" s="302"/>
      <c r="DC595" s="327" t="s">
        <v>216</v>
      </c>
      <c r="DD595" s="302"/>
      <c r="DF595" s="328"/>
      <c r="DG595" s="329" t="s">
        <v>223</v>
      </c>
      <c r="DH595" s="329" t="s">
        <v>224</v>
      </c>
      <c r="DI595" s="329" t="s">
        <v>152</v>
      </c>
      <c r="DK595" s="329" t="s">
        <v>154</v>
      </c>
      <c r="DL595" s="329" t="s">
        <v>155</v>
      </c>
      <c r="DN595" s="329" t="s">
        <v>226</v>
      </c>
      <c r="DP595" s="329" t="s">
        <v>227</v>
      </c>
      <c r="DT595" s="329" t="s">
        <v>228</v>
      </c>
      <c r="DU595" s="329" t="s">
        <v>156</v>
      </c>
      <c r="DV595" s="329" t="s">
        <v>208</v>
      </c>
      <c r="DX595" s="329" t="s">
        <v>212</v>
      </c>
      <c r="DY595" s="330" t="s">
        <v>227</v>
      </c>
      <c r="DZ595" s="329" t="s">
        <v>225</v>
      </c>
      <c r="EA595" s="328"/>
      <c r="EB595" s="328"/>
      <c r="EC595" s="328"/>
      <c r="ED595" s="331" t="str">
        <f ca="1">IF(EC596=0,"xxx",VLOOKUP(EC596,DX596:EA600,IF(ASZTAB!$AJ$54,2,3),FALSE))</f>
        <v>xxx</v>
      </c>
      <c r="EE595" s="328"/>
      <c r="EF595" s="328"/>
      <c r="EG595" s="331" t="str">
        <f ca="1">IF(EC597=0,"xxx",VLOOKUP(EC597,DX596:EA600,IF(ASZTAB!$AJ$54,2,3),FALSE))</f>
        <v>xxx</v>
      </c>
      <c r="EH595" s="328"/>
      <c r="EI595" s="328"/>
      <c r="EM595" s="328"/>
      <c r="EN595" s="471"/>
      <c r="EO595" s="332"/>
      <c r="EP595" s="333"/>
    </row>
    <row r="596" spans="80:146" x14ac:dyDescent="0.25">
      <c r="CB596" s="350"/>
      <c r="CC596" s="474">
        <f ca="1">IF(ASZTAB!$AJ$44,COUNTIF($BI$129:$BI$138,CE596)*IF(CE596=0,0,1),COUNTIF($BG$129:$BG$138,CD596)*IF(CD596=0,0,1))+CF596/1000</f>
        <v>1.0009999999999999</v>
      </c>
      <c r="CD596" s="352">
        <f ca="1">LARGE($BG$129:$BG$138,CF596)</f>
        <v>21</v>
      </c>
      <c r="CE596" s="353">
        <f ca="1">LARGE($BI$129:$BI$138,CF596)</f>
        <v>0.95</v>
      </c>
      <c r="CF596" s="354">
        <v>1</v>
      </c>
      <c r="CG596" s="350"/>
      <c r="CH596" s="475">
        <f ca="1">IF(LARGE(CC596:CC605,CF596)&lt;2,0,LARGE(CC596:CC605,CF596))</f>
        <v>0</v>
      </c>
      <c r="CI596" s="356" t="str">
        <f ca="1">IF(OR(CI$595=$BG129,CI$595=$BI129),$AW129,"")</f>
        <v/>
      </c>
      <c r="CJ596" s="357" t="str">
        <f t="shared" ref="CJ596:CJ605" ca="1" si="397">IF(CI596="","",CF596)</f>
        <v/>
      </c>
      <c r="CK596" s="476" t="str">
        <f ca="1">IF(ISERR(LARGE(CJ596:CJ605,CF596)),"",LARGE(CJ596:CJ605,CF596))</f>
        <v/>
      </c>
      <c r="CL596" s="356" t="str">
        <f ca="1">IF(OR(CL$595=$BG129,CL$595=$BI129),$AW129,"")</f>
        <v/>
      </c>
      <c r="CM596" s="357" t="str">
        <f t="shared" ref="CM596:CM605" ca="1" si="398">IF(CL596="","",CF596)</f>
        <v/>
      </c>
      <c r="CN596" s="476" t="str">
        <f ca="1">IF(ISERR(LARGE(CM596:CM605,CF596)),"",LARGE(CM596:CM605,CF596))</f>
        <v/>
      </c>
      <c r="CO596" s="356" t="str">
        <f ca="1">IF(OR(CO$595=$BG129,CO$595=$BI129),$AW129,"")</f>
        <v/>
      </c>
      <c r="CP596" s="357" t="str">
        <f t="shared" ref="CP596:CP605" ca="1" si="399">IF(CO596="","",CF596)</f>
        <v/>
      </c>
      <c r="CQ596" s="476" t="str">
        <f ca="1">IF(ISERR(LARGE(CP596:CP605,CF596)),"",LARGE(CP596:CP605,CF596))</f>
        <v/>
      </c>
      <c r="CR596" s="350"/>
      <c r="CS596" s="300"/>
      <c r="CT596" s="477" t="str">
        <f ca="1">IF(CK596="","",VLOOKUP(CK596,xxx.rn1,4,FALSE))</f>
        <v/>
      </c>
      <c r="CU596" s="478" t="str">
        <f ca="1">IF(OR(CT596="",DA596="",CT596=DA596,COUNTIF(games.rn,CT596&amp;DA596)=0),"",CONCATENATE(CT596,DA596))</f>
        <v/>
      </c>
      <c r="CV596" s="360" t="str">
        <f ca="1">IF(CU596="","",CONCATENATE(VLOOKUP(CU596,games.r,9,FALSE),VLOOKUP(CU596,games.r,12,FALSE)))</f>
        <v/>
      </c>
      <c r="CW596" s="354" t="str">
        <f ca="1">IF(CU596="","",VLOOKUP(CU596,games.r,10,FALSE))</f>
        <v/>
      </c>
      <c r="CX596" s="354" t="str">
        <f ca="1">IF(CU596="","",VLOOKUP(CU596,games.r,13,FALSE))</f>
        <v/>
      </c>
      <c r="CY596" s="361" t="str">
        <f ca="1">IF(CU596="","",VLOOKUP(CU596,games.r,6,FALSE))</f>
        <v/>
      </c>
      <c r="CZ596" s="362" t="str">
        <f ca="1">IF(CU596="","",VLOOKUP(CU596,games.r,7,FALSE))</f>
        <v/>
      </c>
      <c r="DA596" s="479" t="str">
        <f ca="1">CT596</f>
        <v/>
      </c>
      <c r="DB596" s="302"/>
      <c r="DC596" s="364"/>
      <c r="DD596" s="302"/>
      <c r="DF596" s="365"/>
      <c r="DG596" s="366" t="str">
        <f ca="1">IF(AND(ASZTAB!$AJ$44,CT595,DA595&lt;&gt;2),CT596,"")</f>
        <v/>
      </c>
      <c r="DH596" s="366">
        <f ca="1">IF(DG596="",-1,COUNTIF(xxgy.rn,DG596))</f>
        <v>-1</v>
      </c>
      <c r="DI596" s="366">
        <f ca="1">IF(DG596="",0,COUNTIF(yygy.rn,DG596))</f>
        <v>0</v>
      </c>
      <c r="DK596" s="366">
        <f ca="1">IF(DG596="",0,1)*(SUMIF(yyo.rn,DG596,yyl.rn)+SUMIF(yyi.rn,DG596,yyk.rn))</f>
        <v>0</v>
      </c>
      <c r="DL596" s="366">
        <f ca="1">IF(DG596="",0,1)*(SUMIF(yyo.rn,DG596,yyk.rn)+SUMIF(yyi.rn,DG596,yyl.rn))</f>
        <v>0</v>
      </c>
      <c r="DN596" s="366">
        <f ca="1">IF(DL596=0,0,DK596/DL596)</f>
        <v>0</v>
      </c>
      <c r="DP596" s="366">
        <f ca="1">DH596*1000000+DI596*1000+DN596</f>
        <v>-1000000</v>
      </c>
      <c r="DT596" s="366">
        <f ca="1">IF(OR(ISERR(DP596),ISNA(DP596),DH596&lt;0),0,DP596)</f>
        <v>0</v>
      </c>
      <c r="DU596" s="366">
        <f ca="1">IF(DT596=0,0,RANK(DT596,DT596:DT600,1))</f>
        <v>0</v>
      </c>
      <c r="DV596" s="366">
        <f ca="1">DU596*40000*IF(COUNTIF($EN$596:$EN$605,DG596)&gt;0,0,1)</f>
        <v>0</v>
      </c>
      <c r="DX596" s="367">
        <f ca="1">IF(ASZTAB!$AJ$54,COUNTIF(DP602:DP606,DY596)*IF(DY596=0,0,1),COUNTIF(DH596:DH600,DZ596)*IF(DZ596&lt;0,0,1))+EA596/1000</f>
        <v>1E-3</v>
      </c>
      <c r="DY596" s="367">
        <f ca="1">LARGE(DP602:DP606,EA596)</f>
        <v>0</v>
      </c>
      <c r="DZ596" s="369">
        <f ca="1">LARGE(DH596:DH600,EA596)</f>
        <v>-1</v>
      </c>
      <c r="EA596" s="369">
        <v>1</v>
      </c>
      <c r="EB596" s="365"/>
      <c r="EC596" s="370">
        <f ca="1">IF(LARGE(DX596:DX600,EA596)&lt;2,0,LARGE(DX596:DX600,EA596))</f>
        <v>0</v>
      </c>
      <c r="ED596" s="371" t="str">
        <f ca="1">IF(DH596=ED595,DG596,IF(DP602=ED595,DG602,""))</f>
        <v/>
      </c>
      <c r="EE596" s="369" t="str">
        <f ca="1">IF(ED596="","",EA596)</f>
        <v/>
      </c>
      <c r="EF596" s="372" t="str">
        <f ca="1">IF(ISERR(LARGE(EE596:EE600,EA596)),"",LARGE(EE596:EE600,EA596))</f>
        <v/>
      </c>
      <c r="EG596" s="371" t="str">
        <f ca="1">IF(DH596=EG595,DG596,IF(DP602=EG595,DG602,""))</f>
        <v/>
      </c>
      <c r="EH596" s="369" t="str">
        <f ca="1">IF(EG596="","",EA596)</f>
        <v/>
      </c>
      <c r="EI596" s="372" t="str">
        <f ca="1">IF(ISERR(LARGE(EH596:EH600,EA596)),"",LARGE(EH596:EH600,EA596))</f>
        <v/>
      </c>
      <c r="EM596" s="365"/>
      <c r="EN596" s="366"/>
      <c r="EO596" s="373"/>
      <c r="EP596" s="333"/>
    </row>
    <row r="597" spans="80:146" x14ac:dyDescent="0.25">
      <c r="CB597" s="350"/>
      <c r="CC597" s="353">
        <f ca="1">IF(ASZTAB!$AJ$44,COUNTIF($BI$129:$BI$138,CE597)*IF(OR(CE597=0,CE597=CE596),0,1),COUNTIF($BG$129:$BG$138,CD597)*IF(OR(CD597=0,CD597=CD596),0,1))+CF597/1000</f>
        <v>1.002</v>
      </c>
      <c r="CD597" s="352">
        <f t="shared" ref="CD597:CD605" ca="1" si="400">LARGE($BG$129:$BG$138,CF597)</f>
        <v>20</v>
      </c>
      <c r="CE597" s="353">
        <f t="shared" ref="CE597:CE605" ca="1" si="401">LARGE($BI$129:$BI$138,CF597)</f>
        <v>0.9</v>
      </c>
      <c r="CF597" s="354">
        <v>2</v>
      </c>
      <c r="CG597" s="350"/>
      <c r="CH597" s="475">
        <f ca="1">IF(LARGE(CC596:CC605,CF597)&lt;2,0,LARGE(CC596:CC605,CF597))</f>
        <v>0</v>
      </c>
      <c r="CI597" s="356" t="str">
        <f t="shared" ref="CI597:CI605" ca="1" si="402">IF(OR(CI$595=$BG130,CI$595=$BI130),$AW130,"")</f>
        <v/>
      </c>
      <c r="CJ597" s="357" t="str">
        <f t="shared" ca="1" si="397"/>
        <v/>
      </c>
      <c r="CK597" s="476" t="str">
        <f ca="1">IF(ISERR(LARGE(CJ596:CJ605,CF597)),"",LARGE(CJ596:CJ605,CF597))</f>
        <v/>
      </c>
      <c r="CL597" s="356" t="str">
        <f t="shared" ref="CL597:CL605" ca="1" si="403">IF(OR(CL$595=$BG130,CL$595=$BI130),$AW130,"")</f>
        <v/>
      </c>
      <c r="CM597" s="357" t="str">
        <f t="shared" ca="1" si="398"/>
        <v/>
      </c>
      <c r="CN597" s="476" t="str">
        <f ca="1">IF(ISERR(LARGE(CM596:CM605,CF597)),"",LARGE(CM596:CM605,CF597))</f>
        <v/>
      </c>
      <c r="CO597" s="356" t="str">
        <f t="shared" ref="CO597:CO605" ca="1" si="404">IF(OR(CO$595=$BG130,CO$595=$BI130),$AW130,"")</f>
        <v/>
      </c>
      <c r="CP597" s="357" t="str">
        <f t="shared" ca="1" si="399"/>
        <v/>
      </c>
      <c r="CQ597" s="476" t="str">
        <f ca="1">IF(ISERR(LARGE(CP596:CP605,CF597)),"",LARGE(CP596:CP605,CF597))</f>
        <v/>
      </c>
      <c r="CR597" s="350"/>
      <c r="CS597" s="300"/>
      <c r="CT597" s="477" t="str">
        <f ca="1">IF(CK597="","",VLOOKUP(CK597,xxx.rn1,4,FALSE))</f>
        <v/>
      </c>
      <c r="CU597" s="478" t="str">
        <f ca="1">IF(OR(CT597="",DA597="",CT597=DA597,COUNTIF(games.rn,CT597&amp;DA597)=0),"",CONCATENATE(CT597,DA597))</f>
        <v/>
      </c>
      <c r="CV597" s="360" t="str">
        <f ca="1">IF(CU597="","",CONCATENATE(VLOOKUP(CU597,games.r,9,FALSE),VLOOKUP(CU597,games.r,12,FALSE)))</f>
        <v/>
      </c>
      <c r="CW597" s="354" t="str">
        <f ca="1">IF(CU597="","",VLOOKUP(CU597,games.r,10,FALSE))</f>
        <v/>
      </c>
      <c r="CX597" s="354" t="str">
        <f ca="1">IF(CU597="","",VLOOKUP(CU597,games.r,13,FALSE))</f>
        <v/>
      </c>
      <c r="CY597" s="361" t="str">
        <f ca="1">IF(CU597="","",VLOOKUP(CU597,games.r,6,FALSE))</f>
        <v/>
      </c>
      <c r="CZ597" s="362" t="str">
        <f ca="1">IF(CU597="","",VLOOKUP(CU597,games.r,7,FALSE))</f>
        <v/>
      </c>
      <c r="DA597" s="379" t="str">
        <f ca="1">DA596</f>
        <v/>
      </c>
      <c r="DB597" s="302"/>
      <c r="DC597" s="364"/>
      <c r="DD597" s="302"/>
      <c r="DF597" s="365"/>
      <c r="DG597" s="366" t="str">
        <f ca="1">IF(AND(ASZTAB!$AJ$44,CT595,DA595&lt;&gt;2),CT597,"")</f>
        <v/>
      </c>
      <c r="DH597" s="366">
        <f ca="1">IF(DG597="",-1,COUNTIF(xxgy.rn,DG597))</f>
        <v>-1</v>
      </c>
      <c r="DI597" s="366">
        <f ca="1">IF(DG597="",0,COUNTIF(yygy.rn,DG597))</f>
        <v>0</v>
      </c>
      <c r="DK597" s="366">
        <f ca="1">IF(DG597="",0,1)*(SUMIF(yyo.rn,DG597,yyl.rn)+SUMIF(yyi.rn,DG597,yyk.rn))</f>
        <v>0</v>
      </c>
      <c r="DL597" s="366">
        <f ca="1">IF(DG597="",0,1)*(SUMIF(yyo.rn,DG597,yyk.rn)+SUMIF(yyi.rn,DG597,yyl.rn))</f>
        <v>0</v>
      </c>
      <c r="DN597" s="366">
        <f ca="1">IF(DL597=0,0,DK597/DL597)</f>
        <v>0</v>
      </c>
      <c r="DP597" s="366">
        <f ca="1">DH597*1000000+DI597*1000+DN597</f>
        <v>-1000000</v>
      </c>
      <c r="DT597" s="366">
        <f ca="1">IF(OR(ISERR(DP597),ISNA(DP597),DH597&lt;0),0,DP597)</f>
        <v>0</v>
      </c>
      <c r="DU597" s="366">
        <f ca="1">IF(DT597=0,0,RANK(DT597,DT596:DT600,1))</f>
        <v>0</v>
      </c>
      <c r="DV597" s="366">
        <f ca="1">DU597*40000*IF(COUNTIF($EN$596:$EN$605,DG597)&gt;0,0,1)</f>
        <v>0</v>
      </c>
      <c r="DX597" s="367">
        <f ca="1">IF(ASZTAB!$AJ$54,COUNTIF(DP602:DP606,DY596)*IF(OR(DY597=0,DY597=DY596),0,1),COUNTIF(DH596:DH600,DZ597)*IF(OR(DZ597=DZ596,DZ597&lt;0),0,1))+EA597/1000</f>
        <v>2E-3</v>
      </c>
      <c r="DY597" s="367">
        <f ca="1">LARGE(DP602:DP606,EA597)</f>
        <v>0</v>
      </c>
      <c r="DZ597" s="369">
        <f ca="1">LARGE(DH596:DH600,EA597)</f>
        <v>-1</v>
      </c>
      <c r="EA597" s="369">
        <v>2</v>
      </c>
      <c r="EB597" s="365"/>
      <c r="EC597" s="370">
        <f ca="1">IF(LARGE(DX596:DX600,EA597)&lt;2,0,LARGE(DX596:DX600,EA597))</f>
        <v>0</v>
      </c>
      <c r="ED597" s="371" t="str">
        <f ca="1">IF(DH597=ED595,DG597,IF(DP603=ED595,DG603,""))</f>
        <v/>
      </c>
      <c r="EE597" s="369" t="str">
        <f ca="1">IF(ED597="","",EA597)</f>
        <v/>
      </c>
      <c r="EF597" s="372" t="str">
        <f ca="1">IF(ISERR(LARGE(EE596:EE600,EA597)),"",LARGE(EE596:EE600,EA597))</f>
        <v/>
      </c>
      <c r="EG597" s="371" t="str">
        <f ca="1">IF(DH597=EG595,DG597,IF(DP603=EG595,DG603,""))</f>
        <v/>
      </c>
      <c r="EH597" s="369" t="str">
        <f ca="1">IF(EG597="","",EA597)</f>
        <v/>
      </c>
      <c r="EI597" s="372" t="str">
        <f ca="1">IF(ISERR(LARGE(EH596:EH600,EA597)),"",LARGE(EH596:EH600,EA597))</f>
        <v/>
      </c>
      <c r="EM597" s="365"/>
      <c r="EN597" s="366"/>
      <c r="EO597" s="373"/>
      <c r="EP597" s="333"/>
    </row>
    <row r="598" spans="80:146" x14ac:dyDescent="0.25">
      <c r="CB598" s="350"/>
      <c r="CC598" s="353">
        <f ca="1">IF(ASZTAB!$AJ$44,COUNTIF($BI$129:$BI$138,CE598)*IF(OR(CE598=0,CE598=CE597),0,1),COUNTIF($BG$129:$BG$138,CD598)*IF(OR(CD598=0,CD598=CD597),0,1))+CF598/1000</f>
        <v>1.0029999999999999</v>
      </c>
      <c r="CD598" s="352">
        <f t="shared" ca="1" si="400"/>
        <v>18</v>
      </c>
      <c r="CE598" s="353">
        <f t="shared" ca="1" si="401"/>
        <v>0.8</v>
      </c>
      <c r="CF598" s="354">
        <v>3</v>
      </c>
      <c r="CG598" s="350"/>
      <c r="CH598" s="475">
        <f ca="1">IF(LARGE(CC596:CC605,CF598)&lt;2,0,LARGE(CC596:CC605,CF598))</f>
        <v>0</v>
      </c>
      <c r="CI598" s="356" t="str">
        <f t="shared" ca="1" si="402"/>
        <v/>
      </c>
      <c r="CJ598" s="357" t="str">
        <f t="shared" ca="1" si="397"/>
        <v/>
      </c>
      <c r="CK598" s="476" t="str">
        <f ca="1">IF(ISERR(LARGE(CJ596:CJ605,CF598)),"",LARGE(CJ596:CJ605,CF598))</f>
        <v/>
      </c>
      <c r="CL598" s="356" t="str">
        <f t="shared" ca="1" si="403"/>
        <v/>
      </c>
      <c r="CM598" s="357" t="str">
        <f t="shared" ca="1" si="398"/>
        <v/>
      </c>
      <c r="CN598" s="476" t="str">
        <f ca="1">IF(ISERR(LARGE(CM596:CM605,CF598)),"",LARGE(CM596:CM605,CF598))</f>
        <v/>
      </c>
      <c r="CO598" s="356" t="str">
        <f t="shared" ca="1" si="404"/>
        <v/>
      </c>
      <c r="CP598" s="357" t="str">
        <f t="shared" ca="1" si="399"/>
        <v/>
      </c>
      <c r="CQ598" s="380"/>
      <c r="CR598" s="350"/>
      <c r="CS598" s="300"/>
      <c r="CT598" s="477" t="str">
        <f ca="1">IF(CK598="","",VLOOKUP(CK598,xxx.rn1,4,FALSE))</f>
        <v/>
      </c>
      <c r="CU598" s="478" t="str">
        <f ca="1">IF(OR(CT598="",DA598="",CT598=DA598,COUNTIF(games.rn,CT598&amp;DA598)=0),"",CONCATENATE(CT598,DA598))</f>
        <v/>
      </c>
      <c r="CV598" s="360" t="str">
        <f ca="1">IF(CU598="","",CONCATENATE(VLOOKUP(CU598,games.r,9,FALSE),VLOOKUP(CU598,games.r,12,FALSE)))</f>
        <v/>
      </c>
      <c r="CW598" s="354" t="str">
        <f ca="1">IF(CU598="","",VLOOKUP(CU598,games.r,10,FALSE))</f>
        <v/>
      </c>
      <c r="CX598" s="354" t="str">
        <f ca="1">IF(CU598="","",VLOOKUP(CU598,games.r,13,FALSE))</f>
        <v/>
      </c>
      <c r="CY598" s="361" t="str">
        <f ca="1">IF(CU598="","",VLOOKUP(CU598,games.r,6,FALSE))</f>
        <v/>
      </c>
      <c r="CZ598" s="362" t="str">
        <f ca="1">IF(CU598="","",VLOOKUP(CU598,games.r,7,FALSE))</f>
        <v/>
      </c>
      <c r="DA598" s="379" t="str">
        <f t="shared" ref="DA598:DA605" ca="1" si="405">DA597</f>
        <v/>
      </c>
      <c r="DB598" s="302"/>
      <c r="DC598" s="364"/>
      <c r="DD598" s="302"/>
      <c r="DF598" s="365"/>
      <c r="DG598" s="366" t="str">
        <f ca="1">IF(AND(ASZTAB!$AJ$44,CT595,DA595&lt;&gt;2),CT598,"")</f>
        <v/>
      </c>
      <c r="DH598" s="366">
        <f ca="1">IF(DG598="",-1,COUNTIF(xxgy.rn,DG598))</f>
        <v>-1</v>
      </c>
      <c r="DI598" s="366">
        <f ca="1">IF(DG598="",0,COUNTIF(yygy.rn,DG598))</f>
        <v>0</v>
      </c>
      <c r="DK598" s="366">
        <f ca="1">IF(DG598="",0,1)*(SUMIF(yyo.rn,DG598,yyl.rn)+SUMIF(yyi.rn,DG598,yyk.rn))</f>
        <v>0</v>
      </c>
      <c r="DL598" s="366">
        <f ca="1">IF(DG598="",0,1)*(SUMIF(yyo.rn,DG598,yyk.rn)+SUMIF(yyi.rn,DG598,yyl.rn))</f>
        <v>0</v>
      </c>
      <c r="DN598" s="366">
        <f ca="1">IF(DL598=0,0,DK598/DL598)</f>
        <v>0</v>
      </c>
      <c r="DP598" s="366">
        <f ca="1">DH598*1000000+DI598*1000+DN598</f>
        <v>-1000000</v>
      </c>
      <c r="DT598" s="366">
        <f ca="1">IF(OR(ISERR(DP598),ISNA(DP598),DH598&lt;0),0,DP598)</f>
        <v>0</v>
      </c>
      <c r="DU598" s="366">
        <f ca="1">IF(DT598=0,0,RANK(DT598,DT596:DT600,1))</f>
        <v>0</v>
      </c>
      <c r="DV598" s="366">
        <f ca="1">DU598*40000*IF(COUNTIF($EN$596:$EN$605,DG598)&gt;0,0,1)</f>
        <v>0</v>
      </c>
      <c r="DW598" s="365"/>
      <c r="DX598" s="367">
        <f ca="1">IF(ASZTAB!$AJ$54,COUNTIF(DP602:DP606,DY597)*IF(OR(DY598=0,DY598=DY597),0,1),COUNTIF(DH596:DH600,DZ598)*IF(OR(DZ598=DZ597,DZ598&lt;0),0,1))+EA598/1000</f>
        <v>3.0000000000000001E-3</v>
      </c>
      <c r="DY598" s="367">
        <f ca="1">LARGE(DP602:DP606,EA598)</f>
        <v>0</v>
      </c>
      <c r="DZ598" s="369">
        <f ca="1">LARGE(DH596:DH600,EA598)</f>
        <v>-1</v>
      </c>
      <c r="EA598" s="369">
        <v>3</v>
      </c>
      <c r="EB598" s="365"/>
      <c r="EC598" s="365"/>
      <c r="ED598" s="371" t="str">
        <f ca="1">IF(DH598=ED595,DG598,IF(DP604=ED595,DG604,""))</f>
        <v/>
      </c>
      <c r="EE598" s="369" t="str">
        <f ca="1">IF(ED598="","",EA598)</f>
        <v/>
      </c>
      <c r="EF598" s="388" t="str">
        <f ca="1">IF(ISERR(LARGE(EE596:EE600,EA598)),"",LARGE(EE596:EE600,EA598))</f>
        <v/>
      </c>
      <c r="EG598" s="371" t="str">
        <f ca="1">IF(DH598=EG595,DG598,IF(DP604=EG595,DG604,""))</f>
        <v/>
      </c>
      <c r="EH598" s="369" t="str">
        <f ca="1">IF(EG598="","",EA598)</f>
        <v/>
      </c>
      <c r="EI598" s="381"/>
      <c r="EM598" s="365"/>
      <c r="EN598" s="366"/>
      <c r="EO598" s="373"/>
      <c r="EP598" s="333"/>
    </row>
    <row r="599" spans="80:146" x14ac:dyDescent="0.25">
      <c r="CB599" s="350"/>
      <c r="CC599" s="353">
        <f ca="1">IF(ASZTAB!$AJ$44,COUNTIF($BI$129:$BI$138,CE599)*IF(OR(CE599=0,CE599=CE598),0,1),COUNTIF($BG$129:$BG$138,CD599)*IF(OR(CD599=0,CD599=CD598),0,1))+CF599/1000</f>
        <v>1.004</v>
      </c>
      <c r="CD599" s="352">
        <f t="shared" ca="1" si="400"/>
        <v>10</v>
      </c>
      <c r="CE599" s="353">
        <f t="shared" ca="1" si="401"/>
        <v>0.5</v>
      </c>
      <c r="CF599" s="354">
        <v>4</v>
      </c>
      <c r="CG599" s="350"/>
      <c r="CH599" s="300"/>
      <c r="CI599" s="356" t="str">
        <f t="shared" ca="1" si="402"/>
        <v/>
      </c>
      <c r="CJ599" s="357" t="str">
        <f t="shared" ca="1" si="397"/>
        <v/>
      </c>
      <c r="CK599" s="476" t="str">
        <f ca="1">IF(ISERR(LARGE(CJ596:CJ605,CF599)),"",LARGE(CJ596:CJ605,CF599))</f>
        <v/>
      </c>
      <c r="CL599" s="356" t="str">
        <f t="shared" ca="1" si="403"/>
        <v/>
      </c>
      <c r="CM599" s="357" t="str">
        <f t="shared" ca="1" si="398"/>
        <v/>
      </c>
      <c r="CN599" s="380"/>
      <c r="CO599" s="356" t="str">
        <f t="shared" ca="1" si="404"/>
        <v/>
      </c>
      <c r="CP599" s="357" t="str">
        <f t="shared" ca="1" si="399"/>
        <v/>
      </c>
      <c r="CQ599" s="385"/>
      <c r="CR599" s="350"/>
      <c r="CS599" s="300"/>
      <c r="CT599" s="477" t="str">
        <f ca="1">IF(CK599="","",VLOOKUP(CK599,xxx.rn1,4,FALSE))</f>
        <v/>
      </c>
      <c r="CU599" s="478" t="str">
        <f ca="1">IF(OR(CT599="",DA599="",CT599=DA599,COUNTIF(games.rn,CT599&amp;DA599)=0),"",CONCATENATE(CT599,DA599))</f>
        <v/>
      </c>
      <c r="CV599" s="360" t="str">
        <f ca="1">IF(CU599="","",CONCATENATE(VLOOKUP(CU599,games.r,9,FALSE),VLOOKUP(CU599,games.r,12,FALSE)))</f>
        <v/>
      </c>
      <c r="CW599" s="354" t="str">
        <f ca="1">IF(CU599="","",VLOOKUP(CU599,games.r,10,FALSE))</f>
        <v/>
      </c>
      <c r="CX599" s="354" t="str">
        <f ca="1">IF(CU599="","",VLOOKUP(CU599,games.r,13,FALSE))</f>
        <v/>
      </c>
      <c r="CY599" s="361" t="str">
        <f ca="1">IF(CU599="","",VLOOKUP(CU599,games.r,6,FALSE))</f>
        <v/>
      </c>
      <c r="CZ599" s="362" t="str">
        <f ca="1">IF(CU599="","",VLOOKUP(CU599,games.r,7,FALSE))</f>
        <v/>
      </c>
      <c r="DA599" s="379" t="str">
        <f t="shared" ca="1" si="405"/>
        <v/>
      </c>
      <c r="DB599" s="302"/>
      <c r="DC599" s="364"/>
      <c r="DD599" s="302"/>
      <c r="DF599" s="365"/>
      <c r="DG599" s="366" t="str">
        <f ca="1">IF(AND(ASZTAB!$AJ$44,CT595,DA595&lt;&gt;2),CT599,"")</f>
        <v/>
      </c>
      <c r="DH599" s="366">
        <f ca="1">IF(DG599="",-1,COUNTIF(xxgy.rn,DG599))</f>
        <v>-1</v>
      </c>
      <c r="DI599" s="366">
        <f ca="1">IF(DG599="",0,COUNTIF(yygy.rn,DG599))</f>
        <v>0</v>
      </c>
      <c r="DK599" s="366">
        <f ca="1">IF(DG599="",0,1)*(SUMIF(yyo.rn,DG599,yyl.rn)+SUMIF(yyi.rn,DG599,yyk.rn))</f>
        <v>0</v>
      </c>
      <c r="DL599" s="366">
        <f ca="1">IF(DG599="",0,1)*(SUMIF(yyo.rn,DG599,yyk.rn)+SUMIF(yyi.rn,DG599,yyl.rn))</f>
        <v>0</v>
      </c>
      <c r="DN599" s="366">
        <f ca="1">IF(DL599=0,0,DK599/DL599)</f>
        <v>0</v>
      </c>
      <c r="DP599" s="366">
        <f ca="1">DH599*1000000+DI599*1000+DN599</f>
        <v>-1000000</v>
      </c>
      <c r="DT599" s="366">
        <f ca="1">IF(OR(ISERR(DP599),ISNA(DP599),DH599&lt;0),0,DP599)</f>
        <v>0</v>
      </c>
      <c r="DU599" s="366">
        <f ca="1">IF(DT599=0,0,RANK(DT599,DT596:DT600,1))</f>
        <v>0</v>
      </c>
      <c r="DV599" s="366">
        <f ca="1">DU599*40000*IF(COUNTIF($EN$596:$EN$605,DG599)&gt;0,0,1)</f>
        <v>0</v>
      </c>
      <c r="DW599" s="365"/>
      <c r="DX599" s="367">
        <f ca="1">IF(ASZTAB!$AJ$54,COUNTIF(DP602:DP606,DY598)*IF(OR(DY599=0,DY599=DY598),0,1),COUNTIF(DH596:DH600,DZ599)*IF(OR(DZ599=DZ598,DZ599&lt;0),0,1))+EA599/1000</f>
        <v>4.0000000000000001E-3</v>
      </c>
      <c r="DY599" s="367">
        <f ca="1">LARGE(DP602:DP606,EA599)</f>
        <v>0</v>
      </c>
      <c r="DZ599" s="369">
        <f ca="1">LARGE(DH596:DH600,EA599)</f>
        <v>-1</v>
      </c>
      <c r="EA599" s="369">
        <v>4</v>
      </c>
      <c r="EB599" s="365"/>
      <c r="EC599" s="365"/>
      <c r="ED599" s="371" t="str">
        <f ca="1">IF(DH599=ED595,DG599,IF(DP605=ED595,DG605,""))</f>
        <v/>
      </c>
      <c r="EE599" s="369" t="str">
        <f ca="1">IF(ED599="","",EA599)</f>
        <v/>
      </c>
      <c r="EF599" s="386"/>
      <c r="EG599" s="371" t="str">
        <f ca="1">IF(DH599=EG595,DG599,IF(DP605=EG595,DG605,""))</f>
        <v/>
      </c>
      <c r="EH599" s="369" t="str">
        <f ca="1">IF(EG599="","",EA599)</f>
        <v/>
      </c>
      <c r="EI599" s="386"/>
      <c r="EM599" s="365"/>
      <c r="EN599" s="366"/>
      <c r="EO599" s="373"/>
      <c r="EP599" s="333"/>
    </row>
    <row r="600" spans="80:146" x14ac:dyDescent="0.25">
      <c r="CB600" s="350"/>
      <c r="CC600" s="353">
        <f ca="1">IF(ASZTAB!$AJ$44,COUNTIF($BI$129:$BI$138,CE600)*IF(OR(CE600=0,CE600=CE599),0,1),COUNTIF($BG$129:$BG$138,CD600)*IF(OR(CD600=0,CD600=CD599),0,1))+CF600/1000</f>
        <v>1.0049999999999999</v>
      </c>
      <c r="CD600" s="352">
        <f t="shared" ca="1" si="400"/>
        <v>3</v>
      </c>
      <c r="CE600" s="353">
        <f t="shared" ca="1" si="401"/>
        <v>0.25</v>
      </c>
      <c r="CF600" s="354">
        <v>5</v>
      </c>
      <c r="CG600" s="350"/>
      <c r="CH600" s="300"/>
      <c r="CI600" s="356" t="str">
        <f t="shared" ca="1" si="402"/>
        <v/>
      </c>
      <c r="CJ600" s="357" t="str">
        <f t="shared" ca="1" si="397"/>
        <v/>
      </c>
      <c r="CK600" s="476" t="str">
        <f ca="1">IF(ISERR(LARGE(CJ596:CJ605,CF600)),"",LARGE(CJ596:CJ605,CF600))</f>
        <v/>
      </c>
      <c r="CL600" s="356" t="str">
        <f t="shared" ca="1" si="403"/>
        <v/>
      </c>
      <c r="CM600" s="357" t="str">
        <f t="shared" ca="1" si="398"/>
        <v/>
      </c>
      <c r="CN600" s="385"/>
      <c r="CO600" s="356" t="str">
        <f t="shared" ca="1" si="404"/>
        <v/>
      </c>
      <c r="CP600" s="357" t="str">
        <f t="shared" ca="1" si="399"/>
        <v/>
      </c>
      <c r="CQ600" s="385"/>
      <c r="CR600" s="350"/>
      <c r="CS600" s="300"/>
      <c r="CT600" s="477" t="str">
        <f ca="1">IF(CK600="","",VLOOKUP(CK600,xxx.rn1,4,FALSE))</f>
        <v/>
      </c>
      <c r="CU600" s="478" t="str">
        <f ca="1">IF(OR(CT600="",DA600="",CT600=DA600,COUNTIF(games.rn,CT600&amp;DA600)=0),"",CONCATENATE(CT600,DA600))</f>
        <v/>
      </c>
      <c r="CV600" s="360" t="str">
        <f ca="1">IF(CU600="","",CONCATENATE(VLOOKUP(CU600,games.r,9,FALSE),VLOOKUP(CU600,games.r,12,FALSE)))</f>
        <v/>
      </c>
      <c r="CW600" s="354" t="str">
        <f ca="1">IF(CU600="","",VLOOKUP(CU600,games.r,10,FALSE))</f>
        <v/>
      </c>
      <c r="CX600" s="354" t="str">
        <f ca="1">IF(CU600="","",VLOOKUP(CU600,games.r,13,FALSE))</f>
        <v/>
      </c>
      <c r="CY600" s="361" t="str">
        <f ca="1">IF(CU600="","",VLOOKUP(CU600,games.r,6,FALSE))</f>
        <v/>
      </c>
      <c r="CZ600" s="362" t="str">
        <f ca="1">IF(CU600="","",VLOOKUP(CU600,games.r,7,FALSE))</f>
        <v/>
      </c>
      <c r="DA600" s="379" t="str">
        <f t="shared" ca="1" si="405"/>
        <v/>
      </c>
      <c r="DB600" s="302"/>
      <c r="DC600" s="364"/>
      <c r="DD600" s="302"/>
      <c r="DF600" s="365"/>
      <c r="DG600" s="366" t="str">
        <f ca="1">IF(AND(ASZTAB!$AJ$44,CT595,DA595&lt;&gt;2),CT600,"")</f>
        <v/>
      </c>
      <c r="DH600" s="366">
        <f ca="1">IF(DG600="",-1,COUNTIF(xxgy.rn,DG600))</f>
        <v>-1</v>
      </c>
      <c r="DI600" s="366">
        <f ca="1">IF(DG600="",0,COUNTIF(yygy.rn,DG600))</f>
        <v>0</v>
      </c>
      <c r="DK600" s="366">
        <f ca="1">IF(DG600="",0,1)*(SUMIF(yyo.rn,DG600,yyl.rn)+SUMIF(yyi.rn,DG600,yyk.rn))</f>
        <v>0</v>
      </c>
      <c r="DL600" s="366">
        <f ca="1">IF(DG600="",0,1)*(SUMIF(yyo.rn,DG600,yyk.rn)+SUMIF(yyi.rn,DG600,yyl.rn))</f>
        <v>0</v>
      </c>
      <c r="DN600" s="366">
        <f ca="1">IF(DL600=0,0,DK600/DL600)</f>
        <v>0</v>
      </c>
      <c r="DP600" s="366">
        <f ca="1">DH600*1000000+DI600*1000+DN600</f>
        <v>-1000000</v>
      </c>
      <c r="DT600" s="366">
        <f ca="1">IF(OR(ISERR(DP600),ISNA(DP600),DH600&lt;0),0,DP600)</f>
        <v>0</v>
      </c>
      <c r="DU600" s="366">
        <f ca="1">IF(DT600=0,0,RANK(DT600,DT596:DT600,1))</f>
        <v>0</v>
      </c>
      <c r="DV600" s="366">
        <f ca="1">DU600*40000*IF(COUNTIF($EN$596:$EN$605,DG600)&gt;0,0,1)</f>
        <v>0</v>
      </c>
      <c r="DW600" s="365"/>
      <c r="DX600" s="367">
        <f ca="1">IF(ASZTAB!$AJ$54,COUNTIF(DP602:DP606,DY599)*IF(OR(DY600=0,DY600=DY599),0,1),COUNTIF(DH596:DH600,DZ600)*IF(OR(DZ600=DZ599,DZ600&lt;0),0,1))+EA600/1000</f>
        <v>5.0000000000000001E-3</v>
      </c>
      <c r="DY600" s="367">
        <f ca="1">LARGE(DP602:DP606,EA600)</f>
        <v>0</v>
      </c>
      <c r="DZ600" s="369">
        <f ca="1">LARGE(DH596:DH600,EA600)</f>
        <v>-1</v>
      </c>
      <c r="EA600" s="369">
        <v>5</v>
      </c>
      <c r="EB600" s="365"/>
      <c r="EC600" s="365"/>
      <c r="ED600" s="371" t="str">
        <f ca="1">IF(DH600=ED595,DG600,IF(DP606=ED595,DG606,""))</f>
        <v/>
      </c>
      <c r="EE600" s="369" t="str">
        <f ca="1">IF(ED600="","",EA600)</f>
        <v/>
      </c>
      <c r="EF600" s="391"/>
      <c r="EG600" s="371" t="str">
        <f ca="1">IF(DH600=EG595,DG600,IF(DP606=EG595,DG606,""))</f>
        <v/>
      </c>
      <c r="EH600" s="369" t="str">
        <f ca="1">IF(EG600="","",EA600)</f>
        <v/>
      </c>
      <c r="EI600" s="391"/>
      <c r="EM600" s="365"/>
      <c r="EN600" s="366"/>
      <c r="EO600" s="373"/>
      <c r="EP600" s="333"/>
    </row>
    <row r="601" spans="80:146" x14ac:dyDescent="0.25">
      <c r="CB601" s="350"/>
      <c r="CC601" s="353">
        <f ca="1">IF(ASZTAB!$AJ$44,COUNTIF($BI$129:$BI$138,CE601)*IF(OR(CE601=0,CE601=CE600),0,1),COUNTIF($BG$129:$BG$138,CD601)*IF(OR(CD601=0,CD601=CD600),0,1))+CF601/1000</f>
        <v>6.0000000000000001E-3</v>
      </c>
      <c r="CD601" s="352">
        <f t="shared" ca="1" si="400"/>
        <v>0</v>
      </c>
      <c r="CE601" s="353">
        <f t="shared" ca="1" si="401"/>
        <v>0.2</v>
      </c>
      <c r="CF601" s="354">
        <v>6</v>
      </c>
      <c r="CG601" s="350"/>
      <c r="CH601" s="300"/>
      <c r="CI601" s="356" t="str">
        <f t="shared" ca="1" si="402"/>
        <v/>
      </c>
      <c r="CJ601" s="357" t="str">
        <f t="shared" ca="1" si="397"/>
        <v/>
      </c>
      <c r="CK601" s="380"/>
      <c r="CL601" s="356" t="str">
        <f t="shared" ca="1" si="403"/>
        <v/>
      </c>
      <c r="CM601" s="357" t="str">
        <f t="shared" ca="1" si="398"/>
        <v/>
      </c>
      <c r="CN601" s="385"/>
      <c r="CO601" s="356" t="str">
        <f t="shared" ca="1" si="404"/>
        <v/>
      </c>
      <c r="CP601" s="357" t="str">
        <f t="shared" ca="1" si="399"/>
        <v/>
      </c>
      <c r="CQ601" s="385"/>
      <c r="CR601" s="350"/>
      <c r="CS601" s="300"/>
      <c r="CT601" s="522" t="str">
        <f>IF(NOT($AD$98),"",CT596)</f>
        <v/>
      </c>
      <c r="CU601" s="371" t="str">
        <f ca="1">IF(OR(CT601="",DA601="",CT601=DA601,ISNA(VLOOKUP(CONCATENATE(CT601,DA601),games.a,2,FALSE))),"",CONCATENATE(CT601,DA601))</f>
        <v/>
      </c>
      <c r="CV601" s="371" t="str">
        <f ca="1">IF(CU601="","",CONCATENATE(VLOOKUP(CU601,games.a,9,FALSE),VLOOKUP(CU601,games.a,12,FALSE)))</f>
        <v/>
      </c>
      <c r="CW601" s="369" t="str">
        <f ca="1">IF(CU601="","",VLOOKUP(CU601,games.a,10,FALSE))</f>
        <v/>
      </c>
      <c r="CX601" s="369" t="str">
        <f ca="1">IF(CU601="","",VLOOKUP(CU601,games.a,13,FALSE))</f>
        <v/>
      </c>
      <c r="CY601" s="423" t="str">
        <f ca="1">IF(CU601="","",VLOOKUP(CU601,games.a,6,FALSE))</f>
        <v/>
      </c>
      <c r="CZ601" s="409" t="str">
        <f ca="1">IF(CU601="","",VLOOKUP(CU601,games.a,7,FALSE))</f>
        <v/>
      </c>
      <c r="DA601" s="523" t="str">
        <f t="shared" ca="1" si="405"/>
        <v/>
      </c>
      <c r="DB601" s="302"/>
      <c r="DC601" s="364"/>
      <c r="DD601" s="302"/>
      <c r="DF601" s="365"/>
      <c r="DG601" s="329" t="s">
        <v>229</v>
      </c>
      <c r="DH601" s="365"/>
      <c r="DI601" s="329" t="s">
        <v>152</v>
      </c>
      <c r="DJ601" s="329" t="s">
        <v>153</v>
      </c>
      <c r="DK601" s="329" t="s">
        <v>154</v>
      </c>
      <c r="DL601" s="329" t="s">
        <v>155</v>
      </c>
      <c r="DM601" s="329" t="s">
        <v>125</v>
      </c>
      <c r="DN601" s="329" t="s">
        <v>226</v>
      </c>
      <c r="DO601" s="329" t="s">
        <v>126</v>
      </c>
      <c r="DP601" s="329" t="s">
        <v>227</v>
      </c>
      <c r="DQ601" s="330" t="s">
        <v>154</v>
      </c>
      <c r="DR601" s="330" t="s">
        <v>155</v>
      </c>
      <c r="DS601" s="330" t="s">
        <v>125</v>
      </c>
      <c r="DT601" s="329" t="s">
        <v>228</v>
      </c>
      <c r="DU601" s="329" t="s">
        <v>156</v>
      </c>
      <c r="DV601" s="329" t="s">
        <v>208</v>
      </c>
      <c r="DW601" s="365"/>
      <c r="DX601" s="365"/>
      <c r="DY601" s="365"/>
      <c r="DZ601" s="365"/>
      <c r="EA601" s="365"/>
      <c r="EB601" s="365"/>
      <c r="EC601" s="365"/>
      <c r="ED601" s="365"/>
      <c r="EE601" s="365"/>
      <c r="EF601" s="365"/>
      <c r="EG601" s="365"/>
      <c r="EH601" s="365"/>
      <c r="EI601" s="365"/>
      <c r="EJ601" s="365"/>
      <c r="EK601" s="365"/>
      <c r="EL601" s="365"/>
      <c r="EM601" s="365"/>
      <c r="EN601" s="366"/>
      <c r="EO601" s="373"/>
      <c r="EP601" s="333"/>
    </row>
    <row r="602" spans="80:146" x14ac:dyDescent="0.25">
      <c r="CB602" s="350"/>
      <c r="CC602" s="353">
        <f ca="1">IF(ASZTAB!$AJ$44,COUNTIF($BI$129:$BI$138,CE602)*IF(OR(CE602=0,CE602=CE601),0,1),COUNTIF($BG$129:$BG$138,CD602)*IF(OR(CD602=0,CD602=CD601),0,1))+CF602/1000</f>
        <v>7.0000000000000001E-3</v>
      </c>
      <c r="CD602" s="352">
        <f t="shared" ca="1" si="400"/>
        <v>0</v>
      </c>
      <c r="CE602" s="353">
        <f t="shared" ca="1" si="401"/>
        <v>0</v>
      </c>
      <c r="CF602" s="354">
        <v>7</v>
      </c>
      <c r="CG602" s="350"/>
      <c r="CH602" s="300"/>
      <c r="CI602" s="356" t="str">
        <f t="shared" ca="1" si="402"/>
        <v/>
      </c>
      <c r="CJ602" s="357" t="str">
        <f t="shared" ca="1" si="397"/>
        <v/>
      </c>
      <c r="CK602" s="385"/>
      <c r="CL602" s="356" t="str">
        <f t="shared" ca="1" si="403"/>
        <v/>
      </c>
      <c r="CM602" s="357" t="str">
        <f t="shared" ca="1" si="398"/>
        <v/>
      </c>
      <c r="CN602" s="385"/>
      <c r="CO602" s="356" t="str">
        <f t="shared" ca="1" si="404"/>
        <v/>
      </c>
      <c r="CP602" s="357" t="str">
        <f t="shared" ca="1" si="399"/>
        <v/>
      </c>
      <c r="CQ602" s="385"/>
      <c r="CR602" s="350"/>
      <c r="CS602" s="300"/>
      <c r="CT602" s="522" t="str">
        <f>IF(NOT($AD$98),"",CT597)</f>
        <v/>
      </c>
      <c r="CU602" s="371" t="str">
        <f ca="1">IF(OR(CT602="",DA602="",CT602=DA602,ISNA(VLOOKUP(CONCATENATE(CT602,DA602),games.a,2,FALSE))),"",CONCATENATE(CT602,DA602))</f>
        <v/>
      </c>
      <c r="CV602" s="371" t="str">
        <f ca="1">IF(CU602="","",CONCATENATE(VLOOKUP(CU602,games.a,9,FALSE),VLOOKUP(CU602,games.a,12,FALSE)))</f>
        <v/>
      </c>
      <c r="CW602" s="369" t="str">
        <f ca="1">IF(CU602="","",VLOOKUP(CU602,games.a,10,FALSE))</f>
        <v/>
      </c>
      <c r="CX602" s="369" t="str">
        <f ca="1">IF(CU602="","",VLOOKUP(CU602,games.a,13,FALSE))</f>
        <v/>
      </c>
      <c r="CY602" s="423" t="str">
        <f ca="1">IF(CU602="","",VLOOKUP(CU602,games.a,6,FALSE))</f>
        <v/>
      </c>
      <c r="CZ602" s="409" t="str">
        <f ca="1">IF(CU602="","",VLOOKUP(CU602,games.a,7,FALSE))</f>
        <v/>
      </c>
      <c r="DA602" s="523" t="str">
        <f t="shared" ca="1" si="405"/>
        <v/>
      </c>
      <c r="DB602" s="302"/>
      <c r="DC602" s="364"/>
      <c r="DD602" s="302"/>
      <c r="DF602" s="365"/>
      <c r="DG602" s="366" t="str">
        <f ca="1">IF(OR(NOT(ASZTAB!$AJ$44),AND(CT595,DG596="")),CT596,"")</f>
        <v/>
      </c>
      <c r="DH602" s="365"/>
      <c r="DI602" s="366">
        <f ca="1">IF(DG602="",0,COUNTIF(xxgy.rn,DG602))</f>
        <v>0</v>
      </c>
      <c r="DJ602" s="366">
        <f ca="1">IF(DG602="",0,COUNTIF(xxd.rn,DG602))</f>
        <v>0</v>
      </c>
      <c r="DK602" s="366">
        <f ca="1">IF(DG602="",0,1)*(SUMIF(xxo.rn,DG602,xxl.rn)+SUMIF(xxi.rn,DG602,xxk.rn))</f>
        <v>0</v>
      </c>
      <c r="DL602" s="366">
        <f ca="1">IF(DG602="",0,1)*(SUMIF(xxo.rn,DG602,xxk.rn)+SUMIF(xxi.rn,DG602,xxl.rn))</f>
        <v>0</v>
      </c>
      <c r="DM602" s="366">
        <f ca="1">DK602-DL602</f>
        <v>0</v>
      </c>
      <c r="DN602" s="366">
        <f ca="1">IF(DL602=0,0,DK602/DL602)</f>
        <v>0</v>
      </c>
      <c r="DO602" s="366">
        <f ca="1">ASZTAB!$AJ$48*DI602+IF(ASZTAB!$AJ$44,0,1)*DJ602</f>
        <v>0</v>
      </c>
      <c r="DP602" s="396">
        <f ca="1">DO602*1000000+IF(ASZTAB!$AJ$44,DN602,DM602)*1000*0</f>
        <v>0</v>
      </c>
      <c r="DQ602" s="366">
        <f ca="1">IF(DG602="",0,1)*(SUMIF(yyo.rn,DG602,yyl.rn)+SUMIF(yyi.rn,DG602,yyk.rn))</f>
        <v>0</v>
      </c>
      <c r="DR602" s="366">
        <f ca="1">IF(DG602="",0,1)*(SUMIF(yyo.rn,DG602,yyk.rn)+SUMIF(yyi.rn,DG602,yyl.rn))</f>
        <v>0</v>
      </c>
      <c r="DS602" s="366">
        <f ca="1">DQ602-DR602</f>
        <v>0</v>
      </c>
      <c r="DT602" s="366">
        <f ca="1">IF(OR(ISERR(DP602),ISNA(DP602)),0,DP602)+IF(ASZTAB!$AJ$54,DS602,0)</f>
        <v>0</v>
      </c>
      <c r="DU602" s="366">
        <f ca="1">IF(DT602=0,0,RANK(DT602,DT602:DT606,1))</f>
        <v>0</v>
      </c>
      <c r="DV602" s="366">
        <f ca="1">DU602*40000*IF(COUNTIF($EN$596:$EN$605,DG602)&gt;0,0,1)</f>
        <v>0</v>
      </c>
      <c r="DW602" s="365"/>
      <c r="DZ602" s="365"/>
      <c r="EA602" s="365"/>
      <c r="EB602" s="365"/>
      <c r="EC602" s="398"/>
      <c r="ED602" s="329" t="s">
        <v>157</v>
      </c>
      <c r="EE602" s="329" t="s">
        <v>158</v>
      </c>
      <c r="EF602" s="399"/>
      <c r="EG602" s="400"/>
      <c r="EH602" s="401" t="s">
        <v>160</v>
      </c>
      <c r="EI602" s="402" t="s">
        <v>135</v>
      </c>
      <c r="EJ602" s="403">
        <f ca="1">COUNT(EF596:EF598)</f>
        <v>0</v>
      </c>
      <c r="EK602" s="365"/>
      <c r="EL602" s="365"/>
      <c r="EM602" s="365"/>
      <c r="EN602" s="366"/>
      <c r="EO602" s="373"/>
      <c r="EP602" s="333"/>
    </row>
    <row r="603" spans="80:146" x14ac:dyDescent="0.25">
      <c r="CB603" s="350"/>
      <c r="CC603" s="353">
        <f ca="1">IF(ASZTAB!$AJ$44,COUNTIF($BI$129:$BI$138,CE603)*IF(OR(CE603=0,CE603=CE602),0,1),COUNTIF($BG$129:$BG$138,CD603)*IF(OR(CD603=0,CD603=CD602),0,1))+CF603/1000</f>
        <v>8.0000000000000002E-3</v>
      </c>
      <c r="CD603" s="352">
        <f t="shared" ca="1" si="400"/>
        <v>0</v>
      </c>
      <c r="CE603" s="353">
        <f t="shared" ca="1" si="401"/>
        <v>0</v>
      </c>
      <c r="CF603" s="354">
        <v>8</v>
      </c>
      <c r="CG603" s="350"/>
      <c r="CH603" s="300"/>
      <c r="CI603" s="356" t="str">
        <f t="shared" ca="1" si="402"/>
        <v/>
      </c>
      <c r="CJ603" s="357" t="str">
        <f t="shared" ca="1" si="397"/>
        <v/>
      </c>
      <c r="CK603" s="385"/>
      <c r="CL603" s="356" t="str">
        <f t="shared" ca="1" si="403"/>
        <v/>
      </c>
      <c r="CM603" s="357" t="str">
        <f t="shared" ca="1" si="398"/>
        <v/>
      </c>
      <c r="CN603" s="385"/>
      <c r="CO603" s="356" t="str">
        <f t="shared" ca="1" si="404"/>
        <v/>
      </c>
      <c r="CP603" s="357" t="str">
        <f t="shared" ca="1" si="399"/>
        <v/>
      </c>
      <c r="CQ603" s="385"/>
      <c r="CR603" s="350"/>
      <c r="CS603" s="300"/>
      <c r="CT603" s="522" t="str">
        <f>IF(NOT($AD$98),"",CT598)</f>
        <v/>
      </c>
      <c r="CU603" s="371" t="str">
        <f ca="1">IF(OR(CT603="",DA603="",CT603=DA603,ISNA(VLOOKUP(CONCATENATE(CT603,DA603),games.a,2,FALSE))),"",CONCATENATE(CT603,DA603))</f>
        <v/>
      </c>
      <c r="CV603" s="371" t="str">
        <f ca="1">IF(CU603="","",CONCATENATE(VLOOKUP(CU603,games.a,9,FALSE),VLOOKUP(CU603,games.a,12,FALSE)))</f>
        <v/>
      </c>
      <c r="CW603" s="369" t="str">
        <f ca="1">IF(CU603="","",VLOOKUP(CU603,games.a,10,FALSE))</f>
        <v/>
      </c>
      <c r="CX603" s="369" t="str">
        <f ca="1">IF(CU603="","",VLOOKUP(CU603,games.a,13,FALSE))</f>
        <v/>
      </c>
      <c r="CY603" s="423" t="str">
        <f ca="1">IF(CU603="","",VLOOKUP(CU603,games.a,6,FALSE))</f>
        <v/>
      </c>
      <c r="CZ603" s="409" t="str">
        <f ca="1">IF(CU603="","",VLOOKUP(CU603,games.a,7,FALSE))</f>
        <v/>
      </c>
      <c r="DA603" s="523" t="str">
        <f t="shared" ca="1" si="405"/>
        <v/>
      </c>
      <c r="DB603" s="302"/>
      <c r="DC603" s="364"/>
      <c r="DD603" s="302"/>
      <c r="DF603" s="365"/>
      <c r="DG603" s="366" t="str">
        <f ca="1">IF(OR(NOT(ASZTAB!$AJ$44),AND(CT595,DG597="")),CT597,"")</f>
        <v/>
      </c>
      <c r="DH603" s="365"/>
      <c r="DI603" s="366">
        <f ca="1">IF(DG603="",0,COUNTIF(xxgy.rn,DG603))</f>
        <v>0</v>
      </c>
      <c r="DJ603" s="366">
        <f ca="1">IF(DG603="",0,COUNTIF(xxd.rn,DG603))</f>
        <v>0</v>
      </c>
      <c r="DK603" s="366">
        <f ca="1">IF(DG603="",0,1)*(SUMIF(xxo.rn,DG603,xxl.rn)+SUMIF(xxi.rn,DG603,xxk.rn))</f>
        <v>0</v>
      </c>
      <c r="DL603" s="366">
        <f ca="1">IF(DG603="",0,1)*(SUMIF(xxo.rn,DG603,xxk.rn)+SUMIF(xxi.rn,DG603,xxl.rn))</f>
        <v>0</v>
      </c>
      <c r="DM603" s="366">
        <f ca="1">DK603-DL603</f>
        <v>0</v>
      </c>
      <c r="DN603" s="366">
        <f ca="1">IF(DL603=0,0,DK603/DL603)</f>
        <v>0</v>
      </c>
      <c r="DO603" s="366">
        <f ca="1">ASZTAB!$AJ$48*DI603+IF(ASZTAB!$AJ$44,0,1)*DJ603</f>
        <v>0</v>
      </c>
      <c r="DP603" s="396">
        <f ca="1">DO603*1000000+IF(ASZTAB!$AJ$44,DN603,DM603)*1000*0</f>
        <v>0</v>
      </c>
      <c r="DQ603" s="366">
        <f ca="1">IF(DG603="",0,1)*(SUMIF(yyo.rn,DG603,yyl.rn)+SUMIF(yyi.rn,DG603,yyk.rn))</f>
        <v>0</v>
      </c>
      <c r="DR603" s="366">
        <f ca="1">IF(DG603="",0,1)*(SUMIF(yyo.rn,DG603,yyk.rn)+SUMIF(yyi.rn,DG603,yyl.rn))</f>
        <v>0</v>
      </c>
      <c r="DS603" s="366">
        <f ca="1">DQ603-DR603</f>
        <v>0</v>
      </c>
      <c r="DT603" s="366">
        <f ca="1">IF(OR(ISERR(DP603),ISNA(DP603)),0,DP603)+IF(ASZTAB!$AJ$54,DS603,0)</f>
        <v>0</v>
      </c>
      <c r="DU603" s="366">
        <f ca="1">IF(DT603=0,0,RANK(DT603,DT602:DT606,1))</f>
        <v>0</v>
      </c>
      <c r="DV603" s="366">
        <f ca="1">DU603*40000*IF(COUNTIF($EN$596:$EN$605,DG603)&gt;0,0,1)</f>
        <v>0</v>
      </c>
      <c r="DW603" s="365"/>
      <c r="DZ603" s="365"/>
      <c r="EA603" s="365"/>
      <c r="EB603" s="365"/>
      <c r="EC603" s="404" t="str">
        <f ca="1">IF(EF596="","",VLOOKUP(EF596,yyy.rn1,4,FALSE))</f>
        <v/>
      </c>
      <c r="ED603" s="371" t="str">
        <f ca="1">IF(OR(EC603="",EJ603="",EC603=EJ603,ISNA(VLOOKUP(CONCATENATE(EC603,EJ603),games.r,2,FALSE))),"",CONCATENATE(EC603,EJ603))</f>
        <v/>
      </c>
      <c r="EE603" s="405" t="str">
        <f ca="1">IF(OR(ED603="",EJ602&gt;2),"",CONCATENATE(VLOOKUP(ED603,games.r,9,FALSE),VLOOKUP(ED603,games.r,12,FALSE)))</f>
        <v/>
      </c>
      <c r="EF603" s="406"/>
      <c r="EG603" s="407"/>
      <c r="EH603" s="408" t="str">
        <f ca="1">IF(ED603="","",VLOOKUP(ED603,games.r,6,FALSE))</f>
        <v/>
      </c>
      <c r="EI603" s="409" t="str">
        <f ca="1">IF(ED603="","",VLOOKUP(ED603,games.r,7,FALSE))</f>
        <v/>
      </c>
      <c r="EJ603" s="410" t="str">
        <f ca="1">EC603</f>
        <v/>
      </c>
      <c r="EK603" s="411"/>
      <c r="EL603" s="412"/>
      <c r="EM603" s="365"/>
      <c r="EN603" s="366"/>
      <c r="EO603" s="373"/>
      <c r="EP603" s="333"/>
    </row>
    <row r="604" spans="80:146" x14ac:dyDescent="0.25">
      <c r="CB604" s="350"/>
      <c r="CC604" s="353">
        <f ca="1">IF(ASZTAB!$AJ$44,COUNTIF($BI$129:$BI$138,CE604)*IF(OR(CE604=0,CE604=CE603),0,1),COUNTIF($BG$129:$BG$138,CD604)*IF(OR(CD604=0,CD604=CD603),0,1))+CF604/1000</f>
        <v>8.9999999999999993E-3</v>
      </c>
      <c r="CD604" s="352">
        <f t="shared" ca="1" si="400"/>
        <v>0</v>
      </c>
      <c r="CE604" s="353">
        <f t="shared" ca="1" si="401"/>
        <v>0</v>
      </c>
      <c r="CF604" s="354">
        <v>9</v>
      </c>
      <c r="CG604" s="350"/>
      <c r="CH604" s="300"/>
      <c r="CI604" s="356" t="str">
        <f t="shared" ca="1" si="402"/>
        <v/>
      </c>
      <c r="CJ604" s="357" t="str">
        <f t="shared" ca="1" si="397"/>
        <v/>
      </c>
      <c r="CK604" s="385"/>
      <c r="CL604" s="356" t="str">
        <f t="shared" ca="1" si="403"/>
        <v/>
      </c>
      <c r="CM604" s="357" t="str">
        <f t="shared" ca="1" si="398"/>
        <v/>
      </c>
      <c r="CN604" s="385"/>
      <c r="CO604" s="356" t="str">
        <f t="shared" ca="1" si="404"/>
        <v/>
      </c>
      <c r="CP604" s="357" t="str">
        <f t="shared" ca="1" si="399"/>
        <v/>
      </c>
      <c r="CQ604" s="385"/>
      <c r="CR604" s="350"/>
      <c r="CS604" s="300"/>
      <c r="CT604" s="522" t="str">
        <f>IF(NOT($AD$98),"",CT599)</f>
        <v/>
      </c>
      <c r="CU604" s="371" t="str">
        <f ca="1">IF(OR(CT604="",DA604="",CT604=DA604,ISNA(VLOOKUP(CONCATENATE(CT604,DA604),games.a,2,FALSE))),"",CONCATENATE(CT604,DA604))</f>
        <v/>
      </c>
      <c r="CV604" s="371" t="str">
        <f ca="1">IF(CU604="","",CONCATENATE(VLOOKUP(CU604,games.a,9,FALSE),VLOOKUP(CU604,games.a,12,FALSE)))</f>
        <v/>
      </c>
      <c r="CW604" s="369" t="str">
        <f ca="1">IF(CU604="","",VLOOKUP(CU604,games.a,10,FALSE))</f>
        <v/>
      </c>
      <c r="CX604" s="369" t="str">
        <f ca="1">IF(CU604="","",VLOOKUP(CU604,games.a,13,FALSE))</f>
        <v/>
      </c>
      <c r="CY604" s="423" t="str">
        <f ca="1">IF(CU604="","",VLOOKUP(CU604,games.a,6,FALSE))</f>
        <v/>
      </c>
      <c r="CZ604" s="409" t="str">
        <f ca="1">IF(CU604="","",VLOOKUP(CU604,games.a,7,FALSE))</f>
        <v/>
      </c>
      <c r="DA604" s="523" t="str">
        <f t="shared" ca="1" si="405"/>
        <v/>
      </c>
      <c r="DB604" s="302"/>
      <c r="DC604" s="364"/>
      <c r="DD604" s="302"/>
      <c r="DF604" s="365"/>
      <c r="DG604" s="366" t="str">
        <f ca="1">IF(OR(NOT(ASZTAB!$AJ$44),AND(CT595,DG598="")),CT598,"")</f>
        <v/>
      </c>
      <c r="DH604" s="365"/>
      <c r="DI604" s="366">
        <f ca="1">IF(DG604="",0,COUNTIF(xxgy.rn,DG604))</f>
        <v>0</v>
      </c>
      <c r="DJ604" s="366">
        <f ca="1">IF(DG604="",0,COUNTIF(xxd.rn,DG604))</f>
        <v>0</v>
      </c>
      <c r="DK604" s="366">
        <f ca="1">IF(DG604="",0,1)*(SUMIF(xxo.rn,DG604,xxl.rn)+SUMIF(xxi.rn,DG604,xxk.rn))</f>
        <v>0</v>
      </c>
      <c r="DL604" s="366">
        <f ca="1">IF(DG604="",0,1)*(SUMIF(xxo.rn,DG604,xxk.rn)+SUMIF(xxi.rn,DG604,xxl.rn))</f>
        <v>0</v>
      </c>
      <c r="DM604" s="366">
        <f ca="1">DK604-DL604</f>
        <v>0</v>
      </c>
      <c r="DN604" s="366">
        <f ca="1">IF(DL604=0,0,DK604/DL604)</f>
        <v>0</v>
      </c>
      <c r="DO604" s="366">
        <f ca="1">ASZTAB!$AJ$48*DI604+IF(ASZTAB!$AJ$44,0,1)*DJ604</f>
        <v>0</v>
      </c>
      <c r="DP604" s="396">
        <f ca="1">DO604*1000000+IF(ASZTAB!$AJ$44,DN604,DM604)*1000*0</f>
        <v>0</v>
      </c>
      <c r="DQ604" s="366">
        <f ca="1">IF(DG604="",0,1)*(SUMIF(yyo.rn,DG604,yyl.rn)+SUMIF(yyi.rn,DG604,yyk.rn))</f>
        <v>0</v>
      </c>
      <c r="DR604" s="366">
        <f ca="1">IF(DG604="",0,1)*(SUMIF(yyo.rn,DG604,yyk.rn)+SUMIF(yyi.rn,DG604,yyl.rn))</f>
        <v>0</v>
      </c>
      <c r="DS604" s="366">
        <f ca="1">DQ604-DR604</f>
        <v>0</v>
      </c>
      <c r="DT604" s="366">
        <f ca="1">IF(OR(ISERR(DP604),ISNA(DP604)),0,DP604)+IF(ASZTAB!$AJ$54,DS604,0)</f>
        <v>0</v>
      </c>
      <c r="DU604" s="366">
        <f ca="1">IF(DT604=0,0,RANK(DT604,DT602:DT606,1))</f>
        <v>0</v>
      </c>
      <c r="DV604" s="366">
        <f ca="1">DU604*40000*IF(COUNTIF($EN$596:$EN$605,DG604)&gt;0,0,1)</f>
        <v>0</v>
      </c>
      <c r="DW604" s="365"/>
      <c r="DZ604" s="365"/>
      <c r="EA604" s="365"/>
      <c r="EB604" s="365"/>
      <c r="EC604" s="404" t="str">
        <f ca="1">IF(EF597="","",VLOOKUP(EF597,yyy.rn1,4,FALSE))</f>
        <v/>
      </c>
      <c r="ED604" s="371" t="str">
        <f ca="1">IF(OR(EC604="",EJ604="",EC604=EJ604,ISNA(VLOOKUP(CONCATENATE(EC604,EJ604),games.r,2,FALSE))),"",CONCATENATE(EC604,EJ604))</f>
        <v/>
      </c>
      <c r="EE604" s="405" t="str">
        <f ca="1">IF(OR(ED604="",EJ602&gt;2),"",CONCATENATE(VLOOKUP(ED604,games.r,9,FALSE),VLOOKUP(ED604,games.r,12,FALSE)))</f>
        <v/>
      </c>
      <c r="EF604" s="413"/>
      <c r="EG604" s="414"/>
      <c r="EH604" s="408" t="str">
        <f ca="1">IF(ED604="","",VLOOKUP(ED604,games.r,6,FALSE))</f>
        <v/>
      </c>
      <c r="EI604" s="409" t="str">
        <f ca="1">IF(ED604="","",VLOOKUP(ED604,games.r,7,FALSE))</f>
        <v/>
      </c>
      <c r="EJ604" s="415" t="str">
        <f ca="1">EJ603</f>
        <v/>
      </c>
      <c r="EK604" s="416"/>
      <c r="EL604" s="417"/>
      <c r="EM604" s="365"/>
      <c r="EN604" s="366"/>
      <c r="EO604" s="373"/>
      <c r="EP604" s="333"/>
    </row>
    <row r="605" spans="80:146" x14ac:dyDescent="0.25">
      <c r="CB605" s="350"/>
      <c r="CC605" s="353">
        <f ca="1">IF(ASZTAB!$AJ$44,COUNTIF($BI$129:$BI$138,CE605)*IF(OR(CE605=0,CE605=CE604),0,1),COUNTIF($BG$129:$BG$138,CD605)*IF(OR(CD605=0,CD605=CD604),0,1))+CF605/1000</f>
        <v>0.01</v>
      </c>
      <c r="CD605" s="352">
        <f t="shared" ca="1" si="400"/>
        <v>0</v>
      </c>
      <c r="CE605" s="353">
        <f t="shared" ca="1" si="401"/>
        <v>0</v>
      </c>
      <c r="CF605" s="354">
        <v>10</v>
      </c>
      <c r="CG605" s="350"/>
      <c r="CH605" s="300"/>
      <c r="CI605" s="356" t="str">
        <f t="shared" ca="1" si="402"/>
        <v/>
      </c>
      <c r="CJ605" s="357" t="str">
        <f t="shared" ca="1" si="397"/>
        <v/>
      </c>
      <c r="CK605" s="357"/>
      <c r="CL605" s="356" t="str">
        <f t="shared" ca="1" si="403"/>
        <v/>
      </c>
      <c r="CM605" s="357" t="str">
        <f t="shared" ca="1" si="398"/>
        <v/>
      </c>
      <c r="CN605" s="357"/>
      <c r="CO605" s="356" t="str">
        <f t="shared" ca="1" si="404"/>
        <v/>
      </c>
      <c r="CP605" s="357" t="str">
        <f t="shared" ca="1" si="399"/>
        <v/>
      </c>
      <c r="CQ605" s="357"/>
      <c r="CR605" s="350"/>
      <c r="CS605" s="300"/>
      <c r="CT605" s="522" t="str">
        <f>IF(NOT($AD$98),"",CT600)</f>
        <v/>
      </c>
      <c r="CU605" s="371" t="str">
        <f ca="1">IF(OR(CT605="",DA605="",CT605=DA605,ISNA(VLOOKUP(CONCATENATE(CT605,DA605),games.a,2,FALSE))),"",CONCATENATE(CT605,DA605))</f>
        <v/>
      </c>
      <c r="CV605" s="371" t="str">
        <f ca="1">IF(CU605="","",CONCATENATE(VLOOKUP(CU605,games.a,9,FALSE),VLOOKUP(CU605,games.a,12,FALSE)))</f>
        <v/>
      </c>
      <c r="CW605" s="369" t="str">
        <f ca="1">IF(CU605="","",VLOOKUP(CU605,games.a,10,FALSE))</f>
        <v/>
      </c>
      <c r="CX605" s="369" t="str">
        <f ca="1">IF(CU605="","",VLOOKUP(CU605,games.a,13,FALSE))</f>
        <v/>
      </c>
      <c r="CY605" s="423" t="str">
        <f ca="1">IF(CU605="","",VLOOKUP(CU605,games.a,6,FALSE))</f>
        <v/>
      </c>
      <c r="CZ605" s="409" t="str">
        <f ca="1">IF(CU605="","",VLOOKUP(CU605,games.a,7,FALSE))</f>
        <v/>
      </c>
      <c r="DA605" s="523" t="str">
        <f t="shared" ca="1" si="405"/>
        <v/>
      </c>
      <c r="DB605" s="302"/>
      <c r="DC605" s="364"/>
      <c r="DD605" s="302"/>
      <c r="DF605" s="365"/>
      <c r="DG605" s="366" t="str">
        <f ca="1">IF(OR(NOT(ASZTAB!$AJ$44),AND(CT595,DG599="")),CT599,"")</f>
        <v/>
      </c>
      <c r="DH605" s="365"/>
      <c r="DI605" s="366">
        <f ca="1">IF(DG605="",0,COUNTIF(xxgy.rn,DG605))</f>
        <v>0</v>
      </c>
      <c r="DJ605" s="366">
        <f ca="1">IF(DG605="",0,COUNTIF(xxd.rn,DG605))</f>
        <v>0</v>
      </c>
      <c r="DK605" s="366">
        <f ca="1">IF(DG605="",0,1)*(SUMIF(xxo.rn,DG605,xxl.rn)+SUMIF(xxi.rn,DG605,xxk.rn))</f>
        <v>0</v>
      </c>
      <c r="DL605" s="366">
        <f ca="1">IF(DG605="",0,1)*(SUMIF(xxo.rn,DG605,xxk.rn)+SUMIF(xxi.rn,DG605,xxl.rn))</f>
        <v>0</v>
      </c>
      <c r="DM605" s="366">
        <f ca="1">DK605-DL605</f>
        <v>0</v>
      </c>
      <c r="DN605" s="366">
        <f ca="1">IF(DL605=0,0,DK605/DL605)</f>
        <v>0</v>
      </c>
      <c r="DO605" s="366">
        <f ca="1">ASZTAB!$AJ$48*DI605+IF(ASZTAB!$AJ$44,0,1)*DJ605</f>
        <v>0</v>
      </c>
      <c r="DP605" s="396">
        <f ca="1">DO605*1000000+IF(ASZTAB!$AJ$44,DN605,DM605)*1000*0</f>
        <v>0</v>
      </c>
      <c r="DQ605" s="366">
        <f ca="1">IF(DG605="",0,1)*(SUMIF(yyo.rn,DG605,yyl.rn)+SUMIF(yyi.rn,DG605,yyk.rn))</f>
        <v>0</v>
      </c>
      <c r="DR605" s="366">
        <f ca="1">IF(DG605="",0,1)*(SUMIF(yyo.rn,DG605,yyk.rn)+SUMIF(yyi.rn,DG605,yyl.rn))</f>
        <v>0</v>
      </c>
      <c r="DS605" s="366">
        <f ca="1">DQ605-DR605</f>
        <v>0</v>
      </c>
      <c r="DT605" s="366">
        <f ca="1">IF(OR(ISERR(DP605),ISNA(DP605)),0,DP605)+IF(ASZTAB!$AJ$54,DS605,0)</f>
        <v>0</v>
      </c>
      <c r="DU605" s="366">
        <f ca="1">IF(DT605=0,0,RANK(DT605,DT602:DT606,1))</f>
        <v>0</v>
      </c>
      <c r="DV605" s="366">
        <f ca="1">DU605*40000*IF(COUNTIF($EN$596:$EN$605,DG605)&gt;0,0,1)</f>
        <v>0</v>
      </c>
      <c r="DW605" s="365"/>
      <c r="DZ605" s="365"/>
      <c r="EA605" s="365"/>
      <c r="EB605" s="365"/>
      <c r="EC605" s="404" t="str">
        <f ca="1">IF(EF598="","",VLOOKUP(EF598,yyy.rn1,4,FALSE))</f>
        <v/>
      </c>
      <c r="ED605" s="371" t="str">
        <f ca="1">IF(OR(EC605="",EJ605="",EC605=EJ605,ISNA(VLOOKUP(CONCATENATE(EC605,EJ605),games.r,2,FALSE))),"",CONCATENATE(EC605,EJ605))</f>
        <v/>
      </c>
      <c r="EE605" s="405" t="str">
        <f ca="1">IF(OR(ED605="",EJ602&gt;2),"",CONCATENATE(VLOOKUP(ED605,games.r,9,FALSE),VLOOKUP(ED605,games.r,12,FALSE)))</f>
        <v/>
      </c>
      <c r="EF605" s="413"/>
      <c r="EG605" s="414"/>
      <c r="EH605" s="408" t="str">
        <f ca="1">IF(ED605="","",VLOOKUP(ED605,games.r,6,FALSE))</f>
        <v/>
      </c>
      <c r="EI605" s="409" t="str">
        <f ca="1">IF(ED605="","",VLOOKUP(ED605,games.r,7,FALSE))</f>
        <v/>
      </c>
      <c r="EJ605" s="415" t="str">
        <f ca="1">EJ604</f>
        <v/>
      </c>
      <c r="EK605" s="416"/>
      <c r="EL605" s="417"/>
      <c r="EM605" s="365"/>
      <c r="EN605" s="366"/>
      <c r="EO605" s="373"/>
      <c r="EP605" s="333"/>
    </row>
    <row r="606" spans="80:146" x14ac:dyDescent="0.25">
      <c r="CB606" s="350"/>
      <c r="CC606" s="350"/>
      <c r="CD606" s="350"/>
      <c r="CE606" s="350"/>
      <c r="CF606" s="350"/>
      <c r="CG606" s="350"/>
      <c r="CR606" s="350"/>
      <c r="CS606" s="300"/>
      <c r="CT606" s="301"/>
      <c r="CU606" s="471" t="s">
        <v>157</v>
      </c>
      <c r="CV606" s="471" t="s">
        <v>158</v>
      </c>
      <c r="CW606" s="472" t="s">
        <v>159</v>
      </c>
      <c r="CX606" s="472"/>
      <c r="CY606" s="473" t="s">
        <v>160</v>
      </c>
      <c r="CZ606" s="472" t="s">
        <v>135</v>
      </c>
      <c r="DA606" s="302"/>
      <c r="DB606" s="302"/>
      <c r="DC606" s="364"/>
      <c r="DD606" s="302"/>
      <c r="DF606" s="365"/>
      <c r="DG606" s="366" t="str">
        <f ca="1">IF(OR(NOT(ASZTAB!$AJ$44),AND(CT595,DG600="")),CT600,"")</f>
        <v/>
      </c>
      <c r="DH606" s="365"/>
      <c r="DI606" s="366">
        <f ca="1">IF(DG606="",0,COUNTIF(xxgy.rn,DG606))</f>
        <v>0</v>
      </c>
      <c r="DJ606" s="366">
        <f ca="1">IF(DG606="",0,COUNTIF(xxd.rn,DG606))</f>
        <v>0</v>
      </c>
      <c r="DK606" s="366">
        <f ca="1">IF(DG606="",0,1)*(SUMIF(xxo.rn,DG606,xxl.rn)+SUMIF(xxi.rn,DG606,xxk.rn))</f>
        <v>0</v>
      </c>
      <c r="DL606" s="366">
        <f ca="1">IF(DG606="",0,1)*(SUMIF(xxo.rn,DG606,xxk.rn)+SUMIF(xxi.rn,DG606,xxl.rn))</f>
        <v>0</v>
      </c>
      <c r="DM606" s="366">
        <f ca="1">DK606-DL606</f>
        <v>0</v>
      </c>
      <c r="DN606" s="366">
        <f ca="1">IF(DL606=0,0,DK606/DL606)</f>
        <v>0</v>
      </c>
      <c r="DO606" s="366">
        <f ca="1">ASZTAB!$AJ$48*DI606+IF(ASZTAB!$AJ$44,0,1)*DJ606</f>
        <v>0</v>
      </c>
      <c r="DP606" s="396">
        <f ca="1">DO606*1000000+IF(ASZTAB!$AJ$44,DN606,DM606)*1000*0</f>
        <v>0</v>
      </c>
      <c r="DQ606" s="366">
        <f ca="1">IF(DG606="",0,1)*(SUMIF(yyo.rn,DG606,yyl.rn)+SUMIF(yyi.rn,DG606,yyk.rn))</f>
        <v>0</v>
      </c>
      <c r="DR606" s="366">
        <f ca="1">IF(DG606="",0,1)*(SUMIF(yyo.rn,DG606,yyk.rn)+SUMIF(yyi.rn,DG606,yyl.rn))</f>
        <v>0</v>
      </c>
      <c r="DS606" s="366">
        <f ca="1">DQ606-DR606</f>
        <v>0</v>
      </c>
      <c r="DT606" s="366">
        <f ca="1">IF(OR(ISERR(DP606),ISNA(DP606)),0,DP606)+IF(ASZTAB!$AJ$54,DS606,0)</f>
        <v>0</v>
      </c>
      <c r="DU606" s="366">
        <f ca="1">IF(DT606=0,0,RANK(DT606,DT602:DT606,1))</f>
        <v>0</v>
      </c>
      <c r="DV606" s="366">
        <f ca="1">DU606*40000*IF(COUNTIF($EN$596:$EN$605,DG606)&gt;0,0,1)</f>
        <v>0</v>
      </c>
      <c r="DW606" s="365"/>
      <c r="DZ606" s="365"/>
      <c r="EA606" s="365"/>
      <c r="EB606" s="365"/>
      <c r="EC606" s="404" t="str">
        <f>IF(NOT($AD$98),"",EC603)</f>
        <v/>
      </c>
      <c r="ED606" s="360" t="str">
        <f ca="1">IF(OR(EC606="",EJ606="",EC606=EJ606,ISNA(VLOOKUP(CONCATENATE(EC606,EJ606),games.a,2,FALSE))),"",CONCATENATE(EC606,EJ606))</f>
        <v/>
      </c>
      <c r="EE606" s="524" t="str">
        <f ca="1">IF(OR(ED606="",EJ602&gt;2),"",CONCATENATE(VLOOKUP(ED606,games.a,9,FALSE),VLOOKUP(ED606,games.a,12,FALSE)))</f>
        <v/>
      </c>
      <c r="EF606" s="413"/>
      <c r="EG606" s="414"/>
      <c r="EH606" s="525" t="str">
        <f ca="1">IF(ED606="","",VLOOKUP(ED606,games.a,6,FALSE))</f>
        <v/>
      </c>
      <c r="EI606" s="362" t="str">
        <f ca="1">IF(ED606="","",VLOOKUP(ED606,games.a,7,FALSE))</f>
        <v/>
      </c>
      <c r="EJ606" s="526" t="str">
        <f ca="1">EJ605</f>
        <v/>
      </c>
      <c r="EK606" s="527"/>
      <c r="EL606" s="528"/>
      <c r="EM606" s="365"/>
      <c r="EN606" s="365"/>
      <c r="EO606" s="373"/>
      <c r="EP606" s="333"/>
    </row>
    <row r="607" spans="80:146" x14ac:dyDescent="0.25">
      <c r="CB607" s="350"/>
      <c r="CC607" s="350"/>
      <c r="CD607" s="350"/>
      <c r="CE607" s="350"/>
      <c r="CF607" s="350"/>
      <c r="CG607" s="350"/>
      <c r="CR607" s="350"/>
      <c r="CS607" s="300"/>
      <c r="CT607" s="395" t="str">
        <f ca="1">CT596</f>
        <v/>
      </c>
      <c r="CU607" s="478" t="str">
        <f ca="1">IF(OR(CT607="",DA607="",CT607=DA607,COUNTIF(games.rn,CT607&amp;DA607)=0),"",CONCATENATE(CT607,DA607))</f>
        <v/>
      </c>
      <c r="CV607" s="360" t="str">
        <f ca="1">IF(CU607="","",CONCATENATE(VLOOKUP(CU607,games.r,9,FALSE),VLOOKUP(CU607,games.r,12,FALSE)))</f>
        <v/>
      </c>
      <c r="CW607" s="354" t="str">
        <f ca="1">IF(CU607="","",VLOOKUP(CU607,games.r,10,FALSE))</f>
        <v/>
      </c>
      <c r="CX607" s="354" t="str">
        <f ca="1">IF(CU607="","",VLOOKUP(CU607,games.r,13,FALSE))</f>
        <v/>
      </c>
      <c r="CY607" s="361" t="str">
        <f ca="1">IF(CU607="","",VLOOKUP(CU607,games.r,6,FALSE))</f>
        <v/>
      </c>
      <c r="CZ607" s="362" t="str">
        <f ca="1">IF(CU607="","",VLOOKUP(CU607,games.r,7,FALSE))</f>
        <v/>
      </c>
      <c r="DA607" s="479" t="str">
        <f ca="1">CT597</f>
        <v/>
      </c>
      <c r="DB607" s="302"/>
      <c r="DC607" s="364"/>
      <c r="DD607" s="302"/>
      <c r="DF607" s="424"/>
      <c r="DW607" s="365"/>
      <c r="DX607" s="424"/>
      <c r="DZ607" s="365"/>
      <c r="EA607" s="365"/>
      <c r="EB607" s="365"/>
      <c r="EC607" s="404" t="str">
        <f>IF(NOT($AD$98),"",EC604)</f>
        <v/>
      </c>
      <c r="ED607" s="360" t="str">
        <f ca="1">IF(OR(EC607="",EJ607="",EC607=EJ607,ISNA(VLOOKUP(CONCATENATE(EC607,EJ607),games.a,2,FALSE))),"",CONCATENATE(EC607,EJ607))</f>
        <v/>
      </c>
      <c r="EE607" s="524" t="str">
        <f ca="1">IF(OR(ED607="",EJ602&gt;2),"",CONCATENATE(VLOOKUP(ED607,games.a,9,FALSE),VLOOKUP(ED607,games.a,12,FALSE)))</f>
        <v/>
      </c>
      <c r="EF607" s="413"/>
      <c r="EG607" s="414"/>
      <c r="EH607" s="525" t="str">
        <f ca="1">IF(ED607="","",VLOOKUP(ED607,games.a,6,FALSE))</f>
        <v/>
      </c>
      <c r="EI607" s="362" t="str">
        <f ca="1">IF(ED607="","",VLOOKUP(ED607,games.a,7,FALSE))</f>
        <v/>
      </c>
      <c r="EJ607" s="526" t="str">
        <f ca="1">EJ606</f>
        <v/>
      </c>
      <c r="EK607" s="527"/>
      <c r="EL607" s="528"/>
      <c r="EM607" s="365"/>
      <c r="EN607" s="365"/>
      <c r="EO607" s="373"/>
      <c r="EP607" s="333"/>
    </row>
    <row r="608" spans="80:146" x14ac:dyDescent="0.25">
      <c r="CB608" s="350"/>
      <c r="CC608" s="350"/>
      <c r="CD608" s="350"/>
      <c r="CE608" s="350"/>
      <c r="CF608" s="350"/>
      <c r="CG608" s="350"/>
      <c r="CR608" s="350"/>
      <c r="CS608" s="300"/>
      <c r="CT608" s="395" t="str">
        <f t="shared" ref="CT608:CT616" ca="1" si="406">CT597</f>
        <v/>
      </c>
      <c r="CU608" s="478" t="str">
        <f ca="1">IF(OR(CT608="",DA608="",CT608=DA608,COUNTIF(games.rn,CT608&amp;DA608)=0),"",CONCATENATE(CT608,DA608))</f>
        <v/>
      </c>
      <c r="CV608" s="360" t="str">
        <f ca="1">IF(CU608="","",CONCATENATE(VLOOKUP(CU608,games.r,9,FALSE),VLOOKUP(CU608,games.r,12,FALSE)))</f>
        <v/>
      </c>
      <c r="CW608" s="354" t="str">
        <f ca="1">IF(CU608="","",VLOOKUP(CU608,games.r,10,FALSE))</f>
        <v/>
      </c>
      <c r="CX608" s="354" t="str">
        <f ca="1">IF(CU608="","",VLOOKUP(CU608,games.r,13,FALSE))</f>
        <v/>
      </c>
      <c r="CY608" s="361" t="str">
        <f ca="1">IF(CU608="","",VLOOKUP(CU608,games.r,6,FALSE))</f>
        <v/>
      </c>
      <c r="CZ608" s="362" t="str">
        <f ca="1">IF(CU608="","",VLOOKUP(CU608,games.r,7,FALSE))</f>
        <v/>
      </c>
      <c r="DA608" s="379" t="str">
        <f ca="1">DA607</f>
        <v/>
      </c>
      <c r="DB608" s="302"/>
      <c r="DC608" s="364"/>
      <c r="DD608" s="302"/>
      <c r="DF608" s="424"/>
      <c r="DW608" s="365"/>
      <c r="DX608" s="424"/>
      <c r="DZ608" s="365"/>
      <c r="EC608" s="404" t="str">
        <f>IF(NOT($AD$98),"",EC605)</f>
        <v/>
      </c>
      <c r="ED608" s="360" t="str">
        <f ca="1">IF(OR(EC608="",EJ608="",EC608=EJ608,ISNA(VLOOKUP(CONCATENATE(EC608,EJ608),games.a,2,FALSE))),"",CONCATENATE(EC608,EJ608))</f>
        <v/>
      </c>
      <c r="EE608" s="524" t="str">
        <f ca="1">IF(OR(ED608="",EJ602&gt;2),"",CONCATENATE(VLOOKUP(ED608,games.a,9,FALSE),VLOOKUP(ED608,games.a,12,FALSE)))</f>
        <v/>
      </c>
      <c r="EF608" s="413"/>
      <c r="EG608" s="414"/>
      <c r="EH608" s="525" t="str">
        <f ca="1">IF(ED608="","",VLOOKUP(ED608,games.a,6,FALSE))</f>
        <v/>
      </c>
      <c r="EI608" s="362" t="str">
        <f ca="1">IF(ED608="","",VLOOKUP(ED608,games.a,7,FALSE))</f>
        <v/>
      </c>
      <c r="EJ608" s="526" t="str">
        <f ca="1">EJ607</f>
        <v/>
      </c>
      <c r="EK608" s="527"/>
      <c r="EL608" s="528"/>
      <c r="EO608" s="373"/>
      <c r="EP608" s="333"/>
    </row>
    <row r="609" spans="80:146" x14ac:dyDescent="0.25">
      <c r="CB609" s="350"/>
      <c r="CC609" s="350"/>
      <c r="CD609" s="350"/>
      <c r="CE609" s="350"/>
      <c r="CF609" s="350"/>
      <c r="CG609" s="350"/>
      <c r="CR609" s="350"/>
      <c r="CS609" s="300"/>
      <c r="CT609" s="395" t="str">
        <f t="shared" ca="1" si="406"/>
        <v/>
      </c>
      <c r="CU609" s="478" t="str">
        <f ca="1">IF(OR(CT609="",DA609="",CT609=DA609,COUNTIF(games.rn,CT609&amp;DA609)=0),"",CONCATENATE(CT609,DA609))</f>
        <v/>
      </c>
      <c r="CV609" s="360" t="str">
        <f ca="1">IF(CU609="","",CONCATENATE(VLOOKUP(CU609,games.r,9,FALSE),VLOOKUP(CU609,games.r,12,FALSE)))</f>
        <v/>
      </c>
      <c r="CW609" s="354" t="str">
        <f ca="1">IF(CU609="","",VLOOKUP(CU609,games.r,10,FALSE))</f>
        <v/>
      </c>
      <c r="CX609" s="354" t="str">
        <f ca="1">IF(CU609="","",VLOOKUP(CU609,games.r,13,FALSE))</f>
        <v/>
      </c>
      <c r="CY609" s="361" t="str">
        <f ca="1">IF(CU609="","",VLOOKUP(CU609,games.r,6,FALSE))</f>
        <v/>
      </c>
      <c r="CZ609" s="362" t="str">
        <f ca="1">IF(CU609="","",VLOOKUP(CU609,games.r,7,FALSE))</f>
        <v/>
      </c>
      <c r="DA609" s="379" t="str">
        <f t="shared" ref="DA609:DA616" ca="1" si="407">DA608</f>
        <v/>
      </c>
      <c r="DB609" s="302"/>
      <c r="DC609" s="364"/>
      <c r="DD609" s="302"/>
      <c r="DF609" s="424"/>
      <c r="DW609" s="365"/>
      <c r="DX609" s="424"/>
      <c r="DZ609" s="365"/>
      <c r="EA609" s="365"/>
      <c r="EB609" s="365"/>
      <c r="EC609" s="398"/>
      <c r="ED609" s="329" t="s">
        <v>157</v>
      </c>
      <c r="EE609" s="329" t="s">
        <v>158</v>
      </c>
      <c r="EF609" s="399"/>
      <c r="EG609" s="400"/>
      <c r="EH609" s="401" t="s">
        <v>160</v>
      </c>
      <c r="EI609" s="402" t="s">
        <v>135</v>
      </c>
      <c r="EJ609" s="398"/>
      <c r="EK609" s="365"/>
      <c r="EL609" s="365"/>
      <c r="EM609" s="365"/>
      <c r="EN609" s="365"/>
      <c r="EO609" s="373"/>
      <c r="EP609" s="333"/>
    </row>
    <row r="610" spans="80:146" x14ac:dyDescent="0.25">
      <c r="CB610" s="350"/>
      <c r="CC610" s="350"/>
      <c r="CD610" s="350"/>
      <c r="CE610" s="350"/>
      <c r="CF610" s="350"/>
      <c r="CG610" s="350"/>
      <c r="CR610" s="350"/>
      <c r="CS610" s="300"/>
      <c r="CT610" s="395" t="str">
        <f t="shared" ca="1" si="406"/>
        <v/>
      </c>
      <c r="CU610" s="478" t="str">
        <f ca="1">IF(OR(CT610="",DA610="",CT610=DA610,COUNTIF(games.rn,CT610&amp;DA610)=0),"",CONCATENATE(CT610,DA610))</f>
        <v/>
      </c>
      <c r="CV610" s="360" t="str">
        <f ca="1">IF(CU610="","",CONCATENATE(VLOOKUP(CU610,games.r,9,FALSE),VLOOKUP(CU610,games.r,12,FALSE)))</f>
        <v/>
      </c>
      <c r="CW610" s="354" t="str">
        <f ca="1">IF(CU610="","",VLOOKUP(CU610,games.r,10,FALSE))</f>
        <v/>
      </c>
      <c r="CX610" s="354" t="str">
        <f ca="1">IF(CU610="","",VLOOKUP(CU610,games.r,13,FALSE))</f>
        <v/>
      </c>
      <c r="CY610" s="361" t="str">
        <f ca="1">IF(CU610="","",VLOOKUP(CU610,games.r,6,FALSE))</f>
        <v/>
      </c>
      <c r="CZ610" s="362" t="str">
        <f ca="1">IF(CU610="","",VLOOKUP(CU610,games.r,7,FALSE))</f>
        <v/>
      </c>
      <c r="DA610" s="379" t="str">
        <f t="shared" ca="1" si="407"/>
        <v/>
      </c>
      <c r="DB610" s="302"/>
      <c r="DC610" s="364"/>
      <c r="DD610" s="302"/>
      <c r="DF610" s="424"/>
      <c r="DW610" s="365"/>
      <c r="DX610" s="424"/>
      <c r="DZ610" s="365"/>
      <c r="EA610" s="365"/>
      <c r="EB610" s="365"/>
      <c r="EC610" s="404" t="str">
        <f t="shared" ref="EC610:EC615" ca="1" si="408">EC603</f>
        <v/>
      </c>
      <c r="ED610" s="371" t="str">
        <f ca="1">IF(OR(EC610="",EJ610="",EC610=EJ610,ISNA(VLOOKUP(CONCATENATE(EC610,EJ610),games.r,2,FALSE))),"",CONCATENATE(EC610,EJ610))</f>
        <v/>
      </c>
      <c r="EE610" s="405" t="str">
        <f ca="1">IF(OR(ED610="",EJ602&gt;2),"",CONCATENATE(VLOOKUP(ED610,games.r,9,FALSE),VLOOKUP(ED610,games.r,12,FALSE)))</f>
        <v/>
      </c>
      <c r="EF610" s="406"/>
      <c r="EG610" s="407"/>
      <c r="EH610" s="408" t="str">
        <f ca="1">IF(ED610="","",VLOOKUP(ED610,games.r,6,FALSE))</f>
        <v/>
      </c>
      <c r="EI610" s="409" t="str">
        <f ca="1">IF(ED610="","",VLOOKUP(ED610,games.r,7,FALSE))</f>
        <v/>
      </c>
      <c r="EJ610" s="410" t="str">
        <f ca="1">EC604</f>
        <v/>
      </c>
      <c r="EK610" s="411"/>
      <c r="EL610" s="412"/>
      <c r="EM610" s="365"/>
      <c r="EN610" s="365"/>
      <c r="EO610" s="373"/>
      <c r="EP610" s="333"/>
    </row>
    <row r="611" spans="80:146" x14ac:dyDescent="0.25">
      <c r="CB611" s="350"/>
      <c r="CC611" s="350"/>
      <c r="CD611" s="350"/>
      <c r="CE611" s="350"/>
      <c r="CF611" s="350"/>
      <c r="CG611" s="350"/>
      <c r="CR611" s="350"/>
      <c r="CS611" s="300"/>
      <c r="CT611" s="395" t="str">
        <f t="shared" ca="1" si="406"/>
        <v/>
      </c>
      <c r="CU611" s="478" t="str">
        <f ca="1">IF(OR(CT611="",DA611="",CT611=DA611,COUNTIF(games.rn,CT611&amp;DA611)=0),"",CONCATENATE(CT611,DA611))</f>
        <v/>
      </c>
      <c r="CV611" s="360" t="str">
        <f ca="1">IF(CU611="","",CONCATENATE(VLOOKUP(CU611,games.r,9,FALSE),VLOOKUP(CU611,games.r,12,FALSE)))</f>
        <v/>
      </c>
      <c r="CW611" s="354" t="str">
        <f ca="1">IF(CU611="","",VLOOKUP(CU611,games.r,10,FALSE))</f>
        <v/>
      </c>
      <c r="CX611" s="354" t="str">
        <f ca="1">IF(CU611="","",VLOOKUP(CU611,games.r,13,FALSE))</f>
        <v/>
      </c>
      <c r="CY611" s="361" t="str">
        <f ca="1">IF(CU611="","",VLOOKUP(CU611,games.r,6,FALSE))</f>
        <v/>
      </c>
      <c r="CZ611" s="362" t="str">
        <f ca="1">IF(CU611="","",VLOOKUP(CU611,games.r,7,FALSE))</f>
        <v/>
      </c>
      <c r="DA611" s="379" t="str">
        <f t="shared" ca="1" si="407"/>
        <v/>
      </c>
      <c r="DB611" s="302"/>
      <c r="DC611" s="364"/>
      <c r="DD611" s="302"/>
      <c r="DF611" s="424"/>
      <c r="DW611" s="365"/>
      <c r="DX611" s="424"/>
      <c r="DZ611" s="424"/>
      <c r="EA611" s="365"/>
      <c r="EB611" s="365"/>
      <c r="EC611" s="404" t="str">
        <f t="shared" ca="1" si="408"/>
        <v/>
      </c>
      <c r="ED611" s="371" t="str">
        <f ca="1">IF(OR(EC611="",EJ611="",EC611=EJ611,ISNA(VLOOKUP(CONCATENATE(EC611,EJ611),games.r,2,FALSE))),"",CONCATENATE(EC611,EJ611))</f>
        <v/>
      </c>
      <c r="EE611" s="405" t="str">
        <f ca="1">IF(OR(ED611="",EJ602&gt;2),"",CONCATENATE(VLOOKUP(ED611,games.r,9,FALSE),VLOOKUP(ED611,games.r,12,FALSE)))</f>
        <v/>
      </c>
      <c r="EF611" s="413"/>
      <c r="EG611" s="414"/>
      <c r="EH611" s="408" t="str">
        <f ca="1">IF(ED611="","",VLOOKUP(ED611,games.r,6,FALSE))</f>
        <v/>
      </c>
      <c r="EI611" s="409" t="str">
        <f ca="1">IF(ED611="","",VLOOKUP(ED611,games.r,7,FALSE))</f>
        <v/>
      </c>
      <c r="EJ611" s="415" t="str">
        <f ca="1">EJ610</f>
        <v/>
      </c>
      <c r="EK611" s="416"/>
      <c r="EL611" s="417"/>
      <c r="EM611" s="365"/>
      <c r="EN611" s="365"/>
      <c r="EO611" s="373"/>
      <c r="EP611" s="333"/>
    </row>
    <row r="612" spans="80:146" x14ac:dyDescent="0.25">
      <c r="CB612" s="350"/>
      <c r="CC612" s="350"/>
      <c r="CD612" s="350"/>
      <c r="CE612" s="350"/>
      <c r="CF612" s="350"/>
      <c r="CG612" s="350"/>
      <c r="CR612" s="350"/>
      <c r="CS612" s="300"/>
      <c r="CT612" s="522" t="str">
        <f t="shared" si="406"/>
        <v/>
      </c>
      <c r="CU612" s="371" t="str">
        <f ca="1">IF(OR(CT612="",DA612="",CT612=DA612,ISNA(VLOOKUP(CONCATENATE(CT612,DA612),games.a,2,FALSE))),"",CONCATENATE(CT612,DA612))</f>
        <v/>
      </c>
      <c r="CV612" s="371" t="str">
        <f ca="1">IF(CU612="","",CONCATENATE(VLOOKUP(CU612,games.a,9,FALSE),VLOOKUP(CU612,games.a,12,FALSE)))</f>
        <v/>
      </c>
      <c r="CW612" s="369" t="str">
        <f ca="1">IF(CU612="","",VLOOKUP(CU612,games.a,10,FALSE))</f>
        <v/>
      </c>
      <c r="CX612" s="369" t="str">
        <f ca="1">IF(CU612="","",VLOOKUP(CU612,games.a,13,FALSE))</f>
        <v/>
      </c>
      <c r="CY612" s="423" t="str">
        <f ca="1">IF(CU612="","",VLOOKUP(CU612,games.a,6,FALSE))</f>
        <v/>
      </c>
      <c r="CZ612" s="409" t="str">
        <f ca="1">IF(CU612="","",VLOOKUP(CU612,games.a,7,FALSE))</f>
        <v/>
      </c>
      <c r="DA612" s="523" t="str">
        <f t="shared" ca="1" si="407"/>
        <v/>
      </c>
      <c r="DB612" s="302"/>
      <c r="DC612" s="364"/>
      <c r="DD612" s="302"/>
      <c r="DF612" s="424"/>
      <c r="DW612" s="365"/>
      <c r="DX612" s="424"/>
      <c r="DZ612" s="424"/>
      <c r="EA612" s="424"/>
      <c r="EB612" s="424"/>
      <c r="EC612" s="404" t="str">
        <f t="shared" ca="1" si="408"/>
        <v/>
      </c>
      <c r="ED612" s="371" t="str">
        <f ca="1">IF(OR(EC612="",EJ612="",EC612=EJ612,ISNA(VLOOKUP(CONCATENATE(EC612,EJ612),games.r,2,FALSE))),"",CONCATENATE(EC612,EJ612))</f>
        <v/>
      </c>
      <c r="EE612" s="405" t="str">
        <f ca="1">IF(OR(ED612="",EJ602&gt;2),"",CONCATENATE(VLOOKUP(ED612,games.r,9,FALSE),VLOOKUP(ED612,games.r,12,FALSE)))</f>
        <v/>
      </c>
      <c r="EF612" s="413"/>
      <c r="EG612" s="414"/>
      <c r="EH612" s="408" t="str">
        <f ca="1">IF(ED612="","",VLOOKUP(ED612,games.r,6,FALSE))</f>
        <v/>
      </c>
      <c r="EI612" s="409" t="str">
        <f ca="1">IF(ED612="","",VLOOKUP(ED612,games.r,7,FALSE))</f>
        <v/>
      </c>
      <c r="EJ612" s="415" t="str">
        <f ca="1">EJ611</f>
        <v/>
      </c>
      <c r="EK612" s="416"/>
      <c r="EL612" s="417"/>
      <c r="EM612" s="424"/>
      <c r="EN612" s="424"/>
      <c r="EO612" s="373"/>
      <c r="EP612" s="333"/>
    </row>
    <row r="613" spans="80:146" x14ac:dyDescent="0.25">
      <c r="CB613" s="350"/>
      <c r="CC613" s="350"/>
      <c r="CD613" s="350"/>
      <c r="CE613" s="350"/>
      <c r="CF613" s="350"/>
      <c r="CG613" s="350"/>
      <c r="CR613" s="350"/>
      <c r="CS613" s="300"/>
      <c r="CT613" s="522" t="str">
        <f t="shared" si="406"/>
        <v/>
      </c>
      <c r="CU613" s="371" t="str">
        <f ca="1">IF(OR(CT613="",DA613="",CT613=DA613,ISNA(VLOOKUP(CONCATENATE(CT613,DA613),games.a,2,FALSE))),"",CONCATENATE(CT613,DA613))</f>
        <v/>
      </c>
      <c r="CV613" s="371" t="str">
        <f ca="1">IF(CU613="","",CONCATENATE(VLOOKUP(CU613,games.a,9,FALSE),VLOOKUP(CU613,games.a,12,FALSE)))</f>
        <v/>
      </c>
      <c r="CW613" s="369" t="str">
        <f ca="1">IF(CU613="","",VLOOKUP(CU613,games.a,10,FALSE))</f>
        <v/>
      </c>
      <c r="CX613" s="369" t="str">
        <f ca="1">IF(CU613="","",VLOOKUP(CU613,games.a,13,FALSE))</f>
        <v/>
      </c>
      <c r="CY613" s="423" t="str">
        <f ca="1">IF(CU613="","",VLOOKUP(CU613,games.a,6,FALSE))</f>
        <v/>
      </c>
      <c r="CZ613" s="409" t="str">
        <f ca="1">IF(CU613="","",VLOOKUP(CU613,games.a,7,FALSE))</f>
        <v/>
      </c>
      <c r="DA613" s="523" t="str">
        <f t="shared" ca="1" si="407"/>
        <v/>
      </c>
      <c r="DB613" s="302"/>
      <c r="DC613" s="364"/>
      <c r="DD613" s="302"/>
      <c r="DF613" s="424"/>
      <c r="DW613" s="365"/>
      <c r="DX613" s="424"/>
      <c r="DY613" s="424"/>
      <c r="DZ613" s="424"/>
      <c r="EA613" s="424"/>
      <c r="EB613" s="424"/>
      <c r="EC613" s="404" t="str">
        <f t="shared" si="408"/>
        <v/>
      </c>
      <c r="ED613" s="360" t="str">
        <f ca="1">IF(OR(EC613="",EJ613="",EC613=EJ613,ISNA(VLOOKUP(CONCATENATE(EC613,EJ613),games.a,2,FALSE))),"",CONCATENATE(EC613,EJ613))</f>
        <v/>
      </c>
      <c r="EE613" s="524" t="str">
        <f ca="1">IF(OR(ED613="",EJ602&gt;2),"",CONCATENATE(VLOOKUP(ED613,games.a,9,FALSE),VLOOKUP(ED613,games.a,12,FALSE)))</f>
        <v/>
      </c>
      <c r="EF613" s="413"/>
      <c r="EG613" s="414"/>
      <c r="EH613" s="525" t="str">
        <f ca="1">IF(ED613="","",VLOOKUP(ED613,games.a,6,FALSE))</f>
        <v/>
      </c>
      <c r="EI613" s="362" t="str">
        <f ca="1">IF(ED613="","",VLOOKUP(ED613,games.a,7,FALSE))</f>
        <v/>
      </c>
      <c r="EJ613" s="526" t="str">
        <f ca="1">EJ612</f>
        <v/>
      </c>
      <c r="EK613" s="527"/>
      <c r="EL613" s="528"/>
      <c r="EM613" s="424"/>
      <c r="EN613" s="424"/>
      <c r="EO613" s="373"/>
      <c r="EP613" s="333"/>
    </row>
    <row r="614" spans="80:146" x14ac:dyDescent="0.25">
      <c r="CB614" s="350"/>
      <c r="CC614" s="350"/>
      <c r="CD614" s="350"/>
      <c r="CE614" s="350"/>
      <c r="CF614" s="350"/>
      <c r="CG614" s="350"/>
      <c r="CR614" s="350"/>
      <c r="CS614" s="300"/>
      <c r="CT614" s="522" t="str">
        <f t="shared" si="406"/>
        <v/>
      </c>
      <c r="CU614" s="371" t="str">
        <f ca="1">IF(OR(CT614="",DA614="",CT614=DA614,ISNA(VLOOKUP(CONCATENATE(CT614,DA614),games.a,2,FALSE))),"",CONCATENATE(CT614,DA614))</f>
        <v/>
      </c>
      <c r="CV614" s="371" t="str">
        <f ca="1">IF(CU614="","",CONCATENATE(VLOOKUP(CU614,games.a,9,FALSE),VLOOKUP(CU614,games.a,12,FALSE)))</f>
        <v/>
      </c>
      <c r="CW614" s="369" t="str">
        <f ca="1">IF(CU614="","",VLOOKUP(CU614,games.a,10,FALSE))</f>
        <v/>
      </c>
      <c r="CX614" s="369" t="str">
        <f ca="1">IF(CU614="","",VLOOKUP(CU614,games.a,13,FALSE))</f>
        <v/>
      </c>
      <c r="CY614" s="423" t="str">
        <f ca="1">IF(CU614="","",VLOOKUP(CU614,games.a,6,FALSE))</f>
        <v/>
      </c>
      <c r="CZ614" s="409" t="str">
        <f ca="1">IF(CU614="","",VLOOKUP(CU614,games.a,7,FALSE))</f>
        <v/>
      </c>
      <c r="DA614" s="523" t="str">
        <f t="shared" ca="1" si="407"/>
        <v/>
      </c>
      <c r="DB614" s="302"/>
      <c r="DC614" s="364"/>
      <c r="DD614" s="302"/>
      <c r="DF614" s="424"/>
      <c r="DW614" s="365"/>
      <c r="DX614" s="424"/>
      <c r="DY614" s="424"/>
      <c r="DZ614" s="424"/>
      <c r="EA614" s="424"/>
      <c r="EB614" s="424"/>
      <c r="EC614" s="404" t="str">
        <f t="shared" si="408"/>
        <v/>
      </c>
      <c r="ED614" s="360" t="str">
        <f ca="1">IF(OR(EC614="",EJ614="",EC614=EJ614,ISNA(VLOOKUP(CONCATENATE(EC614,EJ614),games.a,2,FALSE))),"",CONCATENATE(EC614,EJ614))</f>
        <v/>
      </c>
      <c r="EE614" s="524" t="str">
        <f ca="1">IF(OR(ED614="",EJ602&gt;2),"",CONCATENATE(VLOOKUP(ED614,games.a,9,FALSE),VLOOKUP(ED614,games.a,12,FALSE)))</f>
        <v/>
      </c>
      <c r="EF614" s="413"/>
      <c r="EG614" s="414"/>
      <c r="EH614" s="525" t="str">
        <f ca="1">IF(ED614="","",VLOOKUP(ED614,games.a,6,FALSE))</f>
        <v/>
      </c>
      <c r="EI614" s="362" t="str">
        <f ca="1">IF(ED614="","",VLOOKUP(ED614,games.a,7,FALSE))</f>
        <v/>
      </c>
      <c r="EJ614" s="526" t="str">
        <f ca="1">EJ613</f>
        <v/>
      </c>
      <c r="EK614" s="527"/>
      <c r="EL614" s="528"/>
      <c r="EM614" s="424"/>
      <c r="EN614" s="424"/>
      <c r="EO614" s="373"/>
      <c r="EP614" s="333"/>
    </row>
    <row r="615" spans="80:146" x14ac:dyDescent="0.25">
      <c r="CB615" s="350"/>
      <c r="CC615" s="350"/>
      <c r="CD615" s="350"/>
      <c r="CE615" s="350"/>
      <c r="CF615" s="350"/>
      <c r="CG615" s="350"/>
      <c r="CR615" s="350"/>
      <c r="CS615" s="300"/>
      <c r="CT615" s="522" t="str">
        <f t="shared" si="406"/>
        <v/>
      </c>
      <c r="CU615" s="371" t="str">
        <f ca="1">IF(OR(CT615="",DA615="",CT615=DA615,ISNA(VLOOKUP(CONCATENATE(CT615,DA615),games.a,2,FALSE))),"",CONCATENATE(CT615,DA615))</f>
        <v/>
      </c>
      <c r="CV615" s="371" t="str">
        <f ca="1">IF(CU615="","",CONCATENATE(VLOOKUP(CU615,games.a,9,FALSE),VLOOKUP(CU615,games.a,12,FALSE)))</f>
        <v/>
      </c>
      <c r="CW615" s="369" t="str">
        <f ca="1">IF(CU615="","",VLOOKUP(CU615,games.a,10,FALSE))</f>
        <v/>
      </c>
      <c r="CX615" s="369" t="str">
        <f ca="1">IF(CU615="","",VLOOKUP(CU615,games.a,13,FALSE))</f>
        <v/>
      </c>
      <c r="CY615" s="423" t="str">
        <f ca="1">IF(CU615="","",VLOOKUP(CU615,games.a,6,FALSE))</f>
        <v/>
      </c>
      <c r="CZ615" s="409" t="str">
        <f ca="1">IF(CU615="","",VLOOKUP(CU615,games.a,7,FALSE))</f>
        <v/>
      </c>
      <c r="DA615" s="523" t="str">
        <f t="shared" ca="1" si="407"/>
        <v/>
      </c>
      <c r="DB615" s="302"/>
      <c r="DC615" s="364"/>
      <c r="DD615" s="302"/>
      <c r="DF615" s="424"/>
      <c r="DW615" s="365"/>
      <c r="DX615" s="424"/>
      <c r="DY615" s="424"/>
      <c r="DZ615" s="424"/>
      <c r="EC615" s="404" t="str">
        <f t="shared" si="408"/>
        <v/>
      </c>
      <c r="ED615" s="360" t="str">
        <f ca="1">IF(OR(EC615="",EJ615="",EC615=EJ615,ISNA(VLOOKUP(CONCATENATE(EC615,EJ615),games.a,2,FALSE))),"",CONCATENATE(EC615,EJ615))</f>
        <v/>
      </c>
      <c r="EE615" s="524" t="str">
        <f ca="1">IF(OR(ED615="",EJ602&gt;2),"",CONCATENATE(VLOOKUP(ED615,games.a,9,FALSE),VLOOKUP(ED615,games.a,12,FALSE)))</f>
        <v/>
      </c>
      <c r="EF615" s="413"/>
      <c r="EG615" s="414"/>
      <c r="EH615" s="525" t="str">
        <f ca="1">IF(ED615="","",VLOOKUP(ED615,games.a,6,FALSE))</f>
        <v/>
      </c>
      <c r="EI615" s="362" t="str">
        <f ca="1">IF(ED615="","",VLOOKUP(ED615,games.a,7,FALSE))</f>
        <v/>
      </c>
      <c r="EJ615" s="526" t="str">
        <f ca="1">EJ614</f>
        <v/>
      </c>
      <c r="EK615" s="527"/>
      <c r="EL615" s="528"/>
      <c r="EO615" s="373"/>
      <c r="EP615" s="333"/>
    </row>
    <row r="616" spans="80:146" x14ac:dyDescent="0.25">
      <c r="CB616" s="350"/>
      <c r="CC616" s="350"/>
      <c r="CD616" s="350"/>
      <c r="CE616" s="350"/>
      <c r="CF616" s="350"/>
      <c r="CG616" s="350"/>
      <c r="CR616" s="350"/>
      <c r="CS616" s="300"/>
      <c r="CT616" s="522" t="str">
        <f t="shared" si="406"/>
        <v/>
      </c>
      <c r="CU616" s="371" t="str">
        <f ca="1">IF(OR(CT616="",DA616="",CT616=DA616,ISNA(VLOOKUP(CONCATENATE(CT616,DA616),games.a,2,FALSE))),"",CONCATENATE(CT616,DA616))</f>
        <v/>
      </c>
      <c r="CV616" s="371" t="str">
        <f ca="1">IF(CU616="","",CONCATENATE(VLOOKUP(CU616,games.a,9,FALSE),VLOOKUP(CU616,games.a,12,FALSE)))</f>
        <v/>
      </c>
      <c r="CW616" s="369" t="str">
        <f ca="1">IF(CU616="","",VLOOKUP(CU616,games.a,10,FALSE))</f>
        <v/>
      </c>
      <c r="CX616" s="369" t="str">
        <f ca="1">IF(CU616="","",VLOOKUP(CU616,games.a,13,FALSE))</f>
        <v/>
      </c>
      <c r="CY616" s="423" t="str">
        <f ca="1">IF(CU616="","",VLOOKUP(CU616,games.a,6,FALSE))</f>
        <v/>
      </c>
      <c r="CZ616" s="409" t="str">
        <f ca="1">IF(CU616="","",VLOOKUP(CU616,games.a,7,FALSE))</f>
        <v/>
      </c>
      <c r="DA616" s="523" t="str">
        <f t="shared" ca="1" si="407"/>
        <v/>
      </c>
      <c r="DB616" s="302"/>
      <c r="DC616" s="364"/>
      <c r="DD616" s="302"/>
      <c r="DF616" s="424"/>
      <c r="DW616" s="424"/>
      <c r="DX616" s="424"/>
      <c r="DY616" s="424"/>
      <c r="DZ616" s="424"/>
      <c r="EA616" s="424"/>
      <c r="EB616" s="424"/>
      <c r="EC616" s="398"/>
      <c r="ED616" s="329" t="s">
        <v>157</v>
      </c>
      <c r="EE616" s="329" t="s">
        <v>158</v>
      </c>
      <c r="EF616" s="399"/>
      <c r="EG616" s="400"/>
      <c r="EH616" s="401" t="s">
        <v>160</v>
      </c>
      <c r="EI616" s="402" t="s">
        <v>135</v>
      </c>
      <c r="EJ616" s="398"/>
      <c r="EK616" s="365"/>
      <c r="EL616" s="365"/>
      <c r="EM616" s="424"/>
      <c r="EN616" s="424"/>
      <c r="EO616" s="425"/>
      <c r="EP616" s="333"/>
    </row>
    <row r="617" spans="80:146" x14ac:dyDescent="0.25">
      <c r="CB617" s="350"/>
      <c r="CC617" s="350"/>
      <c r="CD617" s="350"/>
      <c r="CE617" s="350"/>
      <c r="CF617" s="350"/>
      <c r="CG617" s="350"/>
      <c r="CR617" s="350"/>
      <c r="CS617" s="300"/>
      <c r="CT617" s="301"/>
      <c r="CU617" s="471" t="s">
        <v>157</v>
      </c>
      <c r="CV617" s="471" t="s">
        <v>158</v>
      </c>
      <c r="CW617" s="472" t="s">
        <v>159</v>
      </c>
      <c r="CX617" s="472"/>
      <c r="CY617" s="473" t="s">
        <v>160</v>
      </c>
      <c r="CZ617" s="472" t="s">
        <v>135</v>
      </c>
      <c r="DA617" s="302"/>
      <c r="DB617" s="302"/>
      <c r="DC617" s="364"/>
      <c r="DD617" s="302"/>
      <c r="DF617" s="424"/>
      <c r="DW617" s="424"/>
      <c r="DX617" s="424"/>
      <c r="DY617" s="424"/>
      <c r="DZ617" s="424"/>
      <c r="EA617" s="424"/>
      <c r="EB617" s="424"/>
      <c r="EC617" s="404" t="str">
        <f t="shared" ref="EC617:EC622" ca="1" si="409">EC610</f>
        <v/>
      </c>
      <c r="ED617" s="371" t="str">
        <f ca="1">IF(OR(EC617="",EJ617="",EC617=EJ617,ISNA(VLOOKUP(CONCATENATE(EC617,EJ617),games.r,2,FALSE))),"",CONCATENATE(EC617,EJ617))</f>
        <v/>
      </c>
      <c r="EE617" s="405" t="str">
        <f ca="1">IF(OR(ED617="",EJ602&gt;2),"",CONCATENATE(VLOOKUP(ED617,games.r,9,FALSE),VLOOKUP(ED617,games.r,12,FALSE)))</f>
        <v/>
      </c>
      <c r="EF617" s="406"/>
      <c r="EG617" s="407"/>
      <c r="EH617" s="408" t="str">
        <f ca="1">IF(ED617="","",VLOOKUP(ED617,games.r,6,FALSE))</f>
        <v/>
      </c>
      <c r="EI617" s="409" t="str">
        <f ca="1">IF(ED617="","",VLOOKUP(ED617,games.r,7,FALSE))</f>
        <v/>
      </c>
      <c r="EJ617" s="410" t="str">
        <f ca="1">EC605</f>
        <v/>
      </c>
      <c r="EK617" s="411"/>
      <c r="EL617" s="412"/>
      <c r="EM617" s="424"/>
      <c r="EN617" s="424"/>
      <c r="EO617" s="425"/>
      <c r="EP617" s="333"/>
    </row>
    <row r="618" spans="80:146" x14ac:dyDescent="0.25">
      <c r="CB618" s="350"/>
      <c r="CC618" s="350"/>
      <c r="CD618" s="350"/>
      <c r="CE618" s="350"/>
      <c r="CF618" s="350"/>
      <c r="CG618" s="350"/>
      <c r="CR618" s="350"/>
      <c r="CS618" s="300"/>
      <c r="CT618" s="395" t="str">
        <f ca="1">CT607</f>
        <v/>
      </c>
      <c r="CU618" s="478" t="str">
        <f ca="1">IF(OR(CT618="",DA618="",CT618=DA618,COUNTIF(games.rn,CT618&amp;DA618)=0),"",CONCATENATE(CT618,DA618))</f>
        <v/>
      </c>
      <c r="CV618" s="360" t="str">
        <f ca="1">IF(CU618="","",CONCATENATE(VLOOKUP(CU618,games.r,9,FALSE),VLOOKUP(CU618,games.r,12,FALSE)))</f>
        <v/>
      </c>
      <c r="CW618" s="354" t="str">
        <f ca="1">IF(CU618="","",VLOOKUP(CU618,games.r,10,FALSE))</f>
        <v/>
      </c>
      <c r="CX618" s="354" t="str">
        <f ca="1">IF(CU618="","",VLOOKUP(CU618,games.r,13,FALSE))</f>
        <v/>
      </c>
      <c r="CY618" s="361" t="str">
        <f ca="1">IF(CU618="","",VLOOKUP(CU618,games.r,6,FALSE))</f>
        <v/>
      </c>
      <c r="CZ618" s="362" t="str">
        <f ca="1">IF(CU618="","",VLOOKUP(CU618,games.r,7,FALSE))</f>
        <v/>
      </c>
      <c r="DA618" s="479" t="str">
        <f ca="1">CT598</f>
        <v/>
      </c>
      <c r="DB618" s="302"/>
      <c r="DC618" s="364"/>
      <c r="DD618" s="302"/>
      <c r="DF618" s="424"/>
      <c r="DW618" s="424"/>
      <c r="DX618" s="424"/>
      <c r="DY618" s="424"/>
      <c r="DZ618" s="424"/>
      <c r="EA618" s="424"/>
      <c r="EB618" s="424"/>
      <c r="EC618" s="404" t="str">
        <f t="shared" ca="1" si="409"/>
        <v/>
      </c>
      <c r="ED618" s="371" t="str">
        <f ca="1">IF(OR(EC618="",EJ618="",EC618=EJ618,ISNA(VLOOKUP(CONCATENATE(EC618,EJ618),games.r,2,FALSE))),"",CONCATENATE(EC618,EJ618))</f>
        <v/>
      </c>
      <c r="EE618" s="405" t="str">
        <f ca="1">IF(OR(ED618="",EJ602&gt;2),"",CONCATENATE(VLOOKUP(ED618,games.r,9,FALSE),VLOOKUP(ED618,games.r,12,FALSE)))</f>
        <v/>
      </c>
      <c r="EF618" s="413"/>
      <c r="EG618" s="414"/>
      <c r="EH618" s="408" t="str">
        <f ca="1">IF(ED618="","",VLOOKUP(ED618,games.r,6,FALSE))</f>
        <v/>
      </c>
      <c r="EI618" s="409" t="str">
        <f ca="1">IF(ED618="","",VLOOKUP(ED618,games.r,7,FALSE))</f>
        <v/>
      </c>
      <c r="EJ618" s="415" t="str">
        <f ca="1">EJ617</f>
        <v/>
      </c>
      <c r="EK618" s="416"/>
      <c r="EL618" s="417"/>
      <c r="EM618" s="424"/>
      <c r="EN618" s="424"/>
      <c r="EO618" s="425"/>
      <c r="EP618" s="333"/>
    </row>
    <row r="619" spans="80:146" x14ac:dyDescent="0.25">
      <c r="CB619" s="350"/>
      <c r="CC619" s="467" t="s">
        <v>212</v>
      </c>
      <c r="CD619" s="467" t="s">
        <v>424</v>
      </c>
      <c r="CE619" s="467" t="s">
        <v>425</v>
      </c>
      <c r="CF619" s="296"/>
      <c r="CG619" s="296"/>
      <c r="CI619" s="468" t="str">
        <f ca="1">IF(CH620=0,"xxx",VLOOKUP(CH620,CC620:CF629,IF(ASZTAB!$AJ$44,3,2),FALSE))</f>
        <v>xxx</v>
      </c>
      <c r="CJ619" s="469"/>
      <c r="CK619" s="470" t="s">
        <v>220</v>
      </c>
      <c r="CL619" s="468" t="str">
        <f ca="1">IF(CH621=0,"xxx",VLOOKUP(CH621,CC620:CF629,IF(ASZTAB!$AJ$44,3,2),FALSE))</f>
        <v>xxx</v>
      </c>
      <c r="CM619" s="469"/>
      <c r="CN619" s="470" t="s">
        <v>221</v>
      </c>
      <c r="CO619" s="468" t="str">
        <f ca="1">IF(CH622=0,"xxx",VLOOKUP(CH622,CC620:CF629,IF(ASZTAB!$AJ$44,3,2),FALSE))</f>
        <v>xxx</v>
      </c>
      <c r="CP619" s="469"/>
      <c r="CQ619" s="470" t="s">
        <v>222</v>
      </c>
      <c r="CR619" s="350"/>
      <c r="CS619" s="300"/>
      <c r="CT619" s="395" t="str">
        <f t="shared" ref="CT619:CT627" ca="1" si="410">CT608</f>
        <v/>
      </c>
      <c r="CU619" s="478" t="str">
        <f ca="1">IF(OR(CT619="",DA619="",CT619=DA619,COUNTIF(games.rn,CT619&amp;DA619)=0),"",CONCATENATE(CT619,DA619))</f>
        <v/>
      </c>
      <c r="CV619" s="360" t="str">
        <f ca="1">IF(CU619="","",CONCATENATE(VLOOKUP(CU619,games.r,9,FALSE),VLOOKUP(CU619,games.r,12,FALSE)))</f>
        <v/>
      </c>
      <c r="CW619" s="354" t="str">
        <f ca="1">IF(CU619="","",VLOOKUP(CU619,games.r,10,FALSE))</f>
        <v/>
      </c>
      <c r="CX619" s="354" t="str">
        <f ca="1">IF(CU619="","",VLOOKUP(CU619,games.r,13,FALSE))</f>
        <v/>
      </c>
      <c r="CY619" s="361" t="str">
        <f ca="1">IF(CU619="","",VLOOKUP(CU619,games.r,6,FALSE))</f>
        <v/>
      </c>
      <c r="CZ619" s="362" t="str">
        <f ca="1">IF(CU619="","",VLOOKUP(CU619,games.r,7,FALSE))</f>
        <v/>
      </c>
      <c r="DA619" s="379" t="str">
        <f ca="1">DA618</f>
        <v/>
      </c>
      <c r="DB619" s="302"/>
      <c r="DC619" s="364"/>
      <c r="DD619" s="302"/>
      <c r="DF619" s="424"/>
      <c r="DW619" s="424"/>
      <c r="DX619" s="424"/>
      <c r="DY619" s="424"/>
      <c r="DZ619" s="424"/>
      <c r="EA619" s="424"/>
      <c r="EB619" s="424"/>
      <c r="EC619" s="404" t="str">
        <f t="shared" ca="1" si="409"/>
        <v/>
      </c>
      <c r="ED619" s="371" t="str">
        <f ca="1">IF(OR(EC619="",EJ619="",EC619=EJ619,ISNA(VLOOKUP(CONCATENATE(EC619,EJ619),games.r,2,FALSE))),"",CONCATENATE(EC619,EJ619))</f>
        <v/>
      </c>
      <c r="EE619" s="405" t="str">
        <f ca="1">IF(OR(ED619="",EJ602&gt;2),"",CONCATENATE(VLOOKUP(ED619,games.r,9,FALSE),VLOOKUP(ED619,games.r,12,FALSE)))</f>
        <v/>
      </c>
      <c r="EF619" s="413"/>
      <c r="EG619" s="414"/>
      <c r="EH619" s="408" t="str">
        <f ca="1">IF(ED619="","",VLOOKUP(ED619,games.r,6,FALSE))</f>
        <v/>
      </c>
      <c r="EI619" s="409" t="str">
        <f ca="1">IF(ED619="","",VLOOKUP(ED619,games.r,7,FALSE))</f>
        <v/>
      </c>
      <c r="EJ619" s="415" t="str">
        <f ca="1">EJ618</f>
        <v/>
      </c>
      <c r="EK619" s="416"/>
      <c r="EL619" s="417"/>
      <c r="EM619" s="424"/>
      <c r="EN619" s="424"/>
      <c r="EO619" s="425"/>
      <c r="EP619" s="333"/>
    </row>
    <row r="620" spans="80:146" x14ac:dyDescent="0.25">
      <c r="CB620" s="350"/>
      <c r="CC620" s="474">
        <f ca="1">IF(ASZTAB!$AJ$44,COUNTIF($BI$155:$BI$164,CE620)*IF(CE620=0,0,1),COUNTIF($BG$155:$BG$164,CD620)*IF(CD620=0,0,1))+CF620/1000</f>
        <v>1.0009999999999999</v>
      </c>
      <c r="CD620" s="352">
        <f ca="1">LARGE($BG$155:$BG$164,CF620)</f>
        <v>13</v>
      </c>
      <c r="CE620" s="353">
        <f ca="1">LARGE($BI$155:$BI$164,CF620)</f>
        <v>0.55555555555555558</v>
      </c>
      <c r="CF620" s="354">
        <v>1</v>
      </c>
      <c r="CG620" s="350"/>
      <c r="CH620" s="475">
        <f ca="1">IF(LARGE(CC620:CC629,CF620)&lt;2,0,LARGE(CC620:CC629,CF620))</f>
        <v>0</v>
      </c>
      <c r="CI620" s="356" t="str">
        <f ca="1">IF(OR(CI$619=$BG155,CI$619=$BI155),$AW155,"")</f>
        <v/>
      </c>
      <c r="CJ620" s="357" t="str">
        <f t="shared" ref="CJ620:CJ629" ca="1" si="411">IF(CI620="","",CF620)</f>
        <v/>
      </c>
      <c r="CK620" s="476" t="str">
        <f ca="1">IF(ISERR(LARGE(CJ620:CJ629,CF620)),"",LARGE(CJ620:CJ629,CF620))</f>
        <v/>
      </c>
      <c r="CL620" s="356" t="str">
        <f ca="1">IF(OR(CL$619=$BG155,CL$619=$BI155),$AW155,"")</f>
        <v/>
      </c>
      <c r="CM620" s="357" t="str">
        <f t="shared" ref="CM620:CM629" ca="1" si="412">IF(CL620="","",CF620)</f>
        <v/>
      </c>
      <c r="CN620" s="476" t="str">
        <f ca="1">IF(ISERR(LARGE(CM620:CM629,CF620)),"",LARGE(CM620:CM629,CF620))</f>
        <v/>
      </c>
      <c r="CO620" s="356" t="str">
        <f ca="1">IF(OR(CO$619=$BG155,CO$619=$BI155),$AW155,"")</f>
        <v/>
      </c>
      <c r="CP620" s="357" t="str">
        <f t="shared" ref="CP620:CP629" ca="1" si="413">IF(CO620="","",CF620)</f>
        <v/>
      </c>
      <c r="CQ620" s="476" t="str">
        <f ca="1">IF(ISERR(LARGE(CP620:CP629,CF620)),"",LARGE(CP620:CP629,CF620))</f>
        <v/>
      </c>
      <c r="CR620" s="350"/>
      <c r="CS620" s="300"/>
      <c r="CT620" s="395" t="str">
        <f t="shared" ca="1" si="410"/>
        <v/>
      </c>
      <c r="CU620" s="478" t="str">
        <f ca="1">IF(OR(CT620="",DA620="",CT620=DA620,COUNTIF(games.rn,CT620&amp;DA620)=0),"",CONCATENATE(CT620,DA620))</f>
        <v/>
      </c>
      <c r="CV620" s="360" t="str">
        <f ca="1">IF(CU620="","",CONCATENATE(VLOOKUP(CU620,games.r,9,FALSE),VLOOKUP(CU620,games.r,12,FALSE)))</f>
        <v/>
      </c>
      <c r="CW620" s="354" t="str">
        <f ca="1">IF(CU620="","",VLOOKUP(CU620,games.r,10,FALSE))</f>
        <v/>
      </c>
      <c r="CX620" s="354" t="str">
        <f ca="1">IF(CU620="","",VLOOKUP(CU620,games.r,13,FALSE))</f>
        <v/>
      </c>
      <c r="CY620" s="361" t="str">
        <f ca="1">IF(CU620="","",VLOOKUP(CU620,games.r,6,FALSE))</f>
        <v/>
      </c>
      <c r="CZ620" s="362" t="str">
        <f ca="1">IF(CU620="","",VLOOKUP(CU620,games.r,7,FALSE))</f>
        <v/>
      </c>
      <c r="DA620" s="379" t="str">
        <f t="shared" ref="DA620:DA627" ca="1" si="414">DA619</f>
        <v/>
      </c>
      <c r="DB620" s="302"/>
      <c r="DC620" s="364"/>
      <c r="DD620" s="302"/>
      <c r="DF620" s="424"/>
      <c r="DW620" s="424"/>
      <c r="DX620" s="424"/>
      <c r="DY620" s="424"/>
      <c r="DZ620" s="424"/>
      <c r="EA620" s="424"/>
      <c r="EB620" s="424"/>
      <c r="EC620" s="404" t="str">
        <f t="shared" si="409"/>
        <v/>
      </c>
      <c r="ED620" s="360" t="str">
        <f ca="1">IF(OR(EC620="",EJ620="",EC620=EJ620,ISNA(VLOOKUP(CONCATENATE(EC620,EJ620),games.a,2,FALSE))),"",CONCATENATE(EC620,EJ620))</f>
        <v/>
      </c>
      <c r="EE620" s="524" t="str">
        <f ca="1">IF(OR(ED620="",EJ602&gt;2),"",CONCATENATE(VLOOKUP(ED620,games.a,9,FALSE),VLOOKUP(ED620,games.a,12,FALSE)))</f>
        <v/>
      </c>
      <c r="EF620" s="413"/>
      <c r="EG620" s="414"/>
      <c r="EH620" s="525" t="str">
        <f ca="1">IF(ED620="","",VLOOKUP(ED620,games.a,6,FALSE))</f>
        <v/>
      </c>
      <c r="EI620" s="362" t="str">
        <f ca="1">IF(ED620="","",VLOOKUP(ED620,games.a,7,FALSE))</f>
        <v/>
      </c>
      <c r="EJ620" s="526" t="str">
        <f ca="1">EJ619</f>
        <v/>
      </c>
      <c r="EK620" s="527"/>
      <c r="EL620" s="528"/>
      <c r="EM620" s="424"/>
      <c r="EN620" s="424"/>
      <c r="EO620" s="425"/>
      <c r="EP620" s="333"/>
    </row>
    <row r="621" spans="80:146" x14ac:dyDescent="0.25">
      <c r="CB621" s="350"/>
      <c r="CC621" s="353">
        <f ca="1">IF(ASZTAB!$AJ$44,COUNTIF($BI$155:$BI$164,CE621)*IF(OR(CE621=CE620,CE621=0),0,1),COUNTIF($BG$155:$BG$164,CD621)*IF(OR(CD621=CD620,CD621=0),0,1))+CF621/1000</f>
        <v>1.002</v>
      </c>
      <c r="CD621" s="352">
        <f t="shared" ref="CD621:CD629" ca="1" si="415">LARGE($BG$155:$BG$164,CF621)</f>
        <v>11</v>
      </c>
      <c r="CE621" s="353">
        <f t="shared" ref="CE621:CE629" ca="1" si="416">LARGE($BI$155:$BI$164,CF621)</f>
        <v>0.44444444444444442</v>
      </c>
      <c r="CF621" s="354">
        <v>2</v>
      </c>
      <c r="CG621" s="350"/>
      <c r="CH621" s="475">
        <f ca="1">IF(LARGE(CC620:CC629,CF621)&lt;2,0,LARGE(CC620:CC629,CF621))</f>
        <v>0</v>
      </c>
      <c r="CI621" s="356" t="str">
        <f t="shared" ref="CI621:CI629" ca="1" si="417">IF(OR(CI$619=$BG156,CI$619=$BI156),$AW156,"")</f>
        <v/>
      </c>
      <c r="CJ621" s="357" t="str">
        <f t="shared" ca="1" si="411"/>
        <v/>
      </c>
      <c r="CK621" s="476" t="str">
        <f ca="1">IF(ISERR(LARGE(CJ620:CJ629,CF621)),"",LARGE(CJ620:CJ629,CF621))</f>
        <v/>
      </c>
      <c r="CL621" s="356" t="str">
        <f t="shared" ref="CL621:CL629" ca="1" si="418">IF(OR(CL$619=$BG156,CL$619=$BI156),$AW156,"")</f>
        <v/>
      </c>
      <c r="CM621" s="357" t="str">
        <f t="shared" ca="1" si="412"/>
        <v/>
      </c>
      <c r="CN621" s="476" t="str">
        <f ca="1">IF(ISERR(LARGE(CM620:CM629,CF621)),"",LARGE(CM620:CM629,CF621))</f>
        <v/>
      </c>
      <c r="CO621" s="356" t="str">
        <f t="shared" ref="CO621:CO629" ca="1" si="419">IF(OR(CO$619=$BG156,CO$619=$BI156),$AW156,"")</f>
        <v/>
      </c>
      <c r="CP621" s="357" t="str">
        <f t="shared" ca="1" si="413"/>
        <v/>
      </c>
      <c r="CQ621" s="476" t="str">
        <f ca="1">IF(ISERR(LARGE(CP620:CP629,CF621)),"",LARGE(CP620:CP629,CF621))</f>
        <v/>
      </c>
      <c r="CR621" s="350"/>
      <c r="CS621" s="300"/>
      <c r="CT621" s="395" t="str">
        <f t="shared" ca="1" si="410"/>
        <v/>
      </c>
      <c r="CU621" s="478" t="str">
        <f ca="1">IF(OR(CT621="",DA621="",CT621=DA621,COUNTIF(games.rn,CT621&amp;DA621)=0),"",CONCATENATE(CT621,DA621))</f>
        <v/>
      </c>
      <c r="CV621" s="360" t="str">
        <f ca="1">IF(CU621="","",CONCATENATE(VLOOKUP(CU621,games.r,9,FALSE),VLOOKUP(CU621,games.r,12,FALSE)))</f>
        <v/>
      </c>
      <c r="CW621" s="354" t="str">
        <f ca="1">IF(CU621="","",VLOOKUP(CU621,games.r,10,FALSE))</f>
        <v/>
      </c>
      <c r="CX621" s="354" t="str">
        <f ca="1">IF(CU621="","",VLOOKUP(CU621,games.r,13,FALSE))</f>
        <v/>
      </c>
      <c r="CY621" s="361" t="str">
        <f ca="1">IF(CU621="","",VLOOKUP(CU621,games.r,6,FALSE))</f>
        <v/>
      </c>
      <c r="CZ621" s="362" t="str">
        <f ca="1">IF(CU621="","",VLOOKUP(CU621,games.r,7,FALSE))</f>
        <v/>
      </c>
      <c r="DA621" s="379" t="str">
        <f t="shared" ca="1" si="414"/>
        <v/>
      </c>
      <c r="DB621" s="302"/>
      <c r="DC621" s="364"/>
      <c r="DD621" s="302"/>
      <c r="DF621" s="424"/>
      <c r="DW621" s="424"/>
      <c r="DX621" s="424"/>
      <c r="DY621" s="424"/>
      <c r="DZ621" s="424"/>
      <c r="EA621" s="424"/>
      <c r="EB621" s="424"/>
      <c r="EC621" s="404" t="str">
        <f t="shared" si="409"/>
        <v/>
      </c>
      <c r="ED621" s="360" t="str">
        <f ca="1">IF(OR(EC621="",EJ621="",EC621=EJ621,ISNA(VLOOKUP(CONCATENATE(EC621,EJ621),games.a,2,FALSE))),"",CONCATENATE(EC621,EJ621))</f>
        <v/>
      </c>
      <c r="EE621" s="524" t="str">
        <f ca="1">IF(OR(ED621="",EJ602&gt;2),"",CONCATENATE(VLOOKUP(ED621,games.a,9,FALSE),VLOOKUP(ED621,games.a,12,FALSE)))</f>
        <v/>
      </c>
      <c r="EF621" s="413"/>
      <c r="EG621" s="414"/>
      <c r="EH621" s="525" t="str">
        <f ca="1">IF(ED621="","",VLOOKUP(ED621,games.a,6,FALSE))</f>
        <v/>
      </c>
      <c r="EI621" s="362" t="str">
        <f ca="1">IF(ED621="","",VLOOKUP(ED621,games.a,7,FALSE))</f>
        <v/>
      </c>
      <c r="EJ621" s="526" t="str">
        <f ca="1">EJ620</f>
        <v/>
      </c>
      <c r="EK621" s="527"/>
      <c r="EL621" s="528"/>
      <c r="EM621" s="424"/>
      <c r="EN621" s="424"/>
      <c r="EO621" s="425"/>
      <c r="EP621" s="333"/>
    </row>
    <row r="622" spans="80:146" x14ac:dyDescent="0.25">
      <c r="CB622" s="350"/>
      <c r="CC622" s="353">
        <f ca="1">IF(ASZTAB!$AJ$44,COUNTIF($BI$155:$BI$164,CE622)*IF(OR(CE622=CE621,CE622=0),0,1),COUNTIF($BG$155:$BG$164,CD622)*IF(OR(CD622=CD621,CD622=0),0,1))+CF622/1000</f>
        <v>1.0029999999999999</v>
      </c>
      <c r="CD622" s="352">
        <f t="shared" ca="1" si="415"/>
        <v>7</v>
      </c>
      <c r="CE622" s="353">
        <f t="shared" ca="1" si="416"/>
        <v>0.35</v>
      </c>
      <c r="CF622" s="354">
        <v>3</v>
      </c>
      <c r="CG622" s="350"/>
      <c r="CH622" s="475">
        <f ca="1">IF(LARGE(CC620:CC629,CF622)&lt;2,0,LARGE(CC620:CC629,CF622))</f>
        <v>0</v>
      </c>
      <c r="CI622" s="356" t="str">
        <f t="shared" ca="1" si="417"/>
        <v/>
      </c>
      <c r="CJ622" s="357" t="str">
        <f t="shared" ca="1" si="411"/>
        <v/>
      </c>
      <c r="CK622" s="476" t="str">
        <f ca="1">IF(ISERR(LARGE(CJ620:CJ629,CF622)),"",LARGE(CJ620:CJ629,CF622))</f>
        <v/>
      </c>
      <c r="CL622" s="356" t="str">
        <f t="shared" ca="1" si="418"/>
        <v/>
      </c>
      <c r="CM622" s="357" t="str">
        <f t="shared" ca="1" si="412"/>
        <v/>
      </c>
      <c r="CN622" s="476" t="str">
        <f ca="1">IF(ISERR(LARGE(CM620:CM629,CF622)),"",LARGE(CM620:CM629,CF622))</f>
        <v/>
      </c>
      <c r="CO622" s="356" t="str">
        <f t="shared" ca="1" si="419"/>
        <v/>
      </c>
      <c r="CP622" s="357" t="str">
        <f t="shared" ca="1" si="413"/>
        <v/>
      </c>
      <c r="CQ622" s="380"/>
      <c r="CR622" s="350"/>
      <c r="CS622" s="300"/>
      <c r="CT622" s="395" t="str">
        <f t="shared" ca="1" si="410"/>
        <v/>
      </c>
      <c r="CU622" s="478" t="str">
        <f ca="1">IF(OR(CT622="",DA622="",CT622=DA622,COUNTIF(games.rn,CT622&amp;DA622)=0),"",CONCATENATE(CT622,DA622))</f>
        <v/>
      </c>
      <c r="CV622" s="360" t="str">
        <f ca="1">IF(CU622="","",CONCATENATE(VLOOKUP(CU622,games.r,9,FALSE),VLOOKUP(CU622,games.r,12,FALSE)))</f>
        <v/>
      </c>
      <c r="CW622" s="354" t="str">
        <f ca="1">IF(CU622="","",VLOOKUP(CU622,games.r,10,FALSE))</f>
        <v/>
      </c>
      <c r="CX622" s="354" t="str">
        <f ca="1">IF(CU622="","",VLOOKUP(CU622,games.r,13,FALSE))</f>
        <v/>
      </c>
      <c r="CY622" s="361" t="str">
        <f ca="1">IF(CU622="","",VLOOKUP(CU622,games.r,6,FALSE))</f>
        <v/>
      </c>
      <c r="CZ622" s="362" t="str">
        <f ca="1">IF(CU622="","",VLOOKUP(CU622,games.r,7,FALSE))</f>
        <v/>
      </c>
      <c r="DA622" s="379" t="str">
        <f t="shared" ca="1" si="414"/>
        <v/>
      </c>
      <c r="DB622" s="302"/>
      <c r="DC622" s="364"/>
      <c r="DD622" s="302"/>
      <c r="DF622" s="424"/>
      <c r="DW622" s="424"/>
      <c r="DX622" s="424"/>
      <c r="DY622" s="424"/>
      <c r="DZ622" s="424"/>
      <c r="EA622" s="424"/>
      <c r="EC622" s="404" t="str">
        <f t="shared" si="409"/>
        <v/>
      </c>
      <c r="ED622" s="360" t="str">
        <f ca="1">IF(OR(EC622="",EJ622="",EC622=EJ622,ISNA(VLOOKUP(CONCATENATE(EC622,EJ622),games.a,2,FALSE))),"",CONCATENATE(EC622,EJ622))</f>
        <v/>
      </c>
      <c r="EE622" s="524" t="str">
        <f ca="1">IF(OR(ED622="",EJ602&gt;2),"",CONCATENATE(VLOOKUP(ED622,games.a,9,FALSE),VLOOKUP(ED622,games.a,12,FALSE)))</f>
        <v/>
      </c>
      <c r="EF622" s="413"/>
      <c r="EG622" s="414"/>
      <c r="EH622" s="525" t="str">
        <f ca="1">IF(ED622="","",VLOOKUP(ED622,games.a,6,FALSE))</f>
        <v/>
      </c>
      <c r="EI622" s="362" t="str">
        <f ca="1">IF(ED622="","",VLOOKUP(ED622,games.a,7,FALSE))</f>
        <v/>
      </c>
      <c r="EJ622" s="526" t="str">
        <f ca="1">EJ621</f>
        <v/>
      </c>
      <c r="EK622" s="527"/>
      <c r="EL622" s="528"/>
      <c r="EM622" s="424"/>
      <c r="EN622" s="424"/>
      <c r="EO622" s="425"/>
      <c r="EP622" s="333"/>
    </row>
    <row r="623" spans="80:146" x14ac:dyDescent="0.25">
      <c r="CB623" s="350"/>
      <c r="CC623" s="353">
        <f ca="1">IF(ASZTAB!$AJ$44,COUNTIF($BI$155:$BI$164,CE623)*IF(OR(CE623=CE622,CE623=0),0,1),COUNTIF($BG$155:$BG$164,CD623)*IF(OR(CD623=CD622,CD623=0),0,1))+CF623/1000</f>
        <v>1.004</v>
      </c>
      <c r="CD623" s="352">
        <f t="shared" ca="1" si="415"/>
        <v>3</v>
      </c>
      <c r="CE623" s="353">
        <f t="shared" ca="1" si="416"/>
        <v>0.22222222222222221</v>
      </c>
      <c r="CF623" s="354">
        <v>4</v>
      </c>
      <c r="CG623" s="350"/>
      <c r="CH623" s="300"/>
      <c r="CI623" s="356" t="str">
        <f t="shared" ca="1" si="417"/>
        <v/>
      </c>
      <c r="CJ623" s="357" t="str">
        <f t="shared" ca="1" si="411"/>
        <v/>
      </c>
      <c r="CK623" s="476" t="str">
        <f ca="1">IF(ISERR(LARGE(CJ620:CJ629,CF623)),"",LARGE(CJ620:CJ629,CF623))</f>
        <v/>
      </c>
      <c r="CL623" s="356" t="str">
        <f t="shared" ca="1" si="418"/>
        <v/>
      </c>
      <c r="CM623" s="357" t="str">
        <f t="shared" ca="1" si="412"/>
        <v/>
      </c>
      <c r="CN623" s="380"/>
      <c r="CO623" s="356" t="str">
        <f t="shared" ca="1" si="419"/>
        <v/>
      </c>
      <c r="CP623" s="357" t="str">
        <f t="shared" ca="1" si="413"/>
        <v/>
      </c>
      <c r="CQ623" s="385"/>
      <c r="CR623" s="350"/>
      <c r="CS623" s="300"/>
      <c r="CT623" s="522" t="str">
        <f t="shared" si="410"/>
        <v/>
      </c>
      <c r="CU623" s="371" t="str">
        <f ca="1">IF(OR(CT623="",DA623="",CT623=DA623,ISNA(VLOOKUP(CONCATENATE(CT623,DA623),games.a,2,FALSE))),"",CONCATENATE(CT623,DA623))</f>
        <v/>
      </c>
      <c r="CV623" s="371" t="str">
        <f ca="1">IF(CU623="","",CONCATENATE(VLOOKUP(CU623,games.a,9,FALSE),VLOOKUP(CU623,games.a,12,FALSE)))</f>
        <v/>
      </c>
      <c r="CW623" s="369" t="str">
        <f ca="1">IF(CU623="","",VLOOKUP(CU623,games.a,10,FALSE))</f>
        <v/>
      </c>
      <c r="CX623" s="369" t="str">
        <f ca="1">IF(CU623="","",VLOOKUP(CU623,games.a,13,FALSE))</f>
        <v/>
      </c>
      <c r="CY623" s="423" t="str">
        <f ca="1">IF(CU623="","",VLOOKUP(CU623,games.a,6,FALSE))</f>
        <v/>
      </c>
      <c r="CZ623" s="409" t="str">
        <f ca="1">IF(CU623="","",VLOOKUP(CU623,games.a,7,FALSE))</f>
        <v/>
      </c>
      <c r="DA623" s="523" t="str">
        <f t="shared" ca="1" si="414"/>
        <v/>
      </c>
      <c r="DB623" s="302"/>
      <c r="DC623" s="364"/>
      <c r="DD623" s="302"/>
      <c r="DF623" s="424"/>
      <c r="DW623" s="424"/>
      <c r="DX623" s="424"/>
      <c r="DY623" s="424"/>
      <c r="DZ623" s="424"/>
      <c r="EA623" s="424"/>
      <c r="EB623" s="424"/>
      <c r="EC623" s="424"/>
      <c r="ED623" s="424"/>
      <c r="EE623" s="424"/>
      <c r="EF623" s="424"/>
      <c r="EG623" s="424"/>
      <c r="EH623" s="424"/>
      <c r="EI623" s="424"/>
      <c r="EJ623" s="424"/>
      <c r="EK623" s="424"/>
      <c r="EL623" s="424"/>
      <c r="EM623" s="424"/>
      <c r="EN623" s="424"/>
      <c r="EO623" s="424"/>
      <c r="EP623" s="333"/>
    </row>
    <row r="624" spans="80:146" x14ac:dyDescent="0.25">
      <c r="CB624" s="350"/>
      <c r="CC624" s="353">
        <f ca="1">IF(ASZTAB!$AJ$44,COUNTIF($BI$155:$BI$164,CE624)*IF(OR(CE624=CE623,CE624=0),0,1),COUNTIF($BG$155:$BG$164,CD624)*IF(OR(CD624=CD623,CD624=0),0,1))+CF624/1000</f>
        <v>1.0049999999999999</v>
      </c>
      <c r="CD624" s="352">
        <f t="shared" ca="1" si="415"/>
        <v>2</v>
      </c>
      <c r="CE624" s="353">
        <f t="shared" ca="1" si="416"/>
        <v>5.5555555555555552E-2</v>
      </c>
      <c r="CF624" s="354">
        <v>5</v>
      </c>
      <c r="CG624" s="350"/>
      <c r="CH624" s="300"/>
      <c r="CI624" s="356" t="str">
        <f t="shared" ca="1" si="417"/>
        <v/>
      </c>
      <c r="CJ624" s="357" t="str">
        <f t="shared" ca="1" si="411"/>
        <v/>
      </c>
      <c r="CK624" s="476" t="str">
        <f ca="1">IF(ISERR(LARGE(CJ620:CJ629,CF624)),"",LARGE(CJ620:CJ629,CF624))</f>
        <v/>
      </c>
      <c r="CL624" s="356" t="str">
        <f t="shared" ca="1" si="418"/>
        <v/>
      </c>
      <c r="CM624" s="357" t="str">
        <f t="shared" ca="1" si="412"/>
        <v/>
      </c>
      <c r="CN624" s="385"/>
      <c r="CO624" s="356" t="str">
        <f t="shared" ca="1" si="419"/>
        <v/>
      </c>
      <c r="CP624" s="357" t="str">
        <f t="shared" ca="1" si="413"/>
        <v/>
      </c>
      <c r="CQ624" s="385"/>
      <c r="CR624" s="350"/>
      <c r="CS624" s="300"/>
      <c r="CT624" s="522" t="str">
        <f t="shared" si="410"/>
        <v/>
      </c>
      <c r="CU624" s="371" t="str">
        <f ca="1">IF(OR(CT624="",DA624="",CT624=DA624,ISNA(VLOOKUP(CONCATENATE(CT624,DA624),games.a,2,FALSE))),"",CONCATENATE(CT624,DA624))</f>
        <v/>
      </c>
      <c r="CV624" s="371" t="str">
        <f ca="1">IF(CU624="","",CONCATENATE(VLOOKUP(CU624,games.a,9,FALSE),VLOOKUP(CU624,games.a,12,FALSE)))</f>
        <v/>
      </c>
      <c r="CW624" s="369" t="str">
        <f ca="1">IF(CU624="","",VLOOKUP(CU624,games.a,10,FALSE))</f>
        <v/>
      </c>
      <c r="CX624" s="369" t="str">
        <f ca="1">IF(CU624="","",VLOOKUP(CU624,games.a,13,FALSE))</f>
        <v/>
      </c>
      <c r="CY624" s="423" t="str">
        <f ca="1">IF(CU624="","",VLOOKUP(CU624,games.a,6,FALSE))</f>
        <v/>
      </c>
      <c r="CZ624" s="409" t="str">
        <f ca="1">IF(CU624="","",VLOOKUP(CU624,games.a,7,FALSE))</f>
        <v/>
      </c>
      <c r="DA624" s="523" t="str">
        <f t="shared" ca="1" si="414"/>
        <v/>
      </c>
      <c r="DB624" s="302"/>
      <c r="DC624" s="364"/>
      <c r="DD624" s="302"/>
      <c r="DF624" s="424"/>
      <c r="DG624" s="424"/>
      <c r="DH624" s="424"/>
      <c r="DI624" s="424"/>
      <c r="DJ624" s="424"/>
      <c r="DK624" s="424"/>
      <c r="DL624" s="424"/>
      <c r="DM624" s="424"/>
      <c r="DN624" s="424"/>
      <c r="DO624" s="424"/>
      <c r="DP624" s="424"/>
      <c r="DQ624" s="424"/>
      <c r="DR624" s="424"/>
      <c r="DS624" s="424"/>
      <c r="DT624" s="424"/>
      <c r="DU624" s="424"/>
      <c r="DV624" s="424"/>
      <c r="DW624" s="424"/>
      <c r="DX624" s="424"/>
      <c r="DY624" s="424"/>
      <c r="DZ624" s="424"/>
      <c r="EA624" s="424"/>
      <c r="EB624" s="424"/>
      <c r="EC624" s="424"/>
      <c r="ED624" s="424"/>
      <c r="EE624" s="424"/>
      <c r="EF624" s="424"/>
      <c r="EG624" s="424"/>
      <c r="EH624" s="424"/>
      <c r="EI624" s="424"/>
      <c r="EJ624" s="424"/>
      <c r="EK624" s="424"/>
      <c r="EL624" s="424"/>
      <c r="EM624" s="424"/>
      <c r="EN624" s="424"/>
      <c r="EO624" s="424"/>
      <c r="EP624" s="333"/>
    </row>
    <row r="625" spans="80:146" x14ac:dyDescent="0.25">
      <c r="CB625" s="350"/>
      <c r="CC625" s="353">
        <f ca="1">IF(ASZTAB!$AJ$44,COUNTIF($BI$155:$BI$164,CE625)*IF(OR(CE625=CE624,CE625=0),0,1),COUNTIF($BG$155:$BG$164,CD625)*IF(OR(CD625=CD624,CD625=0),0,1))+CF625/1000</f>
        <v>6.0000000000000001E-3</v>
      </c>
      <c r="CD625" s="352">
        <f t="shared" ca="1" si="415"/>
        <v>0</v>
      </c>
      <c r="CE625" s="353">
        <f t="shared" ca="1" si="416"/>
        <v>0</v>
      </c>
      <c r="CF625" s="354">
        <v>6</v>
      </c>
      <c r="CG625" s="350"/>
      <c r="CH625" s="300"/>
      <c r="CI625" s="356" t="str">
        <f t="shared" ca="1" si="417"/>
        <v/>
      </c>
      <c r="CJ625" s="357" t="str">
        <f t="shared" ca="1" si="411"/>
        <v/>
      </c>
      <c r="CK625" s="380"/>
      <c r="CL625" s="356" t="str">
        <f t="shared" ca="1" si="418"/>
        <v/>
      </c>
      <c r="CM625" s="357" t="str">
        <f t="shared" ca="1" si="412"/>
        <v/>
      </c>
      <c r="CN625" s="385"/>
      <c r="CO625" s="356" t="str">
        <f t="shared" ca="1" si="419"/>
        <v/>
      </c>
      <c r="CP625" s="357" t="str">
        <f t="shared" ca="1" si="413"/>
        <v/>
      </c>
      <c r="CQ625" s="385"/>
      <c r="CR625" s="350"/>
      <c r="CS625" s="300"/>
      <c r="CT625" s="522" t="str">
        <f t="shared" si="410"/>
        <v/>
      </c>
      <c r="CU625" s="371" t="str">
        <f ca="1">IF(OR(CT625="",DA625="",CT625=DA625,ISNA(VLOOKUP(CONCATENATE(CT625,DA625),games.a,2,FALSE))),"",CONCATENATE(CT625,DA625))</f>
        <v/>
      </c>
      <c r="CV625" s="371" t="str">
        <f ca="1">IF(CU625="","",CONCATENATE(VLOOKUP(CU625,games.a,9,FALSE),VLOOKUP(CU625,games.a,12,FALSE)))</f>
        <v/>
      </c>
      <c r="CW625" s="369" t="str">
        <f ca="1">IF(CU625="","",VLOOKUP(CU625,games.a,10,FALSE))</f>
        <v/>
      </c>
      <c r="CX625" s="369" t="str">
        <f ca="1">IF(CU625="","",VLOOKUP(CU625,games.a,13,FALSE))</f>
        <v/>
      </c>
      <c r="CY625" s="423" t="str">
        <f ca="1">IF(CU625="","",VLOOKUP(CU625,games.a,6,FALSE))</f>
        <v/>
      </c>
      <c r="CZ625" s="409" t="str">
        <f ca="1">IF(CU625="","",VLOOKUP(CU625,games.a,7,FALSE))</f>
        <v/>
      </c>
      <c r="DA625" s="523" t="str">
        <f t="shared" ca="1" si="414"/>
        <v/>
      </c>
      <c r="DB625" s="302"/>
      <c r="DC625" s="364"/>
      <c r="DD625" s="302"/>
      <c r="DF625" s="424"/>
      <c r="DG625" s="424"/>
      <c r="DH625" s="424"/>
      <c r="DI625" s="424"/>
      <c r="DJ625" s="424"/>
      <c r="DK625" s="424"/>
      <c r="DL625" s="424"/>
      <c r="DM625" s="424"/>
      <c r="DN625" s="424"/>
      <c r="DO625" s="424"/>
      <c r="DP625" s="424"/>
      <c r="DQ625" s="424"/>
      <c r="DR625" s="424"/>
      <c r="DS625" s="424"/>
      <c r="DT625" s="424"/>
      <c r="DU625" s="424"/>
      <c r="DV625" s="424"/>
      <c r="DW625" s="424"/>
      <c r="DX625" s="424"/>
      <c r="DY625" s="424"/>
      <c r="DZ625" s="424"/>
      <c r="EA625" s="424"/>
      <c r="EB625" s="424"/>
      <c r="EC625" s="398"/>
      <c r="ED625" s="329" t="s">
        <v>157</v>
      </c>
      <c r="EE625" s="329" t="s">
        <v>158</v>
      </c>
      <c r="EF625" s="399"/>
      <c r="EG625" s="400"/>
      <c r="EH625" s="401" t="s">
        <v>160</v>
      </c>
      <c r="EI625" s="402" t="s">
        <v>135</v>
      </c>
      <c r="EJ625" s="424"/>
      <c r="EK625" s="365"/>
      <c r="EL625" s="365"/>
      <c r="EM625" s="424"/>
      <c r="EN625" s="424"/>
      <c r="EO625" s="425"/>
      <c r="EP625" s="333"/>
    </row>
    <row r="626" spans="80:146" x14ac:dyDescent="0.25">
      <c r="CB626" s="350"/>
      <c r="CC626" s="353">
        <f ca="1">IF(ASZTAB!$AJ$44,COUNTIF($BI$155:$BI$164,CE626)*IF(OR(CE626=CE625,CE626=0),0,1),COUNTIF($BG$155:$BG$164,CD626)*IF(OR(CD626=CD625,CD626=0),0,1))+CF626/1000</f>
        <v>7.0000000000000001E-3</v>
      </c>
      <c r="CD626" s="352">
        <f t="shared" ca="1" si="415"/>
        <v>0</v>
      </c>
      <c r="CE626" s="353">
        <f t="shared" ca="1" si="416"/>
        <v>0</v>
      </c>
      <c r="CF626" s="354">
        <v>7</v>
      </c>
      <c r="CG626" s="350"/>
      <c r="CH626" s="300"/>
      <c r="CI626" s="356" t="str">
        <f t="shared" ca="1" si="417"/>
        <v/>
      </c>
      <c r="CJ626" s="357" t="str">
        <f t="shared" ca="1" si="411"/>
        <v/>
      </c>
      <c r="CK626" s="385"/>
      <c r="CL626" s="356" t="str">
        <f t="shared" ca="1" si="418"/>
        <v/>
      </c>
      <c r="CM626" s="357" t="str">
        <f t="shared" ca="1" si="412"/>
        <v/>
      </c>
      <c r="CN626" s="385"/>
      <c r="CO626" s="356" t="str">
        <f t="shared" ca="1" si="419"/>
        <v/>
      </c>
      <c r="CP626" s="357" t="str">
        <f t="shared" ca="1" si="413"/>
        <v/>
      </c>
      <c r="CQ626" s="385"/>
      <c r="CR626" s="350"/>
      <c r="CS626" s="300"/>
      <c r="CT626" s="522" t="str">
        <f t="shared" si="410"/>
        <v/>
      </c>
      <c r="CU626" s="371" t="str">
        <f ca="1">IF(OR(CT626="",DA626="",CT626=DA626,ISNA(VLOOKUP(CONCATENATE(CT626,DA626),games.a,2,FALSE))),"",CONCATENATE(CT626,DA626))</f>
        <v/>
      </c>
      <c r="CV626" s="371" t="str">
        <f ca="1">IF(CU626="","",CONCATENATE(VLOOKUP(CU626,games.a,9,FALSE),VLOOKUP(CU626,games.a,12,FALSE)))</f>
        <v/>
      </c>
      <c r="CW626" s="369" t="str">
        <f ca="1">IF(CU626="","",VLOOKUP(CU626,games.a,10,FALSE))</f>
        <v/>
      </c>
      <c r="CX626" s="369" t="str">
        <f ca="1">IF(CU626="","",VLOOKUP(CU626,games.a,13,FALSE))</f>
        <v/>
      </c>
      <c r="CY626" s="423" t="str">
        <f ca="1">IF(CU626="","",VLOOKUP(CU626,games.a,6,FALSE))</f>
        <v/>
      </c>
      <c r="CZ626" s="409" t="str">
        <f ca="1">IF(CU626="","",VLOOKUP(CU626,games.a,7,FALSE))</f>
        <v/>
      </c>
      <c r="DA626" s="523" t="str">
        <f t="shared" ca="1" si="414"/>
        <v/>
      </c>
      <c r="DB626" s="302"/>
      <c r="DC626" s="364"/>
      <c r="DD626" s="302"/>
      <c r="DF626" s="424"/>
      <c r="DG626" s="424"/>
      <c r="DH626" s="424"/>
      <c r="DI626" s="424"/>
      <c r="DJ626" s="424"/>
      <c r="DK626" s="424"/>
      <c r="DL626" s="424"/>
      <c r="DM626" s="424"/>
      <c r="DN626" s="424"/>
      <c r="DO626" s="424"/>
      <c r="DP626" s="424"/>
      <c r="DQ626" s="424"/>
      <c r="DR626" s="424"/>
      <c r="DS626" s="424"/>
      <c r="DT626" s="424"/>
      <c r="DU626" s="424"/>
      <c r="DV626" s="424"/>
      <c r="DW626" s="424"/>
      <c r="DX626" s="424"/>
      <c r="DY626" s="424"/>
      <c r="DZ626" s="424"/>
      <c r="EA626" s="424"/>
      <c r="EB626" s="424"/>
      <c r="EC626" s="404" t="str">
        <f ca="1">IF(EI596="","",VLOOKUP(EI596,yyy.rn1,7,FALSE))</f>
        <v/>
      </c>
      <c r="ED626" s="371" t="str">
        <f ca="1">IF(OR(EC626="",EJ626="",EC626=EJ626,ISNA(VLOOKUP(CONCATENATE(EC626,EJ626),games.r,2,FALSE))),"",CONCATENATE(EC626,EJ626))</f>
        <v/>
      </c>
      <c r="EE626" s="371" t="str">
        <f ca="1">IF(ED626="","",CONCATENATE(VLOOKUP(ED626,games.r,9,FALSE),VLOOKUP(ED626,games.r,12,FALSE)))</f>
        <v/>
      </c>
      <c r="EF626" s="406"/>
      <c r="EG626" s="407"/>
      <c r="EH626" s="408" t="str">
        <f ca="1">IF(ED626="","",VLOOKUP(ED626,games.r,6,FALSE))</f>
        <v/>
      </c>
      <c r="EI626" s="409" t="str">
        <f ca="1">IF(ED626="","",VLOOKUP(ED626,games.r,7,FALSE))</f>
        <v/>
      </c>
      <c r="EJ626" s="410" t="str">
        <f ca="1">EC626</f>
        <v/>
      </c>
      <c r="EK626" s="411"/>
      <c r="EL626" s="412"/>
      <c r="EM626" s="424"/>
      <c r="EN626" s="424"/>
      <c r="EO626" s="425"/>
      <c r="EP626" s="333"/>
    </row>
    <row r="627" spans="80:146" x14ac:dyDescent="0.25">
      <c r="CB627" s="350"/>
      <c r="CC627" s="353">
        <f ca="1">IF(ASZTAB!$AJ$44,COUNTIF($BI$155:$BI$164,CE627)*IF(OR(CE627=CE626,CE627=0),0,1),COUNTIF($BG$155:$BG$164,CD627)*IF(OR(CD627=CD626,CD627=0),0,1))+CF627/1000</f>
        <v>8.0000000000000002E-3</v>
      </c>
      <c r="CD627" s="352">
        <f t="shared" ca="1" si="415"/>
        <v>0</v>
      </c>
      <c r="CE627" s="353">
        <f t="shared" ca="1" si="416"/>
        <v>0</v>
      </c>
      <c r="CF627" s="354">
        <v>8</v>
      </c>
      <c r="CG627" s="350"/>
      <c r="CH627" s="300"/>
      <c r="CI627" s="356" t="str">
        <f t="shared" ca="1" si="417"/>
        <v/>
      </c>
      <c r="CJ627" s="357" t="str">
        <f t="shared" ca="1" si="411"/>
        <v/>
      </c>
      <c r="CK627" s="385"/>
      <c r="CL627" s="356" t="str">
        <f t="shared" ca="1" si="418"/>
        <v/>
      </c>
      <c r="CM627" s="357" t="str">
        <f t="shared" ca="1" si="412"/>
        <v/>
      </c>
      <c r="CN627" s="385"/>
      <c r="CO627" s="356" t="str">
        <f t="shared" ca="1" si="419"/>
        <v/>
      </c>
      <c r="CP627" s="357" t="str">
        <f t="shared" ca="1" si="413"/>
        <v/>
      </c>
      <c r="CQ627" s="385"/>
      <c r="CR627" s="350"/>
      <c r="CS627" s="300"/>
      <c r="CT627" s="522" t="str">
        <f t="shared" si="410"/>
        <v/>
      </c>
      <c r="CU627" s="371" t="str">
        <f ca="1">IF(OR(CT627="",DA627="",CT627=DA627,ISNA(VLOOKUP(CONCATENATE(CT627,DA627),games.a,2,FALSE))),"",CONCATENATE(CT627,DA627))</f>
        <v/>
      </c>
      <c r="CV627" s="371" t="str">
        <f ca="1">IF(CU627="","",CONCATENATE(VLOOKUP(CU627,games.a,9,FALSE),VLOOKUP(CU627,games.a,12,FALSE)))</f>
        <v/>
      </c>
      <c r="CW627" s="369" t="str">
        <f ca="1">IF(CU627="","",VLOOKUP(CU627,games.a,10,FALSE))</f>
        <v/>
      </c>
      <c r="CX627" s="369" t="str">
        <f ca="1">IF(CU627="","",VLOOKUP(CU627,games.a,13,FALSE))</f>
        <v/>
      </c>
      <c r="CY627" s="423" t="str">
        <f ca="1">IF(CU627="","",VLOOKUP(CU627,games.a,6,FALSE))</f>
        <v/>
      </c>
      <c r="CZ627" s="409" t="str">
        <f ca="1">IF(CU627="","",VLOOKUP(CU627,games.a,7,FALSE))</f>
        <v/>
      </c>
      <c r="DA627" s="523" t="str">
        <f t="shared" ca="1" si="414"/>
        <v/>
      </c>
      <c r="DB627" s="302"/>
      <c r="DC627" s="364"/>
      <c r="DD627" s="302"/>
      <c r="DF627" s="424"/>
      <c r="DG627" s="424"/>
      <c r="DH627" s="424"/>
      <c r="DI627" s="424"/>
      <c r="DJ627" s="424"/>
      <c r="DK627" s="424"/>
      <c r="DL627" s="424"/>
      <c r="DM627" s="424"/>
      <c r="DN627" s="424"/>
      <c r="DO627" s="424"/>
      <c r="DP627" s="424"/>
      <c r="DQ627" s="424"/>
      <c r="DR627" s="424"/>
      <c r="DS627" s="424"/>
      <c r="DT627" s="424"/>
      <c r="DU627" s="424"/>
      <c r="DV627" s="424"/>
      <c r="DW627" s="424"/>
      <c r="DX627" s="424"/>
      <c r="DY627" s="424"/>
      <c r="DZ627" s="424"/>
      <c r="EA627" s="424"/>
      <c r="EB627" s="424"/>
      <c r="EC627" s="404" t="str">
        <f ca="1">IF(EI597="","",VLOOKUP(EI597,yyy.rn1,7,FALSE))</f>
        <v/>
      </c>
      <c r="ED627" s="371" t="str">
        <f ca="1">IF(OR(EC627="",EJ627="",EC627=EJ627,ISNA(VLOOKUP(CONCATENATE(EC627,EJ627),games.r,2,FALSE))),"",CONCATENATE(EC627,EJ627))</f>
        <v/>
      </c>
      <c r="EE627" s="371" t="str">
        <f ca="1">IF(ED627="","",CONCATENATE(VLOOKUP(ED627,games.r,9,FALSE),VLOOKUP(ED627,games.r,12,FALSE)))</f>
        <v/>
      </c>
      <c r="EF627" s="413"/>
      <c r="EG627" s="414"/>
      <c r="EH627" s="408" t="str">
        <f ca="1">IF(ED627="","",VLOOKUP(ED627,games.r,6,FALSE))</f>
        <v/>
      </c>
      <c r="EI627" s="409" t="str">
        <f ca="1">IF(ED627="","",VLOOKUP(ED627,games.r,7,FALSE))</f>
        <v/>
      </c>
      <c r="EJ627" s="415" t="str">
        <f ca="1">EJ626</f>
        <v/>
      </c>
      <c r="EK627" s="416"/>
      <c r="EL627" s="417"/>
      <c r="EM627" s="424"/>
      <c r="EN627" s="424"/>
      <c r="EO627" s="425"/>
      <c r="EP627" s="333"/>
    </row>
    <row r="628" spans="80:146" x14ac:dyDescent="0.25">
      <c r="CB628" s="350"/>
      <c r="CC628" s="353">
        <f ca="1">IF(ASZTAB!$AJ$44,COUNTIF($BI$155:$BI$164,CE628)*IF(OR(CE628=CE627,CE628=0),0,1),COUNTIF($BG$155:$BG$164,CD628)*IF(OR(CD628=CD627,CD628=0),0,1))+CF628/1000</f>
        <v>8.9999999999999993E-3</v>
      </c>
      <c r="CD628" s="352">
        <f t="shared" ca="1" si="415"/>
        <v>0</v>
      </c>
      <c r="CE628" s="353">
        <f t="shared" ca="1" si="416"/>
        <v>0</v>
      </c>
      <c r="CF628" s="354">
        <v>9</v>
      </c>
      <c r="CG628" s="350"/>
      <c r="CH628" s="300"/>
      <c r="CI628" s="356" t="str">
        <f t="shared" ca="1" si="417"/>
        <v/>
      </c>
      <c r="CJ628" s="357" t="str">
        <f t="shared" ca="1" si="411"/>
        <v/>
      </c>
      <c r="CK628" s="385"/>
      <c r="CL628" s="356" t="str">
        <f t="shared" ca="1" si="418"/>
        <v/>
      </c>
      <c r="CM628" s="357" t="str">
        <f t="shared" ca="1" si="412"/>
        <v/>
      </c>
      <c r="CN628" s="385"/>
      <c r="CO628" s="356" t="str">
        <f t="shared" ca="1" si="419"/>
        <v/>
      </c>
      <c r="CP628" s="357" t="str">
        <f t="shared" ca="1" si="413"/>
        <v/>
      </c>
      <c r="CQ628" s="385"/>
      <c r="CR628" s="350"/>
      <c r="CS628" s="300"/>
      <c r="CT628" s="301"/>
      <c r="CU628" s="471" t="s">
        <v>157</v>
      </c>
      <c r="CV628" s="471" t="s">
        <v>158</v>
      </c>
      <c r="CW628" s="472" t="s">
        <v>159</v>
      </c>
      <c r="CX628" s="472"/>
      <c r="CY628" s="473" t="s">
        <v>160</v>
      </c>
      <c r="CZ628" s="472" t="s">
        <v>135</v>
      </c>
      <c r="DA628" s="302"/>
      <c r="DB628" s="302"/>
      <c r="DC628" s="364"/>
      <c r="DD628" s="302"/>
      <c r="DF628" s="424"/>
      <c r="DG628" s="424"/>
      <c r="DH628" s="424"/>
      <c r="DI628" s="424"/>
      <c r="DJ628" s="424"/>
      <c r="DK628" s="424"/>
      <c r="DL628" s="424"/>
      <c r="DM628" s="424"/>
      <c r="DN628" s="424"/>
      <c r="DO628" s="424"/>
      <c r="DP628" s="424"/>
      <c r="DQ628" s="424"/>
      <c r="DR628" s="424"/>
      <c r="DS628" s="424"/>
      <c r="DT628" s="424"/>
      <c r="DU628" s="424"/>
      <c r="DV628" s="424"/>
      <c r="DW628" s="424"/>
      <c r="DX628" s="424"/>
      <c r="DY628" s="424"/>
      <c r="DZ628" s="424"/>
      <c r="EA628" s="424"/>
      <c r="EB628" s="424"/>
      <c r="EC628" s="404" t="str">
        <f>IF(NOT($AD$98),"",EC626)</f>
        <v/>
      </c>
      <c r="ED628" s="360" t="str">
        <f ca="1">IF(OR(EC628="",EJ628="",EC628=EJ628,ISNA(VLOOKUP(CONCATENATE(EC628,EJ628),games.a,2,FALSE))),"",CONCATENATE(EC628,EJ628))</f>
        <v/>
      </c>
      <c r="EE628" s="360" t="str">
        <f ca="1">IF(ED628="","",CONCATENATE(VLOOKUP(ED628,games.a,9,FALSE),VLOOKUP(ED628,games.a,12,FALSE)))</f>
        <v/>
      </c>
      <c r="EF628" s="413"/>
      <c r="EG628" s="414"/>
      <c r="EH628" s="525" t="str">
        <f ca="1">IF(ED628="","",VLOOKUP(ED628,games.a,6,FALSE))</f>
        <v/>
      </c>
      <c r="EI628" s="362" t="str">
        <f ca="1">IF(ED628="","",VLOOKUP(ED628,games.a,7,FALSE))</f>
        <v/>
      </c>
      <c r="EJ628" s="526" t="str">
        <f ca="1">EJ627</f>
        <v/>
      </c>
      <c r="EK628" s="527"/>
      <c r="EL628" s="528"/>
      <c r="EM628" s="424"/>
      <c r="EN628" s="424"/>
      <c r="EO628" s="425"/>
      <c r="EP628" s="333"/>
    </row>
    <row r="629" spans="80:146" x14ac:dyDescent="0.25">
      <c r="CB629" s="350"/>
      <c r="CC629" s="353">
        <f ca="1">IF(ASZTAB!$AJ$44,COUNTIF($BI$155:$BI$164,CE629)*IF(OR(CE629=CE628,CE629=0),0,1),COUNTIF($BG$155:$BG$164,CD629)*IF(OR(CD629=CD628,CD629=0),0,1))+CF629/1000</f>
        <v>0.01</v>
      </c>
      <c r="CD629" s="352">
        <f t="shared" ca="1" si="415"/>
        <v>0</v>
      </c>
      <c r="CE629" s="353">
        <f t="shared" ca="1" si="416"/>
        <v>0</v>
      </c>
      <c r="CF629" s="354">
        <v>10</v>
      </c>
      <c r="CG629" s="350"/>
      <c r="CH629" s="300"/>
      <c r="CI629" s="356" t="str">
        <f t="shared" ca="1" si="417"/>
        <v/>
      </c>
      <c r="CJ629" s="357" t="str">
        <f t="shared" ca="1" si="411"/>
        <v/>
      </c>
      <c r="CK629" s="357"/>
      <c r="CL629" s="356" t="str">
        <f t="shared" ca="1" si="418"/>
        <v/>
      </c>
      <c r="CM629" s="357" t="str">
        <f t="shared" ca="1" si="412"/>
        <v/>
      </c>
      <c r="CN629" s="357"/>
      <c r="CO629" s="356" t="str">
        <f t="shared" ca="1" si="419"/>
        <v/>
      </c>
      <c r="CP629" s="357" t="str">
        <f t="shared" ca="1" si="413"/>
        <v/>
      </c>
      <c r="CQ629" s="357"/>
      <c r="CR629" s="350"/>
      <c r="CS629" s="300"/>
      <c r="CT629" s="395" t="str">
        <f ca="1">CT618</f>
        <v/>
      </c>
      <c r="CU629" s="478" t="str">
        <f ca="1">IF(OR(CT629="",DA629="",CT629=DA629,COUNTIF(games.rn,CT629&amp;DA629)=0),"",CONCATENATE(CT629,DA629))</f>
        <v/>
      </c>
      <c r="CV629" s="360" t="str">
        <f ca="1">IF(CU629="","",CONCATENATE(VLOOKUP(CU629,games.r,9,FALSE),VLOOKUP(CU629,games.r,12,FALSE)))</f>
        <v/>
      </c>
      <c r="CW629" s="354" t="str">
        <f ca="1">IF(CU629="","",VLOOKUP(CU629,games.r,10,FALSE))</f>
        <v/>
      </c>
      <c r="CX629" s="354" t="str">
        <f ca="1">IF(CU629="","",VLOOKUP(CU629,games.r,13,FALSE))</f>
        <v/>
      </c>
      <c r="CY629" s="361" t="str">
        <f ca="1">IF(CU629="","",VLOOKUP(CU629,games.r,6,FALSE))</f>
        <v/>
      </c>
      <c r="CZ629" s="362" t="str">
        <f ca="1">IF(CU629="","",VLOOKUP(CU629,games.r,7,FALSE))</f>
        <v/>
      </c>
      <c r="DA629" s="479" t="str">
        <f ca="1">CT599</f>
        <v/>
      </c>
      <c r="DB629" s="302"/>
      <c r="DC629" s="364"/>
      <c r="DD629" s="302"/>
      <c r="DF629" s="424"/>
      <c r="DG629" s="424"/>
      <c r="DH629" s="424"/>
      <c r="DI629" s="424"/>
      <c r="DJ629" s="424"/>
      <c r="DK629" s="424"/>
      <c r="DL629" s="424"/>
      <c r="DM629" s="424"/>
      <c r="DN629" s="424"/>
      <c r="DO629" s="424"/>
      <c r="DP629" s="424"/>
      <c r="DQ629" s="424"/>
      <c r="DR629" s="424"/>
      <c r="DS629" s="424"/>
      <c r="DT629" s="424"/>
      <c r="DU629" s="424"/>
      <c r="DV629" s="424"/>
      <c r="DW629" s="424"/>
      <c r="DX629" s="424"/>
      <c r="DY629" s="424"/>
      <c r="DZ629" s="424"/>
      <c r="EA629" s="424"/>
      <c r="EB629" s="424"/>
      <c r="EC629" s="404" t="str">
        <f>IF(NOT($AD$98),"",EC627)</f>
        <v/>
      </c>
      <c r="ED629" s="360" t="str">
        <f ca="1">IF(OR(EC629="",EJ629="",EC629=EJ629,ISNA(VLOOKUP(CONCATENATE(EC629,EJ629),games.a,2,FALSE))),"",CONCATENATE(EC629,EJ629))</f>
        <v/>
      </c>
      <c r="EE629" s="360" t="str">
        <f ca="1">IF(ED629="","",CONCATENATE(VLOOKUP(ED629,games.a,9,FALSE),VLOOKUP(ED629,games.a,12,FALSE)))</f>
        <v/>
      </c>
      <c r="EF629" s="413"/>
      <c r="EG629" s="414"/>
      <c r="EH629" s="525" t="str">
        <f ca="1">IF(ED629="","",VLOOKUP(ED629,games.a,6,FALSE))</f>
        <v/>
      </c>
      <c r="EI629" s="362" t="str">
        <f ca="1">IF(ED629="","",VLOOKUP(ED629,games.a,7,FALSE))</f>
        <v/>
      </c>
      <c r="EJ629" s="526" t="str">
        <f ca="1">EJ628</f>
        <v/>
      </c>
      <c r="EK629" s="527"/>
      <c r="EL629" s="528"/>
      <c r="EM629" s="424"/>
      <c r="EN629" s="424"/>
      <c r="EO629" s="425"/>
      <c r="EP629" s="333"/>
    </row>
    <row r="630" spans="80:146" x14ac:dyDescent="0.25">
      <c r="CB630" s="350"/>
      <c r="CC630" s="350"/>
      <c r="CD630" s="350"/>
      <c r="CE630" s="350"/>
      <c r="CF630" s="350"/>
      <c r="CG630" s="350"/>
      <c r="CH630" s="300"/>
      <c r="CR630" s="350"/>
      <c r="CS630" s="300"/>
      <c r="CT630" s="395" t="str">
        <f t="shared" ref="CT630:CT638" ca="1" si="420">CT619</f>
        <v/>
      </c>
      <c r="CU630" s="478" t="str">
        <f ca="1">IF(OR(CT630="",DA630="",CT630=DA630,COUNTIF(games.rn,CT630&amp;DA630)=0),"",CONCATENATE(CT630,DA630))</f>
        <v/>
      </c>
      <c r="CV630" s="360" t="str">
        <f ca="1">IF(CU630="","",CONCATENATE(VLOOKUP(CU630,games.r,9,FALSE),VLOOKUP(CU630,games.r,12,FALSE)))</f>
        <v/>
      </c>
      <c r="CW630" s="354" t="str">
        <f ca="1">IF(CU630="","",VLOOKUP(CU630,games.r,10,FALSE))</f>
        <v/>
      </c>
      <c r="CX630" s="354" t="str">
        <f ca="1">IF(CU630="","",VLOOKUP(CU630,games.r,13,FALSE))</f>
        <v/>
      </c>
      <c r="CY630" s="361" t="str">
        <f ca="1">IF(CU630="","",VLOOKUP(CU630,games.r,6,FALSE))</f>
        <v/>
      </c>
      <c r="CZ630" s="362" t="str">
        <f ca="1">IF(CU630="","",VLOOKUP(CU630,games.r,7,FALSE))</f>
        <v/>
      </c>
      <c r="DA630" s="379" t="str">
        <f ca="1">DA629</f>
        <v/>
      </c>
      <c r="DB630" s="302"/>
      <c r="DC630" s="364"/>
      <c r="DD630" s="302"/>
      <c r="DF630" s="424"/>
      <c r="DG630" s="424"/>
      <c r="DH630" s="424"/>
      <c r="DI630" s="424"/>
      <c r="DJ630" s="424"/>
      <c r="DK630" s="424"/>
      <c r="DL630" s="424"/>
      <c r="DM630" s="424"/>
      <c r="DN630" s="424"/>
      <c r="DO630" s="424"/>
      <c r="DP630" s="424"/>
      <c r="DQ630" s="424"/>
      <c r="DR630" s="424"/>
      <c r="DS630" s="424"/>
      <c r="DT630" s="424"/>
      <c r="DU630" s="424"/>
      <c r="DV630" s="424"/>
      <c r="DW630" s="424"/>
      <c r="DX630" s="424"/>
      <c r="DY630" s="424"/>
      <c r="DZ630" s="424"/>
      <c r="EA630" s="424"/>
      <c r="EB630" s="424"/>
      <c r="EC630" s="404"/>
      <c r="ED630" s="329" t="s">
        <v>157</v>
      </c>
      <c r="EE630" s="329" t="s">
        <v>158</v>
      </c>
      <c r="EF630" s="399"/>
      <c r="EG630" s="400"/>
      <c r="EH630" s="401" t="s">
        <v>160</v>
      </c>
      <c r="EI630" s="402" t="s">
        <v>135</v>
      </c>
      <c r="EJ630" s="398"/>
      <c r="EK630" s="365"/>
      <c r="EL630" s="365"/>
      <c r="EM630" s="424"/>
      <c r="EN630" s="424"/>
      <c r="EO630" s="425"/>
      <c r="EP630" s="333"/>
    </row>
    <row r="631" spans="80:146" x14ac:dyDescent="0.25">
      <c r="CB631" s="350"/>
      <c r="CC631" s="350"/>
      <c r="CD631" s="350"/>
      <c r="CE631" s="350"/>
      <c r="CF631" s="350"/>
      <c r="CG631" s="350"/>
      <c r="CH631" s="300"/>
      <c r="CR631" s="350"/>
      <c r="CS631" s="300"/>
      <c r="CT631" s="395" t="str">
        <f t="shared" ca="1" si="420"/>
        <v/>
      </c>
      <c r="CU631" s="478" t="str">
        <f ca="1">IF(OR(CT631="",DA631="",CT631=DA631,COUNTIF(games.rn,CT631&amp;DA631)=0),"",CONCATENATE(CT631,DA631))</f>
        <v/>
      </c>
      <c r="CV631" s="360" t="str">
        <f ca="1">IF(CU631="","",CONCATENATE(VLOOKUP(CU631,games.r,9,FALSE),VLOOKUP(CU631,games.r,12,FALSE)))</f>
        <v/>
      </c>
      <c r="CW631" s="354" t="str">
        <f ca="1">IF(CU631="","",VLOOKUP(CU631,games.r,10,FALSE))</f>
        <v/>
      </c>
      <c r="CX631" s="354" t="str">
        <f ca="1">IF(CU631="","",VLOOKUP(CU631,games.r,13,FALSE))</f>
        <v/>
      </c>
      <c r="CY631" s="361" t="str">
        <f ca="1">IF(CU631="","",VLOOKUP(CU631,games.r,6,FALSE))</f>
        <v/>
      </c>
      <c r="CZ631" s="362" t="str">
        <f ca="1">IF(CU631="","",VLOOKUP(CU631,games.r,7,FALSE))</f>
        <v/>
      </c>
      <c r="DA631" s="379" t="str">
        <f t="shared" ref="DA631:DA638" ca="1" si="421">DA630</f>
        <v/>
      </c>
      <c r="DB631" s="302"/>
      <c r="DC631" s="364"/>
      <c r="DD631" s="302"/>
      <c r="DF631" s="424"/>
      <c r="DG631" s="424"/>
      <c r="DH631" s="424"/>
      <c r="DI631" s="424"/>
      <c r="DJ631" s="424"/>
      <c r="DK631" s="424"/>
      <c r="DL631" s="424"/>
      <c r="DM631" s="424"/>
      <c r="DN631" s="424"/>
      <c r="DO631" s="424"/>
      <c r="DP631" s="424"/>
      <c r="DQ631" s="424"/>
      <c r="DR631" s="424"/>
      <c r="DS631" s="424"/>
      <c r="DT631" s="424"/>
      <c r="DU631" s="424"/>
      <c r="DV631" s="424"/>
      <c r="DW631" s="424"/>
      <c r="DX631" s="424"/>
      <c r="DY631" s="424"/>
      <c r="DZ631" s="424"/>
      <c r="EA631" s="424"/>
      <c r="EB631" s="424"/>
      <c r="EC631" s="404" t="str">
        <f ca="1">EC626</f>
        <v/>
      </c>
      <c r="ED631" s="371" t="str">
        <f ca="1">IF(OR(EC631="",EJ631="",EC631=EJ631,ISNA(VLOOKUP(CONCATENATE(EC631,EJ631),games.r,2,FALSE))),"",CONCATENATE(EC631,EJ631))</f>
        <v/>
      </c>
      <c r="EE631" s="371" t="str">
        <f ca="1">IF(ED631="","",CONCATENATE(VLOOKUP(ED631,games.r,9,FALSE),VLOOKUP(ED631,games.r,12,FALSE)))</f>
        <v/>
      </c>
      <c r="EF631" s="406"/>
      <c r="EG631" s="407"/>
      <c r="EH631" s="408" t="str">
        <f ca="1">IF(ED631="","",VLOOKUP(ED631,games.r,6,FALSE))</f>
        <v/>
      </c>
      <c r="EI631" s="409" t="str">
        <f ca="1">IF(ED631="","",VLOOKUP(ED631,games.r,7,FALSE))</f>
        <v/>
      </c>
      <c r="EJ631" s="410" t="str">
        <f ca="1">EC627</f>
        <v/>
      </c>
      <c r="EK631" s="411"/>
      <c r="EL631" s="412"/>
      <c r="EM631" s="424"/>
      <c r="EN631" s="424"/>
      <c r="EO631" s="425"/>
      <c r="EP631" s="333"/>
    </row>
    <row r="632" spans="80:146" x14ac:dyDescent="0.25">
      <c r="CB632" s="350"/>
      <c r="CC632" s="350"/>
      <c r="CD632" s="350"/>
      <c r="CE632" s="350"/>
      <c r="CF632" s="350"/>
      <c r="CG632" s="350"/>
      <c r="CH632" s="300"/>
      <c r="CR632" s="350"/>
      <c r="CS632" s="300"/>
      <c r="CT632" s="395" t="str">
        <f t="shared" ca="1" si="420"/>
        <v/>
      </c>
      <c r="CU632" s="478" t="str">
        <f ca="1">IF(OR(CT632="",DA632="",CT632=DA632,COUNTIF(games.rn,CT632&amp;DA632)=0),"",CONCATENATE(CT632,DA632))</f>
        <v/>
      </c>
      <c r="CV632" s="360" t="str">
        <f ca="1">IF(CU632="","",CONCATENATE(VLOOKUP(CU632,games.r,9,FALSE),VLOOKUP(CU632,games.r,12,FALSE)))</f>
        <v/>
      </c>
      <c r="CW632" s="354" t="str">
        <f ca="1">IF(CU632="","",VLOOKUP(CU632,games.r,10,FALSE))</f>
        <v/>
      </c>
      <c r="CX632" s="354" t="str">
        <f ca="1">IF(CU632="","",VLOOKUP(CU632,games.r,13,FALSE))</f>
        <v/>
      </c>
      <c r="CY632" s="361" t="str">
        <f ca="1">IF(CU632="","",VLOOKUP(CU632,games.r,6,FALSE))</f>
        <v/>
      </c>
      <c r="CZ632" s="362" t="str">
        <f ca="1">IF(CU632="","",VLOOKUP(CU632,games.r,7,FALSE))</f>
        <v/>
      </c>
      <c r="DA632" s="379" t="str">
        <f t="shared" ca="1" si="421"/>
        <v/>
      </c>
      <c r="DB632" s="302"/>
      <c r="DC632" s="364"/>
      <c r="DD632" s="302"/>
      <c r="DF632" s="424"/>
      <c r="DG632" s="424"/>
      <c r="DH632" s="424"/>
      <c r="DI632" s="424"/>
      <c r="DJ632" s="424"/>
      <c r="DK632" s="424"/>
      <c r="DL632" s="424"/>
      <c r="DM632" s="424"/>
      <c r="DN632" s="424"/>
      <c r="DO632" s="424"/>
      <c r="DP632" s="424"/>
      <c r="DQ632" s="424"/>
      <c r="DR632" s="424"/>
      <c r="DS632" s="424"/>
      <c r="DT632" s="424"/>
      <c r="DU632" s="424"/>
      <c r="DV632" s="424"/>
      <c r="DW632" s="424"/>
      <c r="DX632" s="424"/>
      <c r="DY632" s="424"/>
      <c r="DZ632" s="424"/>
      <c r="EA632" s="424"/>
      <c r="EB632" s="424"/>
      <c r="EC632" s="404" t="str">
        <f ca="1">EC627</f>
        <v/>
      </c>
      <c r="ED632" s="371" t="str">
        <f ca="1">IF(OR(EC632="",EJ632="",EC632=EJ632,ISNA(VLOOKUP(CONCATENATE(EC632,EJ632),games.r,2,FALSE))),"",CONCATENATE(EC632,EJ632))</f>
        <v/>
      </c>
      <c r="EE632" s="371" t="str">
        <f ca="1">IF(ED632="","",CONCATENATE(VLOOKUP(ED632,games.r,9,FALSE),VLOOKUP(ED632,games.r,12,FALSE)))</f>
        <v/>
      </c>
      <c r="EF632" s="413"/>
      <c r="EG632" s="414"/>
      <c r="EH632" s="408" t="str">
        <f ca="1">IF(ED632="","",VLOOKUP(ED632,games.r,6,FALSE))</f>
        <v/>
      </c>
      <c r="EI632" s="409" t="str">
        <f ca="1">IF(ED632="","",VLOOKUP(ED632,games.r,7,FALSE))</f>
        <v/>
      </c>
      <c r="EJ632" s="415" t="str">
        <f ca="1">EJ631</f>
        <v/>
      </c>
      <c r="EK632" s="416"/>
      <c r="EL632" s="417"/>
      <c r="EM632" s="424"/>
      <c r="EN632" s="424"/>
      <c r="EO632" s="425"/>
      <c r="EP632" s="333"/>
    </row>
    <row r="633" spans="80:146" x14ac:dyDescent="0.25">
      <c r="CB633" s="350"/>
      <c r="CC633" s="350"/>
      <c r="CD633" s="350"/>
      <c r="CE633" s="350"/>
      <c r="CF633" s="350"/>
      <c r="CG633" s="350"/>
      <c r="CH633" s="300"/>
      <c r="CR633" s="350"/>
      <c r="CS633" s="300"/>
      <c r="CT633" s="395" t="str">
        <f t="shared" ca="1" si="420"/>
        <v/>
      </c>
      <c r="CU633" s="478" t="str">
        <f ca="1">IF(OR(CT633="",DA633="",CT633=DA633,COUNTIF(games.rn,CT633&amp;DA633)=0),"",CONCATENATE(CT633,DA633))</f>
        <v/>
      </c>
      <c r="CV633" s="360" t="str">
        <f ca="1">IF(CU633="","",CONCATENATE(VLOOKUP(CU633,games.r,9,FALSE),VLOOKUP(CU633,games.r,12,FALSE)))</f>
        <v/>
      </c>
      <c r="CW633" s="354" t="str">
        <f ca="1">IF(CU633="","",VLOOKUP(CU633,games.r,10,FALSE))</f>
        <v/>
      </c>
      <c r="CX633" s="354" t="str">
        <f ca="1">IF(CU633="","",VLOOKUP(CU633,games.r,13,FALSE))</f>
        <v/>
      </c>
      <c r="CY633" s="361" t="str">
        <f ca="1">IF(CU633="","",VLOOKUP(CU633,games.r,6,FALSE))</f>
        <v/>
      </c>
      <c r="CZ633" s="362" t="str">
        <f ca="1">IF(CU633="","",VLOOKUP(CU633,games.r,7,FALSE))</f>
        <v/>
      </c>
      <c r="DA633" s="379" t="str">
        <f t="shared" ca="1" si="421"/>
        <v/>
      </c>
      <c r="DB633" s="302"/>
      <c r="DC633" s="364"/>
      <c r="DD633" s="302"/>
      <c r="DF633" s="424"/>
      <c r="DG633" s="424"/>
      <c r="DH633" s="424"/>
      <c r="DI633" s="424"/>
      <c r="DJ633" s="424"/>
      <c r="DK633" s="424"/>
      <c r="DL633" s="424"/>
      <c r="DM633" s="424"/>
      <c r="DN633" s="424"/>
      <c r="DO633" s="424"/>
      <c r="DP633" s="424"/>
      <c r="DQ633" s="424"/>
      <c r="DR633" s="424"/>
      <c r="DS633" s="424"/>
      <c r="DT633" s="424"/>
      <c r="DU633" s="424"/>
      <c r="DV633" s="424"/>
      <c r="DW633" s="424"/>
      <c r="DX633" s="424"/>
      <c r="DY633" s="424"/>
      <c r="DZ633" s="424"/>
      <c r="EA633" s="424"/>
      <c r="EB633" s="424"/>
      <c r="EC633" s="404" t="str">
        <f>EC628</f>
        <v/>
      </c>
      <c r="ED633" s="360" t="str">
        <f ca="1">IF(OR(EC633="",EJ633="",EC633=EJ633,ISNA(VLOOKUP(CONCATENATE(EC633,EJ633),games.a,2,FALSE))),"",CONCATENATE(EC633,EJ633))</f>
        <v/>
      </c>
      <c r="EE633" s="360" t="str">
        <f ca="1">IF(ED633="","",CONCATENATE(VLOOKUP(ED633,games.a,9,FALSE),VLOOKUP(ED633,games.a,12,FALSE)))</f>
        <v/>
      </c>
      <c r="EF633" s="413"/>
      <c r="EG633" s="414"/>
      <c r="EH633" s="525" t="str">
        <f ca="1">IF(ED633="","",VLOOKUP(ED633,games.a,6,FALSE))</f>
        <v/>
      </c>
      <c r="EI633" s="362" t="str">
        <f ca="1">IF(ED633="","",VLOOKUP(ED633,games.a,7,FALSE))</f>
        <v/>
      </c>
      <c r="EJ633" s="526" t="str">
        <f ca="1">EJ632</f>
        <v/>
      </c>
      <c r="EK633" s="527"/>
      <c r="EL633" s="528"/>
      <c r="EM633" s="424"/>
      <c r="EN633" s="424"/>
      <c r="EO633" s="425"/>
      <c r="EP633" s="333"/>
    </row>
    <row r="634" spans="80:146" x14ac:dyDescent="0.25">
      <c r="CB634" s="350"/>
      <c r="CC634" s="350"/>
      <c r="CD634" s="350"/>
      <c r="CE634" s="350"/>
      <c r="CF634" s="350"/>
      <c r="CG634" s="350"/>
      <c r="CH634" s="300"/>
      <c r="CR634" s="350"/>
      <c r="CS634" s="300"/>
      <c r="CT634" s="522" t="str">
        <f t="shared" si="420"/>
        <v/>
      </c>
      <c r="CU634" s="371" t="str">
        <f ca="1">IF(OR(CT634="",DA634="",CT634=DA634,ISNA(VLOOKUP(CONCATENATE(CT634,DA634),games.a,2,FALSE))),"",CONCATENATE(CT634,DA634))</f>
        <v/>
      </c>
      <c r="CV634" s="371" t="str">
        <f ca="1">IF(CU634="","",CONCATENATE(VLOOKUP(CU634,games.a,9,FALSE),VLOOKUP(CU634,games.a,12,FALSE)))</f>
        <v/>
      </c>
      <c r="CW634" s="369" t="str">
        <f ca="1">IF(CU634="","",VLOOKUP(CU634,games.a,10,FALSE))</f>
        <v/>
      </c>
      <c r="CX634" s="369" t="str">
        <f ca="1">IF(CU634="","",VLOOKUP(CU634,games.a,13,FALSE))</f>
        <v/>
      </c>
      <c r="CY634" s="423" t="str">
        <f ca="1">IF(CU634="","",VLOOKUP(CU634,games.a,6,FALSE))</f>
        <v/>
      </c>
      <c r="CZ634" s="409" t="str">
        <f ca="1">IF(CU634="","",VLOOKUP(CU634,games.a,7,FALSE))</f>
        <v/>
      </c>
      <c r="DA634" s="523" t="str">
        <f t="shared" ca="1" si="421"/>
        <v/>
      </c>
      <c r="DB634" s="302"/>
      <c r="DC634" s="364"/>
      <c r="DD634" s="302"/>
      <c r="DF634" s="424"/>
      <c r="DG634" s="424"/>
      <c r="DH634" s="424"/>
      <c r="DI634" s="424"/>
      <c r="DJ634" s="424"/>
      <c r="DK634" s="424"/>
      <c r="DL634" s="424"/>
      <c r="DM634" s="424"/>
      <c r="DN634" s="424"/>
      <c r="DO634" s="424"/>
      <c r="DP634" s="424"/>
      <c r="DQ634" s="424"/>
      <c r="DR634" s="424"/>
      <c r="DS634" s="424"/>
      <c r="DT634" s="424"/>
      <c r="DU634" s="424"/>
      <c r="DV634" s="424"/>
      <c r="DW634" s="424"/>
      <c r="DX634" s="424"/>
      <c r="DY634" s="424"/>
      <c r="DZ634" s="424"/>
      <c r="EA634" s="424"/>
      <c r="EB634" s="424"/>
      <c r="EC634" s="404" t="str">
        <f>EC629</f>
        <v/>
      </c>
      <c r="ED634" s="360" t="str">
        <f ca="1">IF(OR(EC634="",EJ634="",EC634=EJ634,ISNA(VLOOKUP(CONCATENATE(EC634,EJ634),games.a,2,FALSE))),"",CONCATENATE(EC634,EJ634))</f>
        <v/>
      </c>
      <c r="EE634" s="360" t="str">
        <f ca="1">IF(ED634="","",CONCATENATE(VLOOKUP(ED634,games.a,9,FALSE),VLOOKUP(ED634,games.a,12,FALSE)))</f>
        <v/>
      </c>
      <c r="EF634" s="420"/>
      <c r="EG634" s="421"/>
      <c r="EH634" s="525" t="str">
        <f ca="1">IF(ED634="","",VLOOKUP(ED634,games.a,6,FALSE))</f>
        <v/>
      </c>
      <c r="EI634" s="362" t="str">
        <f ca="1">IF(ED634="","",VLOOKUP(ED634,games.a,7,FALSE))</f>
        <v/>
      </c>
      <c r="EJ634" s="526" t="str">
        <f ca="1">EJ633</f>
        <v/>
      </c>
      <c r="EK634" s="527"/>
      <c r="EL634" s="528"/>
      <c r="EM634" s="424"/>
      <c r="EN634" s="424"/>
      <c r="EO634" s="425"/>
      <c r="EP634" s="333"/>
    </row>
    <row r="635" spans="80:146" x14ac:dyDescent="0.25">
      <c r="CB635" s="350"/>
      <c r="CC635" s="350"/>
      <c r="CD635" s="350"/>
      <c r="CE635" s="350"/>
      <c r="CF635" s="350"/>
      <c r="CG635" s="350"/>
      <c r="CH635" s="300"/>
      <c r="CR635" s="350"/>
      <c r="CS635" s="300"/>
      <c r="CT635" s="522" t="str">
        <f t="shared" si="420"/>
        <v/>
      </c>
      <c r="CU635" s="371" t="str">
        <f ca="1">IF(OR(CT635="",DA635="",CT635=DA635,ISNA(VLOOKUP(CONCATENATE(CT635,DA635),games.a,2,FALSE))),"",CONCATENATE(CT635,DA635))</f>
        <v/>
      </c>
      <c r="CV635" s="371" t="str">
        <f ca="1">IF(CU635="","",CONCATENATE(VLOOKUP(CU635,games.a,9,FALSE),VLOOKUP(CU635,games.a,12,FALSE)))</f>
        <v/>
      </c>
      <c r="CW635" s="369" t="str">
        <f ca="1">IF(CU635="","",VLOOKUP(CU635,games.a,10,FALSE))</f>
        <v/>
      </c>
      <c r="CX635" s="369" t="str">
        <f ca="1">IF(CU635="","",VLOOKUP(CU635,games.a,13,FALSE))</f>
        <v/>
      </c>
      <c r="CY635" s="423" t="str">
        <f ca="1">IF(CU635="","",VLOOKUP(CU635,games.a,6,FALSE))</f>
        <v/>
      </c>
      <c r="CZ635" s="409" t="str">
        <f ca="1">IF(CU635="","",VLOOKUP(CU635,games.a,7,FALSE))</f>
        <v/>
      </c>
      <c r="DA635" s="523" t="str">
        <f t="shared" ca="1" si="421"/>
        <v/>
      </c>
      <c r="DB635" s="302"/>
      <c r="DC635" s="364"/>
      <c r="DD635" s="302"/>
      <c r="DF635" s="424"/>
      <c r="DG635" s="424"/>
      <c r="DH635" s="424"/>
      <c r="DI635" s="424"/>
      <c r="DJ635" s="424"/>
      <c r="DK635" s="424"/>
      <c r="DL635" s="424"/>
      <c r="DM635" s="424"/>
      <c r="DN635" s="424"/>
      <c r="DO635" s="424"/>
      <c r="DP635" s="424"/>
      <c r="DQ635" s="424"/>
      <c r="DR635" s="424"/>
      <c r="DS635" s="424"/>
      <c r="DT635" s="424"/>
      <c r="DU635" s="424"/>
      <c r="DV635" s="424"/>
      <c r="DW635" s="424"/>
      <c r="DX635" s="424"/>
      <c r="DY635" s="424"/>
      <c r="DZ635" s="424"/>
      <c r="EA635" s="424"/>
      <c r="EB635" s="424"/>
      <c r="EC635" s="424"/>
      <c r="ED635" s="424"/>
      <c r="EE635" s="424"/>
      <c r="EF635" s="424"/>
      <c r="EG635" s="424"/>
      <c r="EH635" s="424"/>
      <c r="EI635" s="424"/>
      <c r="EJ635" s="424"/>
      <c r="EK635" s="424"/>
      <c r="EL635" s="424"/>
      <c r="EM635" s="424"/>
      <c r="EN635" s="424"/>
      <c r="EO635" s="425"/>
      <c r="EP635" s="333"/>
    </row>
    <row r="636" spans="80:146" x14ac:dyDescent="0.25">
      <c r="CB636" s="350"/>
      <c r="CC636" s="350"/>
      <c r="CD636" s="350"/>
      <c r="CE636" s="350"/>
      <c r="CF636" s="350"/>
      <c r="CG636" s="350"/>
      <c r="CH636" s="300"/>
      <c r="CR636" s="350"/>
      <c r="CS636" s="300"/>
      <c r="CT636" s="522" t="str">
        <f t="shared" si="420"/>
        <v/>
      </c>
      <c r="CU636" s="371" t="str">
        <f ca="1">IF(OR(CT636="",DA636="",CT636=DA636,ISNA(VLOOKUP(CONCATENATE(CT636,DA636),games.a,2,FALSE))),"",CONCATENATE(CT636,DA636))</f>
        <v/>
      </c>
      <c r="CV636" s="371" t="str">
        <f ca="1">IF(CU636="","",CONCATENATE(VLOOKUP(CU636,games.a,9,FALSE),VLOOKUP(CU636,games.a,12,FALSE)))</f>
        <v/>
      </c>
      <c r="CW636" s="369" t="str">
        <f ca="1">IF(CU636="","",VLOOKUP(CU636,games.a,10,FALSE))</f>
        <v/>
      </c>
      <c r="CX636" s="369" t="str">
        <f ca="1">IF(CU636="","",VLOOKUP(CU636,games.a,13,FALSE))</f>
        <v/>
      </c>
      <c r="CY636" s="423" t="str">
        <f ca="1">IF(CU636="","",VLOOKUP(CU636,games.a,6,FALSE))</f>
        <v/>
      </c>
      <c r="CZ636" s="409" t="str">
        <f ca="1">IF(CU636="","",VLOOKUP(CU636,games.a,7,FALSE))</f>
        <v/>
      </c>
      <c r="DA636" s="523" t="str">
        <f t="shared" ca="1" si="421"/>
        <v/>
      </c>
      <c r="DB636" s="302"/>
      <c r="DC636" s="364"/>
      <c r="DD636" s="302"/>
      <c r="DF636" s="424"/>
      <c r="DG636" s="424"/>
      <c r="DH636" s="424"/>
      <c r="DI636" s="424"/>
      <c r="DJ636" s="424"/>
      <c r="DK636" s="424"/>
      <c r="DL636" s="424"/>
      <c r="DM636" s="424"/>
      <c r="DN636" s="424"/>
      <c r="DO636" s="424"/>
      <c r="DP636" s="424"/>
      <c r="DQ636" s="424"/>
      <c r="DR636" s="424"/>
      <c r="DS636" s="424"/>
      <c r="DT636" s="424"/>
      <c r="DU636" s="424"/>
      <c r="DV636" s="424"/>
      <c r="DW636" s="424"/>
      <c r="DX636" s="424"/>
      <c r="DY636" s="424"/>
      <c r="DZ636" s="424"/>
      <c r="EA636" s="424"/>
      <c r="EB636" s="424"/>
      <c r="EC636" s="424"/>
      <c r="ED636" s="424"/>
      <c r="EE636" s="424"/>
      <c r="EF636" s="424"/>
      <c r="EG636" s="424"/>
      <c r="EH636" s="424"/>
      <c r="EI636" s="424"/>
      <c r="EJ636" s="424"/>
      <c r="EK636" s="424"/>
      <c r="EL636" s="424"/>
      <c r="EM636" s="424"/>
      <c r="EN636" s="424"/>
      <c r="EO636" s="425"/>
      <c r="EP636" s="333"/>
    </row>
    <row r="637" spans="80:146" x14ac:dyDescent="0.25">
      <c r="CB637" s="350"/>
      <c r="CC637" s="350"/>
      <c r="CD637" s="350"/>
      <c r="CE637" s="350"/>
      <c r="CF637" s="350"/>
      <c r="CG637" s="350"/>
      <c r="CH637" s="300"/>
      <c r="CR637" s="350"/>
      <c r="CS637" s="300"/>
      <c r="CT637" s="522" t="str">
        <f t="shared" si="420"/>
        <v/>
      </c>
      <c r="CU637" s="371" t="str">
        <f ca="1">IF(OR(CT637="",DA637="",CT637=DA637,ISNA(VLOOKUP(CONCATENATE(CT637,DA637),games.a,2,FALSE))),"",CONCATENATE(CT637,DA637))</f>
        <v/>
      </c>
      <c r="CV637" s="371" t="str">
        <f ca="1">IF(CU637="","",CONCATENATE(VLOOKUP(CU637,games.a,9,FALSE),VLOOKUP(CU637,games.a,12,FALSE)))</f>
        <v/>
      </c>
      <c r="CW637" s="369" t="str">
        <f ca="1">IF(CU637="","",VLOOKUP(CU637,games.a,10,FALSE))</f>
        <v/>
      </c>
      <c r="CX637" s="369" t="str">
        <f ca="1">IF(CU637="","",VLOOKUP(CU637,games.a,13,FALSE))</f>
        <v/>
      </c>
      <c r="CY637" s="423" t="str">
        <f ca="1">IF(CU637="","",VLOOKUP(CU637,games.a,6,FALSE))</f>
        <v/>
      </c>
      <c r="CZ637" s="409" t="str">
        <f ca="1">IF(CU637="","",VLOOKUP(CU637,games.a,7,FALSE))</f>
        <v/>
      </c>
      <c r="DA637" s="523" t="str">
        <f t="shared" ca="1" si="421"/>
        <v/>
      </c>
      <c r="DB637" s="302"/>
      <c r="DC637" s="364"/>
      <c r="DD637" s="302"/>
      <c r="DF637" s="424"/>
      <c r="DG637" s="424"/>
      <c r="DH637" s="424"/>
      <c r="DI637" s="424"/>
      <c r="DJ637" s="424"/>
      <c r="DK637" s="424"/>
      <c r="DL637" s="424"/>
      <c r="DM637" s="424"/>
      <c r="DN637" s="424"/>
      <c r="DO637" s="424"/>
      <c r="DP637" s="424"/>
      <c r="DQ637" s="424"/>
      <c r="DR637" s="424"/>
      <c r="DS637" s="424"/>
      <c r="DT637" s="424"/>
      <c r="DU637" s="424"/>
      <c r="DV637" s="424"/>
      <c r="DW637" s="424"/>
      <c r="DX637" s="424"/>
      <c r="DY637" s="424"/>
      <c r="DZ637" s="424"/>
      <c r="EA637" s="424"/>
      <c r="EB637" s="424"/>
      <c r="EC637" s="424"/>
      <c r="ED637" s="424"/>
      <c r="EE637" s="424"/>
      <c r="EF637" s="424"/>
      <c r="EG637" s="424"/>
      <c r="EH637" s="424"/>
      <c r="EI637" s="424"/>
      <c r="EJ637" s="424"/>
      <c r="EK637" s="424"/>
      <c r="EL637" s="424"/>
      <c r="EM637" s="424"/>
      <c r="EN637" s="424"/>
      <c r="EO637" s="425"/>
      <c r="EP637" s="333"/>
    </row>
    <row r="638" spans="80:146" x14ac:dyDescent="0.25">
      <c r="CB638" s="350"/>
      <c r="CC638" s="350"/>
      <c r="CD638" s="350"/>
      <c r="CE638" s="350"/>
      <c r="CF638" s="350"/>
      <c r="CG638" s="350"/>
      <c r="CH638" s="300"/>
      <c r="CR638" s="350"/>
      <c r="CS638" s="300"/>
      <c r="CT638" s="522" t="str">
        <f t="shared" si="420"/>
        <v/>
      </c>
      <c r="CU638" s="371" t="str">
        <f ca="1">IF(OR(CT638="",DA638="",CT638=DA638,ISNA(VLOOKUP(CONCATENATE(CT638,DA638),games.a,2,FALSE))),"",CONCATENATE(CT638,DA638))</f>
        <v/>
      </c>
      <c r="CV638" s="371" t="str">
        <f ca="1">IF(CU638="","",CONCATENATE(VLOOKUP(CU638,games.a,9,FALSE),VLOOKUP(CU638,games.a,12,FALSE)))</f>
        <v/>
      </c>
      <c r="CW638" s="369" t="str">
        <f ca="1">IF(CU638="","",VLOOKUP(CU638,games.a,10,FALSE))</f>
        <v/>
      </c>
      <c r="CX638" s="369" t="str">
        <f ca="1">IF(CU638="","",VLOOKUP(CU638,games.a,13,FALSE))</f>
        <v/>
      </c>
      <c r="CY638" s="423" t="str">
        <f ca="1">IF(CU638="","",VLOOKUP(CU638,games.a,6,FALSE))</f>
        <v/>
      </c>
      <c r="CZ638" s="409" t="str">
        <f ca="1">IF(CU638="","",VLOOKUP(CU638,games.a,7,FALSE))</f>
        <v/>
      </c>
      <c r="DA638" s="523" t="str">
        <f t="shared" ca="1" si="421"/>
        <v/>
      </c>
      <c r="DB638" s="302"/>
      <c r="DC638" s="364"/>
      <c r="DD638" s="302"/>
      <c r="DF638" s="424"/>
      <c r="DG638" s="424"/>
      <c r="DH638" s="424"/>
      <c r="DI638" s="424"/>
      <c r="DJ638" s="424"/>
      <c r="DK638" s="424"/>
      <c r="DL638" s="424"/>
      <c r="DM638" s="424"/>
      <c r="DN638" s="424"/>
      <c r="DO638" s="424"/>
      <c r="DP638" s="424"/>
      <c r="DQ638" s="424"/>
      <c r="DR638" s="424"/>
      <c r="DS638" s="424"/>
      <c r="DT638" s="424"/>
      <c r="DU638" s="424"/>
      <c r="DV638" s="424"/>
      <c r="DW638" s="424"/>
      <c r="DX638" s="424"/>
      <c r="DY638" s="424"/>
      <c r="DZ638" s="424"/>
      <c r="EA638" s="424"/>
      <c r="EB638" s="424"/>
      <c r="EC638" s="424"/>
      <c r="ED638" s="424"/>
      <c r="EE638" s="424"/>
      <c r="EF638" s="424"/>
      <c r="EG638" s="424"/>
      <c r="EH638" s="424"/>
      <c r="EI638" s="424"/>
      <c r="EJ638" s="424"/>
      <c r="EK638" s="424"/>
      <c r="EL638" s="424"/>
      <c r="EM638" s="424"/>
      <c r="EN638" s="424"/>
      <c r="EO638" s="425"/>
      <c r="EP638" s="333"/>
    </row>
    <row r="639" spans="80:146" x14ac:dyDescent="0.25">
      <c r="CB639" s="350"/>
      <c r="CC639" s="350"/>
      <c r="CD639" s="350"/>
      <c r="CE639" s="350"/>
      <c r="CF639" s="350"/>
      <c r="CG639" s="350"/>
      <c r="CH639" s="300"/>
      <c r="CR639" s="350"/>
      <c r="CS639" s="300"/>
      <c r="CT639" s="301"/>
      <c r="CU639" s="471" t="s">
        <v>157</v>
      </c>
      <c r="CV639" s="471" t="s">
        <v>158</v>
      </c>
      <c r="CW639" s="472" t="s">
        <v>159</v>
      </c>
      <c r="CX639" s="472"/>
      <c r="CY639" s="473" t="s">
        <v>160</v>
      </c>
      <c r="CZ639" s="472" t="s">
        <v>135</v>
      </c>
      <c r="DA639" s="302"/>
      <c r="DB639" s="302"/>
      <c r="DC639" s="364"/>
      <c r="DD639" s="302"/>
      <c r="DF639" s="424"/>
      <c r="DG639" s="424"/>
      <c r="DH639" s="424"/>
      <c r="DI639" s="424"/>
      <c r="DJ639" s="424"/>
      <c r="DK639" s="424"/>
      <c r="DL639" s="424"/>
      <c r="DM639" s="424"/>
      <c r="DN639" s="424"/>
      <c r="DO639" s="424"/>
      <c r="DP639" s="424"/>
      <c r="DQ639" s="424"/>
      <c r="DR639" s="424"/>
      <c r="DS639" s="424"/>
      <c r="DT639" s="424"/>
      <c r="DU639" s="424"/>
      <c r="DV639" s="424"/>
      <c r="DW639" s="424"/>
      <c r="DX639" s="424"/>
      <c r="DY639" s="424"/>
      <c r="DZ639" s="424"/>
      <c r="EA639" s="424"/>
      <c r="EB639" s="424"/>
      <c r="EC639" s="424"/>
      <c r="ED639" s="424"/>
      <c r="EE639" s="424"/>
      <c r="EF639" s="424"/>
      <c r="EG639" s="424"/>
      <c r="EH639" s="424"/>
      <c r="EI639" s="424"/>
      <c r="EJ639" s="424"/>
      <c r="EK639" s="424"/>
      <c r="EL639" s="424"/>
      <c r="EM639" s="424"/>
      <c r="EN639" s="424"/>
      <c r="EO639" s="425"/>
      <c r="EP639" s="333"/>
    </row>
    <row r="640" spans="80:146" x14ac:dyDescent="0.25">
      <c r="CB640" s="350"/>
      <c r="CC640" s="350"/>
      <c r="CD640" s="350"/>
      <c r="CE640" s="350"/>
      <c r="CF640" s="350"/>
      <c r="CG640" s="350"/>
      <c r="CR640" s="350"/>
      <c r="CS640" s="300"/>
      <c r="CT640" s="395" t="str">
        <f ca="1">CT629</f>
        <v/>
      </c>
      <c r="CU640" s="478" t="str">
        <f ca="1">IF(OR(CT640="",DA640="",CT640=DA640,COUNTIF(games.rn,CT640&amp;DA640)=0),"",CONCATENATE(CT640,DA640))</f>
        <v/>
      </c>
      <c r="CV640" s="360" t="str">
        <f ca="1">IF(CU640="","",CONCATENATE(VLOOKUP(CU640,games.r,9,FALSE),VLOOKUP(CU640,games.r,12,FALSE)))</f>
        <v/>
      </c>
      <c r="CW640" s="354" t="str">
        <f ca="1">IF(CU640="","",VLOOKUP(CU640,games.r,10,FALSE))</f>
        <v/>
      </c>
      <c r="CX640" s="354" t="str">
        <f ca="1">IF(CU640="","",VLOOKUP(CU640,games.r,13,FALSE))</f>
        <v/>
      </c>
      <c r="CY640" s="361" t="str">
        <f ca="1">IF(CU640="","",VLOOKUP(CU640,games.r,6,FALSE))</f>
        <v/>
      </c>
      <c r="CZ640" s="362" t="str">
        <f ca="1">IF(CU640="","",VLOOKUP(CU640,games.r,7,FALSE))</f>
        <v/>
      </c>
      <c r="DA640" s="479" t="str">
        <f ca="1">CT600</f>
        <v/>
      </c>
      <c r="DB640" s="302"/>
      <c r="DC640" s="364"/>
      <c r="DD640" s="302"/>
      <c r="DF640" s="424"/>
      <c r="DG640" s="424"/>
      <c r="DH640" s="424"/>
      <c r="DI640" s="424"/>
      <c r="DJ640" s="424"/>
      <c r="DK640" s="424"/>
      <c r="DL640" s="424"/>
      <c r="DM640" s="424"/>
      <c r="DN640" s="424"/>
      <c r="DO640" s="424"/>
      <c r="DP640" s="424"/>
      <c r="DQ640" s="424"/>
      <c r="DR640" s="424"/>
      <c r="DS640" s="424"/>
      <c r="DT640" s="424"/>
      <c r="DU640" s="424"/>
      <c r="DV640" s="424"/>
      <c r="DW640" s="424"/>
      <c r="DX640" s="424"/>
      <c r="DY640" s="424"/>
      <c r="DZ640" s="424"/>
      <c r="EA640" s="424"/>
      <c r="EB640" s="424"/>
      <c r="EC640" s="424"/>
      <c r="ED640" s="424"/>
      <c r="EE640" s="424"/>
      <c r="EF640" s="424"/>
      <c r="EG640" s="424"/>
      <c r="EH640" s="424"/>
      <c r="EI640" s="424"/>
      <c r="EJ640" s="424"/>
      <c r="EK640" s="424"/>
      <c r="EL640" s="424"/>
      <c r="EM640" s="424"/>
      <c r="EN640" s="424"/>
      <c r="EO640" s="425"/>
      <c r="EP640" s="333"/>
    </row>
    <row r="641" spans="80:146" x14ac:dyDescent="0.25">
      <c r="CB641" s="350"/>
      <c r="CC641" s="350"/>
      <c r="CD641" s="350"/>
      <c r="CE641" s="350"/>
      <c r="CF641" s="350"/>
      <c r="CG641" s="350"/>
      <c r="CR641" s="350"/>
      <c r="CS641" s="300"/>
      <c r="CT641" s="395" t="str">
        <f t="shared" ref="CT641:CT649" ca="1" si="422">CT630</f>
        <v/>
      </c>
      <c r="CU641" s="478" t="str">
        <f ca="1">IF(OR(CT641="",DA641="",CT641=DA641,COUNTIF(games.rn,CT641&amp;DA641)=0),"",CONCATENATE(CT641,DA641))</f>
        <v/>
      </c>
      <c r="CV641" s="360" t="str">
        <f ca="1">IF(CU641="","",CONCATENATE(VLOOKUP(CU641,games.r,9,FALSE),VLOOKUP(CU641,games.r,12,FALSE)))</f>
        <v/>
      </c>
      <c r="CW641" s="354" t="str">
        <f ca="1">IF(CU641="","",VLOOKUP(CU641,games.r,10,FALSE))</f>
        <v/>
      </c>
      <c r="CX641" s="354" t="str">
        <f ca="1">IF(CU641="","",VLOOKUP(CU641,games.r,13,FALSE))</f>
        <v/>
      </c>
      <c r="CY641" s="361" t="str">
        <f ca="1">IF(CU641="","",VLOOKUP(CU641,games.r,6,FALSE))</f>
        <v/>
      </c>
      <c r="CZ641" s="362" t="str">
        <f ca="1">IF(CU641="","",VLOOKUP(CU641,games.r,7,FALSE))</f>
        <v/>
      </c>
      <c r="DA641" s="379" t="str">
        <f ca="1">DA640</f>
        <v/>
      </c>
      <c r="DB641" s="302"/>
      <c r="DC641" s="364"/>
      <c r="DD641" s="302"/>
      <c r="DF641" s="424"/>
      <c r="DG641" s="424"/>
      <c r="DH641" s="424"/>
      <c r="DI641" s="424"/>
      <c r="DJ641" s="424"/>
      <c r="DK641" s="424"/>
      <c r="DL641" s="424"/>
      <c r="DM641" s="424"/>
      <c r="DN641" s="424"/>
      <c r="DO641" s="424"/>
      <c r="DP641" s="424"/>
      <c r="DQ641" s="424"/>
      <c r="DR641" s="424"/>
      <c r="DS641" s="424"/>
      <c r="DT641" s="424"/>
      <c r="DU641" s="424"/>
      <c r="DV641" s="424"/>
      <c r="DW641" s="424"/>
      <c r="DX641" s="424"/>
      <c r="DY641" s="424"/>
      <c r="DZ641" s="424"/>
      <c r="EA641" s="424"/>
      <c r="EB641" s="424"/>
      <c r="EC641" s="424"/>
      <c r="ED641" s="424"/>
      <c r="EE641" s="424"/>
      <c r="EF641" s="424"/>
      <c r="EG641" s="424"/>
      <c r="EH641" s="424"/>
      <c r="EI641" s="424"/>
      <c r="EJ641" s="424"/>
      <c r="EK641" s="424"/>
      <c r="EL641" s="424"/>
      <c r="EM641" s="424"/>
      <c r="EN641" s="424"/>
      <c r="EO641" s="425"/>
      <c r="EP641" s="333"/>
    </row>
    <row r="642" spans="80:146" x14ac:dyDescent="0.25">
      <c r="CB642" s="350"/>
      <c r="CC642" s="350"/>
      <c r="CD642" s="350"/>
      <c r="CE642" s="350"/>
      <c r="CF642" s="350"/>
      <c r="CG642" s="350"/>
      <c r="CR642" s="350"/>
      <c r="CS642" s="300"/>
      <c r="CT642" s="395" t="str">
        <f t="shared" ca="1" si="422"/>
        <v/>
      </c>
      <c r="CU642" s="478" t="str">
        <f ca="1">IF(OR(CT642="",DA642="",CT642=DA642,COUNTIF(games.rn,CT642&amp;DA642)=0),"",CONCATENATE(CT642,DA642))</f>
        <v/>
      </c>
      <c r="CV642" s="360" t="str">
        <f ca="1">IF(CU642="","",CONCATENATE(VLOOKUP(CU642,games.r,9,FALSE),VLOOKUP(CU642,games.r,12,FALSE)))</f>
        <v/>
      </c>
      <c r="CW642" s="354" t="str">
        <f ca="1">IF(CU642="","",VLOOKUP(CU642,games.r,10,FALSE))</f>
        <v/>
      </c>
      <c r="CX642" s="354" t="str">
        <f ca="1">IF(CU642="","",VLOOKUP(CU642,games.r,13,FALSE))</f>
        <v/>
      </c>
      <c r="CY642" s="361" t="str">
        <f ca="1">IF(CU642="","",VLOOKUP(CU642,games.r,6,FALSE))</f>
        <v/>
      </c>
      <c r="CZ642" s="362" t="str">
        <f ca="1">IF(CU642="","",VLOOKUP(CU642,games.r,7,FALSE))</f>
        <v/>
      </c>
      <c r="DA642" s="379" t="str">
        <f t="shared" ref="DA642:DA649" ca="1" si="423">DA641</f>
        <v/>
      </c>
      <c r="DB642" s="302"/>
      <c r="DC642" s="364"/>
      <c r="DD642" s="302"/>
      <c r="DF642" s="424"/>
      <c r="DG642" s="424"/>
      <c r="DH642" s="424"/>
      <c r="DI642" s="424"/>
      <c r="DJ642" s="424"/>
      <c r="DK642" s="424"/>
      <c r="DL642" s="424"/>
      <c r="DM642" s="424"/>
      <c r="DN642" s="424"/>
      <c r="DO642" s="424"/>
      <c r="DP642" s="424"/>
      <c r="DQ642" s="424"/>
      <c r="DR642" s="424"/>
      <c r="DS642" s="424"/>
      <c r="DT642" s="424"/>
      <c r="DU642" s="424"/>
      <c r="DV642" s="424"/>
      <c r="DW642" s="424"/>
      <c r="DX642" s="424"/>
      <c r="DY642" s="424"/>
      <c r="DZ642" s="424"/>
      <c r="EA642" s="424"/>
      <c r="EB642" s="424"/>
      <c r="EC642" s="424"/>
      <c r="ED642" s="424"/>
      <c r="EE642" s="424"/>
      <c r="EF642" s="424"/>
      <c r="EG642" s="424"/>
      <c r="EH642" s="424"/>
      <c r="EI642" s="424"/>
      <c r="EJ642" s="424"/>
      <c r="EK642" s="424"/>
      <c r="EL642" s="424"/>
      <c r="EM642" s="424"/>
      <c r="EN642" s="424"/>
      <c r="EO642" s="425"/>
      <c r="EP642" s="333"/>
    </row>
    <row r="643" spans="80:146" x14ac:dyDescent="0.25">
      <c r="CB643" s="350"/>
      <c r="CC643" s="467" t="s">
        <v>212</v>
      </c>
      <c r="CD643" s="467" t="s">
        <v>426</v>
      </c>
      <c r="CE643" s="467" t="s">
        <v>427</v>
      </c>
      <c r="CF643" s="296"/>
      <c r="CG643" s="296"/>
      <c r="CI643" s="468" t="str">
        <f>IF(CH644=0,"xxx",VLOOKUP(CH644,CC644:CF653,IF(ASZTAB!$AJ$44,3,2),FALSE))</f>
        <v>xxx</v>
      </c>
      <c r="CJ643" s="469"/>
      <c r="CK643" s="470" t="s">
        <v>370</v>
      </c>
      <c r="CL643" s="468" t="str">
        <f>IF(CH645=0,"xxx",VLOOKUP(CH645,CC644:CF653,IF(ASZTAB!$AJ$44,3,2),FALSE))</f>
        <v>xxx</v>
      </c>
      <c r="CM643" s="469"/>
      <c r="CN643" s="470" t="s">
        <v>371</v>
      </c>
      <c r="CO643" s="468" t="str">
        <f>IF(CH646=0,"xxx",VLOOKUP(CH646,CC644:CF653,IF(ASZTAB!$AJ$44,3,2),FALSE))</f>
        <v>xxx</v>
      </c>
      <c r="CP643" s="469"/>
      <c r="CQ643" s="470" t="s">
        <v>372</v>
      </c>
      <c r="CR643" s="350"/>
      <c r="CS643" s="300"/>
      <c r="CT643" s="395" t="str">
        <f t="shared" ca="1" si="422"/>
        <v/>
      </c>
      <c r="CU643" s="478" t="str">
        <f ca="1">IF(OR(CT643="",DA643="",CT643=DA643,COUNTIF(games.rn,CT643&amp;DA643)=0),"",CONCATENATE(CT643,DA643))</f>
        <v/>
      </c>
      <c r="CV643" s="360" t="str">
        <f ca="1">IF(CU643="","",CONCATENATE(VLOOKUP(CU643,games.r,9,FALSE),VLOOKUP(CU643,games.r,12,FALSE)))</f>
        <v/>
      </c>
      <c r="CW643" s="354" t="str">
        <f ca="1">IF(CU643="","",VLOOKUP(CU643,games.r,10,FALSE))</f>
        <v/>
      </c>
      <c r="CX643" s="354" t="str">
        <f ca="1">IF(CU643="","",VLOOKUP(CU643,games.r,13,FALSE))</f>
        <v/>
      </c>
      <c r="CY643" s="361" t="str">
        <f ca="1">IF(CU643="","",VLOOKUP(CU643,games.r,6,FALSE))</f>
        <v/>
      </c>
      <c r="CZ643" s="362" t="str">
        <f ca="1">IF(CU643="","",VLOOKUP(CU643,games.r,7,FALSE))</f>
        <v/>
      </c>
      <c r="DA643" s="379" t="str">
        <f t="shared" ca="1" si="423"/>
        <v/>
      </c>
      <c r="DB643" s="302"/>
      <c r="DC643" s="364"/>
      <c r="DD643" s="302"/>
      <c r="DF643" s="424"/>
      <c r="DG643" s="424"/>
      <c r="DH643" s="424"/>
      <c r="DI643" s="424"/>
      <c r="DJ643" s="424"/>
      <c r="DK643" s="424"/>
      <c r="DL643" s="424"/>
      <c r="DM643" s="424"/>
      <c r="DN643" s="424"/>
      <c r="DO643" s="424"/>
      <c r="DP643" s="424"/>
      <c r="DQ643" s="424"/>
      <c r="DR643" s="424"/>
      <c r="DS643" s="424"/>
      <c r="DT643" s="424"/>
      <c r="DU643" s="424"/>
      <c r="DV643" s="424"/>
      <c r="DW643" s="424"/>
      <c r="DX643" s="424"/>
      <c r="DY643" s="424"/>
      <c r="DZ643" s="424"/>
      <c r="EA643" s="424"/>
      <c r="EB643" s="424"/>
      <c r="EC643" s="424"/>
      <c r="ED643" s="424"/>
      <c r="EE643" s="424"/>
      <c r="EF643" s="424"/>
      <c r="EG643" s="424"/>
      <c r="EH643" s="424"/>
      <c r="EI643" s="424"/>
      <c r="EJ643" s="424"/>
      <c r="EK643" s="424"/>
      <c r="EL643" s="424"/>
      <c r="EM643" s="424"/>
      <c r="EN643" s="424"/>
      <c r="EO643" s="425"/>
      <c r="EP643" s="333"/>
    </row>
    <row r="644" spans="80:146" x14ac:dyDescent="0.25">
      <c r="CB644" s="350"/>
      <c r="CC644" s="474">
        <f>IF(ASZTAB!$AJ$44,COUNTIF($BI$181:$BI$190,CE644)*IF(CE644=0,0,1),COUNTIF($BG$181:$BG$190,CD644)*IF(CD644=0,0,1))+CF644/1000</f>
        <v>1E-3</v>
      </c>
      <c r="CD644" s="352">
        <f>LARGE($BG$181:$BG$190,CF644)</f>
        <v>0</v>
      </c>
      <c r="CE644" s="353">
        <f>LARGE($BI$181:$BI$190,CF644)</f>
        <v>0</v>
      </c>
      <c r="CF644" s="354">
        <v>1</v>
      </c>
      <c r="CG644" s="350"/>
      <c r="CH644" s="475">
        <f>IF(LARGE(CC644:CC653,CF644)&lt;2,0,LARGE(CC644:CC653,CF644))</f>
        <v>0</v>
      </c>
      <c r="CI644" s="356" t="str">
        <f>IF(OR(CI$643=$BG181,CI$643=$BI181),$AW181,"")</f>
        <v/>
      </c>
      <c r="CJ644" s="357" t="str">
        <f t="shared" ref="CJ644:CJ653" si="424">IF(CI644="","",CF644)</f>
        <v/>
      </c>
      <c r="CK644" s="476" t="str">
        <f>IF(ISERR(LARGE(CJ644:CJ653,CF644)),"",LARGE(CJ644:CJ653,CF644))</f>
        <v/>
      </c>
      <c r="CL644" s="356" t="str">
        <f>IF(OR(CL$643=$BG181,CL$643=$BI181),$AW181,"")</f>
        <v/>
      </c>
      <c r="CM644" s="357" t="str">
        <f t="shared" ref="CM644:CM653" si="425">IF(CL644="","",CF644)</f>
        <v/>
      </c>
      <c r="CN644" s="476" t="str">
        <f>IF(ISERR(LARGE(CM644:CM653,CF644)),"",LARGE(CM644:CM653,CF644))</f>
        <v/>
      </c>
      <c r="CO644" s="356" t="str">
        <f>IF(OR(CO$643=$BG181,CO$643=$BI181),$AW181,"")</f>
        <v/>
      </c>
      <c r="CP644" s="357" t="str">
        <f t="shared" ref="CP644:CP653" si="426">IF(CO644="","",CF644)</f>
        <v/>
      </c>
      <c r="CQ644" s="476" t="str">
        <f>IF(ISERR(LARGE(CP644:CP653,CF644)),"",LARGE(CP644:CP653,CF644))</f>
        <v/>
      </c>
      <c r="CR644" s="350"/>
      <c r="CS644" s="300"/>
      <c r="CT644" s="395" t="str">
        <f t="shared" ca="1" si="422"/>
        <v/>
      </c>
      <c r="CU644" s="478" t="str">
        <f ca="1">IF(OR(CT644="",DA644="",CT644=DA644,COUNTIF(games.rn,CT644&amp;DA644)=0),"",CONCATENATE(CT644,DA644))</f>
        <v/>
      </c>
      <c r="CV644" s="360" t="str">
        <f ca="1">IF(CU644="","",CONCATENATE(VLOOKUP(CU644,games.r,9,FALSE),VLOOKUP(CU644,games.r,12,FALSE)))</f>
        <v/>
      </c>
      <c r="CW644" s="354" t="str">
        <f ca="1">IF(CU644="","",VLOOKUP(CU644,games.r,10,FALSE))</f>
        <v/>
      </c>
      <c r="CX644" s="354" t="str">
        <f ca="1">IF(CU644="","",VLOOKUP(CU644,games.r,13,FALSE))</f>
        <v/>
      </c>
      <c r="CY644" s="361" t="str">
        <f ca="1">IF(CU644="","",VLOOKUP(CU644,games.r,6,FALSE))</f>
        <v/>
      </c>
      <c r="CZ644" s="362" t="str">
        <f ca="1">IF(CU644="","",VLOOKUP(CU644,games.r,7,FALSE))</f>
        <v/>
      </c>
      <c r="DA644" s="379" t="str">
        <f t="shared" ca="1" si="423"/>
        <v/>
      </c>
      <c r="DB644" s="302"/>
      <c r="DC644" s="364"/>
      <c r="DD644" s="302"/>
      <c r="DF644" s="424"/>
      <c r="DG644" s="424"/>
      <c r="DH644" s="424"/>
      <c r="DI644" s="424"/>
      <c r="DJ644" s="424"/>
      <c r="DK644" s="424"/>
      <c r="DL644" s="424"/>
      <c r="DM644" s="424"/>
      <c r="DN644" s="424"/>
      <c r="DO644" s="424"/>
      <c r="DP644" s="424"/>
      <c r="DQ644" s="424"/>
      <c r="DR644" s="424"/>
      <c r="DS644" s="424"/>
      <c r="DT644" s="424"/>
      <c r="DU644" s="424"/>
      <c r="DV644" s="424"/>
      <c r="DW644" s="424"/>
      <c r="DX644" s="424"/>
      <c r="DY644" s="424"/>
      <c r="DZ644" s="424"/>
      <c r="EA644" s="424"/>
      <c r="EB644" s="424"/>
      <c r="EC644" s="424"/>
      <c r="ED644" s="424"/>
      <c r="EE644" s="424"/>
      <c r="EF644" s="424"/>
      <c r="EG644" s="424"/>
      <c r="EH644" s="424"/>
      <c r="EI644" s="424"/>
      <c r="EJ644" s="424"/>
      <c r="EK644" s="424"/>
      <c r="EL644" s="424"/>
      <c r="EM644" s="424"/>
      <c r="EN644" s="424"/>
      <c r="EO644" s="425"/>
      <c r="EP644" s="333"/>
    </row>
    <row r="645" spans="80:146" x14ac:dyDescent="0.25">
      <c r="CB645" s="350"/>
      <c r="CC645" s="353">
        <f>IF(ASZTAB!$AJ$44,COUNTIF($BI$181:$BI$190,CE645)*IF(OR(CE645=CE644,CE645=0),0,1),COUNTIF($BG$181:$BG$190,CD645)*IF(OR(CD645=CD644,CD645=0),0,1))+CF645/1000</f>
        <v>2E-3</v>
      </c>
      <c r="CD645" s="352">
        <f t="shared" ref="CD645:CD653" si="427">LARGE($BG$181:$BG$190,CF645)</f>
        <v>0</v>
      </c>
      <c r="CE645" s="353">
        <f t="shared" ref="CE645:CE653" si="428">LARGE($BI$181:$BI$190,CF645)</f>
        <v>0</v>
      </c>
      <c r="CF645" s="354">
        <v>2</v>
      </c>
      <c r="CG645" s="350"/>
      <c r="CH645" s="475">
        <f>IF(LARGE(CC644:CC653,CF645)&lt;2,0,LARGE(CC644:CC653,CF645))</f>
        <v>0</v>
      </c>
      <c r="CI645" s="356" t="str">
        <f t="shared" ref="CI645:CI653" si="429">IF(OR(CI$643=$BG182,CI$643=$BI182),$AW182,"")</f>
        <v/>
      </c>
      <c r="CJ645" s="357" t="str">
        <f t="shared" si="424"/>
        <v/>
      </c>
      <c r="CK645" s="476" t="str">
        <f>IF(ISERR(LARGE(CJ644:CJ653,CF645)),"",LARGE(CJ644:CJ653,CF645))</f>
        <v/>
      </c>
      <c r="CL645" s="356" t="str">
        <f t="shared" ref="CL645:CL653" si="430">IF(OR(CL$643=$BG182,CL$643=$BI182),$AW182,"")</f>
        <v/>
      </c>
      <c r="CM645" s="357" t="str">
        <f t="shared" si="425"/>
        <v/>
      </c>
      <c r="CN645" s="476" t="str">
        <f>IF(ISERR(LARGE(CM644:CM653,CF645)),"",LARGE(CM644:CM653,CF645))</f>
        <v/>
      </c>
      <c r="CO645" s="356" t="str">
        <f t="shared" ref="CO645:CO653" si="431">IF(OR(CO$643=$BG182,CO$643=$BI182),$AW182,"")</f>
        <v/>
      </c>
      <c r="CP645" s="357" t="str">
        <f t="shared" si="426"/>
        <v/>
      </c>
      <c r="CQ645" s="476" t="str">
        <f>IF(ISERR(LARGE(CP644:CP653,CF645)),"",LARGE(CP644:CP653,CF645))</f>
        <v/>
      </c>
      <c r="CR645" s="350"/>
      <c r="CS645" s="300"/>
      <c r="CT645" s="522" t="str">
        <f t="shared" si="422"/>
        <v/>
      </c>
      <c r="CU645" s="371" t="str">
        <f ca="1">IF(OR(CT645="",DA645="",CT645=DA645,ISNA(VLOOKUP(CONCATENATE(CT645,DA645),games.a,2,FALSE))),"",CONCATENATE(CT645,DA645))</f>
        <v/>
      </c>
      <c r="CV645" s="371" t="str">
        <f ca="1">IF(CU645="","",CONCATENATE(VLOOKUP(CU645,games.a,9,FALSE),VLOOKUP(CU645,games.a,12,FALSE)))</f>
        <v/>
      </c>
      <c r="CW645" s="369" t="str">
        <f ca="1">IF(CU645="","",VLOOKUP(CU645,games.a,10,FALSE))</f>
        <v/>
      </c>
      <c r="CX645" s="369" t="str">
        <f ca="1">IF(CU645="","",VLOOKUP(CU645,games.a,13,FALSE))</f>
        <v/>
      </c>
      <c r="CY645" s="423" t="str">
        <f ca="1">IF(CU645="","",VLOOKUP(CU645,games.a,6,FALSE))</f>
        <v/>
      </c>
      <c r="CZ645" s="409" t="str">
        <f ca="1">IF(CU645="","",VLOOKUP(CU645,games.a,7,FALSE))</f>
        <v/>
      </c>
      <c r="DA645" s="523" t="str">
        <f t="shared" ca="1" si="423"/>
        <v/>
      </c>
      <c r="DB645" s="302"/>
      <c r="DC645" s="364"/>
      <c r="DD645" s="302"/>
      <c r="DF645" s="424"/>
      <c r="DG645" s="424"/>
      <c r="DH645" s="424"/>
      <c r="DI645" s="424"/>
      <c r="DJ645" s="424"/>
      <c r="DK645" s="424"/>
      <c r="DL645" s="424"/>
      <c r="DM645" s="424"/>
      <c r="DN645" s="424"/>
      <c r="DO645" s="424"/>
      <c r="DP645" s="424"/>
      <c r="DQ645" s="424"/>
      <c r="DR645" s="424"/>
      <c r="DS645" s="424"/>
      <c r="DT645" s="424"/>
      <c r="DU645" s="424"/>
      <c r="DV645" s="424"/>
      <c r="DW645" s="424"/>
      <c r="DX645" s="424"/>
      <c r="DY645" s="424"/>
      <c r="DZ645" s="424"/>
      <c r="EA645" s="424"/>
      <c r="EB645" s="424"/>
      <c r="EC645" s="424"/>
      <c r="ED645" s="424"/>
      <c r="EE645" s="424"/>
      <c r="EF645" s="424"/>
      <c r="EG645" s="424"/>
      <c r="EH645" s="424"/>
      <c r="EI645" s="424"/>
      <c r="EJ645" s="424"/>
      <c r="EK645" s="424"/>
      <c r="EL645" s="424"/>
      <c r="EM645" s="424"/>
      <c r="EN645" s="424"/>
      <c r="EO645" s="425"/>
      <c r="EP645" s="333"/>
    </row>
    <row r="646" spans="80:146" x14ac:dyDescent="0.25">
      <c r="CB646" s="350"/>
      <c r="CC646" s="353">
        <f>IF(ASZTAB!$AJ$44,COUNTIF($BI$181:$BI$190,CE646)*IF(OR(CE646=CE645,CE646=0),0,1),COUNTIF($BG$181:$BG$190,CD646)*IF(OR(CD646=CD645,CD646=0),0,1))+CF646/1000</f>
        <v>3.0000000000000001E-3</v>
      </c>
      <c r="CD646" s="352">
        <f t="shared" si="427"/>
        <v>0</v>
      </c>
      <c r="CE646" s="353">
        <f t="shared" si="428"/>
        <v>0</v>
      </c>
      <c r="CF646" s="354">
        <v>3</v>
      </c>
      <c r="CG646" s="350"/>
      <c r="CH646" s="475">
        <f>IF(LARGE(CC644:CC653,CF646)&lt;2,0,LARGE(CC644:CC653,CF646))</f>
        <v>0</v>
      </c>
      <c r="CI646" s="356" t="str">
        <f t="shared" si="429"/>
        <v/>
      </c>
      <c r="CJ646" s="357" t="str">
        <f t="shared" si="424"/>
        <v/>
      </c>
      <c r="CK646" s="476" t="str">
        <f>IF(ISERR(LARGE(CJ644:CJ653,CF646)),"",LARGE(CJ644:CJ653,CF646))</f>
        <v/>
      </c>
      <c r="CL646" s="356" t="str">
        <f t="shared" si="430"/>
        <v/>
      </c>
      <c r="CM646" s="357" t="str">
        <f t="shared" si="425"/>
        <v/>
      </c>
      <c r="CN646" s="476" t="str">
        <f>IF(ISERR(LARGE(CM644:CM653,CF646)),"",LARGE(CM644:CM653,CF646))</f>
        <v/>
      </c>
      <c r="CO646" s="356" t="str">
        <f t="shared" si="431"/>
        <v/>
      </c>
      <c r="CP646" s="357" t="str">
        <f t="shared" si="426"/>
        <v/>
      </c>
      <c r="CQ646" s="380"/>
      <c r="CR646" s="350"/>
      <c r="CS646" s="300"/>
      <c r="CT646" s="522" t="str">
        <f t="shared" si="422"/>
        <v/>
      </c>
      <c r="CU646" s="371" t="str">
        <f ca="1">IF(OR(CT646="",DA646="",CT646=DA646,ISNA(VLOOKUP(CONCATENATE(CT646,DA646),games.a,2,FALSE))),"",CONCATENATE(CT646,DA646))</f>
        <v/>
      </c>
      <c r="CV646" s="371" t="str">
        <f ca="1">IF(CU646="","",CONCATENATE(VLOOKUP(CU646,games.a,9,FALSE),VLOOKUP(CU646,games.a,12,FALSE)))</f>
        <v/>
      </c>
      <c r="CW646" s="369" t="str">
        <f ca="1">IF(CU646="","",VLOOKUP(CU646,games.a,10,FALSE))</f>
        <v/>
      </c>
      <c r="CX646" s="369" t="str">
        <f ca="1">IF(CU646="","",VLOOKUP(CU646,games.a,13,FALSE))</f>
        <v/>
      </c>
      <c r="CY646" s="423" t="str">
        <f ca="1">IF(CU646="","",VLOOKUP(CU646,games.a,6,FALSE))</f>
        <v/>
      </c>
      <c r="CZ646" s="409" t="str">
        <f ca="1">IF(CU646="","",VLOOKUP(CU646,games.a,7,FALSE))</f>
        <v/>
      </c>
      <c r="DA646" s="523" t="str">
        <f t="shared" ca="1" si="423"/>
        <v/>
      </c>
      <c r="DB646" s="302"/>
      <c r="DC646" s="364"/>
      <c r="DD646" s="302"/>
      <c r="DF646" s="424"/>
      <c r="DG646" s="424"/>
      <c r="DH646" s="424"/>
      <c r="DI646" s="424"/>
      <c r="DJ646" s="424"/>
      <c r="DK646" s="424"/>
      <c r="DL646" s="424"/>
      <c r="DM646" s="424"/>
      <c r="DN646" s="424"/>
      <c r="DO646" s="424"/>
      <c r="DP646" s="424"/>
      <c r="DQ646" s="424"/>
      <c r="DR646" s="424"/>
      <c r="DS646" s="424"/>
      <c r="DT646" s="424"/>
      <c r="DU646" s="424"/>
      <c r="DV646" s="424"/>
      <c r="DW646" s="424"/>
      <c r="DX646" s="424"/>
      <c r="DY646" s="424"/>
      <c r="DZ646" s="424"/>
      <c r="EA646" s="424"/>
      <c r="EB646" s="424"/>
      <c r="EC646" s="424"/>
      <c r="ED646" s="424"/>
      <c r="EE646" s="424"/>
      <c r="EF646" s="424"/>
      <c r="EG646" s="424"/>
      <c r="EH646" s="424"/>
      <c r="EI646" s="424"/>
      <c r="EJ646" s="424"/>
      <c r="EK646" s="424"/>
      <c r="EL646" s="424"/>
      <c r="EM646" s="424"/>
      <c r="EN646" s="424"/>
      <c r="EO646" s="425"/>
      <c r="EP646" s="333"/>
    </row>
    <row r="647" spans="80:146" x14ac:dyDescent="0.25">
      <c r="CB647" s="350"/>
      <c r="CC647" s="353">
        <f>IF(ASZTAB!$AJ$44,COUNTIF($BI$181:$BI$190,CE647)*IF(OR(CE647=CE646,CE647=0),0,1),COUNTIF($BG$181:$BG$190,CD647)*IF(OR(CD647=CD646,CD647=0),0,1))+CF647/1000</f>
        <v>4.0000000000000001E-3</v>
      </c>
      <c r="CD647" s="352">
        <f t="shared" si="427"/>
        <v>0</v>
      </c>
      <c r="CE647" s="353">
        <f t="shared" si="428"/>
        <v>0</v>
      </c>
      <c r="CF647" s="354">
        <v>4</v>
      </c>
      <c r="CG647" s="350"/>
      <c r="CH647" s="300"/>
      <c r="CI647" s="356" t="str">
        <f t="shared" si="429"/>
        <v/>
      </c>
      <c r="CJ647" s="357" t="str">
        <f t="shared" si="424"/>
        <v/>
      </c>
      <c r="CK647" s="476" t="str">
        <f>IF(ISERR(LARGE(CJ644:CJ653,CF647)),"",LARGE(CJ644:CJ653,CF647))</f>
        <v/>
      </c>
      <c r="CL647" s="356" t="str">
        <f t="shared" si="430"/>
        <v/>
      </c>
      <c r="CM647" s="357" t="str">
        <f t="shared" si="425"/>
        <v/>
      </c>
      <c r="CN647" s="380"/>
      <c r="CO647" s="356" t="str">
        <f t="shared" si="431"/>
        <v/>
      </c>
      <c r="CP647" s="357" t="str">
        <f t="shared" si="426"/>
        <v/>
      </c>
      <c r="CQ647" s="385"/>
      <c r="CR647" s="350"/>
      <c r="CS647" s="300"/>
      <c r="CT647" s="522" t="str">
        <f t="shared" si="422"/>
        <v/>
      </c>
      <c r="CU647" s="371" t="str">
        <f ca="1">IF(OR(CT647="",DA647="",CT647=DA647,ISNA(VLOOKUP(CONCATENATE(CT647,DA647),games.a,2,FALSE))),"",CONCATENATE(CT647,DA647))</f>
        <v/>
      </c>
      <c r="CV647" s="371" t="str">
        <f ca="1">IF(CU647="","",CONCATENATE(VLOOKUP(CU647,games.a,9,FALSE),VLOOKUP(CU647,games.a,12,FALSE)))</f>
        <v/>
      </c>
      <c r="CW647" s="369" t="str">
        <f ca="1">IF(CU647="","",VLOOKUP(CU647,games.a,10,FALSE))</f>
        <v/>
      </c>
      <c r="CX647" s="369" t="str">
        <f ca="1">IF(CU647="","",VLOOKUP(CU647,games.a,13,FALSE))</f>
        <v/>
      </c>
      <c r="CY647" s="423" t="str">
        <f ca="1">IF(CU647="","",VLOOKUP(CU647,games.a,6,FALSE))</f>
        <v/>
      </c>
      <c r="CZ647" s="409" t="str">
        <f ca="1">IF(CU647="","",VLOOKUP(CU647,games.a,7,FALSE))</f>
        <v/>
      </c>
      <c r="DA647" s="523" t="str">
        <f t="shared" ca="1" si="423"/>
        <v/>
      </c>
      <c r="DB647" s="302"/>
      <c r="DC647" s="364"/>
      <c r="DD647" s="302"/>
      <c r="DF647" s="424"/>
      <c r="DG647" s="424"/>
      <c r="DH647" s="424"/>
      <c r="DI647" s="424"/>
      <c r="DJ647" s="424"/>
      <c r="DK647" s="424"/>
      <c r="DL647" s="424"/>
      <c r="DM647" s="424"/>
      <c r="DN647" s="424"/>
      <c r="DO647" s="424"/>
      <c r="DP647" s="424"/>
      <c r="DQ647" s="424"/>
      <c r="DR647" s="424"/>
      <c r="DS647" s="424"/>
      <c r="DT647" s="424"/>
      <c r="DU647" s="424"/>
      <c r="DV647" s="424"/>
      <c r="DW647" s="424"/>
      <c r="DX647" s="424"/>
      <c r="DY647" s="424"/>
      <c r="DZ647" s="424"/>
      <c r="EA647" s="424"/>
      <c r="EB647" s="424"/>
      <c r="EC647" s="424"/>
      <c r="ED647" s="424"/>
      <c r="EE647" s="424"/>
      <c r="EF647" s="424"/>
      <c r="EG647" s="424"/>
      <c r="EH647" s="424"/>
      <c r="EI647" s="424"/>
      <c r="EJ647" s="424"/>
      <c r="EK647" s="424"/>
      <c r="EL647" s="424"/>
      <c r="EM647" s="424"/>
      <c r="EN647" s="424"/>
      <c r="EO647" s="425"/>
      <c r="EP647" s="333"/>
    </row>
    <row r="648" spans="80:146" x14ac:dyDescent="0.25">
      <c r="CB648" s="350"/>
      <c r="CC648" s="353">
        <f>IF(ASZTAB!$AJ$44,COUNTIF($BI$181:$BI$190,CE648)*IF(OR(CE648=CE647,CE648=0),0,1),COUNTIF($BG$181:$BG$190,CD648)*IF(OR(CD648=CD647,CD648=0),0,1))+CF648/1000</f>
        <v>5.0000000000000001E-3</v>
      </c>
      <c r="CD648" s="352">
        <f t="shared" si="427"/>
        <v>0</v>
      </c>
      <c r="CE648" s="353">
        <f t="shared" si="428"/>
        <v>0</v>
      </c>
      <c r="CF648" s="354">
        <v>5</v>
      </c>
      <c r="CG648" s="350"/>
      <c r="CH648" s="300"/>
      <c r="CI648" s="356" t="str">
        <f t="shared" si="429"/>
        <v/>
      </c>
      <c r="CJ648" s="357" t="str">
        <f t="shared" si="424"/>
        <v/>
      </c>
      <c r="CK648" s="476" t="str">
        <f>IF(ISERR(LARGE(CJ644:CJ653,CF648)),"",LARGE(CJ644:CJ653,CF648))</f>
        <v/>
      </c>
      <c r="CL648" s="356" t="str">
        <f t="shared" si="430"/>
        <v/>
      </c>
      <c r="CM648" s="357" t="str">
        <f t="shared" si="425"/>
        <v/>
      </c>
      <c r="CN648" s="385"/>
      <c r="CO648" s="356" t="str">
        <f t="shared" si="431"/>
        <v/>
      </c>
      <c r="CP648" s="357" t="str">
        <f t="shared" si="426"/>
        <v/>
      </c>
      <c r="CQ648" s="385"/>
      <c r="CR648" s="350"/>
      <c r="CS648" s="300"/>
      <c r="CT648" s="522" t="str">
        <f t="shared" si="422"/>
        <v/>
      </c>
      <c r="CU648" s="371" t="str">
        <f ca="1">IF(OR(CT648="",DA648="",CT648=DA648,ISNA(VLOOKUP(CONCATENATE(CT648,DA648),games.a,2,FALSE))),"",CONCATENATE(CT648,DA648))</f>
        <v/>
      </c>
      <c r="CV648" s="371" t="str">
        <f ca="1">IF(CU648="","",CONCATENATE(VLOOKUP(CU648,games.a,9,FALSE),VLOOKUP(CU648,games.a,12,FALSE)))</f>
        <v/>
      </c>
      <c r="CW648" s="369" t="str">
        <f ca="1">IF(CU648="","",VLOOKUP(CU648,games.a,10,FALSE))</f>
        <v/>
      </c>
      <c r="CX648" s="369" t="str">
        <f ca="1">IF(CU648="","",VLOOKUP(CU648,games.a,13,FALSE))</f>
        <v/>
      </c>
      <c r="CY648" s="423" t="str">
        <f ca="1">IF(CU648="","",VLOOKUP(CU648,games.a,6,FALSE))</f>
        <v/>
      </c>
      <c r="CZ648" s="409" t="str">
        <f ca="1">IF(CU648="","",VLOOKUP(CU648,games.a,7,FALSE))</f>
        <v/>
      </c>
      <c r="DA648" s="523" t="str">
        <f t="shared" ca="1" si="423"/>
        <v/>
      </c>
      <c r="DB648" s="302"/>
      <c r="DC648" s="364"/>
      <c r="DD648" s="302"/>
      <c r="DF648" s="424"/>
      <c r="DG648" s="424"/>
      <c r="DH648" s="424"/>
      <c r="DI648" s="424"/>
      <c r="DJ648" s="424"/>
      <c r="DK648" s="424"/>
      <c r="DL648" s="424"/>
      <c r="DM648" s="424"/>
      <c r="DN648" s="424"/>
      <c r="DO648" s="424"/>
      <c r="DP648" s="424"/>
      <c r="DQ648" s="424"/>
      <c r="DR648" s="424"/>
      <c r="DS648" s="424"/>
      <c r="DT648" s="424"/>
      <c r="DU648" s="424"/>
      <c r="DV648" s="424"/>
      <c r="DW648" s="424"/>
      <c r="DX648" s="424"/>
      <c r="DY648" s="424"/>
      <c r="DZ648" s="424"/>
      <c r="EA648" s="424"/>
      <c r="EB648" s="424"/>
      <c r="EC648" s="424"/>
      <c r="ED648" s="424"/>
      <c r="EE648" s="424"/>
      <c r="EF648" s="424"/>
      <c r="EG648" s="424"/>
      <c r="EH648" s="424"/>
      <c r="EI648" s="424"/>
      <c r="EJ648" s="424"/>
      <c r="EK648" s="424"/>
      <c r="EL648" s="424"/>
      <c r="EM648" s="424"/>
      <c r="EN648" s="424"/>
      <c r="EO648" s="425"/>
      <c r="EP648" s="333"/>
    </row>
    <row r="649" spans="80:146" x14ac:dyDescent="0.25">
      <c r="CB649" s="350"/>
      <c r="CC649" s="353">
        <f>IF(ASZTAB!$AJ$44,COUNTIF($BI$181:$BI$190,CE649)*IF(OR(CE649=CE648,CE649=0),0,1),COUNTIF($BG$181:$BG$190,CD649)*IF(OR(CD649=CD648,CD649=0),0,1))+CF649/1000</f>
        <v>6.0000000000000001E-3</v>
      </c>
      <c r="CD649" s="352">
        <f t="shared" si="427"/>
        <v>0</v>
      </c>
      <c r="CE649" s="353">
        <f t="shared" si="428"/>
        <v>0</v>
      </c>
      <c r="CF649" s="354">
        <v>6</v>
      </c>
      <c r="CG649" s="350"/>
      <c r="CH649" s="300"/>
      <c r="CI649" s="356" t="str">
        <f t="shared" si="429"/>
        <v/>
      </c>
      <c r="CJ649" s="357" t="str">
        <f t="shared" si="424"/>
        <v/>
      </c>
      <c r="CK649" s="380"/>
      <c r="CL649" s="356" t="str">
        <f t="shared" si="430"/>
        <v/>
      </c>
      <c r="CM649" s="357" t="str">
        <f t="shared" si="425"/>
        <v/>
      </c>
      <c r="CN649" s="385"/>
      <c r="CO649" s="356" t="str">
        <f t="shared" si="431"/>
        <v/>
      </c>
      <c r="CP649" s="357" t="str">
        <f t="shared" si="426"/>
        <v/>
      </c>
      <c r="CQ649" s="385"/>
      <c r="CR649" s="350"/>
      <c r="CS649" s="300"/>
      <c r="CT649" s="522" t="str">
        <f t="shared" si="422"/>
        <v/>
      </c>
      <c r="CU649" s="371" t="str">
        <f ca="1">IF(OR(CT649="",DA649="",CT649=DA649,ISNA(VLOOKUP(CONCATENATE(CT649,DA649),games.a,2,FALSE))),"",CONCATENATE(CT649,DA649))</f>
        <v/>
      </c>
      <c r="CV649" s="371" t="str">
        <f ca="1">IF(CU649="","",CONCATENATE(VLOOKUP(CU649,games.a,9,FALSE),VLOOKUP(CU649,games.a,12,FALSE)))</f>
        <v/>
      </c>
      <c r="CW649" s="369" t="str">
        <f ca="1">IF(CU649="","",VLOOKUP(CU649,games.a,10,FALSE))</f>
        <v/>
      </c>
      <c r="CX649" s="369" t="str">
        <f ca="1">IF(CU649="","",VLOOKUP(CU649,games.a,13,FALSE))</f>
        <v/>
      </c>
      <c r="CY649" s="423" t="str">
        <f ca="1">IF(CU649="","",VLOOKUP(CU649,games.a,6,FALSE))</f>
        <v/>
      </c>
      <c r="CZ649" s="409" t="str">
        <f ca="1">IF(CU649="","",VLOOKUP(CU649,games.a,7,FALSE))</f>
        <v/>
      </c>
      <c r="DA649" s="523" t="str">
        <f t="shared" ca="1" si="423"/>
        <v/>
      </c>
      <c r="DB649" s="302"/>
      <c r="DC649" s="364"/>
      <c r="DD649" s="302"/>
      <c r="DF649" s="424"/>
      <c r="DG649" s="424"/>
      <c r="DH649" s="424"/>
      <c r="DI649" s="424"/>
      <c r="DJ649" s="424"/>
      <c r="DK649" s="424"/>
      <c r="DL649" s="424"/>
      <c r="DM649" s="424"/>
      <c r="DN649" s="424"/>
      <c r="DO649" s="424"/>
      <c r="DP649" s="424"/>
      <c r="DQ649" s="424"/>
      <c r="DR649" s="424"/>
      <c r="DS649" s="424"/>
      <c r="DT649" s="424"/>
      <c r="DU649" s="424"/>
      <c r="DV649" s="424"/>
      <c r="DW649" s="424"/>
      <c r="DX649" s="424"/>
      <c r="DY649" s="424"/>
      <c r="DZ649" s="424"/>
      <c r="EA649" s="424"/>
      <c r="EB649" s="424"/>
      <c r="EC649" s="424"/>
      <c r="ED649" s="424"/>
      <c r="EE649" s="424"/>
      <c r="EF649" s="424"/>
      <c r="EG649" s="424"/>
      <c r="EH649" s="424"/>
      <c r="EI649" s="424"/>
      <c r="EJ649" s="424"/>
      <c r="EK649" s="424"/>
      <c r="EL649" s="424"/>
      <c r="EM649" s="424"/>
      <c r="EN649" s="424"/>
      <c r="EO649" s="425"/>
      <c r="EP649" s="333"/>
    </row>
    <row r="650" spans="80:146" x14ac:dyDescent="0.25">
      <c r="CB650" s="350"/>
      <c r="CC650" s="353">
        <f>IF(ASZTAB!$AJ$44,COUNTIF($BI$181:$BI$190,CE650)*IF(OR(CE650=CE649,CE650=0),0,1),COUNTIF($BG$181:$BG$190,CD650)*IF(OR(CD650=CD649,CD650=0),0,1))+CF650/1000</f>
        <v>7.0000000000000001E-3</v>
      </c>
      <c r="CD650" s="352">
        <f t="shared" si="427"/>
        <v>0</v>
      </c>
      <c r="CE650" s="353">
        <f t="shared" si="428"/>
        <v>0</v>
      </c>
      <c r="CF650" s="354">
        <v>7</v>
      </c>
      <c r="CG650" s="350"/>
      <c r="CH650" s="300"/>
      <c r="CI650" s="356" t="str">
        <f t="shared" si="429"/>
        <v/>
      </c>
      <c r="CJ650" s="357" t="str">
        <f t="shared" si="424"/>
        <v/>
      </c>
      <c r="CK650" s="385"/>
      <c r="CL650" s="356" t="str">
        <f t="shared" si="430"/>
        <v/>
      </c>
      <c r="CM650" s="357" t="str">
        <f t="shared" si="425"/>
        <v/>
      </c>
      <c r="CN650" s="385"/>
      <c r="CO650" s="356" t="str">
        <f t="shared" si="431"/>
        <v/>
      </c>
      <c r="CP650" s="357" t="str">
        <f t="shared" si="426"/>
        <v/>
      </c>
      <c r="CQ650" s="385"/>
      <c r="CR650" s="350"/>
      <c r="CS650" s="445"/>
      <c r="CT650" s="301"/>
      <c r="CU650" s="302"/>
      <c r="CV650" s="302"/>
      <c r="CW650" s="302"/>
      <c r="CX650" s="302"/>
      <c r="CY650" s="302"/>
      <c r="CZ650" s="302"/>
      <c r="DA650" s="302"/>
      <c r="DB650" s="302"/>
      <c r="DC650" s="446" t="s">
        <v>216</v>
      </c>
      <c r="DD650" s="302"/>
      <c r="DF650" s="424"/>
      <c r="DG650" s="424"/>
      <c r="DH650" s="424"/>
      <c r="DI650" s="424"/>
      <c r="DJ650" s="424"/>
      <c r="DK650" s="424"/>
      <c r="DL650" s="424"/>
      <c r="DM650" s="424"/>
      <c r="DN650" s="424"/>
      <c r="DO650" s="424"/>
      <c r="DP650" s="424"/>
      <c r="DQ650" s="424"/>
      <c r="DR650" s="424"/>
      <c r="DS650" s="424"/>
      <c r="DT650" s="424"/>
      <c r="DU650" s="424"/>
      <c r="DV650" s="424"/>
      <c r="DW650" s="424"/>
      <c r="DX650" s="424"/>
      <c r="DY650" s="424"/>
      <c r="DZ650" s="424"/>
      <c r="EA650" s="424"/>
      <c r="EB650" s="424"/>
      <c r="EC650" s="424"/>
      <c r="ED650" s="424"/>
      <c r="EE650" s="424"/>
      <c r="EF650" s="424"/>
      <c r="EG650" s="424"/>
      <c r="EH650" s="424"/>
      <c r="EI650" s="424"/>
      <c r="EJ650" s="424"/>
      <c r="EK650" s="424"/>
      <c r="EL650" s="424"/>
      <c r="EM650" s="424"/>
      <c r="EN650" s="424"/>
      <c r="EO650" s="425"/>
      <c r="EP650" s="333"/>
    </row>
    <row r="651" spans="80:146" x14ac:dyDescent="0.25">
      <c r="CB651" s="350"/>
      <c r="CC651" s="353">
        <f>IF(ASZTAB!$AJ$44,COUNTIF($BI$181:$BI$190,CE651)*IF(OR(CE651=CE650,CE651=0),0,1),COUNTIF($BG$181:$BG$190,CD651)*IF(OR(CD651=CD650,CD651=0),0,1))+CF651/1000</f>
        <v>8.0000000000000002E-3</v>
      </c>
      <c r="CD651" s="352">
        <f t="shared" si="427"/>
        <v>0</v>
      </c>
      <c r="CE651" s="353">
        <f t="shared" si="428"/>
        <v>0</v>
      </c>
      <c r="CF651" s="354">
        <v>8</v>
      </c>
      <c r="CG651" s="350"/>
      <c r="CH651" s="300"/>
      <c r="CI651" s="356" t="str">
        <f t="shared" si="429"/>
        <v/>
      </c>
      <c r="CJ651" s="357" t="str">
        <f t="shared" si="424"/>
        <v/>
      </c>
      <c r="CK651" s="385"/>
      <c r="CL651" s="356" t="str">
        <f t="shared" si="430"/>
        <v/>
      </c>
      <c r="CM651" s="357" t="str">
        <f t="shared" si="425"/>
        <v/>
      </c>
      <c r="CN651" s="385"/>
      <c r="CO651" s="356" t="str">
        <f t="shared" si="431"/>
        <v/>
      </c>
      <c r="CP651" s="357" t="str">
        <f t="shared" si="426"/>
        <v/>
      </c>
      <c r="CQ651" s="385"/>
      <c r="CR651" s="350"/>
      <c r="CS651" s="445"/>
      <c r="CT651" s="301"/>
      <c r="CU651" s="302"/>
      <c r="CV651" s="302"/>
      <c r="CW651" s="302"/>
      <c r="CX651" s="302"/>
      <c r="CY651" s="302"/>
      <c r="CZ651" s="302"/>
      <c r="DA651" s="447"/>
      <c r="DB651" s="302"/>
      <c r="DC651" s="448" t="s">
        <v>218</v>
      </c>
      <c r="DD651" s="302"/>
      <c r="DF651" s="424"/>
      <c r="DG651" s="424"/>
      <c r="DH651" s="424"/>
      <c r="DI651" s="424"/>
      <c r="DJ651" s="424"/>
      <c r="DK651" s="424"/>
      <c r="DL651" s="424"/>
      <c r="DM651" s="424"/>
      <c r="DN651" s="424"/>
      <c r="DO651" s="424"/>
      <c r="DP651" s="424"/>
      <c r="DQ651" s="424"/>
      <c r="DR651" s="424"/>
      <c r="DS651" s="424"/>
      <c r="DT651" s="424"/>
      <c r="DU651" s="424"/>
      <c r="DV651" s="424"/>
      <c r="DW651" s="424"/>
      <c r="DX651" s="424"/>
      <c r="DY651" s="424"/>
      <c r="DZ651" s="424"/>
      <c r="EA651" s="424"/>
      <c r="EB651" s="424"/>
      <c r="EC651" s="424"/>
      <c r="ED651" s="424"/>
      <c r="EE651" s="424"/>
      <c r="EF651" s="424"/>
      <c r="EG651" s="424"/>
      <c r="EH651" s="424"/>
      <c r="EI651" s="424"/>
      <c r="EJ651" s="424"/>
      <c r="EK651" s="424"/>
      <c r="EL651" s="424"/>
      <c r="EM651" s="424"/>
      <c r="EN651" s="424"/>
      <c r="EO651" s="425"/>
      <c r="EP651" s="333"/>
    </row>
    <row r="652" spans="80:146" x14ac:dyDescent="0.25">
      <c r="CB652" s="350"/>
      <c r="CC652" s="353">
        <f>IF(ASZTAB!$AJ$44,COUNTIF($BI$181:$BI$190,CE652)*IF(OR(CE652=CE651,CE652=0),0,1),COUNTIF($BG$181:$BG$190,CD652)*IF(OR(CD652=CD651,CD652=0),0,1))+CF652/1000</f>
        <v>8.9999999999999993E-3</v>
      </c>
      <c r="CD652" s="352">
        <f t="shared" si="427"/>
        <v>0</v>
      </c>
      <c r="CE652" s="353">
        <f t="shared" si="428"/>
        <v>0</v>
      </c>
      <c r="CF652" s="354">
        <v>9</v>
      </c>
      <c r="CG652" s="350"/>
      <c r="CH652" s="300"/>
      <c r="CI652" s="356" t="str">
        <f t="shared" si="429"/>
        <v/>
      </c>
      <c r="CJ652" s="357" t="str">
        <f t="shared" si="424"/>
        <v/>
      </c>
      <c r="CK652" s="385"/>
      <c r="CL652" s="356" t="str">
        <f t="shared" si="430"/>
        <v/>
      </c>
      <c r="CM652" s="357" t="str">
        <f t="shared" si="425"/>
        <v/>
      </c>
      <c r="CN652" s="385"/>
      <c r="CO652" s="356" t="str">
        <f t="shared" si="431"/>
        <v/>
      </c>
      <c r="CP652" s="357" t="str">
        <f t="shared" si="426"/>
        <v/>
      </c>
      <c r="CQ652" s="385"/>
      <c r="CR652" s="350"/>
      <c r="CS652" s="300"/>
      <c r="CT652" s="323" t="b">
        <f ca="1">OR(NOT(ASZTAB!$AJ$44),COUNTIF(CY652:CY672,"")&lt;=18-(DA652-1)*DA652/2)</f>
        <v>1</v>
      </c>
      <c r="CU652" s="471" t="s">
        <v>157</v>
      </c>
      <c r="CV652" s="471" t="s">
        <v>158</v>
      </c>
      <c r="CW652" s="472" t="s">
        <v>159</v>
      </c>
      <c r="CX652" s="472"/>
      <c r="CY652" s="473" t="s">
        <v>160</v>
      </c>
      <c r="CZ652" s="472" t="s">
        <v>135</v>
      </c>
      <c r="DA652" s="323">
        <f ca="1">COUNT(CN596:CN598)</f>
        <v>0</v>
      </c>
      <c r="DB652" s="302"/>
      <c r="DC652" s="364"/>
      <c r="DD652" s="302"/>
      <c r="DF652" s="424"/>
      <c r="DG652" s="329" t="s">
        <v>229</v>
      </c>
      <c r="DH652" s="365"/>
      <c r="DI652" s="329" t="s">
        <v>152</v>
      </c>
      <c r="DJ652" s="329" t="s">
        <v>153</v>
      </c>
      <c r="DK652" s="329" t="s">
        <v>154</v>
      </c>
      <c r="DL652" s="329" t="s">
        <v>155</v>
      </c>
      <c r="DM652" s="329" t="s">
        <v>125</v>
      </c>
      <c r="DN652" s="329" t="s">
        <v>226</v>
      </c>
      <c r="DO652" s="329" t="s">
        <v>126</v>
      </c>
      <c r="DP652" s="329" t="s">
        <v>227</v>
      </c>
      <c r="DQ652" s="424"/>
      <c r="DR652" s="424"/>
      <c r="DS652" s="424"/>
      <c r="DT652" s="329" t="s">
        <v>228</v>
      </c>
      <c r="DU652" s="329" t="s">
        <v>156</v>
      </c>
      <c r="DV652" s="329" t="s">
        <v>208</v>
      </c>
      <c r="DW652" s="424"/>
      <c r="DX652" s="424"/>
      <c r="DY652" s="424"/>
      <c r="DZ652" s="424"/>
      <c r="EA652" s="424"/>
      <c r="EB652" s="424"/>
      <c r="EC652" s="424"/>
      <c r="ED652" s="424"/>
      <c r="EE652" s="424"/>
      <c r="EF652" s="424"/>
      <c r="EG652" s="424"/>
      <c r="EH652" s="424"/>
      <c r="EI652" s="424"/>
      <c r="EJ652" s="424"/>
      <c r="EK652" s="424"/>
      <c r="EL652" s="424"/>
      <c r="EM652" s="424"/>
      <c r="EN652" s="424"/>
      <c r="EO652" s="425"/>
      <c r="EP652" s="333"/>
    </row>
    <row r="653" spans="80:146" x14ac:dyDescent="0.25">
      <c r="CB653" s="350"/>
      <c r="CC653" s="353">
        <f>IF(ASZTAB!$AJ$44,COUNTIF($BI$181:$BI$190,CE653)*IF(OR(CE653=CE652,CE653=0),0,1),COUNTIF($BG$181:$BG$190,CD653)*IF(OR(CD653=CD652,CD653=0),0,1))+CF653/1000</f>
        <v>0.01</v>
      </c>
      <c r="CD653" s="352">
        <f t="shared" si="427"/>
        <v>0</v>
      </c>
      <c r="CE653" s="353">
        <f t="shared" si="428"/>
        <v>0</v>
      </c>
      <c r="CF653" s="354">
        <v>10</v>
      </c>
      <c r="CG653" s="350"/>
      <c r="CH653" s="300"/>
      <c r="CI653" s="356" t="str">
        <f t="shared" si="429"/>
        <v/>
      </c>
      <c r="CJ653" s="357" t="str">
        <f t="shared" si="424"/>
        <v/>
      </c>
      <c r="CK653" s="357"/>
      <c r="CL653" s="356" t="str">
        <f t="shared" si="430"/>
        <v/>
      </c>
      <c r="CM653" s="357" t="str">
        <f t="shared" si="425"/>
        <v/>
      </c>
      <c r="CN653" s="357"/>
      <c r="CO653" s="356" t="str">
        <f t="shared" si="431"/>
        <v/>
      </c>
      <c r="CP653" s="357" t="str">
        <f t="shared" si="426"/>
        <v/>
      </c>
      <c r="CQ653" s="357"/>
      <c r="CR653" s="350"/>
      <c r="CS653" s="300"/>
      <c r="CT653" s="477" t="str">
        <f ca="1">IF(CN596="","",VLOOKUP(CN596,xxx.rn1,7,FALSE))</f>
        <v/>
      </c>
      <c r="CU653" s="478" t="str">
        <f ca="1">IF(OR(CT653="",DA653="",CT653=DA653,COUNTIF(games.rn,CT653&amp;DA653)=0),"",CONCATENATE(CT653,DA653))</f>
        <v/>
      </c>
      <c r="CV653" s="360" t="str">
        <f ca="1">IF(CU653="","",CONCATENATE(VLOOKUP(CU653,games.r,9,FALSE),VLOOKUP(CU653,games.r,12,FALSE)))</f>
        <v/>
      </c>
      <c r="CW653" s="354" t="str">
        <f ca="1">IF(CU653="","",VLOOKUP(CU653,games.r,10,FALSE))</f>
        <v/>
      </c>
      <c r="CX653" s="354" t="str">
        <f ca="1">IF(CU653="","",VLOOKUP(CU653,games.r,13,FALSE))</f>
        <v/>
      </c>
      <c r="CY653" s="361" t="str">
        <f ca="1">IF(CU653="","",VLOOKUP(CU653,games.r,6,FALSE))</f>
        <v/>
      </c>
      <c r="CZ653" s="362" t="str">
        <f ca="1">IF(CU653="","",VLOOKUP(CU653,games.r,7,FALSE))</f>
        <v/>
      </c>
      <c r="DA653" s="479" t="str">
        <f ca="1">CT653</f>
        <v/>
      </c>
      <c r="DB653" s="302"/>
      <c r="DC653" s="364"/>
      <c r="DD653" s="302"/>
      <c r="DF653" s="424"/>
      <c r="DG653" s="366" t="str">
        <f ca="1">IF(OR(NOT(ASZTAB!$AJ$44),CT652),CT653,"")</f>
        <v/>
      </c>
      <c r="DH653" s="365"/>
      <c r="DI653" s="366">
        <f ca="1">IF(DG653="",0,COUNTIF(xxgy.rn,DG653))</f>
        <v>0</v>
      </c>
      <c r="DJ653" s="366">
        <f ca="1">IF(DG653="",0,COUNTIF(xxd.rn,DG653))</f>
        <v>0</v>
      </c>
      <c r="DK653" s="366">
        <f ca="1">IF(DG653="",0,1)*(SUMIF(xxo.rn,DG653,xxl.rn)+SUMIF(xxi.rn,DG653,xxk.rn))</f>
        <v>0</v>
      </c>
      <c r="DL653" s="366">
        <f ca="1">IF(DG653="",0,1)*(SUMIF(xxo.rn,DG653,xxk.rn)+SUMIF(xxi.rn,DG653,xxl.rn))</f>
        <v>0</v>
      </c>
      <c r="DM653" s="366">
        <f ca="1">DK653-DL653</f>
        <v>0</v>
      </c>
      <c r="DN653" s="366">
        <f ca="1">IF(DL653=0,0,DK653/DL653)</f>
        <v>0</v>
      </c>
      <c r="DO653" s="366">
        <f ca="1">ASZTAB!$AJ$48*DI653+IF(ASZTAB!$AJ$44,0,1)*DJ653</f>
        <v>0</v>
      </c>
      <c r="DP653" s="396">
        <f ca="1">DO653*1000000+IF(ASZTAB!$AJ$44,DN653,DM653)*1000*0</f>
        <v>0</v>
      </c>
      <c r="DQ653" s="424"/>
      <c r="DR653" s="424"/>
      <c r="DS653" s="424"/>
      <c r="DT653" s="366">
        <f ca="1">IF(OR(ISERR(DP653),ISNA(DP653)),0,DP653)</f>
        <v>0</v>
      </c>
      <c r="DU653" s="366">
        <f ca="1">IF(DT653=0,0,RANK(DT653,DT653:DT655,1))</f>
        <v>0</v>
      </c>
      <c r="DV653" s="366">
        <f ca="1">DU653*40000*IF(COUNTIF($EN$596:$EN$605,DG653)&gt;0,0,1)</f>
        <v>0</v>
      </c>
      <c r="DW653" s="424"/>
      <c r="DX653" s="424"/>
      <c r="DY653" s="424"/>
      <c r="DZ653" s="424"/>
      <c r="EA653" s="424"/>
      <c r="EB653" s="424"/>
      <c r="EC653" s="424"/>
      <c r="ED653" s="424"/>
      <c r="EE653" s="424"/>
      <c r="EF653" s="424"/>
      <c r="EG653" s="424"/>
      <c r="EH653" s="424"/>
      <c r="EI653" s="424"/>
      <c r="EJ653" s="424"/>
      <c r="EK653" s="424"/>
      <c r="EL653" s="424"/>
      <c r="EM653" s="424"/>
      <c r="EN653" s="424"/>
      <c r="EO653" s="425"/>
      <c r="EP653" s="333"/>
    </row>
    <row r="654" spans="80:146" x14ac:dyDescent="0.25">
      <c r="CB654" s="350"/>
      <c r="CC654" s="350"/>
      <c r="CD654" s="350"/>
      <c r="CE654" s="350"/>
      <c r="CF654" s="350"/>
      <c r="CG654" s="350"/>
      <c r="CR654" s="350"/>
      <c r="CS654" s="300"/>
      <c r="CT654" s="477" t="str">
        <f ca="1">IF(CN597="","",VLOOKUP(CN597,xxx.rn1,7,FALSE))</f>
        <v/>
      </c>
      <c r="CU654" s="478" t="str">
        <f ca="1">IF(OR(CT654="",DA654="",CT654=DA654,COUNTIF(games.rn,CT654&amp;DA654)=0),"",CONCATENATE(CT654,DA654))</f>
        <v/>
      </c>
      <c r="CV654" s="360" t="str">
        <f ca="1">IF(CU654="","",CONCATENATE(VLOOKUP(CU654,games.r,9,FALSE),VLOOKUP(CU654,games.r,12,FALSE)))</f>
        <v/>
      </c>
      <c r="CW654" s="354" t="str">
        <f ca="1">IF(CU654="","",VLOOKUP(CU654,games.r,10,FALSE))</f>
        <v/>
      </c>
      <c r="CX654" s="354" t="str">
        <f ca="1">IF(CU654="","",VLOOKUP(CU654,games.r,13,FALSE))</f>
        <v/>
      </c>
      <c r="CY654" s="361" t="str">
        <f ca="1">IF(CU654="","",VLOOKUP(CU654,games.r,6,FALSE))</f>
        <v/>
      </c>
      <c r="CZ654" s="362" t="str">
        <f ca="1">IF(CU654="","",VLOOKUP(CU654,games.r,7,FALSE))</f>
        <v/>
      </c>
      <c r="DA654" s="379" t="str">
        <f ca="1">DA653</f>
        <v/>
      </c>
      <c r="DB654" s="302"/>
      <c r="DC654" s="364"/>
      <c r="DD654" s="302"/>
      <c r="DF654" s="424"/>
      <c r="DG654" s="366" t="str">
        <f ca="1">IF(OR(NOT(ASZTAB!$AJ$44),CT652),CT654,"")</f>
        <v/>
      </c>
      <c r="DH654" s="365"/>
      <c r="DI654" s="366">
        <f ca="1">IF(DG654="",0,COUNTIF(xxgy.rn,DG654))</f>
        <v>0</v>
      </c>
      <c r="DJ654" s="366">
        <f ca="1">IF(DG654="",0,COUNTIF(xxd.rn,DG654))</f>
        <v>0</v>
      </c>
      <c r="DK654" s="366">
        <f ca="1">IF(DG654="",0,1)*(SUMIF(xxo.rn,DG654,xxl.rn)+SUMIF(xxi.rn,DG654,xxk.rn))</f>
        <v>0</v>
      </c>
      <c r="DL654" s="366">
        <f ca="1">IF(DG654="",0,1)*(SUMIF(xxo.rn,DG654,xxk.rn)+SUMIF(xxi.rn,DG654,xxl.rn))</f>
        <v>0</v>
      </c>
      <c r="DM654" s="366">
        <f ca="1">DK654-DL654</f>
        <v>0</v>
      </c>
      <c r="DN654" s="366">
        <f ca="1">IF(DL654=0,0,DK654/DL654)</f>
        <v>0</v>
      </c>
      <c r="DO654" s="366">
        <f ca="1">ASZTAB!$AJ$48*DI654+IF(ASZTAB!$AJ$44,0,1)*DJ654</f>
        <v>0</v>
      </c>
      <c r="DP654" s="396">
        <f ca="1">DO654*1000000+IF(ASZTAB!$AJ$44,DN654,DM654)*1000*0</f>
        <v>0</v>
      </c>
      <c r="DQ654" s="424"/>
      <c r="DR654" s="424"/>
      <c r="DS654" s="424"/>
      <c r="DT654" s="366">
        <f ca="1">IF(OR(ISERR(DP654),ISNA(DP654)),0,DP654)</f>
        <v>0</v>
      </c>
      <c r="DU654" s="366">
        <f ca="1">IF(DT654=0,0,RANK(DT654,DT653:DT655,1))</f>
        <v>0</v>
      </c>
      <c r="DV654" s="366">
        <f ca="1">DU654*40000*IF(COUNTIF($EN$596:$EN$605,DG654)&gt;0,0,1)</f>
        <v>0</v>
      </c>
      <c r="DW654" s="424"/>
      <c r="DX654" s="424"/>
      <c r="DY654" s="424"/>
      <c r="DZ654" s="424"/>
      <c r="EA654" s="424"/>
      <c r="EB654" s="424"/>
      <c r="EC654" s="424"/>
      <c r="ED654" s="424"/>
      <c r="EE654" s="424"/>
      <c r="EF654" s="424"/>
      <c r="EG654" s="424"/>
      <c r="EH654" s="424"/>
      <c r="EI654" s="424"/>
      <c r="EJ654" s="424"/>
      <c r="EK654" s="424"/>
      <c r="EL654" s="424"/>
      <c r="EM654" s="424"/>
      <c r="EN654" s="424"/>
      <c r="EO654" s="425"/>
      <c r="EP654" s="333"/>
    </row>
    <row r="655" spans="80:146" x14ac:dyDescent="0.25">
      <c r="CB655" s="350"/>
      <c r="CC655" s="350"/>
      <c r="CD655" s="350"/>
      <c r="CE655" s="350"/>
      <c r="CF655" s="350"/>
      <c r="CG655" s="350"/>
      <c r="CR655" s="350"/>
      <c r="CS655" s="300"/>
      <c r="CT655" s="477" t="str">
        <f ca="1">IF(CN598="","",VLOOKUP(CN598,xxx.rn1,7,FALSE))</f>
        <v/>
      </c>
      <c r="CU655" s="478" t="str">
        <f ca="1">IF(OR(CT655="",DA655="",CT655=DA655,COUNTIF(games.rn,CT655&amp;DA655)=0),"",CONCATENATE(CT655,DA655))</f>
        <v/>
      </c>
      <c r="CV655" s="360" t="str">
        <f ca="1">IF(CU655="","",CONCATENATE(VLOOKUP(CU655,games.r,9,FALSE),VLOOKUP(CU655,games.r,12,FALSE)))</f>
        <v/>
      </c>
      <c r="CW655" s="354" t="str">
        <f ca="1">IF(CU655="","",VLOOKUP(CU655,games.r,10,FALSE))</f>
        <v/>
      </c>
      <c r="CX655" s="354" t="str">
        <f ca="1">IF(CU655="","",VLOOKUP(CU655,games.r,13,FALSE))</f>
        <v/>
      </c>
      <c r="CY655" s="361" t="str">
        <f ca="1">IF(CU655="","",VLOOKUP(CU655,games.r,6,FALSE))</f>
        <v/>
      </c>
      <c r="CZ655" s="362" t="str">
        <f ca="1">IF(CU655="","",VLOOKUP(CU655,games.r,7,FALSE))</f>
        <v/>
      </c>
      <c r="DA655" s="379" t="str">
        <f ca="1">DA654</f>
        <v/>
      </c>
      <c r="DB655" s="302"/>
      <c r="DC655" s="364"/>
      <c r="DD655" s="302"/>
      <c r="DF655" s="424"/>
      <c r="DG655" s="366" t="str">
        <f ca="1">IF(OR(NOT(ASZTAB!$AJ$44),CT652),CT655,"")</f>
        <v/>
      </c>
      <c r="DH655" s="365"/>
      <c r="DI655" s="366">
        <f ca="1">IF(DG655="",0,COUNTIF(xxgy.rn,DG655))</f>
        <v>0</v>
      </c>
      <c r="DJ655" s="366">
        <f ca="1">IF(DG655="",0,COUNTIF(xxd.rn,DG655))</f>
        <v>0</v>
      </c>
      <c r="DK655" s="366">
        <f ca="1">IF(DG655="",0,1)*(SUMIF(xxo.rn,DG655,xxl.rn)+SUMIF(xxi.rn,DG655,xxk.rn))</f>
        <v>0</v>
      </c>
      <c r="DL655" s="366">
        <f ca="1">IF(DG655="",0,1)*(SUMIF(xxo.rn,DG655,xxk.rn)+SUMIF(xxi.rn,DG655,xxl.rn))</f>
        <v>0</v>
      </c>
      <c r="DM655" s="366">
        <f ca="1">DK655-DL655</f>
        <v>0</v>
      </c>
      <c r="DN655" s="366">
        <f ca="1">IF(DL655=0,0,DK655/DL655)</f>
        <v>0</v>
      </c>
      <c r="DO655" s="366">
        <f ca="1">ASZTAB!$AJ$48*DI655+IF(ASZTAB!$AJ$44,0,1)*DJ655</f>
        <v>0</v>
      </c>
      <c r="DP655" s="396">
        <f ca="1">DO655*1000000+IF(ASZTAB!$AJ$44,DN655,DM655)*1000*0</f>
        <v>0</v>
      </c>
      <c r="DQ655" s="424"/>
      <c r="DR655" s="424"/>
      <c r="DS655" s="424"/>
      <c r="DT655" s="366">
        <f ca="1">IF(OR(ISERR(DP655),ISNA(DP655)),0,DP655)</f>
        <v>0</v>
      </c>
      <c r="DU655" s="366">
        <f ca="1">IF(DT655=0,0,RANK(DT655,DT653:DT655,1))</f>
        <v>0</v>
      </c>
      <c r="DV655" s="366">
        <f ca="1">DU655*40000*IF(COUNTIF($EN$596:$EN$605,DG655)&gt;0,0,1)</f>
        <v>0</v>
      </c>
      <c r="DW655" s="424"/>
      <c r="DX655" s="424"/>
      <c r="DY655" s="424"/>
      <c r="DZ655" s="424"/>
      <c r="EA655" s="424"/>
      <c r="EB655" s="424"/>
      <c r="EC655" s="424"/>
      <c r="ED655" s="424"/>
      <c r="EE655" s="424"/>
      <c r="EF655" s="424"/>
      <c r="EG655" s="424"/>
      <c r="EH655" s="424"/>
      <c r="EI655" s="424"/>
      <c r="EJ655" s="424"/>
      <c r="EK655" s="424"/>
      <c r="EL655" s="424"/>
      <c r="EM655" s="424"/>
      <c r="EN655" s="424"/>
      <c r="EO655" s="425"/>
      <c r="EP655" s="333"/>
    </row>
    <row r="656" spans="80:146" x14ac:dyDescent="0.25">
      <c r="CB656" s="350"/>
      <c r="CC656" s="350"/>
      <c r="CD656" s="350"/>
      <c r="CE656" s="350"/>
      <c r="CF656" s="350"/>
      <c r="CG656" s="350"/>
      <c r="CR656" s="445"/>
      <c r="CS656" s="300"/>
      <c r="CT656" s="522" t="str">
        <f>IF(NOT($AD$98),"",CT653)</f>
        <v/>
      </c>
      <c r="CU656" s="371" t="str">
        <f ca="1">IF(OR(CT656="",DA656="",CT656=DA656,ISNA(VLOOKUP(CONCATENATE(CT656,DA656),games.a,2,FALSE))),"",CONCATENATE(CT656,DA656))</f>
        <v/>
      </c>
      <c r="CV656" s="371" t="str">
        <f ca="1">IF(CU656="","",CONCATENATE(VLOOKUP(CU656,games.a,9,FALSE),VLOOKUP(CU656,games.a,12,FALSE)))</f>
        <v/>
      </c>
      <c r="CW656" s="369" t="str">
        <f ca="1">IF(CU656="","",VLOOKUP(CU656,games.a,10,FALSE))</f>
        <v/>
      </c>
      <c r="CX656" s="369" t="str">
        <f ca="1">IF(CU656="","",VLOOKUP(CU656,games.a,13,FALSE))</f>
        <v/>
      </c>
      <c r="CY656" s="423" t="str">
        <f ca="1">IF(CU656="","",VLOOKUP(CU656,games.a,6,FALSE))</f>
        <v/>
      </c>
      <c r="CZ656" s="409" t="str">
        <f ca="1">IF(CU656="","",VLOOKUP(CU656,games.a,7,FALSE))</f>
        <v/>
      </c>
      <c r="DA656" s="523" t="str">
        <f ca="1">DA655</f>
        <v/>
      </c>
      <c r="DB656" s="302"/>
      <c r="DC656" s="364"/>
      <c r="DD656" s="302"/>
      <c r="DF656" s="424"/>
      <c r="DG656" s="424"/>
      <c r="DH656" s="424"/>
      <c r="DI656" s="424"/>
      <c r="DJ656" s="424"/>
      <c r="DK656" s="424"/>
      <c r="DL656" s="424"/>
      <c r="DM656" s="424"/>
      <c r="DN656" s="424"/>
      <c r="DO656" s="424"/>
      <c r="DP656" s="424"/>
      <c r="DQ656" s="424"/>
      <c r="DR656" s="424"/>
      <c r="DS656" s="424"/>
      <c r="DT656" s="424"/>
      <c r="DU656" s="424"/>
      <c r="DV656" s="424"/>
      <c r="DW656" s="424"/>
      <c r="DX656" s="424"/>
      <c r="DY656" s="424"/>
      <c r="DZ656" s="424"/>
      <c r="EA656" s="424"/>
      <c r="EB656" s="424"/>
      <c r="EC656" s="424"/>
      <c r="ED656" s="424"/>
      <c r="EE656" s="424"/>
      <c r="EF656" s="424"/>
      <c r="EG656" s="424"/>
      <c r="EH656" s="424"/>
      <c r="EI656" s="424"/>
      <c r="EJ656" s="424"/>
      <c r="EK656" s="424"/>
      <c r="EL656" s="424"/>
      <c r="EM656" s="424"/>
      <c r="EN656" s="424"/>
      <c r="EO656" s="425"/>
      <c r="EP656" s="333"/>
    </row>
    <row r="657" spans="80:146" x14ac:dyDescent="0.25">
      <c r="CB657" s="350"/>
      <c r="CC657" s="350"/>
      <c r="CD657" s="350"/>
      <c r="CE657" s="350"/>
      <c r="CF657" s="350"/>
      <c r="CG657" s="350"/>
      <c r="CR657" s="445"/>
      <c r="CS657" s="300"/>
      <c r="CT657" s="522" t="str">
        <f>IF(NOT($AD$98),"",CT654)</f>
        <v/>
      </c>
      <c r="CU657" s="371" t="str">
        <f ca="1">IF(OR(CT657="",DA657="",CT657=DA657,ISNA(VLOOKUP(CONCATENATE(CT657,DA657),games.a,2,FALSE))),"",CONCATENATE(CT657,DA657))</f>
        <v/>
      </c>
      <c r="CV657" s="371" t="str">
        <f ca="1">IF(CU657="","",CONCATENATE(VLOOKUP(CU657,games.a,9,FALSE),VLOOKUP(CU657,games.a,12,FALSE)))</f>
        <v/>
      </c>
      <c r="CW657" s="369" t="str">
        <f ca="1">IF(CU657="","",VLOOKUP(CU657,games.a,10,FALSE))</f>
        <v/>
      </c>
      <c r="CX657" s="369" t="str">
        <f ca="1">IF(CU657="","",VLOOKUP(CU657,games.a,13,FALSE))</f>
        <v/>
      </c>
      <c r="CY657" s="423" t="str">
        <f ca="1">IF(CU657="","",VLOOKUP(CU657,games.a,6,FALSE))</f>
        <v/>
      </c>
      <c r="CZ657" s="409" t="str">
        <f ca="1">IF(CU657="","",VLOOKUP(CU657,games.a,7,FALSE))</f>
        <v/>
      </c>
      <c r="DA657" s="523" t="str">
        <f ca="1">DA656</f>
        <v/>
      </c>
      <c r="DB657" s="302"/>
      <c r="DC657" s="364"/>
      <c r="DD657" s="302"/>
      <c r="DF657" s="424"/>
      <c r="DG657" s="424"/>
      <c r="DH657" s="424"/>
      <c r="DI657" s="424"/>
      <c r="DJ657" s="424"/>
      <c r="DK657" s="424"/>
      <c r="DL657" s="424"/>
      <c r="DM657" s="424"/>
      <c r="DN657" s="424"/>
      <c r="DO657" s="424"/>
      <c r="DP657" s="424"/>
      <c r="DQ657" s="424"/>
      <c r="DR657" s="424"/>
      <c r="DS657" s="424"/>
      <c r="DT657" s="424"/>
      <c r="DU657" s="424"/>
      <c r="DV657" s="424"/>
      <c r="DW657" s="424"/>
      <c r="DX657" s="424"/>
      <c r="DY657" s="424"/>
      <c r="DZ657" s="424"/>
      <c r="EA657" s="424"/>
      <c r="EB657" s="424"/>
      <c r="EC657" s="424"/>
      <c r="ED657" s="424"/>
      <c r="EE657" s="424"/>
      <c r="EF657" s="424"/>
      <c r="EG657" s="424"/>
      <c r="EH657" s="424"/>
      <c r="EI657" s="424"/>
      <c r="EJ657" s="424"/>
      <c r="EK657" s="424"/>
      <c r="EL657" s="424"/>
      <c r="EM657" s="424"/>
      <c r="EN657" s="424"/>
      <c r="EO657" s="425"/>
      <c r="EP657" s="333"/>
    </row>
    <row r="658" spans="80:146" x14ac:dyDescent="0.25">
      <c r="CB658" s="350"/>
      <c r="CC658" s="350"/>
      <c r="CD658" s="350"/>
      <c r="CE658" s="350"/>
      <c r="CF658" s="350"/>
      <c r="CG658" s="350"/>
      <c r="CR658" s="445"/>
      <c r="CS658" s="300"/>
      <c r="CT658" s="522" t="str">
        <f>IF(NOT($AD$98),"",CT655)</f>
        <v/>
      </c>
      <c r="CU658" s="371" t="str">
        <f ca="1">IF(OR(CT658="",DA658="",CT658=DA658,ISNA(VLOOKUP(CONCATENATE(CT658,DA658),games.a,2,FALSE))),"",CONCATENATE(CT658,DA658))</f>
        <v/>
      </c>
      <c r="CV658" s="371" t="str">
        <f ca="1">IF(CU658="","",CONCATENATE(VLOOKUP(CU658,games.a,9,FALSE),VLOOKUP(CU658,games.a,12,FALSE)))</f>
        <v/>
      </c>
      <c r="CW658" s="369" t="str">
        <f ca="1">IF(CU658="","",VLOOKUP(CU658,games.a,10,FALSE))</f>
        <v/>
      </c>
      <c r="CX658" s="369" t="str">
        <f ca="1">IF(CU658="","",VLOOKUP(CU658,games.a,13,FALSE))</f>
        <v/>
      </c>
      <c r="CY658" s="423" t="str">
        <f ca="1">IF(CU658="","",VLOOKUP(CU658,games.a,6,FALSE))</f>
        <v/>
      </c>
      <c r="CZ658" s="409" t="str">
        <f ca="1">IF(CU658="","",VLOOKUP(CU658,games.a,7,FALSE))</f>
        <v/>
      </c>
      <c r="DA658" s="523" t="str">
        <f ca="1">DA657</f>
        <v/>
      </c>
      <c r="DB658" s="302"/>
      <c r="DC658" s="364"/>
      <c r="DD658" s="302"/>
      <c r="DF658" s="424"/>
      <c r="DG658" s="424"/>
      <c r="DH658" s="424"/>
      <c r="DI658" s="424"/>
      <c r="DJ658" s="424"/>
      <c r="DK658" s="424"/>
      <c r="DL658" s="424"/>
      <c r="DM658" s="424"/>
      <c r="DN658" s="424"/>
      <c r="DO658" s="424"/>
      <c r="DP658" s="424"/>
      <c r="DQ658" s="424"/>
      <c r="DR658" s="424"/>
      <c r="DS658" s="424"/>
      <c r="DT658" s="424"/>
      <c r="DU658" s="424"/>
      <c r="DV658" s="424"/>
      <c r="DW658" s="424"/>
      <c r="DX658" s="424"/>
      <c r="DY658" s="424"/>
      <c r="DZ658" s="424"/>
      <c r="EA658" s="424"/>
      <c r="EB658" s="424"/>
      <c r="EC658" s="424"/>
      <c r="ED658" s="424"/>
      <c r="EE658" s="424"/>
      <c r="EF658" s="424"/>
      <c r="EG658" s="424"/>
      <c r="EH658" s="424"/>
      <c r="EI658" s="424"/>
      <c r="EJ658" s="424"/>
      <c r="EK658" s="424"/>
      <c r="EL658" s="424"/>
      <c r="EM658" s="424"/>
      <c r="EN658" s="424"/>
      <c r="EO658" s="425"/>
      <c r="EP658" s="333"/>
    </row>
    <row r="659" spans="80:146" x14ac:dyDescent="0.25">
      <c r="CB659" s="350"/>
      <c r="CC659" s="350"/>
      <c r="CD659" s="350"/>
      <c r="CE659" s="350"/>
      <c r="CF659" s="350"/>
      <c r="CG659" s="350"/>
      <c r="CR659" s="445"/>
      <c r="CS659" s="300"/>
      <c r="CT659" s="301"/>
      <c r="CU659" s="471" t="s">
        <v>157</v>
      </c>
      <c r="CV659" s="471" t="s">
        <v>158</v>
      </c>
      <c r="CW659" s="472" t="s">
        <v>159</v>
      </c>
      <c r="CX659" s="472"/>
      <c r="CY659" s="473" t="s">
        <v>160</v>
      </c>
      <c r="CZ659" s="472" t="s">
        <v>135</v>
      </c>
      <c r="DA659" s="302"/>
      <c r="DB659" s="302"/>
      <c r="DC659" s="364"/>
      <c r="DD659" s="302"/>
      <c r="DF659" s="424"/>
      <c r="DG659" s="424"/>
      <c r="DH659" s="424"/>
      <c r="DI659" s="424"/>
      <c r="DJ659" s="424"/>
      <c r="DK659" s="424"/>
      <c r="DL659" s="424"/>
      <c r="DM659" s="424"/>
      <c r="DN659" s="424"/>
      <c r="DO659" s="424"/>
      <c r="DP659" s="424"/>
      <c r="DQ659" s="424"/>
      <c r="DR659" s="424"/>
      <c r="DS659" s="424"/>
      <c r="DT659" s="424"/>
      <c r="DU659" s="424"/>
      <c r="DV659" s="424"/>
      <c r="DW659" s="424"/>
      <c r="DX659" s="424"/>
      <c r="DY659" s="424"/>
      <c r="DZ659" s="424"/>
      <c r="EA659" s="424"/>
      <c r="EB659" s="424"/>
      <c r="EC659" s="424"/>
      <c r="ED659" s="424"/>
      <c r="EE659" s="424"/>
      <c r="EF659" s="424"/>
      <c r="EG659" s="424"/>
      <c r="EH659" s="424"/>
      <c r="EI659" s="424"/>
      <c r="EJ659" s="424"/>
      <c r="EK659" s="424"/>
      <c r="EL659" s="424"/>
      <c r="EM659" s="424"/>
      <c r="EN659" s="424"/>
      <c r="EO659" s="425"/>
      <c r="EP659" s="333"/>
    </row>
    <row r="660" spans="80:146" x14ac:dyDescent="0.25">
      <c r="CB660" s="350"/>
      <c r="CC660" s="350"/>
      <c r="CD660" s="350"/>
      <c r="CE660" s="350"/>
      <c r="CF660" s="350"/>
      <c r="CG660" s="350"/>
      <c r="CR660" s="445"/>
      <c r="CS660" s="300"/>
      <c r="CT660" s="395" t="str">
        <f t="shared" ref="CT660:CT665" ca="1" si="432">CT653</f>
        <v/>
      </c>
      <c r="CU660" s="478" t="str">
        <f ca="1">IF(OR(CT660="",DA660="",CT660=DA660,COUNTIF(games.rn,CT660&amp;DA660)=0),"",CONCATENATE(CT660,DA660))</f>
        <v/>
      </c>
      <c r="CV660" s="360" t="str">
        <f ca="1">IF(CU660="","",CONCATENATE(VLOOKUP(CU660,games.r,9,FALSE),VLOOKUP(CU660,games.r,12,FALSE)))</f>
        <v/>
      </c>
      <c r="CW660" s="354" t="str">
        <f ca="1">IF(CU660="","",VLOOKUP(CU660,games.r,10,FALSE))</f>
        <v/>
      </c>
      <c r="CX660" s="354" t="str">
        <f ca="1">IF(CU660="","",VLOOKUP(CU660,games.r,13,FALSE))</f>
        <v/>
      </c>
      <c r="CY660" s="361" t="str">
        <f ca="1">IF(CU660="","",VLOOKUP(CU660,games.r,6,FALSE))</f>
        <v/>
      </c>
      <c r="CZ660" s="362" t="str">
        <f ca="1">IF(CU660="","",VLOOKUP(CU660,games.r,7,FALSE))</f>
        <v/>
      </c>
      <c r="DA660" s="479" t="str">
        <f ca="1">CT654</f>
        <v/>
      </c>
      <c r="DB660" s="302"/>
      <c r="DC660" s="364"/>
      <c r="DD660" s="302"/>
      <c r="DF660" s="424"/>
      <c r="DG660" s="424"/>
      <c r="DH660" s="424"/>
      <c r="DI660" s="424"/>
      <c r="DJ660" s="424"/>
      <c r="DK660" s="424"/>
      <c r="DL660" s="424"/>
      <c r="DM660" s="424"/>
      <c r="DN660" s="424"/>
      <c r="DO660" s="424"/>
      <c r="DP660" s="424"/>
      <c r="DQ660" s="424"/>
      <c r="DR660" s="424"/>
      <c r="DS660" s="424"/>
      <c r="DT660" s="424"/>
      <c r="DU660" s="424"/>
      <c r="DV660" s="424"/>
      <c r="DW660" s="424"/>
      <c r="DX660" s="424"/>
      <c r="DY660" s="424"/>
      <c r="DZ660" s="424"/>
      <c r="EA660" s="424"/>
      <c r="EB660" s="424"/>
      <c r="EC660" s="424"/>
      <c r="ED660" s="424"/>
      <c r="EE660" s="424"/>
      <c r="EF660" s="424"/>
      <c r="EG660" s="424"/>
      <c r="EH660" s="424"/>
      <c r="EI660" s="424"/>
      <c r="EJ660" s="424"/>
      <c r="EK660" s="424"/>
      <c r="EL660" s="424"/>
      <c r="EM660" s="424"/>
      <c r="EN660" s="424"/>
      <c r="EO660" s="425"/>
      <c r="EP660" s="333"/>
    </row>
    <row r="661" spans="80:146" x14ac:dyDescent="0.25">
      <c r="CB661" s="350"/>
      <c r="CC661" s="350"/>
      <c r="CD661" s="350"/>
      <c r="CE661" s="350"/>
      <c r="CF661" s="350"/>
      <c r="CG661" s="350"/>
      <c r="CR661" s="445"/>
      <c r="CS661" s="300"/>
      <c r="CT661" s="395" t="str">
        <f t="shared" ca="1" si="432"/>
        <v/>
      </c>
      <c r="CU661" s="478" t="str">
        <f ca="1">IF(OR(CT661="",DA661="",CT661=DA661,COUNTIF(games.rn,CT661&amp;DA661)=0),"",CONCATENATE(CT661,DA661))</f>
        <v/>
      </c>
      <c r="CV661" s="360" t="str">
        <f ca="1">IF(CU661="","",CONCATENATE(VLOOKUP(CU661,games.r,9,FALSE),VLOOKUP(CU661,games.r,12,FALSE)))</f>
        <v/>
      </c>
      <c r="CW661" s="354" t="str">
        <f ca="1">IF(CU661="","",VLOOKUP(CU661,games.r,10,FALSE))</f>
        <v/>
      </c>
      <c r="CX661" s="354" t="str">
        <f ca="1">IF(CU661="","",VLOOKUP(CU661,games.r,13,FALSE))</f>
        <v/>
      </c>
      <c r="CY661" s="361" t="str">
        <f ca="1">IF(CU661="","",VLOOKUP(CU661,games.r,6,FALSE))</f>
        <v/>
      </c>
      <c r="CZ661" s="362" t="str">
        <f ca="1">IF(CU661="","",VLOOKUP(CU661,games.r,7,FALSE))</f>
        <v/>
      </c>
      <c r="DA661" s="379" t="str">
        <f ca="1">DA660</f>
        <v/>
      </c>
      <c r="DB661" s="302"/>
      <c r="DC661" s="364"/>
      <c r="DD661" s="302"/>
      <c r="DF661" s="424"/>
      <c r="DG661" s="424"/>
      <c r="DH661" s="424"/>
      <c r="DI661" s="424"/>
      <c r="DJ661" s="424"/>
      <c r="DK661" s="424"/>
      <c r="DL661" s="424"/>
      <c r="DM661" s="424"/>
      <c r="DN661" s="424"/>
      <c r="DO661" s="424"/>
      <c r="DP661" s="424"/>
      <c r="DQ661" s="424"/>
      <c r="DR661" s="424"/>
      <c r="DS661" s="424"/>
      <c r="DT661" s="424"/>
      <c r="DU661" s="424"/>
      <c r="DV661" s="424"/>
      <c r="DW661" s="424"/>
      <c r="DX661" s="424"/>
      <c r="DY661" s="424"/>
      <c r="DZ661" s="424"/>
      <c r="EA661" s="424"/>
      <c r="EB661" s="424"/>
      <c r="EC661" s="424"/>
      <c r="ED661" s="424"/>
      <c r="EE661" s="424"/>
      <c r="EF661" s="424"/>
      <c r="EG661" s="424"/>
      <c r="EH661" s="424"/>
      <c r="EI661" s="424"/>
      <c r="EJ661" s="424"/>
      <c r="EK661" s="424"/>
      <c r="EL661" s="424"/>
      <c r="EM661" s="424"/>
      <c r="EN661" s="424"/>
      <c r="EO661" s="425"/>
      <c r="EP661" s="333"/>
    </row>
    <row r="662" spans="80:146" x14ac:dyDescent="0.25">
      <c r="CB662" s="350"/>
      <c r="CC662" s="350"/>
      <c r="CD662" s="350"/>
      <c r="CE662" s="350"/>
      <c r="CF662" s="350"/>
      <c r="CG662" s="350"/>
      <c r="CR662" s="445"/>
      <c r="CS662" s="300"/>
      <c r="CT662" s="395" t="str">
        <f t="shared" ca="1" si="432"/>
        <v/>
      </c>
      <c r="CU662" s="478" t="str">
        <f ca="1">IF(OR(CT662="",DA662="",CT662=DA662,COUNTIF(games.rn,CT662&amp;DA662)=0),"",CONCATENATE(CT662,DA662))</f>
        <v/>
      </c>
      <c r="CV662" s="360" t="str">
        <f ca="1">IF(CU662="","",CONCATENATE(VLOOKUP(CU662,games.r,9,FALSE),VLOOKUP(CU662,games.r,12,FALSE)))</f>
        <v/>
      </c>
      <c r="CW662" s="354" t="str">
        <f ca="1">IF(CU662="","",VLOOKUP(CU662,games.r,10,FALSE))</f>
        <v/>
      </c>
      <c r="CX662" s="354" t="str">
        <f ca="1">IF(CU662="","",VLOOKUP(CU662,games.r,13,FALSE))</f>
        <v/>
      </c>
      <c r="CY662" s="361" t="str">
        <f ca="1">IF(CU662="","",VLOOKUP(CU662,games.r,6,FALSE))</f>
        <v/>
      </c>
      <c r="CZ662" s="362" t="str">
        <f ca="1">IF(CU662="","",VLOOKUP(CU662,games.r,7,FALSE))</f>
        <v/>
      </c>
      <c r="DA662" s="379" t="str">
        <f ca="1">DA661</f>
        <v/>
      </c>
      <c r="DB662" s="302"/>
      <c r="DC662" s="364"/>
      <c r="DD662" s="302"/>
      <c r="DF662" s="424"/>
      <c r="DG662" s="424"/>
      <c r="DH662" s="424"/>
      <c r="DI662" s="424"/>
      <c r="DJ662" s="424"/>
      <c r="DK662" s="424"/>
      <c r="DL662" s="424"/>
      <c r="DM662" s="424"/>
      <c r="DN662" s="424"/>
      <c r="DO662" s="424"/>
      <c r="DP662" s="424"/>
      <c r="DQ662" s="424"/>
      <c r="DR662" s="424"/>
      <c r="DS662" s="424"/>
      <c r="DT662" s="424"/>
      <c r="DU662" s="424"/>
      <c r="DV662" s="424"/>
      <c r="DW662" s="424"/>
      <c r="DX662" s="424"/>
      <c r="DY662" s="424"/>
      <c r="DZ662" s="424"/>
      <c r="EA662" s="424"/>
      <c r="EB662" s="424"/>
      <c r="EC662" s="424"/>
      <c r="ED662" s="424"/>
      <c r="EE662" s="424"/>
      <c r="EF662" s="424"/>
      <c r="EG662" s="424"/>
      <c r="EH662" s="424"/>
      <c r="EI662" s="424"/>
      <c r="EJ662" s="424"/>
      <c r="EK662" s="424"/>
      <c r="EL662" s="424"/>
      <c r="EM662" s="424"/>
      <c r="EN662" s="424"/>
      <c r="EO662" s="425"/>
      <c r="EP662" s="333"/>
    </row>
    <row r="663" spans="80:146" x14ac:dyDescent="0.25">
      <c r="CB663" s="350"/>
      <c r="CC663" s="350"/>
      <c r="CD663" s="350"/>
      <c r="CE663" s="350"/>
      <c r="CF663" s="350"/>
      <c r="CG663" s="350"/>
      <c r="CR663" s="445"/>
      <c r="CS663" s="300"/>
      <c r="CT663" s="533" t="str">
        <f t="shared" si="432"/>
        <v/>
      </c>
      <c r="CU663" s="371" t="str">
        <f ca="1">IF(OR(CT663="",DA663="",CT663=DA663,ISNA(VLOOKUP(CONCATENATE(CT663,DA663),games.a,2,FALSE))),"",CONCATENATE(CT663,DA663))</f>
        <v/>
      </c>
      <c r="CV663" s="371" t="str">
        <f ca="1">IF(CU663="","",CONCATENATE(VLOOKUP(CU663,games.a,9,FALSE),VLOOKUP(CU663,games.a,12,FALSE)))</f>
        <v/>
      </c>
      <c r="CW663" s="369" t="str">
        <f ca="1">IF(CU663="","",VLOOKUP(CU663,games.a,10,FALSE))</f>
        <v/>
      </c>
      <c r="CX663" s="369" t="str">
        <f ca="1">IF(CU663="","",VLOOKUP(CU663,games.a,13,FALSE))</f>
        <v/>
      </c>
      <c r="CY663" s="423" t="str">
        <f ca="1">IF(CU663="","",VLOOKUP(CU663,games.a,6,FALSE))</f>
        <v/>
      </c>
      <c r="CZ663" s="409" t="str">
        <f ca="1">IF(CU663="","",VLOOKUP(CU663,games.a,7,FALSE))</f>
        <v/>
      </c>
      <c r="DA663" s="523" t="str">
        <f ca="1">DA662</f>
        <v/>
      </c>
      <c r="DB663" s="302"/>
      <c r="DC663" s="364"/>
      <c r="DD663" s="302"/>
      <c r="DF663" s="424"/>
      <c r="DG663" s="424"/>
      <c r="DH663" s="424"/>
      <c r="DI663" s="424"/>
      <c r="DJ663" s="424"/>
      <c r="DK663" s="424"/>
      <c r="DL663" s="424"/>
      <c r="DM663" s="424"/>
      <c r="DN663" s="424"/>
      <c r="DO663" s="424"/>
      <c r="DP663" s="424"/>
      <c r="DQ663" s="424"/>
      <c r="DR663" s="424"/>
      <c r="DS663" s="424"/>
      <c r="DT663" s="424"/>
      <c r="DU663" s="424"/>
      <c r="DV663" s="424"/>
      <c r="DW663" s="424"/>
      <c r="DX663" s="424"/>
      <c r="DY663" s="424"/>
      <c r="DZ663" s="424"/>
      <c r="EA663" s="424"/>
      <c r="EB663" s="424"/>
      <c r="EC663" s="424"/>
      <c r="ED663" s="424"/>
      <c r="EE663" s="424"/>
      <c r="EF663" s="424"/>
      <c r="EG663" s="424"/>
      <c r="EH663" s="424"/>
      <c r="EI663" s="424"/>
      <c r="EJ663" s="424"/>
      <c r="EK663" s="424"/>
      <c r="EL663" s="424"/>
      <c r="EM663" s="424"/>
      <c r="EN663" s="424"/>
      <c r="EO663" s="425"/>
      <c r="EP663" s="333"/>
    </row>
    <row r="664" spans="80:146" x14ac:dyDescent="0.25">
      <c r="CB664" s="350"/>
      <c r="CC664" s="350"/>
      <c r="CD664" s="350"/>
      <c r="CE664" s="350"/>
      <c r="CF664" s="350"/>
      <c r="CG664" s="350"/>
      <c r="CR664" s="445"/>
      <c r="CS664" s="300"/>
      <c r="CT664" s="533" t="str">
        <f t="shared" si="432"/>
        <v/>
      </c>
      <c r="CU664" s="371" t="str">
        <f ca="1">IF(OR(CT664="",DA664="",CT664=DA664,ISNA(VLOOKUP(CONCATENATE(CT664,DA664),games.a,2,FALSE))),"",CONCATENATE(CT664,DA664))</f>
        <v/>
      </c>
      <c r="CV664" s="371" t="str">
        <f ca="1">IF(CU664="","",CONCATENATE(VLOOKUP(CU664,games.a,9,FALSE),VLOOKUP(CU664,games.a,12,FALSE)))</f>
        <v/>
      </c>
      <c r="CW664" s="369" t="str">
        <f ca="1">IF(CU664="","",VLOOKUP(CU664,games.a,10,FALSE))</f>
        <v/>
      </c>
      <c r="CX664" s="369" t="str">
        <f ca="1">IF(CU664="","",VLOOKUP(CU664,games.a,13,FALSE))</f>
        <v/>
      </c>
      <c r="CY664" s="423" t="str">
        <f ca="1">IF(CU664="","",VLOOKUP(CU664,games.a,6,FALSE))</f>
        <v/>
      </c>
      <c r="CZ664" s="409" t="str">
        <f ca="1">IF(CU664="","",VLOOKUP(CU664,games.a,7,FALSE))</f>
        <v/>
      </c>
      <c r="DA664" s="523" t="str">
        <f ca="1">DA663</f>
        <v/>
      </c>
      <c r="DB664" s="302"/>
      <c r="DC664" s="364"/>
      <c r="DD664" s="302"/>
      <c r="DF664" s="424"/>
      <c r="DG664" s="424"/>
      <c r="DH664" s="424"/>
      <c r="DI664" s="424"/>
      <c r="DJ664" s="424"/>
      <c r="DK664" s="424"/>
      <c r="DL664" s="424"/>
      <c r="DM664" s="424"/>
      <c r="DN664" s="424"/>
      <c r="DO664" s="424"/>
      <c r="DP664" s="424"/>
      <c r="DQ664" s="424"/>
      <c r="DR664" s="424"/>
      <c r="DS664" s="424"/>
      <c r="DT664" s="424"/>
      <c r="DU664" s="424"/>
      <c r="DV664" s="424"/>
      <c r="DW664" s="424"/>
      <c r="DX664" s="424"/>
      <c r="DY664" s="424"/>
      <c r="DZ664" s="424"/>
      <c r="EA664" s="424"/>
      <c r="EB664" s="424"/>
      <c r="EC664" s="424"/>
      <c r="ED664" s="424"/>
      <c r="EE664" s="424"/>
      <c r="EF664" s="424"/>
      <c r="EG664" s="424"/>
      <c r="EH664" s="424"/>
      <c r="EI664" s="424"/>
      <c r="EJ664" s="424"/>
      <c r="EK664" s="424"/>
      <c r="EL664" s="424"/>
      <c r="EM664" s="424"/>
      <c r="EN664" s="424"/>
      <c r="EO664" s="425"/>
      <c r="EP664" s="333"/>
    </row>
    <row r="665" spans="80:146" x14ac:dyDescent="0.25">
      <c r="CB665" s="350"/>
      <c r="CC665" s="350"/>
      <c r="CD665" s="350"/>
      <c r="CE665" s="350"/>
      <c r="CF665" s="350"/>
      <c r="CG665" s="350"/>
      <c r="CR665" s="445"/>
      <c r="CS665" s="300"/>
      <c r="CT665" s="533" t="str">
        <f t="shared" si="432"/>
        <v/>
      </c>
      <c r="CU665" s="371" t="str">
        <f ca="1">IF(OR(CT665="",DA665="",CT665=DA665,ISNA(VLOOKUP(CONCATENATE(CT665,DA665),games.a,2,FALSE))),"",CONCATENATE(CT665,DA665))</f>
        <v/>
      </c>
      <c r="CV665" s="371" t="str">
        <f ca="1">IF(CU665="","",CONCATENATE(VLOOKUP(CU665,games.a,9,FALSE),VLOOKUP(CU665,games.a,12,FALSE)))</f>
        <v/>
      </c>
      <c r="CW665" s="369" t="str">
        <f ca="1">IF(CU665="","",VLOOKUP(CU665,games.a,10,FALSE))</f>
        <v/>
      </c>
      <c r="CX665" s="369" t="str">
        <f ca="1">IF(CU665="","",VLOOKUP(CU665,games.a,13,FALSE))</f>
        <v/>
      </c>
      <c r="CY665" s="423" t="str">
        <f ca="1">IF(CU665="","",VLOOKUP(CU665,games.a,6,FALSE))</f>
        <v/>
      </c>
      <c r="CZ665" s="409" t="str">
        <f ca="1">IF(CU665="","",VLOOKUP(CU665,games.a,7,FALSE))</f>
        <v/>
      </c>
      <c r="DA665" s="523" t="str">
        <f ca="1">DA664</f>
        <v/>
      </c>
      <c r="DB665" s="302"/>
      <c r="DC665" s="364"/>
      <c r="DD665" s="302"/>
      <c r="DF665" s="424"/>
      <c r="DG665" s="424"/>
      <c r="DH665" s="424"/>
      <c r="DI665" s="424"/>
      <c r="DJ665" s="424"/>
      <c r="DK665" s="424"/>
      <c r="DL665" s="424"/>
      <c r="DM665" s="424"/>
      <c r="DN665" s="424"/>
      <c r="DO665" s="424"/>
      <c r="DP665" s="424"/>
      <c r="DQ665" s="424"/>
      <c r="DR665" s="424"/>
      <c r="DS665" s="424"/>
      <c r="DT665" s="424"/>
      <c r="DU665" s="424"/>
      <c r="DV665" s="424"/>
      <c r="DW665" s="424"/>
      <c r="DX665" s="424"/>
      <c r="DY665" s="424"/>
      <c r="DZ665" s="424"/>
      <c r="EA665" s="424"/>
      <c r="EB665" s="424"/>
      <c r="EC665" s="424"/>
      <c r="ED665" s="424"/>
      <c r="EE665" s="424"/>
      <c r="EF665" s="424"/>
      <c r="EG665" s="424"/>
      <c r="EH665" s="424"/>
      <c r="EI665" s="424"/>
      <c r="EJ665" s="424"/>
      <c r="EK665" s="424"/>
      <c r="EL665" s="424"/>
      <c r="EM665" s="424"/>
      <c r="EN665" s="424"/>
      <c r="EO665" s="425"/>
      <c r="EP665" s="437"/>
    </row>
    <row r="666" spans="80:146" x14ac:dyDescent="0.25">
      <c r="CB666" s="350"/>
      <c r="CC666" s="350"/>
      <c r="CD666" s="350"/>
      <c r="CE666" s="350"/>
      <c r="CF666" s="350"/>
      <c r="CG666" s="350"/>
      <c r="CR666" s="445"/>
      <c r="CS666" s="300"/>
      <c r="CT666" s="301"/>
      <c r="CU666" s="471" t="s">
        <v>157</v>
      </c>
      <c r="CV666" s="471" t="s">
        <v>158</v>
      </c>
      <c r="CW666" s="472" t="s">
        <v>159</v>
      </c>
      <c r="CX666" s="472"/>
      <c r="CY666" s="473" t="s">
        <v>160</v>
      </c>
      <c r="CZ666" s="472" t="s">
        <v>135</v>
      </c>
      <c r="DA666" s="302"/>
      <c r="DB666" s="302"/>
      <c r="DC666" s="364"/>
      <c r="DD666" s="302"/>
      <c r="DF666" s="424"/>
      <c r="DG666" s="424"/>
      <c r="DH666" s="424"/>
      <c r="DI666" s="424"/>
      <c r="DJ666" s="424"/>
      <c r="DK666" s="424"/>
      <c r="DL666" s="424"/>
      <c r="DM666" s="424"/>
      <c r="DN666" s="424"/>
      <c r="DO666" s="424"/>
      <c r="DP666" s="424"/>
      <c r="DQ666" s="424"/>
      <c r="DR666" s="424"/>
      <c r="DS666" s="424"/>
      <c r="DT666" s="424"/>
      <c r="DU666" s="424"/>
      <c r="DV666" s="424"/>
      <c r="DW666" s="424"/>
      <c r="DX666" s="424"/>
      <c r="DY666" s="424"/>
      <c r="DZ666" s="424"/>
      <c r="EA666" s="424"/>
      <c r="EB666" s="424"/>
      <c r="EC666" s="424"/>
      <c r="ED666" s="424"/>
      <c r="EE666" s="424"/>
      <c r="EF666" s="424"/>
      <c r="EG666" s="424"/>
      <c r="EH666" s="424"/>
      <c r="EI666" s="424"/>
      <c r="EJ666" s="424"/>
      <c r="EK666" s="424"/>
      <c r="EL666" s="424"/>
      <c r="EM666" s="424"/>
      <c r="EN666" s="424"/>
      <c r="EO666" s="425"/>
      <c r="EP666" s="437"/>
    </row>
    <row r="667" spans="80:146" x14ac:dyDescent="0.25">
      <c r="CB667" s="350"/>
      <c r="CC667" s="350"/>
      <c r="CD667" s="350"/>
      <c r="CE667" s="350"/>
      <c r="CF667" s="350"/>
      <c r="CG667" s="350"/>
      <c r="CR667" s="445"/>
      <c r="CS667" s="300"/>
      <c r="CT667" s="395" t="str">
        <f t="shared" ref="CT667:CT672" ca="1" si="433">CT660</f>
        <v/>
      </c>
      <c r="CU667" s="478" t="str">
        <f ca="1">IF(OR(CT667="",DA667="",CT667=DA667,COUNTIF(games.rn,CT667&amp;DA667)=0),"",CONCATENATE(CT667,DA667))</f>
        <v/>
      </c>
      <c r="CV667" s="360" t="str">
        <f ca="1">IF(CU667="","",CONCATENATE(VLOOKUP(CU667,games.r,9,FALSE),VLOOKUP(CU667,games.r,12,FALSE)))</f>
        <v/>
      </c>
      <c r="CW667" s="354" t="str">
        <f ca="1">IF(CU667="","",VLOOKUP(CU667,games.r,10,FALSE))</f>
        <v/>
      </c>
      <c r="CX667" s="354" t="str">
        <f ca="1">IF(CU667="","",VLOOKUP(CU667,games.r,13,FALSE))</f>
        <v/>
      </c>
      <c r="CY667" s="361" t="str">
        <f ca="1">IF(CU667="","",VLOOKUP(CU667,games.r,6,FALSE))</f>
        <v/>
      </c>
      <c r="CZ667" s="362" t="str">
        <f ca="1">IF(CU667="","",VLOOKUP(CU667,games.r,7,FALSE))</f>
        <v/>
      </c>
      <c r="DA667" s="479" t="str">
        <f ca="1">CT655</f>
        <v/>
      </c>
      <c r="DB667" s="302"/>
      <c r="DC667" s="364"/>
      <c r="DD667" s="302"/>
      <c r="DF667" s="424"/>
      <c r="DG667" s="424"/>
      <c r="DH667" s="424"/>
      <c r="DI667" s="424"/>
      <c r="DJ667" s="424"/>
      <c r="DK667" s="424"/>
      <c r="DL667" s="424"/>
      <c r="DM667" s="424"/>
      <c r="DN667" s="424"/>
      <c r="DO667" s="424"/>
      <c r="DP667" s="424"/>
      <c r="DQ667" s="424"/>
      <c r="DR667" s="424"/>
      <c r="DS667" s="424"/>
      <c r="DT667" s="424"/>
      <c r="DU667" s="424"/>
      <c r="DV667" s="424"/>
      <c r="DW667" s="424"/>
      <c r="DX667" s="424"/>
      <c r="DY667" s="424"/>
      <c r="DZ667" s="424"/>
      <c r="EA667" s="424"/>
      <c r="EB667" s="424"/>
      <c r="EC667" s="424"/>
      <c r="ED667" s="424"/>
      <c r="EE667" s="424"/>
      <c r="EF667" s="424"/>
      <c r="EG667" s="424"/>
      <c r="EH667" s="424"/>
      <c r="EI667" s="424"/>
      <c r="EJ667" s="424"/>
      <c r="EK667" s="424"/>
      <c r="EL667" s="424"/>
      <c r="EM667" s="424"/>
      <c r="EN667" s="424"/>
      <c r="EO667" s="425"/>
      <c r="EP667" s="437"/>
    </row>
    <row r="668" spans="80:146" x14ac:dyDescent="0.25">
      <c r="CB668" s="350"/>
      <c r="CC668" s="350"/>
      <c r="CD668" s="350"/>
      <c r="CE668" s="350"/>
      <c r="CF668" s="350"/>
      <c r="CG668" s="350"/>
      <c r="CR668" s="445"/>
      <c r="CS668" s="300"/>
      <c r="CT668" s="395" t="str">
        <f t="shared" ca="1" si="433"/>
        <v/>
      </c>
      <c r="CU668" s="478" t="str">
        <f ca="1">IF(OR(CT668="",DA668="",CT668=DA668,COUNTIF(games.rn,CT668&amp;DA668)=0),"",CONCATENATE(CT668,DA668))</f>
        <v/>
      </c>
      <c r="CV668" s="360" t="str">
        <f ca="1">IF(CU668="","",CONCATENATE(VLOOKUP(CU668,games.r,9,FALSE),VLOOKUP(CU668,games.r,12,FALSE)))</f>
        <v/>
      </c>
      <c r="CW668" s="354" t="str">
        <f ca="1">IF(CU668="","",VLOOKUP(CU668,games.r,10,FALSE))</f>
        <v/>
      </c>
      <c r="CX668" s="354" t="str">
        <f ca="1">IF(CU668="","",VLOOKUP(CU668,games.r,13,FALSE))</f>
        <v/>
      </c>
      <c r="CY668" s="361" t="str">
        <f ca="1">IF(CU668="","",VLOOKUP(CU668,games.r,6,FALSE))</f>
        <v/>
      </c>
      <c r="CZ668" s="362" t="str">
        <f ca="1">IF(CU668="","",VLOOKUP(CU668,games.r,7,FALSE))</f>
        <v/>
      </c>
      <c r="DA668" s="379" t="str">
        <f ca="1">DA667</f>
        <v/>
      </c>
      <c r="DB668" s="302"/>
      <c r="DC668" s="364"/>
      <c r="DD668" s="302"/>
      <c r="DF668" s="424"/>
      <c r="DG668" s="424"/>
      <c r="DH668" s="424"/>
      <c r="DI668" s="424"/>
      <c r="DJ668" s="424"/>
      <c r="DK668" s="424"/>
      <c r="DL668" s="424"/>
      <c r="DM668" s="424"/>
      <c r="DN668" s="424"/>
      <c r="DO668" s="424"/>
      <c r="DP668" s="424"/>
      <c r="DQ668" s="424"/>
      <c r="DR668" s="424"/>
      <c r="DS668" s="424"/>
      <c r="DT668" s="424"/>
      <c r="DU668" s="424"/>
      <c r="DV668" s="424"/>
      <c r="DW668" s="424"/>
      <c r="DX668" s="424"/>
      <c r="DY668" s="424"/>
      <c r="DZ668" s="424"/>
      <c r="EA668" s="424"/>
      <c r="EB668" s="424"/>
      <c r="EC668" s="424"/>
      <c r="ED668" s="424"/>
      <c r="EE668" s="424"/>
      <c r="EF668" s="424"/>
      <c r="EG668" s="424"/>
      <c r="EH668" s="424"/>
      <c r="EI668" s="424"/>
      <c r="EJ668" s="424"/>
      <c r="EK668" s="424"/>
      <c r="EL668" s="424"/>
      <c r="EM668" s="424"/>
      <c r="EN668" s="424"/>
      <c r="EO668" s="425"/>
      <c r="EP668" s="437"/>
    </row>
    <row r="669" spans="80:146" x14ac:dyDescent="0.25">
      <c r="CB669" s="350"/>
      <c r="CC669" s="350"/>
      <c r="CD669" s="350"/>
      <c r="CE669" s="350"/>
      <c r="CF669" s="350"/>
      <c r="CG669" s="350"/>
      <c r="CR669" s="445"/>
      <c r="CS669" s="300"/>
      <c r="CT669" s="395" t="str">
        <f t="shared" ca="1" si="433"/>
        <v/>
      </c>
      <c r="CU669" s="478" t="str">
        <f ca="1">IF(OR(CT669="",DA669="",CT669=DA669,COUNTIF(games.rn,CT669&amp;DA669)=0),"",CONCATENATE(CT669,DA669))</f>
        <v/>
      </c>
      <c r="CV669" s="360" t="str">
        <f ca="1">IF(CU669="","",CONCATENATE(VLOOKUP(CU669,games.r,9,FALSE),VLOOKUP(CU669,games.r,12,FALSE)))</f>
        <v/>
      </c>
      <c r="CW669" s="354" t="str">
        <f ca="1">IF(CU669="","",VLOOKUP(CU669,games.r,10,FALSE))</f>
        <v/>
      </c>
      <c r="CX669" s="354" t="str">
        <f ca="1">IF(CU669="","",VLOOKUP(CU669,games.r,13,FALSE))</f>
        <v/>
      </c>
      <c r="CY669" s="361" t="str">
        <f ca="1">IF(CU669="","",VLOOKUP(CU669,games.r,6,FALSE))</f>
        <v/>
      </c>
      <c r="CZ669" s="362" t="str">
        <f ca="1">IF(CU669="","",VLOOKUP(CU669,games.r,7,FALSE))</f>
        <v/>
      </c>
      <c r="DA669" s="379" t="str">
        <f ca="1">DA668</f>
        <v/>
      </c>
      <c r="DB669" s="302"/>
      <c r="DC669" s="364"/>
      <c r="DD669" s="302"/>
      <c r="DF669" s="424"/>
      <c r="DG669" s="424"/>
      <c r="DH669" s="424"/>
      <c r="DI669" s="424"/>
      <c r="DJ669" s="424"/>
      <c r="DK669" s="424"/>
      <c r="DL669" s="424"/>
      <c r="DM669" s="424"/>
      <c r="DN669" s="424"/>
      <c r="DO669" s="424"/>
      <c r="DP669" s="424"/>
      <c r="DQ669" s="424"/>
      <c r="DR669" s="424"/>
      <c r="DS669" s="424"/>
      <c r="DT669" s="424"/>
      <c r="DU669" s="424"/>
      <c r="DV669" s="424"/>
      <c r="DW669" s="424"/>
      <c r="DX669" s="424"/>
      <c r="DY669" s="424"/>
      <c r="DZ669" s="424"/>
      <c r="EA669" s="424"/>
      <c r="EB669" s="424"/>
      <c r="EC669" s="424"/>
      <c r="ED669" s="424"/>
      <c r="EE669" s="424"/>
      <c r="EF669" s="424"/>
      <c r="EG669" s="424"/>
      <c r="EH669" s="424"/>
      <c r="EI669" s="424"/>
      <c r="EJ669" s="424"/>
      <c r="EK669" s="424"/>
      <c r="EL669" s="424"/>
      <c r="EM669" s="424"/>
      <c r="EN669" s="424"/>
      <c r="EO669" s="425"/>
      <c r="EP669" s="333"/>
    </row>
    <row r="670" spans="80:146" x14ac:dyDescent="0.25">
      <c r="CB670" s="350"/>
      <c r="CC670" s="350"/>
      <c r="CD670" s="350"/>
      <c r="CE670" s="350"/>
      <c r="CF670" s="350"/>
      <c r="CG670" s="350"/>
      <c r="CR670" s="445"/>
      <c r="CS670" s="300"/>
      <c r="CT670" s="533" t="str">
        <f t="shared" si="433"/>
        <v/>
      </c>
      <c r="CU670" s="371" t="str">
        <f ca="1">IF(OR(CT670="",DA670="",CT670=DA670,ISNA(VLOOKUP(CONCATENATE(CT670,DA670),games.a,2,FALSE))),"",CONCATENATE(CT670,DA670))</f>
        <v/>
      </c>
      <c r="CV670" s="371" t="str">
        <f ca="1">IF(CU670="","",CONCATENATE(VLOOKUP(CU670,games.a,9,FALSE),VLOOKUP(CU670,games.a,12,FALSE)))</f>
        <v/>
      </c>
      <c r="CW670" s="369" t="str">
        <f ca="1">IF(CU670="","",VLOOKUP(CU670,games.a,10,FALSE))</f>
        <v/>
      </c>
      <c r="CX670" s="369" t="str">
        <f ca="1">IF(CU670="","",VLOOKUP(CU670,games.a,13,FALSE))</f>
        <v/>
      </c>
      <c r="CY670" s="423" t="str">
        <f ca="1">IF(CU670="","",VLOOKUP(CU670,games.a,6,FALSE))</f>
        <v/>
      </c>
      <c r="CZ670" s="409" t="str">
        <f ca="1">IF(CU670="","",VLOOKUP(CU670,games.a,7,FALSE))</f>
        <v/>
      </c>
      <c r="DA670" s="523" t="str">
        <f ca="1">DA669</f>
        <v/>
      </c>
      <c r="DB670" s="302"/>
      <c r="DC670" s="364"/>
      <c r="DD670" s="302"/>
      <c r="DF670" s="424"/>
      <c r="DG670" s="424"/>
      <c r="DH670" s="424"/>
      <c r="DI670" s="424"/>
      <c r="DJ670" s="424"/>
      <c r="DK670" s="424"/>
      <c r="DL670" s="424"/>
      <c r="DM670" s="424"/>
      <c r="DN670" s="424"/>
      <c r="DO670" s="424"/>
      <c r="DP670" s="424"/>
      <c r="DQ670" s="424"/>
      <c r="DR670" s="424"/>
      <c r="DS670" s="424"/>
      <c r="DT670" s="424"/>
      <c r="DU670" s="424"/>
      <c r="DV670" s="424"/>
      <c r="DW670" s="424"/>
      <c r="DX670" s="424"/>
      <c r="DY670" s="424"/>
      <c r="DZ670" s="424"/>
      <c r="EA670" s="424"/>
      <c r="EB670" s="424"/>
      <c r="EC670" s="424"/>
      <c r="ED670" s="424"/>
      <c r="EE670" s="424"/>
      <c r="EF670" s="424"/>
      <c r="EG670" s="424"/>
      <c r="EH670" s="424"/>
      <c r="EI670" s="424"/>
      <c r="EJ670" s="424"/>
      <c r="EK670" s="424"/>
      <c r="EL670" s="424"/>
      <c r="EM670" s="424"/>
      <c r="EN670" s="424"/>
      <c r="EO670" s="425"/>
      <c r="EP670" s="333"/>
    </row>
    <row r="671" spans="80:146" x14ac:dyDescent="0.25">
      <c r="CB671" s="350"/>
      <c r="CC671" s="350"/>
      <c r="CD671" s="350"/>
      <c r="CE671" s="350"/>
      <c r="CF671" s="350"/>
      <c r="CG671" s="350"/>
      <c r="CR671" s="445"/>
      <c r="CS671" s="300"/>
      <c r="CT671" s="533" t="str">
        <f t="shared" si="433"/>
        <v/>
      </c>
      <c r="CU671" s="371" t="str">
        <f ca="1">IF(OR(CT671="",DA671="",CT671=DA671,ISNA(VLOOKUP(CONCATENATE(CT671,DA671),games.a,2,FALSE))),"",CONCATENATE(CT671,DA671))</f>
        <v/>
      </c>
      <c r="CV671" s="371" t="str">
        <f ca="1">IF(CU671="","",CONCATENATE(VLOOKUP(CU671,games.a,9,FALSE),VLOOKUP(CU671,games.a,12,FALSE)))</f>
        <v/>
      </c>
      <c r="CW671" s="369" t="str">
        <f ca="1">IF(CU671="","",VLOOKUP(CU671,games.a,10,FALSE))</f>
        <v/>
      </c>
      <c r="CX671" s="369" t="str">
        <f ca="1">IF(CU671="","",VLOOKUP(CU671,games.a,13,FALSE))</f>
        <v/>
      </c>
      <c r="CY671" s="423" t="str">
        <f ca="1">IF(CU671="","",VLOOKUP(CU671,games.a,6,FALSE))</f>
        <v/>
      </c>
      <c r="CZ671" s="409" t="str">
        <f ca="1">IF(CU671="","",VLOOKUP(CU671,games.a,7,FALSE))</f>
        <v/>
      </c>
      <c r="DA671" s="523" t="str">
        <f ca="1">DA670</f>
        <v/>
      </c>
      <c r="DB671" s="302"/>
      <c r="DC671" s="364"/>
      <c r="DD671" s="302"/>
      <c r="DF671" s="424"/>
      <c r="DG671" s="424"/>
      <c r="DH671" s="424"/>
      <c r="DI671" s="424"/>
      <c r="DJ671" s="424"/>
      <c r="DK671" s="424"/>
      <c r="DL671" s="424"/>
      <c r="DM671" s="424"/>
      <c r="DN671" s="424"/>
      <c r="DO671" s="424"/>
      <c r="DP671" s="424"/>
      <c r="DQ671" s="424"/>
      <c r="DR671" s="424"/>
      <c r="DS671" s="424"/>
      <c r="DT671" s="424"/>
      <c r="DU671" s="424"/>
      <c r="DV671" s="424"/>
      <c r="DW671" s="424"/>
      <c r="DX671" s="424"/>
      <c r="DY671" s="424"/>
      <c r="DZ671" s="424"/>
      <c r="EA671" s="424"/>
      <c r="EB671" s="424"/>
      <c r="EC671" s="424"/>
      <c r="ED671" s="424"/>
      <c r="EE671" s="424"/>
      <c r="EF671" s="424"/>
      <c r="EG671" s="424"/>
      <c r="EH671" s="424"/>
      <c r="EI671" s="424"/>
      <c r="EJ671" s="424"/>
      <c r="EK671" s="424"/>
      <c r="EL671" s="424"/>
      <c r="EM671" s="424"/>
      <c r="EN671" s="424"/>
      <c r="EO671" s="425"/>
      <c r="EP671" s="333"/>
    </row>
    <row r="672" spans="80:146" x14ac:dyDescent="0.25">
      <c r="CB672" s="350"/>
      <c r="CC672" s="350"/>
      <c r="CD672" s="350"/>
      <c r="CE672" s="350"/>
      <c r="CF672" s="350"/>
      <c r="CG672" s="350"/>
      <c r="CR672" s="445"/>
      <c r="CS672" s="300"/>
      <c r="CT672" s="533" t="str">
        <f t="shared" si="433"/>
        <v/>
      </c>
      <c r="CU672" s="371" t="str">
        <f ca="1">IF(OR(CT672="",DA672="",CT672=DA672,ISNA(VLOOKUP(CONCATENATE(CT672,DA672),games.a,2,FALSE))),"",CONCATENATE(CT672,DA672))</f>
        <v/>
      </c>
      <c r="CV672" s="371" t="str">
        <f ca="1">IF(CU672="","",CONCATENATE(VLOOKUP(CU672,games.a,9,FALSE),VLOOKUP(CU672,games.a,12,FALSE)))</f>
        <v/>
      </c>
      <c r="CW672" s="369" t="str">
        <f ca="1">IF(CU672="","",VLOOKUP(CU672,games.a,10,FALSE))</f>
        <v/>
      </c>
      <c r="CX672" s="369" t="str">
        <f ca="1">IF(CU672="","",VLOOKUP(CU672,games.a,13,FALSE))</f>
        <v/>
      </c>
      <c r="CY672" s="423" t="str">
        <f ca="1">IF(CU672="","",VLOOKUP(CU672,games.a,6,FALSE))</f>
        <v/>
      </c>
      <c r="CZ672" s="409" t="str">
        <f ca="1">IF(CU672="","",VLOOKUP(CU672,games.a,7,FALSE))</f>
        <v/>
      </c>
      <c r="DA672" s="523" t="str">
        <f ca="1">DA671</f>
        <v/>
      </c>
      <c r="DB672" s="302"/>
      <c r="DC672" s="364"/>
      <c r="DD672" s="302"/>
      <c r="DF672" s="424"/>
      <c r="DG672" s="424"/>
      <c r="DH672" s="424"/>
      <c r="DI672" s="424"/>
      <c r="DJ672" s="424"/>
      <c r="DK672" s="424"/>
      <c r="DL672" s="424"/>
      <c r="DM672" s="424"/>
      <c r="DN672" s="424"/>
      <c r="DO672" s="424"/>
      <c r="DP672" s="424"/>
      <c r="DQ672" s="424"/>
      <c r="DR672" s="424"/>
      <c r="DS672" s="424"/>
      <c r="DT672" s="424"/>
      <c r="DU672" s="424"/>
      <c r="DV672" s="424"/>
      <c r="DW672" s="424"/>
      <c r="DX672" s="424"/>
      <c r="DY672" s="424"/>
      <c r="DZ672" s="424"/>
      <c r="EA672" s="424"/>
      <c r="EB672" s="424"/>
      <c r="EC672" s="424"/>
      <c r="ED672" s="424"/>
      <c r="EE672" s="424"/>
      <c r="EF672" s="424"/>
      <c r="EG672" s="424"/>
      <c r="EH672" s="424"/>
      <c r="EI672" s="424"/>
      <c r="EJ672" s="424"/>
      <c r="EK672" s="424"/>
      <c r="EL672" s="424"/>
      <c r="EM672" s="424"/>
      <c r="EN672" s="424"/>
      <c r="EO672" s="425"/>
      <c r="EP672" s="333"/>
    </row>
    <row r="673" spans="80:146" x14ac:dyDescent="0.25">
      <c r="CB673" s="350"/>
      <c r="CC673" s="350"/>
      <c r="CD673" s="350"/>
      <c r="CE673" s="350"/>
      <c r="CF673" s="350"/>
      <c r="CG673" s="350"/>
      <c r="CR673" s="445"/>
      <c r="CS673" s="445"/>
      <c r="CT673" s="301"/>
      <c r="CU673" s="302"/>
      <c r="CV673" s="302"/>
      <c r="CW673" s="302"/>
      <c r="CX673" s="302"/>
      <c r="CY673" s="302"/>
      <c r="CZ673" s="302"/>
      <c r="DA673" s="447"/>
      <c r="DB673" s="302"/>
      <c r="DC673" s="446" t="s">
        <v>218</v>
      </c>
      <c r="DD673" s="302"/>
      <c r="DF673" s="424"/>
      <c r="DG673" s="424"/>
      <c r="DH673" s="424"/>
      <c r="DI673" s="424"/>
      <c r="DJ673" s="424"/>
      <c r="DK673" s="424"/>
      <c r="DL673" s="424"/>
      <c r="DM673" s="424"/>
      <c r="DN673" s="424"/>
      <c r="DO673" s="424"/>
      <c r="DP673" s="424"/>
      <c r="DQ673" s="424"/>
      <c r="DR673" s="424"/>
      <c r="DS673" s="424"/>
      <c r="DT673" s="424"/>
      <c r="DU673" s="424"/>
      <c r="DV673" s="424"/>
      <c r="DW673" s="424"/>
      <c r="DX673" s="424"/>
      <c r="DY673" s="424"/>
      <c r="DZ673" s="424"/>
      <c r="EA673" s="424"/>
      <c r="EB673" s="424"/>
      <c r="EC673" s="424"/>
      <c r="ED673" s="424"/>
      <c r="EE673" s="424"/>
      <c r="EF673" s="424"/>
      <c r="EG673" s="424"/>
      <c r="EH673" s="424"/>
      <c r="EI673" s="424"/>
      <c r="EJ673" s="424"/>
      <c r="EK673" s="424"/>
      <c r="EL673" s="424"/>
      <c r="EM673" s="424"/>
      <c r="EN673" s="424"/>
      <c r="EO673" s="425"/>
      <c r="EP673" s="333"/>
    </row>
    <row r="674" spans="80:146" x14ac:dyDescent="0.25">
      <c r="CB674" s="350"/>
      <c r="CC674" s="350"/>
      <c r="CD674" s="350"/>
      <c r="CE674" s="350"/>
      <c r="CF674" s="350"/>
      <c r="CG674" s="350"/>
      <c r="CR674" s="445"/>
      <c r="CS674" s="445"/>
      <c r="CT674" s="301"/>
      <c r="CU674" s="302"/>
      <c r="CV674" s="302"/>
      <c r="CW674" s="302"/>
      <c r="CX674" s="302"/>
      <c r="CY674" s="302"/>
      <c r="CZ674" s="302"/>
      <c r="DA674" s="447"/>
      <c r="DB674" s="302"/>
      <c r="DC674" s="450" t="s">
        <v>219</v>
      </c>
      <c r="DD674" s="302"/>
      <c r="DF674" s="424"/>
      <c r="DG674" s="424"/>
      <c r="DH674" s="424"/>
      <c r="DI674" s="424"/>
      <c r="DJ674" s="424"/>
      <c r="DK674" s="424"/>
      <c r="DL674" s="424"/>
      <c r="DM674" s="424"/>
      <c r="DN674" s="424"/>
      <c r="DO674" s="424"/>
      <c r="DP674" s="424"/>
      <c r="DQ674" s="424"/>
      <c r="DR674" s="424"/>
      <c r="DS674" s="424"/>
      <c r="DT674" s="424"/>
      <c r="DU674" s="424"/>
      <c r="DV674" s="424"/>
      <c r="DW674" s="424"/>
      <c r="DX674" s="424"/>
      <c r="DY674" s="424"/>
      <c r="DZ674" s="424"/>
      <c r="EA674" s="424"/>
      <c r="EB674" s="424"/>
      <c r="EC674" s="424"/>
      <c r="ED674" s="424"/>
      <c r="EE674" s="424"/>
      <c r="EF674" s="424"/>
      <c r="EG674" s="424"/>
      <c r="EH674" s="424"/>
      <c r="EI674" s="424"/>
      <c r="EJ674" s="424"/>
      <c r="EK674" s="424"/>
      <c r="EL674" s="424"/>
      <c r="EM674" s="424"/>
      <c r="EN674" s="424"/>
      <c r="EO674" s="425"/>
      <c r="EP674" s="333"/>
    </row>
    <row r="675" spans="80:146" x14ac:dyDescent="0.25">
      <c r="CB675" s="350"/>
      <c r="CC675" s="350"/>
      <c r="CD675" s="350"/>
      <c r="CE675" s="350"/>
      <c r="CF675" s="350"/>
      <c r="CG675" s="350"/>
      <c r="CR675" s="445"/>
      <c r="CS675" s="300"/>
      <c r="CT675" s="323" t="b">
        <f ca="1">OR(NOT(ASZTAB!$AJ$44),COUNTIF(CY675:CY684,"")&lt;=8-(DA675-1)*DA675/2)</f>
        <v>1</v>
      </c>
      <c r="CU675" s="471" t="s">
        <v>157</v>
      </c>
      <c r="CV675" s="471" t="s">
        <v>158</v>
      </c>
      <c r="CW675" s="472" t="s">
        <v>159</v>
      </c>
      <c r="CX675" s="472"/>
      <c r="CY675" s="473" t="s">
        <v>160</v>
      </c>
      <c r="CZ675" s="472" t="s">
        <v>135</v>
      </c>
      <c r="DA675" s="323">
        <f ca="1">COUNT(CQ596:CQ597)</f>
        <v>0</v>
      </c>
      <c r="DB675" s="302"/>
      <c r="DC675" s="364"/>
      <c r="DD675" s="302"/>
      <c r="DF675" s="424"/>
      <c r="DG675" s="329" t="s">
        <v>229</v>
      </c>
      <c r="DH675" s="365"/>
      <c r="DI675" s="329" t="s">
        <v>152</v>
      </c>
      <c r="DJ675" s="329" t="s">
        <v>153</v>
      </c>
      <c r="DK675" s="329" t="s">
        <v>154</v>
      </c>
      <c r="DL675" s="329" t="s">
        <v>155</v>
      </c>
      <c r="DM675" s="329" t="s">
        <v>125</v>
      </c>
      <c r="DN675" s="329" t="s">
        <v>226</v>
      </c>
      <c r="DO675" s="329" t="s">
        <v>126</v>
      </c>
      <c r="DP675" s="329" t="s">
        <v>227</v>
      </c>
      <c r="DQ675" s="424"/>
      <c r="DR675" s="424"/>
      <c r="DS675" s="424"/>
      <c r="DT675" s="329" t="s">
        <v>228</v>
      </c>
      <c r="DU675" s="329" t="s">
        <v>156</v>
      </c>
      <c r="DV675" s="329" t="s">
        <v>208</v>
      </c>
      <c r="DW675" s="424"/>
      <c r="DX675" s="424"/>
      <c r="DY675" s="424"/>
      <c r="DZ675" s="424"/>
      <c r="EA675" s="424"/>
      <c r="EB675" s="424"/>
      <c r="EC675" s="424"/>
      <c r="ED675" s="424"/>
      <c r="EE675" s="424"/>
      <c r="EF675" s="424"/>
      <c r="EG675" s="424"/>
      <c r="EH675" s="424"/>
      <c r="EI675" s="424"/>
      <c r="EJ675" s="424"/>
      <c r="EK675" s="424"/>
      <c r="EL675" s="424"/>
      <c r="EM675" s="424"/>
      <c r="EN675" s="424"/>
      <c r="EO675" s="425"/>
      <c r="EP675" s="333"/>
    </row>
    <row r="676" spans="80:146" x14ac:dyDescent="0.25">
      <c r="CB676" s="350"/>
      <c r="CC676" s="350"/>
      <c r="CD676" s="350"/>
      <c r="CE676" s="350"/>
      <c r="CF676" s="350"/>
      <c r="CG676" s="350"/>
      <c r="CR676" s="445"/>
      <c r="CS676" s="300"/>
      <c r="CT676" s="477" t="str">
        <f ca="1">IF(CQ596="","",VLOOKUP(CQ596,xxx.rn1,10,FALSE))</f>
        <v/>
      </c>
      <c r="CU676" s="478" t="str">
        <f ca="1">IF(OR(CT676="",DA676="",CT676=DA676,COUNTIF(games.rn,CT676&amp;DA676)=0),"",CONCATENATE(CT676,DA676))</f>
        <v/>
      </c>
      <c r="CV676" s="360" t="str">
        <f ca="1">IF(CU676="","",CONCATENATE(VLOOKUP(CU676,games.r,9,FALSE),VLOOKUP(CU676,games.r,12,FALSE)))</f>
        <v/>
      </c>
      <c r="CW676" s="354" t="str">
        <f ca="1">IF(CU676="","",VLOOKUP(CU676,games.r,10,FALSE))</f>
        <v/>
      </c>
      <c r="CX676" s="354" t="str">
        <f ca="1">IF(CU676="","",VLOOKUP(CU676,games.r,13,FALSE))</f>
        <v/>
      </c>
      <c r="CY676" s="361" t="str">
        <f ca="1">IF(CU676="","",VLOOKUP(CU676,games.r,6,FALSE))</f>
        <v/>
      </c>
      <c r="CZ676" s="362" t="str">
        <f ca="1">IF(CU676="","",VLOOKUP(CU676,games.r,7,FALSE))</f>
        <v/>
      </c>
      <c r="DA676" s="479" t="str">
        <f ca="1">CT676</f>
        <v/>
      </c>
      <c r="DB676" s="302"/>
      <c r="DC676" s="364"/>
      <c r="DD676" s="302"/>
      <c r="DF676" s="424"/>
      <c r="DG676" s="366" t="str">
        <f ca="1">IF(OR(NOT(ASZTAB!$AJ$44),CT675),CT676,"")</f>
        <v/>
      </c>
      <c r="DH676" s="365"/>
      <c r="DI676" s="366">
        <f ca="1">IF(DG676="",0,COUNTIF(xxgy.rn,DG676))</f>
        <v>0</v>
      </c>
      <c r="DJ676" s="366">
        <f ca="1">IF(DG676="",0,COUNTIF(xxd.rn,DG676))</f>
        <v>0</v>
      </c>
      <c r="DK676" s="366">
        <f ca="1">IF(DG676="",0,1)*(SUMIF(xxo.rn,DG676,xxl.rn)+SUMIF(xxi.rn,DG676,xxk.rn))</f>
        <v>0</v>
      </c>
      <c r="DL676" s="366">
        <f ca="1">IF(DG676="",0,1)*(SUMIF(xxo.rn,DG676,xxk.rn)+SUMIF(xxi.rn,DG676,xxl.rn))</f>
        <v>0</v>
      </c>
      <c r="DM676" s="366">
        <f ca="1">DK676-DL676</f>
        <v>0</v>
      </c>
      <c r="DN676" s="366">
        <f ca="1">IF(DL676=0,0,DK676/DL676)</f>
        <v>0</v>
      </c>
      <c r="DO676" s="366">
        <f ca="1">ASZTAB!$AJ$48*DI676+IF(ASZTAB!$AJ$44,0,1)*DJ676</f>
        <v>0</v>
      </c>
      <c r="DP676" s="396">
        <f ca="1">DO676*1000000+IF(ASZTAB!$AJ$44,DN676,DM676)*1000*0</f>
        <v>0</v>
      </c>
      <c r="DQ676" s="424"/>
      <c r="DR676" s="424"/>
      <c r="DS676" s="424"/>
      <c r="DT676" s="366">
        <f ca="1">IF(OR(ISERR(DP676),ISNA(DP676)),0,DP676)</f>
        <v>0</v>
      </c>
      <c r="DU676" s="366">
        <f ca="1">IF(DT676=0,0,RANK(DT676,DT676:DT677,1))</f>
        <v>0</v>
      </c>
      <c r="DV676" s="366">
        <f ca="1">DU676*40000*IF(COUNTIF($EN$596:$EN$605,DG676)&gt;0,0,1)</f>
        <v>0</v>
      </c>
      <c r="DW676" s="424"/>
      <c r="DX676" s="424"/>
      <c r="DY676" s="424"/>
      <c r="DZ676" s="424"/>
      <c r="EA676" s="424"/>
      <c r="EB676" s="424"/>
      <c r="EC676" s="424"/>
      <c r="ED676" s="424"/>
      <c r="EE676" s="424"/>
      <c r="EF676" s="424"/>
      <c r="EG676" s="424"/>
      <c r="EH676" s="424"/>
      <c r="EI676" s="424"/>
      <c r="EJ676" s="424"/>
      <c r="EK676" s="424"/>
      <c r="EL676" s="424"/>
      <c r="EM676" s="424"/>
      <c r="EN676" s="424"/>
      <c r="EO676" s="425"/>
      <c r="EP676" s="333"/>
    </row>
    <row r="677" spans="80:146" x14ac:dyDescent="0.25">
      <c r="CB677" s="350"/>
      <c r="CC677" s="350"/>
      <c r="CD677" s="350"/>
      <c r="CE677" s="350"/>
      <c r="CF677" s="350"/>
      <c r="CG677" s="350"/>
      <c r="CR677" s="445"/>
      <c r="CS677" s="300"/>
      <c r="CT677" s="477" t="str">
        <f ca="1">IF(CQ597="","",VLOOKUP(CQ597,xxx.rn1,10,FALSE))</f>
        <v/>
      </c>
      <c r="CU677" s="478" t="str">
        <f ca="1">IF(OR(CT677="",DA677="",CT677=DA677,COUNTIF(games.rn,CT677&amp;DA677)=0),"",CONCATENATE(CT677,DA677))</f>
        <v/>
      </c>
      <c r="CV677" s="360" t="str">
        <f ca="1">IF(CU677="","",CONCATENATE(VLOOKUP(CU677,games.r,9,FALSE),VLOOKUP(CU677,games.r,12,FALSE)))</f>
        <v/>
      </c>
      <c r="CW677" s="354" t="str">
        <f ca="1">IF(CU677="","",VLOOKUP(CU677,games.r,10,FALSE))</f>
        <v/>
      </c>
      <c r="CX677" s="354" t="str">
        <f ca="1">IF(CU677="","",VLOOKUP(CU677,games.r,13,FALSE))</f>
        <v/>
      </c>
      <c r="CY677" s="361" t="str">
        <f ca="1">IF(CU677="","",VLOOKUP(CU677,games.r,6,FALSE))</f>
        <v/>
      </c>
      <c r="CZ677" s="362" t="str">
        <f ca="1">IF(CU677="","",VLOOKUP(CU677,games.r,7,FALSE))</f>
        <v/>
      </c>
      <c r="DA677" s="379" t="str">
        <f ca="1">DA676</f>
        <v/>
      </c>
      <c r="DB677" s="302"/>
      <c r="DC677" s="364"/>
      <c r="DD677" s="302"/>
      <c r="DF677" s="424"/>
      <c r="DG677" s="366" t="str">
        <f ca="1">IF(OR(NOT(ASZTAB!$AJ$44),CT675),CT677,"")</f>
        <v/>
      </c>
      <c r="DH677" s="365"/>
      <c r="DI677" s="366">
        <f ca="1">IF(DG677="",0,COUNTIF(xxgy.rn,DG677))</f>
        <v>0</v>
      </c>
      <c r="DJ677" s="366">
        <f ca="1">IF(DG677="",0,COUNTIF(xxd.rn,DG677))</f>
        <v>0</v>
      </c>
      <c r="DK677" s="366">
        <f ca="1">IF(DG677="",0,1)*(SUMIF(xxo.rn,DG677,xxl.rn)+SUMIF(xxi.rn,DG677,xxk.rn))</f>
        <v>0</v>
      </c>
      <c r="DL677" s="366">
        <f ca="1">IF(DG677="",0,1)*(SUMIF(xxo.rn,DG677,xxk.rn)+SUMIF(xxi.rn,DG677,xxl.rn))</f>
        <v>0</v>
      </c>
      <c r="DM677" s="366">
        <f ca="1">DK677-DL677</f>
        <v>0</v>
      </c>
      <c r="DN677" s="366">
        <f ca="1">IF(DL677=0,0,DK677/DL677)</f>
        <v>0</v>
      </c>
      <c r="DO677" s="366">
        <f ca="1">ASZTAB!$AJ$48*DI677+IF(ASZTAB!$AJ$44,0,1)*DJ677</f>
        <v>0</v>
      </c>
      <c r="DP677" s="396">
        <f ca="1">DO677*1000000+IF(ASZTAB!$AJ$44,DN677,DM677)*1000*0</f>
        <v>0</v>
      </c>
      <c r="DQ677" s="424"/>
      <c r="DR677" s="424"/>
      <c r="DS677" s="424"/>
      <c r="DT677" s="366">
        <f ca="1">IF(OR(ISERR(DP677),ISNA(DP677)),0,DP677)</f>
        <v>0</v>
      </c>
      <c r="DU677" s="366">
        <f ca="1">IF(DT677=0,0,RANK(DT677,DT676:DT677,1))</f>
        <v>0</v>
      </c>
      <c r="DV677" s="366">
        <f ca="1">DU677*40000*IF(COUNTIF($EN$596:$EN$605,DG677)&gt;0,0,1)</f>
        <v>0</v>
      </c>
      <c r="DW677" s="424"/>
      <c r="DX677" s="424"/>
      <c r="DY677" s="424"/>
      <c r="DZ677" s="424"/>
      <c r="EA677" s="424"/>
      <c r="EB677" s="424"/>
      <c r="EC677" s="424"/>
      <c r="ED677" s="424"/>
      <c r="EE677" s="424"/>
      <c r="EF677" s="424"/>
      <c r="EG677" s="424"/>
      <c r="EH677" s="424"/>
      <c r="EI677" s="424"/>
      <c r="EJ677" s="424"/>
      <c r="EK677" s="424"/>
      <c r="EL677" s="424"/>
      <c r="EM677" s="424"/>
      <c r="EN677" s="424"/>
      <c r="EO677" s="425"/>
      <c r="EP677" s="333"/>
    </row>
    <row r="678" spans="80:146" x14ac:dyDescent="0.25">
      <c r="CB678" s="350"/>
      <c r="CC678" s="350"/>
      <c r="CD678" s="350"/>
      <c r="CE678" s="350"/>
      <c r="CF678" s="350"/>
      <c r="CG678" s="350"/>
      <c r="CR678" s="445"/>
      <c r="CS678" s="300"/>
      <c r="CT678" s="522" t="str">
        <f>IF(NOT($AD$98),"",CT676)</f>
        <v/>
      </c>
      <c r="CU678" s="371" t="str">
        <f ca="1">IF(OR(CT678="",DA678="",CT678=DA678,ISNA(VLOOKUP(CONCATENATE(CT678,DA678),games.a,2,FALSE))),"",CONCATENATE(CT678,DA678))</f>
        <v/>
      </c>
      <c r="CV678" s="371" t="str">
        <f ca="1">IF(CU678="","",CONCATENATE(VLOOKUP(CU678,games.a,9,FALSE),VLOOKUP(CU678,games.a,12,FALSE)))</f>
        <v/>
      </c>
      <c r="CW678" s="369" t="str">
        <f ca="1">IF(CU678="","",VLOOKUP(CU678,games.a,10,FALSE))</f>
        <v/>
      </c>
      <c r="CX678" s="369" t="str">
        <f ca="1">IF(CU678="","",VLOOKUP(CU678,games.a,13,FALSE))</f>
        <v/>
      </c>
      <c r="CY678" s="423" t="str">
        <f ca="1">IF(CU678="","",VLOOKUP(CU678,games.a,6,FALSE))</f>
        <v/>
      </c>
      <c r="CZ678" s="409" t="str">
        <f ca="1">IF(CU678="","",VLOOKUP(CU678,games.a,7,FALSE))</f>
        <v/>
      </c>
      <c r="DA678" s="523" t="str">
        <f ca="1">DA677</f>
        <v/>
      </c>
      <c r="DB678" s="302"/>
      <c r="DC678" s="364"/>
      <c r="DD678" s="302"/>
      <c r="DF678" s="424"/>
      <c r="DG678" s="424"/>
      <c r="DH678" s="424"/>
      <c r="DI678" s="424"/>
      <c r="DJ678" s="424"/>
      <c r="DK678" s="424"/>
      <c r="DL678" s="424"/>
      <c r="DM678" s="424"/>
      <c r="DN678" s="424"/>
      <c r="DO678" s="424"/>
      <c r="DP678" s="424"/>
      <c r="DQ678" s="424"/>
      <c r="DR678" s="424"/>
      <c r="DS678" s="424"/>
      <c r="DT678" s="424"/>
      <c r="DU678" s="424"/>
      <c r="DV678" s="424"/>
      <c r="DW678" s="424"/>
      <c r="DX678" s="424"/>
      <c r="DY678" s="424"/>
      <c r="DZ678" s="424"/>
      <c r="EA678" s="424"/>
      <c r="EB678" s="424"/>
      <c r="EC678" s="424"/>
      <c r="ED678" s="424"/>
      <c r="EE678" s="424"/>
      <c r="EF678" s="424"/>
      <c r="EG678" s="424"/>
      <c r="EH678" s="424"/>
      <c r="EI678" s="424"/>
      <c r="EJ678" s="424"/>
      <c r="EK678" s="424"/>
      <c r="EL678" s="424"/>
      <c r="EM678" s="424"/>
      <c r="EN678" s="424"/>
      <c r="EO678" s="425"/>
      <c r="EP678" s="333"/>
    </row>
    <row r="679" spans="80:146" x14ac:dyDescent="0.25">
      <c r="CB679" s="350"/>
      <c r="CC679" s="350"/>
      <c r="CD679" s="350"/>
      <c r="CE679" s="350"/>
      <c r="CF679" s="350"/>
      <c r="CG679" s="350"/>
      <c r="CR679" s="445"/>
      <c r="CS679" s="300"/>
      <c r="CT679" s="522" t="str">
        <f>IF(NOT($AD$98),"",CT677)</f>
        <v/>
      </c>
      <c r="CU679" s="371" t="str">
        <f ca="1">IF(OR(CT679="",DA679="",CT679=DA679,ISNA(VLOOKUP(CONCATENATE(CT679,DA679),games.a,2,FALSE))),"",CONCATENATE(CT679,DA679))</f>
        <v/>
      </c>
      <c r="CV679" s="371" t="str">
        <f ca="1">IF(CU679="","",CONCATENATE(VLOOKUP(CU679,games.a,9,FALSE),VLOOKUP(CU679,games.a,12,FALSE)))</f>
        <v/>
      </c>
      <c r="CW679" s="369" t="str">
        <f ca="1">IF(CU679="","",VLOOKUP(CU679,games.a,10,FALSE))</f>
        <v/>
      </c>
      <c r="CX679" s="369" t="str">
        <f ca="1">IF(CU679="","",VLOOKUP(CU679,games.a,13,FALSE))</f>
        <v/>
      </c>
      <c r="CY679" s="423" t="str">
        <f ca="1">IF(CU679="","",VLOOKUP(CU679,games.a,6,FALSE))</f>
        <v/>
      </c>
      <c r="CZ679" s="409" t="str">
        <f ca="1">IF(CU679="","",VLOOKUP(CU679,games.a,7,FALSE))</f>
        <v/>
      </c>
      <c r="DA679" s="523" t="str">
        <f ca="1">DA678</f>
        <v/>
      </c>
      <c r="DB679" s="302"/>
      <c r="DC679" s="364"/>
      <c r="DD679" s="302"/>
      <c r="DF679" s="424"/>
      <c r="DG679" s="424"/>
      <c r="DH679" s="424"/>
      <c r="DI679" s="424"/>
      <c r="DJ679" s="424"/>
      <c r="DK679" s="424"/>
      <c r="DL679" s="424"/>
      <c r="DM679" s="424"/>
      <c r="DN679" s="424"/>
      <c r="DO679" s="424"/>
      <c r="DP679" s="424"/>
      <c r="DQ679" s="424"/>
      <c r="DR679" s="424"/>
      <c r="DS679" s="424"/>
      <c r="DT679" s="424"/>
      <c r="DU679" s="424"/>
      <c r="DV679" s="424"/>
      <c r="DW679" s="424"/>
      <c r="DX679" s="424"/>
      <c r="DY679" s="424"/>
      <c r="DZ679" s="424"/>
      <c r="EA679" s="424"/>
      <c r="EB679" s="424"/>
      <c r="EC679" s="424"/>
      <c r="ED679" s="424"/>
      <c r="EE679" s="424"/>
      <c r="EF679" s="424"/>
      <c r="EG679" s="424"/>
      <c r="EH679" s="424"/>
      <c r="EI679" s="424"/>
      <c r="EJ679" s="424"/>
      <c r="EK679" s="424"/>
      <c r="EL679" s="424"/>
      <c r="EM679" s="424"/>
      <c r="EN679" s="424"/>
      <c r="EO679" s="425"/>
      <c r="EP679" s="333"/>
    </row>
    <row r="680" spans="80:146" x14ac:dyDescent="0.25">
      <c r="CB680" s="350"/>
      <c r="CC680" s="350"/>
      <c r="CD680" s="350"/>
      <c r="CE680" s="350"/>
      <c r="CF680" s="350"/>
      <c r="CG680" s="350"/>
      <c r="CR680" s="445"/>
      <c r="CS680" s="300"/>
      <c r="CT680" s="301"/>
      <c r="CU680" s="471" t="s">
        <v>157</v>
      </c>
      <c r="CV680" s="471" t="s">
        <v>158</v>
      </c>
      <c r="CW680" s="472" t="s">
        <v>159</v>
      </c>
      <c r="CX680" s="472"/>
      <c r="CY680" s="473" t="s">
        <v>160</v>
      </c>
      <c r="CZ680" s="472" t="s">
        <v>135</v>
      </c>
      <c r="DA680" s="302"/>
      <c r="DB680" s="302"/>
      <c r="DC680" s="364"/>
      <c r="DD680" s="302"/>
      <c r="DF680" s="424"/>
      <c r="DG680" s="424"/>
      <c r="DH680" s="424"/>
      <c r="DI680" s="424"/>
      <c r="DJ680" s="424"/>
      <c r="DK680" s="424"/>
      <c r="DL680" s="424"/>
      <c r="DM680" s="424"/>
      <c r="DN680" s="424"/>
      <c r="DO680" s="424"/>
      <c r="DP680" s="424"/>
      <c r="DQ680" s="424"/>
      <c r="DR680" s="424"/>
      <c r="DS680" s="424"/>
      <c r="DT680" s="424"/>
      <c r="DU680" s="424"/>
      <c r="DV680" s="424"/>
      <c r="DW680" s="424"/>
      <c r="DX680" s="424"/>
      <c r="DY680" s="424"/>
      <c r="DZ680" s="424"/>
      <c r="EA680" s="424"/>
      <c r="EB680" s="424"/>
      <c r="EC680" s="424"/>
      <c r="ED680" s="424"/>
      <c r="EE680" s="424"/>
      <c r="EF680" s="424"/>
      <c r="EG680" s="424"/>
      <c r="EH680" s="424"/>
      <c r="EI680" s="424"/>
      <c r="EJ680" s="424"/>
      <c r="EK680" s="424"/>
      <c r="EL680" s="424"/>
      <c r="EM680" s="424"/>
      <c r="EN680" s="424"/>
      <c r="EO680" s="425"/>
      <c r="EP680" s="333"/>
    </row>
    <row r="681" spans="80:146" x14ac:dyDescent="0.25">
      <c r="CB681" s="350"/>
      <c r="CC681" s="350"/>
      <c r="CD681" s="350"/>
      <c r="CE681" s="350"/>
      <c r="CF681" s="350"/>
      <c r="CG681" s="350"/>
      <c r="CR681" s="445"/>
      <c r="CS681" s="300"/>
      <c r="CT681" s="395" t="str">
        <f ca="1">CT676</f>
        <v/>
      </c>
      <c r="CU681" s="478" t="str">
        <f ca="1">IF(OR(CT681="",DA681="",CT681=DA681,COUNTIF(games.rn,CT681&amp;DA681)=0),"",CONCATENATE(CT681,DA681))</f>
        <v/>
      </c>
      <c r="CV681" s="360" t="str">
        <f ca="1">IF(CU681="","",CONCATENATE(VLOOKUP(CU681,games.r,9,FALSE),VLOOKUP(CU681,games.r,12,FALSE)))</f>
        <v/>
      </c>
      <c r="CW681" s="354" t="str">
        <f ca="1">IF(CU681="","",VLOOKUP(CU681,games.r,10,FALSE))</f>
        <v/>
      </c>
      <c r="CX681" s="354" t="str">
        <f ca="1">IF(CU681="","",VLOOKUP(CU681,games.r,13,FALSE))</f>
        <v/>
      </c>
      <c r="CY681" s="361" t="str">
        <f ca="1">IF(CU681="","",VLOOKUP(CU681,games.r,6,FALSE))</f>
        <v/>
      </c>
      <c r="CZ681" s="362" t="str">
        <f ca="1">IF(CU681="","",VLOOKUP(CU681,games.r,7,FALSE))</f>
        <v/>
      </c>
      <c r="DA681" s="479" t="str">
        <f ca="1">CT677</f>
        <v/>
      </c>
      <c r="DB681" s="302"/>
      <c r="DC681" s="364"/>
      <c r="DD681" s="302"/>
      <c r="DF681" s="424"/>
      <c r="DG681" s="424"/>
      <c r="DH681" s="424"/>
      <c r="DI681" s="424"/>
      <c r="DJ681" s="424"/>
      <c r="DK681" s="424"/>
      <c r="DL681" s="424"/>
      <c r="DM681" s="424"/>
      <c r="DN681" s="424"/>
      <c r="DO681" s="424"/>
      <c r="DP681" s="424"/>
      <c r="DQ681" s="424"/>
      <c r="DR681" s="424"/>
      <c r="DS681" s="424"/>
      <c r="DT681" s="424"/>
      <c r="DU681" s="424"/>
      <c r="DV681" s="424"/>
      <c r="DW681" s="424"/>
      <c r="DX681" s="424"/>
      <c r="DY681" s="424"/>
      <c r="DZ681" s="424"/>
      <c r="EA681" s="424"/>
      <c r="EB681" s="424"/>
      <c r="EC681" s="424"/>
      <c r="ED681" s="424"/>
      <c r="EE681" s="424"/>
      <c r="EF681" s="424"/>
      <c r="EG681" s="424"/>
      <c r="EH681" s="424"/>
      <c r="EI681" s="424"/>
      <c r="EJ681" s="424"/>
      <c r="EK681" s="424"/>
      <c r="EL681" s="424"/>
      <c r="EM681" s="424"/>
      <c r="EN681" s="424"/>
      <c r="EO681" s="425"/>
      <c r="EP681" s="333"/>
    </row>
    <row r="682" spans="80:146" x14ac:dyDescent="0.25">
      <c r="CB682" s="350"/>
      <c r="CC682" s="350"/>
      <c r="CD682" s="350"/>
      <c r="CE682" s="350"/>
      <c r="CF682" s="350"/>
      <c r="CG682" s="350"/>
      <c r="CR682" s="445"/>
      <c r="CS682" s="300"/>
      <c r="CT682" s="395" t="str">
        <f ca="1">CT677</f>
        <v/>
      </c>
      <c r="CU682" s="478" t="str">
        <f ca="1">IF(OR(CT682="",DA682="",CT682=DA682,COUNTIF(games.rn,CT682&amp;DA682)=0),"",CONCATENATE(CT682,DA682))</f>
        <v/>
      </c>
      <c r="CV682" s="360" t="str">
        <f ca="1">IF(CU682="","",CONCATENATE(VLOOKUP(CU682,games.r,9,FALSE),VLOOKUP(CU682,games.r,12,FALSE)))</f>
        <v/>
      </c>
      <c r="CW682" s="354" t="str">
        <f ca="1">IF(CU682="","",VLOOKUP(CU682,games.r,10,FALSE))</f>
        <v/>
      </c>
      <c r="CX682" s="354" t="str">
        <f ca="1">IF(CU682="","",VLOOKUP(CU682,games.r,13,FALSE))</f>
        <v/>
      </c>
      <c r="CY682" s="361" t="str">
        <f ca="1">IF(CU682="","",VLOOKUP(CU682,games.r,6,FALSE))</f>
        <v/>
      </c>
      <c r="CZ682" s="362" t="str">
        <f ca="1">IF(CU682="","",VLOOKUP(CU682,games.r,7,FALSE))</f>
        <v/>
      </c>
      <c r="DA682" s="379" t="str">
        <f ca="1">DA681</f>
        <v/>
      </c>
      <c r="DB682" s="302"/>
      <c r="DC682" s="364"/>
      <c r="DD682" s="302"/>
      <c r="DF682" s="424"/>
      <c r="DG682" s="424"/>
      <c r="DH682" s="424"/>
      <c r="DI682" s="424"/>
      <c r="DJ682" s="424"/>
      <c r="DK682" s="424"/>
      <c r="DL682" s="424"/>
      <c r="DM682" s="424"/>
      <c r="DN682" s="424"/>
      <c r="DO682" s="424"/>
      <c r="DP682" s="424"/>
      <c r="DQ682" s="424"/>
      <c r="DR682" s="424"/>
      <c r="DS682" s="424"/>
      <c r="DT682" s="424"/>
      <c r="DU682" s="424"/>
      <c r="DV682" s="424"/>
      <c r="DW682" s="424"/>
      <c r="DX682" s="424"/>
      <c r="DY682" s="424"/>
      <c r="DZ682" s="424"/>
      <c r="EA682" s="424"/>
      <c r="EB682" s="424"/>
      <c r="EC682" s="424"/>
      <c r="ED682" s="424"/>
      <c r="EE682" s="424"/>
      <c r="EF682" s="424"/>
      <c r="EG682" s="424"/>
      <c r="EH682" s="424"/>
      <c r="EI682" s="424"/>
      <c r="EJ682" s="424"/>
      <c r="EK682" s="424"/>
      <c r="EL682" s="424"/>
      <c r="EM682" s="424"/>
      <c r="EN682" s="424"/>
      <c r="EO682" s="425"/>
      <c r="EP682" s="333"/>
    </row>
    <row r="683" spans="80:146" x14ac:dyDescent="0.25">
      <c r="CB683" s="350"/>
      <c r="CC683" s="350"/>
      <c r="CD683" s="350"/>
      <c r="CE683" s="350"/>
      <c r="CF683" s="350"/>
      <c r="CG683" s="350"/>
      <c r="CR683" s="445"/>
      <c r="CS683" s="300"/>
      <c r="CT683" s="522" t="str">
        <f>CT678</f>
        <v/>
      </c>
      <c r="CU683" s="371" t="str">
        <f ca="1">IF(OR(CT683="",DA683="",CT683=DA683,ISNA(VLOOKUP(CONCATENATE(CT683,DA683),games.a,2,FALSE))),"",CONCATENATE(CT683,DA683))</f>
        <v/>
      </c>
      <c r="CV683" s="371" t="str">
        <f ca="1">IF(CU683="","",CONCATENATE(VLOOKUP(CU683,games.a,9,FALSE),VLOOKUP(CU683,games.a,12,FALSE)))</f>
        <v/>
      </c>
      <c r="CW683" s="369" t="str">
        <f ca="1">IF(CU683="","",VLOOKUP(CU683,games.a,10,FALSE))</f>
        <v/>
      </c>
      <c r="CX683" s="369" t="str">
        <f ca="1">IF(CU683="","",VLOOKUP(CU683,games.a,13,FALSE))</f>
        <v/>
      </c>
      <c r="CY683" s="423" t="str">
        <f ca="1">IF(CU683="","",VLOOKUP(CU683,games.a,6,FALSE))</f>
        <v/>
      </c>
      <c r="CZ683" s="409" t="str">
        <f ca="1">IF(CU683="","",VLOOKUP(CU683,games.a,7,FALSE))</f>
        <v/>
      </c>
      <c r="DA683" s="523" t="str">
        <f ca="1">DA682</f>
        <v/>
      </c>
      <c r="DB683" s="302"/>
      <c r="DC683" s="364"/>
      <c r="DD683" s="302"/>
      <c r="DF683" s="424"/>
      <c r="DG683" s="424"/>
      <c r="DH683" s="424"/>
      <c r="DI683" s="424"/>
      <c r="DJ683" s="424"/>
      <c r="DK683" s="424"/>
      <c r="DL683" s="424"/>
      <c r="DM683" s="424"/>
      <c r="DN683" s="424"/>
      <c r="DO683" s="424"/>
      <c r="DP683" s="424"/>
      <c r="DQ683" s="424"/>
      <c r="DR683" s="424"/>
      <c r="DS683" s="424"/>
      <c r="DT683" s="424"/>
      <c r="DU683" s="424"/>
      <c r="DV683" s="424"/>
      <c r="DW683" s="424"/>
      <c r="DX683" s="424"/>
      <c r="DY683" s="424"/>
      <c r="DZ683" s="424"/>
      <c r="EA683" s="424"/>
      <c r="EB683" s="424"/>
      <c r="EC683" s="424"/>
      <c r="ED683" s="424"/>
      <c r="EE683" s="424"/>
      <c r="EF683" s="424"/>
      <c r="EG683" s="424"/>
      <c r="EH683" s="424"/>
      <c r="EI683" s="424"/>
      <c r="EJ683" s="424"/>
      <c r="EK683" s="424"/>
      <c r="EL683" s="424"/>
      <c r="EM683" s="424"/>
      <c r="EN683" s="424"/>
      <c r="EO683" s="425"/>
      <c r="EP683" s="333"/>
    </row>
    <row r="684" spans="80:146" x14ac:dyDescent="0.25">
      <c r="CB684" s="350"/>
      <c r="CC684" s="350"/>
      <c r="CD684" s="350"/>
      <c r="CE684" s="350"/>
      <c r="CF684" s="350"/>
      <c r="CG684" s="350"/>
      <c r="CR684" s="445"/>
      <c r="CS684" s="300"/>
      <c r="CT684" s="522" t="str">
        <f>CT679</f>
        <v/>
      </c>
      <c r="CU684" s="371" t="str">
        <f ca="1">IF(OR(CT684="",DA684="",CT684=DA684,ISNA(VLOOKUP(CONCATENATE(CT684,DA684),games.a,2,FALSE))),"",CONCATENATE(CT684,DA684))</f>
        <v/>
      </c>
      <c r="CV684" s="371" t="str">
        <f ca="1">IF(CU684="","",CONCATENATE(VLOOKUP(CU684,games.a,9,FALSE),VLOOKUP(CU684,games.a,12,FALSE)))</f>
        <v/>
      </c>
      <c r="CW684" s="369" t="str">
        <f ca="1">IF(CU684="","",VLOOKUP(CU684,games.a,10,FALSE))</f>
        <v/>
      </c>
      <c r="CX684" s="369" t="str">
        <f ca="1">IF(CU684="","",VLOOKUP(CU684,games.a,13,FALSE))</f>
        <v/>
      </c>
      <c r="CY684" s="423" t="str">
        <f ca="1">IF(CU684="","",VLOOKUP(CU684,games.a,6,FALSE))</f>
        <v/>
      </c>
      <c r="CZ684" s="409" t="str">
        <f ca="1">IF(CU684="","",VLOOKUP(CU684,games.a,7,FALSE))</f>
        <v/>
      </c>
      <c r="DA684" s="523" t="str">
        <f ca="1">DA683</f>
        <v/>
      </c>
      <c r="DB684" s="302"/>
      <c r="DC684" s="364"/>
      <c r="DD684" s="302"/>
      <c r="DF684" s="424"/>
      <c r="DG684" s="424"/>
      <c r="DH684" s="424"/>
      <c r="DI684" s="424"/>
      <c r="DJ684" s="424"/>
      <c r="DK684" s="424"/>
      <c r="DL684" s="424"/>
      <c r="DM684" s="424"/>
      <c r="DN684" s="424"/>
      <c r="DO684" s="424"/>
      <c r="DP684" s="424"/>
      <c r="DQ684" s="424"/>
      <c r="DR684" s="424"/>
      <c r="DS684" s="424"/>
      <c r="DT684" s="424"/>
      <c r="DU684" s="424"/>
      <c r="DV684" s="424"/>
      <c r="DW684" s="424"/>
      <c r="DX684" s="424"/>
      <c r="DY684" s="424"/>
      <c r="DZ684" s="424"/>
      <c r="EA684" s="424"/>
      <c r="EB684" s="424"/>
      <c r="EC684" s="424"/>
      <c r="ED684" s="424"/>
      <c r="EE684" s="424"/>
      <c r="EF684" s="424"/>
      <c r="EG684" s="424"/>
      <c r="EH684" s="424"/>
      <c r="EI684" s="424"/>
      <c r="EJ684" s="424"/>
      <c r="EK684" s="424"/>
      <c r="EL684" s="424"/>
      <c r="EM684" s="424"/>
      <c r="EN684" s="424"/>
      <c r="EO684" s="425"/>
      <c r="EP684" s="333"/>
    </row>
    <row r="685" spans="80:146" x14ac:dyDescent="0.25">
      <c r="CB685" s="350"/>
      <c r="CC685" s="350"/>
      <c r="CD685" s="350"/>
      <c r="CE685" s="350"/>
      <c r="CF685" s="350"/>
      <c r="CG685" s="350"/>
      <c r="CR685" s="445"/>
      <c r="CS685" s="445"/>
      <c r="CT685" s="301"/>
      <c r="CU685" s="302"/>
      <c r="CV685" s="302"/>
      <c r="CW685" s="302"/>
      <c r="CX685" s="302"/>
      <c r="CY685" s="302"/>
      <c r="CZ685" s="302"/>
      <c r="DA685" s="447"/>
      <c r="DB685" s="302"/>
      <c r="DC685" s="446" t="s">
        <v>219</v>
      </c>
      <c r="DD685" s="302"/>
      <c r="DF685" s="424"/>
      <c r="DG685" s="424"/>
      <c r="DH685" s="424"/>
      <c r="DI685" s="424"/>
      <c r="DJ685" s="424"/>
      <c r="DK685" s="424"/>
      <c r="DL685" s="424"/>
      <c r="DM685" s="424"/>
      <c r="DN685" s="424"/>
      <c r="DO685" s="424"/>
      <c r="DP685" s="424"/>
      <c r="DQ685" s="424"/>
      <c r="DR685" s="424"/>
      <c r="DS685" s="424"/>
      <c r="DT685" s="424"/>
      <c r="DU685" s="424"/>
      <c r="DV685" s="424"/>
      <c r="DW685" s="424"/>
      <c r="DX685" s="424"/>
      <c r="DY685" s="424"/>
      <c r="DZ685" s="424"/>
      <c r="EA685" s="424"/>
      <c r="EB685" s="424"/>
      <c r="EC685" s="424"/>
      <c r="ED685" s="424"/>
      <c r="EE685" s="424"/>
      <c r="EF685" s="424"/>
      <c r="EG685" s="424"/>
      <c r="EH685" s="424"/>
      <c r="EI685" s="424"/>
      <c r="EJ685" s="424"/>
      <c r="EK685" s="424"/>
      <c r="EL685" s="424"/>
      <c r="EM685" s="424"/>
      <c r="EN685" s="424"/>
      <c r="EO685" s="425"/>
      <c r="EP685" s="333"/>
    </row>
    <row r="686" spans="80:146" x14ac:dyDescent="0.25">
      <c r="CB686" s="350"/>
      <c r="CC686" s="350"/>
      <c r="CD686" s="350"/>
      <c r="CE686" s="350"/>
      <c r="CF686" s="350"/>
      <c r="CG686" s="350"/>
      <c r="CR686" s="445"/>
      <c r="CS686" s="300"/>
      <c r="CT686" s="301"/>
      <c r="CU686" s="302"/>
      <c r="CV686" s="302"/>
      <c r="CW686" s="302"/>
      <c r="CX686" s="302"/>
      <c r="CY686" s="302"/>
      <c r="CZ686" s="302"/>
      <c r="DA686" s="447"/>
      <c r="DB686" s="302"/>
      <c r="DC686" s="450" t="s">
        <v>220</v>
      </c>
      <c r="DD686" s="302"/>
      <c r="DF686" s="424"/>
      <c r="DG686" s="424"/>
      <c r="DH686" s="424"/>
      <c r="DI686" s="424"/>
      <c r="DJ686" s="424"/>
      <c r="DK686" s="424"/>
      <c r="DL686" s="424"/>
      <c r="DM686" s="424"/>
      <c r="DN686" s="424"/>
      <c r="DO686" s="424"/>
      <c r="DP686" s="424"/>
      <c r="DQ686" s="424"/>
      <c r="DR686" s="424"/>
      <c r="DS686" s="424"/>
      <c r="DT686" s="424"/>
      <c r="DU686" s="424"/>
      <c r="DV686" s="424"/>
      <c r="DW686" s="424"/>
      <c r="DX686" s="424"/>
      <c r="DY686" s="424"/>
      <c r="DZ686" s="424"/>
      <c r="EA686" s="424"/>
      <c r="EB686" s="424"/>
      <c r="EC686" s="424"/>
      <c r="ED686" s="424"/>
      <c r="EE686" s="424"/>
      <c r="EF686" s="424"/>
      <c r="EG686" s="424"/>
      <c r="EH686" s="424"/>
      <c r="EI686" s="424"/>
      <c r="EJ686" s="424"/>
      <c r="EK686" s="424"/>
      <c r="EL686" s="424"/>
      <c r="EM686" s="424"/>
      <c r="EN686" s="424"/>
      <c r="EO686" s="425"/>
      <c r="EP686" s="333"/>
    </row>
    <row r="687" spans="80:146" x14ac:dyDescent="0.25">
      <c r="CB687" s="350"/>
      <c r="CC687" s="350"/>
      <c r="CD687" s="350"/>
      <c r="CE687" s="350"/>
      <c r="CF687" s="350"/>
      <c r="CG687" s="350"/>
      <c r="CR687" s="445"/>
      <c r="CS687" s="300"/>
      <c r="CT687" s="323" t="b">
        <f ca="1">OR(NOT(ASZTAB!$AJ$44),COUNTIF(CY687:CY741,"")&lt;=50-(DA687-1)*DA687/2)</f>
        <v>1</v>
      </c>
      <c r="CU687" s="471" t="s">
        <v>157</v>
      </c>
      <c r="CV687" s="471" t="s">
        <v>158</v>
      </c>
      <c r="CW687" s="472" t="s">
        <v>159</v>
      </c>
      <c r="CX687" s="472"/>
      <c r="CY687" s="473" t="s">
        <v>160</v>
      </c>
      <c r="CZ687" s="472" t="s">
        <v>135</v>
      </c>
      <c r="DA687" s="323">
        <f ca="1">COUNT(CK620:CK624)</f>
        <v>0</v>
      </c>
      <c r="DB687" s="302"/>
      <c r="DC687" s="364"/>
      <c r="DD687" s="302"/>
      <c r="DF687" s="424"/>
      <c r="DG687" s="329" t="s">
        <v>223</v>
      </c>
      <c r="DH687" s="329" t="s">
        <v>224</v>
      </c>
      <c r="DI687" s="329" t="s">
        <v>152</v>
      </c>
      <c r="DK687" s="329" t="s">
        <v>154</v>
      </c>
      <c r="DL687" s="329" t="s">
        <v>155</v>
      </c>
      <c r="DN687" s="329" t="s">
        <v>226</v>
      </c>
      <c r="DP687" s="329" t="s">
        <v>227</v>
      </c>
      <c r="DT687" s="329" t="s">
        <v>228</v>
      </c>
      <c r="DU687" s="329" t="s">
        <v>156</v>
      </c>
      <c r="DV687" s="329" t="s">
        <v>208</v>
      </c>
      <c r="DX687" s="329" t="s">
        <v>212</v>
      </c>
      <c r="DY687" s="330" t="s">
        <v>227</v>
      </c>
      <c r="DZ687" s="329" t="s">
        <v>225</v>
      </c>
      <c r="EA687" s="328"/>
      <c r="EB687" s="328"/>
      <c r="EC687" s="328"/>
      <c r="ED687" s="331" t="str">
        <f ca="1">IF(EC688=0,"xxx",VLOOKUP(EC688,DX688:EA692,IF(ASZTAB!$AJ$54,2,3),FALSE))</f>
        <v>xxx</v>
      </c>
      <c r="EE687" s="328"/>
      <c r="EF687" s="328"/>
      <c r="EG687" s="331" t="str">
        <f ca="1">IF(EC689=0,"xxx",VLOOKUP(EC689,DX688:EA692,IF(ASZTAB!$AJ$54,2,3),FALSE))</f>
        <v>xxx</v>
      </c>
      <c r="EH687" s="328"/>
      <c r="EI687" s="328"/>
      <c r="EM687" s="424"/>
      <c r="EN687" s="471"/>
      <c r="EO687" s="425"/>
      <c r="EP687" s="333"/>
    </row>
    <row r="688" spans="80:146" x14ac:dyDescent="0.25">
      <c r="CB688" s="350"/>
      <c r="CC688" s="350"/>
      <c r="CD688" s="350"/>
      <c r="CE688" s="350"/>
      <c r="CF688" s="350"/>
      <c r="CG688" s="350"/>
      <c r="CR688" s="445"/>
      <c r="CT688" s="477" t="str">
        <f ca="1">IF(CK620="","",VLOOKUP(CK620,xxx.rn2,4,FALSE))</f>
        <v/>
      </c>
      <c r="CU688" s="478" t="str">
        <f ca="1">IF(OR(CT688="",DA688="",CT688=DA688,COUNTIF(games.rn,CT688&amp;DA688)=0),"",CONCATENATE(CT688,DA688))</f>
        <v/>
      </c>
      <c r="CV688" s="360" t="str">
        <f ca="1">IF(CU688="","",CONCATENATE(VLOOKUP(CU688,games.r,9,FALSE),VLOOKUP(CU688,games.r,12,FALSE)))</f>
        <v/>
      </c>
      <c r="CW688" s="354" t="str">
        <f ca="1">IF(CU688="","",VLOOKUP(CU688,games.r,10,FALSE))</f>
        <v/>
      </c>
      <c r="CX688" s="354" t="str">
        <f ca="1">IF(CU688="","",VLOOKUP(CU688,games.r,13,FALSE))</f>
        <v/>
      </c>
      <c r="CY688" s="361" t="str">
        <f ca="1">IF(CU688="","",VLOOKUP(CU688,games.r,6,FALSE))</f>
        <v/>
      </c>
      <c r="CZ688" s="362" t="str">
        <f ca="1">IF(CU688="","",VLOOKUP(CU688,games.r,7,FALSE))</f>
        <v/>
      </c>
      <c r="DA688" s="479" t="str">
        <f ca="1">CT688</f>
        <v/>
      </c>
      <c r="DB688" s="302"/>
      <c r="DC688" s="364"/>
      <c r="DF688" s="424"/>
      <c r="DG688" s="366" t="str">
        <f ca="1">IF(AND(ASZTAB!$AJ$44,CT687,DA687&lt;&gt;2),CT688,"")</f>
        <v/>
      </c>
      <c r="DH688" s="366">
        <f ca="1">IF(DG688="",-1,COUNTIF(xxgy.rn,DG688))</f>
        <v>-1</v>
      </c>
      <c r="DI688" s="366">
        <f ca="1">IF(DG688="",0,COUNTIF(yygy.rn,DG688))</f>
        <v>0</v>
      </c>
      <c r="DK688" s="366">
        <f ca="1">IF(DG688="",0,1)*(SUMIF(yyo.rn,DG688,yyl.rn)+SUMIF(yyi.rn,DG688,yyk.rn))</f>
        <v>0</v>
      </c>
      <c r="DL688" s="366">
        <f ca="1">IF(DG688="",0,1)*(SUMIF(yyo.rn,DG688,yyk.rn)+SUMIF(yyi.rn,DG688,yyl.rn))</f>
        <v>0</v>
      </c>
      <c r="DN688" s="366">
        <f ca="1">IF(DL688=0,0,DK688/DL688)</f>
        <v>0</v>
      </c>
      <c r="DP688" s="366">
        <f ca="1">DH688*1000000+DI688*1000+DN688</f>
        <v>-1000000</v>
      </c>
      <c r="DT688" s="366">
        <f ca="1">IF(OR(ISERR(DP688),ISNA(DP688),DH688&lt;0),0,DP688)</f>
        <v>0</v>
      </c>
      <c r="DU688" s="366">
        <f ca="1">IF(DT688=0,0,RANK(DT688,DT688:DT692,1))</f>
        <v>0</v>
      </c>
      <c r="DV688" s="366">
        <f ca="1">DU688*40000*IF(COUNTIF($EN$688:$EN$697,DG688)&gt;0,0,1)</f>
        <v>0</v>
      </c>
      <c r="DX688" s="367">
        <f ca="1">IF(ASZTAB!$AJ$54,COUNTIF(DP694:DP698,DY688)*IF(DY688=0,0,1),COUNTIF(DH688:DH692,DZ688)*IF(DZ688&lt;0,0,1))+EA688/1000</f>
        <v>1E-3</v>
      </c>
      <c r="DY688" s="367">
        <f ca="1">LARGE(DP694:DP698,EA688)</f>
        <v>0</v>
      </c>
      <c r="DZ688" s="369">
        <f ca="1">LARGE(DH688:DH692,EA688)</f>
        <v>-1</v>
      </c>
      <c r="EA688" s="369">
        <v>1</v>
      </c>
      <c r="EB688" s="365"/>
      <c r="EC688" s="370">
        <f ca="1">IF(LARGE(DX688:DX692,EA688)&lt;2,0,LARGE(DX688:DX692,EA688))</f>
        <v>0</v>
      </c>
      <c r="ED688" s="371" t="str">
        <f ca="1">IF(DH688=ED687,DG688,IF(DP694=ED687,DG694,""))</f>
        <v/>
      </c>
      <c r="EE688" s="369" t="str">
        <f ca="1">IF(ED688="","",EA688)</f>
        <v/>
      </c>
      <c r="EF688" s="372" t="str">
        <f ca="1">IF(ISERR(LARGE(EE688:EE692,EA688)),"",LARGE(EE688:EE692,EA688))</f>
        <v/>
      </c>
      <c r="EG688" s="371" t="str">
        <f ca="1">IF(DH688=EG687,DG688,IF(DP694=EG687,DG694,""))</f>
        <v/>
      </c>
      <c r="EH688" s="369" t="str">
        <f ca="1">IF(EG688="","",EA688)</f>
        <v/>
      </c>
      <c r="EI688" s="372" t="str">
        <f ca="1">IF(ISERR(LARGE(EH688:EH692,EA688)),"",LARGE(EH688:EH692,EA688))</f>
        <v/>
      </c>
      <c r="EM688" s="424"/>
      <c r="EN688" s="366"/>
      <c r="EO688" s="425"/>
      <c r="EP688" s="333"/>
    </row>
    <row r="689" spans="80:146" x14ac:dyDescent="0.25">
      <c r="CB689" s="350"/>
      <c r="CC689" s="350"/>
      <c r="CD689" s="350"/>
      <c r="CE689" s="350"/>
      <c r="CF689" s="350"/>
      <c r="CG689" s="350"/>
      <c r="CR689" s="445"/>
      <c r="CS689" s="445"/>
      <c r="CT689" s="477" t="str">
        <f ca="1">IF(CK621="","",VLOOKUP(CK621,xxx.rn2,4,FALSE))</f>
        <v/>
      </c>
      <c r="CU689" s="478" t="str">
        <f ca="1">IF(OR(CT689="",DA689="",CT689=DA689,COUNTIF(games.rn,CT689&amp;DA689)=0),"",CONCATENATE(CT689,DA689))</f>
        <v/>
      </c>
      <c r="CV689" s="360" t="str">
        <f ca="1">IF(CU689="","",CONCATENATE(VLOOKUP(CU689,games.r,9,FALSE),VLOOKUP(CU689,games.r,12,FALSE)))</f>
        <v/>
      </c>
      <c r="CW689" s="354" t="str">
        <f ca="1">IF(CU689="","",VLOOKUP(CU689,games.r,10,FALSE))</f>
        <v/>
      </c>
      <c r="CX689" s="354" t="str">
        <f ca="1">IF(CU689="","",VLOOKUP(CU689,games.r,13,FALSE))</f>
        <v/>
      </c>
      <c r="CY689" s="361" t="str">
        <f ca="1">IF(CU689="","",VLOOKUP(CU689,games.r,6,FALSE))</f>
        <v/>
      </c>
      <c r="CZ689" s="362" t="str">
        <f ca="1">IF(CU689="","",VLOOKUP(CU689,games.r,7,FALSE))</f>
        <v/>
      </c>
      <c r="DA689" s="379" t="str">
        <f t="shared" ref="DA689:DA697" ca="1" si="434">DA688</f>
        <v/>
      </c>
      <c r="DB689" s="302"/>
      <c r="DC689" s="364"/>
      <c r="DD689" s="445"/>
      <c r="DF689" s="424"/>
      <c r="DG689" s="366" t="str">
        <f ca="1">IF(AND(ASZTAB!$AJ$44,CT687,DA687&lt;&gt;2),CT689,"")</f>
        <v/>
      </c>
      <c r="DH689" s="366">
        <f ca="1">IF(DG689="",-1,COUNTIF(xxgy.rn,DG689))</f>
        <v>-1</v>
      </c>
      <c r="DI689" s="366">
        <f ca="1">IF(DG689="",0,COUNTIF(yygy.rn,DG689))</f>
        <v>0</v>
      </c>
      <c r="DK689" s="366">
        <f ca="1">IF(DG689="",0,1)*(SUMIF(yyo.rn,DG689,yyl.rn)+SUMIF(yyi.rn,DG689,yyk.rn))</f>
        <v>0</v>
      </c>
      <c r="DL689" s="366">
        <f ca="1">IF(DG689="",0,1)*(SUMIF(yyo.rn,DG689,yyk.rn)+SUMIF(yyi.rn,DG689,yyl.rn))</f>
        <v>0</v>
      </c>
      <c r="DN689" s="366">
        <f ca="1">IF(DL689=0,0,DK689/DL689)</f>
        <v>0</v>
      </c>
      <c r="DP689" s="366">
        <f ca="1">DH689*1000000+DI689*1000+DN689</f>
        <v>-1000000</v>
      </c>
      <c r="DT689" s="366">
        <f ca="1">IF(OR(ISERR(DP689),ISNA(DP689),DH689&lt;0),0,DP689)</f>
        <v>0</v>
      </c>
      <c r="DU689" s="366">
        <f ca="1">IF(DT689=0,0,RANK(DT689,DT688:DT692,1))</f>
        <v>0</v>
      </c>
      <c r="DV689" s="366">
        <f ca="1">DU689*40000*IF(COUNTIF($EN$688:$EN$697,DG689)&gt;0,0,1)</f>
        <v>0</v>
      </c>
      <c r="DX689" s="367">
        <f ca="1">IF(ASZTAB!$AJ$54,COUNTIF(DP694:DP698,DY688)*IF(OR(DY689=0,DY689=DY688),0,1),COUNTIF(DH688:DH692,DZ689)*IF(OR(DZ689=DZ688,DZ689&lt;0),0,1))+EA689/1000</f>
        <v>2E-3</v>
      </c>
      <c r="DY689" s="367">
        <f ca="1">LARGE(DP694:DP698,EA689)</f>
        <v>0</v>
      </c>
      <c r="DZ689" s="369">
        <f ca="1">LARGE(DH688:DH692,EA689)</f>
        <v>-1</v>
      </c>
      <c r="EA689" s="369">
        <v>2</v>
      </c>
      <c r="EB689" s="365"/>
      <c r="EC689" s="370">
        <f ca="1">IF(LARGE(DX688:DX692,EA689)&lt;2,0,LARGE(DX688:DX692,EA689))</f>
        <v>0</v>
      </c>
      <c r="ED689" s="371" t="str">
        <f ca="1">IF(DH689=ED687,DG689,IF(DP695=ED687,DG695,""))</f>
        <v/>
      </c>
      <c r="EE689" s="369" t="str">
        <f ca="1">IF(ED689="","",EA689)</f>
        <v/>
      </c>
      <c r="EF689" s="372" t="str">
        <f ca="1">IF(ISERR(LARGE(EE688:EE692,EA689)),"",LARGE(EE688:EE692,EA689))</f>
        <v/>
      </c>
      <c r="EG689" s="371" t="str">
        <f ca="1">IF(DH689=EG687,DG689,IF(DP695=EG687,DG695,""))</f>
        <v/>
      </c>
      <c r="EH689" s="369" t="str">
        <f ca="1">IF(EG689="","",EA689)</f>
        <v/>
      </c>
      <c r="EI689" s="372" t="str">
        <f ca="1">IF(ISERR(LARGE(EH688:EH692,EA689)),"",LARGE(EH688:EH692,EA689))</f>
        <v/>
      </c>
      <c r="EM689" s="424"/>
      <c r="EN689" s="366"/>
      <c r="EO689" s="425"/>
      <c r="EP689" s="333"/>
    </row>
    <row r="690" spans="80:146" x14ac:dyDescent="0.25">
      <c r="CB690" s="350"/>
      <c r="CC690" s="350"/>
      <c r="CD690" s="350"/>
      <c r="CE690" s="350"/>
      <c r="CF690" s="350"/>
      <c r="CG690" s="350"/>
      <c r="CR690" s="445"/>
      <c r="CS690" s="445"/>
      <c r="CT690" s="477" t="str">
        <f ca="1">IF(CK622="","",VLOOKUP(CK622,xxx.rn2,4,FALSE))</f>
        <v/>
      </c>
      <c r="CU690" s="478" t="str">
        <f ca="1">IF(OR(CT690="",DA690="",CT690=DA690,COUNTIF(games.rn,CT690&amp;DA690)=0),"",CONCATENATE(CT690,DA690))</f>
        <v/>
      </c>
      <c r="CV690" s="360" t="str">
        <f ca="1">IF(CU690="","",CONCATENATE(VLOOKUP(CU690,games.r,9,FALSE),VLOOKUP(CU690,games.r,12,FALSE)))</f>
        <v/>
      </c>
      <c r="CW690" s="354" t="str">
        <f ca="1">IF(CU690="","",VLOOKUP(CU690,games.r,10,FALSE))</f>
        <v/>
      </c>
      <c r="CX690" s="354" t="str">
        <f ca="1">IF(CU690="","",VLOOKUP(CU690,games.r,13,FALSE))</f>
        <v/>
      </c>
      <c r="CY690" s="361" t="str">
        <f ca="1">IF(CU690="","",VLOOKUP(CU690,games.r,6,FALSE))</f>
        <v/>
      </c>
      <c r="CZ690" s="362" t="str">
        <f ca="1">IF(CU690="","",VLOOKUP(CU690,games.r,7,FALSE))</f>
        <v/>
      </c>
      <c r="DA690" s="379" t="str">
        <f t="shared" ca="1" si="434"/>
        <v/>
      </c>
      <c r="DB690" s="302"/>
      <c r="DC690" s="364"/>
      <c r="DD690" s="445"/>
      <c r="DF690" s="424"/>
      <c r="DG690" s="366" t="str">
        <f ca="1">IF(AND(ASZTAB!$AJ$44,CT687,DA687&lt;&gt;2),CT690,"")</f>
        <v/>
      </c>
      <c r="DH690" s="366">
        <f ca="1">IF(DG690="",-1,COUNTIF(xxgy.rn,DG690))</f>
        <v>-1</v>
      </c>
      <c r="DI690" s="366">
        <f ca="1">IF(DG690="",0,COUNTIF(yygy.rn,DG690))</f>
        <v>0</v>
      </c>
      <c r="DK690" s="366">
        <f ca="1">IF(DG690="",0,1)*(SUMIF(yyo.rn,DG690,yyl.rn)+SUMIF(yyi.rn,DG690,yyk.rn))</f>
        <v>0</v>
      </c>
      <c r="DL690" s="366">
        <f ca="1">IF(DG690="",0,1)*(SUMIF(yyo.rn,DG690,yyk.rn)+SUMIF(yyi.rn,DG690,yyl.rn))</f>
        <v>0</v>
      </c>
      <c r="DN690" s="366">
        <f ca="1">IF(DL690=0,0,DK690/DL690)</f>
        <v>0</v>
      </c>
      <c r="DP690" s="366">
        <f ca="1">DH690*1000000+DI690*1000+DN690</f>
        <v>-1000000</v>
      </c>
      <c r="DT690" s="366">
        <f ca="1">IF(OR(ISERR(DP690),ISNA(DP690),DH690&lt;0),0,DP690)</f>
        <v>0</v>
      </c>
      <c r="DU690" s="366">
        <f ca="1">IF(DT690=0,0,RANK(DT690,DT688:DT692,1))</f>
        <v>0</v>
      </c>
      <c r="DV690" s="366">
        <f ca="1">DU690*40000*IF(COUNTIF($EN$688:$EN$697,DG690)&gt;0,0,1)</f>
        <v>0</v>
      </c>
      <c r="DW690" s="365"/>
      <c r="DX690" s="367">
        <f ca="1">IF(ASZTAB!$AJ$54,COUNTIF(DP694:DP698,DY689)*IF(OR(DY690=0,DY690=DY689),0,1),COUNTIF(DH688:DH692,DZ690)*IF(OR(DZ690=DZ689,DZ690&lt;0),0,1))+EA690/1000</f>
        <v>3.0000000000000001E-3</v>
      </c>
      <c r="DY690" s="367">
        <f ca="1">LARGE(DP694:DP698,EA690)</f>
        <v>0</v>
      </c>
      <c r="DZ690" s="369">
        <f ca="1">LARGE(DH688:DH692,EA690)</f>
        <v>-1</v>
      </c>
      <c r="EA690" s="369">
        <v>3</v>
      </c>
      <c r="EB690" s="365"/>
      <c r="EC690" s="365"/>
      <c r="ED690" s="371" t="str">
        <f ca="1">IF(DH690=ED687,DG690,IF(DP696=ED687,DG696,""))</f>
        <v/>
      </c>
      <c r="EE690" s="369" t="str">
        <f ca="1">IF(ED690="","",EA690)</f>
        <v/>
      </c>
      <c r="EF690" s="388" t="str">
        <f ca="1">IF(ISERR(LARGE(EE688:EE692,EA690)),"",LARGE(EE688:EE692,EA690))</f>
        <v/>
      </c>
      <c r="EG690" s="371" t="str">
        <f ca="1">IF(DH690=EG687,DG690,IF(DP696=EG687,DG696,""))</f>
        <v/>
      </c>
      <c r="EH690" s="369" t="str">
        <f ca="1">IF(EG690="","",EA690)</f>
        <v/>
      </c>
      <c r="EI690" s="381"/>
      <c r="EM690" s="424"/>
      <c r="EN690" s="366"/>
      <c r="EO690" s="425"/>
      <c r="EP690" s="333"/>
    </row>
    <row r="691" spans="80:146" x14ac:dyDescent="0.25">
      <c r="CB691" s="350"/>
      <c r="CC691" s="350"/>
      <c r="CD691" s="350"/>
      <c r="CE691" s="350"/>
      <c r="CF691" s="350"/>
      <c r="CG691" s="350"/>
      <c r="CR691" s="445"/>
      <c r="CS691" s="445"/>
      <c r="CT691" s="477" t="str">
        <f ca="1">IF(CK623="","",VLOOKUP(CK623,xxx.rn2,4,FALSE))</f>
        <v/>
      </c>
      <c r="CU691" s="478" t="str">
        <f ca="1">IF(OR(CT691="",DA691="",CT691=DA691,COUNTIF(games.rn,CT691&amp;DA691)=0),"",CONCATENATE(CT691,DA691))</f>
        <v/>
      </c>
      <c r="CV691" s="360" t="str">
        <f ca="1">IF(CU691="","",CONCATENATE(VLOOKUP(CU691,games.r,9,FALSE),VLOOKUP(CU691,games.r,12,FALSE)))</f>
        <v/>
      </c>
      <c r="CW691" s="354" t="str">
        <f ca="1">IF(CU691="","",VLOOKUP(CU691,games.r,10,FALSE))</f>
        <v/>
      </c>
      <c r="CX691" s="354" t="str">
        <f ca="1">IF(CU691="","",VLOOKUP(CU691,games.r,13,FALSE))</f>
        <v/>
      </c>
      <c r="CY691" s="361" t="str">
        <f ca="1">IF(CU691="","",VLOOKUP(CU691,games.r,6,FALSE))</f>
        <v/>
      </c>
      <c r="CZ691" s="362" t="str">
        <f ca="1">IF(CU691="","",VLOOKUP(CU691,games.r,7,FALSE))</f>
        <v/>
      </c>
      <c r="DA691" s="379" t="str">
        <f t="shared" ca="1" si="434"/>
        <v/>
      </c>
      <c r="DB691" s="302"/>
      <c r="DC691" s="364"/>
      <c r="DD691" s="445"/>
      <c r="DF691" s="424"/>
      <c r="DG691" s="366" t="str">
        <f ca="1">IF(AND(ASZTAB!$AJ$44,CT687,DA687&lt;&gt;2),CT691,"")</f>
        <v/>
      </c>
      <c r="DH691" s="366">
        <f ca="1">IF(DG691="",-1,COUNTIF(xxgy.rn,DG691))</f>
        <v>-1</v>
      </c>
      <c r="DI691" s="366">
        <f ca="1">IF(DG691="",0,COUNTIF(yygy.rn,DG691))</f>
        <v>0</v>
      </c>
      <c r="DK691" s="366">
        <f ca="1">IF(DG691="",0,1)*(SUMIF(yyo.rn,DG691,yyl.rn)+SUMIF(yyi.rn,DG691,yyk.rn))</f>
        <v>0</v>
      </c>
      <c r="DL691" s="366">
        <f ca="1">IF(DG691="",0,1)*(SUMIF(yyo.rn,DG691,yyk.rn)+SUMIF(yyi.rn,DG691,yyl.rn))</f>
        <v>0</v>
      </c>
      <c r="DN691" s="366">
        <f ca="1">IF(DL691=0,0,DK691/DL691)</f>
        <v>0</v>
      </c>
      <c r="DP691" s="366">
        <f ca="1">DH691*1000000+DI691*1000+DN691</f>
        <v>-1000000</v>
      </c>
      <c r="DT691" s="366">
        <f ca="1">IF(OR(ISERR(DP691),ISNA(DP691),DH691&lt;0),0,DP691)</f>
        <v>0</v>
      </c>
      <c r="DU691" s="366">
        <f ca="1">IF(DT691=0,0,RANK(DT691,DT688:DT692,1))</f>
        <v>0</v>
      </c>
      <c r="DV691" s="366">
        <f ca="1">DU691*40000*IF(COUNTIF($EN$688:$EN$697,DG691)&gt;0,0,1)</f>
        <v>0</v>
      </c>
      <c r="DW691" s="365"/>
      <c r="DX691" s="367">
        <f ca="1">IF(ASZTAB!$AJ$54,COUNTIF(DP694:DP698,DY690)*IF(OR(DY691=0,DY691=DY690),0,1),COUNTIF(DH688:DH692,DZ691)*IF(OR(DZ691=DZ690,DZ691&lt;0),0,1))+EA691/1000</f>
        <v>4.0000000000000001E-3</v>
      </c>
      <c r="DY691" s="367">
        <f ca="1">LARGE(DP694:DP698,EA691)</f>
        <v>0</v>
      </c>
      <c r="DZ691" s="369">
        <f ca="1">LARGE(DH688:DH692,EA691)</f>
        <v>-1</v>
      </c>
      <c r="EA691" s="369">
        <v>4</v>
      </c>
      <c r="EB691" s="365"/>
      <c r="EC691" s="365"/>
      <c r="ED691" s="371" t="str">
        <f ca="1">IF(DH691=ED687,DG691,IF(DP697=ED687,DG697,""))</f>
        <v/>
      </c>
      <c r="EE691" s="369" t="str">
        <f ca="1">IF(ED691="","",EA691)</f>
        <v/>
      </c>
      <c r="EF691" s="386"/>
      <c r="EG691" s="371" t="str">
        <f ca="1">IF(DH691=EG687,DG691,IF(DP697=EG687,DG697,""))</f>
        <v/>
      </c>
      <c r="EH691" s="369" t="str">
        <f ca="1">IF(EG691="","",EA691)</f>
        <v/>
      </c>
      <c r="EI691" s="386"/>
      <c r="EM691" s="424"/>
      <c r="EN691" s="366"/>
      <c r="EO691" s="425"/>
      <c r="EP691" s="333"/>
    </row>
    <row r="692" spans="80:146" x14ac:dyDescent="0.25">
      <c r="CB692" s="350"/>
      <c r="CC692" s="350"/>
      <c r="CD692" s="350"/>
      <c r="CE692" s="350"/>
      <c r="CF692" s="350"/>
      <c r="CG692" s="350"/>
      <c r="CR692" s="445"/>
      <c r="CS692" s="445"/>
      <c r="CT692" s="477" t="str">
        <f ca="1">IF(CK624="","",VLOOKUP(CK624,xxx.rn2,4,FALSE))</f>
        <v/>
      </c>
      <c r="CU692" s="478" t="str">
        <f ca="1">IF(OR(CT692="",DA692="",CT692=DA692,COUNTIF(games.rn,CT692&amp;DA692)=0),"",CONCATENATE(CT692,DA692))</f>
        <v/>
      </c>
      <c r="CV692" s="360" t="str">
        <f ca="1">IF(CU692="","",CONCATENATE(VLOOKUP(CU692,games.r,9,FALSE),VLOOKUP(CU692,games.r,12,FALSE)))</f>
        <v/>
      </c>
      <c r="CW692" s="354" t="str">
        <f ca="1">IF(CU692="","",VLOOKUP(CU692,games.r,10,FALSE))</f>
        <v/>
      </c>
      <c r="CX692" s="354" t="str">
        <f ca="1">IF(CU692="","",VLOOKUP(CU692,games.r,13,FALSE))</f>
        <v/>
      </c>
      <c r="CY692" s="361" t="str">
        <f ca="1">IF(CU692="","",VLOOKUP(CU692,games.r,6,FALSE))</f>
        <v/>
      </c>
      <c r="CZ692" s="362" t="str">
        <f ca="1">IF(CU692="","",VLOOKUP(CU692,games.r,7,FALSE))</f>
        <v/>
      </c>
      <c r="DA692" s="379" t="str">
        <f t="shared" ca="1" si="434"/>
        <v/>
      </c>
      <c r="DB692" s="302"/>
      <c r="DC692" s="364"/>
      <c r="DD692" s="445"/>
      <c r="DF692" s="424"/>
      <c r="DG692" s="366" t="str">
        <f ca="1">IF(AND(ASZTAB!$AJ$44,CT687,DA687&lt;&gt;2),CT692,"")</f>
        <v/>
      </c>
      <c r="DH692" s="366">
        <f ca="1">IF(DG692="",-1,COUNTIF(xxgy.rn,DG692))</f>
        <v>-1</v>
      </c>
      <c r="DI692" s="366">
        <f ca="1">IF(DG692="",0,COUNTIF(yygy.rn,DG692))</f>
        <v>0</v>
      </c>
      <c r="DK692" s="366">
        <f ca="1">IF(DG692="",0,1)*(SUMIF(yyo.rn,DG692,yyl.rn)+SUMIF(yyi.rn,DG692,yyk.rn))</f>
        <v>0</v>
      </c>
      <c r="DL692" s="366">
        <f ca="1">IF(DG692="",0,1)*(SUMIF(yyo.rn,DG692,yyk.rn)+SUMIF(yyi.rn,DG692,yyl.rn))</f>
        <v>0</v>
      </c>
      <c r="DN692" s="366">
        <f ca="1">IF(DL692=0,0,DK692/DL692)</f>
        <v>0</v>
      </c>
      <c r="DP692" s="366">
        <f ca="1">DH692*1000000+DI692*1000+DN692</f>
        <v>-1000000</v>
      </c>
      <c r="DT692" s="366">
        <f ca="1">IF(OR(ISERR(DP692),ISNA(DP692),DH692&lt;0),0,DP692)</f>
        <v>0</v>
      </c>
      <c r="DU692" s="366">
        <f ca="1">IF(DT692=0,0,RANK(DT692,DT688:DT692,1))</f>
        <v>0</v>
      </c>
      <c r="DV692" s="366">
        <f ca="1">DU692*40000*IF(COUNTIF($EN$688:$EN$697,DG692)&gt;0,0,1)</f>
        <v>0</v>
      </c>
      <c r="DW692" s="365"/>
      <c r="DX692" s="367">
        <f ca="1">IF(ASZTAB!$AJ$54,COUNTIF(DP694:DP698,DY691)*IF(OR(DY692=0,DY692=DY691),0,1),COUNTIF(DH688:DH692,DZ692)*IF(OR(DZ692=DZ691,DZ692&lt;0),0,1))+EA692/1000</f>
        <v>5.0000000000000001E-3</v>
      </c>
      <c r="DY692" s="367">
        <f ca="1">LARGE(DP694:DP698,EA692)</f>
        <v>0</v>
      </c>
      <c r="DZ692" s="369">
        <f ca="1">LARGE(DH688:DH692,EA692)</f>
        <v>-1</v>
      </c>
      <c r="EA692" s="369">
        <v>5</v>
      </c>
      <c r="EB692" s="365"/>
      <c r="EC692" s="365"/>
      <c r="ED692" s="371" t="str">
        <f ca="1">IF(DH692=ED687,DG692,IF(DP698=ED687,DG698,""))</f>
        <v/>
      </c>
      <c r="EE692" s="369" t="str">
        <f ca="1">IF(ED692="","",EA692)</f>
        <v/>
      </c>
      <c r="EF692" s="391"/>
      <c r="EG692" s="371" t="str">
        <f ca="1">IF(DH692=EG687,DG692,IF(DP698=EG687,DG698,""))</f>
        <v/>
      </c>
      <c r="EH692" s="369" t="str">
        <f ca="1">IF(EG692="","",EA692)</f>
        <v/>
      </c>
      <c r="EI692" s="391"/>
      <c r="EM692" s="424"/>
      <c r="EN692" s="366"/>
      <c r="EO692" s="425"/>
      <c r="EP692" s="333"/>
    </row>
    <row r="693" spans="80:146" x14ac:dyDescent="0.25">
      <c r="CB693" s="350"/>
      <c r="CC693" s="350"/>
      <c r="CD693" s="350"/>
      <c r="CE693" s="350"/>
      <c r="CF693" s="350"/>
      <c r="CG693" s="350"/>
      <c r="CR693" s="445"/>
      <c r="CS693" s="445"/>
      <c r="CT693" s="522" t="str">
        <f>IF(NOT($AD$105),"",CT688)</f>
        <v/>
      </c>
      <c r="CU693" s="371" t="str">
        <f ca="1">IF(OR(CT693="",DA693="",CT693=DA693,ISNA(VLOOKUP(CONCATENATE(CT693,DA693),games.a,2,FALSE))),"",CONCATENATE(CT693,DA693))</f>
        <v/>
      </c>
      <c r="CV693" s="371" t="str">
        <f ca="1">IF(CU693="","",CONCATENATE(VLOOKUP(CU693,games.a,9,FALSE),VLOOKUP(CU693,games.a,12,FALSE)))</f>
        <v/>
      </c>
      <c r="CW693" s="369" t="str">
        <f ca="1">IF(CU693="","",VLOOKUP(CU693,games.a,10,FALSE))</f>
        <v/>
      </c>
      <c r="CX693" s="369" t="str">
        <f ca="1">IF(CU693="","",VLOOKUP(CU693,games.a,13,FALSE))</f>
        <v/>
      </c>
      <c r="CY693" s="423" t="str">
        <f ca="1">IF(CU693="","",VLOOKUP(CU693,games.a,6,FALSE))</f>
        <v/>
      </c>
      <c r="CZ693" s="409" t="str">
        <f ca="1">IF(CU693="","",VLOOKUP(CU693,games.a,7,FALSE))</f>
        <v/>
      </c>
      <c r="DA693" s="523" t="str">
        <f t="shared" ca="1" si="434"/>
        <v/>
      </c>
      <c r="DB693" s="302"/>
      <c r="DC693" s="364"/>
      <c r="DD693" s="445"/>
      <c r="DF693" s="424"/>
      <c r="DG693" s="329" t="s">
        <v>229</v>
      </c>
      <c r="DH693" s="365"/>
      <c r="DI693" s="329" t="s">
        <v>152</v>
      </c>
      <c r="DJ693" s="329" t="s">
        <v>153</v>
      </c>
      <c r="DK693" s="329" t="s">
        <v>154</v>
      </c>
      <c r="DL693" s="329" t="s">
        <v>155</v>
      </c>
      <c r="DM693" s="329" t="s">
        <v>125</v>
      </c>
      <c r="DN693" s="329" t="s">
        <v>226</v>
      </c>
      <c r="DO693" s="329" t="s">
        <v>126</v>
      </c>
      <c r="DP693" s="329" t="s">
        <v>227</v>
      </c>
      <c r="DQ693" s="330" t="s">
        <v>154</v>
      </c>
      <c r="DR693" s="330" t="s">
        <v>155</v>
      </c>
      <c r="DS693" s="330" t="s">
        <v>125</v>
      </c>
      <c r="DT693" s="329" t="s">
        <v>228</v>
      </c>
      <c r="DU693" s="329" t="s">
        <v>156</v>
      </c>
      <c r="DV693" s="329" t="s">
        <v>208</v>
      </c>
      <c r="DW693" s="365"/>
      <c r="DX693" s="365"/>
      <c r="DY693" s="365"/>
      <c r="DZ693" s="365"/>
      <c r="EA693" s="365"/>
      <c r="EB693" s="365"/>
      <c r="EC693" s="365"/>
      <c r="ED693" s="365"/>
      <c r="EE693" s="365"/>
      <c r="EF693" s="365"/>
      <c r="EG693" s="365"/>
      <c r="EH693" s="365"/>
      <c r="EI693" s="365"/>
      <c r="EJ693" s="365"/>
      <c r="EK693" s="365"/>
      <c r="EL693" s="365"/>
      <c r="EM693" s="424"/>
      <c r="EN693" s="366"/>
      <c r="EO693" s="425"/>
      <c r="EP693" s="333"/>
    </row>
    <row r="694" spans="80:146" x14ac:dyDescent="0.25">
      <c r="CB694" s="350"/>
      <c r="CC694" s="350"/>
      <c r="CD694" s="350"/>
      <c r="CE694" s="350"/>
      <c r="CF694" s="350"/>
      <c r="CG694" s="350"/>
      <c r="CR694" s="445"/>
      <c r="CS694" s="445"/>
      <c r="CT694" s="522" t="str">
        <f>IF(NOT($AD$105),"",CT689)</f>
        <v/>
      </c>
      <c r="CU694" s="371" t="str">
        <f ca="1">IF(OR(CT694="",DA694="",CT694=DA694,ISNA(VLOOKUP(CONCATENATE(CT694,DA694),games.a,2,FALSE))),"",CONCATENATE(CT694,DA694))</f>
        <v/>
      </c>
      <c r="CV694" s="371" t="str">
        <f ca="1">IF(CU694="","",CONCATENATE(VLOOKUP(CU694,games.a,9,FALSE),VLOOKUP(CU694,games.a,12,FALSE)))</f>
        <v/>
      </c>
      <c r="CW694" s="369" t="str">
        <f ca="1">IF(CU694="","",VLOOKUP(CU694,games.a,10,FALSE))</f>
        <v/>
      </c>
      <c r="CX694" s="369" t="str">
        <f ca="1">IF(CU694="","",VLOOKUP(CU694,games.a,13,FALSE))</f>
        <v/>
      </c>
      <c r="CY694" s="423" t="str">
        <f ca="1">IF(CU694="","",VLOOKUP(CU694,games.a,6,FALSE))</f>
        <v/>
      </c>
      <c r="CZ694" s="409" t="str">
        <f ca="1">IF(CU694="","",VLOOKUP(CU694,games.a,7,FALSE))</f>
        <v/>
      </c>
      <c r="DA694" s="523" t="str">
        <f t="shared" ca="1" si="434"/>
        <v/>
      </c>
      <c r="DB694" s="302"/>
      <c r="DC694" s="364"/>
      <c r="DD694" s="445"/>
      <c r="DF694" s="424"/>
      <c r="DG694" s="366" t="str">
        <f ca="1">IF(OR(NOT(ASZTAB!$AJ$44),AND(CT687,DG688="")),CT688,"")</f>
        <v/>
      </c>
      <c r="DH694" s="365"/>
      <c r="DI694" s="366">
        <f ca="1">IF(DG694="",0,COUNTIF(xxgy.rn,DG694))</f>
        <v>0</v>
      </c>
      <c r="DJ694" s="366">
        <f ca="1">IF(DG694="",0,COUNTIF(xxd.rn,DG694))</f>
        <v>0</v>
      </c>
      <c r="DK694" s="366">
        <f ca="1">IF(DG694="",0,1)*(SUMIF(xxo.rn,DG694,xxl.rn)+SUMIF(xxi.rn,DG694,xxk.rn))</f>
        <v>0</v>
      </c>
      <c r="DL694" s="366">
        <f ca="1">IF(DG694="",0,1)*(SUMIF(xxo.rn,DG694,xxk.rn)+SUMIF(xxi.rn,DG694,xxl.rn))</f>
        <v>0</v>
      </c>
      <c r="DM694" s="366">
        <f ca="1">DK694-DL694</f>
        <v>0</v>
      </c>
      <c r="DN694" s="366">
        <f ca="1">IF(DL694=0,0,DK694/DL694)</f>
        <v>0</v>
      </c>
      <c r="DO694" s="366">
        <f ca="1">ASZTAB!$AJ$48*DI694+IF(ASZTAB!$AJ$44,0,1)*DJ694</f>
        <v>0</v>
      </c>
      <c r="DP694" s="396">
        <f ca="1">DO694*1000000+IF(ASZTAB!$AJ$44,DN694,DM694)*1000*0</f>
        <v>0</v>
      </c>
      <c r="DQ694" s="366">
        <f ca="1">IF(DG694="",0,1)*(SUMIF(yyo.rn,DG694,yyl.rn)+SUMIF(yyi.rn,DG694,yyk.rn))</f>
        <v>0</v>
      </c>
      <c r="DR694" s="366">
        <f ca="1">IF(DG694="",0,1)*(SUMIF(yyo.rn,DG694,yyk.rn)+SUMIF(yyi.rn,DG694,yyl.rn))</f>
        <v>0</v>
      </c>
      <c r="DS694" s="366">
        <f ca="1">DQ694-DR694</f>
        <v>0</v>
      </c>
      <c r="DT694" s="366">
        <f ca="1">IF(OR(ISERR(DP694),ISNA(DP694)),0,DP694)+IF(ASZTAB!$AJ$54,DS694,0)</f>
        <v>0</v>
      </c>
      <c r="DU694" s="366">
        <f ca="1">IF(DT694=0,0,RANK(DT694,DT694:DT698,1))</f>
        <v>0</v>
      </c>
      <c r="DV694" s="366">
        <f ca="1">DU694*40000*IF(COUNTIF($EN$688:$EN$697,DG694)&gt;0,0,1)</f>
        <v>0</v>
      </c>
      <c r="DW694" s="365"/>
      <c r="DZ694" s="365"/>
      <c r="EA694" s="365"/>
      <c r="EB694" s="365"/>
      <c r="EC694" s="398"/>
      <c r="ED694" s="329" t="s">
        <v>157</v>
      </c>
      <c r="EE694" s="329" t="s">
        <v>158</v>
      </c>
      <c r="EF694" s="399"/>
      <c r="EG694" s="400"/>
      <c r="EH694" s="401" t="s">
        <v>160</v>
      </c>
      <c r="EI694" s="402" t="s">
        <v>135</v>
      </c>
      <c r="EJ694" s="403">
        <f ca="1">COUNT(EF688:EF690)</f>
        <v>0</v>
      </c>
      <c r="EK694" s="365"/>
      <c r="EL694" s="365"/>
      <c r="EM694" s="424"/>
      <c r="EN694" s="366"/>
      <c r="EO694" s="425"/>
      <c r="EP694" s="333"/>
    </row>
    <row r="695" spans="80:146" x14ac:dyDescent="0.25">
      <c r="CB695" s="350"/>
      <c r="CC695" s="350"/>
      <c r="CD695" s="350"/>
      <c r="CE695" s="350"/>
      <c r="CF695" s="350"/>
      <c r="CG695" s="350"/>
      <c r="CR695" s="445"/>
      <c r="CS695" s="445"/>
      <c r="CT695" s="522" t="str">
        <f>IF(NOT($AD$105),"",CT690)</f>
        <v/>
      </c>
      <c r="CU695" s="371" t="str">
        <f ca="1">IF(OR(CT695="",DA695="",CT695=DA695,ISNA(VLOOKUP(CONCATENATE(CT695,DA695),games.a,2,FALSE))),"",CONCATENATE(CT695,DA695))</f>
        <v/>
      </c>
      <c r="CV695" s="371" t="str">
        <f ca="1">IF(CU695="","",CONCATENATE(VLOOKUP(CU695,games.a,9,FALSE),VLOOKUP(CU695,games.a,12,FALSE)))</f>
        <v/>
      </c>
      <c r="CW695" s="369" t="str">
        <f ca="1">IF(CU695="","",VLOOKUP(CU695,games.a,10,FALSE))</f>
        <v/>
      </c>
      <c r="CX695" s="369" t="str">
        <f ca="1">IF(CU695="","",VLOOKUP(CU695,games.a,13,FALSE))</f>
        <v/>
      </c>
      <c r="CY695" s="423" t="str">
        <f ca="1">IF(CU695="","",VLOOKUP(CU695,games.a,6,FALSE))</f>
        <v/>
      </c>
      <c r="CZ695" s="409" t="str">
        <f ca="1">IF(CU695="","",VLOOKUP(CU695,games.a,7,FALSE))</f>
        <v/>
      </c>
      <c r="DA695" s="523" t="str">
        <f t="shared" ca="1" si="434"/>
        <v/>
      </c>
      <c r="DB695" s="302"/>
      <c r="DC695" s="364"/>
      <c r="DD695" s="445"/>
      <c r="DF695" s="424"/>
      <c r="DG695" s="366" t="str">
        <f ca="1">IF(OR(NOT(ASZTAB!$AJ$44),AND(CT687,DG689="")),CT689,"")</f>
        <v/>
      </c>
      <c r="DH695" s="365"/>
      <c r="DI695" s="366">
        <f ca="1">IF(DG695="",0,COUNTIF(xxgy.rn,DG695))</f>
        <v>0</v>
      </c>
      <c r="DJ695" s="366">
        <f ca="1">IF(DG695="",0,COUNTIF(xxd.rn,DG695))</f>
        <v>0</v>
      </c>
      <c r="DK695" s="366">
        <f ca="1">IF(DG695="",0,1)*(SUMIF(xxo.rn,DG695,xxl.rn)+SUMIF(xxi.rn,DG695,xxk.rn))</f>
        <v>0</v>
      </c>
      <c r="DL695" s="366">
        <f ca="1">IF(DG695="",0,1)*(SUMIF(xxo.rn,DG695,xxk.rn)+SUMIF(xxi.rn,DG695,xxl.rn))</f>
        <v>0</v>
      </c>
      <c r="DM695" s="366">
        <f ca="1">DK695-DL695</f>
        <v>0</v>
      </c>
      <c r="DN695" s="366">
        <f ca="1">IF(DL695=0,0,DK695/DL695)</f>
        <v>0</v>
      </c>
      <c r="DO695" s="366">
        <f ca="1">ASZTAB!$AJ$48*DI695+IF(ASZTAB!$AJ$44,0,1)*DJ695</f>
        <v>0</v>
      </c>
      <c r="DP695" s="396">
        <f ca="1">DO695*1000000+IF(ASZTAB!$AJ$44,DN695,DM695)*1000*0</f>
        <v>0</v>
      </c>
      <c r="DQ695" s="366">
        <f ca="1">IF(DG695="",0,1)*(SUMIF(yyo.rn,DG695,yyl.rn)+SUMIF(yyi.rn,DG695,yyk.rn))</f>
        <v>0</v>
      </c>
      <c r="DR695" s="366">
        <f ca="1">IF(DG695="",0,1)*(SUMIF(yyo.rn,DG695,yyk.rn)+SUMIF(yyi.rn,DG695,yyl.rn))</f>
        <v>0</v>
      </c>
      <c r="DS695" s="366">
        <f ca="1">DQ695-DR695</f>
        <v>0</v>
      </c>
      <c r="DT695" s="366">
        <f ca="1">IF(OR(ISERR(DP695),ISNA(DP695)),0,DP695)+IF(ASZTAB!$AJ$54,DS695,0)</f>
        <v>0</v>
      </c>
      <c r="DU695" s="366">
        <f ca="1">IF(DT695=0,0,RANK(DT695,DT694:DT698,1))</f>
        <v>0</v>
      </c>
      <c r="DV695" s="366">
        <f ca="1">DU695*40000*IF(COUNTIF($EN$688:$EN$697,DG695)&gt;0,0,1)</f>
        <v>0</v>
      </c>
      <c r="DW695" s="365"/>
      <c r="DZ695" s="365"/>
      <c r="EA695" s="365"/>
      <c r="EB695" s="365"/>
      <c r="EC695" s="404" t="str">
        <f ca="1">IF(EF688="","",VLOOKUP(EF688,yyy.rn2,4,FALSE))</f>
        <v/>
      </c>
      <c r="ED695" s="371" t="str">
        <f ca="1">IF(OR(EC695="",EJ695="",EC695=EJ695,ISNA(VLOOKUP(CONCATENATE(EC695,EJ695),games.r,2,FALSE))),"",CONCATENATE(EC695,EJ695))</f>
        <v/>
      </c>
      <c r="EE695" s="405" t="str">
        <f ca="1">IF(OR(ED695="",EJ694&gt;2),"",CONCATENATE(VLOOKUP(ED695,games.r,9,FALSE),VLOOKUP(ED695,games.r,12,FALSE)))</f>
        <v/>
      </c>
      <c r="EF695" s="406"/>
      <c r="EG695" s="407"/>
      <c r="EH695" s="408" t="str">
        <f ca="1">IF(ED695="","",VLOOKUP(ED695,games.r,6,FALSE))</f>
        <v/>
      </c>
      <c r="EI695" s="409" t="str">
        <f ca="1">IF(ED695="","",VLOOKUP(ED695,games.r,7,FALSE))</f>
        <v/>
      </c>
      <c r="EJ695" s="410" t="str">
        <f ca="1">EC695</f>
        <v/>
      </c>
      <c r="EK695" s="411"/>
      <c r="EL695" s="412"/>
      <c r="EM695" s="424"/>
      <c r="EN695" s="366"/>
      <c r="EO695" s="425"/>
      <c r="EP695" s="333"/>
    </row>
    <row r="696" spans="80:146" x14ac:dyDescent="0.25">
      <c r="CB696" s="350"/>
      <c r="CC696" s="350"/>
      <c r="CD696" s="350"/>
      <c r="CE696" s="350"/>
      <c r="CF696" s="350"/>
      <c r="CG696" s="350"/>
      <c r="CR696" s="445"/>
      <c r="CS696" s="445"/>
      <c r="CT696" s="522" t="str">
        <f>IF(NOT($AD$105),"",CT691)</f>
        <v/>
      </c>
      <c r="CU696" s="371" t="str">
        <f ca="1">IF(OR(CT696="",DA696="",CT696=DA696,ISNA(VLOOKUP(CONCATENATE(CT696,DA696),games.a,2,FALSE))),"",CONCATENATE(CT696,DA696))</f>
        <v/>
      </c>
      <c r="CV696" s="371" t="str">
        <f ca="1">IF(CU696="","",CONCATENATE(VLOOKUP(CU696,games.a,9,FALSE),VLOOKUP(CU696,games.a,12,FALSE)))</f>
        <v/>
      </c>
      <c r="CW696" s="369" t="str">
        <f ca="1">IF(CU696="","",VLOOKUP(CU696,games.a,10,FALSE))</f>
        <v/>
      </c>
      <c r="CX696" s="369" t="str">
        <f ca="1">IF(CU696="","",VLOOKUP(CU696,games.a,13,FALSE))</f>
        <v/>
      </c>
      <c r="CY696" s="423" t="str">
        <f ca="1">IF(CU696="","",VLOOKUP(CU696,games.a,6,FALSE))</f>
        <v/>
      </c>
      <c r="CZ696" s="409" t="str">
        <f ca="1">IF(CU696="","",VLOOKUP(CU696,games.a,7,FALSE))</f>
        <v/>
      </c>
      <c r="DA696" s="523" t="str">
        <f t="shared" ca="1" si="434"/>
        <v/>
      </c>
      <c r="DB696" s="302"/>
      <c r="DC696" s="364"/>
      <c r="DD696" s="445"/>
      <c r="DF696" s="424"/>
      <c r="DG696" s="366" t="str">
        <f ca="1">IF(OR(NOT(ASZTAB!$AJ$44),AND(CT687,DG690="")),CT690,"")</f>
        <v/>
      </c>
      <c r="DH696" s="365"/>
      <c r="DI696" s="366">
        <f ca="1">IF(DG696="",0,COUNTIF(xxgy.rn,DG696))</f>
        <v>0</v>
      </c>
      <c r="DJ696" s="366">
        <f ca="1">IF(DG696="",0,COUNTIF(xxd.rn,DG696))</f>
        <v>0</v>
      </c>
      <c r="DK696" s="366">
        <f ca="1">IF(DG696="",0,1)*(SUMIF(xxo.rn,DG696,xxl.rn)+SUMIF(xxi.rn,DG696,xxk.rn))</f>
        <v>0</v>
      </c>
      <c r="DL696" s="366">
        <f ca="1">IF(DG696="",0,1)*(SUMIF(xxo.rn,DG696,xxk.rn)+SUMIF(xxi.rn,DG696,xxl.rn))</f>
        <v>0</v>
      </c>
      <c r="DM696" s="366">
        <f ca="1">DK696-DL696</f>
        <v>0</v>
      </c>
      <c r="DN696" s="366">
        <f ca="1">IF(DL696=0,0,DK696/DL696)</f>
        <v>0</v>
      </c>
      <c r="DO696" s="366">
        <f ca="1">ASZTAB!$AJ$48*DI696+IF(ASZTAB!$AJ$44,0,1)*DJ696</f>
        <v>0</v>
      </c>
      <c r="DP696" s="396">
        <f ca="1">DO696*1000000+IF(ASZTAB!$AJ$44,DN696,DM696)*1000*0</f>
        <v>0</v>
      </c>
      <c r="DQ696" s="366">
        <f ca="1">IF(DG696="",0,1)*(SUMIF(yyo.rn,DG696,yyl.rn)+SUMIF(yyi.rn,DG696,yyk.rn))</f>
        <v>0</v>
      </c>
      <c r="DR696" s="366">
        <f ca="1">IF(DG696="",0,1)*(SUMIF(yyo.rn,DG696,yyk.rn)+SUMIF(yyi.rn,DG696,yyl.rn))</f>
        <v>0</v>
      </c>
      <c r="DS696" s="366">
        <f ca="1">DQ696-DR696</f>
        <v>0</v>
      </c>
      <c r="DT696" s="366">
        <f ca="1">IF(OR(ISERR(DP696),ISNA(DP696)),0,DP696)+IF(ASZTAB!$AJ$54,DS696,0)</f>
        <v>0</v>
      </c>
      <c r="DU696" s="366">
        <f ca="1">IF(DT696=0,0,RANK(DT696,DT694:DT698,1))</f>
        <v>0</v>
      </c>
      <c r="DV696" s="366">
        <f ca="1">DU696*40000*IF(COUNTIF($EN$688:$EN$697,DG696)&gt;0,0,1)</f>
        <v>0</v>
      </c>
      <c r="DW696" s="365"/>
      <c r="DZ696" s="365"/>
      <c r="EA696" s="365"/>
      <c r="EB696" s="365"/>
      <c r="EC696" s="404" t="str">
        <f ca="1">IF(EF689="","",VLOOKUP(EF689,yyy.rn2,4,FALSE))</f>
        <v/>
      </c>
      <c r="ED696" s="371" t="str">
        <f ca="1">IF(OR(EC696="",EJ696="",EC696=EJ696,ISNA(VLOOKUP(CONCATENATE(EC696,EJ696),games.r,2,FALSE))),"",CONCATENATE(EC696,EJ696))</f>
        <v/>
      </c>
      <c r="EE696" s="405" t="str">
        <f ca="1">IF(OR(ED696="",EJ694&gt;2),"",CONCATENATE(VLOOKUP(ED696,games.r,9,FALSE),VLOOKUP(ED696,games.r,12,FALSE)))</f>
        <v/>
      </c>
      <c r="EF696" s="413"/>
      <c r="EG696" s="414"/>
      <c r="EH696" s="408" t="str">
        <f ca="1">IF(ED696="","",VLOOKUP(ED696,games.r,6,FALSE))</f>
        <v/>
      </c>
      <c r="EI696" s="409" t="str">
        <f ca="1">IF(ED696="","",VLOOKUP(ED696,games.r,7,FALSE))</f>
        <v/>
      </c>
      <c r="EJ696" s="415" t="str">
        <f ca="1">EJ695</f>
        <v/>
      </c>
      <c r="EK696" s="416"/>
      <c r="EL696" s="417"/>
      <c r="EM696" s="424"/>
      <c r="EN696" s="366"/>
      <c r="EO696" s="425"/>
      <c r="EP696" s="333"/>
    </row>
    <row r="697" spans="80:146" x14ac:dyDescent="0.25">
      <c r="CB697" s="350"/>
      <c r="CC697" s="350"/>
      <c r="CD697" s="350"/>
      <c r="CE697" s="350"/>
      <c r="CF697" s="350"/>
      <c r="CG697" s="350"/>
      <c r="CR697" s="445"/>
      <c r="CS697" s="445"/>
      <c r="CT697" s="522" t="str">
        <f>IF(NOT($AD$105),"",CT692)</f>
        <v/>
      </c>
      <c r="CU697" s="371" t="str">
        <f ca="1">IF(OR(CT697="",DA697="",CT697=DA697,ISNA(VLOOKUP(CONCATENATE(CT697,DA697),games.a,2,FALSE))),"",CONCATENATE(CT697,DA697))</f>
        <v/>
      </c>
      <c r="CV697" s="371" t="str">
        <f ca="1">IF(CU697="","",CONCATENATE(VLOOKUP(CU697,games.a,9,FALSE),VLOOKUP(CU697,games.a,12,FALSE)))</f>
        <v/>
      </c>
      <c r="CW697" s="369" t="str">
        <f ca="1">IF(CU697="","",VLOOKUP(CU697,games.a,10,FALSE))</f>
        <v/>
      </c>
      <c r="CX697" s="369" t="str">
        <f ca="1">IF(CU697="","",VLOOKUP(CU697,games.a,13,FALSE))</f>
        <v/>
      </c>
      <c r="CY697" s="423" t="str">
        <f ca="1">IF(CU697="","",VLOOKUP(CU697,games.a,6,FALSE))</f>
        <v/>
      </c>
      <c r="CZ697" s="409" t="str">
        <f ca="1">IF(CU697="","",VLOOKUP(CU697,games.a,7,FALSE))</f>
        <v/>
      </c>
      <c r="DA697" s="523" t="str">
        <f t="shared" ca="1" si="434"/>
        <v/>
      </c>
      <c r="DB697" s="302"/>
      <c r="DC697" s="364"/>
      <c r="DD697" s="445"/>
      <c r="DF697" s="424"/>
      <c r="DG697" s="366" t="str">
        <f ca="1">IF(OR(NOT(ASZTAB!$AJ$44),AND(CT687,DG691="")),CT691,"")</f>
        <v/>
      </c>
      <c r="DH697" s="365"/>
      <c r="DI697" s="366">
        <f ca="1">IF(DG697="",0,COUNTIF(xxgy.rn,DG697))</f>
        <v>0</v>
      </c>
      <c r="DJ697" s="366">
        <f ca="1">IF(DG697="",0,COUNTIF(xxd.rn,DG697))</f>
        <v>0</v>
      </c>
      <c r="DK697" s="366">
        <f ca="1">IF(DG697="",0,1)*(SUMIF(xxo.rn,DG697,xxl.rn)+SUMIF(xxi.rn,DG697,xxk.rn))</f>
        <v>0</v>
      </c>
      <c r="DL697" s="366">
        <f ca="1">IF(DG697="",0,1)*(SUMIF(xxo.rn,DG697,xxk.rn)+SUMIF(xxi.rn,DG697,xxl.rn))</f>
        <v>0</v>
      </c>
      <c r="DM697" s="366">
        <f ca="1">DK697-DL697</f>
        <v>0</v>
      </c>
      <c r="DN697" s="366">
        <f ca="1">IF(DL697=0,0,DK697/DL697)</f>
        <v>0</v>
      </c>
      <c r="DO697" s="366">
        <f ca="1">ASZTAB!$AJ$48*DI697+IF(ASZTAB!$AJ$44,0,1)*DJ697</f>
        <v>0</v>
      </c>
      <c r="DP697" s="396">
        <f ca="1">DO697*1000000+IF(ASZTAB!$AJ$44,DN697,DM697)*1000*0</f>
        <v>0</v>
      </c>
      <c r="DQ697" s="366">
        <f ca="1">IF(DG697="",0,1)*(SUMIF(yyo.rn,DG697,yyl.rn)+SUMIF(yyi.rn,DG697,yyk.rn))</f>
        <v>0</v>
      </c>
      <c r="DR697" s="366">
        <f ca="1">IF(DG697="",0,1)*(SUMIF(yyo.rn,DG697,yyk.rn)+SUMIF(yyi.rn,DG697,yyl.rn))</f>
        <v>0</v>
      </c>
      <c r="DS697" s="366">
        <f ca="1">DQ697-DR697</f>
        <v>0</v>
      </c>
      <c r="DT697" s="366">
        <f ca="1">IF(OR(ISERR(DP697),ISNA(DP697)),0,DP697)+IF(ASZTAB!$AJ$54,DS697,0)</f>
        <v>0</v>
      </c>
      <c r="DU697" s="366">
        <f ca="1">IF(DT697=0,0,RANK(DT697,DT694:DT698,1))</f>
        <v>0</v>
      </c>
      <c r="DV697" s="366">
        <f ca="1">DU697*40000*IF(COUNTIF($EN$688:$EN$697,DG697)&gt;0,0,1)</f>
        <v>0</v>
      </c>
      <c r="DW697" s="365"/>
      <c r="DZ697" s="365"/>
      <c r="EA697" s="365"/>
      <c r="EB697" s="365"/>
      <c r="EC697" s="404" t="str">
        <f ca="1">IF(EF690="","",VLOOKUP(EF690,yyy.rn2,4,FALSE))</f>
        <v/>
      </c>
      <c r="ED697" s="371" t="str">
        <f ca="1">IF(OR(EC697="",EJ697="",EC697=EJ697,ISNA(VLOOKUP(CONCATENATE(EC697,EJ697),games.r,2,FALSE))),"",CONCATENATE(EC697,EJ697))</f>
        <v/>
      </c>
      <c r="EE697" s="405" t="str">
        <f ca="1">IF(OR(ED697="",EJ694&gt;2),"",CONCATENATE(VLOOKUP(ED697,games.r,9,FALSE),VLOOKUP(ED697,games.r,12,FALSE)))</f>
        <v/>
      </c>
      <c r="EF697" s="413"/>
      <c r="EG697" s="414"/>
      <c r="EH697" s="408" t="str">
        <f ca="1">IF(ED697="","",VLOOKUP(ED697,games.r,6,FALSE))</f>
        <v/>
      </c>
      <c r="EI697" s="409" t="str">
        <f ca="1">IF(ED697="","",VLOOKUP(ED697,games.r,7,FALSE))</f>
        <v/>
      </c>
      <c r="EJ697" s="415" t="str">
        <f ca="1">EJ696</f>
        <v/>
      </c>
      <c r="EK697" s="416"/>
      <c r="EL697" s="417"/>
      <c r="EM697" s="424"/>
      <c r="EN697" s="366"/>
      <c r="EO697" s="425"/>
      <c r="EP697" s="333"/>
    </row>
    <row r="698" spans="80:146" x14ac:dyDescent="0.25">
      <c r="CB698" s="350"/>
      <c r="CC698" s="350"/>
      <c r="CD698" s="350"/>
      <c r="CE698" s="350"/>
      <c r="CF698" s="350"/>
      <c r="CG698" s="350"/>
      <c r="CR698" s="445"/>
      <c r="CS698" s="445"/>
      <c r="CT698" s="301"/>
      <c r="CU698" s="471" t="s">
        <v>157</v>
      </c>
      <c r="CV698" s="471" t="s">
        <v>158</v>
      </c>
      <c r="CW698" s="472" t="s">
        <v>159</v>
      </c>
      <c r="CX698" s="472"/>
      <c r="CY698" s="473" t="s">
        <v>160</v>
      </c>
      <c r="CZ698" s="472" t="s">
        <v>135</v>
      </c>
      <c r="DA698" s="302"/>
      <c r="DB698" s="302"/>
      <c r="DC698" s="364"/>
      <c r="DD698" s="445"/>
      <c r="DF698" s="424"/>
      <c r="DG698" s="366" t="str">
        <f ca="1">IF(OR(NOT(ASZTAB!$AJ$44),AND(CT687,DG692="")),CT692,"")</f>
        <v/>
      </c>
      <c r="DH698" s="365"/>
      <c r="DI698" s="366">
        <f ca="1">IF(DG698="",0,COUNTIF(xxgy.rn,DG698))</f>
        <v>0</v>
      </c>
      <c r="DJ698" s="366">
        <f ca="1">IF(DG698="",0,COUNTIF(xxd.rn,DG698))</f>
        <v>0</v>
      </c>
      <c r="DK698" s="366">
        <f ca="1">IF(DG698="",0,1)*(SUMIF(xxo.rn,DG698,xxl.rn)+SUMIF(xxi.rn,DG698,xxk.rn))</f>
        <v>0</v>
      </c>
      <c r="DL698" s="366">
        <f ca="1">IF(DG698="",0,1)*(SUMIF(xxo.rn,DG698,xxk.rn)+SUMIF(xxi.rn,DG698,xxl.rn))</f>
        <v>0</v>
      </c>
      <c r="DM698" s="366">
        <f ca="1">DK698-DL698</f>
        <v>0</v>
      </c>
      <c r="DN698" s="366">
        <f ca="1">IF(DL698=0,0,DK698/DL698)</f>
        <v>0</v>
      </c>
      <c r="DO698" s="366">
        <f ca="1">ASZTAB!$AJ$48*DI698+IF(ASZTAB!$AJ$44,0,1)*DJ698</f>
        <v>0</v>
      </c>
      <c r="DP698" s="396">
        <f ca="1">DO698*1000000+IF(ASZTAB!$AJ$44,DN698,DM698)*1000*0</f>
        <v>0</v>
      </c>
      <c r="DQ698" s="366">
        <f ca="1">IF(DG698="",0,1)*(SUMIF(yyo.rn,DG698,yyl.rn)+SUMIF(yyi.rn,DG698,yyk.rn))</f>
        <v>0</v>
      </c>
      <c r="DR698" s="366">
        <f ca="1">IF(DG698="",0,1)*(SUMIF(yyo.rn,DG698,yyk.rn)+SUMIF(yyi.rn,DG698,yyl.rn))</f>
        <v>0</v>
      </c>
      <c r="DS698" s="366">
        <f ca="1">DQ698-DR698</f>
        <v>0</v>
      </c>
      <c r="DT698" s="366">
        <f ca="1">IF(OR(ISERR(DP698),ISNA(DP698)),0,DP698)+IF(ASZTAB!$AJ$54,DS698,0)</f>
        <v>0</v>
      </c>
      <c r="DU698" s="366">
        <f ca="1">IF(DT698=0,0,RANK(DT698,DT694:DT698,1))</f>
        <v>0</v>
      </c>
      <c r="DV698" s="366">
        <f ca="1">DU698*40000*IF(COUNTIF($EN$688:$EN$697,DG698)&gt;0,0,1)</f>
        <v>0</v>
      </c>
      <c r="DW698" s="365"/>
      <c r="DZ698" s="365"/>
      <c r="EA698" s="365"/>
      <c r="EB698" s="365"/>
      <c r="EC698" s="404" t="str">
        <f>IF(NOT($AD$105),"",EC695)</f>
        <v/>
      </c>
      <c r="ED698" s="360" t="str">
        <f ca="1">IF(OR(EC698="",EJ698="",EC698=EJ698,ISNA(VLOOKUP(CONCATENATE(EC698,EJ698),games.a,2,FALSE))),"",CONCATENATE(EC698,EJ698))</f>
        <v/>
      </c>
      <c r="EE698" s="524" t="str">
        <f ca="1">IF(OR(ED698="",EJ694&gt;2),"",CONCATENATE(VLOOKUP(ED698,games.a,9,FALSE),VLOOKUP(ED698,games.a,12,FALSE)))</f>
        <v/>
      </c>
      <c r="EF698" s="413"/>
      <c r="EG698" s="414"/>
      <c r="EH698" s="525" t="str">
        <f ca="1">IF(ED698="","",VLOOKUP(ED698,games.a,6,FALSE))</f>
        <v/>
      </c>
      <c r="EI698" s="362" t="str">
        <f ca="1">IF(ED698="","",VLOOKUP(ED698,games.a,7,FALSE))</f>
        <v/>
      </c>
      <c r="EJ698" s="526" t="str">
        <f ca="1">EJ697</f>
        <v/>
      </c>
      <c r="EK698" s="527"/>
      <c r="EL698" s="528"/>
      <c r="EM698" s="424"/>
      <c r="EN698" s="424"/>
      <c r="EO698" s="425"/>
      <c r="EP698" s="333"/>
    </row>
    <row r="699" spans="80:146" x14ac:dyDescent="0.25">
      <c r="CB699" s="350"/>
      <c r="CC699" s="350"/>
      <c r="CD699" s="350"/>
      <c r="CE699" s="350"/>
      <c r="CF699" s="350"/>
      <c r="CG699" s="350"/>
      <c r="CR699" s="445"/>
      <c r="CS699" s="445"/>
      <c r="CT699" s="395" t="str">
        <f t="shared" ref="CT699:CT708" ca="1" si="435">CT688</f>
        <v/>
      </c>
      <c r="CU699" s="478" t="str">
        <f ca="1">IF(OR(CT699="",DA699="",CT699=DA699,COUNTIF(games.rn,CT699&amp;DA699)=0),"",CONCATENATE(CT699,DA699))</f>
        <v/>
      </c>
      <c r="CV699" s="360" t="str">
        <f ca="1">IF(CU699="","",CONCATENATE(VLOOKUP(CU699,games.r,9,FALSE),VLOOKUP(CU699,games.r,12,FALSE)))</f>
        <v/>
      </c>
      <c r="CW699" s="354" t="str">
        <f ca="1">IF(CU699="","",VLOOKUP(CU699,games.r,10,FALSE))</f>
        <v/>
      </c>
      <c r="CX699" s="354" t="str">
        <f ca="1">IF(CU699="","",VLOOKUP(CU699,games.r,13,FALSE))</f>
        <v/>
      </c>
      <c r="CY699" s="361" t="str">
        <f ca="1">IF(CU699="","",VLOOKUP(CU699,games.r,6,FALSE))</f>
        <v/>
      </c>
      <c r="CZ699" s="362" t="str">
        <f ca="1">IF(CU699="","",VLOOKUP(CU699,games.r,7,FALSE))</f>
        <v/>
      </c>
      <c r="DA699" s="479" t="str">
        <f ca="1">CT689</f>
        <v/>
      </c>
      <c r="DB699" s="302"/>
      <c r="DC699" s="364"/>
      <c r="DD699" s="445"/>
      <c r="DF699" s="424"/>
      <c r="DW699" s="365"/>
      <c r="DX699" s="424"/>
      <c r="DZ699" s="365"/>
      <c r="EA699" s="365"/>
      <c r="EB699" s="365"/>
      <c r="EC699" s="404" t="str">
        <f>IF(NOT($AD$105),"",EC696)</f>
        <v/>
      </c>
      <c r="ED699" s="360" t="str">
        <f ca="1">IF(OR(EC699="",EJ699="",EC699=EJ699,ISNA(VLOOKUP(CONCATENATE(EC699,EJ699),games.a,2,FALSE))),"",CONCATENATE(EC699,EJ699))</f>
        <v/>
      </c>
      <c r="EE699" s="524" t="str">
        <f ca="1">IF(OR(ED699="",EJ694&gt;2),"",CONCATENATE(VLOOKUP(ED699,games.a,9,FALSE),VLOOKUP(ED699,games.a,12,FALSE)))</f>
        <v/>
      </c>
      <c r="EF699" s="413"/>
      <c r="EG699" s="414"/>
      <c r="EH699" s="525" t="str">
        <f ca="1">IF(ED699="","",VLOOKUP(ED699,games.a,6,FALSE))</f>
        <v/>
      </c>
      <c r="EI699" s="362" t="str">
        <f ca="1">IF(ED699="","",VLOOKUP(ED699,games.a,7,FALSE))</f>
        <v/>
      </c>
      <c r="EJ699" s="526" t="str">
        <f ca="1">EJ698</f>
        <v/>
      </c>
      <c r="EK699" s="527"/>
      <c r="EL699" s="528"/>
      <c r="EM699" s="424"/>
      <c r="EN699" s="424"/>
      <c r="EO699" s="425"/>
      <c r="EP699" s="333"/>
    </row>
    <row r="700" spans="80:146" x14ac:dyDescent="0.25">
      <c r="CB700" s="350"/>
      <c r="CC700" s="350"/>
      <c r="CD700" s="350"/>
      <c r="CE700" s="350"/>
      <c r="CF700" s="350"/>
      <c r="CG700" s="350"/>
      <c r="CR700" s="445"/>
      <c r="CS700" s="445"/>
      <c r="CT700" s="395" t="str">
        <f t="shared" ca="1" si="435"/>
        <v/>
      </c>
      <c r="CU700" s="478" t="str">
        <f ca="1">IF(OR(CT700="",DA700="",CT700=DA700,COUNTIF(games.rn,CT700&amp;DA700)=0),"",CONCATENATE(CT700,DA700))</f>
        <v/>
      </c>
      <c r="CV700" s="360" t="str">
        <f ca="1">IF(CU700="","",CONCATENATE(VLOOKUP(CU700,games.r,9,FALSE),VLOOKUP(CU700,games.r,12,FALSE)))</f>
        <v/>
      </c>
      <c r="CW700" s="354" t="str">
        <f ca="1">IF(CU700="","",VLOOKUP(CU700,games.r,10,FALSE))</f>
        <v/>
      </c>
      <c r="CX700" s="354" t="str">
        <f ca="1">IF(CU700="","",VLOOKUP(CU700,games.r,13,FALSE))</f>
        <v/>
      </c>
      <c r="CY700" s="361" t="str">
        <f ca="1">IF(CU700="","",VLOOKUP(CU700,games.r,6,FALSE))</f>
        <v/>
      </c>
      <c r="CZ700" s="362" t="str">
        <f ca="1">IF(CU700="","",VLOOKUP(CU700,games.r,7,FALSE))</f>
        <v/>
      </c>
      <c r="DA700" s="379" t="str">
        <f t="shared" ref="DA700:DA708" ca="1" si="436">DA699</f>
        <v/>
      </c>
      <c r="DB700" s="302"/>
      <c r="DC700" s="364"/>
      <c r="DD700" s="445"/>
      <c r="DF700" s="424"/>
      <c r="DW700" s="365"/>
      <c r="DX700" s="424"/>
      <c r="DZ700" s="365"/>
      <c r="EC700" s="404" t="str">
        <f>IF(NOT($AD$105),"",EC697)</f>
        <v/>
      </c>
      <c r="ED700" s="360" t="str">
        <f ca="1">IF(OR(EC700="",EJ700="",EC700=EJ700,ISNA(VLOOKUP(CONCATENATE(EC700,EJ700),games.a,2,FALSE))),"",CONCATENATE(EC700,EJ700))</f>
        <v/>
      </c>
      <c r="EE700" s="524" t="str">
        <f ca="1">IF(OR(ED700="",EJ694&gt;2),"",CONCATENATE(VLOOKUP(ED700,games.a,9,FALSE),VLOOKUP(ED700,games.a,12,FALSE)))</f>
        <v/>
      </c>
      <c r="EF700" s="413"/>
      <c r="EG700" s="414"/>
      <c r="EH700" s="525" t="str">
        <f ca="1">IF(ED700="","",VLOOKUP(ED700,games.a,6,FALSE))</f>
        <v/>
      </c>
      <c r="EI700" s="362" t="str">
        <f ca="1">IF(ED700="","",VLOOKUP(ED700,games.a,7,FALSE))</f>
        <v/>
      </c>
      <c r="EJ700" s="526" t="str">
        <f ca="1">EJ699</f>
        <v/>
      </c>
      <c r="EK700" s="527"/>
      <c r="EL700" s="528"/>
      <c r="EM700" s="424"/>
      <c r="EN700" s="424"/>
      <c r="EO700" s="425"/>
      <c r="EP700" s="333"/>
    </row>
    <row r="701" spans="80:146" x14ac:dyDescent="0.25">
      <c r="CB701" s="350"/>
      <c r="CC701" s="350"/>
      <c r="CD701" s="350"/>
      <c r="CE701" s="350"/>
      <c r="CF701" s="350"/>
      <c r="CG701" s="350"/>
      <c r="CR701" s="445"/>
      <c r="CS701" s="445"/>
      <c r="CT701" s="395" t="str">
        <f t="shared" ca="1" si="435"/>
        <v/>
      </c>
      <c r="CU701" s="478" t="str">
        <f ca="1">IF(OR(CT701="",DA701="",CT701=DA701,COUNTIF(games.rn,CT701&amp;DA701)=0),"",CONCATENATE(CT701,DA701))</f>
        <v/>
      </c>
      <c r="CV701" s="360" t="str">
        <f ca="1">IF(CU701="","",CONCATENATE(VLOOKUP(CU701,games.r,9,FALSE),VLOOKUP(CU701,games.r,12,FALSE)))</f>
        <v/>
      </c>
      <c r="CW701" s="354" t="str">
        <f ca="1">IF(CU701="","",VLOOKUP(CU701,games.r,10,FALSE))</f>
        <v/>
      </c>
      <c r="CX701" s="354" t="str">
        <f ca="1">IF(CU701="","",VLOOKUP(CU701,games.r,13,FALSE))</f>
        <v/>
      </c>
      <c r="CY701" s="361" t="str">
        <f ca="1">IF(CU701="","",VLOOKUP(CU701,games.r,6,FALSE))</f>
        <v/>
      </c>
      <c r="CZ701" s="362" t="str">
        <f ca="1">IF(CU701="","",VLOOKUP(CU701,games.r,7,FALSE))</f>
        <v/>
      </c>
      <c r="DA701" s="379" t="str">
        <f t="shared" ca="1" si="436"/>
        <v/>
      </c>
      <c r="DB701" s="302"/>
      <c r="DC701" s="364"/>
      <c r="DD701" s="445"/>
      <c r="DF701" s="424"/>
      <c r="DW701" s="365"/>
      <c r="DX701" s="424"/>
      <c r="DZ701" s="365"/>
      <c r="EA701" s="365"/>
      <c r="EB701" s="365"/>
      <c r="EC701" s="398"/>
      <c r="ED701" s="329" t="s">
        <v>157</v>
      </c>
      <c r="EE701" s="329" t="s">
        <v>158</v>
      </c>
      <c r="EF701" s="399"/>
      <c r="EG701" s="400"/>
      <c r="EH701" s="401" t="s">
        <v>160</v>
      </c>
      <c r="EI701" s="402" t="s">
        <v>135</v>
      </c>
      <c r="EJ701" s="398"/>
      <c r="EK701" s="365"/>
      <c r="EL701" s="365"/>
      <c r="EM701" s="424"/>
      <c r="EN701" s="424"/>
      <c r="EO701" s="425"/>
      <c r="EP701" s="333"/>
    </row>
    <row r="702" spans="80:146" x14ac:dyDescent="0.25">
      <c r="CB702" s="350"/>
      <c r="CC702" s="350"/>
      <c r="CD702" s="350"/>
      <c r="CE702" s="350"/>
      <c r="CF702" s="350"/>
      <c r="CG702" s="350"/>
      <c r="CR702" s="445"/>
      <c r="CS702" s="445"/>
      <c r="CT702" s="395" t="str">
        <f t="shared" ca="1" si="435"/>
        <v/>
      </c>
      <c r="CU702" s="478" t="str">
        <f ca="1">IF(OR(CT702="",DA702="",CT702=DA702,COUNTIF(games.rn,CT702&amp;DA702)=0),"",CONCATENATE(CT702,DA702))</f>
        <v/>
      </c>
      <c r="CV702" s="360" t="str">
        <f ca="1">IF(CU702="","",CONCATENATE(VLOOKUP(CU702,games.r,9,FALSE),VLOOKUP(CU702,games.r,12,FALSE)))</f>
        <v/>
      </c>
      <c r="CW702" s="354" t="str">
        <f ca="1">IF(CU702="","",VLOOKUP(CU702,games.r,10,FALSE))</f>
        <v/>
      </c>
      <c r="CX702" s="354" t="str">
        <f ca="1">IF(CU702="","",VLOOKUP(CU702,games.r,13,FALSE))</f>
        <v/>
      </c>
      <c r="CY702" s="361" t="str">
        <f ca="1">IF(CU702="","",VLOOKUP(CU702,games.r,6,FALSE))</f>
        <v/>
      </c>
      <c r="CZ702" s="362" t="str">
        <f ca="1">IF(CU702="","",VLOOKUP(CU702,games.r,7,FALSE))</f>
        <v/>
      </c>
      <c r="DA702" s="379" t="str">
        <f t="shared" ca="1" si="436"/>
        <v/>
      </c>
      <c r="DB702" s="302"/>
      <c r="DC702" s="364"/>
      <c r="DD702" s="445"/>
      <c r="DF702" s="424"/>
      <c r="DW702" s="365"/>
      <c r="DX702" s="424"/>
      <c r="DZ702" s="365"/>
      <c r="EA702" s="365"/>
      <c r="EB702" s="365"/>
      <c r="EC702" s="404" t="str">
        <f t="shared" ref="EC702:EC707" ca="1" si="437">EC695</f>
        <v/>
      </c>
      <c r="ED702" s="371" t="str">
        <f ca="1">IF(OR(EC702="",EJ702="",EC702=EJ702,ISNA(VLOOKUP(CONCATENATE(EC702,EJ702),games.r,2,FALSE))),"",CONCATENATE(EC702,EJ702))</f>
        <v/>
      </c>
      <c r="EE702" s="405" t="str">
        <f ca="1">IF(OR(ED702="",EJ694&gt;2),"",CONCATENATE(VLOOKUP(ED702,games.r,9,FALSE),VLOOKUP(ED702,games.r,12,FALSE)))</f>
        <v/>
      </c>
      <c r="EF702" s="406"/>
      <c r="EG702" s="407"/>
      <c r="EH702" s="408" t="str">
        <f ca="1">IF(ED702="","",VLOOKUP(ED702,games.r,6,FALSE))</f>
        <v/>
      </c>
      <c r="EI702" s="409" t="str">
        <f ca="1">IF(ED702="","",VLOOKUP(ED702,games.r,7,FALSE))</f>
        <v/>
      </c>
      <c r="EJ702" s="410" t="str">
        <f ca="1">EC696</f>
        <v/>
      </c>
      <c r="EK702" s="411"/>
      <c r="EL702" s="412"/>
      <c r="EM702" s="424"/>
      <c r="EN702" s="424"/>
      <c r="EO702" s="425"/>
      <c r="EP702" s="333"/>
    </row>
    <row r="703" spans="80:146" x14ac:dyDescent="0.25">
      <c r="CB703" s="350"/>
      <c r="CC703" s="350"/>
      <c r="CD703" s="350"/>
      <c r="CE703" s="350"/>
      <c r="CF703" s="350"/>
      <c r="CG703" s="350"/>
      <c r="CR703" s="445"/>
      <c r="CS703" s="445"/>
      <c r="CT703" s="395" t="str">
        <f t="shared" ca="1" si="435"/>
        <v/>
      </c>
      <c r="CU703" s="478" t="str">
        <f ca="1">IF(OR(CT703="",DA703="",CT703=DA703,COUNTIF(games.rn,CT703&amp;DA703)=0),"",CONCATENATE(CT703,DA703))</f>
        <v/>
      </c>
      <c r="CV703" s="360" t="str">
        <f ca="1">IF(CU703="","",CONCATENATE(VLOOKUP(CU703,games.r,9,FALSE),VLOOKUP(CU703,games.r,12,FALSE)))</f>
        <v/>
      </c>
      <c r="CW703" s="354" t="str">
        <f ca="1">IF(CU703="","",VLOOKUP(CU703,games.r,10,FALSE))</f>
        <v/>
      </c>
      <c r="CX703" s="354" t="str">
        <f ca="1">IF(CU703="","",VLOOKUP(CU703,games.r,13,FALSE))</f>
        <v/>
      </c>
      <c r="CY703" s="361" t="str">
        <f ca="1">IF(CU703="","",VLOOKUP(CU703,games.r,6,FALSE))</f>
        <v/>
      </c>
      <c r="CZ703" s="362" t="str">
        <f ca="1">IF(CU703="","",VLOOKUP(CU703,games.r,7,FALSE))</f>
        <v/>
      </c>
      <c r="DA703" s="379" t="str">
        <f t="shared" ca="1" si="436"/>
        <v/>
      </c>
      <c r="DB703" s="302"/>
      <c r="DC703" s="364"/>
      <c r="DD703" s="445"/>
      <c r="DF703" s="424"/>
      <c r="DW703" s="365"/>
      <c r="DX703" s="424"/>
      <c r="DZ703" s="424"/>
      <c r="EA703" s="365"/>
      <c r="EB703" s="365"/>
      <c r="EC703" s="404" t="str">
        <f t="shared" ca="1" si="437"/>
        <v/>
      </c>
      <c r="ED703" s="371" t="str">
        <f ca="1">IF(OR(EC703="",EJ703="",EC703=EJ703,ISNA(VLOOKUP(CONCATENATE(EC703,EJ703),games.r,2,FALSE))),"",CONCATENATE(EC703,EJ703))</f>
        <v/>
      </c>
      <c r="EE703" s="405" t="str">
        <f ca="1">IF(OR(ED703="",EJ694&gt;2),"",CONCATENATE(VLOOKUP(ED703,games.r,9,FALSE),VLOOKUP(ED703,games.r,12,FALSE)))</f>
        <v/>
      </c>
      <c r="EF703" s="413"/>
      <c r="EG703" s="414"/>
      <c r="EH703" s="408" t="str">
        <f ca="1">IF(ED703="","",VLOOKUP(ED703,games.r,6,FALSE))</f>
        <v/>
      </c>
      <c r="EI703" s="409" t="str">
        <f ca="1">IF(ED703="","",VLOOKUP(ED703,games.r,7,FALSE))</f>
        <v/>
      </c>
      <c r="EJ703" s="415" t="str">
        <f ca="1">EJ702</f>
        <v/>
      </c>
      <c r="EK703" s="416"/>
      <c r="EL703" s="417"/>
      <c r="EM703" s="424"/>
      <c r="EN703" s="424"/>
      <c r="EO703" s="425"/>
      <c r="EP703" s="333"/>
    </row>
    <row r="704" spans="80:146" x14ac:dyDescent="0.25">
      <c r="CB704" s="350"/>
      <c r="CC704" s="350"/>
      <c r="CD704" s="350"/>
      <c r="CE704" s="350"/>
      <c r="CF704" s="350"/>
      <c r="CG704" s="350"/>
      <c r="CR704" s="445"/>
      <c r="CS704" s="445"/>
      <c r="CT704" s="522" t="str">
        <f t="shared" si="435"/>
        <v/>
      </c>
      <c r="CU704" s="371" t="str">
        <f ca="1">IF(OR(CT704="",DA704="",CT704=DA704,ISNA(VLOOKUP(CONCATENATE(CT704,DA704),games.a,2,FALSE))),"",CONCATENATE(CT704,DA704))</f>
        <v/>
      </c>
      <c r="CV704" s="371" t="str">
        <f ca="1">IF(CU704="","",CONCATENATE(VLOOKUP(CU704,games.a,9,FALSE),VLOOKUP(CU704,games.a,12,FALSE)))</f>
        <v/>
      </c>
      <c r="CW704" s="369" t="str">
        <f ca="1">IF(CU704="","",VLOOKUP(CU704,games.a,10,FALSE))</f>
        <v/>
      </c>
      <c r="CX704" s="369" t="str">
        <f ca="1">IF(CU704="","",VLOOKUP(CU704,games.a,13,FALSE))</f>
        <v/>
      </c>
      <c r="CY704" s="423" t="str">
        <f ca="1">IF(CU704="","",VLOOKUP(CU704,games.a,6,FALSE))</f>
        <v/>
      </c>
      <c r="CZ704" s="409" t="str">
        <f ca="1">IF(CU704="","",VLOOKUP(CU704,games.a,7,FALSE))</f>
        <v/>
      </c>
      <c r="DA704" s="523" t="str">
        <f t="shared" ca="1" si="436"/>
        <v/>
      </c>
      <c r="DB704" s="302"/>
      <c r="DC704" s="364"/>
      <c r="DD704" s="445"/>
      <c r="DF704" s="424"/>
      <c r="DW704" s="365"/>
      <c r="DX704" s="424"/>
      <c r="DZ704" s="424"/>
      <c r="EA704" s="424"/>
      <c r="EB704" s="424"/>
      <c r="EC704" s="404" t="str">
        <f t="shared" ca="1" si="437"/>
        <v/>
      </c>
      <c r="ED704" s="371" t="str">
        <f ca="1">IF(OR(EC704="",EJ704="",EC704=EJ704,ISNA(VLOOKUP(CONCATENATE(EC704,EJ704),games.r,2,FALSE))),"",CONCATENATE(EC704,EJ704))</f>
        <v/>
      </c>
      <c r="EE704" s="405" t="str">
        <f ca="1">IF(OR(ED704="",EJ694&gt;2),"",CONCATENATE(VLOOKUP(ED704,games.r,9,FALSE),VLOOKUP(ED704,games.r,12,FALSE)))</f>
        <v/>
      </c>
      <c r="EF704" s="413"/>
      <c r="EG704" s="414"/>
      <c r="EH704" s="408" t="str">
        <f ca="1">IF(ED704="","",VLOOKUP(ED704,games.r,6,FALSE))</f>
        <v/>
      </c>
      <c r="EI704" s="409" t="str">
        <f ca="1">IF(ED704="","",VLOOKUP(ED704,games.r,7,FALSE))</f>
        <v/>
      </c>
      <c r="EJ704" s="415" t="str">
        <f ca="1">EJ703</f>
        <v/>
      </c>
      <c r="EK704" s="416"/>
      <c r="EL704" s="417"/>
      <c r="EM704" s="424"/>
      <c r="EN704" s="424"/>
      <c r="EO704" s="425"/>
      <c r="EP704" s="333"/>
    </row>
    <row r="705" spans="80:146" x14ac:dyDescent="0.25">
      <c r="CB705" s="350"/>
      <c r="CC705" s="350"/>
      <c r="CD705" s="350"/>
      <c r="CE705" s="350"/>
      <c r="CF705" s="350"/>
      <c r="CG705" s="350"/>
      <c r="CR705" s="445"/>
      <c r="CS705" s="445"/>
      <c r="CT705" s="522" t="str">
        <f t="shared" si="435"/>
        <v/>
      </c>
      <c r="CU705" s="371" t="str">
        <f ca="1">IF(OR(CT705="",DA705="",CT705=DA705,ISNA(VLOOKUP(CONCATENATE(CT705,DA705),games.a,2,FALSE))),"",CONCATENATE(CT705,DA705))</f>
        <v/>
      </c>
      <c r="CV705" s="371" t="str">
        <f ca="1">IF(CU705="","",CONCATENATE(VLOOKUP(CU705,games.a,9,FALSE),VLOOKUP(CU705,games.a,12,FALSE)))</f>
        <v/>
      </c>
      <c r="CW705" s="369" t="str">
        <f ca="1">IF(CU705="","",VLOOKUP(CU705,games.a,10,FALSE))</f>
        <v/>
      </c>
      <c r="CX705" s="369" t="str">
        <f ca="1">IF(CU705="","",VLOOKUP(CU705,games.a,13,FALSE))</f>
        <v/>
      </c>
      <c r="CY705" s="423" t="str">
        <f ca="1">IF(CU705="","",VLOOKUP(CU705,games.a,6,FALSE))</f>
        <v/>
      </c>
      <c r="CZ705" s="409" t="str">
        <f ca="1">IF(CU705="","",VLOOKUP(CU705,games.a,7,FALSE))</f>
        <v/>
      </c>
      <c r="DA705" s="523" t="str">
        <f t="shared" ca="1" si="436"/>
        <v/>
      </c>
      <c r="DB705" s="302"/>
      <c r="DC705" s="364"/>
      <c r="DD705" s="445"/>
      <c r="DF705" s="424"/>
      <c r="DW705" s="365"/>
      <c r="DX705" s="424"/>
      <c r="DY705" s="424"/>
      <c r="DZ705" s="424"/>
      <c r="EA705" s="424"/>
      <c r="EB705" s="424"/>
      <c r="EC705" s="404" t="str">
        <f t="shared" si="437"/>
        <v/>
      </c>
      <c r="ED705" s="360" t="str">
        <f ca="1">IF(OR(EC705="",EJ705="",EC705=EJ705,ISNA(VLOOKUP(CONCATENATE(EC705,EJ705),games.a,2,FALSE))),"",CONCATENATE(EC705,EJ705))</f>
        <v/>
      </c>
      <c r="EE705" s="524" t="str">
        <f ca="1">IF(OR(ED705="",EJ694&gt;2),"",CONCATENATE(VLOOKUP(ED705,games.a,9,FALSE),VLOOKUP(ED705,games.a,12,FALSE)))</f>
        <v/>
      </c>
      <c r="EF705" s="413"/>
      <c r="EG705" s="414"/>
      <c r="EH705" s="525" t="str">
        <f ca="1">IF(ED705="","",VLOOKUP(ED705,games.a,6,FALSE))</f>
        <v/>
      </c>
      <c r="EI705" s="362" t="str">
        <f ca="1">IF(ED705="","",VLOOKUP(ED705,games.a,7,FALSE))</f>
        <v/>
      </c>
      <c r="EJ705" s="526" t="str">
        <f ca="1">EJ704</f>
        <v/>
      </c>
      <c r="EK705" s="527"/>
      <c r="EL705" s="528"/>
      <c r="EM705" s="424"/>
      <c r="EN705" s="424"/>
      <c r="EO705" s="425"/>
      <c r="EP705" s="333"/>
    </row>
    <row r="706" spans="80:146" x14ac:dyDescent="0.25">
      <c r="CB706" s="350"/>
      <c r="CC706" s="350"/>
      <c r="CD706" s="350"/>
      <c r="CE706" s="350"/>
      <c r="CF706" s="350"/>
      <c r="CG706" s="350"/>
      <c r="CR706" s="445"/>
      <c r="CS706" s="445"/>
      <c r="CT706" s="522" t="str">
        <f t="shared" si="435"/>
        <v/>
      </c>
      <c r="CU706" s="371" t="str">
        <f ca="1">IF(OR(CT706="",DA706="",CT706=DA706,ISNA(VLOOKUP(CONCATENATE(CT706,DA706),games.a,2,FALSE))),"",CONCATENATE(CT706,DA706))</f>
        <v/>
      </c>
      <c r="CV706" s="371" t="str">
        <f ca="1">IF(CU706="","",CONCATENATE(VLOOKUP(CU706,games.a,9,FALSE),VLOOKUP(CU706,games.a,12,FALSE)))</f>
        <v/>
      </c>
      <c r="CW706" s="369" t="str">
        <f ca="1">IF(CU706="","",VLOOKUP(CU706,games.a,10,FALSE))</f>
        <v/>
      </c>
      <c r="CX706" s="369" t="str">
        <f ca="1">IF(CU706="","",VLOOKUP(CU706,games.a,13,FALSE))</f>
        <v/>
      </c>
      <c r="CY706" s="423" t="str">
        <f ca="1">IF(CU706="","",VLOOKUP(CU706,games.a,6,FALSE))</f>
        <v/>
      </c>
      <c r="CZ706" s="409" t="str">
        <f ca="1">IF(CU706="","",VLOOKUP(CU706,games.a,7,FALSE))</f>
        <v/>
      </c>
      <c r="DA706" s="523" t="str">
        <f t="shared" ca="1" si="436"/>
        <v/>
      </c>
      <c r="DB706" s="302"/>
      <c r="DC706" s="364"/>
      <c r="DD706" s="445"/>
      <c r="DF706" s="424"/>
      <c r="DW706" s="365"/>
      <c r="DX706" s="424"/>
      <c r="DY706" s="424"/>
      <c r="DZ706" s="424"/>
      <c r="EA706" s="424"/>
      <c r="EB706" s="424"/>
      <c r="EC706" s="404" t="str">
        <f t="shared" si="437"/>
        <v/>
      </c>
      <c r="ED706" s="360" t="str">
        <f ca="1">IF(OR(EC706="",EJ706="",EC706=EJ706,ISNA(VLOOKUP(CONCATENATE(EC706,EJ706),games.a,2,FALSE))),"",CONCATENATE(EC706,EJ706))</f>
        <v/>
      </c>
      <c r="EE706" s="524" t="str">
        <f ca="1">IF(OR(ED706="",EJ694&gt;2),"",CONCATENATE(VLOOKUP(ED706,games.a,9,FALSE),VLOOKUP(ED706,games.a,12,FALSE)))</f>
        <v/>
      </c>
      <c r="EF706" s="413"/>
      <c r="EG706" s="414"/>
      <c r="EH706" s="525" t="str">
        <f ca="1">IF(ED706="","",VLOOKUP(ED706,games.a,6,FALSE))</f>
        <v/>
      </c>
      <c r="EI706" s="362" t="str">
        <f ca="1">IF(ED706="","",VLOOKUP(ED706,games.a,7,FALSE))</f>
        <v/>
      </c>
      <c r="EJ706" s="526" t="str">
        <f ca="1">EJ705</f>
        <v/>
      </c>
      <c r="EK706" s="527"/>
      <c r="EL706" s="528"/>
      <c r="EM706" s="424"/>
      <c r="EN706" s="424"/>
      <c r="EO706" s="425"/>
      <c r="EP706" s="333"/>
    </row>
    <row r="707" spans="80:146" x14ac:dyDescent="0.25">
      <c r="CB707" s="350"/>
      <c r="CC707" s="350"/>
      <c r="CD707" s="350"/>
      <c r="CE707" s="350"/>
      <c r="CF707" s="350"/>
      <c r="CG707" s="350"/>
      <c r="CR707" s="445"/>
      <c r="CS707" s="445"/>
      <c r="CT707" s="522" t="str">
        <f t="shared" si="435"/>
        <v/>
      </c>
      <c r="CU707" s="371" t="str">
        <f ca="1">IF(OR(CT707="",DA707="",CT707=DA707,ISNA(VLOOKUP(CONCATENATE(CT707,DA707),games.a,2,FALSE))),"",CONCATENATE(CT707,DA707))</f>
        <v/>
      </c>
      <c r="CV707" s="371" t="str">
        <f ca="1">IF(CU707="","",CONCATENATE(VLOOKUP(CU707,games.a,9,FALSE),VLOOKUP(CU707,games.a,12,FALSE)))</f>
        <v/>
      </c>
      <c r="CW707" s="369" t="str">
        <f ca="1">IF(CU707="","",VLOOKUP(CU707,games.a,10,FALSE))</f>
        <v/>
      </c>
      <c r="CX707" s="369" t="str">
        <f ca="1">IF(CU707="","",VLOOKUP(CU707,games.a,13,FALSE))</f>
        <v/>
      </c>
      <c r="CY707" s="423" t="str">
        <f ca="1">IF(CU707="","",VLOOKUP(CU707,games.a,6,FALSE))</f>
        <v/>
      </c>
      <c r="CZ707" s="409" t="str">
        <f ca="1">IF(CU707="","",VLOOKUP(CU707,games.a,7,FALSE))</f>
        <v/>
      </c>
      <c r="DA707" s="523" t="str">
        <f t="shared" ca="1" si="436"/>
        <v/>
      </c>
      <c r="DB707" s="302"/>
      <c r="DC707" s="364"/>
      <c r="DD707" s="445"/>
      <c r="DF707" s="424"/>
      <c r="DW707" s="365"/>
      <c r="DX707" s="424"/>
      <c r="DY707" s="424"/>
      <c r="DZ707" s="424"/>
      <c r="EC707" s="404" t="str">
        <f t="shared" si="437"/>
        <v/>
      </c>
      <c r="ED707" s="360" t="str">
        <f ca="1">IF(OR(EC707="",EJ707="",EC707=EJ707,ISNA(VLOOKUP(CONCATENATE(EC707,EJ707),games.a,2,FALSE))),"",CONCATENATE(EC707,EJ707))</f>
        <v/>
      </c>
      <c r="EE707" s="524" t="str">
        <f ca="1">IF(OR(ED707="",EJ694&gt;2),"",CONCATENATE(VLOOKUP(ED707,games.a,9,FALSE),VLOOKUP(ED707,games.a,12,FALSE)))</f>
        <v/>
      </c>
      <c r="EF707" s="413"/>
      <c r="EG707" s="414"/>
      <c r="EH707" s="525" t="str">
        <f ca="1">IF(ED707="","",VLOOKUP(ED707,games.a,6,FALSE))</f>
        <v/>
      </c>
      <c r="EI707" s="362" t="str">
        <f ca="1">IF(ED707="","",VLOOKUP(ED707,games.a,7,FALSE))</f>
        <v/>
      </c>
      <c r="EJ707" s="526" t="str">
        <f ca="1">EJ706</f>
        <v/>
      </c>
      <c r="EK707" s="527"/>
      <c r="EL707" s="528"/>
      <c r="EO707" s="425"/>
      <c r="EP707" s="333"/>
    </row>
    <row r="708" spans="80:146" x14ac:dyDescent="0.25">
      <c r="CB708" s="350"/>
      <c r="CC708" s="350"/>
      <c r="CD708" s="350"/>
      <c r="CE708" s="350"/>
      <c r="CF708" s="350"/>
      <c r="CG708" s="350"/>
      <c r="CR708" s="445"/>
      <c r="CS708" s="445"/>
      <c r="CT708" s="522" t="str">
        <f t="shared" si="435"/>
        <v/>
      </c>
      <c r="CU708" s="371" t="str">
        <f ca="1">IF(OR(CT708="",DA708="",CT708=DA708,ISNA(VLOOKUP(CONCATENATE(CT708,DA708),games.a,2,FALSE))),"",CONCATENATE(CT708,DA708))</f>
        <v/>
      </c>
      <c r="CV708" s="371" t="str">
        <f ca="1">IF(CU708="","",CONCATENATE(VLOOKUP(CU708,games.a,9,FALSE),VLOOKUP(CU708,games.a,12,FALSE)))</f>
        <v/>
      </c>
      <c r="CW708" s="369" t="str">
        <f ca="1">IF(CU708="","",VLOOKUP(CU708,games.a,10,FALSE))</f>
        <v/>
      </c>
      <c r="CX708" s="369" t="str">
        <f ca="1">IF(CU708="","",VLOOKUP(CU708,games.a,13,FALSE))</f>
        <v/>
      </c>
      <c r="CY708" s="423" t="str">
        <f ca="1">IF(CU708="","",VLOOKUP(CU708,games.a,6,FALSE))</f>
        <v/>
      </c>
      <c r="CZ708" s="409" t="str">
        <f ca="1">IF(CU708="","",VLOOKUP(CU708,games.a,7,FALSE))</f>
        <v/>
      </c>
      <c r="DA708" s="523" t="str">
        <f t="shared" ca="1" si="436"/>
        <v/>
      </c>
      <c r="DB708" s="302"/>
      <c r="DC708" s="364"/>
      <c r="DD708" s="445"/>
      <c r="DF708" s="424"/>
      <c r="DW708" s="424"/>
      <c r="DX708" s="424"/>
      <c r="DY708" s="424"/>
      <c r="DZ708" s="424"/>
      <c r="EA708" s="424"/>
      <c r="EB708" s="424"/>
      <c r="EC708" s="398"/>
      <c r="ED708" s="329" t="s">
        <v>157</v>
      </c>
      <c r="EE708" s="329" t="s">
        <v>158</v>
      </c>
      <c r="EF708" s="399"/>
      <c r="EG708" s="400"/>
      <c r="EH708" s="401" t="s">
        <v>160</v>
      </c>
      <c r="EI708" s="402" t="s">
        <v>135</v>
      </c>
      <c r="EJ708" s="398"/>
      <c r="EK708" s="365"/>
      <c r="EL708" s="365"/>
      <c r="EO708" s="425"/>
      <c r="EP708" s="333"/>
    </row>
    <row r="709" spans="80:146" x14ac:dyDescent="0.25">
      <c r="CB709" s="350"/>
      <c r="CC709" s="350"/>
      <c r="CD709" s="350"/>
      <c r="CE709" s="350"/>
      <c r="CF709" s="350"/>
      <c r="CG709" s="445"/>
      <c r="CR709" s="445"/>
      <c r="CS709" s="445"/>
      <c r="CT709" s="301"/>
      <c r="CU709" s="471" t="s">
        <v>157</v>
      </c>
      <c r="CV709" s="471" t="s">
        <v>158</v>
      </c>
      <c r="CW709" s="472" t="s">
        <v>159</v>
      </c>
      <c r="CX709" s="472"/>
      <c r="CY709" s="473" t="s">
        <v>160</v>
      </c>
      <c r="CZ709" s="472" t="s">
        <v>135</v>
      </c>
      <c r="DA709" s="302"/>
      <c r="DB709" s="302"/>
      <c r="DC709" s="364"/>
      <c r="DD709" s="445"/>
      <c r="DF709" s="424"/>
      <c r="DW709" s="424"/>
      <c r="DX709" s="424"/>
      <c r="DY709" s="424"/>
      <c r="DZ709" s="424"/>
      <c r="EA709" s="424"/>
      <c r="EB709" s="424"/>
      <c r="EC709" s="404" t="str">
        <f t="shared" ref="EC709:EC714" ca="1" si="438">EC702</f>
        <v/>
      </c>
      <c r="ED709" s="371" t="str">
        <f ca="1">IF(OR(EC709="",EJ709="",EC709=EJ709,ISNA(VLOOKUP(CONCATENATE(EC709,EJ709),games.r,2,FALSE))),"",CONCATENATE(EC709,EJ709))</f>
        <v/>
      </c>
      <c r="EE709" s="405" t="str">
        <f ca="1">IF(OR(ED709="",EJ694&gt;2),"",CONCATENATE(VLOOKUP(ED709,games.r,9,FALSE),VLOOKUP(ED709,games.r,12,FALSE)))</f>
        <v/>
      </c>
      <c r="EF709" s="406"/>
      <c r="EG709" s="407"/>
      <c r="EH709" s="408" t="str">
        <f ca="1">IF(ED709="","",VLOOKUP(ED709,games.r,6,FALSE))</f>
        <v/>
      </c>
      <c r="EI709" s="409" t="str">
        <f ca="1">IF(ED709="","",VLOOKUP(ED709,games.r,7,FALSE))</f>
        <v/>
      </c>
      <c r="EJ709" s="410" t="str">
        <f ca="1">EC697</f>
        <v/>
      </c>
      <c r="EK709" s="411"/>
      <c r="EL709" s="412"/>
      <c r="EO709" s="425"/>
      <c r="EP709" s="333"/>
    </row>
    <row r="710" spans="80:146" x14ac:dyDescent="0.25">
      <c r="CB710" s="350"/>
      <c r="CC710" s="350"/>
      <c r="CD710" s="350"/>
      <c r="CE710" s="350"/>
      <c r="CF710" s="350"/>
      <c r="CG710" s="445"/>
      <c r="CR710" s="445"/>
      <c r="CS710" s="445"/>
      <c r="CT710" s="395" t="str">
        <f t="shared" ref="CT710:CT719" ca="1" si="439">CT699</f>
        <v/>
      </c>
      <c r="CU710" s="478" t="str">
        <f ca="1">IF(OR(CT710="",DA710="",CT710=DA710,COUNTIF(games.rn,CT710&amp;DA710)=0),"",CONCATENATE(CT710,DA710))</f>
        <v/>
      </c>
      <c r="CV710" s="360" t="str">
        <f ca="1">IF(CU710="","",CONCATENATE(VLOOKUP(CU710,games.r,9,FALSE),VLOOKUP(CU710,games.r,12,FALSE)))</f>
        <v/>
      </c>
      <c r="CW710" s="354" t="str">
        <f ca="1">IF(CU710="","",VLOOKUP(CU710,games.r,10,FALSE))</f>
        <v/>
      </c>
      <c r="CX710" s="354" t="str">
        <f ca="1">IF(CU710="","",VLOOKUP(CU710,games.r,13,FALSE))</f>
        <v/>
      </c>
      <c r="CY710" s="361" t="str">
        <f ca="1">IF(CU710="","",VLOOKUP(CU710,games.r,6,FALSE))</f>
        <v/>
      </c>
      <c r="CZ710" s="362" t="str">
        <f ca="1">IF(CU710="","",VLOOKUP(CU710,games.r,7,FALSE))</f>
        <v/>
      </c>
      <c r="DA710" s="479" t="str">
        <f ca="1">CT690</f>
        <v/>
      </c>
      <c r="DB710" s="302"/>
      <c r="DC710" s="364"/>
      <c r="DD710" s="445"/>
      <c r="DF710" s="424"/>
      <c r="DW710" s="424"/>
      <c r="DX710" s="424"/>
      <c r="DY710" s="424"/>
      <c r="DZ710" s="424"/>
      <c r="EA710" s="424"/>
      <c r="EB710" s="424"/>
      <c r="EC710" s="404" t="str">
        <f t="shared" ca="1" si="438"/>
        <v/>
      </c>
      <c r="ED710" s="371" t="str">
        <f ca="1">IF(OR(EC710="",EJ710="",EC710=EJ710,ISNA(VLOOKUP(CONCATENATE(EC710,EJ710),games.r,2,FALSE))),"",CONCATENATE(EC710,EJ710))</f>
        <v/>
      </c>
      <c r="EE710" s="405" t="str">
        <f ca="1">IF(OR(ED710="",EJ694&gt;2),"",CONCATENATE(VLOOKUP(ED710,games.r,9,FALSE),VLOOKUP(ED710,games.r,12,FALSE)))</f>
        <v/>
      </c>
      <c r="EF710" s="413"/>
      <c r="EG710" s="414"/>
      <c r="EH710" s="408" t="str">
        <f ca="1">IF(ED710="","",VLOOKUP(ED710,games.r,6,FALSE))</f>
        <v/>
      </c>
      <c r="EI710" s="409" t="str">
        <f ca="1">IF(ED710="","",VLOOKUP(ED710,games.r,7,FALSE))</f>
        <v/>
      </c>
      <c r="EJ710" s="415" t="str">
        <f ca="1">EJ709</f>
        <v/>
      </c>
      <c r="EK710" s="416"/>
      <c r="EL710" s="417"/>
      <c r="EO710" s="425"/>
      <c r="EP710" s="333"/>
    </row>
    <row r="711" spans="80:146" x14ac:dyDescent="0.25">
      <c r="CB711" s="445"/>
      <c r="CC711" s="350"/>
      <c r="CD711" s="350"/>
      <c r="CE711" s="350"/>
      <c r="CF711" s="350"/>
      <c r="CG711" s="445"/>
      <c r="CR711" s="445"/>
      <c r="CS711" s="445"/>
      <c r="CT711" s="395" t="str">
        <f t="shared" ca="1" si="439"/>
        <v/>
      </c>
      <c r="CU711" s="478" t="str">
        <f ca="1">IF(OR(CT711="",DA711="",CT711=DA711,COUNTIF(games.rn,CT711&amp;DA711)=0),"",CONCATENATE(CT711,DA711))</f>
        <v/>
      </c>
      <c r="CV711" s="360" t="str">
        <f ca="1">IF(CU711="","",CONCATENATE(VLOOKUP(CU711,games.r,9,FALSE),VLOOKUP(CU711,games.r,12,FALSE)))</f>
        <v/>
      </c>
      <c r="CW711" s="354" t="str">
        <f ca="1">IF(CU711="","",VLOOKUP(CU711,games.r,10,FALSE))</f>
        <v/>
      </c>
      <c r="CX711" s="354" t="str">
        <f ca="1">IF(CU711="","",VLOOKUP(CU711,games.r,13,FALSE))</f>
        <v/>
      </c>
      <c r="CY711" s="361" t="str">
        <f ca="1">IF(CU711="","",VLOOKUP(CU711,games.r,6,FALSE))</f>
        <v/>
      </c>
      <c r="CZ711" s="362" t="str">
        <f ca="1">IF(CU711="","",VLOOKUP(CU711,games.r,7,FALSE))</f>
        <v/>
      </c>
      <c r="DA711" s="379" t="str">
        <f t="shared" ref="DA711:DA719" ca="1" si="440">DA710</f>
        <v/>
      </c>
      <c r="DB711" s="302"/>
      <c r="DC711" s="364"/>
      <c r="DD711" s="445"/>
      <c r="DF711" s="424"/>
      <c r="DW711" s="424"/>
      <c r="DX711" s="424"/>
      <c r="DY711" s="424"/>
      <c r="DZ711" s="424"/>
      <c r="EA711" s="424"/>
      <c r="EB711" s="424"/>
      <c r="EC711" s="404" t="str">
        <f t="shared" ca="1" si="438"/>
        <v/>
      </c>
      <c r="ED711" s="371" t="str">
        <f ca="1">IF(OR(EC711="",EJ711="",EC711=EJ711,ISNA(VLOOKUP(CONCATENATE(EC711,EJ711),games.r,2,FALSE))),"",CONCATENATE(EC711,EJ711))</f>
        <v/>
      </c>
      <c r="EE711" s="405" t="str">
        <f ca="1">IF(OR(ED711="",EJ694&gt;2),"",CONCATENATE(VLOOKUP(ED711,games.r,9,FALSE),VLOOKUP(ED711,games.r,12,FALSE)))</f>
        <v/>
      </c>
      <c r="EF711" s="413"/>
      <c r="EG711" s="414"/>
      <c r="EH711" s="408" t="str">
        <f ca="1">IF(ED711="","",VLOOKUP(ED711,games.r,6,FALSE))</f>
        <v/>
      </c>
      <c r="EI711" s="409" t="str">
        <f ca="1">IF(ED711="","",VLOOKUP(ED711,games.r,7,FALSE))</f>
        <v/>
      </c>
      <c r="EJ711" s="415" t="str">
        <f ca="1">EJ710</f>
        <v/>
      </c>
      <c r="EK711" s="416"/>
      <c r="EL711" s="417"/>
      <c r="EO711" s="425"/>
      <c r="EP711" s="333"/>
    </row>
    <row r="712" spans="80:146" x14ac:dyDescent="0.25">
      <c r="CB712" s="445"/>
      <c r="CC712" s="350"/>
      <c r="CD712" s="350"/>
      <c r="CE712" s="350"/>
      <c r="CF712" s="350"/>
      <c r="CG712" s="445"/>
      <c r="CR712" s="445"/>
      <c r="CS712" s="445"/>
      <c r="CT712" s="395" t="str">
        <f t="shared" ca="1" si="439"/>
        <v/>
      </c>
      <c r="CU712" s="478" t="str">
        <f ca="1">IF(OR(CT712="",DA712="",CT712=DA712,COUNTIF(games.rn,CT712&amp;DA712)=0),"",CONCATENATE(CT712,DA712))</f>
        <v/>
      </c>
      <c r="CV712" s="360" t="str">
        <f ca="1">IF(CU712="","",CONCATENATE(VLOOKUP(CU712,games.r,9,FALSE),VLOOKUP(CU712,games.r,12,FALSE)))</f>
        <v/>
      </c>
      <c r="CW712" s="354" t="str">
        <f ca="1">IF(CU712="","",VLOOKUP(CU712,games.r,10,FALSE))</f>
        <v/>
      </c>
      <c r="CX712" s="354" t="str">
        <f ca="1">IF(CU712="","",VLOOKUP(CU712,games.r,13,FALSE))</f>
        <v/>
      </c>
      <c r="CY712" s="361" t="str">
        <f ca="1">IF(CU712="","",VLOOKUP(CU712,games.r,6,FALSE))</f>
        <v/>
      </c>
      <c r="CZ712" s="362" t="str">
        <f ca="1">IF(CU712="","",VLOOKUP(CU712,games.r,7,FALSE))</f>
        <v/>
      </c>
      <c r="DA712" s="379" t="str">
        <f t="shared" ca="1" si="440"/>
        <v/>
      </c>
      <c r="DB712" s="302"/>
      <c r="DC712" s="364"/>
      <c r="DD712" s="445"/>
      <c r="DF712" s="424"/>
      <c r="DW712" s="424"/>
      <c r="DX712" s="424"/>
      <c r="DY712" s="424"/>
      <c r="DZ712" s="424"/>
      <c r="EA712" s="424"/>
      <c r="EB712" s="424"/>
      <c r="EC712" s="404" t="str">
        <f t="shared" si="438"/>
        <v/>
      </c>
      <c r="ED712" s="360" t="str">
        <f ca="1">IF(OR(EC712="",EJ712="",EC712=EJ712,ISNA(VLOOKUP(CONCATENATE(EC712,EJ712),games.a,2,FALSE))),"",CONCATENATE(EC712,EJ712))</f>
        <v/>
      </c>
      <c r="EE712" s="524" t="str">
        <f ca="1">IF(OR(ED712="",EJ694&gt;2),"",CONCATENATE(VLOOKUP(ED712,games.a,9,FALSE),VLOOKUP(ED712,games.a,12,FALSE)))</f>
        <v/>
      </c>
      <c r="EF712" s="413"/>
      <c r="EG712" s="414"/>
      <c r="EH712" s="525" t="str">
        <f ca="1">IF(ED712="","",VLOOKUP(ED712,games.a,6,FALSE))</f>
        <v/>
      </c>
      <c r="EI712" s="362" t="str">
        <f ca="1">IF(ED712="","",VLOOKUP(ED712,games.a,7,FALSE))</f>
        <v/>
      </c>
      <c r="EJ712" s="526" t="str">
        <f ca="1">EJ711</f>
        <v/>
      </c>
      <c r="EK712" s="527"/>
      <c r="EL712" s="528"/>
      <c r="EO712" s="425"/>
      <c r="EP712" s="333"/>
    </row>
    <row r="713" spans="80:146" x14ac:dyDescent="0.25">
      <c r="CB713" s="445"/>
      <c r="CC713" s="350"/>
      <c r="CD713" s="350"/>
      <c r="CE713" s="350"/>
      <c r="CF713" s="350"/>
      <c r="CG713" s="445"/>
      <c r="CR713" s="445"/>
      <c r="CS713" s="445"/>
      <c r="CT713" s="395" t="str">
        <f t="shared" ca="1" si="439"/>
        <v/>
      </c>
      <c r="CU713" s="478" t="str">
        <f ca="1">IF(OR(CT713="",DA713="",CT713=DA713,COUNTIF(games.rn,CT713&amp;DA713)=0),"",CONCATENATE(CT713,DA713))</f>
        <v/>
      </c>
      <c r="CV713" s="360" t="str">
        <f ca="1">IF(CU713="","",CONCATENATE(VLOOKUP(CU713,games.r,9,FALSE),VLOOKUP(CU713,games.r,12,FALSE)))</f>
        <v/>
      </c>
      <c r="CW713" s="354" t="str">
        <f ca="1">IF(CU713="","",VLOOKUP(CU713,games.r,10,FALSE))</f>
        <v/>
      </c>
      <c r="CX713" s="354" t="str">
        <f ca="1">IF(CU713="","",VLOOKUP(CU713,games.r,13,FALSE))</f>
        <v/>
      </c>
      <c r="CY713" s="361" t="str">
        <f ca="1">IF(CU713="","",VLOOKUP(CU713,games.r,6,FALSE))</f>
        <v/>
      </c>
      <c r="CZ713" s="362" t="str">
        <f ca="1">IF(CU713="","",VLOOKUP(CU713,games.r,7,FALSE))</f>
        <v/>
      </c>
      <c r="DA713" s="379" t="str">
        <f t="shared" ca="1" si="440"/>
        <v/>
      </c>
      <c r="DB713" s="302"/>
      <c r="DC713" s="364"/>
      <c r="DD713" s="445"/>
      <c r="DF713" s="424"/>
      <c r="DW713" s="424"/>
      <c r="DX713" s="424"/>
      <c r="DY713" s="424"/>
      <c r="DZ713" s="424"/>
      <c r="EA713" s="424"/>
      <c r="EB713" s="424"/>
      <c r="EC713" s="404" t="str">
        <f t="shared" si="438"/>
        <v/>
      </c>
      <c r="ED713" s="360" t="str">
        <f ca="1">IF(OR(EC713="",EJ713="",EC713=EJ713,ISNA(VLOOKUP(CONCATENATE(EC713,EJ713),games.a,2,FALSE))),"",CONCATENATE(EC713,EJ713))</f>
        <v/>
      </c>
      <c r="EE713" s="524" t="str">
        <f ca="1">IF(OR(ED713="",EJ694&gt;2),"",CONCATENATE(VLOOKUP(ED713,games.a,9,FALSE),VLOOKUP(ED713,games.a,12,FALSE)))</f>
        <v/>
      </c>
      <c r="EF713" s="413"/>
      <c r="EG713" s="414"/>
      <c r="EH713" s="525" t="str">
        <f ca="1">IF(ED713="","",VLOOKUP(ED713,games.a,6,FALSE))</f>
        <v/>
      </c>
      <c r="EI713" s="362" t="str">
        <f ca="1">IF(ED713="","",VLOOKUP(ED713,games.a,7,FALSE))</f>
        <v/>
      </c>
      <c r="EJ713" s="526" t="str">
        <f ca="1">EJ712</f>
        <v/>
      </c>
      <c r="EK713" s="527"/>
      <c r="EL713" s="528"/>
      <c r="EO713" s="425"/>
      <c r="EP713" s="333"/>
    </row>
    <row r="714" spans="80:146" x14ac:dyDescent="0.25">
      <c r="CB714" s="445"/>
      <c r="CC714" s="350"/>
      <c r="CD714" s="350"/>
      <c r="CE714" s="350"/>
      <c r="CF714" s="350"/>
      <c r="CG714" s="445"/>
      <c r="CR714" s="445"/>
      <c r="CS714" s="445"/>
      <c r="CT714" s="395" t="str">
        <f t="shared" ca="1" si="439"/>
        <v/>
      </c>
      <c r="CU714" s="478" t="str">
        <f ca="1">IF(OR(CT714="",DA714="",CT714=DA714,COUNTIF(games.rn,CT714&amp;DA714)=0),"",CONCATENATE(CT714,DA714))</f>
        <v/>
      </c>
      <c r="CV714" s="360" t="str">
        <f ca="1">IF(CU714="","",CONCATENATE(VLOOKUP(CU714,games.r,9,FALSE),VLOOKUP(CU714,games.r,12,FALSE)))</f>
        <v/>
      </c>
      <c r="CW714" s="354" t="str">
        <f ca="1">IF(CU714="","",VLOOKUP(CU714,games.r,10,FALSE))</f>
        <v/>
      </c>
      <c r="CX714" s="354" t="str">
        <f ca="1">IF(CU714="","",VLOOKUP(CU714,games.r,13,FALSE))</f>
        <v/>
      </c>
      <c r="CY714" s="361" t="str">
        <f ca="1">IF(CU714="","",VLOOKUP(CU714,games.r,6,FALSE))</f>
        <v/>
      </c>
      <c r="CZ714" s="362" t="str">
        <f ca="1">IF(CU714="","",VLOOKUP(CU714,games.r,7,FALSE))</f>
        <v/>
      </c>
      <c r="DA714" s="379" t="str">
        <f t="shared" ca="1" si="440"/>
        <v/>
      </c>
      <c r="DB714" s="302"/>
      <c r="DC714" s="364"/>
      <c r="DD714" s="445"/>
      <c r="DF714" s="424"/>
      <c r="DW714" s="424"/>
      <c r="DX714" s="424"/>
      <c r="DY714" s="424"/>
      <c r="DZ714" s="424"/>
      <c r="EA714" s="424"/>
      <c r="EC714" s="404" t="str">
        <f t="shared" si="438"/>
        <v/>
      </c>
      <c r="ED714" s="360" t="str">
        <f ca="1">IF(OR(EC714="",EJ714="",EC714=EJ714,ISNA(VLOOKUP(CONCATENATE(EC714,EJ714),games.a,2,FALSE))),"",CONCATENATE(EC714,EJ714))</f>
        <v/>
      </c>
      <c r="EE714" s="524" t="str">
        <f ca="1">IF(OR(ED714="",EJ694&gt;2),"",CONCATENATE(VLOOKUP(ED714,games.a,9,FALSE),VLOOKUP(ED714,games.a,12,FALSE)))</f>
        <v/>
      </c>
      <c r="EF714" s="413"/>
      <c r="EG714" s="414"/>
      <c r="EH714" s="525" t="str">
        <f ca="1">IF(ED714="","",VLOOKUP(ED714,games.a,6,FALSE))</f>
        <v/>
      </c>
      <c r="EI714" s="362" t="str">
        <f ca="1">IF(ED714="","",VLOOKUP(ED714,games.a,7,FALSE))</f>
        <v/>
      </c>
      <c r="EJ714" s="526" t="str">
        <f ca="1">EJ713</f>
        <v/>
      </c>
      <c r="EK714" s="527"/>
      <c r="EL714" s="528"/>
      <c r="EO714" s="425"/>
      <c r="EP714" s="333"/>
    </row>
    <row r="715" spans="80:146" x14ac:dyDescent="0.25">
      <c r="CB715" s="445"/>
      <c r="CC715" s="350"/>
      <c r="CD715" s="350"/>
      <c r="CE715" s="350"/>
      <c r="CF715" s="350"/>
      <c r="CG715" s="445"/>
      <c r="CR715" s="445"/>
      <c r="CS715" s="445"/>
      <c r="CT715" s="522" t="str">
        <f t="shared" si="439"/>
        <v/>
      </c>
      <c r="CU715" s="371" t="str">
        <f ca="1">IF(OR(CT715="",DA715="",CT715=DA715,ISNA(VLOOKUP(CONCATENATE(CT715,DA715),games.a,2,FALSE))),"",CONCATENATE(CT715,DA715))</f>
        <v/>
      </c>
      <c r="CV715" s="371" t="str">
        <f ca="1">IF(CU715="","",CONCATENATE(VLOOKUP(CU715,games.a,9,FALSE),VLOOKUP(CU715,games.a,12,FALSE)))</f>
        <v/>
      </c>
      <c r="CW715" s="369" t="str">
        <f ca="1">IF(CU715="","",VLOOKUP(CU715,games.a,10,FALSE))</f>
        <v/>
      </c>
      <c r="CX715" s="369" t="str">
        <f ca="1">IF(CU715="","",VLOOKUP(CU715,games.a,13,FALSE))</f>
        <v/>
      </c>
      <c r="CY715" s="423" t="str">
        <f ca="1">IF(CU715="","",VLOOKUP(CU715,games.a,6,FALSE))</f>
        <v/>
      </c>
      <c r="CZ715" s="409" t="str">
        <f ca="1">IF(CU715="","",VLOOKUP(CU715,games.a,7,FALSE))</f>
        <v/>
      </c>
      <c r="DA715" s="523" t="str">
        <f t="shared" ca="1" si="440"/>
        <v/>
      </c>
      <c r="DB715" s="302"/>
      <c r="DC715" s="364"/>
      <c r="DD715" s="445"/>
      <c r="DF715" s="424"/>
      <c r="DW715" s="424"/>
      <c r="DX715" s="424"/>
      <c r="DY715" s="424"/>
      <c r="DZ715" s="424"/>
      <c r="EA715" s="424"/>
      <c r="EB715" s="424"/>
      <c r="EC715" s="424"/>
      <c r="ED715" s="424"/>
      <c r="EE715" s="424"/>
      <c r="EF715" s="424"/>
      <c r="EG715" s="424"/>
      <c r="EH715" s="424"/>
      <c r="EI715" s="424"/>
      <c r="EJ715" s="424"/>
      <c r="EK715" s="424"/>
      <c r="EL715" s="424"/>
      <c r="EO715" s="425"/>
      <c r="EP715" s="333"/>
    </row>
    <row r="716" spans="80:146" x14ac:dyDescent="0.25">
      <c r="CB716" s="445"/>
      <c r="CC716" s="350"/>
      <c r="CD716" s="350"/>
      <c r="CE716" s="350"/>
      <c r="CF716" s="350"/>
      <c r="CG716" s="445"/>
      <c r="CR716" s="445"/>
      <c r="CS716" s="445"/>
      <c r="CT716" s="522" t="str">
        <f t="shared" si="439"/>
        <v/>
      </c>
      <c r="CU716" s="371" t="str">
        <f ca="1">IF(OR(CT716="",DA716="",CT716=DA716,ISNA(VLOOKUP(CONCATENATE(CT716,DA716),games.a,2,FALSE))),"",CONCATENATE(CT716,DA716))</f>
        <v/>
      </c>
      <c r="CV716" s="371" t="str">
        <f ca="1">IF(CU716="","",CONCATENATE(VLOOKUP(CU716,games.a,9,FALSE),VLOOKUP(CU716,games.a,12,FALSE)))</f>
        <v/>
      </c>
      <c r="CW716" s="369" t="str">
        <f ca="1">IF(CU716="","",VLOOKUP(CU716,games.a,10,FALSE))</f>
        <v/>
      </c>
      <c r="CX716" s="369" t="str">
        <f ca="1">IF(CU716="","",VLOOKUP(CU716,games.a,13,FALSE))</f>
        <v/>
      </c>
      <c r="CY716" s="423" t="str">
        <f ca="1">IF(CU716="","",VLOOKUP(CU716,games.a,6,FALSE))</f>
        <v/>
      </c>
      <c r="CZ716" s="409" t="str">
        <f ca="1">IF(CU716="","",VLOOKUP(CU716,games.a,7,FALSE))</f>
        <v/>
      </c>
      <c r="DA716" s="523" t="str">
        <f t="shared" ca="1" si="440"/>
        <v/>
      </c>
      <c r="DB716" s="302"/>
      <c r="DC716" s="364"/>
      <c r="DD716" s="445"/>
      <c r="DF716" s="424"/>
      <c r="DG716" s="424"/>
      <c r="DH716" s="424"/>
      <c r="DI716" s="424"/>
      <c r="DJ716" s="424"/>
      <c r="DK716" s="424"/>
      <c r="DL716" s="424"/>
      <c r="DM716" s="424"/>
      <c r="DN716" s="424"/>
      <c r="DO716" s="424"/>
      <c r="DP716" s="424"/>
      <c r="DQ716" s="424"/>
      <c r="DR716" s="424"/>
      <c r="DS716" s="424"/>
      <c r="DT716" s="424"/>
      <c r="DU716" s="424"/>
      <c r="DV716" s="424"/>
      <c r="DW716" s="424"/>
      <c r="DX716" s="424"/>
      <c r="DY716" s="424"/>
      <c r="DZ716" s="424"/>
      <c r="EA716" s="424"/>
      <c r="EB716" s="424"/>
      <c r="EC716" s="424"/>
      <c r="ED716" s="424"/>
      <c r="EE716" s="424"/>
      <c r="EF716" s="424"/>
      <c r="EG716" s="424"/>
      <c r="EH716" s="424"/>
      <c r="EI716" s="424"/>
      <c r="EJ716" s="424"/>
      <c r="EK716" s="424"/>
      <c r="EL716" s="424"/>
      <c r="EO716" s="425"/>
      <c r="EP716" s="333"/>
    </row>
    <row r="717" spans="80:146" x14ac:dyDescent="0.25">
      <c r="CB717" s="445"/>
      <c r="CC717" s="350"/>
      <c r="CD717" s="350"/>
      <c r="CE717" s="350"/>
      <c r="CF717" s="350"/>
      <c r="CG717" s="445"/>
      <c r="CR717" s="445"/>
      <c r="CS717" s="445"/>
      <c r="CT717" s="522" t="str">
        <f t="shared" si="439"/>
        <v/>
      </c>
      <c r="CU717" s="371" t="str">
        <f ca="1">IF(OR(CT717="",DA717="",CT717=DA717,ISNA(VLOOKUP(CONCATENATE(CT717,DA717),games.a,2,FALSE))),"",CONCATENATE(CT717,DA717))</f>
        <v/>
      </c>
      <c r="CV717" s="371" t="str">
        <f ca="1">IF(CU717="","",CONCATENATE(VLOOKUP(CU717,games.a,9,FALSE),VLOOKUP(CU717,games.a,12,FALSE)))</f>
        <v/>
      </c>
      <c r="CW717" s="369" t="str">
        <f ca="1">IF(CU717="","",VLOOKUP(CU717,games.a,10,FALSE))</f>
        <v/>
      </c>
      <c r="CX717" s="369" t="str">
        <f ca="1">IF(CU717="","",VLOOKUP(CU717,games.a,13,FALSE))</f>
        <v/>
      </c>
      <c r="CY717" s="423" t="str">
        <f ca="1">IF(CU717="","",VLOOKUP(CU717,games.a,6,FALSE))</f>
        <v/>
      </c>
      <c r="CZ717" s="409" t="str">
        <f ca="1">IF(CU717="","",VLOOKUP(CU717,games.a,7,FALSE))</f>
        <v/>
      </c>
      <c r="DA717" s="523" t="str">
        <f t="shared" ca="1" si="440"/>
        <v/>
      </c>
      <c r="DB717" s="302"/>
      <c r="DC717" s="364"/>
      <c r="DD717" s="445"/>
      <c r="DF717" s="424"/>
      <c r="DG717" s="424"/>
      <c r="DH717" s="424"/>
      <c r="DI717" s="424"/>
      <c r="DJ717" s="424"/>
      <c r="DK717" s="424"/>
      <c r="DL717" s="424"/>
      <c r="DM717" s="424"/>
      <c r="DN717" s="424"/>
      <c r="DO717" s="424"/>
      <c r="DP717" s="424"/>
      <c r="DQ717" s="424"/>
      <c r="DR717" s="424"/>
      <c r="DS717" s="424"/>
      <c r="DT717" s="424"/>
      <c r="DU717" s="424"/>
      <c r="DV717" s="424"/>
      <c r="DW717" s="424"/>
      <c r="DX717" s="424"/>
      <c r="DY717" s="424"/>
      <c r="DZ717" s="424"/>
      <c r="EA717" s="424"/>
      <c r="EB717" s="424"/>
      <c r="EC717" s="398"/>
      <c r="ED717" s="329" t="s">
        <v>157</v>
      </c>
      <c r="EE717" s="329" t="s">
        <v>158</v>
      </c>
      <c r="EF717" s="399"/>
      <c r="EG717" s="400"/>
      <c r="EH717" s="401" t="s">
        <v>160</v>
      </c>
      <c r="EI717" s="402" t="s">
        <v>135</v>
      </c>
      <c r="EJ717" s="424"/>
      <c r="EK717" s="365"/>
      <c r="EL717" s="365"/>
      <c r="EO717" s="425"/>
      <c r="EP717" s="333"/>
    </row>
    <row r="718" spans="80:146" x14ac:dyDescent="0.25">
      <c r="CB718" s="445"/>
      <c r="CC718" s="350"/>
      <c r="CD718" s="350"/>
      <c r="CE718" s="350"/>
      <c r="CF718" s="350"/>
      <c r="CG718" s="445"/>
      <c r="CR718" s="445"/>
      <c r="CS718" s="445"/>
      <c r="CT718" s="522" t="str">
        <f t="shared" si="439"/>
        <v/>
      </c>
      <c r="CU718" s="371" t="str">
        <f ca="1">IF(OR(CT718="",DA718="",CT718=DA718,ISNA(VLOOKUP(CONCATENATE(CT718,DA718),games.a,2,FALSE))),"",CONCATENATE(CT718,DA718))</f>
        <v/>
      </c>
      <c r="CV718" s="371" t="str">
        <f ca="1">IF(CU718="","",CONCATENATE(VLOOKUP(CU718,games.a,9,FALSE),VLOOKUP(CU718,games.a,12,FALSE)))</f>
        <v/>
      </c>
      <c r="CW718" s="369" t="str">
        <f ca="1">IF(CU718="","",VLOOKUP(CU718,games.a,10,FALSE))</f>
        <v/>
      </c>
      <c r="CX718" s="369" t="str">
        <f ca="1">IF(CU718="","",VLOOKUP(CU718,games.a,13,FALSE))</f>
        <v/>
      </c>
      <c r="CY718" s="423" t="str">
        <f ca="1">IF(CU718="","",VLOOKUP(CU718,games.a,6,FALSE))</f>
        <v/>
      </c>
      <c r="CZ718" s="409" t="str">
        <f ca="1">IF(CU718="","",VLOOKUP(CU718,games.a,7,FALSE))</f>
        <v/>
      </c>
      <c r="DA718" s="523" t="str">
        <f t="shared" ca="1" si="440"/>
        <v/>
      </c>
      <c r="DB718" s="302"/>
      <c r="DC718" s="364"/>
      <c r="DD718" s="445"/>
      <c r="DF718" s="424"/>
      <c r="DG718" s="424"/>
      <c r="DH718" s="424"/>
      <c r="DI718" s="424"/>
      <c r="DJ718" s="424"/>
      <c r="DK718" s="424"/>
      <c r="DL718" s="424"/>
      <c r="DM718" s="424"/>
      <c r="DN718" s="424"/>
      <c r="DO718" s="424"/>
      <c r="DP718" s="424"/>
      <c r="DQ718" s="424"/>
      <c r="DR718" s="424"/>
      <c r="DS718" s="424"/>
      <c r="DT718" s="424"/>
      <c r="DU718" s="424"/>
      <c r="DV718" s="424"/>
      <c r="DW718" s="424"/>
      <c r="DX718" s="424"/>
      <c r="DY718" s="424"/>
      <c r="DZ718" s="424"/>
      <c r="EA718" s="424"/>
      <c r="EB718" s="424"/>
      <c r="EC718" s="404" t="str">
        <f ca="1">IF(EI688="","",VLOOKUP(EI688,yyy.rn2,7,FALSE))</f>
        <v/>
      </c>
      <c r="ED718" s="371" t="str">
        <f ca="1">IF(OR(EC718="",EJ718="",EC718=EJ718,ISNA(VLOOKUP(CONCATENATE(EC718,EJ718),games.r,2,FALSE))),"",CONCATENATE(EC718,EJ718))</f>
        <v/>
      </c>
      <c r="EE718" s="371" t="str">
        <f ca="1">IF(ED718="","",CONCATENATE(VLOOKUP(ED718,games.r,9,FALSE),VLOOKUP(ED718,games.r,12,FALSE)))</f>
        <v/>
      </c>
      <c r="EF718" s="406"/>
      <c r="EG718" s="407"/>
      <c r="EH718" s="408" t="str">
        <f ca="1">IF(ED718="","",VLOOKUP(ED718,games.r,6,FALSE))</f>
        <v/>
      </c>
      <c r="EI718" s="409" t="str">
        <f ca="1">IF(ED718="","",VLOOKUP(ED718,games.r,7,FALSE))</f>
        <v/>
      </c>
      <c r="EJ718" s="410" t="str">
        <f ca="1">EC718</f>
        <v/>
      </c>
      <c r="EK718" s="411"/>
      <c r="EL718" s="412"/>
      <c r="EO718" s="425"/>
      <c r="EP718" s="333"/>
    </row>
    <row r="719" spans="80:146" x14ac:dyDescent="0.25">
      <c r="CB719" s="445"/>
      <c r="CC719" s="350"/>
      <c r="CD719" s="350"/>
      <c r="CE719" s="350"/>
      <c r="CF719" s="350"/>
      <c r="CG719" s="445"/>
      <c r="CR719" s="445"/>
      <c r="CS719" s="445"/>
      <c r="CT719" s="522" t="str">
        <f t="shared" si="439"/>
        <v/>
      </c>
      <c r="CU719" s="371" t="str">
        <f ca="1">IF(OR(CT719="",DA719="",CT719=DA719,ISNA(VLOOKUP(CONCATENATE(CT719,DA719),games.a,2,FALSE))),"",CONCATENATE(CT719,DA719))</f>
        <v/>
      </c>
      <c r="CV719" s="371" t="str">
        <f ca="1">IF(CU719="","",CONCATENATE(VLOOKUP(CU719,games.a,9,FALSE),VLOOKUP(CU719,games.a,12,FALSE)))</f>
        <v/>
      </c>
      <c r="CW719" s="369" t="str">
        <f ca="1">IF(CU719="","",VLOOKUP(CU719,games.a,10,FALSE))</f>
        <v/>
      </c>
      <c r="CX719" s="369" t="str">
        <f ca="1">IF(CU719="","",VLOOKUP(CU719,games.a,13,FALSE))</f>
        <v/>
      </c>
      <c r="CY719" s="423" t="str">
        <f ca="1">IF(CU719="","",VLOOKUP(CU719,games.a,6,FALSE))</f>
        <v/>
      </c>
      <c r="CZ719" s="409" t="str">
        <f ca="1">IF(CU719="","",VLOOKUP(CU719,games.a,7,FALSE))</f>
        <v/>
      </c>
      <c r="DA719" s="523" t="str">
        <f t="shared" ca="1" si="440"/>
        <v/>
      </c>
      <c r="DB719" s="302"/>
      <c r="DC719" s="364"/>
      <c r="DD719" s="445"/>
      <c r="DF719" s="424"/>
      <c r="DG719" s="424"/>
      <c r="DH719" s="424"/>
      <c r="DI719" s="424"/>
      <c r="DJ719" s="424"/>
      <c r="DK719" s="424"/>
      <c r="DL719" s="424"/>
      <c r="DM719" s="424"/>
      <c r="DN719" s="424"/>
      <c r="DO719" s="424"/>
      <c r="DP719" s="424"/>
      <c r="DQ719" s="424"/>
      <c r="DR719" s="424"/>
      <c r="DS719" s="424"/>
      <c r="DT719" s="424"/>
      <c r="DU719" s="424"/>
      <c r="DV719" s="424"/>
      <c r="DW719" s="424"/>
      <c r="DX719" s="424"/>
      <c r="DY719" s="424"/>
      <c r="DZ719" s="424"/>
      <c r="EA719" s="424"/>
      <c r="EB719" s="424"/>
      <c r="EC719" s="404" t="str">
        <f ca="1">IF(EI689="","",VLOOKUP(EI689,yyy.rn2,7,FALSE))</f>
        <v/>
      </c>
      <c r="ED719" s="371" t="str">
        <f ca="1">IF(OR(EC719="",EJ719="",EC719=EJ719,ISNA(VLOOKUP(CONCATENATE(EC719,EJ719),games.r,2,FALSE))),"",CONCATENATE(EC719,EJ719))</f>
        <v/>
      </c>
      <c r="EE719" s="371" t="str">
        <f ca="1">IF(ED719="","",CONCATENATE(VLOOKUP(ED719,games.r,9,FALSE),VLOOKUP(ED719,games.r,12,FALSE)))</f>
        <v/>
      </c>
      <c r="EF719" s="413"/>
      <c r="EG719" s="414"/>
      <c r="EH719" s="408" t="str">
        <f ca="1">IF(ED719="","",VLOOKUP(ED719,games.r,6,FALSE))</f>
        <v/>
      </c>
      <c r="EI719" s="409" t="str">
        <f ca="1">IF(ED719="","",VLOOKUP(ED719,games.r,7,FALSE))</f>
        <v/>
      </c>
      <c r="EJ719" s="415" t="str">
        <f ca="1">EJ718</f>
        <v/>
      </c>
      <c r="EK719" s="416"/>
      <c r="EL719" s="417"/>
      <c r="EO719" s="425"/>
      <c r="EP719" s="333"/>
    </row>
    <row r="720" spans="80:146" x14ac:dyDescent="0.25">
      <c r="CB720" s="445"/>
      <c r="CC720" s="350"/>
      <c r="CD720" s="350"/>
      <c r="CE720" s="350"/>
      <c r="CF720" s="350"/>
      <c r="CG720" s="445"/>
      <c r="CR720" s="445"/>
      <c r="CS720" s="445"/>
      <c r="CT720" s="301"/>
      <c r="CU720" s="471" t="s">
        <v>157</v>
      </c>
      <c r="CV720" s="471" t="s">
        <v>158</v>
      </c>
      <c r="CW720" s="472" t="s">
        <v>159</v>
      </c>
      <c r="CX720" s="472"/>
      <c r="CY720" s="473" t="s">
        <v>160</v>
      </c>
      <c r="CZ720" s="472" t="s">
        <v>135</v>
      </c>
      <c r="DA720" s="302"/>
      <c r="DB720" s="302"/>
      <c r="DC720" s="364"/>
      <c r="DD720" s="445"/>
      <c r="DF720" s="424"/>
      <c r="DG720" s="424"/>
      <c r="DH720" s="424"/>
      <c r="DI720" s="424"/>
      <c r="DJ720" s="424"/>
      <c r="DK720" s="424"/>
      <c r="DL720" s="424"/>
      <c r="DM720" s="424"/>
      <c r="DN720" s="424"/>
      <c r="DO720" s="424"/>
      <c r="DP720" s="424"/>
      <c r="DQ720" s="424"/>
      <c r="DR720" s="424"/>
      <c r="DS720" s="424"/>
      <c r="DT720" s="424"/>
      <c r="DU720" s="424"/>
      <c r="DV720" s="424"/>
      <c r="DW720" s="424"/>
      <c r="DX720" s="424"/>
      <c r="DY720" s="424"/>
      <c r="DZ720" s="424"/>
      <c r="EA720" s="424"/>
      <c r="EB720" s="424"/>
      <c r="EC720" s="404" t="str">
        <f>IF(NOT($AD$105),"",EC718)</f>
        <v/>
      </c>
      <c r="ED720" s="360" t="str">
        <f ca="1">IF(OR(EC720="",EJ720="",EC720=EJ720,ISNA(VLOOKUP(CONCATENATE(EC720,EJ720),games.a,2,FALSE))),"",CONCATENATE(EC720,EJ720))</f>
        <v/>
      </c>
      <c r="EE720" s="360" t="str">
        <f ca="1">IF(ED720="","",CONCATENATE(VLOOKUP(ED720,games.a,9,FALSE),VLOOKUP(ED720,games.a,12,FALSE)))</f>
        <v/>
      </c>
      <c r="EF720" s="413"/>
      <c r="EG720" s="414"/>
      <c r="EH720" s="525" t="str">
        <f ca="1">IF(ED720="","",VLOOKUP(ED720,games.a,6,FALSE))</f>
        <v/>
      </c>
      <c r="EI720" s="362" t="str">
        <f ca="1">IF(ED720="","",VLOOKUP(ED720,games.a,7,FALSE))</f>
        <v/>
      </c>
      <c r="EJ720" s="526" t="str">
        <f ca="1">EJ719</f>
        <v/>
      </c>
      <c r="EK720" s="527"/>
      <c r="EL720" s="528"/>
      <c r="EO720" s="425"/>
      <c r="EP720" s="333"/>
    </row>
    <row r="721" spans="80:146" x14ac:dyDescent="0.25">
      <c r="CB721" s="445"/>
      <c r="CC721" s="350"/>
      <c r="CD721" s="350"/>
      <c r="CE721" s="350"/>
      <c r="CF721" s="350"/>
      <c r="CG721" s="445"/>
      <c r="CR721" s="445"/>
      <c r="CS721" s="445"/>
      <c r="CT721" s="395" t="str">
        <f t="shared" ref="CT721:CT730" ca="1" si="441">CT710</f>
        <v/>
      </c>
      <c r="CU721" s="478" t="str">
        <f ca="1">IF(OR(CT721="",DA721="",CT721=DA721,COUNTIF(games.rn,CT721&amp;DA721)=0),"",CONCATENATE(CT721,DA721))</f>
        <v/>
      </c>
      <c r="CV721" s="360" t="str">
        <f ca="1">IF(CU721="","",CONCATENATE(VLOOKUP(CU721,games.r,9,FALSE),VLOOKUP(CU721,games.r,12,FALSE)))</f>
        <v/>
      </c>
      <c r="CW721" s="354" t="str">
        <f ca="1">IF(CU721="","",VLOOKUP(CU721,games.r,10,FALSE))</f>
        <v/>
      </c>
      <c r="CX721" s="354" t="str">
        <f ca="1">IF(CU721="","",VLOOKUP(CU721,games.r,13,FALSE))</f>
        <v/>
      </c>
      <c r="CY721" s="361" t="str">
        <f ca="1">IF(CU721="","",VLOOKUP(CU721,games.r,6,FALSE))</f>
        <v/>
      </c>
      <c r="CZ721" s="362" t="str">
        <f ca="1">IF(CU721="","",VLOOKUP(CU721,games.r,7,FALSE))</f>
        <v/>
      </c>
      <c r="DA721" s="479" t="str">
        <f ca="1">CT691</f>
        <v/>
      </c>
      <c r="DB721" s="302"/>
      <c r="DC721" s="364"/>
      <c r="DD721" s="445"/>
      <c r="DF721" s="424"/>
      <c r="DG721" s="424"/>
      <c r="DH721" s="424"/>
      <c r="DI721" s="424"/>
      <c r="DJ721" s="424"/>
      <c r="DK721" s="424"/>
      <c r="DL721" s="424"/>
      <c r="DM721" s="424"/>
      <c r="DN721" s="424"/>
      <c r="DO721" s="424"/>
      <c r="DP721" s="424"/>
      <c r="DQ721" s="424"/>
      <c r="DR721" s="424"/>
      <c r="DS721" s="424"/>
      <c r="DT721" s="424"/>
      <c r="DU721" s="424"/>
      <c r="DV721" s="424"/>
      <c r="DW721" s="424"/>
      <c r="DX721" s="424"/>
      <c r="DY721" s="424"/>
      <c r="DZ721" s="424"/>
      <c r="EA721" s="424"/>
      <c r="EB721" s="424"/>
      <c r="EC721" s="404" t="str">
        <f>IF(NOT($AD$105),"",EC719)</f>
        <v/>
      </c>
      <c r="ED721" s="360" t="str">
        <f ca="1">IF(OR(EC721="",EJ721="",EC721=EJ721,ISNA(VLOOKUP(CONCATENATE(EC721,EJ721),games.a,2,FALSE))),"",CONCATENATE(EC721,EJ721))</f>
        <v/>
      </c>
      <c r="EE721" s="360" t="str">
        <f ca="1">IF(ED721="","",CONCATENATE(VLOOKUP(ED721,games.a,9,FALSE),VLOOKUP(ED721,games.a,12,FALSE)))</f>
        <v/>
      </c>
      <c r="EF721" s="413"/>
      <c r="EG721" s="414"/>
      <c r="EH721" s="525" t="str">
        <f ca="1">IF(ED721="","",VLOOKUP(ED721,games.a,6,FALSE))</f>
        <v/>
      </c>
      <c r="EI721" s="362" t="str">
        <f ca="1">IF(ED721="","",VLOOKUP(ED721,games.a,7,FALSE))</f>
        <v/>
      </c>
      <c r="EJ721" s="526" t="str">
        <f ca="1">EJ720</f>
        <v/>
      </c>
      <c r="EK721" s="527"/>
      <c r="EL721" s="528"/>
      <c r="EO721" s="425"/>
      <c r="EP721" s="333"/>
    </row>
    <row r="722" spans="80:146" x14ac:dyDescent="0.25">
      <c r="CB722" s="445"/>
      <c r="CC722" s="350"/>
      <c r="CD722" s="350"/>
      <c r="CE722" s="350"/>
      <c r="CF722" s="350"/>
      <c r="CG722" s="445"/>
      <c r="CR722" s="445"/>
      <c r="CS722" s="445"/>
      <c r="CT722" s="395" t="str">
        <f t="shared" ca="1" si="441"/>
        <v/>
      </c>
      <c r="CU722" s="478" t="str">
        <f ca="1">IF(OR(CT722="",DA722="",CT722=DA722,COUNTIF(games.rn,CT722&amp;DA722)=0),"",CONCATENATE(CT722,DA722))</f>
        <v/>
      </c>
      <c r="CV722" s="360" t="str">
        <f ca="1">IF(CU722="","",CONCATENATE(VLOOKUP(CU722,games.r,9,FALSE),VLOOKUP(CU722,games.r,12,FALSE)))</f>
        <v/>
      </c>
      <c r="CW722" s="354" t="str">
        <f ca="1">IF(CU722="","",VLOOKUP(CU722,games.r,10,FALSE))</f>
        <v/>
      </c>
      <c r="CX722" s="354" t="str">
        <f ca="1">IF(CU722="","",VLOOKUP(CU722,games.r,13,FALSE))</f>
        <v/>
      </c>
      <c r="CY722" s="361" t="str">
        <f ca="1">IF(CU722="","",VLOOKUP(CU722,games.r,6,FALSE))</f>
        <v/>
      </c>
      <c r="CZ722" s="362" t="str">
        <f ca="1">IF(CU722="","",VLOOKUP(CU722,games.r,7,FALSE))</f>
        <v/>
      </c>
      <c r="DA722" s="379" t="str">
        <f t="shared" ref="DA722:DA730" ca="1" si="442">DA721</f>
        <v/>
      </c>
      <c r="DB722" s="302"/>
      <c r="DC722" s="364"/>
      <c r="DD722" s="445"/>
      <c r="DF722" s="424"/>
      <c r="DG722" s="424"/>
      <c r="DH722" s="424"/>
      <c r="DI722" s="424"/>
      <c r="DJ722" s="424"/>
      <c r="DK722" s="424"/>
      <c r="DL722" s="424"/>
      <c r="DM722" s="424"/>
      <c r="DN722" s="424"/>
      <c r="DO722" s="424"/>
      <c r="DP722" s="424"/>
      <c r="DQ722" s="424"/>
      <c r="DR722" s="424"/>
      <c r="DS722" s="424"/>
      <c r="DT722" s="424"/>
      <c r="DU722" s="424"/>
      <c r="DV722" s="424"/>
      <c r="DW722" s="424"/>
      <c r="DX722" s="424"/>
      <c r="DY722" s="424"/>
      <c r="DZ722" s="424"/>
      <c r="EA722" s="424"/>
      <c r="EB722" s="424"/>
      <c r="EC722" s="404"/>
      <c r="ED722" s="329" t="s">
        <v>157</v>
      </c>
      <c r="EE722" s="329" t="s">
        <v>158</v>
      </c>
      <c r="EF722" s="399"/>
      <c r="EG722" s="400"/>
      <c r="EH722" s="401" t="s">
        <v>160</v>
      </c>
      <c r="EI722" s="402" t="s">
        <v>135</v>
      </c>
      <c r="EJ722" s="398"/>
      <c r="EK722" s="365"/>
      <c r="EL722" s="365"/>
      <c r="EO722" s="425"/>
      <c r="EP722" s="333"/>
    </row>
    <row r="723" spans="80:146" x14ac:dyDescent="0.25">
      <c r="CB723" s="445"/>
      <c r="CC723" s="350"/>
      <c r="CD723" s="350"/>
      <c r="CE723" s="350"/>
      <c r="CF723" s="350"/>
      <c r="CG723" s="445"/>
      <c r="CR723" s="445"/>
      <c r="CS723" s="445"/>
      <c r="CT723" s="395" t="str">
        <f t="shared" ca="1" si="441"/>
        <v/>
      </c>
      <c r="CU723" s="478" t="str">
        <f ca="1">IF(OR(CT723="",DA723="",CT723=DA723,COUNTIF(games.rn,CT723&amp;DA723)=0),"",CONCATENATE(CT723,DA723))</f>
        <v/>
      </c>
      <c r="CV723" s="360" t="str">
        <f ca="1">IF(CU723="","",CONCATENATE(VLOOKUP(CU723,games.r,9,FALSE),VLOOKUP(CU723,games.r,12,FALSE)))</f>
        <v/>
      </c>
      <c r="CW723" s="354" t="str">
        <f ca="1">IF(CU723="","",VLOOKUP(CU723,games.r,10,FALSE))</f>
        <v/>
      </c>
      <c r="CX723" s="354" t="str">
        <f ca="1">IF(CU723="","",VLOOKUP(CU723,games.r,13,FALSE))</f>
        <v/>
      </c>
      <c r="CY723" s="361" t="str">
        <f ca="1">IF(CU723="","",VLOOKUP(CU723,games.r,6,FALSE))</f>
        <v/>
      </c>
      <c r="CZ723" s="362" t="str">
        <f ca="1">IF(CU723="","",VLOOKUP(CU723,games.r,7,FALSE))</f>
        <v/>
      </c>
      <c r="DA723" s="379" t="str">
        <f t="shared" ca="1" si="442"/>
        <v/>
      </c>
      <c r="DB723" s="302"/>
      <c r="DC723" s="364"/>
      <c r="DD723" s="445"/>
      <c r="DF723" s="424"/>
      <c r="DG723" s="424"/>
      <c r="DH723" s="424"/>
      <c r="DI723" s="424"/>
      <c r="DJ723" s="424"/>
      <c r="DK723" s="424"/>
      <c r="DL723" s="424"/>
      <c r="DM723" s="424"/>
      <c r="DN723" s="424"/>
      <c r="DO723" s="424"/>
      <c r="DP723" s="424"/>
      <c r="DQ723" s="424"/>
      <c r="DR723" s="424"/>
      <c r="DS723" s="424"/>
      <c r="DT723" s="424"/>
      <c r="DU723" s="424"/>
      <c r="DV723" s="424"/>
      <c r="DW723" s="424"/>
      <c r="DX723" s="424"/>
      <c r="DY723" s="424"/>
      <c r="DZ723" s="424"/>
      <c r="EA723" s="424"/>
      <c r="EB723" s="424"/>
      <c r="EC723" s="404" t="str">
        <f ca="1">EC718</f>
        <v/>
      </c>
      <c r="ED723" s="371" t="str">
        <f ca="1">IF(OR(EC723="",EJ723="",EC723=EJ723,ISNA(VLOOKUP(CONCATENATE(EC723,EJ723),games.r,2,FALSE))),"",CONCATENATE(EC723,EJ723))</f>
        <v/>
      </c>
      <c r="EE723" s="371" t="str">
        <f ca="1">IF(ED723="","",CONCATENATE(VLOOKUP(ED723,games.r,9,FALSE),VLOOKUP(ED723,games.r,12,FALSE)))</f>
        <v/>
      </c>
      <c r="EF723" s="406"/>
      <c r="EG723" s="407"/>
      <c r="EH723" s="408" t="str">
        <f ca="1">IF(ED723="","",VLOOKUP(ED723,games.r,6,FALSE))</f>
        <v/>
      </c>
      <c r="EI723" s="409" t="str">
        <f ca="1">IF(ED723="","",VLOOKUP(ED723,games.r,7,FALSE))</f>
        <v/>
      </c>
      <c r="EJ723" s="410" t="str">
        <f ca="1">EC719</f>
        <v/>
      </c>
      <c r="EK723" s="411"/>
      <c r="EL723" s="412"/>
      <c r="EO723" s="425"/>
      <c r="EP723" s="333"/>
    </row>
    <row r="724" spans="80:146" x14ac:dyDescent="0.25">
      <c r="CB724" s="445"/>
      <c r="CC724" s="350"/>
      <c r="CD724" s="350"/>
      <c r="CE724" s="350"/>
      <c r="CF724" s="350"/>
      <c r="CG724" s="445"/>
      <c r="CR724" s="445"/>
      <c r="CS724" s="445"/>
      <c r="CT724" s="395" t="str">
        <f t="shared" ca="1" si="441"/>
        <v/>
      </c>
      <c r="CU724" s="478" t="str">
        <f ca="1">IF(OR(CT724="",DA724="",CT724=DA724,COUNTIF(games.rn,CT724&amp;DA724)=0),"",CONCATENATE(CT724,DA724))</f>
        <v/>
      </c>
      <c r="CV724" s="360" t="str">
        <f ca="1">IF(CU724="","",CONCATENATE(VLOOKUP(CU724,games.r,9,FALSE),VLOOKUP(CU724,games.r,12,FALSE)))</f>
        <v/>
      </c>
      <c r="CW724" s="354" t="str">
        <f ca="1">IF(CU724="","",VLOOKUP(CU724,games.r,10,FALSE))</f>
        <v/>
      </c>
      <c r="CX724" s="354" t="str">
        <f ca="1">IF(CU724="","",VLOOKUP(CU724,games.r,13,FALSE))</f>
        <v/>
      </c>
      <c r="CY724" s="361" t="str">
        <f ca="1">IF(CU724="","",VLOOKUP(CU724,games.r,6,FALSE))</f>
        <v/>
      </c>
      <c r="CZ724" s="362" t="str">
        <f ca="1">IF(CU724="","",VLOOKUP(CU724,games.r,7,FALSE))</f>
        <v/>
      </c>
      <c r="DA724" s="379" t="str">
        <f t="shared" ca="1" si="442"/>
        <v/>
      </c>
      <c r="DB724" s="302"/>
      <c r="DC724" s="364"/>
      <c r="DD724" s="445"/>
      <c r="DF724" s="424"/>
      <c r="DG724" s="424"/>
      <c r="DH724" s="424"/>
      <c r="DI724" s="424"/>
      <c r="DJ724" s="424"/>
      <c r="DK724" s="424"/>
      <c r="DL724" s="424"/>
      <c r="DM724" s="424"/>
      <c r="DN724" s="424"/>
      <c r="DO724" s="424"/>
      <c r="DP724" s="424"/>
      <c r="DQ724" s="424"/>
      <c r="DR724" s="424"/>
      <c r="DS724" s="424"/>
      <c r="DT724" s="424"/>
      <c r="DU724" s="424"/>
      <c r="DV724" s="424"/>
      <c r="DW724" s="424"/>
      <c r="DX724" s="424"/>
      <c r="DY724" s="424"/>
      <c r="DZ724" s="424"/>
      <c r="EA724" s="424"/>
      <c r="EB724" s="424"/>
      <c r="EC724" s="404" t="str">
        <f ca="1">EC719</f>
        <v/>
      </c>
      <c r="ED724" s="371" t="str">
        <f ca="1">IF(OR(EC724="",EJ724="",EC724=EJ724,ISNA(VLOOKUP(CONCATENATE(EC724,EJ724),games.r,2,FALSE))),"",CONCATENATE(EC724,EJ724))</f>
        <v/>
      </c>
      <c r="EE724" s="371" t="str">
        <f ca="1">IF(ED724="","",CONCATENATE(VLOOKUP(ED724,games.r,9,FALSE),VLOOKUP(ED724,games.r,12,FALSE)))</f>
        <v/>
      </c>
      <c r="EF724" s="413"/>
      <c r="EG724" s="414"/>
      <c r="EH724" s="408" t="str">
        <f ca="1">IF(ED724="","",VLOOKUP(ED724,games.r,6,FALSE))</f>
        <v/>
      </c>
      <c r="EI724" s="409" t="str">
        <f ca="1">IF(ED724="","",VLOOKUP(ED724,games.r,7,FALSE))</f>
        <v/>
      </c>
      <c r="EJ724" s="415" t="str">
        <f ca="1">EJ723</f>
        <v/>
      </c>
      <c r="EK724" s="416"/>
      <c r="EL724" s="417"/>
      <c r="EO724" s="425"/>
      <c r="EP724" s="333"/>
    </row>
    <row r="725" spans="80:146" x14ac:dyDescent="0.25">
      <c r="CB725" s="445"/>
      <c r="CC725" s="350"/>
      <c r="CD725" s="350"/>
      <c r="CE725" s="350"/>
      <c r="CF725" s="350"/>
      <c r="CG725" s="445"/>
      <c r="CR725" s="445"/>
      <c r="CS725" s="445"/>
      <c r="CT725" s="395" t="str">
        <f t="shared" ca="1" si="441"/>
        <v/>
      </c>
      <c r="CU725" s="478" t="str">
        <f ca="1">IF(OR(CT725="",DA725="",CT725=DA725,COUNTIF(games.rn,CT725&amp;DA725)=0),"",CONCATENATE(CT725,DA725))</f>
        <v/>
      </c>
      <c r="CV725" s="360" t="str">
        <f ca="1">IF(CU725="","",CONCATENATE(VLOOKUP(CU725,games.r,9,FALSE),VLOOKUP(CU725,games.r,12,FALSE)))</f>
        <v/>
      </c>
      <c r="CW725" s="354" t="str">
        <f ca="1">IF(CU725="","",VLOOKUP(CU725,games.r,10,FALSE))</f>
        <v/>
      </c>
      <c r="CX725" s="354" t="str">
        <f ca="1">IF(CU725="","",VLOOKUP(CU725,games.r,13,FALSE))</f>
        <v/>
      </c>
      <c r="CY725" s="361" t="str">
        <f ca="1">IF(CU725="","",VLOOKUP(CU725,games.r,6,FALSE))</f>
        <v/>
      </c>
      <c r="CZ725" s="362" t="str">
        <f ca="1">IF(CU725="","",VLOOKUP(CU725,games.r,7,FALSE))</f>
        <v/>
      </c>
      <c r="DA725" s="379" t="str">
        <f t="shared" ca="1" si="442"/>
        <v/>
      </c>
      <c r="DB725" s="302"/>
      <c r="DC725" s="364"/>
      <c r="DD725" s="445"/>
      <c r="DF725" s="424"/>
      <c r="DG725" s="424"/>
      <c r="DH725" s="424"/>
      <c r="DI725" s="424"/>
      <c r="DJ725" s="424"/>
      <c r="DK725" s="424"/>
      <c r="DL725" s="424"/>
      <c r="DM725" s="424"/>
      <c r="DN725" s="424"/>
      <c r="DO725" s="424"/>
      <c r="DP725" s="424"/>
      <c r="DQ725" s="424"/>
      <c r="DR725" s="424"/>
      <c r="DS725" s="424"/>
      <c r="DT725" s="424"/>
      <c r="DU725" s="424"/>
      <c r="DV725" s="424"/>
      <c r="DW725" s="424"/>
      <c r="DX725" s="424"/>
      <c r="DY725" s="424"/>
      <c r="DZ725" s="424"/>
      <c r="EA725" s="424"/>
      <c r="EB725" s="424"/>
      <c r="EC725" s="404" t="str">
        <f>EC720</f>
        <v/>
      </c>
      <c r="ED725" s="360" t="str">
        <f ca="1">IF(OR(EC725="",EJ725="",EC725=EJ725,ISNA(VLOOKUP(CONCATENATE(EC725,EJ725),games.a,2,FALSE))),"",CONCATENATE(EC725,EJ725))</f>
        <v/>
      </c>
      <c r="EE725" s="360" t="str">
        <f ca="1">IF(ED725="","",CONCATENATE(VLOOKUP(ED725,games.a,9,FALSE),VLOOKUP(ED725,games.a,12,FALSE)))</f>
        <v/>
      </c>
      <c r="EF725" s="413"/>
      <c r="EG725" s="414"/>
      <c r="EH725" s="525" t="str">
        <f ca="1">IF(ED725="","",VLOOKUP(ED725,games.a,6,FALSE))</f>
        <v/>
      </c>
      <c r="EI725" s="362" t="str">
        <f ca="1">IF(ED725="","",VLOOKUP(ED725,games.a,7,FALSE))</f>
        <v/>
      </c>
      <c r="EJ725" s="526" t="str">
        <f ca="1">EJ724</f>
        <v/>
      </c>
      <c r="EK725" s="527"/>
      <c r="EL725" s="528"/>
      <c r="EO725" s="425"/>
      <c r="EP725" s="333"/>
    </row>
    <row r="726" spans="80:146" x14ac:dyDescent="0.25">
      <c r="CB726" s="445"/>
      <c r="CC726" s="350"/>
      <c r="CD726" s="350"/>
      <c r="CE726" s="350"/>
      <c r="CF726" s="350"/>
      <c r="CG726" s="445"/>
      <c r="CR726" s="445"/>
      <c r="CS726" s="445"/>
      <c r="CT726" s="522" t="str">
        <f t="shared" si="441"/>
        <v/>
      </c>
      <c r="CU726" s="371" t="str">
        <f ca="1">IF(OR(CT726="",DA726="",CT726=DA726,ISNA(VLOOKUP(CONCATENATE(CT726,DA726),games.a,2,FALSE))),"",CONCATENATE(CT726,DA726))</f>
        <v/>
      </c>
      <c r="CV726" s="371" t="str">
        <f ca="1">IF(CU726="","",CONCATENATE(VLOOKUP(CU726,games.a,9,FALSE),VLOOKUP(CU726,games.a,12,FALSE)))</f>
        <v/>
      </c>
      <c r="CW726" s="369" t="str">
        <f ca="1">IF(CU726="","",VLOOKUP(CU726,games.a,10,FALSE))</f>
        <v/>
      </c>
      <c r="CX726" s="369" t="str">
        <f ca="1">IF(CU726="","",VLOOKUP(CU726,games.a,13,FALSE))</f>
        <v/>
      </c>
      <c r="CY726" s="423" t="str">
        <f ca="1">IF(CU726="","",VLOOKUP(CU726,games.a,6,FALSE))</f>
        <v/>
      </c>
      <c r="CZ726" s="409" t="str">
        <f ca="1">IF(CU726="","",VLOOKUP(CU726,games.a,7,FALSE))</f>
        <v/>
      </c>
      <c r="DA726" s="523" t="str">
        <f t="shared" ca="1" si="442"/>
        <v/>
      </c>
      <c r="DB726" s="302"/>
      <c r="DC726" s="364"/>
      <c r="DD726" s="445"/>
      <c r="DF726" s="424"/>
      <c r="DG726" s="424"/>
      <c r="DH726" s="424"/>
      <c r="DI726" s="424"/>
      <c r="DJ726" s="424"/>
      <c r="DK726" s="424"/>
      <c r="DL726" s="424"/>
      <c r="DM726" s="424"/>
      <c r="DN726" s="424"/>
      <c r="DO726" s="424"/>
      <c r="DP726" s="424"/>
      <c r="DQ726" s="424"/>
      <c r="DR726" s="424"/>
      <c r="DS726" s="424"/>
      <c r="DT726" s="424"/>
      <c r="DU726" s="424"/>
      <c r="DV726" s="424"/>
      <c r="DW726" s="424"/>
      <c r="DX726" s="424"/>
      <c r="DY726" s="424"/>
      <c r="DZ726" s="424"/>
      <c r="EA726" s="424"/>
      <c r="EB726" s="424"/>
      <c r="EC726" s="404" t="str">
        <f>EC721</f>
        <v/>
      </c>
      <c r="ED726" s="360" t="str">
        <f ca="1">IF(OR(EC726="",EJ726="",EC726=EJ726,ISNA(VLOOKUP(CONCATENATE(EC726,EJ726),games.a,2,FALSE))),"",CONCATENATE(EC726,EJ726))</f>
        <v/>
      </c>
      <c r="EE726" s="360" t="str">
        <f ca="1">IF(ED726="","",CONCATENATE(VLOOKUP(ED726,games.a,9,FALSE),VLOOKUP(ED726,games.a,12,FALSE)))</f>
        <v/>
      </c>
      <c r="EF726" s="420"/>
      <c r="EG726" s="421"/>
      <c r="EH726" s="525" t="str">
        <f ca="1">IF(ED726="","",VLOOKUP(ED726,games.a,6,FALSE))</f>
        <v/>
      </c>
      <c r="EI726" s="362" t="str">
        <f ca="1">IF(ED726="","",VLOOKUP(ED726,games.a,7,FALSE))</f>
        <v/>
      </c>
      <c r="EJ726" s="526" t="str">
        <f ca="1">EJ725</f>
        <v/>
      </c>
      <c r="EK726" s="527"/>
      <c r="EL726" s="528"/>
      <c r="EO726" s="425"/>
      <c r="EP726" s="333"/>
    </row>
    <row r="727" spans="80:146" x14ac:dyDescent="0.25">
      <c r="CB727" s="445"/>
      <c r="CC727" s="350"/>
      <c r="CD727" s="350"/>
      <c r="CE727" s="350"/>
      <c r="CF727" s="350"/>
      <c r="CG727" s="445"/>
      <c r="CR727" s="445"/>
      <c r="CS727" s="445"/>
      <c r="CT727" s="522" t="str">
        <f t="shared" si="441"/>
        <v/>
      </c>
      <c r="CU727" s="371" t="str">
        <f ca="1">IF(OR(CT727="",DA727="",CT727=DA727,ISNA(VLOOKUP(CONCATENATE(CT727,DA727),games.a,2,FALSE))),"",CONCATENATE(CT727,DA727))</f>
        <v/>
      </c>
      <c r="CV727" s="371" t="str">
        <f ca="1">IF(CU727="","",CONCATENATE(VLOOKUP(CU727,games.a,9,FALSE),VLOOKUP(CU727,games.a,12,FALSE)))</f>
        <v/>
      </c>
      <c r="CW727" s="369" t="str">
        <f ca="1">IF(CU727="","",VLOOKUP(CU727,games.a,10,FALSE))</f>
        <v/>
      </c>
      <c r="CX727" s="369" t="str">
        <f ca="1">IF(CU727="","",VLOOKUP(CU727,games.a,13,FALSE))</f>
        <v/>
      </c>
      <c r="CY727" s="423" t="str">
        <f ca="1">IF(CU727="","",VLOOKUP(CU727,games.a,6,FALSE))</f>
        <v/>
      </c>
      <c r="CZ727" s="409" t="str">
        <f ca="1">IF(CU727="","",VLOOKUP(CU727,games.a,7,FALSE))</f>
        <v/>
      </c>
      <c r="DA727" s="523" t="str">
        <f t="shared" ca="1" si="442"/>
        <v/>
      </c>
      <c r="DB727" s="302"/>
      <c r="DC727" s="364"/>
      <c r="DD727" s="445"/>
      <c r="DF727" s="424"/>
      <c r="DW727" s="424"/>
      <c r="DX727" s="424"/>
      <c r="DY727" s="424"/>
      <c r="DZ727" s="424"/>
      <c r="EA727" s="424"/>
      <c r="EB727" s="424"/>
      <c r="EO727" s="425"/>
      <c r="EP727" s="333"/>
    </row>
    <row r="728" spans="80:146" x14ac:dyDescent="0.25">
      <c r="CB728" s="445"/>
      <c r="CC728" s="350"/>
      <c r="CD728" s="350"/>
      <c r="CE728" s="350"/>
      <c r="CF728" s="350"/>
      <c r="CG728" s="445"/>
      <c r="CR728" s="445"/>
      <c r="CS728" s="445"/>
      <c r="CT728" s="522" t="str">
        <f t="shared" si="441"/>
        <v/>
      </c>
      <c r="CU728" s="371" t="str">
        <f ca="1">IF(OR(CT728="",DA728="",CT728=DA728,ISNA(VLOOKUP(CONCATENATE(CT728,DA728),games.a,2,FALSE))),"",CONCATENATE(CT728,DA728))</f>
        <v/>
      </c>
      <c r="CV728" s="371" t="str">
        <f ca="1">IF(CU728="","",CONCATENATE(VLOOKUP(CU728,games.a,9,FALSE),VLOOKUP(CU728,games.a,12,FALSE)))</f>
        <v/>
      </c>
      <c r="CW728" s="369" t="str">
        <f ca="1">IF(CU728="","",VLOOKUP(CU728,games.a,10,FALSE))</f>
        <v/>
      </c>
      <c r="CX728" s="369" t="str">
        <f ca="1">IF(CU728="","",VLOOKUP(CU728,games.a,13,FALSE))</f>
        <v/>
      </c>
      <c r="CY728" s="423" t="str">
        <f ca="1">IF(CU728="","",VLOOKUP(CU728,games.a,6,FALSE))</f>
        <v/>
      </c>
      <c r="CZ728" s="409" t="str">
        <f ca="1">IF(CU728="","",VLOOKUP(CU728,games.a,7,FALSE))</f>
        <v/>
      </c>
      <c r="DA728" s="523" t="str">
        <f t="shared" ca="1" si="442"/>
        <v/>
      </c>
      <c r="DB728" s="302"/>
      <c r="DC728" s="364"/>
      <c r="DD728" s="445"/>
      <c r="DF728" s="424"/>
      <c r="DW728" s="424"/>
      <c r="DX728" s="424"/>
      <c r="DY728" s="424"/>
      <c r="DZ728" s="424"/>
      <c r="EA728" s="424"/>
      <c r="EB728" s="424"/>
      <c r="EO728" s="425"/>
      <c r="EP728" s="333"/>
    </row>
    <row r="729" spans="80:146" x14ac:dyDescent="0.25">
      <c r="CB729" s="445"/>
      <c r="CC729" s="350"/>
      <c r="CD729" s="350"/>
      <c r="CE729" s="350"/>
      <c r="CF729" s="350"/>
      <c r="CG729" s="445"/>
      <c r="CR729" s="445"/>
      <c r="CS729" s="445"/>
      <c r="CT729" s="522" t="str">
        <f t="shared" si="441"/>
        <v/>
      </c>
      <c r="CU729" s="371" t="str">
        <f ca="1">IF(OR(CT729="",DA729="",CT729=DA729,ISNA(VLOOKUP(CONCATENATE(CT729,DA729),games.a,2,FALSE))),"",CONCATENATE(CT729,DA729))</f>
        <v/>
      </c>
      <c r="CV729" s="371" t="str">
        <f ca="1">IF(CU729="","",CONCATENATE(VLOOKUP(CU729,games.a,9,FALSE),VLOOKUP(CU729,games.a,12,FALSE)))</f>
        <v/>
      </c>
      <c r="CW729" s="369" t="str">
        <f ca="1">IF(CU729="","",VLOOKUP(CU729,games.a,10,FALSE))</f>
        <v/>
      </c>
      <c r="CX729" s="369" t="str">
        <f ca="1">IF(CU729="","",VLOOKUP(CU729,games.a,13,FALSE))</f>
        <v/>
      </c>
      <c r="CY729" s="423" t="str">
        <f ca="1">IF(CU729="","",VLOOKUP(CU729,games.a,6,FALSE))</f>
        <v/>
      </c>
      <c r="CZ729" s="409" t="str">
        <f ca="1">IF(CU729="","",VLOOKUP(CU729,games.a,7,FALSE))</f>
        <v/>
      </c>
      <c r="DA729" s="523" t="str">
        <f t="shared" ca="1" si="442"/>
        <v/>
      </c>
      <c r="DB729" s="302"/>
      <c r="DC729" s="364"/>
      <c r="DD729" s="445"/>
      <c r="DF729" s="424"/>
      <c r="DW729" s="424"/>
      <c r="DX729" s="424"/>
      <c r="DY729" s="424"/>
      <c r="DZ729" s="424"/>
      <c r="EA729" s="424"/>
      <c r="EB729" s="424"/>
      <c r="EO729" s="425"/>
      <c r="EP729" s="333"/>
    </row>
    <row r="730" spans="80:146" x14ac:dyDescent="0.25">
      <c r="CB730" s="445"/>
      <c r="CC730" s="350"/>
      <c r="CD730" s="350"/>
      <c r="CE730" s="350"/>
      <c r="CF730" s="350"/>
      <c r="CG730" s="445"/>
      <c r="CR730" s="445"/>
      <c r="CS730" s="445"/>
      <c r="CT730" s="522" t="str">
        <f t="shared" si="441"/>
        <v/>
      </c>
      <c r="CU730" s="371" t="str">
        <f ca="1">IF(OR(CT730="",DA730="",CT730=DA730,ISNA(VLOOKUP(CONCATENATE(CT730,DA730),games.a,2,FALSE))),"",CONCATENATE(CT730,DA730))</f>
        <v/>
      </c>
      <c r="CV730" s="371" t="str">
        <f ca="1">IF(CU730="","",CONCATENATE(VLOOKUP(CU730,games.a,9,FALSE),VLOOKUP(CU730,games.a,12,FALSE)))</f>
        <v/>
      </c>
      <c r="CW730" s="369" t="str">
        <f ca="1">IF(CU730="","",VLOOKUP(CU730,games.a,10,FALSE))</f>
        <v/>
      </c>
      <c r="CX730" s="369" t="str">
        <f ca="1">IF(CU730="","",VLOOKUP(CU730,games.a,13,FALSE))</f>
        <v/>
      </c>
      <c r="CY730" s="423" t="str">
        <f ca="1">IF(CU730="","",VLOOKUP(CU730,games.a,6,FALSE))</f>
        <v/>
      </c>
      <c r="CZ730" s="409" t="str">
        <f ca="1">IF(CU730="","",VLOOKUP(CU730,games.a,7,FALSE))</f>
        <v/>
      </c>
      <c r="DA730" s="523" t="str">
        <f t="shared" ca="1" si="442"/>
        <v/>
      </c>
      <c r="DB730" s="302"/>
      <c r="DC730" s="364"/>
      <c r="DD730" s="445"/>
      <c r="DF730" s="424"/>
      <c r="DW730" s="424"/>
      <c r="DX730" s="424"/>
      <c r="DY730" s="424"/>
      <c r="DZ730" s="424"/>
      <c r="EA730" s="424"/>
      <c r="EB730" s="424"/>
      <c r="EO730" s="425"/>
      <c r="EP730" s="333"/>
    </row>
    <row r="731" spans="80:146" x14ac:dyDescent="0.25">
      <c r="CB731" s="445"/>
      <c r="CC731" s="350"/>
      <c r="CD731" s="350"/>
      <c r="CE731" s="350"/>
      <c r="CF731" s="350"/>
      <c r="CG731" s="445"/>
      <c r="CR731" s="445"/>
      <c r="CS731" s="445"/>
      <c r="CT731" s="301"/>
      <c r="CU731" s="471" t="s">
        <v>157</v>
      </c>
      <c r="CV731" s="471" t="s">
        <v>158</v>
      </c>
      <c r="CW731" s="472" t="s">
        <v>159</v>
      </c>
      <c r="CX731" s="472"/>
      <c r="CY731" s="473" t="s">
        <v>160</v>
      </c>
      <c r="CZ731" s="472" t="s">
        <v>135</v>
      </c>
      <c r="DA731" s="302"/>
      <c r="DB731" s="302"/>
      <c r="DC731" s="364"/>
      <c r="DD731" s="445"/>
      <c r="DF731" s="424"/>
      <c r="DW731" s="424"/>
      <c r="DX731" s="424"/>
      <c r="DY731" s="424"/>
      <c r="DZ731" s="424"/>
      <c r="EA731" s="424"/>
      <c r="EB731" s="424"/>
      <c r="EO731" s="425"/>
      <c r="EP731" s="333"/>
    </row>
    <row r="732" spans="80:146" x14ac:dyDescent="0.25">
      <c r="CB732" s="445"/>
      <c r="CC732" s="350"/>
      <c r="CD732" s="350"/>
      <c r="CE732" s="350"/>
      <c r="CF732" s="350"/>
      <c r="CG732" s="445"/>
      <c r="CR732" s="445"/>
      <c r="CS732" s="445"/>
      <c r="CT732" s="395" t="str">
        <f t="shared" ref="CT732:CT741" ca="1" si="443">CT721</f>
        <v/>
      </c>
      <c r="CU732" s="478" t="str">
        <f ca="1">IF(OR(CT732="",DA732="",CT732=DA732,COUNTIF(games.rn,CT732&amp;DA732)=0),"",CONCATENATE(CT732,DA732))</f>
        <v/>
      </c>
      <c r="CV732" s="360" t="str">
        <f ca="1">IF(CU732="","",CONCATENATE(VLOOKUP(CU732,games.r,9,FALSE),VLOOKUP(CU732,games.r,12,FALSE)))</f>
        <v/>
      </c>
      <c r="CW732" s="354" t="str">
        <f ca="1">IF(CU732="","",VLOOKUP(CU732,games.r,10,FALSE))</f>
        <v/>
      </c>
      <c r="CX732" s="354" t="str">
        <f ca="1">IF(CU732="","",VLOOKUP(CU732,games.r,13,FALSE))</f>
        <v/>
      </c>
      <c r="CY732" s="361" t="str">
        <f ca="1">IF(CU732="","",VLOOKUP(CU732,games.r,6,FALSE))</f>
        <v/>
      </c>
      <c r="CZ732" s="362" t="str">
        <f ca="1">IF(CU732="","",VLOOKUP(CU732,games.r,7,FALSE))</f>
        <v/>
      </c>
      <c r="DA732" s="479" t="str">
        <f ca="1">CT692</f>
        <v/>
      </c>
      <c r="DB732" s="302"/>
      <c r="DC732" s="364"/>
      <c r="DD732" s="445"/>
      <c r="DF732" s="424"/>
      <c r="DW732" s="424"/>
      <c r="DX732" s="424"/>
      <c r="DY732" s="424"/>
      <c r="DZ732" s="424"/>
      <c r="EA732" s="424"/>
      <c r="EB732" s="424"/>
      <c r="EO732" s="425"/>
      <c r="EP732" s="333"/>
    </row>
    <row r="733" spans="80:146" x14ac:dyDescent="0.25">
      <c r="CB733" s="445"/>
      <c r="CC733" s="350"/>
      <c r="CD733" s="350"/>
      <c r="CE733" s="350"/>
      <c r="CF733" s="350"/>
      <c r="CG733" s="445"/>
      <c r="CR733" s="445"/>
      <c r="CS733" s="445"/>
      <c r="CT733" s="395" t="str">
        <f t="shared" ca="1" si="443"/>
        <v/>
      </c>
      <c r="CU733" s="478" t="str">
        <f ca="1">IF(OR(CT733="",DA733="",CT733=DA733,COUNTIF(games.rn,CT733&amp;DA733)=0),"",CONCATENATE(CT733,DA733))</f>
        <v/>
      </c>
      <c r="CV733" s="360" t="str">
        <f ca="1">IF(CU733="","",CONCATENATE(VLOOKUP(CU733,games.r,9,FALSE),VLOOKUP(CU733,games.r,12,FALSE)))</f>
        <v/>
      </c>
      <c r="CW733" s="354" t="str">
        <f ca="1">IF(CU733="","",VLOOKUP(CU733,games.r,10,FALSE))</f>
        <v/>
      </c>
      <c r="CX733" s="354" t="str">
        <f ca="1">IF(CU733="","",VLOOKUP(CU733,games.r,13,FALSE))</f>
        <v/>
      </c>
      <c r="CY733" s="361" t="str">
        <f ca="1">IF(CU733="","",VLOOKUP(CU733,games.r,6,FALSE))</f>
        <v/>
      </c>
      <c r="CZ733" s="362" t="str">
        <f ca="1">IF(CU733="","",VLOOKUP(CU733,games.r,7,FALSE))</f>
        <v/>
      </c>
      <c r="DA733" s="379" t="str">
        <f t="shared" ref="DA733:DA741" ca="1" si="444">DA732</f>
        <v/>
      </c>
      <c r="DB733" s="302"/>
      <c r="DC733" s="364"/>
      <c r="DD733" s="445"/>
      <c r="DF733" s="424"/>
      <c r="DW733" s="424"/>
      <c r="DX733" s="424"/>
      <c r="DY733" s="424"/>
      <c r="DZ733" s="424"/>
      <c r="EA733" s="424"/>
      <c r="EB733" s="424"/>
      <c r="EO733" s="425"/>
      <c r="EP733" s="333"/>
    </row>
    <row r="734" spans="80:146" x14ac:dyDescent="0.25">
      <c r="CB734" s="445"/>
      <c r="CC734" s="350"/>
      <c r="CD734" s="350"/>
      <c r="CE734" s="350"/>
      <c r="CF734" s="350"/>
      <c r="CG734" s="445"/>
      <c r="CR734" s="445"/>
      <c r="CS734" s="445"/>
      <c r="CT734" s="395" t="str">
        <f t="shared" ca="1" si="443"/>
        <v/>
      </c>
      <c r="CU734" s="478" t="str">
        <f ca="1">IF(OR(CT734="",DA734="",CT734=DA734,COUNTIF(games.rn,CT734&amp;DA734)=0),"",CONCATENATE(CT734,DA734))</f>
        <v/>
      </c>
      <c r="CV734" s="360" t="str">
        <f ca="1">IF(CU734="","",CONCATENATE(VLOOKUP(CU734,games.r,9,FALSE),VLOOKUP(CU734,games.r,12,FALSE)))</f>
        <v/>
      </c>
      <c r="CW734" s="354" t="str">
        <f ca="1">IF(CU734="","",VLOOKUP(CU734,games.r,10,FALSE))</f>
        <v/>
      </c>
      <c r="CX734" s="354" t="str">
        <f ca="1">IF(CU734="","",VLOOKUP(CU734,games.r,13,FALSE))</f>
        <v/>
      </c>
      <c r="CY734" s="361" t="str">
        <f ca="1">IF(CU734="","",VLOOKUP(CU734,games.r,6,FALSE))</f>
        <v/>
      </c>
      <c r="CZ734" s="362" t="str">
        <f ca="1">IF(CU734="","",VLOOKUP(CU734,games.r,7,FALSE))</f>
        <v/>
      </c>
      <c r="DA734" s="379" t="str">
        <f t="shared" ca="1" si="444"/>
        <v/>
      </c>
      <c r="DB734" s="302"/>
      <c r="DC734" s="364"/>
      <c r="DD734" s="445"/>
      <c r="DF734" s="424"/>
      <c r="DW734" s="424"/>
      <c r="DX734" s="424"/>
      <c r="DY734" s="424"/>
      <c r="DZ734" s="424"/>
      <c r="EA734" s="424"/>
      <c r="EB734" s="424"/>
      <c r="EO734" s="425"/>
      <c r="EP734" s="333"/>
    </row>
    <row r="735" spans="80:146" x14ac:dyDescent="0.25">
      <c r="CB735" s="445"/>
      <c r="CC735" s="350"/>
      <c r="CD735" s="350"/>
      <c r="CE735" s="350"/>
      <c r="CF735" s="350"/>
      <c r="CG735" s="445"/>
      <c r="CR735" s="445"/>
      <c r="CS735" s="445"/>
      <c r="CT735" s="395" t="str">
        <f t="shared" ca="1" si="443"/>
        <v/>
      </c>
      <c r="CU735" s="478" t="str">
        <f ca="1">IF(OR(CT735="",DA735="",CT735=DA735,COUNTIF(games.rn,CT735&amp;DA735)=0),"",CONCATENATE(CT735,DA735))</f>
        <v/>
      </c>
      <c r="CV735" s="360" t="str">
        <f ca="1">IF(CU735="","",CONCATENATE(VLOOKUP(CU735,games.r,9,FALSE),VLOOKUP(CU735,games.r,12,FALSE)))</f>
        <v/>
      </c>
      <c r="CW735" s="354" t="str">
        <f ca="1">IF(CU735="","",VLOOKUP(CU735,games.r,10,FALSE))</f>
        <v/>
      </c>
      <c r="CX735" s="354" t="str">
        <f ca="1">IF(CU735="","",VLOOKUP(CU735,games.r,13,FALSE))</f>
        <v/>
      </c>
      <c r="CY735" s="361" t="str">
        <f ca="1">IF(CU735="","",VLOOKUP(CU735,games.r,6,FALSE))</f>
        <v/>
      </c>
      <c r="CZ735" s="362" t="str">
        <f ca="1">IF(CU735="","",VLOOKUP(CU735,games.r,7,FALSE))</f>
        <v/>
      </c>
      <c r="DA735" s="379" t="str">
        <f t="shared" ca="1" si="444"/>
        <v/>
      </c>
      <c r="DB735" s="302"/>
      <c r="DC735" s="364"/>
      <c r="DD735" s="445"/>
      <c r="DF735" s="424"/>
      <c r="DW735" s="424"/>
      <c r="DX735" s="424"/>
      <c r="DY735" s="424"/>
      <c r="DZ735" s="424"/>
      <c r="EA735" s="424"/>
      <c r="EB735" s="424"/>
      <c r="EO735" s="425"/>
      <c r="EP735" s="333"/>
    </row>
    <row r="736" spans="80:146" x14ac:dyDescent="0.25">
      <c r="CB736" s="445"/>
      <c r="CC736" s="350"/>
      <c r="CD736" s="350"/>
      <c r="CE736" s="350"/>
      <c r="CF736" s="350"/>
      <c r="CG736" s="445"/>
      <c r="CQ736" s="302"/>
      <c r="CR736" s="445"/>
      <c r="CS736" s="445"/>
      <c r="CT736" s="395" t="str">
        <f t="shared" ca="1" si="443"/>
        <v/>
      </c>
      <c r="CU736" s="478" t="str">
        <f ca="1">IF(OR(CT736="",DA736="",CT736=DA736,COUNTIF(games.rn,CT736&amp;DA736)=0),"",CONCATENATE(CT736,DA736))</f>
        <v/>
      </c>
      <c r="CV736" s="360" t="str">
        <f ca="1">IF(CU736="","",CONCATENATE(VLOOKUP(CU736,games.r,9,FALSE),VLOOKUP(CU736,games.r,12,FALSE)))</f>
        <v/>
      </c>
      <c r="CW736" s="354" t="str">
        <f ca="1">IF(CU736="","",VLOOKUP(CU736,games.r,10,FALSE))</f>
        <v/>
      </c>
      <c r="CX736" s="354" t="str">
        <f ca="1">IF(CU736="","",VLOOKUP(CU736,games.r,13,FALSE))</f>
        <v/>
      </c>
      <c r="CY736" s="361" t="str">
        <f ca="1">IF(CU736="","",VLOOKUP(CU736,games.r,6,FALSE))</f>
        <v/>
      </c>
      <c r="CZ736" s="362" t="str">
        <f ca="1">IF(CU736="","",VLOOKUP(CU736,games.r,7,FALSE))</f>
        <v/>
      </c>
      <c r="DA736" s="379" t="str">
        <f t="shared" ca="1" si="444"/>
        <v/>
      </c>
      <c r="DB736" s="302"/>
      <c r="DC736" s="364"/>
      <c r="DD736" s="445"/>
      <c r="DF736" s="424"/>
      <c r="DW736" s="424"/>
      <c r="DX736" s="424"/>
      <c r="DY736" s="424"/>
      <c r="DZ736" s="424"/>
      <c r="EA736" s="424"/>
      <c r="EB736" s="424"/>
      <c r="EO736" s="425"/>
      <c r="EP736" s="333"/>
    </row>
    <row r="737" spans="80:146" x14ac:dyDescent="0.25">
      <c r="CB737" s="445"/>
      <c r="CC737" s="350"/>
      <c r="CD737" s="350"/>
      <c r="CE737" s="350"/>
      <c r="CF737" s="350"/>
      <c r="CG737" s="445"/>
      <c r="CQ737" s="302"/>
      <c r="CR737" s="445"/>
      <c r="CS737" s="445"/>
      <c r="CT737" s="522" t="str">
        <f t="shared" si="443"/>
        <v/>
      </c>
      <c r="CU737" s="371" t="str">
        <f ca="1">IF(OR(CT737="",DA737="",CT737=DA737,ISNA(VLOOKUP(CONCATENATE(CT737,DA737),games.a,2,FALSE))),"",CONCATENATE(CT737,DA737))</f>
        <v/>
      </c>
      <c r="CV737" s="371" t="str">
        <f ca="1">IF(CU737="","",CONCATENATE(VLOOKUP(CU737,games.a,9,FALSE),VLOOKUP(CU737,games.a,12,FALSE)))</f>
        <v/>
      </c>
      <c r="CW737" s="369" t="str">
        <f ca="1">IF(CU737="","",VLOOKUP(CU737,games.a,10,FALSE))</f>
        <v/>
      </c>
      <c r="CX737" s="369" t="str">
        <f ca="1">IF(CU737="","",VLOOKUP(CU737,games.a,13,FALSE))</f>
        <v/>
      </c>
      <c r="CY737" s="423" t="str">
        <f ca="1">IF(CU737="","",VLOOKUP(CU737,games.a,6,FALSE))</f>
        <v/>
      </c>
      <c r="CZ737" s="409" t="str">
        <f ca="1">IF(CU737="","",VLOOKUP(CU737,games.a,7,FALSE))</f>
        <v/>
      </c>
      <c r="DA737" s="523" t="str">
        <f t="shared" ca="1" si="444"/>
        <v/>
      </c>
      <c r="DB737" s="302"/>
      <c r="DC737" s="364"/>
      <c r="DD737" s="445"/>
      <c r="DF737" s="424"/>
      <c r="DW737" s="424"/>
      <c r="DX737" s="424"/>
      <c r="DY737" s="424"/>
      <c r="DZ737" s="424"/>
      <c r="EA737" s="424"/>
      <c r="EB737" s="424"/>
      <c r="EO737" s="425"/>
      <c r="EP737" s="333"/>
    </row>
    <row r="738" spans="80:146" x14ac:dyDescent="0.25">
      <c r="CB738" s="445"/>
      <c r="CC738" s="350"/>
      <c r="CD738" s="350"/>
      <c r="CE738" s="350"/>
      <c r="CF738" s="350"/>
      <c r="CG738" s="445"/>
      <c r="CQ738" s="302"/>
      <c r="CR738" s="445"/>
      <c r="CS738" s="445"/>
      <c r="CT738" s="522" t="str">
        <f t="shared" si="443"/>
        <v/>
      </c>
      <c r="CU738" s="371" t="str">
        <f ca="1">IF(OR(CT738="",DA738="",CT738=DA738,ISNA(VLOOKUP(CONCATENATE(CT738,DA738),games.a,2,FALSE))),"",CONCATENATE(CT738,DA738))</f>
        <v/>
      </c>
      <c r="CV738" s="371" t="str">
        <f ca="1">IF(CU738="","",CONCATENATE(VLOOKUP(CU738,games.a,9,FALSE),VLOOKUP(CU738,games.a,12,FALSE)))</f>
        <v/>
      </c>
      <c r="CW738" s="369" t="str">
        <f ca="1">IF(CU738="","",VLOOKUP(CU738,games.a,10,FALSE))</f>
        <v/>
      </c>
      <c r="CX738" s="369" t="str">
        <f ca="1">IF(CU738="","",VLOOKUP(CU738,games.a,13,FALSE))</f>
        <v/>
      </c>
      <c r="CY738" s="423" t="str">
        <f ca="1">IF(CU738="","",VLOOKUP(CU738,games.a,6,FALSE))</f>
        <v/>
      </c>
      <c r="CZ738" s="409" t="str">
        <f ca="1">IF(CU738="","",VLOOKUP(CU738,games.a,7,FALSE))</f>
        <v/>
      </c>
      <c r="DA738" s="523" t="str">
        <f t="shared" ca="1" si="444"/>
        <v/>
      </c>
      <c r="DB738" s="302"/>
      <c r="DC738" s="364"/>
      <c r="DD738" s="445"/>
      <c r="DF738" s="424"/>
      <c r="DW738" s="424"/>
      <c r="DX738" s="424"/>
      <c r="DY738" s="424"/>
      <c r="DZ738" s="424"/>
      <c r="EA738" s="424"/>
      <c r="EB738" s="424"/>
      <c r="EO738" s="425"/>
      <c r="EP738" s="333"/>
    </row>
    <row r="739" spans="80:146" x14ac:dyDescent="0.25">
      <c r="CB739" s="445"/>
      <c r="CC739" s="350"/>
      <c r="CD739" s="350"/>
      <c r="CE739" s="350"/>
      <c r="CF739" s="350"/>
      <c r="CG739" s="445"/>
      <c r="CQ739" s="302"/>
      <c r="CR739" s="445"/>
      <c r="CS739" s="445"/>
      <c r="CT739" s="522" t="str">
        <f t="shared" si="443"/>
        <v/>
      </c>
      <c r="CU739" s="371" t="str">
        <f ca="1">IF(OR(CT739="",DA739="",CT739=DA739,ISNA(VLOOKUP(CONCATENATE(CT739,DA739),games.a,2,FALSE))),"",CONCATENATE(CT739,DA739))</f>
        <v/>
      </c>
      <c r="CV739" s="371" t="str">
        <f ca="1">IF(CU739="","",CONCATENATE(VLOOKUP(CU739,games.a,9,FALSE),VLOOKUP(CU739,games.a,12,FALSE)))</f>
        <v/>
      </c>
      <c r="CW739" s="369" t="str">
        <f ca="1">IF(CU739="","",VLOOKUP(CU739,games.a,10,FALSE))</f>
        <v/>
      </c>
      <c r="CX739" s="369" t="str">
        <f ca="1">IF(CU739="","",VLOOKUP(CU739,games.a,13,FALSE))</f>
        <v/>
      </c>
      <c r="CY739" s="423" t="str">
        <f ca="1">IF(CU739="","",VLOOKUP(CU739,games.a,6,FALSE))</f>
        <v/>
      </c>
      <c r="CZ739" s="409" t="str">
        <f ca="1">IF(CU739="","",VLOOKUP(CU739,games.a,7,FALSE))</f>
        <v/>
      </c>
      <c r="DA739" s="523" t="str">
        <f t="shared" ca="1" si="444"/>
        <v/>
      </c>
      <c r="DB739" s="302"/>
      <c r="DC739" s="364"/>
      <c r="DD739" s="445"/>
      <c r="DF739" s="424"/>
      <c r="DW739" s="424"/>
      <c r="DX739" s="424"/>
      <c r="DY739" s="424"/>
      <c r="DZ739" s="424"/>
      <c r="EA739" s="424"/>
      <c r="EB739" s="424"/>
      <c r="EO739" s="425"/>
      <c r="EP739" s="333"/>
    </row>
    <row r="740" spans="80:146" x14ac:dyDescent="0.25">
      <c r="CB740" s="445"/>
      <c r="CC740" s="300"/>
      <c r="CD740" s="300"/>
      <c r="CE740" s="300"/>
      <c r="CF740" s="449"/>
      <c r="CG740" s="445"/>
      <c r="CQ740" s="302"/>
      <c r="CR740" s="445"/>
      <c r="CS740" s="445"/>
      <c r="CT740" s="522" t="str">
        <f t="shared" si="443"/>
        <v/>
      </c>
      <c r="CU740" s="371" t="str">
        <f ca="1">IF(OR(CT740="",DA740="",CT740=DA740,ISNA(VLOOKUP(CONCATENATE(CT740,DA740),games.a,2,FALSE))),"",CONCATENATE(CT740,DA740))</f>
        <v/>
      </c>
      <c r="CV740" s="371" t="str">
        <f ca="1">IF(CU740="","",CONCATENATE(VLOOKUP(CU740,games.a,9,FALSE),VLOOKUP(CU740,games.a,12,FALSE)))</f>
        <v/>
      </c>
      <c r="CW740" s="369" t="str">
        <f ca="1">IF(CU740="","",VLOOKUP(CU740,games.a,10,FALSE))</f>
        <v/>
      </c>
      <c r="CX740" s="369" t="str">
        <f ca="1">IF(CU740="","",VLOOKUP(CU740,games.a,13,FALSE))</f>
        <v/>
      </c>
      <c r="CY740" s="423" t="str">
        <f ca="1">IF(CU740="","",VLOOKUP(CU740,games.a,6,FALSE))</f>
        <v/>
      </c>
      <c r="CZ740" s="409" t="str">
        <f ca="1">IF(CU740="","",VLOOKUP(CU740,games.a,7,FALSE))</f>
        <v/>
      </c>
      <c r="DA740" s="523" t="str">
        <f t="shared" ca="1" si="444"/>
        <v/>
      </c>
      <c r="DB740" s="302"/>
      <c r="DC740" s="364"/>
      <c r="DD740" s="445"/>
      <c r="DF740" s="424"/>
      <c r="DW740" s="424"/>
      <c r="DX740" s="424"/>
      <c r="DY740" s="424"/>
      <c r="DZ740" s="424"/>
      <c r="EA740" s="424"/>
      <c r="EB740" s="424"/>
      <c r="EO740" s="425"/>
      <c r="EP740" s="333"/>
    </row>
    <row r="741" spans="80:146" x14ac:dyDescent="0.25">
      <c r="CB741" s="445"/>
      <c r="CC741" s="300"/>
      <c r="CD741" s="300"/>
      <c r="CE741" s="300"/>
      <c r="CF741" s="449"/>
      <c r="CG741" s="445"/>
      <c r="CQ741" s="302"/>
      <c r="CR741" s="445"/>
      <c r="CS741" s="445"/>
      <c r="CT741" s="522" t="str">
        <f t="shared" si="443"/>
        <v/>
      </c>
      <c r="CU741" s="371" t="str">
        <f ca="1">IF(OR(CT741="",DA741="",CT741=DA741,ISNA(VLOOKUP(CONCATENATE(CT741,DA741),games.a,2,FALSE))),"",CONCATENATE(CT741,DA741))</f>
        <v/>
      </c>
      <c r="CV741" s="371" t="str">
        <f ca="1">IF(CU741="","",CONCATENATE(VLOOKUP(CU741,games.a,9,FALSE),VLOOKUP(CU741,games.a,12,FALSE)))</f>
        <v/>
      </c>
      <c r="CW741" s="369" t="str">
        <f ca="1">IF(CU741="","",VLOOKUP(CU741,games.a,10,FALSE))</f>
        <v/>
      </c>
      <c r="CX741" s="369" t="str">
        <f ca="1">IF(CU741="","",VLOOKUP(CU741,games.a,13,FALSE))</f>
        <v/>
      </c>
      <c r="CY741" s="423" t="str">
        <f ca="1">IF(CU741="","",VLOOKUP(CU741,games.a,6,FALSE))</f>
        <v/>
      </c>
      <c r="CZ741" s="409" t="str">
        <f ca="1">IF(CU741="","",VLOOKUP(CU741,games.a,7,FALSE))</f>
        <v/>
      </c>
      <c r="DA741" s="523" t="str">
        <f t="shared" ca="1" si="444"/>
        <v/>
      </c>
      <c r="DB741" s="302"/>
      <c r="DC741" s="364"/>
      <c r="DD741" s="445"/>
      <c r="DF741" s="424"/>
      <c r="DW741" s="424"/>
      <c r="DX741" s="424"/>
      <c r="DY741" s="424"/>
      <c r="DZ741" s="424"/>
      <c r="EA741" s="424"/>
      <c r="EB741" s="424"/>
      <c r="EO741" s="425"/>
      <c r="EP741" s="333"/>
    </row>
    <row r="742" spans="80:146" x14ac:dyDescent="0.25">
      <c r="CB742" s="445"/>
      <c r="CC742" s="300"/>
      <c r="CD742" s="300"/>
      <c r="CE742" s="300"/>
      <c r="CF742" s="449"/>
      <c r="CG742" s="445"/>
      <c r="CQ742" s="302"/>
      <c r="CR742" s="445"/>
      <c r="CS742" s="445"/>
      <c r="CT742" s="301"/>
      <c r="CU742" s="302"/>
      <c r="CV742" s="302"/>
      <c r="CW742" s="302"/>
      <c r="CX742" s="302"/>
      <c r="CY742" s="302"/>
      <c r="CZ742" s="302"/>
      <c r="DA742" s="302"/>
      <c r="DB742" s="302"/>
      <c r="DC742" s="446" t="s">
        <v>220</v>
      </c>
      <c r="DD742" s="445"/>
      <c r="DF742" s="424"/>
      <c r="DW742" s="424"/>
      <c r="DX742" s="424"/>
      <c r="DY742" s="424"/>
      <c r="DZ742" s="424"/>
      <c r="EA742" s="424"/>
      <c r="EB742" s="424"/>
      <c r="EO742" s="425"/>
      <c r="EP742" s="333"/>
    </row>
    <row r="743" spans="80:146" x14ac:dyDescent="0.25">
      <c r="CB743" s="445"/>
      <c r="CC743" s="300"/>
      <c r="CD743" s="300"/>
      <c r="CE743" s="300"/>
      <c r="CF743" s="449"/>
      <c r="CG743" s="445"/>
      <c r="CQ743" s="302"/>
      <c r="CT743" s="301"/>
      <c r="CU743" s="302"/>
      <c r="CV743" s="302"/>
      <c r="CW743" s="302"/>
      <c r="CX743" s="302"/>
      <c r="CY743" s="302"/>
      <c r="CZ743" s="302"/>
      <c r="DA743" s="447"/>
      <c r="DB743" s="302"/>
      <c r="DC743" s="448" t="s">
        <v>221</v>
      </c>
      <c r="DW743" s="424"/>
      <c r="DX743" s="424"/>
      <c r="DY743" s="424"/>
      <c r="DZ743" s="424"/>
      <c r="EA743" s="424"/>
      <c r="EB743" s="424"/>
      <c r="EO743" s="425"/>
      <c r="EP743" s="333"/>
    </row>
    <row r="744" spans="80:146" x14ac:dyDescent="0.25">
      <c r="CB744" s="445"/>
      <c r="CC744" s="300"/>
      <c r="CD744" s="300"/>
      <c r="CE744" s="300"/>
      <c r="CF744" s="449"/>
      <c r="CG744" s="445"/>
      <c r="CT744" s="323" t="b">
        <f ca="1">OR(NOT(ASZTAB!$AJ$44),COUNTIF(CY744:CY764,"")&lt;=18-(DA744-1)*DA744/2)</f>
        <v>1</v>
      </c>
      <c r="CU744" s="471" t="s">
        <v>157</v>
      </c>
      <c r="CV744" s="471" t="s">
        <v>158</v>
      </c>
      <c r="CW744" s="472" t="s">
        <v>159</v>
      </c>
      <c r="CX744" s="472"/>
      <c r="CY744" s="473" t="s">
        <v>160</v>
      </c>
      <c r="CZ744" s="472" t="s">
        <v>135</v>
      </c>
      <c r="DA744" s="323">
        <f ca="1">COUNT(CN620:CN622)</f>
        <v>0</v>
      </c>
      <c r="DB744" s="302"/>
      <c r="DC744" s="364"/>
      <c r="DG744" s="329" t="s">
        <v>229</v>
      </c>
      <c r="DH744" s="365"/>
      <c r="DI744" s="329" t="s">
        <v>152</v>
      </c>
      <c r="DJ744" s="329" t="s">
        <v>153</v>
      </c>
      <c r="DK744" s="329" t="s">
        <v>154</v>
      </c>
      <c r="DL744" s="329" t="s">
        <v>155</v>
      </c>
      <c r="DM744" s="329" t="s">
        <v>125</v>
      </c>
      <c r="DN744" s="329" t="s">
        <v>226</v>
      </c>
      <c r="DO744" s="329" t="s">
        <v>126</v>
      </c>
      <c r="DP744" s="329" t="s">
        <v>227</v>
      </c>
      <c r="DQ744" s="424"/>
      <c r="DR744" s="424"/>
      <c r="DS744" s="424"/>
      <c r="DT744" s="329" t="s">
        <v>228</v>
      </c>
      <c r="DU744" s="329" t="s">
        <v>156</v>
      </c>
      <c r="DV744" s="329" t="s">
        <v>208</v>
      </c>
      <c r="DW744" s="424"/>
      <c r="DX744" s="424"/>
      <c r="DY744" s="424"/>
      <c r="DZ744" s="424"/>
      <c r="EA744" s="424"/>
      <c r="EB744" s="424"/>
      <c r="EP744" s="333"/>
    </row>
    <row r="745" spans="80:146" x14ac:dyDescent="0.25">
      <c r="CB745" s="445"/>
      <c r="CC745" s="300"/>
      <c r="CD745" s="300"/>
      <c r="CE745" s="300"/>
      <c r="CF745" s="449"/>
      <c r="CG745" s="445"/>
      <c r="CT745" s="477" t="str">
        <f ca="1">IF(CN620="","",VLOOKUP(CN620,xxx.rn2,7,FALSE))</f>
        <v/>
      </c>
      <c r="CU745" s="478" t="str">
        <f ca="1">IF(OR(CT745="",DA745="",CT745=DA745,COUNTIF(games.rn,CT745&amp;DA745)=0),"",CONCATENATE(CT745,DA745))</f>
        <v/>
      </c>
      <c r="CV745" s="360" t="str">
        <f ca="1">IF(CU745="","",CONCATENATE(VLOOKUP(CU745,games.r,9,FALSE),VLOOKUP(CU745,games.r,12,FALSE)))</f>
        <v/>
      </c>
      <c r="CW745" s="354" t="str">
        <f ca="1">IF(CU745="","",VLOOKUP(CU745,games.r,10,FALSE))</f>
        <v/>
      </c>
      <c r="CX745" s="354" t="str">
        <f ca="1">IF(CU745="","",VLOOKUP(CU745,games.r,13,FALSE))</f>
        <v/>
      </c>
      <c r="CY745" s="361" t="str">
        <f ca="1">IF(CU745="","",VLOOKUP(CU745,games.r,6,FALSE))</f>
        <v/>
      </c>
      <c r="CZ745" s="362" t="str">
        <f ca="1">IF(CU745="","",VLOOKUP(CU745,games.r,7,FALSE))</f>
        <v/>
      </c>
      <c r="DA745" s="479" t="str">
        <f ca="1">CT745</f>
        <v/>
      </c>
      <c r="DB745" s="302"/>
      <c r="DC745" s="364"/>
      <c r="DG745" s="366" t="str">
        <f ca="1">IF(OR(NOT(ASZTAB!$AJ$44),CT744),CT745,"")</f>
        <v/>
      </c>
      <c r="DH745" s="365"/>
      <c r="DI745" s="366">
        <f ca="1">IF(DG745="",0,COUNTIF(xxgy.rn,DG745))</f>
        <v>0</v>
      </c>
      <c r="DJ745" s="366">
        <f ca="1">IF(DG745="",0,COUNTIF(xxd.rn,DG745))</f>
        <v>0</v>
      </c>
      <c r="DK745" s="366">
        <f ca="1">IF(DG745="",0,1)*(SUMIF(xxo.rn,DG745,xxl.rn)+SUMIF(xxi.rn,DG745,xxk.rn))</f>
        <v>0</v>
      </c>
      <c r="DL745" s="366">
        <f ca="1">IF(DG745="",0,1)*(SUMIF(xxo.rn,DG745,xxk.rn)+SUMIF(xxi.rn,DG745,xxl.rn))</f>
        <v>0</v>
      </c>
      <c r="DM745" s="366">
        <f ca="1">DK745-DL745</f>
        <v>0</v>
      </c>
      <c r="DN745" s="366">
        <f ca="1">IF(DL745=0,0,DK745/DL745)</f>
        <v>0</v>
      </c>
      <c r="DO745" s="366">
        <f ca="1">ASZTAB!$AJ$48*DI745+IF(ASZTAB!$AJ$44,0,1)*DJ745</f>
        <v>0</v>
      </c>
      <c r="DP745" s="396">
        <f ca="1">DO745*1000000+IF(ASZTAB!$AJ$44,DN745,DM745)*1000*0</f>
        <v>0</v>
      </c>
      <c r="DQ745" s="424"/>
      <c r="DR745" s="424"/>
      <c r="DS745" s="424"/>
      <c r="DT745" s="366">
        <f ca="1">IF(OR(ISERR(DP745),ISNA(DP745)),0,DP745)</f>
        <v>0</v>
      </c>
      <c r="DU745" s="366">
        <f ca="1">IF(DT745=0,0,RANK(DT745,DT745:DT747,1))</f>
        <v>0</v>
      </c>
      <c r="DV745" s="366">
        <f ca="1">DU745*40000*IF(COUNTIF($EN$688:$EN$697,DG745)&gt;0,0,1)</f>
        <v>0</v>
      </c>
      <c r="DW745" s="424"/>
      <c r="DX745" s="424"/>
      <c r="DY745" s="424"/>
      <c r="DZ745" s="424"/>
      <c r="EA745" s="424"/>
      <c r="EB745" s="424"/>
      <c r="EP745" s="333"/>
    </row>
    <row r="746" spans="80:146" x14ac:dyDescent="0.25">
      <c r="CB746" s="445"/>
      <c r="CC746" s="300"/>
      <c r="CD746" s="300"/>
      <c r="CE746" s="300"/>
      <c r="CF746" s="449"/>
      <c r="CG746" s="445"/>
      <c r="CT746" s="477" t="str">
        <f ca="1">IF(CN621="","",VLOOKUP(CN621,xxx.rn2,7,FALSE))</f>
        <v/>
      </c>
      <c r="CU746" s="478" t="str">
        <f ca="1">IF(OR(CT746="",DA746="",CT746=DA746,COUNTIF(games.rn,CT746&amp;DA746)=0),"",CONCATENATE(CT746,DA746))</f>
        <v/>
      </c>
      <c r="CV746" s="360" t="str">
        <f ca="1">IF(CU746="","",CONCATENATE(VLOOKUP(CU746,games.r,9,FALSE),VLOOKUP(CU746,games.r,12,FALSE)))</f>
        <v/>
      </c>
      <c r="CW746" s="354" t="str">
        <f ca="1">IF(CU746="","",VLOOKUP(CU746,games.r,10,FALSE))</f>
        <v/>
      </c>
      <c r="CX746" s="354" t="str">
        <f ca="1">IF(CU746="","",VLOOKUP(CU746,games.r,13,FALSE))</f>
        <v/>
      </c>
      <c r="CY746" s="361" t="str">
        <f ca="1">IF(CU746="","",VLOOKUP(CU746,games.r,6,FALSE))</f>
        <v/>
      </c>
      <c r="CZ746" s="362" t="str">
        <f ca="1">IF(CU746="","",VLOOKUP(CU746,games.r,7,FALSE))</f>
        <v/>
      </c>
      <c r="DA746" s="379" t="str">
        <f ca="1">DA745</f>
        <v/>
      </c>
      <c r="DB746" s="302"/>
      <c r="DC746" s="364"/>
      <c r="DG746" s="366" t="str">
        <f ca="1">IF(OR(NOT(ASZTAB!$AJ$44),CT744),CT746,"")</f>
        <v/>
      </c>
      <c r="DH746" s="365"/>
      <c r="DI746" s="366">
        <f ca="1">IF(DG746="",0,COUNTIF(xxgy.rn,DG746))</f>
        <v>0</v>
      </c>
      <c r="DJ746" s="366">
        <f ca="1">IF(DG746="",0,COUNTIF(xxd.rn,DG746))</f>
        <v>0</v>
      </c>
      <c r="DK746" s="366">
        <f ca="1">IF(DG746="",0,1)*(SUMIF(xxo.rn,DG746,xxl.rn)+SUMIF(xxi.rn,DG746,xxk.rn))</f>
        <v>0</v>
      </c>
      <c r="DL746" s="366">
        <f ca="1">IF(DG746="",0,1)*(SUMIF(xxo.rn,DG746,xxk.rn)+SUMIF(xxi.rn,DG746,xxl.rn))</f>
        <v>0</v>
      </c>
      <c r="DM746" s="366">
        <f ca="1">DK746-DL746</f>
        <v>0</v>
      </c>
      <c r="DN746" s="366">
        <f ca="1">IF(DL746=0,0,DK746/DL746)</f>
        <v>0</v>
      </c>
      <c r="DO746" s="366">
        <f ca="1">ASZTAB!$AJ$48*DI746+IF(ASZTAB!$AJ$44,0,1)*DJ746</f>
        <v>0</v>
      </c>
      <c r="DP746" s="396">
        <f ca="1">DO746*1000000+IF(ASZTAB!$AJ$44,DN746,DM746)*1000*0</f>
        <v>0</v>
      </c>
      <c r="DQ746" s="424"/>
      <c r="DR746" s="424"/>
      <c r="DS746" s="424"/>
      <c r="DT746" s="366">
        <f ca="1">IF(OR(ISERR(DP746),ISNA(DP746)),0,DP746)</f>
        <v>0</v>
      </c>
      <c r="DU746" s="366">
        <f ca="1">IF(DT746=0,0,RANK(DT746,DT745:DT747,1))</f>
        <v>0</v>
      </c>
      <c r="DV746" s="366">
        <f ca="1">DU746*40000*IF(COUNTIF($EN$688:$EN$697,DG746)&gt;0,0,1)</f>
        <v>0</v>
      </c>
      <c r="DW746" s="424"/>
      <c r="DX746" s="424"/>
      <c r="DY746" s="424"/>
      <c r="DZ746" s="424"/>
      <c r="EA746" s="424"/>
      <c r="EB746" s="424"/>
      <c r="EP746" s="333"/>
    </row>
    <row r="747" spans="80:146" x14ac:dyDescent="0.25">
      <c r="CB747" s="445"/>
      <c r="CC747" s="300"/>
      <c r="CD747" s="300"/>
      <c r="CE747" s="300"/>
      <c r="CF747" s="449"/>
      <c r="CG747" s="445"/>
      <c r="CT747" s="477" t="str">
        <f ca="1">IF(CN622="","",VLOOKUP(CN622,xxx.rn2,7,FALSE))</f>
        <v/>
      </c>
      <c r="CU747" s="478" t="str">
        <f ca="1">IF(OR(CT747="",DA747="",CT747=DA747,COUNTIF(games.rn,CT747&amp;DA747)=0),"",CONCATENATE(CT747,DA747))</f>
        <v/>
      </c>
      <c r="CV747" s="360" t="str">
        <f ca="1">IF(CU747="","",CONCATENATE(VLOOKUP(CU747,games.r,9,FALSE),VLOOKUP(CU747,games.r,12,FALSE)))</f>
        <v/>
      </c>
      <c r="CW747" s="354" t="str">
        <f ca="1">IF(CU747="","",VLOOKUP(CU747,games.r,10,FALSE))</f>
        <v/>
      </c>
      <c r="CX747" s="354" t="str">
        <f ca="1">IF(CU747="","",VLOOKUP(CU747,games.r,13,FALSE))</f>
        <v/>
      </c>
      <c r="CY747" s="361" t="str">
        <f ca="1">IF(CU747="","",VLOOKUP(CU747,games.r,6,FALSE))</f>
        <v/>
      </c>
      <c r="CZ747" s="362" t="str">
        <f ca="1">IF(CU747="","",VLOOKUP(CU747,games.r,7,FALSE))</f>
        <v/>
      </c>
      <c r="DA747" s="379" t="str">
        <f ca="1">DA746</f>
        <v/>
      </c>
      <c r="DB747" s="302"/>
      <c r="DC747" s="364"/>
      <c r="DG747" s="366" t="str">
        <f ca="1">IF(OR(NOT(ASZTAB!$AJ$44),CT744),CT747,"")</f>
        <v/>
      </c>
      <c r="DH747" s="365"/>
      <c r="DI747" s="366">
        <f ca="1">IF(DG747="",0,COUNTIF(xxgy.rn,DG747))</f>
        <v>0</v>
      </c>
      <c r="DJ747" s="366">
        <f ca="1">IF(DG747="",0,COUNTIF(xxd.rn,DG747))</f>
        <v>0</v>
      </c>
      <c r="DK747" s="366">
        <f ca="1">IF(DG747="",0,1)*(SUMIF(xxo.rn,DG747,xxl.rn)+SUMIF(xxi.rn,DG747,xxk.rn))</f>
        <v>0</v>
      </c>
      <c r="DL747" s="366">
        <f ca="1">IF(DG747="",0,1)*(SUMIF(xxo.rn,DG747,xxk.rn)+SUMIF(xxi.rn,DG747,xxl.rn))</f>
        <v>0</v>
      </c>
      <c r="DM747" s="366">
        <f ca="1">DK747-DL747</f>
        <v>0</v>
      </c>
      <c r="DN747" s="366">
        <f ca="1">IF(DL747=0,0,DK747/DL747)</f>
        <v>0</v>
      </c>
      <c r="DO747" s="366">
        <f ca="1">ASZTAB!$AJ$48*DI747+IF(ASZTAB!$AJ$44,0,1)*DJ747</f>
        <v>0</v>
      </c>
      <c r="DP747" s="396">
        <f ca="1">DO747*1000000+IF(ASZTAB!$AJ$44,DN747,DM747)*1000*0</f>
        <v>0</v>
      </c>
      <c r="DQ747" s="424"/>
      <c r="DR747" s="424"/>
      <c r="DS747" s="424"/>
      <c r="DT747" s="366">
        <f ca="1">IF(OR(ISERR(DP747),ISNA(DP747)),0,DP747)</f>
        <v>0</v>
      </c>
      <c r="DU747" s="366">
        <f ca="1">IF(DT747=0,0,RANK(DT747,DT745:DT747,1))</f>
        <v>0</v>
      </c>
      <c r="DV747" s="366">
        <f ca="1">DU747*40000*IF(COUNTIF($EN$688:$EN$697,DG747)&gt;0,0,1)</f>
        <v>0</v>
      </c>
      <c r="DW747" s="424"/>
      <c r="DX747" s="424"/>
      <c r="DY747" s="424"/>
      <c r="DZ747" s="424"/>
      <c r="EA747" s="424"/>
      <c r="EB747" s="424"/>
      <c r="EP747" s="333"/>
    </row>
    <row r="748" spans="80:146" x14ac:dyDescent="0.25">
      <c r="CB748" s="445"/>
      <c r="CC748" s="300"/>
      <c r="CD748" s="300"/>
      <c r="CE748" s="300"/>
      <c r="CF748" s="449"/>
      <c r="CG748" s="445"/>
      <c r="CT748" s="522" t="str">
        <f>IF(NOT($AD$105),"",CT745)</f>
        <v/>
      </c>
      <c r="CU748" s="371" t="str">
        <f ca="1">IF(OR(CT748="",DA748="",CT748=DA748,ISNA(VLOOKUP(CONCATENATE(CT748,DA748),games.a,2,FALSE))),"",CONCATENATE(CT748,DA748))</f>
        <v/>
      </c>
      <c r="CV748" s="371" t="str">
        <f ca="1">IF(CU748="","",CONCATENATE(VLOOKUP(CU748,games.a,9,FALSE),VLOOKUP(CU748,games.a,12,FALSE)))</f>
        <v/>
      </c>
      <c r="CW748" s="369" t="str">
        <f ca="1">IF(CU748="","",VLOOKUP(CU748,games.a,10,FALSE))</f>
        <v/>
      </c>
      <c r="CX748" s="369" t="str">
        <f ca="1">IF(CU748="","",VLOOKUP(CU748,games.a,13,FALSE))</f>
        <v/>
      </c>
      <c r="CY748" s="423" t="str">
        <f ca="1">IF(CU748="","",VLOOKUP(CU748,games.a,6,FALSE))</f>
        <v/>
      </c>
      <c r="CZ748" s="409" t="str">
        <f ca="1">IF(CU748="","",VLOOKUP(CU748,games.a,7,FALSE))</f>
        <v/>
      </c>
      <c r="DA748" s="523" t="str">
        <f ca="1">DA747</f>
        <v/>
      </c>
      <c r="DB748" s="302"/>
      <c r="DC748" s="364"/>
      <c r="DG748" s="424"/>
      <c r="DH748" s="424"/>
      <c r="DI748" s="424"/>
      <c r="DJ748" s="424"/>
      <c r="DK748" s="424"/>
      <c r="DL748" s="424"/>
      <c r="DM748" s="424"/>
      <c r="DN748" s="424"/>
      <c r="DO748" s="424"/>
      <c r="DP748" s="424"/>
      <c r="DQ748" s="424"/>
      <c r="DR748" s="424"/>
      <c r="DS748" s="424"/>
      <c r="DT748" s="424"/>
      <c r="DU748" s="424"/>
      <c r="DV748" s="424"/>
      <c r="DW748" s="424"/>
      <c r="DX748" s="424"/>
      <c r="DY748" s="424"/>
      <c r="DZ748" s="424"/>
      <c r="EA748" s="424"/>
      <c r="EB748" s="424"/>
      <c r="EP748" s="333"/>
    </row>
    <row r="749" spans="80:146" x14ac:dyDescent="0.25">
      <c r="CB749" s="445"/>
      <c r="CC749" s="300"/>
      <c r="CD749" s="300"/>
      <c r="CE749" s="300"/>
      <c r="CF749" s="449"/>
      <c r="CG749" s="445"/>
      <c r="CT749" s="522" t="str">
        <f>IF(NOT($AD$105),"",CT746)</f>
        <v/>
      </c>
      <c r="CU749" s="371" t="str">
        <f ca="1">IF(OR(CT749="",DA749="",CT749=DA749,ISNA(VLOOKUP(CONCATENATE(CT749,DA749),games.a,2,FALSE))),"",CONCATENATE(CT749,DA749))</f>
        <v/>
      </c>
      <c r="CV749" s="371" t="str">
        <f ca="1">IF(CU749="","",CONCATENATE(VLOOKUP(CU749,games.a,9,FALSE),VLOOKUP(CU749,games.a,12,FALSE)))</f>
        <v/>
      </c>
      <c r="CW749" s="369" t="str">
        <f ca="1">IF(CU749="","",VLOOKUP(CU749,games.a,10,FALSE))</f>
        <v/>
      </c>
      <c r="CX749" s="369" t="str">
        <f ca="1">IF(CU749="","",VLOOKUP(CU749,games.a,13,FALSE))</f>
        <v/>
      </c>
      <c r="CY749" s="423" t="str">
        <f ca="1">IF(CU749="","",VLOOKUP(CU749,games.a,6,FALSE))</f>
        <v/>
      </c>
      <c r="CZ749" s="409" t="str">
        <f ca="1">IF(CU749="","",VLOOKUP(CU749,games.a,7,FALSE))</f>
        <v/>
      </c>
      <c r="DA749" s="523" t="str">
        <f ca="1">DA748</f>
        <v/>
      </c>
      <c r="DB749" s="302"/>
      <c r="DC749" s="364"/>
      <c r="DG749" s="424"/>
      <c r="DH749" s="424"/>
      <c r="DI749" s="424"/>
      <c r="DJ749" s="424"/>
      <c r="DK749" s="424"/>
      <c r="DL749" s="424"/>
      <c r="DM749" s="424"/>
      <c r="DN749" s="424"/>
      <c r="DO749" s="424"/>
      <c r="DP749" s="424"/>
      <c r="DQ749" s="424"/>
      <c r="DR749" s="424"/>
      <c r="DS749" s="424"/>
      <c r="DT749" s="424"/>
      <c r="DU749" s="424"/>
      <c r="DV749" s="424"/>
      <c r="DW749" s="424"/>
      <c r="DX749" s="424"/>
      <c r="DY749" s="424"/>
      <c r="DZ749" s="424"/>
      <c r="EA749" s="424"/>
      <c r="EB749" s="424"/>
      <c r="EP749" s="333"/>
    </row>
    <row r="750" spans="80:146" x14ac:dyDescent="0.25">
      <c r="CB750" s="445"/>
      <c r="CC750" s="300"/>
      <c r="CD750" s="300"/>
      <c r="CE750" s="300"/>
      <c r="CF750" s="449"/>
      <c r="CG750" s="445"/>
      <c r="CT750" s="522" t="str">
        <f>IF(NOT($AD$105),"",CT747)</f>
        <v/>
      </c>
      <c r="CU750" s="371" t="str">
        <f ca="1">IF(OR(CT750="",DA750="",CT750=DA750,ISNA(VLOOKUP(CONCATENATE(CT750,DA750),games.a,2,FALSE))),"",CONCATENATE(CT750,DA750))</f>
        <v/>
      </c>
      <c r="CV750" s="371" t="str">
        <f ca="1">IF(CU750="","",CONCATENATE(VLOOKUP(CU750,games.a,9,FALSE),VLOOKUP(CU750,games.a,12,FALSE)))</f>
        <v/>
      </c>
      <c r="CW750" s="369" t="str">
        <f ca="1">IF(CU750="","",VLOOKUP(CU750,games.a,10,FALSE))</f>
        <v/>
      </c>
      <c r="CX750" s="369" t="str">
        <f ca="1">IF(CU750="","",VLOOKUP(CU750,games.a,13,FALSE))</f>
        <v/>
      </c>
      <c r="CY750" s="423" t="str">
        <f ca="1">IF(CU750="","",VLOOKUP(CU750,games.a,6,FALSE))</f>
        <v/>
      </c>
      <c r="CZ750" s="409" t="str">
        <f ca="1">IF(CU750="","",VLOOKUP(CU750,games.a,7,FALSE))</f>
        <v/>
      </c>
      <c r="DA750" s="523" t="str">
        <f ca="1">DA749</f>
        <v/>
      </c>
      <c r="DB750" s="302"/>
      <c r="DC750" s="364"/>
      <c r="DG750" s="424"/>
      <c r="DH750" s="424"/>
      <c r="DI750" s="424"/>
      <c r="DJ750" s="424"/>
      <c r="DK750" s="424"/>
      <c r="DL750" s="424"/>
      <c r="DM750" s="424"/>
      <c r="DN750" s="424"/>
      <c r="DO750" s="424"/>
      <c r="DP750" s="424"/>
      <c r="DQ750" s="424"/>
      <c r="DR750" s="424"/>
      <c r="DS750" s="424"/>
      <c r="DT750" s="424"/>
      <c r="DU750" s="424"/>
      <c r="DV750" s="424"/>
      <c r="DW750" s="424"/>
      <c r="DX750" s="424"/>
      <c r="DY750" s="424"/>
      <c r="DZ750" s="424"/>
      <c r="EA750" s="424"/>
      <c r="EB750" s="424"/>
      <c r="EP750" s="333"/>
    </row>
    <row r="751" spans="80:146" x14ac:dyDescent="0.25">
      <c r="CB751" s="445"/>
      <c r="CC751" s="300"/>
      <c r="CD751" s="300"/>
      <c r="CE751" s="300"/>
      <c r="CF751" s="449"/>
      <c r="CG751" s="445"/>
      <c r="CT751" s="301"/>
      <c r="CU751" s="471" t="s">
        <v>157</v>
      </c>
      <c r="CV751" s="471" t="s">
        <v>158</v>
      </c>
      <c r="CW751" s="472" t="s">
        <v>159</v>
      </c>
      <c r="CX751" s="472"/>
      <c r="CY751" s="473" t="s">
        <v>160</v>
      </c>
      <c r="CZ751" s="472" t="s">
        <v>135</v>
      </c>
      <c r="DA751" s="302"/>
      <c r="DB751" s="302"/>
      <c r="DC751" s="364"/>
      <c r="DG751" s="424"/>
      <c r="DH751" s="424"/>
      <c r="DI751" s="424"/>
      <c r="DJ751" s="424"/>
      <c r="DK751" s="424"/>
      <c r="DL751" s="424"/>
      <c r="DM751" s="424"/>
      <c r="DN751" s="424"/>
      <c r="DO751" s="424"/>
      <c r="DP751" s="424"/>
      <c r="DQ751" s="424"/>
      <c r="DR751" s="424"/>
      <c r="DS751" s="424"/>
      <c r="DT751" s="424"/>
      <c r="DU751" s="424"/>
      <c r="DV751" s="424"/>
      <c r="DW751" s="424"/>
      <c r="DX751" s="424"/>
      <c r="DY751" s="424"/>
      <c r="DZ751" s="424"/>
      <c r="EA751" s="424"/>
      <c r="EB751" s="424"/>
      <c r="EP751" s="333"/>
    </row>
    <row r="752" spans="80:146" x14ac:dyDescent="0.25">
      <c r="CB752" s="445"/>
      <c r="CC752" s="300"/>
      <c r="CD752" s="300"/>
      <c r="CE752" s="300"/>
      <c r="CF752" s="449"/>
      <c r="CG752" s="445"/>
      <c r="CT752" s="395" t="str">
        <f t="shared" ref="CT752:CT757" ca="1" si="445">CT745</f>
        <v/>
      </c>
      <c r="CU752" s="478" t="str">
        <f ca="1">IF(OR(CT752="",DA752="",CT752=DA752,COUNTIF(games.rn,CT752&amp;DA752)=0),"",CONCATENATE(CT752,DA752))</f>
        <v/>
      </c>
      <c r="CV752" s="360" t="str">
        <f ca="1">IF(CU752="","",CONCATENATE(VLOOKUP(CU752,games.r,9,FALSE),VLOOKUP(CU752,games.r,12,FALSE)))</f>
        <v/>
      </c>
      <c r="CW752" s="354" t="str">
        <f ca="1">IF(CU752="","",VLOOKUP(CU752,games.r,10,FALSE))</f>
        <v/>
      </c>
      <c r="CX752" s="354" t="str">
        <f ca="1">IF(CU752="","",VLOOKUP(CU752,games.r,13,FALSE))</f>
        <v/>
      </c>
      <c r="CY752" s="361" t="str">
        <f ca="1">IF(CU752="","",VLOOKUP(CU752,games.r,6,FALSE))</f>
        <v/>
      </c>
      <c r="CZ752" s="362" t="str">
        <f ca="1">IF(CU752="","",VLOOKUP(CU752,games.r,7,FALSE))</f>
        <v/>
      </c>
      <c r="DA752" s="479" t="str">
        <f ca="1">CT746</f>
        <v/>
      </c>
      <c r="DB752" s="302"/>
      <c r="DC752" s="364"/>
      <c r="DG752" s="424"/>
      <c r="DH752" s="424"/>
      <c r="DI752" s="424"/>
      <c r="DJ752" s="424"/>
      <c r="DK752" s="424"/>
      <c r="DL752" s="424"/>
      <c r="DM752" s="424"/>
      <c r="DN752" s="424"/>
      <c r="DO752" s="424"/>
      <c r="DP752" s="424"/>
      <c r="DQ752" s="424"/>
      <c r="DR752" s="424"/>
      <c r="DS752" s="424"/>
      <c r="DT752" s="424"/>
      <c r="DU752" s="424"/>
      <c r="DV752" s="424"/>
      <c r="DW752" s="424"/>
      <c r="DX752" s="424"/>
      <c r="DY752" s="424"/>
      <c r="DZ752" s="424"/>
      <c r="EA752" s="424"/>
      <c r="EB752" s="424"/>
      <c r="EP752" s="333"/>
    </row>
    <row r="753" spans="80:146" x14ac:dyDescent="0.25">
      <c r="CB753" s="445"/>
      <c r="CC753" s="300"/>
      <c r="CD753" s="300"/>
      <c r="CE753" s="300"/>
      <c r="CF753" s="449"/>
      <c r="CG753" s="445"/>
      <c r="CT753" s="395" t="str">
        <f t="shared" ca="1" si="445"/>
        <v/>
      </c>
      <c r="CU753" s="478" t="str">
        <f ca="1">IF(OR(CT753="",DA753="",CT753=DA753,COUNTIF(games.rn,CT753&amp;DA753)=0),"",CONCATENATE(CT753,DA753))</f>
        <v/>
      </c>
      <c r="CV753" s="360" t="str">
        <f ca="1">IF(CU753="","",CONCATENATE(VLOOKUP(CU753,games.r,9,FALSE),VLOOKUP(CU753,games.r,12,FALSE)))</f>
        <v/>
      </c>
      <c r="CW753" s="354" t="str">
        <f ca="1">IF(CU753="","",VLOOKUP(CU753,games.r,10,FALSE))</f>
        <v/>
      </c>
      <c r="CX753" s="354" t="str">
        <f ca="1">IF(CU753="","",VLOOKUP(CU753,games.r,13,FALSE))</f>
        <v/>
      </c>
      <c r="CY753" s="361" t="str">
        <f ca="1">IF(CU753="","",VLOOKUP(CU753,games.r,6,FALSE))</f>
        <v/>
      </c>
      <c r="CZ753" s="362" t="str">
        <f ca="1">IF(CU753="","",VLOOKUP(CU753,games.r,7,FALSE))</f>
        <v/>
      </c>
      <c r="DA753" s="379" t="str">
        <f ca="1">DA752</f>
        <v/>
      </c>
      <c r="DB753" s="302"/>
      <c r="DC753" s="364"/>
      <c r="DG753" s="424"/>
      <c r="DH753" s="424"/>
      <c r="DI753" s="424"/>
      <c r="DJ753" s="424"/>
      <c r="DK753" s="424"/>
      <c r="DL753" s="424"/>
      <c r="DM753" s="424"/>
      <c r="DN753" s="424"/>
      <c r="DO753" s="424"/>
      <c r="DP753" s="424"/>
      <c r="DQ753" s="424"/>
      <c r="DR753" s="424"/>
      <c r="DS753" s="424"/>
      <c r="DT753" s="424"/>
      <c r="DU753" s="424"/>
      <c r="DV753" s="424"/>
      <c r="DW753" s="424"/>
      <c r="DX753" s="424"/>
      <c r="DY753" s="424"/>
      <c r="DZ753" s="424"/>
      <c r="EA753" s="424"/>
      <c r="EB753" s="424"/>
      <c r="EP753" s="333"/>
    </row>
    <row r="754" spans="80:146" x14ac:dyDescent="0.25">
      <c r="CB754" s="445"/>
      <c r="CC754" s="300"/>
      <c r="CD754" s="300"/>
      <c r="CE754" s="300"/>
      <c r="CF754" s="449"/>
      <c r="CG754" s="445"/>
      <c r="CT754" s="395" t="str">
        <f t="shared" ca="1" si="445"/>
        <v/>
      </c>
      <c r="CU754" s="478" t="str">
        <f ca="1">IF(OR(CT754="",DA754="",CT754=DA754,COUNTIF(games.rn,CT754&amp;DA754)=0),"",CONCATENATE(CT754,DA754))</f>
        <v/>
      </c>
      <c r="CV754" s="360" t="str">
        <f ca="1">IF(CU754="","",CONCATENATE(VLOOKUP(CU754,games.r,9,FALSE),VLOOKUP(CU754,games.r,12,FALSE)))</f>
        <v/>
      </c>
      <c r="CW754" s="354" t="str">
        <f ca="1">IF(CU754="","",VLOOKUP(CU754,games.r,10,FALSE))</f>
        <v/>
      </c>
      <c r="CX754" s="354" t="str">
        <f ca="1">IF(CU754="","",VLOOKUP(CU754,games.r,13,FALSE))</f>
        <v/>
      </c>
      <c r="CY754" s="361" t="str">
        <f ca="1">IF(CU754="","",VLOOKUP(CU754,games.r,6,FALSE))</f>
        <v/>
      </c>
      <c r="CZ754" s="362" t="str">
        <f ca="1">IF(CU754="","",VLOOKUP(CU754,games.r,7,FALSE))</f>
        <v/>
      </c>
      <c r="DA754" s="379" t="str">
        <f ca="1">DA753</f>
        <v/>
      </c>
      <c r="DB754" s="302"/>
      <c r="DC754" s="364"/>
      <c r="DG754" s="424"/>
      <c r="DH754" s="424"/>
      <c r="DI754" s="424"/>
      <c r="DJ754" s="424"/>
      <c r="DK754" s="424"/>
      <c r="DL754" s="424"/>
      <c r="DM754" s="424"/>
      <c r="DN754" s="424"/>
      <c r="DO754" s="424"/>
      <c r="DP754" s="424"/>
      <c r="DQ754" s="424"/>
      <c r="DR754" s="424"/>
      <c r="DS754" s="424"/>
      <c r="DT754" s="424"/>
      <c r="DU754" s="424"/>
      <c r="DV754" s="424"/>
      <c r="DW754" s="424"/>
      <c r="DX754" s="424"/>
      <c r="DY754" s="424"/>
      <c r="DZ754" s="424"/>
      <c r="EA754" s="424"/>
      <c r="EB754" s="424"/>
      <c r="EP754" s="333"/>
    </row>
    <row r="755" spans="80:146" x14ac:dyDescent="0.25">
      <c r="CB755" s="445"/>
      <c r="CC755" s="300"/>
      <c r="CD755" s="300"/>
      <c r="CE755" s="300"/>
      <c r="CF755" s="449"/>
      <c r="CG755" s="445"/>
      <c r="CT755" s="533" t="str">
        <f t="shared" si="445"/>
        <v/>
      </c>
      <c r="CU755" s="371" t="str">
        <f ca="1">IF(OR(CT755="",DA755="",CT755=DA755,ISNA(VLOOKUP(CONCATENATE(CT755,DA755),games.a,2,FALSE))),"",CONCATENATE(CT755,DA755))</f>
        <v/>
      </c>
      <c r="CV755" s="371" t="str">
        <f ca="1">IF(CU755="","",CONCATENATE(VLOOKUP(CU755,games.a,9,FALSE),VLOOKUP(CU755,games.a,12,FALSE)))</f>
        <v/>
      </c>
      <c r="CW755" s="369" t="str">
        <f ca="1">IF(CU755="","",VLOOKUP(CU755,games.a,10,FALSE))</f>
        <v/>
      </c>
      <c r="CX755" s="369" t="str">
        <f ca="1">IF(CU755="","",VLOOKUP(CU755,games.a,13,FALSE))</f>
        <v/>
      </c>
      <c r="CY755" s="423" t="str">
        <f ca="1">IF(CU755="","",VLOOKUP(CU755,games.a,6,FALSE))</f>
        <v/>
      </c>
      <c r="CZ755" s="409" t="str">
        <f ca="1">IF(CU755="","",VLOOKUP(CU755,games.a,7,FALSE))</f>
        <v/>
      </c>
      <c r="DA755" s="523" t="str">
        <f ca="1">DA754</f>
        <v/>
      </c>
      <c r="DB755" s="302"/>
      <c r="DC755" s="364"/>
      <c r="DG755" s="424"/>
      <c r="DH755" s="424"/>
      <c r="DI755" s="424"/>
      <c r="DJ755" s="424"/>
      <c r="DK755" s="424"/>
      <c r="DL755" s="424"/>
      <c r="DM755" s="424"/>
      <c r="DN755" s="424"/>
      <c r="DO755" s="424"/>
      <c r="DP755" s="424"/>
      <c r="DQ755" s="424"/>
      <c r="DR755" s="424"/>
      <c r="DS755" s="424"/>
      <c r="DT755" s="424"/>
      <c r="DU755" s="424"/>
      <c r="DV755" s="424"/>
      <c r="DW755" s="424"/>
      <c r="DX755" s="424"/>
      <c r="DY755" s="424"/>
      <c r="DZ755" s="424"/>
      <c r="EA755" s="424"/>
      <c r="EB755" s="424"/>
      <c r="EP755" s="333"/>
    </row>
    <row r="756" spans="80:146" x14ac:dyDescent="0.25">
      <c r="CB756" s="445"/>
      <c r="CC756" s="300"/>
      <c r="CD756" s="300"/>
      <c r="CE756" s="300"/>
      <c r="CF756" s="449"/>
      <c r="CG756" s="445"/>
      <c r="CT756" s="533" t="str">
        <f t="shared" si="445"/>
        <v/>
      </c>
      <c r="CU756" s="371" t="str">
        <f ca="1">IF(OR(CT756="",DA756="",CT756=DA756,ISNA(VLOOKUP(CONCATENATE(CT756,DA756),games.a,2,FALSE))),"",CONCATENATE(CT756,DA756))</f>
        <v/>
      </c>
      <c r="CV756" s="371" t="str">
        <f ca="1">IF(CU756="","",CONCATENATE(VLOOKUP(CU756,games.a,9,FALSE),VLOOKUP(CU756,games.a,12,FALSE)))</f>
        <v/>
      </c>
      <c r="CW756" s="369" t="str">
        <f ca="1">IF(CU756="","",VLOOKUP(CU756,games.a,10,FALSE))</f>
        <v/>
      </c>
      <c r="CX756" s="369" t="str">
        <f ca="1">IF(CU756="","",VLOOKUP(CU756,games.a,13,FALSE))</f>
        <v/>
      </c>
      <c r="CY756" s="423" t="str">
        <f ca="1">IF(CU756="","",VLOOKUP(CU756,games.a,6,FALSE))</f>
        <v/>
      </c>
      <c r="CZ756" s="409" t="str">
        <f ca="1">IF(CU756="","",VLOOKUP(CU756,games.a,7,FALSE))</f>
        <v/>
      </c>
      <c r="DA756" s="523" t="str">
        <f ca="1">DA755</f>
        <v/>
      </c>
      <c r="DB756" s="302"/>
      <c r="DC756" s="364"/>
      <c r="DG756" s="424"/>
      <c r="DH756" s="424"/>
      <c r="DI756" s="424"/>
      <c r="DJ756" s="424"/>
      <c r="DK756" s="424"/>
      <c r="DL756" s="424"/>
      <c r="DM756" s="424"/>
      <c r="DN756" s="424"/>
      <c r="DO756" s="424"/>
      <c r="DP756" s="424"/>
      <c r="DQ756" s="424"/>
      <c r="DR756" s="424"/>
      <c r="DS756" s="424"/>
      <c r="DT756" s="424"/>
      <c r="DU756" s="424"/>
      <c r="DV756" s="424"/>
      <c r="DW756" s="424"/>
      <c r="DX756" s="424"/>
      <c r="DY756" s="424"/>
      <c r="DZ756" s="424"/>
      <c r="EA756" s="424"/>
      <c r="EB756" s="424"/>
      <c r="EP756" s="333"/>
    </row>
    <row r="757" spans="80:146" x14ac:dyDescent="0.25">
      <c r="CB757" s="445"/>
      <c r="CC757" s="300"/>
      <c r="CD757" s="300"/>
      <c r="CE757" s="300"/>
      <c r="CF757" s="449"/>
      <c r="CG757" s="445"/>
      <c r="CT757" s="533" t="str">
        <f t="shared" si="445"/>
        <v/>
      </c>
      <c r="CU757" s="371" t="str">
        <f ca="1">IF(OR(CT757="",DA757="",CT757=DA757,ISNA(VLOOKUP(CONCATENATE(CT757,DA757),games.a,2,FALSE))),"",CONCATENATE(CT757,DA757))</f>
        <v/>
      </c>
      <c r="CV757" s="371" t="str">
        <f ca="1">IF(CU757="","",CONCATENATE(VLOOKUP(CU757,games.a,9,FALSE),VLOOKUP(CU757,games.a,12,FALSE)))</f>
        <v/>
      </c>
      <c r="CW757" s="369" t="str">
        <f ca="1">IF(CU757="","",VLOOKUP(CU757,games.a,10,FALSE))</f>
        <v/>
      </c>
      <c r="CX757" s="369" t="str">
        <f ca="1">IF(CU757="","",VLOOKUP(CU757,games.a,13,FALSE))</f>
        <v/>
      </c>
      <c r="CY757" s="423" t="str">
        <f ca="1">IF(CU757="","",VLOOKUP(CU757,games.a,6,FALSE))</f>
        <v/>
      </c>
      <c r="CZ757" s="409" t="str">
        <f ca="1">IF(CU757="","",VLOOKUP(CU757,games.a,7,FALSE))</f>
        <v/>
      </c>
      <c r="DA757" s="523" t="str">
        <f ca="1">DA756</f>
        <v/>
      </c>
      <c r="DB757" s="302"/>
      <c r="DC757" s="364"/>
      <c r="DG757" s="424"/>
      <c r="DH757" s="424"/>
      <c r="DI757" s="424"/>
      <c r="DJ757" s="424"/>
      <c r="DK757" s="424"/>
      <c r="DL757" s="424"/>
      <c r="DM757" s="424"/>
      <c r="DN757" s="424"/>
      <c r="DO757" s="424"/>
      <c r="DP757" s="424"/>
      <c r="DQ757" s="424"/>
      <c r="DR757" s="424"/>
      <c r="DS757" s="424"/>
      <c r="DT757" s="424"/>
      <c r="DU757" s="424"/>
      <c r="DV757" s="424"/>
      <c r="DW757" s="424"/>
      <c r="DX757" s="424"/>
      <c r="DY757" s="424"/>
      <c r="DZ757" s="424"/>
      <c r="EA757" s="424"/>
      <c r="EB757" s="424"/>
      <c r="EP757" s="333"/>
    </row>
    <row r="758" spans="80:146" x14ac:dyDescent="0.25">
      <c r="CB758" s="445"/>
      <c r="CC758" s="300"/>
      <c r="CD758" s="300"/>
      <c r="CE758" s="300"/>
      <c r="CF758" s="449"/>
      <c r="CG758" s="445"/>
      <c r="CT758" s="301"/>
      <c r="CU758" s="471" t="s">
        <v>157</v>
      </c>
      <c r="CV758" s="471" t="s">
        <v>158</v>
      </c>
      <c r="CW758" s="472" t="s">
        <v>159</v>
      </c>
      <c r="CX758" s="472"/>
      <c r="CY758" s="473" t="s">
        <v>160</v>
      </c>
      <c r="CZ758" s="472" t="s">
        <v>135</v>
      </c>
      <c r="DA758" s="302"/>
      <c r="DB758" s="302"/>
      <c r="DC758" s="364"/>
      <c r="DG758" s="424"/>
      <c r="DH758" s="424"/>
      <c r="DI758" s="424"/>
      <c r="DJ758" s="424"/>
      <c r="DK758" s="424"/>
      <c r="DL758" s="424"/>
      <c r="DM758" s="424"/>
      <c r="DN758" s="424"/>
      <c r="DO758" s="424"/>
      <c r="DP758" s="424"/>
      <c r="DQ758" s="424"/>
      <c r="DR758" s="424"/>
      <c r="DS758" s="424"/>
      <c r="DT758" s="424"/>
      <c r="DU758" s="424"/>
      <c r="DV758" s="424"/>
      <c r="DW758" s="424"/>
      <c r="DX758" s="424"/>
      <c r="DY758" s="424"/>
      <c r="DZ758" s="424"/>
      <c r="EA758" s="424"/>
      <c r="EB758" s="424"/>
      <c r="EP758" s="333"/>
    </row>
    <row r="759" spans="80:146" x14ac:dyDescent="0.25">
      <c r="CB759" s="445"/>
      <c r="CC759" s="300"/>
      <c r="CD759" s="300"/>
      <c r="CE759" s="300"/>
      <c r="CF759" s="449"/>
      <c r="CG759" s="445"/>
      <c r="CT759" s="395" t="str">
        <f t="shared" ref="CT759:CT764" ca="1" si="446">CT752</f>
        <v/>
      </c>
      <c r="CU759" s="478" t="str">
        <f ca="1">IF(OR(CT759="",DA759="",CT759=DA759,COUNTIF(games.rn,CT759&amp;DA759)=0),"",CONCATENATE(CT759,DA759))</f>
        <v/>
      </c>
      <c r="CV759" s="360" t="str">
        <f ca="1">IF(CU759="","",CONCATENATE(VLOOKUP(CU759,games.r,9,FALSE),VLOOKUP(CU759,games.r,12,FALSE)))</f>
        <v/>
      </c>
      <c r="CW759" s="354" t="str">
        <f ca="1">IF(CU759="","",VLOOKUP(CU759,games.r,10,FALSE))</f>
        <v/>
      </c>
      <c r="CX759" s="354" t="str">
        <f ca="1">IF(CU759="","",VLOOKUP(CU759,games.r,13,FALSE))</f>
        <v/>
      </c>
      <c r="CY759" s="361" t="str">
        <f ca="1">IF(CU759="","",VLOOKUP(CU759,games.r,6,FALSE))</f>
        <v/>
      </c>
      <c r="CZ759" s="362" t="str">
        <f ca="1">IF(CU759="","",VLOOKUP(CU759,games.r,7,FALSE))</f>
        <v/>
      </c>
      <c r="DA759" s="479" t="str">
        <f ca="1">CT747</f>
        <v/>
      </c>
      <c r="DB759" s="302"/>
      <c r="DC759" s="364"/>
      <c r="DG759" s="424"/>
      <c r="DH759" s="424"/>
      <c r="DI759" s="424"/>
      <c r="DJ759" s="424"/>
      <c r="DK759" s="424"/>
      <c r="DL759" s="424"/>
      <c r="DM759" s="424"/>
      <c r="DN759" s="424"/>
      <c r="DO759" s="424"/>
      <c r="DP759" s="424"/>
      <c r="DQ759" s="424"/>
      <c r="DR759" s="424"/>
      <c r="DS759" s="424"/>
      <c r="DT759" s="424"/>
      <c r="DU759" s="424"/>
      <c r="DV759" s="424"/>
      <c r="DW759" s="424"/>
      <c r="DX759" s="424"/>
      <c r="DY759" s="424"/>
      <c r="DZ759" s="424"/>
      <c r="EA759" s="424"/>
      <c r="EB759" s="424"/>
      <c r="EP759" s="333"/>
    </row>
    <row r="760" spans="80:146" x14ac:dyDescent="0.25">
      <c r="CB760" s="445"/>
      <c r="CC760" s="300"/>
      <c r="CD760" s="300"/>
      <c r="CE760" s="300"/>
      <c r="CF760" s="449"/>
      <c r="CG760" s="445"/>
      <c r="CT760" s="395" t="str">
        <f t="shared" ca="1" si="446"/>
        <v/>
      </c>
      <c r="CU760" s="478" t="str">
        <f ca="1">IF(OR(CT760="",DA760="",CT760=DA760,COUNTIF(games.rn,CT760&amp;DA760)=0),"",CONCATENATE(CT760,DA760))</f>
        <v/>
      </c>
      <c r="CV760" s="360" t="str">
        <f ca="1">IF(CU760="","",CONCATENATE(VLOOKUP(CU760,games.r,9,FALSE),VLOOKUP(CU760,games.r,12,FALSE)))</f>
        <v/>
      </c>
      <c r="CW760" s="354" t="str">
        <f ca="1">IF(CU760="","",VLOOKUP(CU760,games.r,10,FALSE))</f>
        <v/>
      </c>
      <c r="CX760" s="354" t="str">
        <f ca="1">IF(CU760="","",VLOOKUP(CU760,games.r,13,FALSE))</f>
        <v/>
      </c>
      <c r="CY760" s="361" t="str">
        <f ca="1">IF(CU760="","",VLOOKUP(CU760,games.r,6,FALSE))</f>
        <v/>
      </c>
      <c r="CZ760" s="362" t="str">
        <f ca="1">IF(CU760="","",VLOOKUP(CU760,games.r,7,FALSE))</f>
        <v/>
      </c>
      <c r="DA760" s="379" t="str">
        <f ca="1">DA759</f>
        <v/>
      </c>
      <c r="DB760" s="302"/>
      <c r="DC760" s="364"/>
      <c r="DG760" s="424"/>
      <c r="DH760" s="424"/>
      <c r="DI760" s="424"/>
      <c r="DJ760" s="424"/>
      <c r="DK760" s="424"/>
      <c r="DL760" s="424"/>
      <c r="DM760" s="424"/>
      <c r="DN760" s="424"/>
      <c r="DO760" s="424"/>
      <c r="DP760" s="424"/>
      <c r="DQ760" s="424"/>
      <c r="DR760" s="424"/>
      <c r="DS760" s="424"/>
      <c r="DT760" s="424"/>
      <c r="DU760" s="424"/>
      <c r="DV760" s="424"/>
      <c r="DW760" s="424"/>
      <c r="DX760" s="424"/>
      <c r="DY760" s="424"/>
      <c r="DZ760" s="424"/>
      <c r="EA760" s="424"/>
      <c r="EB760" s="424"/>
      <c r="EP760" s="333"/>
    </row>
    <row r="761" spans="80:146" x14ac:dyDescent="0.25">
      <c r="CB761" s="445"/>
      <c r="CC761" s="300"/>
      <c r="CD761" s="300"/>
      <c r="CE761" s="300"/>
      <c r="CF761" s="449"/>
      <c r="CG761" s="445"/>
      <c r="CT761" s="395" t="str">
        <f t="shared" ca="1" si="446"/>
        <v/>
      </c>
      <c r="CU761" s="478" t="str">
        <f ca="1">IF(OR(CT761="",DA761="",CT761=DA761,COUNTIF(games.rn,CT761&amp;DA761)=0),"",CONCATENATE(CT761,DA761))</f>
        <v/>
      </c>
      <c r="CV761" s="360" t="str">
        <f ca="1">IF(CU761="","",CONCATENATE(VLOOKUP(CU761,games.r,9,FALSE),VLOOKUP(CU761,games.r,12,FALSE)))</f>
        <v/>
      </c>
      <c r="CW761" s="354" t="str">
        <f ca="1">IF(CU761="","",VLOOKUP(CU761,games.r,10,FALSE))</f>
        <v/>
      </c>
      <c r="CX761" s="354" t="str">
        <f ca="1">IF(CU761="","",VLOOKUP(CU761,games.r,13,FALSE))</f>
        <v/>
      </c>
      <c r="CY761" s="361" t="str">
        <f ca="1">IF(CU761="","",VLOOKUP(CU761,games.r,6,FALSE))</f>
        <v/>
      </c>
      <c r="CZ761" s="362" t="str">
        <f ca="1">IF(CU761="","",VLOOKUP(CU761,games.r,7,FALSE))</f>
        <v/>
      </c>
      <c r="DA761" s="379" t="str">
        <f ca="1">DA760</f>
        <v/>
      </c>
      <c r="DB761" s="302"/>
      <c r="DC761" s="364"/>
      <c r="DG761" s="424"/>
      <c r="DH761" s="424"/>
      <c r="DI761" s="424"/>
      <c r="DJ761" s="424"/>
      <c r="DK761" s="424"/>
      <c r="DL761" s="424"/>
      <c r="DM761" s="424"/>
      <c r="DN761" s="424"/>
      <c r="DO761" s="424"/>
      <c r="DP761" s="424"/>
      <c r="DQ761" s="424"/>
      <c r="DR761" s="424"/>
      <c r="DS761" s="424"/>
      <c r="DT761" s="424"/>
      <c r="DU761" s="424"/>
      <c r="DV761" s="424"/>
      <c r="DW761" s="424"/>
      <c r="DX761" s="424"/>
      <c r="DY761" s="424"/>
      <c r="DZ761" s="424"/>
      <c r="EA761" s="424"/>
      <c r="EB761" s="424"/>
      <c r="EP761" s="333"/>
    </row>
    <row r="762" spans="80:146" x14ac:dyDescent="0.25">
      <c r="CB762" s="445"/>
      <c r="CC762" s="300"/>
      <c r="CD762" s="300"/>
      <c r="CE762" s="300"/>
      <c r="CF762" s="449"/>
      <c r="CG762" s="445"/>
      <c r="CT762" s="533" t="str">
        <f t="shared" si="446"/>
        <v/>
      </c>
      <c r="CU762" s="371" t="str">
        <f ca="1">IF(OR(CT762="",DA762="",CT762=DA762,ISNA(VLOOKUP(CONCATENATE(CT762,DA762),games.a,2,FALSE))),"",CONCATENATE(CT762,DA762))</f>
        <v/>
      </c>
      <c r="CV762" s="371" t="str">
        <f ca="1">IF(CU762="","",CONCATENATE(VLOOKUP(CU762,games.a,9,FALSE),VLOOKUP(CU762,games.a,12,FALSE)))</f>
        <v/>
      </c>
      <c r="CW762" s="369" t="str">
        <f ca="1">IF(CU762="","",VLOOKUP(CU762,games.a,10,FALSE))</f>
        <v/>
      </c>
      <c r="CX762" s="369" t="str">
        <f ca="1">IF(CU762="","",VLOOKUP(CU762,games.a,13,FALSE))</f>
        <v/>
      </c>
      <c r="CY762" s="423" t="str">
        <f ca="1">IF(CU762="","",VLOOKUP(CU762,games.a,6,FALSE))</f>
        <v/>
      </c>
      <c r="CZ762" s="409" t="str">
        <f ca="1">IF(CU762="","",VLOOKUP(CU762,games.a,7,FALSE))</f>
        <v/>
      </c>
      <c r="DA762" s="523" t="str">
        <f ca="1">DA761</f>
        <v/>
      </c>
      <c r="DB762" s="302"/>
      <c r="DC762" s="364"/>
      <c r="DG762" s="424"/>
      <c r="DH762" s="424"/>
      <c r="DI762" s="424"/>
      <c r="DJ762" s="424"/>
      <c r="DK762" s="424"/>
      <c r="DL762" s="424"/>
      <c r="DM762" s="424"/>
      <c r="DN762" s="424"/>
      <c r="DO762" s="424"/>
      <c r="DP762" s="424"/>
      <c r="DQ762" s="424"/>
      <c r="DR762" s="424"/>
      <c r="DS762" s="424"/>
      <c r="DT762" s="424"/>
      <c r="DU762" s="424"/>
      <c r="DV762" s="424"/>
      <c r="DW762" s="424"/>
      <c r="DX762" s="424"/>
      <c r="DY762" s="424"/>
      <c r="DZ762" s="424"/>
      <c r="EA762" s="424"/>
      <c r="EB762" s="424"/>
      <c r="EP762" s="333"/>
    </row>
    <row r="763" spans="80:146" x14ac:dyDescent="0.25">
      <c r="CB763" s="445"/>
      <c r="CC763" s="300"/>
      <c r="CD763" s="300"/>
      <c r="CE763" s="300"/>
      <c r="CF763" s="449"/>
      <c r="CG763" s="445"/>
      <c r="CO763" s="302"/>
      <c r="CT763" s="533" t="str">
        <f t="shared" si="446"/>
        <v/>
      </c>
      <c r="CU763" s="371" t="str">
        <f ca="1">IF(OR(CT763="",DA763="",CT763=DA763,ISNA(VLOOKUP(CONCATENATE(CT763,DA763),games.a,2,FALSE))),"",CONCATENATE(CT763,DA763))</f>
        <v/>
      </c>
      <c r="CV763" s="371" t="str">
        <f ca="1">IF(CU763="","",CONCATENATE(VLOOKUP(CU763,games.a,9,FALSE),VLOOKUP(CU763,games.a,12,FALSE)))</f>
        <v/>
      </c>
      <c r="CW763" s="369" t="str">
        <f ca="1">IF(CU763="","",VLOOKUP(CU763,games.a,10,FALSE))</f>
        <v/>
      </c>
      <c r="CX763" s="369" t="str">
        <f ca="1">IF(CU763="","",VLOOKUP(CU763,games.a,13,FALSE))</f>
        <v/>
      </c>
      <c r="CY763" s="423" t="str">
        <f ca="1">IF(CU763="","",VLOOKUP(CU763,games.a,6,FALSE))</f>
        <v/>
      </c>
      <c r="CZ763" s="409" t="str">
        <f ca="1">IF(CU763="","",VLOOKUP(CU763,games.a,7,FALSE))</f>
        <v/>
      </c>
      <c r="DA763" s="523" t="str">
        <f ca="1">DA762</f>
        <v/>
      </c>
      <c r="DB763" s="302"/>
      <c r="DC763" s="364"/>
      <c r="DG763" s="424"/>
      <c r="DH763" s="424"/>
      <c r="DI763" s="424"/>
      <c r="DJ763" s="424"/>
      <c r="DK763" s="424"/>
      <c r="DL763" s="424"/>
      <c r="DM763" s="424"/>
      <c r="DN763" s="424"/>
      <c r="DO763" s="424"/>
      <c r="DP763" s="424"/>
      <c r="DQ763" s="424"/>
      <c r="DR763" s="424"/>
      <c r="DS763" s="424"/>
      <c r="DT763" s="424"/>
      <c r="DU763" s="424"/>
      <c r="DV763" s="424"/>
      <c r="DW763" s="424"/>
      <c r="DX763" s="424"/>
      <c r="DY763" s="424"/>
      <c r="DZ763" s="424"/>
      <c r="EA763" s="424"/>
      <c r="EB763" s="424"/>
      <c r="EP763" s="333"/>
    </row>
    <row r="764" spans="80:146" x14ac:dyDescent="0.25">
      <c r="CB764" s="445"/>
      <c r="CC764" s="300"/>
      <c r="CD764" s="300"/>
      <c r="CE764" s="300"/>
      <c r="CF764" s="449"/>
      <c r="CG764" s="445"/>
      <c r="CO764" s="302"/>
      <c r="CT764" s="533" t="str">
        <f t="shared" si="446"/>
        <v/>
      </c>
      <c r="CU764" s="371" t="str">
        <f ca="1">IF(OR(CT764="",DA764="",CT764=DA764,ISNA(VLOOKUP(CONCATENATE(CT764,DA764),games.a,2,FALSE))),"",CONCATENATE(CT764,DA764))</f>
        <v/>
      </c>
      <c r="CV764" s="371" t="str">
        <f ca="1">IF(CU764="","",CONCATENATE(VLOOKUP(CU764,games.a,9,FALSE),VLOOKUP(CU764,games.a,12,FALSE)))</f>
        <v/>
      </c>
      <c r="CW764" s="369" t="str">
        <f ca="1">IF(CU764="","",VLOOKUP(CU764,games.a,10,FALSE))</f>
        <v/>
      </c>
      <c r="CX764" s="369" t="str">
        <f ca="1">IF(CU764="","",VLOOKUP(CU764,games.a,13,FALSE))</f>
        <v/>
      </c>
      <c r="CY764" s="423" t="str">
        <f ca="1">IF(CU764="","",VLOOKUP(CU764,games.a,6,FALSE))</f>
        <v/>
      </c>
      <c r="CZ764" s="409" t="str">
        <f ca="1">IF(CU764="","",VLOOKUP(CU764,games.a,7,FALSE))</f>
        <v/>
      </c>
      <c r="DA764" s="523" t="str">
        <f ca="1">DA763</f>
        <v/>
      </c>
      <c r="DB764" s="302"/>
      <c r="DC764" s="364"/>
      <c r="DG764" s="424"/>
      <c r="DH764" s="424"/>
      <c r="DI764" s="424"/>
      <c r="DJ764" s="424"/>
      <c r="DK764" s="424"/>
      <c r="DL764" s="424"/>
      <c r="DM764" s="424"/>
      <c r="DN764" s="424"/>
      <c r="DO764" s="424"/>
      <c r="DP764" s="424"/>
      <c r="DQ764" s="424"/>
      <c r="DR764" s="424"/>
      <c r="DS764" s="424"/>
      <c r="DT764" s="424"/>
      <c r="DU764" s="424"/>
      <c r="DV764" s="424"/>
      <c r="DW764" s="424"/>
      <c r="DX764" s="424"/>
      <c r="DY764" s="424"/>
      <c r="DZ764" s="424"/>
      <c r="EA764" s="424"/>
      <c r="EB764" s="424"/>
      <c r="EP764" s="333"/>
    </row>
    <row r="765" spans="80:146" x14ac:dyDescent="0.25">
      <c r="CB765" s="445"/>
      <c r="CC765" s="300"/>
      <c r="CD765" s="300"/>
      <c r="CE765" s="300"/>
      <c r="CF765" s="449"/>
      <c r="CG765" s="445"/>
      <c r="CO765" s="302"/>
      <c r="CT765" s="301"/>
      <c r="CU765" s="302"/>
      <c r="CV765" s="302"/>
      <c r="CW765" s="302"/>
      <c r="CX765" s="302"/>
      <c r="CY765" s="302"/>
      <c r="CZ765" s="302"/>
      <c r="DA765" s="447"/>
      <c r="DB765" s="302"/>
      <c r="DC765" s="446" t="s">
        <v>221</v>
      </c>
      <c r="DG765" s="424"/>
      <c r="DH765" s="424"/>
      <c r="DI765" s="424"/>
      <c r="DJ765" s="424"/>
      <c r="DK765" s="424"/>
      <c r="DL765" s="424"/>
      <c r="DM765" s="424"/>
      <c r="DN765" s="424"/>
      <c r="DO765" s="424"/>
      <c r="DP765" s="424"/>
      <c r="DQ765" s="424"/>
      <c r="DR765" s="424"/>
      <c r="DS765" s="424"/>
      <c r="DT765" s="424"/>
      <c r="DU765" s="424"/>
      <c r="DV765" s="424"/>
      <c r="DW765" s="424"/>
      <c r="DX765" s="424"/>
      <c r="DY765" s="424"/>
      <c r="DZ765" s="424"/>
      <c r="EA765" s="424"/>
      <c r="EB765" s="424"/>
      <c r="EP765" s="333"/>
    </row>
    <row r="766" spans="80:146" x14ac:dyDescent="0.25">
      <c r="CB766" s="445"/>
      <c r="CC766" s="300"/>
      <c r="CD766" s="300"/>
      <c r="CE766" s="300"/>
      <c r="CF766" s="449"/>
      <c r="CG766" s="445"/>
      <c r="CO766" s="302"/>
      <c r="CT766" s="301"/>
      <c r="CU766" s="302"/>
      <c r="CV766" s="302"/>
      <c r="CW766" s="302"/>
      <c r="CX766" s="302"/>
      <c r="CY766" s="302"/>
      <c r="CZ766" s="302"/>
      <c r="DA766" s="447"/>
      <c r="DB766" s="302"/>
      <c r="DC766" s="448" t="s">
        <v>222</v>
      </c>
      <c r="DG766" s="424"/>
      <c r="DH766" s="424"/>
      <c r="DI766" s="424"/>
      <c r="DJ766" s="424"/>
      <c r="DK766" s="424"/>
      <c r="DL766" s="424"/>
      <c r="DM766" s="424"/>
      <c r="DN766" s="424"/>
      <c r="DO766" s="424"/>
      <c r="DP766" s="424"/>
      <c r="DQ766" s="424"/>
      <c r="DR766" s="424"/>
      <c r="DS766" s="424"/>
      <c r="DT766" s="424"/>
      <c r="DU766" s="424"/>
      <c r="DV766" s="424"/>
      <c r="DW766" s="424"/>
      <c r="DX766" s="424"/>
      <c r="DY766" s="424"/>
      <c r="DZ766" s="424"/>
      <c r="EA766" s="424"/>
      <c r="EB766" s="424"/>
      <c r="EP766" s="333"/>
    </row>
    <row r="767" spans="80:146" x14ac:dyDescent="0.25">
      <c r="CB767" s="445"/>
      <c r="CC767" s="300"/>
      <c r="CD767" s="300"/>
      <c r="CE767" s="300"/>
      <c r="CF767" s="449"/>
      <c r="CG767" s="445"/>
      <c r="CO767" s="302"/>
      <c r="CT767" s="323" t="b">
        <f ca="1">OR(NOT(ASZTAB!$AJ$44),COUNTIF(CY767:CY776,"")&lt;=8-(DA767-1)*DA767/2)</f>
        <v>1</v>
      </c>
      <c r="CU767" s="471" t="s">
        <v>157</v>
      </c>
      <c r="CV767" s="471" t="s">
        <v>158</v>
      </c>
      <c r="CW767" s="472" t="s">
        <v>159</v>
      </c>
      <c r="CX767" s="472"/>
      <c r="CY767" s="473" t="s">
        <v>160</v>
      </c>
      <c r="CZ767" s="472" t="s">
        <v>135</v>
      </c>
      <c r="DA767" s="323">
        <f ca="1">COUNT(CQ620:CQ621)</f>
        <v>0</v>
      </c>
      <c r="DB767" s="302"/>
      <c r="DC767" s="364"/>
      <c r="DG767" s="329" t="s">
        <v>229</v>
      </c>
      <c r="DH767" s="365"/>
      <c r="DI767" s="329" t="s">
        <v>152</v>
      </c>
      <c r="DJ767" s="329" t="s">
        <v>153</v>
      </c>
      <c r="DK767" s="329" t="s">
        <v>154</v>
      </c>
      <c r="DL767" s="329" t="s">
        <v>155</v>
      </c>
      <c r="DM767" s="329" t="s">
        <v>125</v>
      </c>
      <c r="DN767" s="329" t="s">
        <v>226</v>
      </c>
      <c r="DO767" s="329" t="s">
        <v>126</v>
      </c>
      <c r="DP767" s="329" t="s">
        <v>227</v>
      </c>
      <c r="DQ767" s="424"/>
      <c r="DR767" s="424"/>
      <c r="DS767" s="424"/>
      <c r="DT767" s="329" t="s">
        <v>228</v>
      </c>
      <c r="DU767" s="329" t="s">
        <v>156</v>
      </c>
      <c r="DV767" s="329" t="s">
        <v>208</v>
      </c>
      <c r="DW767" s="424"/>
      <c r="DX767" s="424"/>
      <c r="DY767" s="424"/>
      <c r="DZ767" s="424"/>
      <c r="EA767" s="424"/>
      <c r="EB767" s="424"/>
      <c r="EP767" s="333"/>
    </row>
    <row r="768" spans="80:146" x14ac:dyDescent="0.25">
      <c r="CB768" s="445"/>
      <c r="CC768" s="300"/>
      <c r="CD768" s="300"/>
      <c r="CE768" s="300"/>
      <c r="CF768" s="449"/>
      <c r="CG768" s="445"/>
      <c r="CO768" s="302"/>
      <c r="CT768" s="477" t="str">
        <f ca="1">IF(CQ620="","",VLOOKUP(CQ620,xxx.rn2,10,FALSE))</f>
        <v/>
      </c>
      <c r="CU768" s="478" t="str">
        <f ca="1">IF(OR(CT768="",DA768="",CT768=DA768,COUNTIF(games.rn,CT768&amp;DA768)=0),"",CONCATENATE(CT768,DA768))</f>
        <v/>
      </c>
      <c r="CV768" s="360" t="str">
        <f ca="1">IF(CU768="","",CONCATENATE(VLOOKUP(CU768,games.r,9,FALSE),VLOOKUP(CU768,games.r,12,FALSE)))</f>
        <v/>
      </c>
      <c r="CW768" s="354" t="str">
        <f ca="1">IF(CU768="","",VLOOKUP(CU768,games.r,10,FALSE))</f>
        <v/>
      </c>
      <c r="CX768" s="354" t="str">
        <f ca="1">IF(CU768="","",VLOOKUP(CU768,games.r,13,FALSE))</f>
        <v/>
      </c>
      <c r="CY768" s="361" t="str">
        <f ca="1">IF(CU768="","",VLOOKUP(CU768,games.r,6,FALSE))</f>
        <v/>
      </c>
      <c r="CZ768" s="362" t="str">
        <f ca="1">IF(CU768="","",VLOOKUP(CU768,games.r,7,FALSE))</f>
        <v/>
      </c>
      <c r="DA768" s="479" t="str">
        <f ca="1">CT768</f>
        <v/>
      </c>
      <c r="DB768" s="302"/>
      <c r="DC768" s="364"/>
      <c r="DG768" s="366" t="str">
        <f ca="1">IF(OR(NOT(ASZTAB!$AJ$44),CT767),CT768,"")</f>
        <v/>
      </c>
      <c r="DH768" s="365"/>
      <c r="DI768" s="366">
        <f ca="1">IF(DG768="",0,COUNTIF(xxgy.rn,DG768))</f>
        <v>0</v>
      </c>
      <c r="DJ768" s="366">
        <f ca="1">IF(DG768="",0,COUNTIF(xxd.rn,DG768))</f>
        <v>0</v>
      </c>
      <c r="DK768" s="366">
        <f ca="1">IF(DG768="",0,1)*(SUMIF(xxo.rn,DG768,xxl.rn)+SUMIF(xxi.rn,DG768,xxk.rn))</f>
        <v>0</v>
      </c>
      <c r="DL768" s="366">
        <f ca="1">IF(DG768="",0,1)*(SUMIF(xxo.rn,DG768,xxk.rn)+SUMIF(xxi.rn,DG768,xxl.rn))</f>
        <v>0</v>
      </c>
      <c r="DM768" s="366">
        <f ca="1">DK768-DL768</f>
        <v>0</v>
      </c>
      <c r="DN768" s="366">
        <f ca="1">IF(DL768=0,0,DK768/DL768)</f>
        <v>0</v>
      </c>
      <c r="DO768" s="366">
        <f ca="1">ASZTAB!$AJ$48*DI768+IF(ASZTAB!$AJ$44,0,1)*DJ768</f>
        <v>0</v>
      </c>
      <c r="DP768" s="396">
        <f ca="1">DO768*1000000+IF(ASZTAB!$AJ$44,DN768,DM768)*1000*0</f>
        <v>0</v>
      </c>
      <c r="DQ768" s="424"/>
      <c r="DR768" s="424"/>
      <c r="DS768" s="424"/>
      <c r="DT768" s="366">
        <f ca="1">IF(OR(ISERR(DP768),ISNA(DP768)),0,DP768)</f>
        <v>0</v>
      </c>
      <c r="DU768" s="366">
        <f ca="1">IF(DT768=0,0,RANK(DT768,DT768:DT769,1))</f>
        <v>0</v>
      </c>
      <c r="DV768" s="366">
        <f ca="1">DU768*40000*IF(COUNTIF($EN$688:$EN$697,DG768)&gt;0,0,1)</f>
        <v>0</v>
      </c>
      <c r="DW768" s="424"/>
      <c r="DX768" s="424"/>
      <c r="DY768" s="424"/>
      <c r="DZ768" s="424"/>
      <c r="EA768" s="424"/>
      <c r="EB768" s="424"/>
      <c r="EP768" s="333"/>
    </row>
    <row r="769" spans="80:146" x14ac:dyDescent="0.25">
      <c r="CB769" s="445"/>
      <c r="CC769" s="300"/>
      <c r="CD769" s="300"/>
      <c r="CE769" s="300"/>
      <c r="CF769" s="449"/>
      <c r="CG769" s="445"/>
      <c r="CO769" s="302"/>
      <c r="CT769" s="477" t="str">
        <f ca="1">IF(CQ621="","",VLOOKUP(CQ621,xxx.rn2,10,FALSE))</f>
        <v/>
      </c>
      <c r="CU769" s="478" t="str">
        <f ca="1">IF(OR(CT769="",DA769="",CT769=DA769,COUNTIF(games.rn,CT769&amp;DA769)=0),"",CONCATENATE(CT769,DA769))</f>
        <v/>
      </c>
      <c r="CV769" s="360" t="str">
        <f ca="1">IF(CU769="","",CONCATENATE(VLOOKUP(CU769,games.r,9,FALSE),VLOOKUP(CU769,games.r,12,FALSE)))</f>
        <v/>
      </c>
      <c r="CW769" s="354" t="str">
        <f ca="1">IF(CU769="","",VLOOKUP(CU769,games.r,10,FALSE))</f>
        <v/>
      </c>
      <c r="CX769" s="354" t="str">
        <f ca="1">IF(CU769="","",VLOOKUP(CU769,games.r,13,FALSE))</f>
        <v/>
      </c>
      <c r="CY769" s="361" t="str">
        <f ca="1">IF(CU769="","",VLOOKUP(CU769,games.r,6,FALSE))</f>
        <v/>
      </c>
      <c r="CZ769" s="362" t="str">
        <f ca="1">IF(CU769="","",VLOOKUP(CU769,games.r,7,FALSE))</f>
        <v/>
      </c>
      <c r="DA769" s="379" t="str">
        <f ca="1">DA768</f>
        <v/>
      </c>
      <c r="DB769" s="302"/>
      <c r="DC769" s="364"/>
      <c r="DG769" s="366" t="str">
        <f ca="1">IF(OR(NOT(ASZTAB!$AJ$44),CT767),CT769,"")</f>
        <v/>
      </c>
      <c r="DH769" s="365"/>
      <c r="DI769" s="366">
        <f ca="1">IF(DG769="",0,COUNTIF(xxgy.rn,DG769))</f>
        <v>0</v>
      </c>
      <c r="DJ769" s="366">
        <f ca="1">IF(DG769="",0,COUNTIF(xxd.rn,DG769))</f>
        <v>0</v>
      </c>
      <c r="DK769" s="366">
        <f ca="1">IF(DG769="",0,1)*(SUMIF(xxo.rn,DG769,xxl.rn)+SUMIF(xxi.rn,DG769,xxk.rn))</f>
        <v>0</v>
      </c>
      <c r="DL769" s="366">
        <f ca="1">IF(DG769="",0,1)*(SUMIF(xxo.rn,DG769,xxk.rn)+SUMIF(xxi.rn,DG769,xxl.rn))</f>
        <v>0</v>
      </c>
      <c r="DM769" s="366">
        <f ca="1">DK769-DL769</f>
        <v>0</v>
      </c>
      <c r="DN769" s="366">
        <f ca="1">IF(DL769=0,0,DK769/DL769)</f>
        <v>0</v>
      </c>
      <c r="DO769" s="366">
        <f ca="1">ASZTAB!$AJ$48*DI769+IF(ASZTAB!$AJ$44,0,1)*DJ769</f>
        <v>0</v>
      </c>
      <c r="DP769" s="396">
        <f ca="1">DO769*1000000+IF(ASZTAB!$AJ$44,DN769,DM769)*1000*0</f>
        <v>0</v>
      </c>
      <c r="DQ769" s="424"/>
      <c r="DR769" s="424"/>
      <c r="DS769" s="424"/>
      <c r="DT769" s="366">
        <f ca="1">IF(OR(ISERR(DP769),ISNA(DP769)),0,DP769)</f>
        <v>0</v>
      </c>
      <c r="DU769" s="366">
        <f ca="1">IF(DT769=0,0,RANK(DT769,DT768:DT769,1))</f>
        <v>0</v>
      </c>
      <c r="DV769" s="366">
        <f ca="1">DU769*40000*IF(COUNTIF($EN$688:$EN$697,DG769)&gt;0,0,1)</f>
        <v>0</v>
      </c>
      <c r="DW769" s="424"/>
      <c r="DX769" s="424"/>
      <c r="DY769" s="424"/>
      <c r="DZ769" s="424"/>
      <c r="EA769" s="424"/>
      <c r="EB769" s="424"/>
      <c r="EP769" s="333"/>
    </row>
    <row r="770" spans="80:146" x14ac:dyDescent="0.25">
      <c r="CB770" s="445"/>
      <c r="CC770" s="300"/>
      <c r="CD770" s="300"/>
      <c r="CE770" s="300"/>
      <c r="CF770" s="449"/>
      <c r="CG770" s="445"/>
      <c r="CO770" s="302"/>
      <c r="CT770" s="522" t="str">
        <f>IF(NOT($AD$105),"",CT768)</f>
        <v/>
      </c>
      <c r="CU770" s="371" t="str">
        <f ca="1">IF(OR(CT770="",DA770="",CT770=DA770,ISNA(VLOOKUP(CONCATENATE(CT770,DA770),games.a,2,FALSE))),"",CONCATENATE(CT770,DA770))</f>
        <v/>
      </c>
      <c r="CV770" s="371" t="str">
        <f ca="1">IF(CU770="","",CONCATENATE(VLOOKUP(CU770,games.a,9,FALSE),VLOOKUP(CU770,games.a,12,FALSE)))</f>
        <v/>
      </c>
      <c r="CW770" s="369" t="str">
        <f ca="1">IF(CU770="","",VLOOKUP(CU770,games.a,10,FALSE))</f>
        <v/>
      </c>
      <c r="CX770" s="369" t="str">
        <f ca="1">IF(CU770="","",VLOOKUP(CU770,games.a,13,FALSE))</f>
        <v/>
      </c>
      <c r="CY770" s="423" t="str">
        <f ca="1">IF(CU770="","",VLOOKUP(CU770,games.a,6,FALSE))</f>
        <v/>
      </c>
      <c r="CZ770" s="409" t="str">
        <f ca="1">IF(CU770="","",VLOOKUP(CU770,games.a,7,FALSE))</f>
        <v/>
      </c>
      <c r="DA770" s="523" t="str">
        <f ca="1">DA769</f>
        <v/>
      </c>
      <c r="DB770" s="302"/>
      <c r="DC770" s="364"/>
      <c r="DG770" s="424"/>
      <c r="DH770" s="424"/>
      <c r="DI770" s="424"/>
      <c r="DJ770" s="424"/>
      <c r="DK770" s="424"/>
      <c r="DL770" s="424"/>
      <c r="DM770" s="424"/>
      <c r="DN770" s="424"/>
      <c r="DO770" s="424"/>
      <c r="DP770" s="424"/>
      <c r="DQ770" s="424"/>
      <c r="DR770" s="424"/>
      <c r="DS770" s="424"/>
      <c r="DT770" s="424"/>
      <c r="DU770" s="424"/>
      <c r="DV770" s="424"/>
      <c r="DW770" s="424"/>
      <c r="DX770" s="424"/>
      <c r="DY770" s="424"/>
      <c r="DZ770" s="424"/>
      <c r="EA770" s="424"/>
      <c r="EB770" s="424"/>
      <c r="EP770" s="333"/>
    </row>
    <row r="771" spans="80:146" x14ac:dyDescent="0.25">
      <c r="CB771" s="445"/>
      <c r="CC771" s="300"/>
      <c r="CD771" s="300"/>
      <c r="CE771" s="300"/>
      <c r="CF771" s="449"/>
      <c r="CG771" s="445"/>
      <c r="CT771" s="522" t="str">
        <f>IF(NOT($AD$105),"",CT769)</f>
        <v/>
      </c>
      <c r="CU771" s="371" t="str">
        <f ca="1">IF(OR(CT771="",DA771="",CT771=DA771,ISNA(VLOOKUP(CONCATENATE(CT771,DA771),games.a,2,FALSE))),"",CONCATENATE(CT771,DA771))</f>
        <v/>
      </c>
      <c r="CV771" s="371" t="str">
        <f ca="1">IF(CU771="","",CONCATENATE(VLOOKUP(CU771,games.a,9,FALSE),VLOOKUP(CU771,games.a,12,FALSE)))</f>
        <v/>
      </c>
      <c r="CW771" s="369" t="str">
        <f ca="1">IF(CU771="","",VLOOKUP(CU771,games.a,10,FALSE))</f>
        <v/>
      </c>
      <c r="CX771" s="369" t="str">
        <f ca="1">IF(CU771="","",VLOOKUP(CU771,games.a,13,FALSE))</f>
        <v/>
      </c>
      <c r="CY771" s="423" t="str">
        <f ca="1">IF(CU771="","",VLOOKUP(CU771,games.a,6,FALSE))</f>
        <v/>
      </c>
      <c r="CZ771" s="409" t="str">
        <f ca="1">IF(CU771="","",VLOOKUP(CU771,games.a,7,FALSE))</f>
        <v/>
      </c>
      <c r="DA771" s="523" t="str">
        <f ca="1">DA770</f>
        <v/>
      </c>
      <c r="DB771" s="302"/>
      <c r="DC771" s="364"/>
      <c r="DG771" s="424"/>
      <c r="DH771" s="424"/>
      <c r="DI771" s="424"/>
      <c r="DJ771" s="424"/>
      <c r="DK771" s="424"/>
      <c r="DL771" s="424"/>
      <c r="DM771" s="424"/>
      <c r="DN771" s="424"/>
      <c r="DO771" s="424"/>
      <c r="DP771" s="424"/>
      <c r="DQ771" s="424"/>
      <c r="DR771" s="424"/>
      <c r="DS771" s="424"/>
      <c r="DT771" s="424"/>
      <c r="DU771" s="424"/>
      <c r="DV771" s="424"/>
      <c r="DW771" s="424"/>
      <c r="DX771" s="424"/>
      <c r="DY771" s="424"/>
      <c r="DZ771" s="424"/>
      <c r="EA771" s="424"/>
      <c r="EB771" s="424"/>
      <c r="EP771" s="333"/>
    </row>
    <row r="772" spans="80:146" x14ac:dyDescent="0.25">
      <c r="CB772" s="445"/>
      <c r="CC772" s="300"/>
      <c r="CD772" s="300"/>
      <c r="CE772" s="300"/>
      <c r="CF772" s="449"/>
      <c r="CG772" s="445"/>
      <c r="CP772" s="302"/>
      <c r="CT772" s="301"/>
      <c r="CU772" s="471" t="s">
        <v>157</v>
      </c>
      <c r="CV772" s="471" t="s">
        <v>158</v>
      </c>
      <c r="CW772" s="472" t="s">
        <v>159</v>
      </c>
      <c r="CX772" s="472"/>
      <c r="CY772" s="473" t="s">
        <v>160</v>
      </c>
      <c r="CZ772" s="472" t="s">
        <v>135</v>
      </c>
      <c r="DA772" s="302"/>
      <c r="DB772" s="302"/>
      <c r="DC772" s="364"/>
      <c r="DG772" s="424"/>
      <c r="DH772" s="424"/>
      <c r="DI772" s="424"/>
      <c r="DJ772" s="424"/>
      <c r="DK772" s="424"/>
      <c r="DL772" s="424"/>
      <c r="DM772" s="424"/>
      <c r="DN772" s="424"/>
      <c r="DO772" s="424"/>
      <c r="DP772" s="424"/>
      <c r="DQ772" s="424"/>
      <c r="DR772" s="424"/>
      <c r="DS772" s="424"/>
      <c r="DT772" s="424"/>
      <c r="DU772" s="424"/>
      <c r="DV772" s="424"/>
      <c r="DW772" s="424"/>
      <c r="DX772" s="424"/>
      <c r="DY772" s="424"/>
      <c r="DZ772" s="424"/>
      <c r="EA772" s="424"/>
      <c r="EB772" s="424"/>
      <c r="EP772" s="333"/>
    </row>
    <row r="773" spans="80:146" x14ac:dyDescent="0.25">
      <c r="CB773" s="445"/>
      <c r="CC773" s="300"/>
      <c r="CD773" s="300"/>
      <c r="CE773" s="300"/>
      <c r="CF773" s="449"/>
      <c r="CG773" s="445"/>
      <c r="CP773" s="302"/>
      <c r="CT773" s="395" t="str">
        <f ca="1">CT768</f>
        <v/>
      </c>
      <c r="CU773" s="478" t="str">
        <f ca="1">IF(OR(CT773="",DA773="",CT773=DA773,COUNTIF(games.rn,CT773&amp;DA773)=0),"",CONCATENATE(CT773,DA773))</f>
        <v/>
      </c>
      <c r="CV773" s="360" t="str">
        <f ca="1">IF(CU773="","",CONCATENATE(VLOOKUP(CU773,games.r,9,FALSE),VLOOKUP(CU773,games.r,12,FALSE)))</f>
        <v/>
      </c>
      <c r="CW773" s="354" t="str">
        <f ca="1">IF(CU773="","",VLOOKUP(CU773,games.r,10,FALSE))</f>
        <v/>
      </c>
      <c r="CX773" s="354" t="str">
        <f ca="1">IF(CU773="","",VLOOKUP(CU773,games.r,13,FALSE))</f>
        <v/>
      </c>
      <c r="CY773" s="361" t="str">
        <f ca="1">IF(CU773="","",VLOOKUP(CU773,games.r,6,FALSE))</f>
        <v/>
      </c>
      <c r="CZ773" s="362" t="str">
        <f ca="1">IF(CU773="","",VLOOKUP(CU773,games.r,7,FALSE))</f>
        <v/>
      </c>
      <c r="DA773" s="479" t="str">
        <f ca="1">CT769</f>
        <v/>
      </c>
      <c r="DB773" s="302"/>
      <c r="DC773" s="364"/>
      <c r="DG773" s="424"/>
      <c r="DH773" s="424"/>
      <c r="DI773" s="424"/>
      <c r="DJ773" s="424"/>
      <c r="DK773" s="424"/>
      <c r="DL773" s="424"/>
      <c r="DM773" s="424"/>
      <c r="DN773" s="424"/>
      <c r="DO773" s="424"/>
      <c r="DP773" s="424"/>
      <c r="DQ773" s="424"/>
      <c r="DR773" s="424"/>
      <c r="DS773" s="424"/>
      <c r="DT773" s="424"/>
      <c r="DU773" s="424"/>
      <c r="DV773" s="424"/>
      <c r="DW773" s="424"/>
      <c r="DX773" s="424"/>
      <c r="DY773" s="424"/>
      <c r="DZ773" s="424"/>
      <c r="EA773" s="424"/>
      <c r="EB773" s="424"/>
      <c r="EP773" s="333"/>
    </row>
    <row r="774" spans="80:146" x14ac:dyDescent="0.25">
      <c r="CB774" s="445"/>
      <c r="CC774" s="300"/>
      <c r="CD774" s="300"/>
      <c r="CE774" s="300"/>
      <c r="CF774" s="449"/>
      <c r="CG774" s="445"/>
      <c r="CP774" s="302"/>
      <c r="CT774" s="395" t="str">
        <f ca="1">CT769</f>
        <v/>
      </c>
      <c r="CU774" s="478" t="str">
        <f ca="1">IF(OR(CT774="",DA774="",CT774=DA774,COUNTIF(games.rn,CT774&amp;DA774)=0),"",CONCATENATE(CT774,DA774))</f>
        <v/>
      </c>
      <c r="CV774" s="360" t="str">
        <f ca="1">IF(CU774="","",CONCATENATE(VLOOKUP(CU774,games.r,9,FALSE),VLOOKUP(CU774,games.r,12,FALSE)))</f>
        <v/>
      </c>
      <c r="CW774" s="354" t="str">
        <f ca="1">IF(CU774="","",VLOOKUP(CU774,games.r,10,FALSE))</f>
        <v/>
      </c>
      <c r="CX774" s="354" t="str">
        <f ca="1">IF(CU774="","",VLOOKUP(CU774,games.r,13,FALSE))</f>
        <v/>
      </c>
      <c r="CY774" s="361" t="str">
        <f ca="1">IF(CU774="","",VLOOKUP(CU774,games.r,6,FALSE))</f>
        <v/>
      </c>
      <c r="CZ774" s="362" t="str">
        <f ca="1">IF(CU774="","",VLOOKUP(CU774,games.r,7,FALSE))</f>
        <v/>
      </c>
      <c r="DA774" s="379" t="str">
        <f ca="1">DA773</f>
        <v/>
      </c>
      <c r="DB774" s="302"/>
      <c r="DC774" s="364"/>
      <c r="DG774" s="424"/>
      <c r="DH774" s="424"/>
      <c r="DI774" s="424"/>
      <c r="DJ774" s="424"/>
      <c r="DK774" s="424"/>
      <c r="DL774" s="424"/>
      <c r="DM774" s="424"/>
      <c r="DN774" s="424"/>
      <c r="DO774" s="424"/>
      <c r="DP774" s="424"/>
      <c r="DQ774" s="424"/>
      <c r="DR774" s="424"/>
      <c r="DS774" s="424"/>
      <c r="DT774" s="424"/>
      <c r="DU774" s="424"/>
      <c r="DV774" s="424"/>
      <c r="DW774" s="424"/>
      <c r="DX774" s="424"/>
      <c r="DY774" s="424"/>
      <c r="DZ774" s="424"/>
      <c r="EA774" s="424"/>
      <c r="EP774" s="333"/>
    </row>
    <row r="775" spans="80:146" x14ac:dyDescent="0.25">
      <c r="CB775" s="445"/>
      <c r="CC775" s="300"/>
      <c r="CD775" s="300"/>
      <c r="CE775" s="300"/>
      <c r="CF775" s="449"/>
      <c r="CG775" s="445"/>
      <c r="CP775" s="302"/>
      <c r="CT775" s="522" t="str">
        <f>CT770</f>
        <v/>
      </c>
      <c r="CU775" s="371" t="str">
        <f ca="1">IF(OR(CT775="",DA775="",CT775=DA775,ISNA(VLOOKUP(CONCATENATE(CT775,DA775),games.a,2,FALSE))),"",CONCATENATE(CT775,DA775))</f>
        <v/>
      </c>
      <c r="CV775" s="371" t="str">
        <f ca="1">IF(CU775="","",CONCATENATE(VLOOKUP(CU775,games.a,9,FALSE),VLOOKUP(CU775,games.a,12,FALSE)))</f>
        <v/>
      </c>
      <c r="CW775" s="369" t="str">
        <f ca="1">IF(CU775="","",VLOOKUP(CU775,games.a,10,FALSE))</f>
        <v/>
      </c>
      <c r="CX775" s="369" t="str">
        <f ca="1">IF(CU775="","",VLOOKUP(CU775,games.a,13,FALSE))</f>
        <v/>
      </c>
      <c r="CY775" s="423" t="str">
        <f ca="1">IF(CU775="","",VLOOKUP(CU775,games.a,6,FALSE))</f>
        <v/>
      </c>
      <c r="CZ775" s="409" t="str">
        <f ca="1">IF(CU775="","",VLOOKUP(CU775,games.a,7,FALSE))</f>
        <v/>
      </c>
      <c r="DA775" s="523" t="str">
        <f ca="1">DA774</f>
        <v/>
      </c>
      <c r="DB775" s="302"/>
      <c r="DC775" s="364"/>
      <c r="DG775" s="424"/>
      <c r="DH775" s="424"/>
      <c r="DI775" s="424"/>
      <c r="DJ775" s="424"/>
      <c r="DK775" s="424"/>
      <c r="DL775" s="424"/>
      <c r="DM775" s="424"/>
      <c r="DN775" s="424"/>
      <c r="DO775" s="424"/>
      <c r="DP775" s="424"/>
      <c r="DQ775" s="424"/>
      <c r="DR775" s="424"/>
      <c r="DS775" s="424"/>
      <c r="DT775" s="424"/>
      <c r="DU775" s="424"/>
      <c r="DV775" s="424"/>
      <c r="DW775" s="424"/>
      <c r="DX775" s="424"/>
      <c r="DY775" s="424"/>
      <c r="DZ775" s="424"/>
      <c r="EA775" s="424"/>
      <c r="EP775" s="333"/>
    </row>
    <row r="776" spans="80:146" x14ac:dyDescent="0.25">
      <c r="CB776" s="445"/>
      <c r="CC776" s="300"/>
      <c r="CD776" s="300"/>
      <c r="CE776" s="300"/>
      <c r="CF776" s="449"/>
      <c r="CG776" s="445"/>
      <c r="CP776" s="302"/>
      <c r="CT776" s="522" t="str">
        <f>CT771</f>
        <v/>
      </c>
      <c r="CU776" s="371" t="str">
        <f ca="1">IF(OR(CT776="",DA776="",CT776=DA776,ISNA(VLOOKUP(CONCATENATE(CT776,DA776),games.a,2,FALSE))),"",CONCATENATE(CT776,DA776))</f>
        <v/>
      </c>
      <c r="CV776" s="371" t="str">
        <f ca="1">IF(CU776="","",CONCATENATE(VLOOKUP(CU776,games.a,9,FALSE),VLOOKUP(CU776,games.a,12,FALSE)))</f>
        <v/>
      </c>
      <c r="CW776" s="369" t="str">
        <f ca="1">IF(CU776="","",VLOOKUP(CU776,games.a,10,FALSE))</f>
        <v/>
      </c>
      <c r="CX776" s="369" t="str">
        <f ca="1">IF(CU776="","",VLOOKUP(CU776,games.a,13,FALSE))</f>
        <v/>
      </c>
      <c r="CY776" s="423" t="str">
        <f ca="1">IF(CU776="","",VLOOKUP(CU776,games.a,6,FALSE))</f>
        <v/>
      </c>
      <c r="CZ776" s="409" t="str">
        <f ca="1">IF(CU776="","",VLOOKUP(CU776,games.a,7,FALSE))</f>
        <v/>
      </c>
      <c r="DA776" s="523" t="str">
        <f ca="1">DA775</f>
        <v/>
      </c>
      <c r="DB776" s="302"/>
      <c r="DC776" s="364"/>
      <c r="DG776" s="424"/>
      <c r="DH776" s="424"/>
      <c r="DI776" s="424"/>
      <c r="DJ776" s="424"/>
      <c r="DK776" s="424"/>
      <c r="DL776" s="424"/>
      <c r="DM776" s="424"/>
      <c r="DN776" s="424"/>
      <c r="DO776" s="424"/>
      <c r="DP776" s="424"/>
      <c r="DQ776" s="424"/>
      <c r="DR776" s="424"/>
      <c r="DS776" s="424"/>
      <c r="DT776" s="424"/>
      <c r="DU776" s="424"/>
      <c r="DV776" s="424"/>
      <c r="DW776" s="424"/>
      <c r="DX776" s="424"/>
      <c r="DY776" s="424"/>
      <c r="DZ776" s="424"/>
      <c r="EA776" s="424"/>
      <c r="EP776" s="333"/>
    </row>
    <row r="777" spans="80:146" x14ac:dyDescent="0.25">
      <c r="CB777" s="445"/>
      <c r="CC777" s="300"/>
      <c r="CD777" s="300"/>
      <c r="CE777" s="300"/>
      <c r="CF777" s="449"/>
      <c r="CG777" s="445"/>
      <c r="CP777" s="302"/>
      <c r="CT777" s="301"/>
      <c r="CU777" s="302"/>
      <c r="CV777" s="302"/>
      <c r="CW777" s="302"/>
      <c r="CX777" s="302"/>
      <c r="CY777" s="302"/>
      <c r="CZ777" s="302"/>
      <c r="DA777" s="302"/>
      <c r="DB777" s="302"/>
      <c r="DC777" s="446" t="s">
        <v>222</v>
      </c>
      <c r="DG777" s="424"/>
      <c r="DH777" s="424"/>
      <c r="DI777" s="424"/>
      <c r="DJ777" s="424"/>
      <c r="DK777" s="424"/>
      <c r="DL777" s="424"/>
      <c r="DM777" s="424"/>
      <c r="DN777" s="424"/>
      <c r="DO777" s="424"/>
      <c r="DP777" s="424"/>
      <c r="DQ777" s="424"/>
      <c r="DR777" s="424"/>
      <c r="DS777" s="424"/>
      <c r="DT777" s="424"/>
      <c r="DU777" s="424"/>
      <c r="DV777" s="424"/>
      <c r="DW777" s="424"/>
      <c r="DX777" s="424"/>
      <c r="DY777" s="424"/>
      <c r="DZ777" s="424"/>
      <c r="EA777" s="424"/>
      <c r="EP777" s="333"/>
    </row>
    <row r="778" spans="80:146" x14ac:dyDescent="0.25">
      <c r="CB778" s="445"/>
      <c r="CC778" s="300"/>
      <c r="CD778" s="300"/>
      <c r="CE778" s="300"/>
      <c r="CF778" s="449"/>
      <c r="CG778" s="445"/>
      <c r="CP778" s="302"/>
      <c r="CT778" s="301"/>
      <c r="CU778" s="302"/>
      <c r="CV778" s="302"/>
      <c r="CW778" s="302"/>
      <c r="CX778" s="302"/>
      <c r="CY778" s="302"/>
      <c r="CZ778" s="302"/>
      <c r="DA778" s="447"/>
      <c r="DB778" s="302"/>
      <c r="DC778" s="450" t="s">
        <v>370</v>
      </c>
      <c r="DD778" s="302"/>
      <c r="DF778" s="424"/>
      <c r="DG778" s="424"/>
      <c r="DH778" s="424"/>
      <c r="DI778" s="424"/>
      <c r="DJ778" s="424"/>
      <c r="DK778" s="424"/>
      <c r="DL778" s="424"/>
      <c r="DM778" s="424"/>
      <c r="DN778" s="424"/>
      <c r="DO778" s="424"/>
      <c r="DP778" s="424"/>
      <c r="DQ778" s="424"/>
      <c r="DR778" s="424"/>
      <c r="DS778" s="424"/>
      <c r="DT778" s="424"/>
      <c r="DU778" s="424"/>
      <c r="DV778" s="424"/>
      <c r="DW778" s="424"/>
      <c r="DX778" s="424"/>
      <c r="DY778" s="424"/>
      <c r="DZ778" s="424"/>
      <c r="EA778" s="424"/>
      <c r="EB778" s="424"/>
      <c r="EC778" s="424"/>
      <c r="ED778" s="424"/>
      <c r="EE778" s="424"/>
      <c r="EF778" s="424"/>
      <c r="EG778" s="424"/>
      <c r="EH778" s="424"/>
      <c r="EI778" s="424"/>
      <c r="EJ778" s="424"/>
      <c r="EK778" s="424"/>
      <c r="EL778" s="424"/>
      <c r="EM778" s="424"/>
      <c r="EN778" s="424"/>
      <c r="EO778" s="425"/>
      <c r="EP778" s="333"/>
    </row>
    <row r="779" spans="80:146" x14ac:dyDescent="0.25">
      <c r="CT779" s="323" t="b">
        <f ca="1">OR(NOT(ASZTAB!$AJ$44),COUNTIF(CY779:CY833,"")&lt;=50-(DA779-1)*DA779/2)</f>
        <v>1</v>
      </c>
      <c r="CU779" s="471" t="s">
        <v>157</v>
      </c>
      <c r="CV779" s="471" t="s">
        <v>158</v>
      </c>
      <c r="CW779" s="472" t="s">
        <v>159</v>
      </c>
      <c r="CX779" s="472"/>
      <c r="CY779" s="473" t="s">
        <v>160</v>
      </c>
      <c r="CZ779" s="472" t="s">
        <v>135</v>
      </c>
      <c r="DA779" s="323">
        <f>COUNT(CK644:CK648)</f>
        <v>0</v>
      </c>
      <c r="DB779" s="302"/>
      <c r="DC779" s="364"/>
      <c r="DD779" s="302"/>
      <c r="DF779" s="424"/>
      <c r="DG779" s="329" t="s">
        <v>223</v>
      </c>
      <c r="DH779" s="329" t="s">
        <v>224</v>
      </c>
      <c r="DI779" s="329" t="s">
        <v>152</v>
      </c>
      <c r="DK779" s="329" t="s">
        <v>154</v>
      </c>
      <c r="DL779" s="329" t="s">
        <v>155</v>
      </c>
      <c r="DN779" s="329" t="s">
        <v>226</v>
      </c>
      <c r="DP779" s="329" t="s">
        <v>227</v>
      </c>
      <c r="DT779" s="329" t="s">
        <v>228</v>
      </c>
      <c r="DU779" s="329" t="s">
        <v>156</v>
      </c>
      <c r="DV779" s="329" t="s">
        <v>208</v>
      </c>
      <c r="DX779" s="329" t="s">
        <v>212</v>
      </c>
      <c r="DY779" s="330" t="s">
        <v>227</v>
      </c>
      <c r="DZ779" s="329" t="s">
        <v>225</v>
      </c>
      <c r="EA779" s="328"/>
      <c r="EB779" s="328"/>
      <c r="EC779" s="328"/>
      <c r="ED779" s="331" t="str">
        <f ca="1">IF(EC780=0,"xxx",VLOOKUP(EC780,DX780:EA784,IF(ASZTAB!$AJ$54,2,3),FALSE))</f>
        <v>xxx</v>
      </c>
      <c r="EE779" s="328"/>
      <c r="EF779" s="328"/>
      <c r="EG779" s="331" t="str">
        <f ca="1">IF(EC781=0,"xxx",VLOOKUP(EC781,DX780:EA784,IF(ASZTAB!$AJ$54,2,3),FALSE))</f>
        <v>xxx</v>
      </c>
      <c r="EH779" s="328"/>
      <c r="EI779" s="328"/>
      <c r="EM779" s="424"/>
      <c r="EN779" s="471"/>
      <c r="EO779" s="425"/>
    </row>
    <row r="780" spans="80:146" x14ac:dyDescent="0.25">
      <c r="CT780" s="477" t="str">
        <f>IF(CK644="","",VLOOKUP(CK644,xxx.rn3,4,FALSE))</f>
        <v/>
      </c>
      <c r="CU780" s="478" t="str">
        <f ca="1">IF(OR(CT780="",DA780="",CT780=DA780,COUNTIF(games.rn,CT780&amp;DA780)=0),"",CONCATENATE(CT780,DA780))</f>
        <v/>
      </c>
      <c r="CV780" s="360" t="str">
        <f ca="1">IF(CU780="","",CONCATENATE(VLOOKUP(CU780,games.r,9,FALSE),VLOOKUP(CU780,games.r,12,FALSE)))</f>
        <v/>
      </c>
      <c r="CW780" s="354" t="str">
        <f ca="1">IF(CU780="","",VLOOKUP(CU780,games.r,10,FALSE))</f>
        <v/>
      </c>
      <c r="CX780" s="354" t="str">
        <f ca="1">IF(CU780="","",VLOOKUP(CU780,games.r,13,FALSE))</f>
        <v/>
      </c>
      <c r="CY780" s="361" t="str">
        <f ca="1">IF(CU780="","",VLOOKUP(CU780,games.r,6,FALSE))</f>
        <v/>
      </c>
      <c r="CZ780" s="362" t="str">
        <f ca="1">IF(CU780="","",VLOOKUP(CU780,games.r,7,FALSE))</f>
        <v/>
      </c>
      <c r="DA780" s="479" t="str">
        <f>CT780</f>
        <v/>
      </c>
      <c r="DB780" s="302"/>
      <c r="DC780" s="364"/>
      <c r="DF780" s="424"/>
      <c r="DG780" s="366" t="str">
        <f ca="1">IF(AND(ASZTAB!$AJ$44,CT779,DA779&lt;&gt;2),CT780,"")</f>
        <v/>
      </c>
      <c r="DH780" s="366">
        <f ca="1">IF(DG780="",-1,COUNTIF(xxgy.rn,DG780))</f>
        <v>-1</v>
      </c>
      <c r="DI780" s="366">
        <f ca="1">IF(DG780="",0,COUNTIF(yygy.rn,DG780))</f>
        <v>0</v>
      </c>
      <c r="DK780" s="366">
        <f ca="1">IF(DG780="",0,1)*(SUMIF(yyo.rn,DG780,yyl.rn)+SUMIF(yyi.rn,DG780,yyk.rn))</f>
        <v>0</v>
      </c>
      <c r="DL780" s="366">
        <f ca="1">IF(DG780="",0,1)*(SUMIF(yyo.rn,DG780,yyk.rn)+SUMIF(yyi.rn,DG780,yyl.rn))</f>
        <v>0</v>
      </c>
      <c r="DN780" s="366">
        <f ca="1">IF(DL780=0,0,DK780/DL780)</f>
        <v>0</v>
      </c>
      <c r="DP780" s="366">
        <f ca="1">DH780*1000000+DI780*1000+DN780</f>
        <v>-1000000</v>
      </c>
      <c r="DT780" s="366">
        <f ca="1">IF(OR(ISERR(DP780),ISNA(DP780),DH780&lt;0),0,DP780)</f>
        <v>0</v>
      </c>
      <c r="DU780" s="366">
        <f ca="1">IF(DT780=0,0,RANK(DT780,DT780:DT784,1))</f>
        <v>0</v>
      </c>
      <c r="DV780" s="366">
        <f ca="1">DU780*40000*IF(COUNTIF($EN$780:$EN$789,DG780)&gt;0,0,1)</f>
        <v>0</v>
      </c>
      <c r="DX780" s="367">
        <f ca="1">IF(ASZTAB!$AJ$54,COUNTIF(DP786:DP790,DY780)*IF(DY780=0,0,1),COUNTIF(DH780:DH784,DZ780)*IF(DZ780&lt;0,0,1))+EA780/1000</f>
        <v>1E-3</v>
      </c>
      <c r="DY780" s="367">
        <f ca="1">LARGE(DP786:DP790,EA780)</f>
        <v>0</v>
      </c>
      <c r="DZ780" s="369">
        <f ca="1">LARGE(DH780:DH784,EA780)</f>
        <v>-1</v>
      </c>
      <c r="EA780" s="369">
        <v>1</v>
      </c>
      <c r="EB780" s="365"/>
      <c r="EC780" s="370">
        <f ca="1">IF(LARGE(DX780:DX784,EA780)&lt;2,0,LARGE(DX780:DX784,EA780))</f>
        <v>0</v>
      </c>
      <c r="ED780" s="371" t="str">
        <f ca="1">IF(DH780=ED779,DG780,IF(DP786=ED779,DG786,""))</f>
        <v/>
      </c>
      <c r="EE780" s="369" t="str">
        <f ca="1">IF(ED780="","",EA780)</f>
        <v/>
      </c>
      <c r="EF780" s="372" t="str">
        <f ca="1">IF(ISERR(LARGE(EE780:EE784,EA780)),"",LARGE(EE780:EE784,EA780))</f>
        <v/>
      </c>
      <c r="EG780" s="371" t="str">
        <f ca="1">IF(DH780=EG779,DG780,IF(DP786=EG779,DG786,""))</f>
        <v/>
      </c>
      <c r="EH780" s="369" t="str">
        <f ca="1">IF(EG780="","",EA780)</f>
        <v/>
      </c>
      <c r="EI780" s="372" t="str">
        <f ca="1">IF(ISERR(LARGE(EH780:EH784,EA780)),"",LARGE(EH780:EH784,EA780))</f>
        <v/>
      </c>
      <c r="EM780" s="424"/>
      <c r="EN780" s="366"/>
      <c r="EO780" s="425"/>
    </row>
    <row r="781" spans="80:146" x14ac:dyDescent="0.25">
      <c r="CT781" s="477" t="str">
        <f>IF(CK645="","",VLOOKUP(CK645,xxx.rn3,4,FALSE))</f>
        <v/>
      </c>
      <c r="CU781" s="478" t="str">
        <f ca="1">IF(OR(CT781="",DA781="",CT781=DA781,COUNTIF(games.rn,CT781&amp;DA781)=0),"",CONCATENATE(CT781,DA781))</f>
        <v/>
      </c>
      <c r="CV781" s="360" t="str">
        <f ca="1">IF(CU781="","",CONCATENATE(VLOOKUP(CU781,games.r,9,FALSE),VLOOKUP(CU781,games.r,12,FALSE)))</f>
        <v/>
      </c>
      <c r="CW781" s="354" t="str">
        <f ca="1">IF(CU781="","",VLOOKUP(CU781,games.r,10,FALSE))</f>
        <v/>
      </c>
      <c r="CX781" s="354" t="str">
        <f ca="1">IF(CU781="","",VLOOKUP(CU781,games.r,13,FALSE))</f>
        <v/>
      </c>
      <c r="CY781" s="361" t="str">
        <f ca="1">IF(CU781="","",VLOOKUP(CU781,games.r,6,FALSE))</f>
        <v/>
      </c>
      <c r="CZ781" s="362" t="str">
        <f ca="1">IF(CU781="","",VLOOKUP(CU781,games.r,7,FALSE))</f>
        <v/>
      </c>
      <c r="DA781" s="379" t="str">
        <f t="shared" ref="DA781:DA789" si="447">DA780</f>
        <v/>
      </c>
      <c r="DB781" s="302"/>
      <c r="DC781" s="364"/>
      <c r="DD781" s="445"/>
      <c r="DF781" s="424"/>
      <c r="DG781" s="366" t="str">
        <f ca="1">IF(AND(ASZTAB!$AJ$44,CT779,DA779&lt;&gt;2),CT781,"")</f>
        <v/>
      </c>
      <c r="DH781" s="366">
        <f ca="1">IF(DG781="",-1,COUNTIF(xxgy.rn,DG781))</f>
        <v>-1</v>
      </c>
      <c r="DI781" s="366">
        <f ca="1">IF(DG781="",0,COUNTIF(yygy.rn,DG781))</f>
        <v>0</v>
      </c>
      <c r="DK781" s="366">
        <f ca="1">IF(DG781="",0,1)*(SUMIF(yyo.rn,DG781,yyl.rn)+SUMIF(yyi.rn,DG781,yyk.rn))</f>
        <v>0</v>
      </c>
      <c r="DL781" s="366">
        <f ca="1">IF(DG781="",0,1)*(SUMIF(yyo.rn,DG781,yyk.rn)+SUMIF(yyi.rn,DG781,yyl.rn))</f>
        <v>0</v>
      </c>
      <c r="DN781" s="366">
        <f ca="1">IF(DL781=0,0,DK781/DL781)</f>
        <v>0</v>
      </c>
      <c r="DP781" s="366">
        <f ca="1">DH781*1000000+DI781*1000+DN781</f>
        <v>-1000000</v>
      </c>
      <c r="DT781" s="366">
        <f ca="1">IF(OR(ISERR(DP781),ISNA(DP781),DH781&lt;0),0,DP781)</f>
        <v>0</v>
      </c>
      <c r="DU781" s="366">
        <f ca="1">IF(DT781=0,0,RANK(DT781,DT780:DT784,1))</f>
        <v>0</v>
      </c>
      <c r="DV781" s="366">
        <f ca="1">DU781*40000*IF(COUNTIF($EN$780:$EN$789,DG781)&gt;0,0,1)</f>
        <v>0</v>
      </c>
      <c r="DX781" s="367">
        <f ca="1">IF(ASZTAB!$AJ$54,COUNTIF(DP786:DP790,DY780)*IF(OR(DY781=0,DY781=DY780),0,1),COUNTIF(DH780:DH784,DZ781)*IF(OR(DZ781=DZ780,DZ781&lt;0),0,1))+EA781/1000</f>
        <v>2E-3</v>
      </c>
      <c r="DY781" s="367">
        <f ca="1">LARGE(DP786:DP790,EA781)</f>
        <v>0</v>
      </c>
      <c r="DZ781" s="369">
        <f ca="1">LARGE(DH780:DH784,EA781)</f>
        <v>-1</v>
      </c>
      <c r="EA781" s="369">
        <v>2</v>
      </c>
      <c r="EB781" s="365"/>
      <c r="EC781" s="370">
        <f ca="1">IF(LARGE(DX780:DX784,EA781)&lt;2,0,LARGE(DX780:DX784,EA781))</f>
        <v>0</v>
      </c>
      <c r="ED781" s="371" t="str">
        <f ca="1">IF(DH781=ED779,DG781,IF(DP787=ED779,DG787,""))</f>
        <v/>
      </c>
      <c r="EE781" s="369" t="str">
        <f ca="1">IF(ED781="","",EA781)</f>
        <v/>
      </c>
      <c r="EF781" s="372" t="str">
        <f ca="1">IF(ISERR(LARGE(EE780:EE784,EA781)),"",LARGE(EE780:EE784,EA781))</f>
        <v/>
      </c>
      <c r="EG781" s="371" t="str">
        <f ca="1">IF(DH781=EG779,DG781,IF(DP787=EG779,DG787,""))</f>
        <v/>
      </c>
      <c r="EH781" s="369" t="str">
        <f ca="1">IF(EG781="","",EA781)</f>
        <v/>
      </c>
      <c r="EI781" s="372" t="str">
        <f ca="1">IF(ISERR(LARGE(EH780:EH784,EA781)),"",LARGE(EH780:EH784,EA781))</f>
        <v/>
      </c>
      <c r="EM781" s="424"/>
      <c r="EN781" s="366"/>
      <c r="EO781" s="425"/>
    </row>
    <row r="782" spans="80:146" x14ac:dyDescent="0.25">
      <c r="CT782" s="477" t="str">
        <f>IF(CK646="","",VLOOKUP(CK646,xxx.rn3,4,FALSE))</f>
        <v/>
      </c>
      <c r="CU782" s="478" t="str">
        <f ca="1">IF(OR(CT782="",DA782="",CT782=DA782,COUNTIF(games.rn,CT782&amp;DA782)=0),"",CONCATENATE(CT782,DA782))</f>
        <v/>
      </c>
      <c r="CV782" s="360" t="str">
        <f ca="1">IF(CU782="","",CONCATENATE(VLOOKUP(CU782,games.r,9,FALSE),VLOOKUP(CU782,games.r,12,FALSE)))</f>
        <v/>
      </c>
      <c r="CW782" s="354" t="str">
        <f ca="1">IF(CU782="","",VLOOKUP(CU782,games.r,10,FALSE))</f>
        <v/>
      </c>
      <c r="CX782" s="354" t="str">
        <f ca="1">IF(CU782="","",VLOOKUP(CU782,games.r,13,FALSE))</f>
        <v/>
      </c>
      <c r="CY782" s="361" t="str">
        <f ca="1">IF(CU782="","",VLOOKUP(CU782,games.r,6,FALSE))</f>
        <v/>
      </c>
      <c r="CZ782" s="362" t="str">
        <f ca="1">IF(CU782="","",VLOOKUP(CU782,games.r,7,FALSE))</f>
        <v/>
      </c>
      <c r="DA782" s="379" t="str">
        <f t="shared" si="447"/>
        <v/>
      </c>
      <c r="DB782" s="302"/>
      <c r="DC782" s="364"/>
      <c r="DD782" s="445"/>
      <c r="DF782" s="424"/>
      <c r="DG782" s="366" t="str">
        <f ca="1">IF(AND(ASZTAB!$AJ$44,CT779,DA779&lt;&gt;2),CT782,"")</f>
        <v/>
      </c>
      <c r="DH782" s="366">
        <f ca="1">IF(DG782="",-1,COUNTIF(xxgy.rn,DG782))</f>
        <v>-1</v>
      </c>
      <c r="DI782" s="366">
        <f ca="1">IF(DG782="",0,COUNTIF(yygy.rn,DG782))</f>
        <v>0</v>
      </c>
      <c r="DK782" s="366">
        <f ca="1">IF(DG782="",0,1)*(SUMIF(yyo.rn,DG782,yyl.rn)+SUMIF(yyi.rn,DG782,yyk.rn))</f>
        <v>0</v>
      </c>
      <c r="DL782" s="366">
        <f ca="1">IF(DG782="",0,1)*(SUMIF(yyo.rn,DG782,yyk.rn)+SUMIF(yyi.rn,DG782,yyl.rn))</f>
        <v>0</v>
      </c>
      <c r="DN782" s="366">
        <f ca="1">IF(DL782=0,0,DK782/DL782)</f>
        <v>0</v>
      </c>
      <c r="DP782" s="366">
        <f ca="1">DH782*1000000+DI782*1000+DN782</f>
        <v>-1000000</v>
      </c>
      <c r="DT782" s="366">
        <f ca="1">IF(OR(ISERR(DP782),ISNA(DP782),DH782&lt;0),0,DP782)</f>
        <v>0</v>
      </c>
      <c r="DU782" s="366">
        <f ca="1">IF(DT782=0,0,RANK(DT782,DT780:DT784,1))</f>
        <v>0</v>
      </c>
      <c r="DV782" s="366">
        <f ca="1">DU782*40000*IF(COUNTIF($EN$780:$EN$789,DG782)&gt;0,0,1)</f>
        <v>0</v>
      </c>
      <c r="DW782" s="365"/>
      <c r="DX782" s="367">
        <f ca="1">IF(ASZTAB!$AJ$54,COUNTIF(DP786:DP790,DY781)*IF(OR(DY782=0,DY782=DY781),0,1),COUNTIF(DH780:DH784,DZ782)*IF(OR(DZ782=DZ781,DZ782&lt;0),0,1))+EA782/1000</f>
        <v>3.0000000000000001E-3</v>
      </c>
      <c r="DY782" s="367">
        <f ca="1">LARGE(DP786:DP790,EA782)</f>
        <v>0</v>
      </c>
      <c r="DZ782" s="369">
        <f ca="1">LARGE(DH780:DH784,EA782)</f>
        <v>-1</v>
      </c>
      <c r="EA782" s="369">
        <v>3</v>
      </c>
      <c r="EB782" s="365"/>
      <c r="EC782" s="365"/>
      <c r="ED782" s="371" t="str">
        <f ca="1">IF(DH782=ED779,DG782,IF(DP788=ED779,DG788,""))</f>
        <v/>
      </c>
      <c r="EE782" s="369" t="str">
        <f ca="1">IF(ED782="","",EA782)</f>
        <v/>
      </c>
      <c r="EF782" s="388" t="str">
        <f ca="1">IF(ISERR(LARGE(EE780:EE784,EA782)),"",LARGE(EE780:EE784,EA782))</f>
        <v/>
      </c>
      <c r="EG782" s="371" t="str">
        <f ca="1">IF(DH782=EG779,DG782,IF(DP788=EG779,DG788,""))</f>
        <v/>
      </c>
      <c r="EH782" s="369" t="str">
        <f ca="1">IF(EG782="","",EA782)</f>
        <v/>
      </c>
      <c r="EI782" s="381"/>
      <c r="EM782" s="424"/>
      <c r="EN782" s="366"/>
      <c r="EO782" s="425"/>
    </row>
    <row r="783" spans="80:146" x14ac:dyDescent="0.25">
      <c r="CT783" s="477" t="str">
        <f>IF(CK647="","",VLOOKUP(CK647,xxx.rn3,4,FALSE))</f>
        <v/>
      </c>
      <c r="CU783" s="478" t="str">
        <f ca="1">IF(OR(CT783="",DA783="",CT783=DA783,COUNTIF(games.rn,CT783&amp;DA783)=0),"",CONCATENATE(CT783,DA783))</f>
        <v/>
      </c>
      <c r="CV783" s="360" t="str">
        <f ca="1">IF(CU783="","",CONCATENATE(VLOOKUP(CU783,games.r,9,FALSE),VLOOKUP(CU783,games.r,12,FALSE)))</f>
        <v/>
      </c>
      <c r="CW783" s="354" t="str">
        <f ca="1">IF(CU783="","",VLOOKUP(CU783,games.r,10,FALSE))</f>
        <v/>
      </c>
      <c r="CX783" s="354" t="str">
        <f ca="1">IF(CU783="","",VLOOKUP(CU783,games.r,13,FALSE))</f>
        <v/>
      </c>
      <c r="CY783" s="361" t="str">
        <f ca="1">IF(CU783="","",VLOOKUP(CU783,games.r,6,FALSE))</f>
        <v/>
      </c>
      <c r="CZ783" s="362" t="str">
        <f ca="1">IF(CU783="","",VLOOKUP(CU783,games.r,7,FALSE))</f>
        <v/>
      </c>
      <c r="DA783" s="379" t="str">
        <f t="shared" si="447"/>
        <v/>
      </c>
      <c r="DB783" s="302"/>
      <c r="DC783" s="364"/>
      <c r="DD783" s="445"/>
      <c r="DF783" s="424"/>
      <c r="DG783" s="366" t="str">
        <f ca="1">IF(AND(ASZTAB!$AJ$44,CT779,DA779&lt;&gt;2),CT783,"")</f>
        <v/>
      </c>
      <c r="DH783" s="366">
        <f ca="1">IF(DG783="",-1,COUNTIF(xxgy.rn,DG783))</f>
        <v>-1</v>
      </c>
      <c r="DI783" s="366">
        <f ca="1">IF(DG783="",0,COUNTIF(yygy.rn,DG783))</f>
        <v>0</v>
      </c>
      <c r="DK783" s="366">
        <f ca="1">IF(DG783="",0,1)*(SUMIF(yyo.rn,DG783,yyl.rn)+SUMIF(yyi.rn,DG783,yyk.rn))</f>
        <v>0</v>
      </c>
      <c r="DL783" s="366">
        <f ca="1">IF(DG783="",0,1)*(SUMIF(yyo.rn,DG783,yyk.rn)+SUMIF(yyi.rn,DG783,yyl.rn))</f>
        <v>0</v>
      </c>
      <c r="DN783" s="366">
        <f ca="1">IF(DL783=0,0,DK783/DL783)</f>
        <v>0</v>
      </c>
      <c r="DP783" s="366">
        <f ca="1">DH783*1000000+DI783*1000+DN783</f>
        <v>-1000000</v>
      </c>
      <c r="DT783" s="366">
        <f ca="1">IF(OR(ISERR(DP783),ISNA(DP783),DH783&lt;0),0,DP783)</f>
        <v>0</v>
      </c>
      <c r="DU783" s="366">
        <f ca="1">IF(DT783=0,0,RANK(DT783,DT780:DT784,1))</f>
        <v>0</v>
      </c>
      <c r="DV783" s="366">
        <f ca="1">DU783*40000*IF(COUNTIF($EN$780:$EN$789,DG783)&gt;0,0,1)</f>
        <v>0</v>
      </c>
      <c r="DW783" s="365"/>
      <c r="DX783" s="367">
        <f ca="1">IF(ASZTAB!$AJ$54,COUNTIF(DP786:DP790,DY782)*IF(OR(DY783=0,DY783=DY782),0,1),COUNTIF(DH780:DH784,DZ783)*IF(OR(DZ783=DZ782,DZ783&lt;0),0,1))+EA783/1000</f>
        <v>4.0000000000000001E-3</v>
      </c>
      <c r="DY783" s="367">
        <f ca="1">LARGE(DP786:DP790,EA783)</f>
        <v>0</v>
      </c>
      <c r="DZ783" s="369">
        <f ca="1">LARGE(DH780:DH784,EA783)</f>
        <v>-1</v>
      </c>
      <c r="EA783" s="369">
        <v>4</v>
      </c>
      <c r="EB783" s="365"/>
      <c r="EC783" s="365"/>
      <c r="ED783" s="371" t="str">
        <f ca="1">IF(DH783=ED779,DG783,IF(DP789=ED779,DG789,""))</f>
        <v/>
      </c>
      <c r="EE783" s="369" t="str">
        <f ca="1">IF(ED783="","",EA783)</f>
        <v/>
      </c>
      <c r="EF783" s="386"/>
      <c r="EG783" s="371" t="str">
        <f ca="1">IF(DH783=EG779,DG783,IF(DP789=EG779,DG789,""))</f>
        <v/>
      </c>
      <c r="EH783" s="369" t="str">
        <f ca="1">IF(EG783="","",EA783)</f>
        <v/>
      </c>
      <c r="EI783" s="386"/>
      <c r="EM783" s="424"/>
      <c r="EN783" s="366"/>
      <c r="EO783" s="425"/>
    </row>
    <row r="784" spans="80:146" x14ac:dyDescent="0.25">
      <c r="CT784" s="477" t="str">
        <f>IF(CK648="","",VLOOKUP(CK648,xxx.rn3,4,FALSE))</f>
        <v/>
      </c>
      <c r="CU784" s="478" t="str">
        <f ca="1">IF(OR(CT784="",DA784="",CT784=DA784,COUNTIF(games.rn,CT784&amp;DA784)=0),"",CONCATENATE(CT784,DA784))</f>
        <v/>
      </c>
      <c r="CV784" s="360" t="str">
        <f ca="1">IF(CU784="","",CONCATENATE(VLOOKUP(CU784,games.r,9,FALSE),VLOOKUP(CU784,games.r,12,FALSE)))</f>
        <v/>
      </c>
      <c r="CW784" s="354" t="str">
        <f ca="1">IF(CU784="","",VLOOKUP(CU784,games.r,10,FALSE))</f>
        <v/>
      </c>
      <c r="CX784" s="354" t="str">
        <f ca="1">IF(CU784="","",VLOOKUP(CU784,games.r,13,FALSE))</f>
        <v/>
      </c>
      <c r="CY784" s="361" t="str">
        <f ca="1">IF(CU784="","",VLOOKUP(CU784,games.r,6,FALSE))</f>
        <v/>
      </c>
      <c r="CZ784" s="362" t="str">
        <f ca="1">IF(CU784="","",VLOOKUP(CU784,games.r,7,FALSE))</f>
        <v/>
      </c>
      <c r="DA784" s="379" t="str">
        <f t="shared" si="447"/>
        <v/>
      </c>
      <c r="DB784" s="302"/>
      <c r="DC784" s="364"/>
      <c r="DD784" s="445"/>
      <c r="DF784" s="424"/>
      <c r="DG784" s="366" t="str">
        <f ca="1">IF(AND(ASZTAB!$AJ$44,CT779,DA779&lt;&gt;2),CT784,"")</f>
        <v/>
      </c>
      <c r="DH784" s="366">
        <f ca="1">IF(DG784="",-1,COUNTIF(xxgy.rn,DG784))</f>
        <v>-1</v>
      </c>
      <c r="DI784" s="366">
        <f ca="1">IF(DG784="",0,COUNTIF(yygy.rn,DG784))</f>
        <v>0</v>
      </c>
      <c r="DK784" s="366">
        <f ca="1">IF(DG784="",0,1)*(SUMIF(yyo.rn,DG784,yyl.rn)+SUMIF(yyi.rn,DG784,yyk.rn))</f>
        <v>0</v>
      </c>
      <c r="DL784" s="366">
        <f ca="1">IF(DG784="",0,1)*(SUMIF(yyo.rn,DG784,yyk.rn)+SUMIF(yyi.rn,DG784,yyl.rn))</f>
        <v>0</v>
      </c>
      <c r="DN784" s="366">
        <f ca="1">IF(DL784=0,0,DK784/DL784)</f>
        <v>0</v>
      </c>
      <c r="DP784" s="366">
        <f ca="1">DH784*1000000+DI784*1000+DN784</f>
        <v>-1000000</v>
      </c>
      <c r="DT784" s="366">
        <f ca="1">IF(OR(ISERR(DP784),ISNA(DP784),DH784&lt;0),0,DP784)</f>
        <v>0</v>
      </c>
      <c r="DU784" s="366">
        <f ca="1">IF(DT784=0,0,RANK(DT784,DT780:DT784,1))</f>
        <v>0</v>
      </c>
      <c r="DV784" s="366">
        <f ca="1">DU784*40000*IF(COUNTIF($EN$780:$EN$789,DG784)&gt;0,0,1)</f>
        <v>0</v>
      </c>
      <c r="DW784" s="365"/>
      <c r="DX784" s="367">
        <f ca="1">IF(ASZTAB!$AJ$54,COUNTIF(DP786:DP790,DY783)*IF(OR(DY784=0,DY784=DY783),0,1),COUNTIF(DH780:DH784,DZ784)*IF(OR(DZ784=DZ783,DZ784&lt;0),0,1))+EA784/1000</f>
        <v>5.0000000000000001E-3</v>
      </c>
      <c r="DY784" s="367">
        <f ca="1">LARGE(DP786:DP790,EA784)</f>
        <v>0</v>
      </c>
      <c r="DZ784" s="369">
        <f ca="1">LARGE(DH780:DH784,EA784)</f>
        <v>-1</v>
      </c>
      <c r="EA784" s="369">
        <v>5</v>
      </c>
      <c r="EB784" s="365"/>
      <c r="EC784" s="365"/>
      <c r="ED784" s="371" t="str">
        <f ca="1">IF(DH784=ED779,DG784,IF(DP790=ED779,DG790,""))</f>
        <v/>
      </c>
      <c r="EE784" s="369" t="str">
        <f ca="1">IF(ED784="","",EA784)</f>
        <v/>
      </c>
      <c r="EF784" s="391"/>
      <c r="EG784" s="371" t="str">
        <f ca="1">IF(DH784=EG779,DG784,IF(DP790=EG779,DG790,""))</f>
        <v/>
      </c>
      <c r="EH784" s="369" t="str">
        <f ca="1">IF(EG784="","",EA784)</f>
        <v/>
      </c>
      <c r="EI784" s="391"/>
      <c r="EM784" s="424"/>
      <c r="EN784" s="366"/>
      <c r="EO784" s="425"/>
    </row>
    <row r="785" spans="98:145" x14ac:dyDescent="0.25">
      <c r="CT785" s="522" t="str">
        <f>IF(NOT($AD$112),"",CT780)</f>
        <v/>
      </c>
      <c r="CU785" s="371" t="str">
        <f>IF(OR(CT785="",DA785="",CT785=DA785,ISNA(VLOOKUP(CONCATENATE(CT785,DA785),games.a,2,FALSE))),"",CONCATENATE(CT785,DA785))</f>
        <v/>
      </c>
      <c r="CV785" s="371" t="str">
        <f>IF(CU785="","",CONCATENATE(VLOOKUP(CU785,games.a,9,FALSE),VLOOKUP(CU785,games.a,12,FALSE)))</f>
        <v/>
      </c>
      <c r="CW785" s="369" t="str">
        <f>IF(CU785="","",VLOOKUP(CU785,games.a,10,FALSE))</f>
        <v/>
      </c>
      <c r="CX785" s="369" t="str">
        <f>IF(CU785="","",VLOOKUP(CU785,games.a,13,FALSE))</f>
        <v/>
      </c>
      <c r="CY785" s="423" t="str">
        <f>IF(CU785="","",VLOOKUP(CU785,games.a,6,FALSE))</f>
        <v/>
      </c>
      <c r="CZ785" s="409" t="str">
        <f>IF(CU785="","",VLOOKUP(CU785,games.a,7,FALSE))</f>
        <v/>
      </c>
      <c r="DA785" s="523" t="str">
        <f t="shared" si="447"/>
        <v/>
      </c>
      <c r="DB785" s="302"/>
      <c r="DC785" s="364"/>
      <c r="DD785" s="445"/>
      <c r="DF785" s="424"/>
      <c r="DG785" s="329" t="s">
        <v>229</v>
      </c>
      <c r="DH785" s="365"/>
      <c r="DI785" s="329" t="s">
        <v>152</v>
      </c>
      <c r="DJ785" s="329" t="s">
        <v>153</v>
      </c>
      <c r="DK785" s="329" t="s">
        <v>154</v>
      </c>
      <c r="DL785" s="329" t="s">
        <v>155</v>
      </c>
      <c r="DM785" s="329" t="s">
        <v>125</v>
      </c>
      <c r="DN785" s="329" t="s">
        <v>226</v>
      </c>
      <c r="DO785" s="329" t="s">
        <v>126</v>
      </c>
      <c r="DP785" s="329" t="s">
        <v>227</v>
      </c>
      <c r="DQ785" s="330" t="s">
        <v>154</v>
      </c>
      <c r="DR785" s="330" t="s">
        <v>155</v>
      </c>
      <c r="DS785" s="330" t="s">
        <v>125</v>
      </c>
      <c r="DT785" s="329" t="s">
        <v>228</v>
      </c>
      <c r="DU785" s="329" t="s">
        <v>156</v>
      </c>
      <c r="DV785" s="329" t="s">
        <v>208</v>
      </c>
      <c r="DW785" s="365"/>
      <c r="DX785" s="365"/>
      <c r="DY785" s="365"/>
      <c r="DZ785" s="365"/>
      <c r="EA785" s="365"/>
      <c r="EB785" s="365"/>
      <c r="EC785" s="365"/>
      <c r="ED785" s="365"/>
      <c r="EE785" s="365"/>
      <c r="EF785" s="365"/>
      <c r="EG785" s="365"/>
      <c r="EH785" s="365"/>
      <c r="EI785" s="365"/>
      <c r="EJ785" s="365"/>
      <c r="EK785" s="365"/>
      <c r="EL785" s="365"/>
      <c r="EM785" s="424"/>
      <c r="EN785" s="366"/>
      <c r="EO785" s="425"/>
    </row>
    <row r="786" spans="98:145" x14ac:dyDescent="0.25">
      <c r="CT786" s="522" t="str">
        <f>IF(NOT($AD$112),"",CT781)</f>
        <v/>
      </c>
      <c r="CU786" s="371" t="str">
        <f>IF(OR(CT786="",DA786="",CT786=DA786,ISNA(VLOOKUP(CONCATENATE(CT786,DA786),games.a,2,FALSE))),"",CONCATENATE(CT786,DA786))</f>
        <v/>
      </c>
      <c r="CV786" s="371" t="str">
        <f>IF(CU786="","",CONCATENATE(VLOOKUP(CU786,games.a,9,FALSE),VLOOKUP(CU786,games.a,12,FALSE)))</f>
        <v/>
      </c>
      <c r="CW786" s="369" t="str">
        <f>IF(CU786="","",VLOOKUP(CU786,games.a,10,FALSE))</f>
        <v/>
      </c>
      <c r="CX786" s="369" t="str">
        <f>IF(CU786="","",VLOOKUP(CU786,games.a,13,FALSE))</f>
        <v/>
      </c>
      <c r="CY786" s="423" t="str">
        <f>IF(CU786="","",VLOOKUP(CU786,games.a,6,FALSE))</f>
        <v/>
      </c>
      <c r="CZ786" s="409" t="str">
        <f>IF(CU786="","",VLOOKUP(CU786,games.a,7,FALSE))</f>
        <v/>
      </c>
      <c r="DA786" s="523" t="str">
        <f t="shared" si="447"/>
        <v/>
      </c>
      <c r="DB786" s="302"/>
      <c r="DC786" s="364"/>
      <c r="DD786" s="445"/>
      <c r="DF786" s="424"/>
      <c r="DG786" s="366" t="str">
        <f ca="1">IF(OR(NOT(ASZTAB!$AJ$44),AND(CT779,DG780="")),CT780,"")</f>
        <v/>
      </c>
      <c r="DH786" s="365"/>
      <c r="DI786" s="366">
        <f ca="1">IF(DG786="",0,COUNTIF(xxgy.rn,DG786))</f>
        <v>0</v>
      </c>
      <c r="DJ786" s="366">
        <f ca="1">IF(DG786="",0,COUNTIF(xxd.rn,DG786))</f>
        <v>0</v>
      </c>
      <c r="DK786" s="366">
        <f ca="1">IF(DG786="",0,1)*(SUMIF(xxo.rn,DG786,xxl.rn)+SUMIF(xxi.rn,DG786,xxk.rn))</f>
        <v>0</v>
      </c>
      <c r="DL786" s="366">
        <f ca="1">IF(DG786="",0,1)*(SUMIF(xxo.rn,DG786,xxk.rn)+SUMIF(xxi.rn,DG786,xxl.rn))</f>
        <v>0</v>
      </c>
      <c r="DM786" s="366">
        <f ca="1">DK786-DL786</f>
        <v>0</v>
      </c>
      <c r="DN786" s="366">
        <f ca="1">IF(DL786=0,0,DK786/DL786)</f>
        <v>0</v>
      </c>
      <c r="DO786" s="366">
        <f ca="1">ASZTAB!$AJ$48*DI786+IF(ASZTAB!$AJ$44,0,1)*DJ786</f>
        <v>0</v>
      </c>
      <c r="DP786" s="396">
        <f ca="1">DO786*1000000+IF(ASZTAB!$AJ$44,DN786,DM786)*1000*0</f>
        <v>0</v>
      </c>
      <c r="DQ786" s="366">
        <f ca="1">IF(DG786="",0,1)*(SUMIF(yyo.rn,DG786,yyl.rn)+SUMIF(yyi.rn,DG786,yyk.rn))</f>
        <v>0</v>
      </c>
      <c r="DR786" s="366">
        <f ca="1">IF(DG786="",0,1)*(SUMIF(yyo.rn,DG786,yyk.rn)+SUMIF(yyi.rn,DG786,yyl.rn))</f>
        <v>0</v>
      </c>
      <c r="DS786" s="366">
        <f ca="1">DQ786-DR786</f>
        <v>0</v>
      </c>
      <c r="DT786" s="366">
        <f ca="1">IF(OR(ISERR(DP786),ISNA(DP786)),0,DP786)+IF(ASZTAB!$AJ$54,DS786,0)</f>
        <v>0</v>
      </c>
      <c r="DU786" s="366">
        <f ca="1">IF(DT786=0,0,RANK(DT786,DT786:DT790,1))</f>
        <v>0</v>
      </c>
      <c r="DV786" s="366">
        <f ca="1">DU786*40000*IF(COUNTIF($EN$780:$EN$789,DG786)&gt;0,0,1)</f>
        <v>0</v>
      </c>
      <c r="DW786" s="365"/>
      <c r="DZ786" s="365"/>
      <c r="EA786" s="365"/>
      <c r="EB786" s="365"/>
      <c r="EC786" s="398"/>
      <c r="ED786" s="329" t="s">
        <v>157</v>
      </c>
      <c r="EE786" s="329" t="s">
        <v>158</v>
      </c>
      <c r="EF786" s="399"/>
      <c r="EG786" s="400"/>
      <c r="EH786" s="401" t="s">
        <v>160</v>
      </c>
      <c r="EI786" s="402" t="s">
        <v>135</v>
      </c>
      <c r="EJ786" s="403">
        <f ca="1">COUNT(EF780:EF782)</f>
        <v>0</v>
      </c>
      <c r="EK786" s="365"/>
      <c r="EL786" s="365"/>
      <c r="EM786" s="424"/>
      <c r="EN786" s="366"/>
      <c r="EO786" s="425"/>
    </row>
    <row r="787" spans="98:145" x14ac:dyDescent="0.25">
      <c r="CT787" s="522" t="str">
        <f>IF(NOT($AD$112),"",CT782)</f>
        <v/>
      </c>
      <c r="CU787" s="371" t="str">
        <f>IF(OR(CT787="",DA787="",CT787=DA787,ISNA(VLOOKUP(CONCATENATE(CT787,DA787),games.a,2,FALSE))),"",CONCATENATE(CT787,DA787))</f>
        <v/>
      </c>
      <c r="CV787" s="371" t="str">
        <f>IF(CU787="","",CONCATENATE(VLOOKUP(CU787,games.a,9,FALSE),VLOOKUP(CU787,games.a,12,FALSE)))</f>
        <v/>
      </c>
      <c r="CW787" s="369" t="str">
        <f>IF(CU787="","",VLOOKUP(CU787,games.a,10,FALSE))</f>
        <v/>
      </c>
      <c r="CX787" s="369" t="str">
        <f>IF(CU787="","",VLOOKUP(CU787,games.a,13,FALSE))</f>
        <v/>
      </c>
      <c r="CY787" s="423" t="str">
        <f>IF(CU787="","",VLOOKUP(CU787,games.a,6,FALSE))</f>
        <v/>
      </c>
      <c r="CZ787" s="409" t="str">
        <f>IF(CU787="","",VLOOKUP(CU787,games.a,7,FALSE))</f>
        <v/>
      </c>
      <c r="DA787" s="523" t="str">
        <f t="shared" si="447"/>
        <v/>
      </c>
      <c r="DB787" s="302"/>
      <c r="DC787" s="364"/>
      <c r="DD787" s="445"/>
      <c r="DF787" s="424"/>
      <c r="DG787" s="366" t="str">
        <f ca="1">IF(OR(NOT(ASZTAB!$AJ$44),AND(CT779,DG781="")),CT781,"")</f>
        <v/>
      </c>
      <c r="DH787" s="365"/>
      <c r="DI787" s="366">
        <f ca="1">IF(DG787="",0,COUNTIF(xxgy.rn,DG787))</f>
        <v>0</v>
      </c>
      <c r="DJ787" s="366">
        <f ca="1">IF(DG787="",0,COUNTIF(xxd.rn,DG787))</f>
        <v>0</v>
      </c>
      <c r="DK787" s="366">
        <f ca="1">IF(DG787="",0,1)*(SUMIF(xxo.rn,DG787,xxl.rn)+SUMIF(xxi.rn,DG787,xxk.rn))</f>
        <v>0</v>
      </c>
      <c r="DL787" s="366">
        <f ca="1">IF(DG787="",0,1)*(SUMIF(xxo.rn,DG787,xxk.rn)+SUMIF(xxi.rn,DG787,xxl.rn))</f>
        <v>0</v>
      </c>
      <c r="DM787" s="366">
        <f ca="1">DK787-DL787</f>
        <v>0</v>
      </c>
      <c r="DN787" s="366">
        <f ca="1">IF(DL787=0,0,DK787/DL787)</f>
        <v>0</v>
      </c>
      <c r="DO787" s="366">
        <f ca="1">ASZTAB!$AJ$48*DI787+IF(ASZTAB!$AJ$44,0,1)*DJ787</f>
        <v>0</v>
      </c>
      <c r="DP787" s="396">
        <f ca="1">DO787*1000000+IF(ASZTAB!$AJ$44,DN787,DM787)*1000*0</f>
        <v>0</v>
      </c>
      <c r="DQ787" s="366">
        <f ca="1">IF(DG787="",0,1)*(SUMIF(yyo.rn,DG787,yyl.rn)+SUMIF(yyi.rn,DG787,yyk.rn))</f>
        <v>0</v>
      </c>
      <c r="DR787" s="366">
        <f ca="1">IF(DG787="",0,1)*(SUMIF(yyo.rn,DG787,yyk.rn)+SUMIF(yyi.rn,DG787,yyl.rn))</f>
        <v>0</v>
      </c>
      <c r="DS787" s="366">
        <f ca="1">DQ787-DR787</f>
        <v>0</v>
      </c>
      <c r="DT787" s="366">
        <f ca="1">IF(OR(ISERR(DP787),ISNA(DP787)),0,DP787)+IF(ASZTAB!$AJ$54,DS787,0)</f>
        <v>0</v>
      </c>
      <c r="DU787" s="366">
        <f ca="1">IF(DT787=0,0,RANK(DT787,DT786:DT790,1))</f>
        <v>0</v>
      </c>
      <c r="DV787" s="366">
        <f ca="1">DU787*40000*IF(COUNTIF($EN$780:$EN$789,DG787)&gt;0,0,1)</f>
        <v>0</v>
      </c>
      <c r="DW787" s="365"/>
      <c r="DZ787" s="365"/>
      <c r="EA787" s="365"/>
      <c r="EB787" s="365"/>
      <c r="EC787" s="404" t="str">
        <f ca="1">IF(EF780="","",VLOOKUP(EF780,yyy.rn3,4,FALSE))</f>
        <v/>
      </c>
      <c r="ED787" s="371" t="str">
        <f ca="1">IF(OR(EC787="",EJ787="",EC787=EJ787,ISNA(VLOOKUP(CONCATENATE(EC787,EJ787),games.r,2,FALSE))),"",CONCATENATE(EC787,EJ787))</f>
        <v/>
      </c>
      <c r="EE787" s="405" t="str">
        <f ca="1">IF(OR(ED787="",EJ786&gt;2),"",CONCATENATE(VLOOKUP(ED787,games.r,9,FALSE),VLOOKUP(ED787,games.r,12,FALSE)))</f>
        <v/>
      </c>
      <c r="EF787" s="406"/>
      <c r="EG787" s="407"/>
      <c r="EH787" s="408" t="str">
        <f ca="1">IF(ED787="","",VLOOKUP(ED787,games.r,6,FALSE))</f>
        <v/>
      </c>
      <c r="EI787" s="409" t="str">
        <f ca="1">IF(ED787="","",VLOOKUP(ED787,games.r,7,FALSE))</f>
        <v/>
      </c>
      <c r="EJ787" s="410" t="str">
        <f ca="1">EC787</f>
        <v/>
      </c>
      <c r="EK787" s="411"/>
      <c r="EL787" s="412"/>
      <c r="EM787" s="424"/>
      <c r="EN787" s="366"/>
      <c r="EO787" s="425"/>
    </row>
    <row r="788" spans="98:145" x14ac:dyDescent="0.25">
      <c r="CT788" s="522" t="str">
        <f>IF(NOT($AD$112),"",CT783)</f>
        <v/>
      </c>
      <c r="CU788" s="371" t="str">
        <f>IF(OR(CT788="",DA788="",CT788=DA788,ISNA(VLOOKUP(CONCATENATE(CT788,DA788),games.a,2,FALSE))),"",CONCATENATE(CT788,DA788))</f>
        <v/>
      </c>
      <c r="CV788" s="371" t="str">
        <f>IF(CU788="","",CONCATENATE(VLOOKUP(CU788,games.a,9,FALSE),VLOOKUP(CU788,games.a,12,FALSE)))</f>
        <v/>
      </c>
      <c r="CW788" s="369" t="str">
        <f>IF(CU788="","",VLOOKUP(CU788,games.a,10,FALSE))</f>
        <v/>
      </c>
      <c r="CX788" s="369" t="str">
        <f>IF(CU788="","",VLOOKUP(CU788,games.a,13,FALSE))</f>
        <v/>
      </c>
      <c r="CY788" s="423" t="str">
        <f>IF(CU788="","",VLOOKUP(CU788,games.a,6,FALSE))</f>
        <v/>
      </c>
      <c r="CZ788" s="409" t="str">
        <f>IF(CU788="","",VLOOKUP(CU788,games.a,7,FALSE))</f>
        <v/>
      </c>
      <c r="DA788" s="523" t="str">
        <f t="shared" si="447"/>
        <v/>
      </c>
      <c r="DB788" s="302"/>
      <c r="DC788" s="364"/>
      <c r="DD788" s="445"/>
      <c r="DF788" s="424"/>
      <c r="DG788" s="366" t="str">
        <f ca="1">IF(OR(NOT(ASZTAB!$AJ$44),AND(CT779,DG782="")),CT782,"")</f>
        <v/>
      </c>
      <c r="DH788" s="365"/>
      <c r="DI788" s="366">
        <f ca="1">IF(DG788="",0,COUNTIF(xxgy.rn,DG788))</f>
        <v>0</v>
      </c>
      <c r="DJ788" s="366">
        <f ca="1">IF(DG788="",0,COUNTIF(xxd.rn,DG788))</f>
        <v>0</v>
      </c>
      <c r="DK788" s="366">
        <f ca="1">IF(DG788="",0,1)*(SUMIF(xxo.rn,DG788,xxl.rn)+SUMIF(xxi.rn,DG788,xxk.rn))</f>
        <v>0</v>
      </c>
      <c r="DL788" s="366">
        <f ca="1">IF(DG788="",0,1)*(SUMIF(xxo.rn,DG788,xxk.rn)+SUMIF(xxi.rn,DG788,xxl.rn))</f>
        <v>0</v>
      </c>
      <c r="DM788" s="366">
        <f ca="1">DK788-DL788</f>
        <v>0</v>
      </c>
      <c r="DN788" s="366">
        <f ca="1">IF(DL788=0,0,DK788/DL788)</f>
        <v>0</v>
      </c>
      <c r="DO788" s="366">
        <f ca="1">ASZTAB!$AJ$48*DI788+IF(ASZTAB!$AJ$44,0,1)*DJ788</f>
        <v>0</v>
      </c>
      <c r="DP788" s="396">
        <f ca="1">DO788*1000000+IF(ASZTAB!$AJ$44,DN788,DM788)*1000*0</f>
        <v>0</v>
      </c>
      <c r="DQ788" s="366">
        <f ca="1">IF(DG788="",0,1)*(SUMIF(yyo.rn,DG788,yyl.rn)+SUMIF(yyi.rn,DG788,yyk.rn))</f>
        <v>0</v>
      </c>
      <c r="DR788" s="366">
        <f ca="1">IF(DG788="",0,1)*(SUMIF(yyo.rn,DG788,yyk.rn)+SUMIF(yyi.rn,DG788,yyl.rn))</f>
        <v>0</v>
      </c>
      <c r="DS788" s="366">
        <f ca="1">DQ788-DR788</f>
        <v>0</v>
      </c>
      <c r="DT788" s="366">
        <f ca="1">IF(OR(ISERR(DP788),ISNA(DP788)),0,DP788)+IF(ASZTAB!$AJ$54,DS788,0)</f>
        <v>0</v>
      </c>
      <c r="DU788" s="366">
        <f ca="1">IF(DT788=0,0,RANK(DT788,DT786:DT790,1))</f>
        <v>0</v>
      </c>
      <c r="DV788" s="366">
        <f ca="1">DU788*40000*IF(COUNTIF($EN$780:$EN$789,DG788)&gt;0,0,1)</f>
        <v>0</v>
      </c>
      <c r="DW788" s="365"/>
      <c r="DZ788" s="365"/>
      <c r="EA788" s="365"/>
      <c r="EB788" s="365"/>
      <c r="EC788" s="404" t="str">
        <f ca="1">IF(EF781="","",VLOOKUP(EF781,yyy.rn3,4,FALSE))</f>
        <v/>
      </c>
      <c r="ED788" s="371" t="str">
        <f ca="1">IF(OR(EC788="",EJ788="",EC788=EJ788,ISNA(VLOOKUP(CONCATENATE(EC788,EJ788),games.r,2,FALSE))),"",CONCATENATE(EC788,EJ788))</f>
        <v/>
      </c>
      <c r="EE788" s="405" t="str">
        <f ca="1">IF(OR(ED788="",EJ786&gt;2),"",CONCATENATE(VLOOKUP(ED788,games.r,9,FALSE),VLOOKUP(ED788,games.r,12,FALSE)))</f>
        <v/>
      </c>
      <c r="EF788" s="413"/>
      <c r="EG788" s="414"/>
      <c r="EH788" s="408" t="str">
        <f ca="1">IF(ED788="","",VLOOKUP(ED788,games.r,6,FALSE))</f>
        <v/>
      </c>
      <c r="EI788" s="409" t="str">
        <f ca="1">IF(ED788="","",VLOOKUP(ED788,games.r,7,FALSE))</f>
        <v/>
      </c>
      <c r="EJ788" s="415" t="str">
        <f ca="1">EJ787</f>
        <v/>
      </c>
      <c r="EK788" s="416"/>
      <c r="EL788" s="417"/>
      <c r="EM788" s="424"/>
      <c r="EN788" s="366"/>
      <c r="EO788" s="425"/>
    </row>
    <row r="789" spans="98:145" x14ac:dyDescent="0.25">
      <c r="CT789" s="522" t="str">
        <f>IF(NOT($AD$112),"",CT784)</f>
        <v/>
      </c>
      <c r="CU789" s="371" t="str">
        <f>IF(OR(CT789="",DA789="",CT789=DA789,ISNA(VLOOKUP(CONCATENATE(CT789,DA789),games.a,2,FALSE))),"",CONCATENATE(CT789,DA789))</f>
        <v/>
      </c>
      <c r="CV789" s="371" t="str">
        <f>IF(CU789="","",CONCATENATE(VLOOKUP(CU789,games.a,9,FALSE),VLOOKUP(CU789,games.a,12,FALSE)))</f>
        <v/>
      </c>
      <c r="CW789" s="369" t="str">
        <f>IF(CU789="","",VLOOKUP(CU789,games.a,10,FALSE))</f>
        <v/>
      </c>
      <c r="CX789" s="369" t="str">
        <f>IF(CU789="","",VLOOKUP(CU789,games.a,13,FALSE))</f>
        <v/>
      </c>
      <c r="CY789" s="423" t="str">
        <f>IF(CU789="","",VLOOKUP(CU789,games.a,6,FALSE))</f>
        <v/>
      </c>
      <c r="CZ789" s="409" t="str">
        <f>IF(CU789="","",VLOOKUP(CU789,games.a,7,FALSE))</f>
        <v/>
      </c>
      <c r="DA789" s="523" t="str">
        <f t="shared" si="447"/>
        <v/>
      </c>
      <c r="DB789" s="302"/>
      <c r="DC789" s="364"/>
      <c r="DD789" s="445"/>
      <c r="DF789" s="424"/>
      <c r="DG789" s="366" t="str">
        <f ca="1">IF(OR(NOT(ASZTAB!$AJ$44),AND(CT779,DG783="")),CT783,"")</f>
        <v/>
      </c>
      <c r="DH789" s="365"/>
      <c r="DI789" s="366">
        <f ca="1">IF(DG789="",0,COUNTIF(xxgy.rn,DG789))</f>
        <v>0</v>
      </c>
      <c r="DJ789" s="366">
        <f ca="1">IF(DG789="",0,COUNTIF(xxd.rn,DG789))</f>
        <v>0</v>
      </c>
      <c r="DK789" s="366">
        <f ca="1">IF(DG789="",0,1)*(SUMIF(xxo.rn,DG789,xxl.rn)+SUMIF(xxi.rn,DG789,xxk.rn))</f>
        <v>0</v>
      </c>
      <c r="DL789" s="366">
        <f ca="1">IF(DG789="",0,1)*(SUMIF(xxo.rn,DG789,xxk.rn)+SUMIF(xxi.rn,DG789,xxl.rn))</f>
        <v>0</v>
      </c>
      <c r="DM789" s="366">
        <f ca="1">DK789-DL789</f>
        <v>0</v>
      </c>
      <c r="DN789" s="366">
        <f ca="1">IF(DL789=0,0,DK789/DL789)</f>
        <v>0</v>
      </c>
      <c r="DO789" s="366">
        <f ca="1">ASZTAB!$AJ$48*DI789+IF(ASZTAB!$AJ$44,0,1)*DJ789</f>
        <v>0</v>
      </c>
      <c r="DP789" s="396">
        <f ca="1">DO789*1000000+IF(ASZTAB!$AJ$44,DN789,DM789)*1000*0</f>
        <v>0</v>
      </c>
      <c r="DQ789" s="366">
        <f ca="1">IF(DG789="",0,1)*(SUMIF(yyo.rn,DG789,yyl.rn)+SUMIF(yyi.rn,DG789,yyk.rn))</f>
        <v>0</v>
      </c>
      <c r="DR789" s="366">
        <f ca="1">IF(DG789="",0,1)*(SUMIF(yyo.rn,DG789,yyk.rn)+SUMIF(yyi.rn,DG789,yyl.rn))</f>
        <v>0</v>
      </c>
      <c r="DS789" s="366">
        <f ca="1">DQ789-DR789</f>
        <v>0</v>
      </c>
      <c r="DT789" s="366">
        <f ca="1">IF(OR(ISERR(DP789),ISNA(DP789)),0,DP789)+IF(ASZTAB!$AJ$54,DS789,0)</f>
        <v>0</v>
      </c>
      <c r="DU789" s="366">
        <f ca="1">IF(DT789=0,0,RANK(DT789,DT786:DT790,1))</f>
        <v>0</v>
      </c>
      <c r="DV789" s="366">
        <f ca="1">DU789*40000*IF(COUNTIF($EN$780:$EN$789,DG789)&gt;0,0,1)</f>
        <v>0</v>
      </c>
      <c r="DW789" s="365"/>
      <c r="DZ789" s="365"/>
      <c r="EA789" s="365"/>
      <c r="EB789" s="365"/>
      <c r="EC789" s="404" t="str">
        <f ca="1">IF(EF782="","",VLOOKUP(EF782,yyy.rn3,4,FALSE))</f>
        <v/>
      </c>
      <c r="ED789" s="371" t="str">
        <f ca="1">IF(OR(EC789="",EJ789="",EC789=EJ789,ISNA(VLOOKUP(CONCATENATE(EC789,EJ789),games.r,2,FALSE))),"",CONCATENATE(EC789,EJ789))</f>
        <v/>
      </c>
      <c r="EE789" s="405" t="str">
        <f ca="1">IF(OR(ED789="",EJ786&gt;2),"",CONCATENATE(VLOOKUP(ED789,games.r,9,FALSE),VLOOKUP(ED789,games.r,12,FALSE)))</f>
        <v/>
      </c>
      <c r="EF789" s="413"/>
      <c r="EG789" s="414"/>
      <c r="EH789" s="408" t="str">
        <f ca="1">IF(ED789="","",VLOOKUP(ED789,games.r,6,FALSE))</f>
        <v/>
      </c>
      <c r="EI789" s="409" t="str">
        <f ca="1">IF(ED789="","",VLOOKUP(ED789,games.r,7,FALSE))</f>
        <v/>
      </c>
      <c r="EJ789" s="415" t="str">
        <f ca="1">EJ788</f>
        <v/>
      </c>
      <c r="EK789" s="416"/>
      <c r="EL789" s="417"/>
      <c r="EM789" s="424"/>
      <c r="EN789" s="366"/>
      <c r="EO789" s="425"/>
    </row>
    <row r="790" spans="98:145" x14ac:dyDescent="0.25">
      <c r="CT790" s="301"/>
      <c r="CU790" s="471" t="s">
        <v>157</v>
      </c>
      <c r="CV790" s="471" t="s">
        <v>158</v>
      </c>
      <c r="CW790" s="472" t="s">
        <v>159</v>
      </c>
      <c r="CX790" s="472"/>
      <c r="CY790" s="473" t="s">
        <v>160</v>
      </c>
      <c r="CZ790" s="472" t="s">
        <v>135</v>
      </c>
      <c r="DA790" s="302"/>
      <c r="DB790" s="302"/>
      <c r="DC790" s="364"/>
      <c r="DD790" s="445"/>
      <c r="DF790" s="424"/>
      <c r="DG790" s="366" t="str">
        <f ca="1">IF(OR(NOT(ASZTAB!$AJ$44),AND(CT779,DG784="")),CT784,"")</f>
        <v/>
      </c>
      <c r="DH790" s="365"/>
      <c r="DI790" s="366">
        <f ca="1">IF(DG790="",0,COUNTIF(xxgy.rn,DG790))</f>
        <v>0</v>
      </c>
      <c r="DJ790" s="366">
        <f ca="1">IF(DG790="",0,COUNTIF(xxd.rn,DG790))</f>
        <v>0</v>
      </c>
      <c r="DK790" s="366">
        <f ca="1">IF(DG790="",0,1)*(SUMIF(xxo.rn,DG790,xxl.rn)+SUMIF(xxi.rn,DG790,xxk.rn))</f>
        <v>0</v>
      </c>
      <c r="DL790" s="366">
        <f ca="1">IF(DG790="",0,1)*(SUMIF(xxo.rn,DG790,xxk.rn)+SUMIF(xxi.rn,DG790,xxl.rn))</f>
        <v>0</v>
      </c>
      <c r="DM790" s="366">
        <f ca="1">DK790-DL790</f>
        <v>0</v>
      </c>
      <c r="DN790" s="366">
        <f ca="1">IF(DL790=0,0,DK790/DL790)</f>
        <v>0</v>
      </c>
      <c r="DO790" s="366">
        <f ca="1">ASZTAB!$AJ$48*DI790+IF(ASZTAB!$AJ$44,0,1)*DJ790</f>
        <v>0</v>
      </c>
      <c r="DP790" s="396">
        <f ca="1">DO790*1000000+IF(ASZTAB!$AJ$44,DN790,DM790)*1000*0</f>
        <v>0</v>
      </c>
      <c r="DQ790" s="366">
        <f ca="1">IF(DG790="",0,1)*(SUMIF(yyo.rn,DG790,yyl.rn)+SUMIF(yyi.rn,DG790,yyk.rn))</f>
        <v>0</v>
      </c>
      <c r="DR790" s="366">
        <f ca="1">IF(DG790="",0,1)*(SUMIF(yyo.rn,DG790,yyk.rn)+SUMIF(yyi.rn,DG790,yyl.rn))</f>
        <v>0</v>
      </c>
      <c r="DS790" s="366">
        <f ca="1">DQ790-DR790</f>
        <v>0</v>
      </c>
      <c r="DT790" s="366">
        <f ca="1">IF(OR(ISERR(DP790),ISNA(DP790)),0,DP790)+IF(ASZTAB!$AJ$54,DS790,0)</f>
        <v>0</v>
      </c>
      <c r="DU790" s="366">
        <f ca="1">IF(DT790=0,0,RANK(DT790,DT786:DT790,1))</f>
        <v>0</v>
      </c>
      <c r="DV790" s="366">
        <f ca="1">DU790*40000*IF(COUNTIF($EN$780:$EN$789,DG790)&gt;0,0,1)</f>
        <v>0</v>
      </c>
      <c r="DW790" s="365"/>
      <c r="DZ790" s="365"/>
      <c r="EA790" s="365"/>
      <c r="EB790" s="365"/>
      <c r="EC790" s="404" t="str">
        <f>IF(NOT($AD$112),"",EC787)</f>
        <v/>
      </c>
      <c r="ED790" s="360" t="str">
        <f ca="1">IF(OR(EC790="",EJ790="",EC790=EJ790,ISNA(VLOOKUP(CONCATENATE(EC790,EJ790),games.a,2,FALSE))),"",CONCATENATE(EC790,EJ790))</f>
        <v/>
      </c>
      <c r="EE790" s="524" t="str">
        <f ca="1">IF(OR(ED790="",EJ786&gt;2),"",CONCATENATE(VLOOKUP(ED790,games.a,9,FALSE),VLOOKUP(ED790,games.a,12,FALSE)))</f>
        <v/>
      </c>
      <c r="EF790" s="413"/>
      <c r="EG790" s="414"/>
      <c r="EH790" s="525" t="str">
        <f ca="1">IF(ED790="","",VLOOKUP(ED790,games.a,6,FALSE))</f>
        <v/>
      </c>
      <c r="EI790" s="362" t="str">
        <f ca="1">IF(ED790="","",VLOOKUP(ED790,games.a,7,FALSE))</f>
        <v/>
      </c>
      <c r="EJ790" s="526" t="str">
        <f ca="1">EJ789</f>
        <v/>
      </c>
      <c r="EK790" s="527"/>
      <c r="EL790" s="528"/>
      <c r="EM790" s="424"/>
      <c r="EN790" s="424"/>
      <c r="EO790" s="425"/>
    </row>
    <row r="791" spans="98:145" x14ac:dyDescent="0.25">
      <c r="CT791" s="395" t="str">
        <f t="shared" ref="CT791:CT800" si="448">CT780</f>
        <v/>
      </c>
      <c r="CU791" s="478" t="str">
        <f ca="1">IF(OR(CT791="",DA791="",CT791=DA791,COUNTIF(games.rn,CT791&amp;DA791)=0),"",CONCATENATE(CT791,DA791))</f>
        <v/>
      </c>
      <c r="CV791" s="360" t="str">
        <f ca="1">IF(CU791="","",CONCATENATE(VLOOKUP(CU791,games.r,9,FALSE),VLOOKUP(CU791,games.r,12,FALSE)))</f>
        <v/>
      </c>
      <c r="CW791" s="354" t="str">
        <f ca="1">IF(CU791="","",VLOOKUP(CU791,games.r,10,FALSE))</f>
        <v/>
      </c>
      <c r="CX791" s="354" t="str">
        <f ca="1">IF(CU791="","",VLOOKUP(CU791,games.r,13,FALSE))</f>
        <v/>
      </c>
      <c r="CY791" s="361" t="str">
        <f ca="1">IF(CU791="","",VLOOKUP(CU791,games.r,6,FALSE))</f>
        <v/>
      </c>
      <c r="CZ791" s="362" t="str">
        <f ca="1">IF(CU791="","",VLOOKUP(CU791,games.r,7,FALSE))</f>
        <v/>
      </c>
      <c r="DA791" s="479" t="str">
        <f>CT781</f>
        <v/>
      </c>
      <c r="DB791" s="302"/>
      <c r="DC791" s="364"/>
      <c r="DD791" s="445"/>
      <c r="DF791" s="424"/>
      <c r="DW791" s="365"/>
      <c r="DX791" s="424"/>
      <c r="DZ791" s="365"/>
      <c r="EA791" s="365"/>
      <c r="EB791" s="365"/>
      <c r="EC791" s="404" t="str">
        <f>IF(NOT($AD$112),"",EC788)</f>
        <v/>
      </c>
      <c r="ED791" s="360" t="str">
        <f ca="1">IF(OR(EC791="",EJ791="",EC791=EJ791,ISNA(VLOOKUP(CONCATENATE(EC791,EJ791),games.a,2,FALSE))),"",CONCATENATE(EC791,EJ791))</f>
        <v/>
      </c>
      <c r="EE791" s="524" t="str">
        <f ca="1">IF(OR(ED791="",EJ786&gt;2),"",CONCATENATE(VLOOKUP(ED791,games.a,9,FALSE),VLOOKUP(ED791,games.a,12,FALSE)))</f>
        <v/>
      </c>
      <c r="EF791" s="413"/>
      <c r="EG791" s="414"/>
      <c r="EH791" s="525" t="str">
        <f ca="1">IF(ED791="","",VLOOKUP(ED791,games.a,6,FALSE))</f>
        <v/>
      </c>
      <c r="EI791" s="362" t="str">
        <f ca="1">IF(ED791="","",VLOOKUP(ED791,games.a,7,FALSE))</f>
        <v/>
      </c>
      <c r="EJ791" s="526" t="str">
        <f ca="1">EJ790</f>
        <v/>
      </c>
      <c r="EK791" s="527"/>
      <c r="EL791" s="528"/>
      <c r="EM791" s="424"/>
      <c r="EN791" s="424"/>
      <c r="EO791" s="425"/>
    </row>
    <row r="792" spans="98:145" x14ac:dyDescent="0.25">
      <c r="CT792" s="395" t="str">
        <f t="shared" si="448"/>
        <v/>
      </c>
      <c r="CU792" s="478" t="str">
        <f ca="1">IF(OR(CT792="",DA792="",CT792=DA792,COUNTIF(games.rn,CT792&amp;DA792)=0),"",CONCATENATE(CT792,DA792))</f>
        <v/>
      </c>
      <c r="CV792" s="360" t="str">
        <f ca="1">IF(CU792="","",CONCATENATE(VLOOKUP(CU792,games.r,9,FALSE),VLOOKUP(CU792,games.r,12,FALSE)))</f>
        <v/>
      </c>
      <c r="CW792" s="354" t="str">
        <f ca="1">IF(CU792="","",VLOOKUP(CU792,games.r,10,FALSE))</f>
        <v/>
      </c>
      <c r="CX792" s="354" t="str">
        <f ca="1">IF(CU792="","",VLOOKUP(CU792,games.r,13,FALSE))</f>
        <v/>
      </c>
      <c r="CY792" s="361" t="str">
        <f ca="1">IF(CU792="","",VLOOKUP(CU792,games.r,6,FALSE))</f>
        <v/>
      </c>
      <c r="CZ792" s="362" t="str">
        <f ca="1">IF(CU792="","",VLOOKUP(CU792,games.r,7,FALSE))</f>
        <v/>
      </c>
      <c r="DA792" s="379" t="str">
        <f t="shared" ref="DA792:DA800" si="449">DA791</f>
        <v/>
      </c>
      <c r="DB792" s="302"/>
      <c r="DC792" s="364"/>
      <c r="DD792" s="445"/>
      <c r="DF792" s="424"/>
      <c r="DW792" s="365"/>
      <c r="DX792" s="424"/>
      <c r="DZ792" s="365"/>
      <c r="EC792" s="404" t="str">
        <f>IF(NOT($AD$112),"",EC789)</f>
        <v/>
      </c>
      <c r="ED792" s="360" t="str">
        <f ca="1">IF(OR(EC792="",EJ792="",EC792=EJ792,ISNA(VLOOKUP(CONCATENATE(EC792,EJ792),games.a,2,FALSE))),"",CONCATENATE(EC792,EJ792))</f>
        <v/>
      </c>
      <c r="EE792" s="524" t="str">
        <f ca="1">IF(OR(ED792="",EJ786&gt;2),"",CONCATENATE(VLOOKUP(ED792,games.a,9,FALSE),VLOOKUP(ED792,games.a,12,FALSE)))</f>
        <v/>
      </c>
      <c r="EF792" s="413"/>
      <c r="EG792" s="414"/>
      <c r="EH792" s="525" t="str">
        <f ca="1">IF(ED792="","",VLOOKUP(ED792,games.a,6,FALSE))</f>
        <v/>
      </c>
      <c r="EI792" s="362" t="str">
        <f ca="1">IF(ED792="","",VLOOKUP(ED792,games.a,7,FALSE))</f>
        <v/>
      </c>
      <c r="EJ792" s="526" t="str">
        <f ca="1">EJ791</f>
        <v/>
      </c>
      <c r="EK792" s="527"/>
      <c r="EL792" s="528"/>
      <c r="EM792" s="424"/>
      <c r="EN792" s="424"/>
      <c r="EO792" s="425"/>
    </row>
    <row r="793" spans="98:145" x14ac:dyDescent="0.25">
      <c r="CT793" s="395" t="str">
        <f t="shared" si="448"/>
        <v/>
      </c>
      <c r="CU793" s="478" t="str">
        <f ca="1">IF(OR(CT793="",DA793="",CT793=DA793,COUNTIF(games.rn,CT793&amp;DA793)=0),"",CONCATENATE(CT793,DA793))</f>
        <v/>
      </c>
      <c r="CV793" s="360" t="str">
        <f ca="1">IF(CU793="","",CONCATENATE(VLOOKUP(CU793,games.r,9,FALSE),VLOOKUP(CU793,games.r,12,FALSE)))</f>
        <v/>
      </c>
      <c r="CW793" s="354" t="str">
        <f ca="1">IF(CU793="","",VLOOKUP(CU793,games.r,10,FALSE))</f>
        <v/>
      </c>
      <c r="CX793" s="354" t="str">
        <f ca="1">IF(CU793="","",VLOOKUP(CU793,games.r,13,FALSE))</f>
        <v/>
      </c>
      <c r="CY793" s="361" t="str">
        <f ca="1">IF(CU793="","",VLOOKUP(CU793,games.r,6,FALSE))</f>
        <v/>
      </c>
      <c r="CZ793" s="362" t="str">
        <f ca="1">IF(CU793="","",VLOOKUP(CU793,games.r,7,FALSE))</f>
        <v/>
      </c>
      <c r="DA793" s="379" t="str">
        <f t="shared" si="449"/>
        <v/>
      </c>
      <c r="DB793" s="302"/>
      <c r="DC793" s="364"/>
      <c r="DD793" s="445"/>
      <c r="DF793" s="424"/>
      <c r="DW793" s="365"/>
      <c r="DX793" s="424"/>
      <c r="DZ793" s="365"/>
      <c r="EA793" s="365"/>
      <c r="EB793" s="365"/>
      <c r="EC793" s="398"/>
      <c r="ED793" s="329" t="s">
        <v>157</v>
      </c>
      <c r="EE793" s="329" t="s">
        <v>158</v>
      </c>
      <c r="EF793" s="399"/>
      <c r="EG793" s="400"/>
      <c r="EH793" s="401" t="s">
        <v>160</v>
      </c>
      <c r="EI793" s="402" t="s">
        <v>135</v>
      </c>
      <c r="EJ793" s="398"/>
      <c r="EK793" s="365"/>
      <c r="EL793" s="365"/>
      <c r="EM793" s="424"/>
      <c r="EN793" s="424"/>
      <c r="EO793" s="425"/>
    </row>
    <row r="794" spans="98:145" x14ac:dyDescent="0.25">
      <c r="CT794" s="395" t="str">
        <f t="shared" si="448"/>
        <v/>
      </c>
      <c r="CU794" s="478" t="str">
        <f ca="1">IF(OR(CT794="",DA794="",CT794=DA794,COUNTIF(games.rn,CT794&amp;DA794)=0),"",CONCATENATE(CT794,DA794))</f>
        <v/>
      </c>
      <c r="CV794" s="360" t="str">
        <f ca="1">IF(CU794="","",CONCATENATE(VLOOKUP(CU794,games.r,9,FALSE),VLOOKUP(CU794,games.r,12,FALSE)))</f>
        <v/>
      </c>
      <c r="CW794" s="354" t="str">
        <f ca="1">IF(CU794="","",VLOOKUP(CU794,games.r,10,FALSE))</f>
        <v/>
      </c>
      <c r="CX794" s="354" t="str">
        <f ca="1">IF(CU794="","",VLOOKUP(CU794,games.r,13,FALSE))</f>
        <v/>
      </c>
      <c r="CY794" s="361" t="str">
        <f ca="1">IF(CU794="","",VLOOKUP(CU794,games.r,6,FALSE))</f>
        <v/>
      </c>
      <c r="CZ794" s="362" t="str">
        <f ca="1">IF(CU794="","",VLOOKUP(CU794,games.r,7,FALSE))</f>
        <v/>
      </c>
      <c r="DA794" s="379" t="str">
        <f t="shared" si="449"/>
        <v/>
      </c>
      <c r="DB794" s="302"/>
      <c r="DC794" s="364"/>
      <c r="DD794" s="445"/>
      <c r="DF794" s="424"/>
      <c r="DW794" s="365"/>
      <c r="DX794" s="424"/>
      <c r="DZ794" s="365"/>
      <c r="EA794" s="365"/>
      <c r="EB794" s="365"/>
      <c r="EC794" s="404" t="str">
        <f t="shared" ref="EC794:EC799" ca="1" si="450">EC787</f>
        <v/>
      </c>
      <c r="ED794" s="371" t="str">
        <f ca="1">IF(OR(EC794="",EJ794="",EC794=EJ794,ISNA(VLOOKUP(CONCATENATE(EC794,EJ794),games.r,2,FALSE))),"",CONCATENATE(EC794,EJ794))</f>
        <v/>
      </c>
      <c r="EE794" s="405" t="str">
        <f ca="1">IF(OR(ED794="",EJ786&gt;2),"",CONCATENATE(VLOOKUP(ED794,games.r,9,FALSE),VLOOKUP(ED794,games.r,12,FALSE)))</f>
        <v/>
      </c>
      <c r="EF794" s="406"/>
      <c r="EG794" s="407"/>
      <c r="EH794" s="408" t="str">
        <f ca="1">IF(ED794="","",VLOOKUP(ED794,games.r,6,FALSE))</f>
        <v/>
      </c>
      <c r="EI794" s="409" t="str">
        <f ca="1">IF(ED794="","",VLOOKUP(ED794,games.r,7,FALSE))</f>
        <v/>
      </c>
      <c r="EJ794" s="410" t="str">
        <f ca="1">EC788</f>
        <v/>
      </c>
      <c r="EK794" s="411"/>
      <c r="EL794" s="412"/>
      <c r="EM794" s="424"/>
      <c r="EN794" s="424"/>
      <c r="EO794" s="425"/>
    </row>
    <row r="795" spans="98:145" x14ac:dyDescent="0.25">
      <c r="CT795" s="395" t="str">
        <f t="shared" si="448"/>
        <v/>
      </c>
      <c r="CU795" s="478" t="str">
        <f ca="1">IF(OR(CT795="",DA795="",CT795=DA795,COUNTIF(games.rn,CT795&amp;DA795)=0),"",CONCATENATE(CT795,DA795))</f>
        <v/>
      </c>
      <c r="CV795" s="360" t="str">
        <f ca="1">IF(CU795="","",CONCATENATE(VLOOKUP(CU795,games.r,9,FALSE),VLOOKUP(CU795,games.r,12,FALSE)))</f>
        <v/>
      </c>
      <c r="CW795" s="354" t="str">
        <f ca="1">IF(CU795="","",VLOOKUP(CU795,games.r,10,FALSE))</f>
        <v/>
      </c>
      <c r="CX795" s="354" t="str">
        <f ca="1">IF(CU795="","",VLOOKUP(CU795,games.r,13,FALSE))</f>
        <v/>
      </c>
      <c r="CY795" s="361" t="str">
        <f ca="1">IF(CU795="","",VLOOKUP(CU795,games.r,6,FALSE))</f>
        <v/>
      </c>
      <c r="CZ795" s="362" t="str">
        <f ca="1">IF(CU795="","",VLOOKUP(CU795,games.r,7,FALSE))</f>
        <v/>
      </c>
      <c r="DA795" s="379" t="str">
        <f t="shared" si="449"/>
        <v/>
      </c>
      <c r="DB795" s="302"/>
      <c r="DC795" s="364"/>
      <c r="DD795" s="445"/>
      <c r="DF795" s="424"/>
      <c r="DW795" s="365"/>
      <c r="DX795" s="424"/>
      <c r="DZ795" s="424"/>
      <c r="EA795" s="365"/>
      <c r="EB795" s="365"/>
      <c r="EC795" s="404" t="str">
        <f t="shared" ca="1" si="450"/>
        <v/>
      </c>
      <c r="ED795" s="371" t="str">
        <f ca="1">IF(OR(EC795="",EJ795="",EC795=EJ795,ISNA(VLOOKUP(CONCATENATE(EC795,EJ795),games.r,2,FALSE))),"",CONCATENATE(EC795,EJ795))</f>
        <v/>
      </c>
      <c r="EE795" s="405" t="str">
        <f ca="1">IF(OR(ED795="",EJ786&gt;2),"",CONCATENATE(VLOOKUP(ED795,games.r,9,FALSE),VLOOKUP(ED795,games.r,12,FALSE)))</f>
        <v/>
      </c>
      <c r="EF795" s="413"/>
      <c r="EG795" s="414"/>
      <c r="EH795" s="408" t="str">
        <f ca="1">IF(ED795="","",VLOOKUP(ED795,games.r,6,FALSE))</f>
        <v/>
      </c>
      <c r="EI795" s="409" t="str">
        <f ca="1">IF(ED795="","",VLOOKUP(ED795,games.r,7,FALSE))</f>
        <v/>
      </c>
      <c r="EJ795" s="415" t="str">
        <f ca="1">EJ794</f>
        <v/>
      </c>
      <c r="EK795" s="416"/>
      <c r="EL795" s="417"/>
      <c r="EM795" s="424"/>
      <c r="EN795" s="424"/>
      <c r="EO795" s="425"/>
    </row>
    <row r="796" spans="98:145" x14ac:dyDescent="0.25">
      <c r="CT796" s="522" t="str">
        <f t="shared" si="448"/>
        <v/>
      </c>
      <c r="CU796" s="371" t="str">
        <f>IF(OR(CT796="",DA796="",CT796=DA796,ISNA(VLOOKUP(CONCATENATE(CT796,DA796),games.a,2,FALSE))),"",CONCATENATE(CT796,DA796))</f>
        <v/>
      </c>
      <c r="CV796" s="371" t="str">
        <f>IF(CU796="","",CONCATENATE(VLOOKUP(CU796,games.a,9,FALSE),VLOOKUP(CU796,games.a,12,FALSE)))</f>
        <v/>
      </c>
      <c r="CW796" s="369" t="str">
        <f>IF(CU796="","",VLOOKUP(CU796,games.a,10,FALSE))</f>
        <v/>
      </c>
      <c r="CX796" s="369" t="str">
        <f>IF(CU796="","",VLOOKUP(CU796,games.a,13,FALSE))</f>
        <v/>
      </c>
      <c r="CY796" s="423" t="str">
        <f>IF(CU796="","",VLOOKUP(CU796,games.a,6,FALSE))</f>
        <v/>
      </c>
      <c r="CZ796" s="409" t="str">
        <f>IF(CU796="","",VLOOKUP(CU796,games.a,7,FALSE))</f>
        <v/>
      </c>
      <c r="DA796" s="523" t="str">
        <f t="shared" si="449"/>
        <v/>
      </c>
      <c r="DB796" s="302"/>
      <c r="DC796" s="364"/>
      <c r="DD796" s="445"/>
      <c r="DF796" s="424"/>
      <c r="DW796" s="365"/>
      <c r="DX796" s="424"/>
      <c r="DZ796" s="424"/>
      <c r="EA796" s="424"/>
      <c r="EB796" s="424"/>
      <c r="EC796" s="404" t="str">
        <f t="shared" ca="1" si="450"/>
        <v/>
      </c>
      <c r="ED796" s="371" t="str">
        <f ca="1">IF(OR(EC796="",EJ796="",EC796=EJ796,ISNA(VLOOKUP(CONCATENATE(EC796,EJ796),games.r,2,FALSE))),"",CONCATENATE(EC796,EJ796))</f>
        <v/>
      </c>
      <c r="EE796" s="405" t="str">
        <f ca="1">IF(OR(ED796="",EJ786&gt;2),"",CONCATENATE(VLOOKUP(ED796,games.r,9,FALSE),VLOOKUP(ED796,games.r,12,FALSE)))</f>
        <v/>
      </c>
      <c r="EF796" s="413"/>
      <c r="EG796" s="414"/>
      <c r="EH796" s="408" t="str">
        <f ca="1">IF(ED796="","",VLOOKUP(ED796,games.r,6,FALSE))</f>
        <v/>
      </c>
      <c r="EI796" s="409" t="str">
        <f ca="1">IF(ED796="","",VLOOKUP(ED796,games.r,7,FALSE))</f>
        <v/>
      </c>
      <c r="EJ796" s="415" t="str">
        <f ca="1">EJ795</f>
        <v/>
      </c>
      <c r="EK796" s="416"/>
      <c r="EL796" s="417"/>
      <c r="EM796" s="424"/>
      <c r="EN796" s="424"/>
      <c r="EO796" s="425"/>
    </row>
    <row r="797" spans="98:145" x14ac:dyDescent="0.25">
      <c r="CT797" s="522" t="str">
        <f t="shared" si="448"/>
        <v/>
      </c>
      <c r="CU797" s="371" t="str">
        <f>IF(OR(CT797="",DA797="",CT797=DA797,ISNA(VLOOKUP(CONCATENATE(CT797,DA797),games.a,2,FALSE))),"",CONCATENATE(CT797,DA797))</f>
        <v/>
      </c>
      <c r="CV797" s="371" t="str">
        <f>IF(CU797="","",CONCATENATE(VLOOKUP(CU797,games.a,9,FALSE),VLOOKUP(CU797,games.a,12,FALSE)))</f>
        <v/>
      </c>
      <c r="CW797" s="369" t="str">
        <f>IF(CU797="","",VLOOKUP(CU797,games.a,10,FALSE))</f>
        <v/>
      </c>
      <c r="CX797" s="369" t="str">
        <f>IF(CU797="","",VLOOKUP(CU797,games.a,13,FALSE))</f>
        <v/>
      </c>
      <c r="CY797" s="423" t="str">
        <f>IF(CU797="","",VLOOKUP(CU797,games.a,6,FALSE))</f>
        <v/>
      </c>
      <c r="CZ797" s="409" t="str">
        <f>IF(CU797="","",VLOOKUP(CU797,games.a,7,FALSE))</f>
        <v/>
      </c>
      <c r="DA797" s="523" t="str">
        <f t="shared" si="449"/>
        <v/>
      </c>
      <c r="DB797" s="302"/>
      <c r="DC797" s="364"/>
      <c r="DD797" s="445"/>
      <c r="DF797" s="424"/>
      <c r="DW797" s="365"/>
      <c r="DX797" s="424"/>
      <c r="DY797" s="424"/>
      <c r="DZ797" s="424"/>
      <c r="EA797" s="424"/>
      <c r="EB797" s="424"/>
      <c r="EC797" s="404" t="str">
        <f t="shared" si="450"/>
        <v/>
      </c>
      <c r="ED797" s="360" t="str">
        <f ca="1">IF(OR(EC797="",EJ797="",EC797=EJ797,ISNA(VLOOKUP(CONCATENATE(EC797,EJ797),games.a,2,FALSE))),"",CONCATENATE(EC797,EJ797))</f>
        <v/>
      </c>
      <c r="EE797" s="524" t="str">
        <f ca="1">IF(OR(ED797="",EJ786&gt;2),"",CONCATENATE(VLOOKUP(ED797,games.a,9,FALSE),VLOOKUP(ED797,games.a,12,FALSE)))</f>
        <v/>
      </c>
      <c r="EF797" s="413"/>
      <c r="EG797" s="414"/>
      <c r="EH797" s="525" t="str">
        <f ca="1">IF(ED797="","",VLOOKUP(ED797,games.a,6,FALSE))</f>
        <v/>
      </c>
      <c r="EI797" s="362" t="str">
        <f ca="1">IF(ED797="","",VLOOKUP(ED797,games.a,7,FALSE))</f>
        <v/>
      </c>
      <c r="EJ797" s="526" t="str">
        <f ca="1">EJ796</f>
        <v/>
      </c>
      <c r="EK797" s="527"/>
      <c r="EL797" s="528"/>
      <c r="EM797" s="424"/>
      <c r="EN797" s="424"/>
      <c r="EO797" s="425"/>
    </row>
    <row r="798" spans="98:145" x14ac:dyDescent="0.25">
      <c r="CT798" s="522" t="str">
        <f t="shared" si="448"/>
        <v/>
      </c>
      <c r="CU798" s="371" t="str">
        <f>IF(OR(CT798="",DA798="",CT798=DA798,ISNA(VLOOKUP(CONCATENATE(CT798,DA798),games.a,2,FALSE))),"",CONCATENATE(CT798,DA798))</f>
        <v/>
      </c>
      <c r="CV798" s="371" t="str">
        <f>IF(CU798="","",CONCATENATE(VLOOKUP(CU798,games.a,9,FALSE),VLOOKUP(CU798,games.a,12,FALSE)))</f>
        <v/>
      </c>
      <c r="CW798" s="369" t="str">
        <f>IF(CU798="","",VLOOKUP(CU798,games.a,10,FALSE))</f>
        <v/>
      </c>
      <c r="CX798" s="369" t="str">
        <f>IF(CU798="","",VLOOKUP(CU798,games.a,13,FALSE))</f>
        <v/>
      </c>
      <c r="CY798" s="423" t="str">
        <f>IF(CU798="","",VLOOKUP(CU798,games.a,6,FALSE))</f>
        <v/>
      </c>
      <c r="CZ798" s="409" t="str">
        <f>IF(CU798="","",VLOOKUP(CU798,games.a,7,FALSE))</f>
        <v/>
      </c>
      <c r="DA798" s="523" t="str">
        <f t="shared" si="449"/>
        <v/>
      </c>
      <c r="DB798" s="302"/>
      <c r="DC798" s="364"/>
      <c r="DD798" s="445"/>
      <c r="DF798" s="424"/>
      <c r="DW798" s="365"/>
      <c r="DX798" s="424"/>
      <c r="DY798" s="424"/>
      <c r="DZ798" s="424"/>
      <c r="EA798" s="424"/>
      <c r="EB798" s="424"/>
      <c r="EC798" s="404" t="str">
        <f t="shared" si="450"/>
        <v/>
      </c>
      <c r="ED798" s="360" t="str">
        <f ca="1">IF(OR(EC798="",EJ798="",EC798=EJ798,ISNA(VLOOKUP(CONCATENATE(EC798,EJ798),games.a,2,FALSE))),"",CONCATENATE(EC798,EJ798))</f>
        <v/>
      </c>
      <c r="EE798" s="524" t="str">
        <f ca="1">IF(OR(ED798="",EJ786&gt;2),"",CONCATENATE(VLOOKUP(ED798,games.a,9,FALSE),VLOOKUP(ED798,games.a,12,FALSE)))</f>
        <v/>
      </c>
      <c r="EF798" s="413"/>
      <c r="EG798" s="414"/>
      <c r="EH798" s="525" t="str">
        <f ca="1">IF(ED798="","",VLOOKUP(ED798,games.a,6,FALSE))</f>
        <v/>
      </c>
      <c r="EI798" s="362" t="str">
        <f ca="1">IF(ED798="","",VLOOKUP(ED798,games.a,7,FALSE))</f>
        <v/>
      </c>
      <c r="EJ798" s="526" t="str">
        <f ca="1">EJ797</f>
        <v/>
      </c>
      <c r="EK798" s="527"/>
      <c r="EL798" s="528"/>
      <c r="EM798" s="424"/>
      <c r="EN798" s="424"/>
      <c r="EO798" s="425"/>
    </row>
    <row r="799" spans="98:145" x14ac:dyDescent="0.25">
      <c r="CT799" s="522" t="str">
        <f t="shared" si="448"/>
        <v/>
      </c>
      <c r="CU799" s="371" t="str">
        <f>IF(OR(CT799="",DA799="",CT799=DA799,ISNA(VLOOKUP(CONCATENATE(CT799,DA799),games.a,2,FALSE))),"",CONCATENATE(CT799,DA799))</f>
        <v/>
      </c>
      <c r="CV799" s="371" t="str">
        <f>IF(CU799="","",CONCATENATE(VLOOKUP(CU799,games.a,9,FALSE),VLOOKUP(CU799,games.a,12,FALSE)))</f>
        <v/>
      </c>
      <c r="CW799" s="369" t="str">
        <f>IF(CU799="","",VLOOKUP(CU799,games.a,10,FALSE))</f>
        <v/>
      </c>
      <c r="CX799" s="369" t="str">
        <f>IF(CU799="","",VLOOKUP(CU799,games.a,13,FALSE))</f>
        <v/>
      </c>
      <c r="CY799" s="423" t="str">
        <f>IF(CU799="","",VLOOKUP(CU799,games.a,6,FALSE))</f>
        <v/>
      </c>
      <c r="CZ799" s="409" t="str">
        <f>IF(CU799="","",VLOOKUP(CU799,games.a,7,FALSE))</f>
        <v/>
      </c>
      <c r="DA799" s="523" t="str">
        <f t="shared" si="449"/>
        <v/>
      </c>
      <c r="DB799" s="302"/>
      <c r="DC799" s="364"/>
      <c r="DD799" s="445"/>
      <c r="DF799" s="424"/>
      <c r="DW799" s="365"/>
      <c r="DX799" s="424"/>
      <c r="DY799" s="424"/>
      <c r="DZ799" s="424"/>
      <c r="EC799" s="404" t="str">
        <f t="shared" si="450"/>
        <v/>
      </c>
      <c r="ED799" s="360" t="str">
        <f ca="1">IF(OR(EC799="",EJ799="",EC799=EJ799,ISNA(VLOOKUP(CONCATENATE(EC799,EJ799),games.a,2,FALSE))),"",CONCATENATE(EC799,EJ799))</f>
        <v/>
      </c>
      <c r="EE799" s="524" t="str">
        <f ca="1">IF(OR(ED799="",EJ786&gt;2),"",CONCATENATE(VLOOKUP(ED799,games.a,9,FALSE),VLOOKUP(ED799,games.a,12,FALSE)))</f>
        <v/>
      </c>
      <c r="EF799" s="413"/>
      <c r="EG799" s="414"/>
      <c r="EH799" s="525" t="str">
        <f ca="1">IF(ED799="","",VLOOKUP(ED799,games.a,6,FALSE))</f>
        <v/>
      </c>
      <c r="EI799" s="362" t="str">
        <f ca="1">IF(ED799="","",VLOOKUP(ED799,games.a,7,FALSE))</f>
        <v/>
      </c>
      <c r="EJ799" s="526" t="str">
        <f ca="1">EJ798</f>
        <v/>
      </c>
      <c r="EK799" s="527"/>
      <c r="EL799" s="528"/>
      <c r="EO799" s="425"/>
    </row>
    <row r="800" spans="98:145" x14ac:dyDescent="0.25">
      <c r="CT800" s="522" t="str">
        <f t="shared" si="448"/>
        <v/>
      </c>
      <c r="CU800" s="371" t="str">
        <f>IF(OR(CT800="",DA800="",CT800=DA800,ISNA(VLOOKUP(CONCATENATE(CT800,DA800),games.a,2,FALSE))),"",CONCATENATE(CT800,DA800))</f>
        <v/>
      </c>
      <c r="CV800" s="371" t="str">
        <f>IF(CU800="","",CONCATENATE(VLOOKUP(CU800,games.a,9,FALSE),VLOOKUP(CU800,games.a,12,FALSE)))</f>
        <v/>
      </c>
      <c r="CW800" s="369" t="str">
        <f>IF(CU800="","",VLOOKUP(CU800,games.a,10,FALSE))</f>
        <v/>
      </c>
      <c r="CX800" s="369" t="str">
        <f>IF(CU800="","",VLOOKUP(CU800,games.a,13,FALSE))</f>
        <v/>
      </c>
      <c r="CY800" s="423" t="str">
        <f>IF(CU800="","",VLOOKUP(CU800,games.a,6,FALSE))</f>
        <v/>
      </c>
      <c r="CZ800" s="409" t="str">
        <f>IF(CU800="","",VLOOKUP(CU800,games.a,7,FALSE))</f>
        <v/>
      </c>
      <c r="DA800" s="523" t="str">
        <f t="shared" si="449"/>
        <v/>
      </c>
      <c r="DB800" s="302"/>
      <c r="DC800" s="364"/>
      <c r="DD800" s="445"/>
      <c r="DF800" s="424"/>
      <c r="DW800" s="424"/>
      <c r="DX800" s="424"/>
      <c r="DY800" s="424"/>
      <c r="DZ800" s="424"/>
      <c r="EA800" s="424"/>
      <c r="EB800" s="424"/>
      <c r="EC800" s="398"/>
      <c r="ED800" s="329" t="s">
        <v>157</v>
      </c>
      <c r="EE800" s="329" t="s">
        <v>158</v>
      </c>
      <c r="EF800" s="399"/>
      <c r="EG800" s="400"/>
      <c r="EH800" s="401" t="s">
        <v>160</v>
      </c>
      <c r="EI800" s="402" t="s">
        <v>135</v>
      </c>
      <c r="EJ800" s="398"/>
      <c r="EK800" s="365"/>
      <c r="EL800" s="365"/>
      <c r="EO800" s="425"/>
    </row>
    <row r="801" spans="98:145" x14ac:dyDescent="0.25">
      <c r="CT801" s="301"/>
      <c r="CU801" s="471" t="s">
        <v>157</v>
      </c>
      <c r="CV801" s="471" t="s">
        <v>158</v>
      </c>
      <c r="CW801" s="472" t="s">
        <v>159</v>
      </c>
      <c r="CX801" s="472"/>
      <c r="CY801" s="473" t="s">
        <v>160</v>
      </c>
      <c r="CZ801" s="472" t="s">
        <v>135</v>
      </c>
      <c r="DA801" s="302"/>
      <c r="DB801" s="302"/>
      <c r="DC801" s="364"/>
      <c r="DD801" s="445"/>
      <c r="DF801" s="424"/>
      <c r="DW801" s="424"/>
      <c r="DX801" s="424"/>
      <c r="DY801" s="424"/>
      <c r="DZ801" s="424"/>
      <c r="EA801" s="424"/>
      <c r="EB801" s="424"/>
      <c r="EC801" s="404" t="str">
        <f t="shared" ref="EC801:EC806" ca="1" si="451">EC794</f>
        <v/>
      </c>
      <c r="ED801" s="371" t="str">
        <f ca="1">IF(OR(EC801="",EJ801="",EC801=EJ801,ISNA(VLOOKUP(CONCATENATE(EC801,EJ801),games.r,2,FALSE))),"",CONCATENATE(EC801,EJ801))</f>
        <v/>
      </c>
      <c r="EE801" s="405" t="str">
        <f ca="1">IF(OR(ED801="",EJ786&gt;2),"",CONCATENATE(VLOOKUP(ED801,games.r,9,FALSE),VLOOKUP(ED801,games.r,12,FALSE)))</f>
        <v/>
      </c>
      <c r="EF801" s="406"/>
      <c r="EG801" s="407"/>
      <c r="EH801" s="408" t="str">
        <f ca="1">IF(ED801="","",VLOOKUP(ED801,games.r,6,FALSE))</f>
        <v/>
      </c>
      <c r="EI801" s="409" t="str">
        <f ca="1">IF(ED801="","",VLOOKUP(ED801,games.r,7,FALSE))</f>
        <v/>
      </c>
      <c r="EJ801" s="410" t="str">
        <f ca="1">EC789</f>
        <v/>
      </c>
      <c r="EK801" s="411"/>
      <c r="EL801" s="412"/>
      <c r="EO801" s="425"/>
    </row>
    <row r="802" spans="98:145" x14ac:dyDescent="0.25">
      <c r="CT802" s="395" t="str">
        <f t="shared" ref="CT802:CT811" si="452">CT791</f>
        <v/>
      </c>
      <c r="CU802" s="478" t="str">
        <f ca="1">IF(OR(CT802="",DA802="",CT802=DA802,COUNTIF(games.rn,CT802&amp;DA802)=0),"",CONCATENATE(CT802,DA802))</f>
        <v/>
      </c>
      <c r="CV802" s="360" t="str">
        <f ca="1">IF(CU802="","",CONCATENATE(VLOOKUP(CU802,games.r,9,FALSE),VLOOKUP(CU802,games.r,12,FALSE)))</f>
        <v/>
      </c>
      <c r="CW802" s="354" t="str">
        <f ca="1">IF(CU802="","",VLOOKUP(CU802,games.r,10,FALSE))</f>
        <v/>
      </c>
      <c r="CX802" s="354" t="str">
        <f ca="1">IF(CU802="","",VLOOKUP(CU802,games.r,13,FALSE))</f>
        <v/>
      </c>
      <c r="CY802" s="361" t="str">
        <f ca="1">IF(CU802="","",VLOOKUP(CU802,games.r,6,FALSE))</f>
        <v/>
      </c>
      <c r="CZ802" s="362" t="str">
        <f ca="1">IF(CU802="","",VLOOKUP(CU802,games.r,7,FALSE))</f>
        <v/>
      </c>
      <c r="DA802" s="479" t="str">
        <f>CT782</f>
        <v/>
      </c>
      <c r="DB802" s="302"/>
      <c r="DC802" s="364"/>
      <c r="DD802" s="445"/>
      <c r="DF802" s="424"/>
      <c r="DW802" s="424"/>
      <c r="DX802" s="424"/>
      <c r="DY802" s="424"/>
      <c r="DZ802" s="424"/>
      <c r="EA802" s="424"/>
      <c r="EB802" s="424"/>
      <c r="EC802" s="404" t="str">
        <f t="shared" ca="1" si="451"/>
        <v/>
      </c>
      <c r="ED802" s="371" t="str">
        <f ca="1">IF(OR(EC802="",EJ802="",EC802=EJ802,ISNA(VLOOKUP(CONCATENATE(EC802,EJ802),games.r,2,FALSE))),"",CONCATENATE(EC802,EJ802))</f>
        <v/>
      </c>
      <c r="EE802" s="405" t="str">
        <f ca="1">IF(OR(ED802="",EJ786&gt;2),"",CONCATENATE(VLOOKUP(ED802,games.r,9,FALSE),VLOOKUP(ED802,games.r,12,FALSE)))</f>
        <v/>
      </c>
      <c r="EF802" s="413"/>
      <c r="EG802" s="414"/>
      <c r="EH802" s="408" t="str">
        <f ca="1">IF(ED802="","",VLOOKUP(ED802,games.r,6,FALSE))</f>
        <v/>
      </c>
      <c r="EI802" s="409" t="str">
        <f ca="1">IF(ED802="","",VLOOKUP(ED802,games.r,7,FALSE))</f>
        <v/>
      </c>
      <c r="EJ802" s="415" t="str">
        <f ca="1">EJ801</f>
        <v/>
      </c>
      <c r="EK802" s="416"/>
      <c r="EL802" s="417"/>
      <c r="EO802" s="425"/>
    </row>
    <row r="803" spans="98:145" x14ac:dyDescent="0.25">
      <c r="CT803" s="395" t="str">
        <f t="shared" si="452"/>
        <v/>
      </c>
      <c r="CU803" s="478" t="str">
        <f ca="1">IF(OR(CT803="",DA803="",CT803=DA803,COUNTIF(games.rn,CT803&amp;DA803)=0),"",CONCATENATE(CT803,DA803))</f>
        <v/>
      </c>
      <c r="CV803" s="360" t="str">
        <f ca="1">IF(CU803="","",CONCATENATE(VLOOKUP(CU803,games.r,9,FALSE),VLOOKUP(CU803,games.r,12,FALSE)))</f>
        <v/>
      </c>
      <c r="CW803" s="354" t="str">
        <f ca="1">IF(CU803="","",VLOOKUP(CU803,games.r,10,FALSE))</f>
        <v/>
      </c>
      <c r="CX803" s="354" t="str">
        <f ca="1">IF(CU803="","",VLOOKUP(CU803,games.r,13,FALSE))</f>
        <v/>
      </c>
      <c r="CY803" s="361" t="str">
        <f ca="1">IF(CU803="","",VLOOKUP(CU803,games.r,6,FALSE))</f>
        <v/>
      </c>
      <c r="CZ803" s="362" t="str">
        <f ca="1">IF(CU803="","",VLOOKUP(CU803,games.r,7,FALSE))</f>
        <v/>
      </c>
      <c r="DA803" s="379" t="str">
        <f t="shared" ref="DA803:DA811" si="453">DA802</f>
        <v/>
      </c>
      <c r="DB803" s="302"/>
      <c r="DC803" s="364"/>
      <c r="DD803" s="445"/>
      <c r="DF803" s="424"/>
      <c r="DW803" s="424"/>
      <c r="DX803" s="424"/>
      <c r="DY803" s="424"/>
      <c r="DZ803" s="424"/>
      <c r="EA803" s="424"/>
      <c r="EB803" s="424"/>
      <c r="EC803" s="404" t="str">
        <f t="shared" ca="1" si="451"/>
        <v/>
      </c>
      <c r="ED803" s="371" t="str">
        <f ca="1">IF(OR(EC803="",EJ803="",EC803=EJ803,ISNA(VLOOKUP(CONCATENATE(EC803,EJ803),games.r,2,FALSE))),"",CONCATENATE(EC803,EJ803))</f>
        <v/>
      </c>
      <c r="EE803" s="405" t="str">
        <f ca="1">IF(OR(ED803="",EJ786&gt;2),"",CONCATENATE(VLOOKUP(ED803,games.r,9,FALSE),VLOOKUP(ED803,games.r,12,FALSE)))</f>
        <v/>
      </c>
      <c r="EF803" s="413"/>
      <c r="EG803" s="414"/>
      <c r="EH803" s="408" t="str">
        <f ca="1">IF(ED803="","",VLOOKUP(ED803,games.r,6,FALSE))</f>
        <v/>
      </c>
      <c r="EI803" s="409" t="str">
        <f ca="1">IF(ED803="","",VLOOKUP(ED803,games.r,7,FALSE))</f>
        <v/>
      </c>
      <c r="EJ803" s="415" t="str">
        <f ca="1">EJ802</f>
        <v/>
      </c>
      <c r="EK803" s="416"/>
      <c r="EL803" s="417"/>
      <c r="EO803" s="425"/>
    </row>
    <row r="804" spans="98:145" x14ac:dyDescent="0.25">
      <c r="CT804" s="395" t="str">
        <f t="shared" si="452"/>
        <v/>
      </c>
      <c r="CU804" s="478" t="str">
        <f ca="1">IF(OR(CT804="",DA804="",CT804=DA804,COUNTIF(games.rn,CT804&amp;DA804)=0),"",CONCATENATE(CT804,DA804))</f>
        <v/>
      </c>
      <c r="CV804" s="360" t="str">
        <f ca="1">IF(CU804="","",CONCATENATE(VLOOKUP(CU804,games.r,9,FALSE),VLOOKUP(CU804,games.r,12,FALSE)))</f>
        <v/>
      </c>
      <c r="CW804" s="354" t="str">
        <f ca="1">IF(CU804="","",VLOOKUP(CU804,games.r,10,FALSE))</f>
        <v/>
      </c>
      <c r="CX804" s="354" t="str">
        <f ca="1">IF(CU804="","",VLOOKUP(CU804,games.r,13,FALSE))</f>
        <v/>
      </c>
      <c r="CY804" s="361" t="str">
        <f ca="1">IF(CU804="","",VLOOKUP(CU804,games.r,6,FALSE))</f>
        <v/>
      </c>
      <c r="CZ804" s="362" t="str">
        <f ca="1">IF(CU804="","",VLOOKUP(CU804,games.r,7,FALSE))</f>
        <v/>
      </c>
      <c r="DA804" s="379" t="str">
        <f t="shared" si="453"/>
        <v/>
      </c>
      <c r="DB804" s="302"/>
      <c r="DC804" s="364"/>
      <c r="DD804" s="445"/>
      <c r="DF804" s="424"/>
      <c r="DW804" s="424"/>
      <c r="DX804" s="424"/>
      <c r="DY804" s="424"/>
      <c r="DZ804" s="424"/>
      <c r="EA804" s="424"/>
      <c r="EB804" s="424"/>
      <c r="EC804" s="404" t="str">
        <f t="shared" si="451"/>
        <v/>
      </c>
      <c r="ED804" s="360" t="str">
        <f ca="1">IF(OR(EC804="",EJ804="",EC804=EJ804,ISNA(VLOOKUP(CONCATENATE(EC804,EJ804),games.a,2,FALSE))),"",CONCATENATE(EC804,EJ804))</f>
        <v/>
      </c>
      <c r="EE804" s="524" t="str">
        <f ca="1">IF(OR(ED804="",EJ786&gt;2),"",CONCATENATE(VLOOKUP(ED804,games.a,9,FALSE),VLOOKUP(ED804,games.a,12,FALSE)))</f>
        <v/>
      </c>
      <c r="EF804" s="413"/>
      <c r="EG804" s="414"/>
      <c r="EH804" s="525" t="str">
        <f ca="1">IF(ED804="","",VLOOKUP(ED804,games.a,6,FALSE))</f>
        <v/>
      </c>
      <c r="EI804" s="362" t="str">
        <f ca="1">IF(ED804="","",VLOOKUP(ED804,games.a,7,FALSE))</f>
        <v/>
      </c>
      <c r="EJ804" s="526" t="str">
        <f ca="1">EJ803</f>
        <v/>
      </c>
      <c r="EK804" s="527"/>
      <c r="EL804" s="528"/>
      <c r="EO804" s="425"/>
    </row>
    <row r="805" spans="98:145" x14ac:dyDescent="0.25">
      <c r="CT805" s="395" t="str">
        <f t="shared" si="452"/>
        <v/>
      </c>
      <c r="CU805" s="478" t="str">
        <f ca="1">IF(OR(CT805="",DA805="",CT805=DA805,COUNTIF(games.rn,CT805&amp;DA805)=0),"",CONCATENATE(CT805,DA805))</f>
        <v/>
      </c>
      <c r="CV805" s="360" t="str">
        <f ca="1">IF(CU805="","",CONCATENATE(VLOOKUP(CU805,games.r,9,FALSE),VLOOKUP(CU805,games.r,12,FALSE)))</f>
        <v/>
      </c>
      <c r="CW805" s="354" t="str">
        <f ca="1">IF(CU805="","",VLOOKUP(CU805,games.r,10,FALSE))</f>
        <v/>
      </c>
      <c r="CX805" s="354" t="str">
        <f ca="1">IF(CU805="","",VLOOKUP(CU805,games.r,13,FALSE))</f>
        <v/>
      </c>
      <c r="CY805" s="361" t="str">
        <f ca="1">IF(CU805="","",VLOOKUP(CU805,games.r,6,FALSE))</f>
        <v/>
      </c>
      <c r="CZ805" s="362" t="str">
        <f ca="1">IF(CU805="","",VLOOKUP(CU805,games.r,7,FALSE))</f>
        <v/>
      </c>
      <c r="DA805" s="379" t="str">
        <f t="shared" si="453"/>
        <v/>
      </c>
      <c r="DB805" s="302"/>
      <c r="DC805" s="364"/>
      <c r="DD805" s="445"/>
      <c r="DF805" s="424"/>
      <c r="DW805" s="424"/>
      <c r="DX805" s="424"/>
      <c r="DY805" s="424"/>
      <c r="DZ805" s="424"/>
      <c r="EA805" s="424"/>
      <c r="EB805" s="424"/>
      <c r="EC805" s="404" t="str">
        <f t="shared" si="451"/>
        <v/>
      </c>
      <c r="ED805" s="360" t="str">
        <f ca="1">IF(OR(EC805="",EJ805="",EC805=EJ805,ISNA(VLOOKUP(CONCATENATE(EC805,EJ805),games.a,2,FALSE))),"",CONCATENATE(EC805,EJ805))</f>
        <v/>
      </c>
      <c r="EE805" s="524" t="str">
        <f ca="1">IF(OR(ED805="",EJ786&gt;2),"",CONCATENATE(VLOOKUP(ED805,games.a,9,FALSE),VLOOKUP(ED805,games.a,12,FALSE)))</f>
        <v/>
      </c>
      <c r="EF805" s="413"/>
      <c r="EG805" s="414"/>
      <c r="EH805" s="525" t="str">
        <f ca="1">IF(ED805="","",VLOOKUP(ED805,games.a,6,FALSE))</f>
        <v/>
      </c>
      <c r="EI805" s="362" t="str">
        <f ca="1">IF(ED805="","",VLOOKUP(ED805,games.a,7,FALSE))</f>
        <v/>
      </c>
      <c r="EJ805" s="526" t="str">
        <f ca="1">EJ804</f>
        <v/>
      </c>
      <c r="EK805" s="527"/>
      <c r="EL805" s="528"/>
      <c r="EO805" s="425"/>
    </row>
    <row r="806" spans="98:145" x14ac:dyDescent="0.25">
      <c r="CT806" s="395" t="str">
        <f t="shared" si="452"/>
        <v/>
      </c>
      <c r="CU806" s="478" t="str">
        <f ca="1">IF(OR(CT806="",DA806="",CT806=DA806,COUNTIF(games.rn,CT806&amp;DA806)=0),"",CONCATENATE(CT806,DA806))</f>
        <v/>
      </c>
      <c r="CV806" s="360" t="str">
        <f ca="1">IF(CU806="","",CONCATENATE(VLOOKUP(CU806,games.r,9,FALSE),VLOOKUP(CU806,games.r,12,FALSE)))</f>
        <v/>
      </c>
      <c r="CW806" s="354" t="str">
        <f ca="1">IF(CU806="","",VLOOKUP(CU806,games.r,10,FALSE))</f>
        <v/>
      </c>
      <c r="CX806" s="354" t="str">
        <f ca="1">IF(CU806="","",VLOOKUP(CU806,games.r,13,FALSE))</f>
        <v/>
      </c>
      <c r="CY806" s="361" t="str">
        <f ca="1">IF(CU806="","",VLOOKUP(CU806,games.r,6,FALSE))</f>
        <v/>
      </c>
      <c r="CZ806" s="362" t="str">
        <f ca="1">IF(CU806="","",VLOOKUP(CU806,games.r,7,FALSE))</f>
        <v/>
      </c>
      <c r="DA806" s="379" t="str">
        <f t="shared" si="453"/>
        <v/>
      </c>
      <c r="DB806" s="302"/>
      <c r="DC806" s="364"/>
      <c r="DD806" s="445"/>
      <c r="DF806" s="424"/>
      <c r="DW806" s="424"/>
      <c r="DX806" s="424"/>
      <c r="DY806" s="424"/>
      <c r="DZ806" s="424"/>
      <c r="EA806" s="424"/>
      <c r="EC806" s="404" t="str">
        <f t="shared" si="451"/>
        <v/>
      </c>
      <c r="ED806" s="360" t="str">
        <f ca="1">IF(OR(EC806="",EJ806="",EC806=EJ806,ISNA(VLOOKUP(CONCATENATE(EC806,EJ806),games.a,2,FALSE))),"",CONCATENATE(EC806,EJ806))</f>
        <v/>
      </c>
      <c r="EE806" s="524" t="str">
        <f ca="1">IF(OR(ED806="",EJ786&gt;2),"",CONCATENATE(VLOOKUP(ED806,games.a,9,FALSE),VLOOKUP(ED806,games.a,12,FALSE)))</f>
        <v/>
      </c>
      <c r="EF806" s="413"/>
      <c r="EG806" s="414"/>
      <c r="EH806" s="525" t="str">
        <f ca="1">IF(ED806="","",VLOOKUP(ED806,games.a,6,FALSE))</f>
        <v/>
      </c>
      <c r="EI806" s="362" t="str">
        <f ca="1">IF(ED806="","",VLOOKUP(ED806,games.a,7,FALSE))</f>
        <v/>
      </c>
      <c r="EJ806" s="526" t="str">
        <f ca="1">EJ805</f>
        <v/>
      </c>
      <c r="EK806" s="527"/>
      <c r="EL806" s="528"/>
      <c r="EO806" s="425"/>
    </row>
    <row r="807" spans="98:145" x14ac:dyDescent="0.25">
      <c r="CT807" s="522" t="str">
        <f t="shared" si="452"/>
        <v/>
      </c>
      <c r="CU807" s="371" t="str">
        <f>IF(OR(CT807="",DA807="",CT807=DA807,ISNA(VLOOKUP(CONCATENATE(CT807,DA807),games.a,2,FALSE))),"",CONCATENATE(CT807,DA807))</f>
        <v/>
      </c>
      <c r="CV807" s="371" t="str">
        <f>IF(CU807="","",CONCATENATE(VLOOKUP(CU807,games.a,9,FALSE),VLOOKUP(CU807,games.a,12,FALSE)))</f>
        <v/>
      </c>
      <c r="CW807" s="369" t="str">
        <f>IF(CU807="","",VLOOKUP(CU807,games.a,10,FALSE))</f>
        <v/>
      </c>
      <c r="CX807" s="369" t="str">
        <f>IF(CU807="","",VLOOKUP(CU807,games.a,13,FALSE))</f>
        <v/>
      </c>
      <c r="CY807" s="423" t="str">
        <f>IF(CU807="","",VLOOKUP(CU807,games.a,6,FALSE))</f>
        <v/>
      </c>
      <c r="CZ807" s="409" t="str">
        <f>IF(CU807="","",VLOOKUP(CU807,games.a,7,FALSE))</f>
        <v/>
      </c>
      <c r="DA807" s="523" t="str">
        <f t="shared" si="453"/>
        <v/>
      </c>
      <c r="DB807" s="302"/>
      <c r="DC807" s="364"/>
      <c r="DD807" s="445"/>
      <c r="DF807" s="424"/>
      <c r="DW807" s="424"/>
      <c r="DX807" s="424"/>
      <c r="DY807" s="424"/>
      <c r="DZ807" s="424"/>
      <c r="EA807" s="424"/>
      <c r="EB807" s="424"/>
      <c r="EC807" s="424"/>
      <c r="ED807" s="424"/>
      <c r="EE807" s="424"/>
      <c r="EF807" s="424"/>
      <c r="EG807" s="424"/>
      <c r="EH807" s="424"/>
      <c r="EI807" s="424"/>
      <c r="EJ807" s="424"/>
      <c r="EK807" s="424"/>
      <c r="EL807" s="424"/>
      <c r="EO807" s="425"/>
    </row>
    <row r="808" spans="98:145" x14ac:dyDescent="0.25">
      <c r="CT808" s="522" t="str">
        <f t="shared" si="452"/>
        <v/>
      </c>
      <c r="CU808" s="371" t="str">
        <f>IF(OR(CT808="",DA808="",CT808=DA808,ISNA(VLOOKUP(CONCATENATE(CT808,DA808),games.a,2,FALSE))),"",CONCATENATE(CT808,DA808))</f>
        <v/>
      </c>
      <c r="CV808" s="371" t="str">
        <f>IF(CU808="","",CONCATENATE(VLOOKUP(CU808,games.a,9,FALSE),VLOOKUP(CU808,games.a,12,FALSE)))</f>
        <v/>
      </c>
      <c r="CW808" s="369" t="str">
        <f>IF(CU808="","",VLOOKUP(CU808,games.a,10,FALSE))</f>
        <v/>
      </c>
      <c r="CX808" s="369" t="str">
        <f>IF(CU808="","",VLOOKUP(CU808,games.a,13,FALSE))</f>
        <v/>
      </c>
      <c r="CY808" s="423" t="str">
        <f>IF(CU808="","",VLOOKUP(CU808,games.a,6,FALSE))</f>
        <v/>
      </c>
      <c r="CZ808" s="409" t="str">
        <f>IF(CU808="","",VLOOKUP(CU808,games.a,7,FALSE))</f>
        <v/>
      </c>
      <c r="DA808" s="523" t="str">
        <f t="shared" si="453"/>
        <v/>
      </c>
      <c r="DB808" s="302"/>
      <c r="DC808" s="364"/>
      <c r="DD808" s="445"/>
      <c r="DF808" s="424"/>
      <c r="DG808" s="424"/>
      <c r="DH808" s="424"/>
      <c r="DI808" s="424"/>
      <c r="DJ808" s="424"/>
      <c r="DK808" s="424"/>
      <c r="DL808" s="424"/>
      <c r="DM808" s="424"/>
      <c r="DN808" s="424"/>
      <c r="DO808" s="424"/>
      <c r="DP808" s="424"/>
      <c r="DQ808" s="424"/>
      <c r="DR808" s="424"/>
      <c r="DS808" s="424"/>
      <c r="DT808" s="424"/>
      <c r="DU808" s="424"/>
      <c r="DV808" s="424"/>
      <c r="DW808" s="424"/>
      <c r="DX808" s="424"/>
      <c r="DY808" s="424"/>
      <c r="DZ808" s="424"/>
      <c r="EA808" s="424"/>
      <c r="EB808" s="424"/>
      <c r="EC808" s="424"/>
      <c r="ED808" s="424"/>
      <c r="EE808" s="424"/>
      <c r="EF808" s="424"/>
      <c r="EG808" s="424"/>
      <c r="EH808" s="424"/>
      <c r="EI808" s="424"/>
      <c r="EJ808" s="424"/>
      <c r="EK808" s="424"/>
      <c r="EL808" s="424"/>
      <c r="EO808" s="425"/>
    </row>
    <row r="809" spans="98:145" x14ac:dyDescent="0.25">
      <c r="CT809" s="522" t="str">
        <f t="shared" si="452"/>
        <v/>
      </c>
      <c r="CU809" s="371" t="str">
        <f>IF(OR(CT809="",DA809="",CT809=DA809,ISNA(VLOOKUP(CONCATENATE(CT809,DA809),games.a,2,FALSE))),"",CONCATENATE(CT809,DA809))</f>
        <v/>
      </c>
      <c r="CV809" s="371" t="str">
        <f>IF(CU809="","",CONCATENATE(VLOOKUP(CU809,games.a,9,FALSE),VLOOKUP(CU809,games.a,12,FALSE)))</f>
        <v/>
      </c>
      <c r="CW809" s="369" t="str">
        <f>IF(CU809="","",VLOOKUP(CU809,games.a,10,FALSE))</f>
        <v/>
      </c>
      <c r="CX809" s="369" t="str">
        <f>IF(CU809="","",VLOOKUP(CU809,games.a,13,FALSE))</f>
        <v/>
      </c>
      <c r="CY809" s="423" t="str">
        <f>IF(CU809="","",VLOOKUP(CU809,games.a,6,FALSE))</f>
        <v/>
      </c>
      <c r="CZ809" s="409" t="str">
        <f>IF(CU809="","",VLOOKUP(CU809,games.a,7,FALSE))</f>
        <v/>
      </c>
      <c r="DA809" s="523" t="str">
        <f t="shared" si="453"/>
        <v/>
      </c>
      <c r="DB809" s="302"/>
      <c r="DC809" s="364"/>
      <c r="DD809" s="445"/>
      <c r="DF809" s="424"/>
      <c r="DG809" s="424"/>
      <c r="DH809" s="424"/>
      <c r="DI809" s="424"/>
      <c r="DJ809" s="424"/>
      <c r="DK809" s="424"/>
      <c r="DL809" s="424"/>
      <c r="DM809" s="424"/>
      <c r="DN809" s="424"/>
      <c r="DO809" s="424"/>
      <c r="DP809" s="424"/>
      <c r="DQ809" s="424"/>
      <c r="DR809" s="424"/>
      <c r="DS809" s="424"/>
      <c r="DT809" s="424"/>
      <c r="DU809" s="424"/>
      <c r="DV809" s="424"/>
      <c r="DW809" s="424"/>
      <c r="DX809" s="424"/>
      <c r="DY809" s="424"/>
      <c r="DZ809" s="424"/>
      <c r="EA809" s="424"/>
      <c r="EB809" s="424"/>
      <c r="EC809" s="398"/>
      <c r="ED809" s="329" t="s">
        <v>157</v>
      </c>
      <c r="EE809" s="329" t="s">
        <v>158</v>
      </c>
      <c r="EF809" s="399"/>
      <c r="EG809" s="400"/>
      <c r="EH809" s="401" t="s">
        <v>160</v>
      </c>
      <c r="EI809" s="402" t="s">
        <v>135</v>
      </c>
      <c r="EJ809" s="424"/>
      <c r="EK809" s="365"/>
      <c r="EL809" s="365"/>
      <c r="EO809" s="425"/>
    </row>
    <row r="810" spans="98:145" x14ac:dyDescent="0.25">
      <c r="CT810" s="522" t="str">
        <f t="shared" si="452"/>
        <v/>
      </c>
      <c r="CU810" s="371" t="str">
        <f>IF(OR(CT810="",DA810="",CT810=DA810,ISNA(VLOOKUP(CONCATENATE(CT810,DA810),games.a,2,FALSE))),"",CONCATENATE(CT810,DA810))</f>
        <v/>
      </c>
      <c r="CV810" s="371" t="str">
        <f>IF(CU810="","",CONCATENATE(VLOOKUP(CU810,games.a,9,FALSE),VLOOKUP(CU810,games.a,12,FALSE)))</f>
        <v/>
      </c>
      <c r="CW810" s="369" t="str">
        <f>IF(CU810="","",VLOOKUP(CU810,games.a,10,FALSE))</f>
        <v/>
      </c>
      <c r="CX810" s="369" t="str">
        <f>IF(CU810="","",VLOOKUP(CU810,games.a,13,FALSE))</f>
        <v/>
      </c>
      <c r="CY810" s="423" t="str">
        <f>IF(CU810="","",VLOOKUP(CU810,games.a,6,FALSE))</f>
        <v/>
      </c>
      <c r="CZ810" s="409" t="str">
        <f>IF(CU810="","",VLOOKUP(CU810,games.a,7,FALSE))</f>
        <v/>
      </c>
      <c r="DA810" s="523" t="str">
        <f t="shared" si="453"/>
        <v/>
      </c>
      <c r="DB810" s="302"/>
      <c r="DC810" s="364"/>
      <c r="DD810" s="445"/>
      <c r="DF810" s="424"/>
      <c r="DG810" s="424"/>
      <c r="DH810" s="424"/>
      <c r="DI810" s="424"/>
      <c r="DJ810" s="424"/>
      <c r="DK810" s="424"/>
      <c r="DL810" s="424"/>
      <c r="DM810" s="424"/>
      <c r="DN810" s="424"/>
      <c r="DO810" s="424"/>
      <c r="DP810" s="424"/>
      <c r="DQ810" s="424"/>
      <c r="DR810" s="424"/>
      <c r="DS810" s="424"/>
      <c r="DT810" s="424"/>
      <c r="DU810" s="424"/>
      <c r="DV810" s="424"/>
      <c r="DW810" s="424"/>
      <c r="DX810" s="424"/>
      <c r="DY810" s="424"/>
      <c r="DZ810" s="424"/>
      <c r="EA810" s="424"/>
      <c r="EB810" s="424"/>
      <c r="EC810" s="404" t="str">
        <f ca="1">IF(EI780="","",VLOOKUP(EI780,yyy.rn3,7,FALSE))</f>
        <v/>
      </c>
      <c r="ED810" s="371" t="str">
        <f ca="1">IF(OR(EC810="",EJ810="",EC810=EJ810,ISNA(VLOOKUP(CONCATENATE(EC810,EJ810),games.r,2,FALSE))),"",CONCATENATE(EC810,EJ810))</f>
        <v/>
      </c>
      <c r="EE810" s="371" t="str">
        <f ca="1">IF(ED810="","",CONCATENATE(VLOOKUP(ED810,games.r,9,FALSE),VLOOKUP(ED810,games.r,12,FALSE)))</f>
        <v/>
      </c>
      <c r="EF810" s="406"/>
      <c r="EG810" s="407"/>
      <c r="EH810" s="408" t="str">
        <f ca="1">IF(ED810="","",VLOOKUP(ED810,games.r,6,FALSE))</f>
        <v/>
      </c>
      <c r="EI810" s="409" t="str">
        <f ca="1">IF(ED810="","",VLOOKUP(ED810,games.r,7,FALSE))</f>
        <v/>
      </c>
      <c r="EJ810" s="410" t="str">
        <f ca="1">EC810</f>
        <v/>
      </c>
      <c r="EK810" s="411"/>
      <c r="EL810" s="412"/>
      <c r="EO810" s="425"/>
    </row>
    <row r="811" spans="98:145" x14ac:dyDescent="0.25">
      <c r="CT811" s="522" t="str">
        <f t="shared" si="452"/>
        <v/>
      </c>
      <c r="CU811" s="371" t="str">
        <f>IF(OR(CT811="",DA811="",CT811=DA811,ISNA(VLOOKUP(CONCATENATE(CT811,DA811),games.a,2,FALSE))),"",CONCATENATE(CT811,DA811))</f>
        <v/>
      </c>
      <c r="CV811" s="371" t="str">
        <f>IF(CU811="","",CONCATENATE(VLOOKUP(CU811,games.a,9,FALSE),VLOOKUP(CU811,games.a,12,FALSE)))</f>
        <v/>
      </c>
      <c r="CW811" s="369" t="str">
        <f>IF(CU811="","",VLOOKUP(CU811,games.a,10,FALSE))</f>
        <v/>
      </c>
      <c r="CX811" s="369" t="str">
        <f>IF(CU811="","",VLOOKUP(CU811,games.a,13,FALSE))</f>
        <v/>
      </c>
      <c r="CY811" s="423" t="str">
        <f>IF(CU811="","",VLOOKUP(CU811,games.a,6,FALSE))</f>
        <v/>
      </c>
      <c r="CZ811" s="409" t="str">
        <f>IF(CU811="","",VLOOKUP(CU811,games.a,7,FALSE))</f>
        <v/>
      </c>
      <c r="DA811" s="523" t="str">
        <f t="shared" si="453"/>
        <v/>
      </c>
      <c r="DB811" s="302"/>
      <c r="DC811" s="364"/>
      <c r="DD811" s="445"/>
      <c r="DF811" s="424"/>
      <c r="DG811" s="424"/>
      <c r="DH811" s="424"/>
      <c r="DI811" s="424"/>
      <c r="DJ811" s="424"/>
      <c r="DK811" s="424"/>
      <c r="DL811" s="424"/>
      <c r="DM811" s="424"/>
      <c r="DN811" s="424"/>
      <c r="DO811" s="424"/>
      <c r="DP811" s="424"/>
      <c r="DQ811" s="424"/>
      <c r="DR811" s="424"/>
      <c r="DS811" s="424"/>
      <c r="DT811" s="424"/>
      <c r="DU811" s="424"/>
      <c r="DV811" s="424"/>
      <c r="DW811" s="424"/>
      <c r="DX811" s="424"/>
      <c r="DY811" s="424"/>
      <c r="DZ811" s="424"/>
      <c r="EA811" s="424"/>
      <c r="EB811" s="424"/>
      <c r="EC811" s="404" t="str">
        <f ca="1">IF(EI781="","",VLOOKUP(EI781,yyy.rn3,7,FALSE))</f>
        <v/>
      </c>
      <c r="ED811" s="371" t="str">
        <f ca="1">IF(OR(EC811="",EJ811="",EC811=EJ811,ISNA(VLOOKUP(CONCATENATE(EC811,EJ811),games.r,2,FALSE))),"",CONCATENATE(EC811,EJ811))</f>
        <v/>
      </c>
      <c r="EE811" s="371" t="str">
        <f ca="1">IF(ED811="","",CONCATENATE(VLOOKUP(ED811,games.r,9,FALSE),VLOOKUP(ED811,games.r,12,FALSE)))</f>
        <v/>
      </c>
      <c r="EF811" s="413"/>
      <c r="EG811" s="414"/>
      <c r="EH811" s="408" t="str">
        <f ca="1">IF(ED811="","",VLOOKUP(ED811,games.r,6,FALSE))</f>
        <v/>
      </c>
      <c r="EI811" s="409" t="str">
        <f ca="1">IF(ED811="","",VLOOKUP(ED811,games.r,7,FALSE))</f>
        <v/>
      </c>
      <c r="EJ811" s="415" t="str">
        <f ca="1">EJ810</f>
        <v/>
      </c>
      <c r="EK811" s="416"/>
      <c r="EL811" s="417"/>
      <c r="EO811" s="425"/>
    </row>
    <row r="812" spans="98:145" x14ac:dyDescent="0.25">
      <c r="CT812" s="301"/>
      <c r="CU812" s="471" t="s">
        <v>157</v>
      </c>
      <c r="CV812" s="471" t="s">
        <v>158</v>
      </c>
      <c r="CW812" s="472" t="s">
        <v>159</v>
      </c>
      <c r="CX812" s="472"/>
      <c r="CY812" s="473" t="s">
        <v>160</v>
      </c>
      <c r="CZ812" s="472" t="s">
        <v>135</v>
      </c>
      <c r="DA812" s="302"/>
      <c r="DB812" s="302"/>
      <c r="DC812" s="364"/>
      <c r="DD812" s="445"/>
      <c r="DF812" s="424"/>
      <c r="DG812" s="424"/>
      <c r="DH812" s="424"/>
      <c r="DI812" s="424"/>
      <c r="DJ812" s="424"/>
      <c r="DK812" s="424"/>
      <c r="DL812" s="424"/>
      <c r="DM812" s="424"/>
      <c r="DN812" s="424"/>
      <c r="DO812" s="424"/>
      <c r="DP812" s="424"/>
      <c r="DQ812" s="424"/>
      <c r="DR812" s="424"/>
      <c r="DS812" s="424"/>
      <c r="DT812" s="424"/>
      <c r="DU812" s="424"/>
      <c r="DV812" s="424"/>
      <c r="DW812" s="424"/>
      <c r="DX812" s="424"/>
      <c r="DY812" s="424"/>
      <c r="DZ812" s="424"/>
      <c r="EA812" s="424"/>
      <c r="EB812" s="424"/>
      <c r="EC812" s="404" t="str">
        <f>IF(NOT($AD$112),"",EC810)</f>
        <v/>
      </c>
      <c r="ED812" s="360" t="str">
        <f ca="1">IF(OR(EC812="",EJ812="",EC812=EJ812,ISNA(VLOOKUP(CONCATENATE(EC812,EJ812),games.a,2,FALSE))),"",CONCATENATE(EC812,EJ812))</f>
        <v/>
      </c>
      <c r="EE812" s="360" t="str">
        <f ca="1">IF(ED812="","",CONCATENATE(VLOOKUP(ED812,games.a,9,FALSE),VLOOKUP(ED812,games.a,12,FALSE)))</f>
        <v/>
      </c>
      <c r="EF812" s="413"/>
      <c r="EG812" s="414"/>
      <c r="EH812" s="525" t="str">
        <f ca="1">IF(ED812="","",VLOOKUP(ED812,games.a,6,FALSE))</f>
        <v/>
      </c>
      <c r="EI812" s="362" t="str">
        <f ca="1">IF(ED812="","",VLOOKUP(ED812,games.a,7,FALSE))</f>
        <v/>
      </c>
      <c r="EJ812" s="526" t="str">
        <f ca="1">EJ811</f>
        <v/>
      </c>
      <c r="EK812" s="527"/>
      <c r="EL812" s="528"/>
      <c r="EO812" s="425"/>
    </row>
    <row r="813" spans="98:145" x14ac:dyDescent="0.25">
      <c r="CT813" s="395" t="str">
        <f t="shared" ref="CT813:CT822" si="454">CT802</f>
        <v/>
      </c>
      <c r="CU813" s="478" t="str">
        <f ca="1">IF(OR(CT813="",DA813="",CT813=DA813,COUNTIF(games.rn,CT813&amp;DA813)=0),"",CONCATENATE(CT813,DA813))</f>
        <v/>
      </c>
      <c r="CV813" s="360" t="str">
        <f ca="1">IF(CU813="","",CONCATENATE(VLOOKUP(CU813,games.r,9,FALSE),VLOOKUP(CU813,games.r,12,FALSE)))</f>
        <v/>
      </c>
      <c r="CW813" s="354" t="str">
        <f ca="1">IF(CU813="","",VLOOKUP(CU813,games.r,10,FALSE))</f>
        <v/>
      </c>
      <c r="CX813" s="354" t="str">
        <f ca="1">IF(CU813="","",VLOOKUP(CU813,games.r,13,FALSE))</f>
        <v/>
      </c>
      <c r="CY813" s="361" t="str">
        <f ca="1">IF(CU813="","",VLOOKUP(CU813,games.r,6,FALSE))</f>
        <v/>
      </c>
      <c r="CZ813" s="362" t="str">
        <f ca="1">IF(CU813="","",VLOOKUP(CU813,games.r,7,FALSE))</f>
        <v/>
      </c>
      <c r="DA813" s="479" t="str">
        <f>CT783</f>
        <v/>
      </c>
      <c r="DB813" s="302"/>
      <c r="DC813" s="364"/>
      <c r="DD813" s="445"/>
      <c r="DF813" s="424"/>
      <c r="DG813" s="424"/>
      <c r="DH813" s="424"/>
      <c r="DI813" s="424"/>
      <c r="DJ813" s="424"/>
      <c r="DK813" s="424"/>
      <c r="DL813" s="424"/>
      <c r="DM813" s="424"/>
      <c r="DN813" s="424"/>
      <c r="DO813" s="424"/>
      <c r="DP813" s="424"/>
      <c r="DQ813" s="424"/>
      <c r="DR813" s="424"/>
      <c r="DS813" s="424"/>
      <c r="DT813" s="424"/>
      <c r="DU813" s="424"/>
      <c r="DV813" s="424"/>
      <c r="DW813" s="424"/>
      <c r="DX813" s="424"/>
      <c r="DY813" s="424"/>
      <c r="DZ813" s="424"/>
      <c r="EA813" s="424"/>
      <c r="EB813" s="424"/>
      <c r="EC813" s="404" t="str">
        <f>IF(NOT($AD$112),"",EC811)</f>
        <v/>
      </c>
      <c r="ED813" s="360" t="str">
        <f ca="1">IF(OR(EC813="",EJ813="",EC813=EJ813,ISNA(VLOOKUP(CONCATENATE(EC813,EJ813),games.a,2,FALSE))),"",CONCATENATE(EC813,EJ813))</f>
        <v/>
      </c>
      <c r="EE813" s="360" t="str">
        <f ca="1">IF(ED813="","",CONCATENATE(VLOOKUP(ED813,games.a,9,FALSE),VLOOKUP(ED813,games.a,12,FALSE)))</f>
        <v/>
      </c>
      <c r="EF813" s="413"/>
      <c r="EG813" s="414"/>
      <c r="EH813" s="525" t="str">
        <f ca="1">IF(ED813="","",VLOOKUP(ED813,games.a,6,FALSE))</f>
        <v/>
      </c>
      <c r="EI813" s="362" t="str">
        <f ca="1">IF(ED813="","",VLOOKUP(ED813,games.a,7,FALSE))</f>
        <v/>
      </c>
      <c r="EJ813" s="526" t="str">
        <f ca="1">EJ812</f>
        <v/>
      </c>
      <c r="EK813" s="527"/>
      <c r="EL813" s="528"/>
      <c r="EO813" s="425"/>
    </row>
    <row r="814" spans="98:145" x14ac:dyDescent="0.25">
      <c r="CT814" s="395" t="str">
        <f t="shared" si="454"/>
        <v/>
      </c>
      <c r="CU814" s="478" t="str">
        <f ca="1">IF(OR(CT814="",DA814="",CT814=DA814,COUNTIF(games.rn,CT814&amp;DA814)=0),"",CONCATENATE(CT814,DA814))</f>
        <v/>
      </c>
      <c r="CV814" s="360" t="str">
        <f ca="1">IF(CU814="","",CONCATENATE(VLOOKUP(CU814,games.r,9,FALSE),VLOOKUP(CU814,games.r,12,FALSE)))</f>
        <v/>
      </c>
      <c r="CW814" s="354" t="str">
        <f ca="1">IF(CU814="","",VLOOKUP(CU814,games.r,10,FALSE))</f>
        <v/>
      </c>
      <c r="CX814" s="354" t="str">
        <f ca="1">IF(CU814="","",VLOOKUP(CU814,games.r,13,FALSE))</f>
        <v/>
      </c>
      <c r="CY814" s="361" t="str">
        <f ca="1">IF(CU814="","",VLOOKUP(CU814,games.r,6,FALSE))</f>
        <v/>
      </c>
      <c r="CZ814" s="362" t="str">
        <f ca="1">IF(CU814="","",VLOOKUP(CU814,games.r,7,FALSE))</f>
        <v/>
      </c>
      <c r="DA814" s="379" t="str">
        <f t="shared" ref="DA814:DA822" si="455">DA813</f>
        <v/>
      </c>
      <c r="DB814" s="302"/>
      <c r="DC814" s="364"/>
      <c r="DD814" s="445"/>
      <c r="DF814" s="424"/>
      <c r="DG814" s="424"/>
      <c r="DH814" s="424"/>
      <c r="DI814" s="424"/>
      <c r="DJ814" s="424"/>
      <c r="DK814" s="424"/>
      <c r="DL814" s="424"/>
      <c r="DM814" s="424"/>
      <c r="DN814" s="424"/>
      <c r="DO814" s="424"/>
      <c r="DP814" s="424"/>
      <c r="DQ814" s="424"/>
      <c r="DR814" s="424"/>
      <c r="DS814" s="424"/>
      <c r="DT814" s="424"/>
      <c r="DU814" s="424"/>
      <c r="DV814" s="424"/>
      <c r="DW814" s="424"/>
      <c r="DX814" s="424"/>
      <c r="DY814" s="424"/>
      <c r="DZ814" s="424"/>
      <c r="EA814" s="424"/>
      <c r="EB814" s="424"/>
      <c r="EC814" s="404"/>
      <c r="ED814" s="329" t="s">
        <v>157</v>
      </c>
      <c r="EE814" s="329" t="s">
        <v>158</v>
      </c>
      <c r="EF814" s="399"/>
      <c r="EG814" s="400"/>
      <c r="EH814" s="401" t="s">
        <v>160</v>
      </c>
      <c r="EI814" s="402" t="s">
        <v>135</v>
      </c>
      <c r="EJ814" s="398"/>
      <c r="EK814" s="365"/>
      <c r="EL814" s="365"/>
      <c r="EO814" s="425"/>
    </row>
    <row r="815" spans="98:145" x14ac:dyDescent="0.25">
      <c r="CT815" s="395" t="str">
        <f t="shared" si="454"/>
        <v/>
      </c>
      <c r="CU815" s="478" t="str">
        <f ca="1">IF(OR(CT815="",DA815="",CT815=DA815,COUNTIF(games.rn,CT815&amp;DA815)=0),"",CONCATENATE(CT815,DA815))</f>
        <v/>
      </c>
      <c r="CV815" s="360" t="str">
        <f ca="1">IF(CU815="","",CONCATENATE(VLOOKUP(CU815,games.r,9,FALSE),VLOOKUP(CU815,games.r,12,FALSE)))</f>
        <v/>
      </c>
      <c r="CW815" s="354" t="str">
        <f ca="1">IF(CU815="","",VLOOKUP(CU815,games.r,10,FALSE))</f>
        <v/>
      </c>
      <c r="CX815" s="354" t="str">
        <f ca="1">IF(CU815="","",VLOOKUP(CU815,games.r,13,FALSE))</f>
        <v/>
      </c>
      <c r="CY815" s="361" t="str">
        <f ca="1">IF(CU815="","",VLOOKUP(CU815,games.r,6,FALSE))</f>
        <v/>
      </c>
      <c r="CZ815" s="362" t="str">
        <f ca="1">IF(CU815="","",VLOOKUP(CU815,games.r,7,FALSE))</f>
        <v/>
      </c>
      <c r="DA815" s="379" t="str">
        <f t="shared" si="455"/>
        <v/>
      </c>
      <c r="DB815" s="302"/>
      <c r="DC815" s="364"/>
      <c r="DD815" s="445"/>
      <c r="DF815" s="424"/>
      <c r="DG815" s="424"/>
      <c r="DH815" s="424"/>
      <c r="DI815" s="424"/>
      <c r="DJ815" s="424"/>
      <c r="DK815" s="424"/>
      <c r="DL815" s="424"/>
      <c r="DM815" s="424"/>
      <c r="DN815" s="424"/>
      <c r="DO815" s="424"/>
      <c r="DP815" s="424"/>
      <c r="DQ815" s="424"/>
      <c r="DR815" s="424"/>
      <c r="DS815" s="424"/>
      <c r="DT815" s="424"/>
      <c r="DU815" s="424"/>
      <c r="DV815" s="424"/>
      <c r="DW815" s="424"/>
      <c r="DX815" s="424"/>
      <c r="DY815" s="424"/>
      <c r="DZ815" s="424"/>
      <c r="EA815" s="424"/>
      <c r="EB815" s="424"/>
      <c r="EC815" s="404" t="str">
        <f ca="1">EC810</f>
        <v/>
      </c>
      <c r="ED815" s="371" t="str">
        <f ca="1">IF(OR(EC815="",EJ815="",EC815=EJ815,ISNA(VLOOKUP(CONCATENATE(EC815,EJ815),games.r,2,FALSE))),"",CONCATENATE(EC815,EJ815))</f>
        <v/>
      </c>
      <c r="EE815" s="371" t="str">
        <f ca="1">IF(ED815="","",CONCATENATE(VLOOKUP(ED815,games.r,9,FALSE),VLOOKUP(ED815,games.r,12,FALSE)))</f>
        <v/>
      </c>
      <c r="EF815" s="406"/>
      <c r="EG815" s="407"/>
      <c r="EH815" s="408" t="str">
        <f ca="1">IF(ED815="","",VLOOKUP(ED815,games.r,6,FALSE))</f>
        <v/>
      </c>
      <c r="EI815" s="409" t="str">
        <f ca="1">IF(ED815="","",VLOOKUP(ED815,games.r,7,FALSE))</f>
        <v/>
      </c>
      <c r="EJ815" s="410" t="str">
        <f ca="1">EC811</f>
        <v/>
      </c>
      <c r="EK815" s="411"/>
      <c r="EL815" s="412"/>
      <c r="EO815" s="425"/>
    </row>
    <row r="816" spans="98:145" x14ac:dyDescent="0.25">
      <c r="CT816" s="395" t="str">
        <f t="shared" si="454"/>
        <v/>
      </c>
      <c r="CU816" s="478" t="str">
        <f ca="1">IF(OR(CT816="",DA816="",CT816=DA816,COUNTIF(games.rn,CT816&amp;DA816)=0),"",CONCATENATE(CT816,DA816))</f>
        <v/>
      </c>
      <c r="CV816" s="360" t="str">
        <f ca="1">IF(CU816="","",CONCATENATE(VLOOKUP(CU816,games.r,9,FALSE),VLOOKUP(CU816,games.r,12,FALSE)))</f>
        <v/>
      </c>
      <c r="CW816" s="354" t="str">
        <f ca="1">IF(CU816="","",VLOOKUP(CU816,games.r,10,FALSE))</f>
        <v/>
      </c>
      <c r="CX816" s="354" t="str">
        <f ca="1">IF(CU816="","",VLOOKUP(CU816,games.r,13,FALSE))</f>
        <v/>
      </c>
      <c r="CY816" s="361" t="str">
        <f ca="1">IF(CU816="","",VLOOKUP(CU816,games.r,6,FALSE))</f>
        <v/>
      </c>
      <c r="CZ816" s="362" t="str">
        <f ca="1">IF(CU816="","",VLOOKUP(CU816,games.r,7,FALSE))</f>
        <v/>
      </c>
      <c r="DA816" s="379" t="str">
        <f t="shared" si="455"/>
        <v/>
      </c>
      <c r="DB816" s="302"/>
      <c r="DC816" s="364"/>
      <c r="DD816" s="445"/>
      <c r="DF816" s="424"/>
      <c r="DG816" s="424"/>
      <c r="DH816" s="424"/>
      <c r="DI816" s="424"/>
      <c r="DJ816" s="424"/>
      <c r="DK816" s="424"/>
      <c r="DL816" s="424"/>
      <c r="DM816" s="424"/>
      <c r="DN816" s="424"/>
      <c r="DO816" s="424"/>
      <c r="DP816" s="424"/>
      <c r="DQ816" s="424"/>
      <c r="DR816" s="424"/>
      <c r="DS816" s="424"/>
      <c r="DT816" s="424"/>
      <c r="DU816" s="424"/>
      <c r="DV816" s="424"/>
      <c r="DW816" s="424"/>
      <c r="DX816" s="424"/>
      <c r="DY816" s="424"/>
      <c r="DZ816" s="424"/>
      <c r="EA816" s="424"/>
      <c r="EB816" s="424"/>
      <c r="EC816" s="404" t="str">
        <f ca="1">EC811</f>
        <v/>
      </c>
      <c r="ED816" s="371" t="str">
        <f ca="1">IF(OR(EC816="",EJ816="",EC816=EJ816,ISNA(VLOOKUP(CONCATENATE(EC816,EJ816),games.r,2,FALSE))),"",CONCATENATE(EC816,EJ816))</f>
        <v/>
      </c>
      <c r="EE816" s="371" t="str">
        <f ca="1">IF(ED816="","",CONCATENATE(VLOOKUP(ED816,games.r,9,FALSE),VLOOKUP(ED816,games.r,12,FALSE)))</f>
        <v/>
      </c>
      <c r="EF816" s="413"/>
      <c r="EG816" s="414"/>
      <c r="EH816" s="408" t="str">
        <f ca="1">IF(ED816="","",VLOOKUP(ED816,games.r,6,FALSE))</f>
        <v/>
      </c>
      <c r="EI816" s="409" t="str">
        <f ca="1">IF(ED816="","",VLOOKUP(ED816,games.r,7,FALSE))</f>
        <v/>
      </c>
      <c r="EJ816" s="415" t="str">
        <f ca="1">EJ815</f>
        <v/>
      </c>
      <c r="EK816" s="416"/>
      <c r="EL816" s="417"/>
      <c r="EO816" s="425"/>
    </row>
    <row r="817" spans="98:145" x14ac:dyDescent="0.25">
      <c r="CT817" s="395" t="str">
        <f t="shared" si="454"/>
        <v/>
      </c>
      <c r="CU817" s="478" t="str">
        <f ca="1">IF(OR(CT817="",DA817="",CT817=DA817,COUNTIF(games.rn,CT817&amp;DA817)=0),"",CONCATENATE(CT817,DA817))</f>
        <v/>
      </c>
      <c r="CV817" s="360" t="str">
        <f ca="1">IF(CU817="","",CONCATENATE(VLOOKUP(CU817,games.r,9,FALSE),VLOOKUP(CU817,games.r,12,FALSE)))</f>
        <v/>
      </c>
      <c r="CW817" s="354" t="str">
        <f ca="1">IF(CU817="","",VLOOKUP(CU817,games.r,10,FALSE))</f>
        <v/>
      </c>
      <c r="CX817" s="354" t="str">
        <f ca="1">IF(CU817="","",VLOOKUP(CU817,games.r,13,FALSE))</f>
        <v/>
      </c>
      <c r="CY817" s="361" t="str">
        <f ca="1">IF(CU817="","",VLOOKUP(CU817,games.r,6,FALSE))</f>
        <v/>
      </c>
      <c r="CZ817" s="362" t="str">
        <f ca="1">IF(CU817="","",VLOOKUP(CU817,games.r,7,FALSE))</f>
        <v/>
      </c>
      <c r="DA817" s="379" t="str">
        <f t="shared" si="455"/>
        <v/>
      </c>
      <c r="DB817" s="302"/>
      <c r="DC817" s="364"/>
      <c r="DD817" s="445"/>
      <c r="DF817" s="424"/>
      <c r="DG817" s="424"/>
      <c r="DH817" s="424"/>
      <c r="DI817" s="424"/>
      <c r="DJ817" s="424"/>
      <c r="DK817" s="424"/>
      <c r="DL817" s="424"/>
      <c r="DM817" s="424"/>
      <c r="DN817" s="424"/>
      <c r="DO817" s="424"/>
      <c r="DP817" s="424"/>
      <c r="DQ817" s="424"/>
      <c r="DR817" s="424"/>
      <c r="DS817" s="424"/>
      <c r="DT817" s="424"/>
      <c r="DU817" s="424"/>
      <c r="DV817" s="424"/>
      <c r="DW817" s="424"/>
      <c r="DX817" s="424"/>
      <c r="DY817" s="424"/>
      <c r="DZ817" s="424"/>
      <c r="EA817" s="424"/>
      <c r="EB817" s="424"/>
      <c r="EC817" s="404" t="str">
        <f>EC812</f>
        <v/>
      </c>
      <c r="ED817" s="360" t="str">
        <f ca="1">IF(OR(EC817="",EJ817="",EC817=EJ817,ISNA(VLOOKUP(CONCATENATE(EC817,EJ817),games.a,2,FALSE))),"",CONCATENATE(EC817,EJ817))</f>
        <v/>
      </c>
      <c r="EE817" s="360" t="str">
        <f ca="1">IF(ED817="","",CONCATENATE(VLOOKUP(ED817,games.a,9,FALSE),VLOOKUP(ED817,games.a,12,FALSE)))</f>
        <v/>
      </c>
      <c r="EF817" s="413"/>
      <c r="EG817" s="414"/>
      <c r="EH817" s="525" t="str">
        <f ca="1">IF(ED817="","",VLOOKUP(ED817,games.a,6,FALSE))</f>
        <v/>
      </c>
      <c r="EI817" s="362" t="str">
        <f ca="1">IF(ED817="","",VLOOKUP(ED817,games.a,7,FALSE))</f>
        <v/>
      </c>
      <c r="EJ817" s="526" t="str">
        <f ca="1">EJ816</f>
        <v/>
      </c>
      <c r="EK817" s="527"/>
      <c r="EL817" s="528"/>
      <c r="EO817" s="425"/>
    </row>
    <row r="818" spans="98:145" x14ac:dyDescent="0.25">
      <c r="CT818" s="522" t="str">
        <f t="shared" si="454"/>
        <v/>
      </c>
      <c r="CU818" s="371" t="str">
        <f>IF(OR(CT818="",DA818="",CT818=DA818,ISNA(VLOOKUP(CONCATENATE(CT818,DA818),games.a,2,FALSE))),"",CONCATENATE(CT818,DA818))</f>
        <v/>
      </c>
      <c r="CV818" s="371" t="str">
        <f>IF(CU818="","",CONCATENATE(VLOOKUP(CU818,games.a,9,FALSE),VLOOKUP(CU818,games.a,12,FALSE)))</f>
        <v/>
      </c>
      <c r="CW818" s="369" t="str">
        <f>IF(CU818="","",VLOOKUP(CU818,games.a,10,FALSE))</f>
        <v/>
      </c>
      <c r="CX818" s="369" t="str">
        <f>IF(CU818="","",VLOOKUP(CU818,games.a,13,FALSE))</f>
        <v/>
      </c>
      <c r="CY818" s="423" t="str">
        <f>IF(CU818="","",VLOOKUP(CU818,games.a,6,FALSE))</f>
        <v/>
      </c>
      <c r="CZ818" s="409" t="str">
        <f>IF(CU818="","",VLOOKUP(CU818,games.a,7,FALSE))</f>
        <v/>
      </c>
      <c r="DA818" s="523" t="str">
        <f t="shared" si="455"/>
        <v/>
      </c>
      <c r="DB818" s="302"/>
      <c r="DC818" s="364"/>
      <c r="DD818" s="445"/>
      <c r="DF818" s="424"/>
      <c r="DG818" s="424"/>
      <c r="DH818" s="424"/>
      <c r="DI818" s="424"/>
      <c r="DJ818" s="424"/>
      <c r="DK818" s="424"/>
      <c r="DL818" s="424"/>
      <c r="DM818" s="424"/>
      <c r="DN818" s="424"/>
      <c r="DO818" s="424"/>
      <c r="DP818" s="424"/>
      <c r="DQ818" s="424"/>
      <c r="DR818" s="424"/>
      <c r="DS818" s="424"/>
      <c r="DT818" s="424"/>
      <c r="DU818" s="424"/>
      <c r="DV818" s="424"/>
      <c r="DW818" s="424"/>
      <c r="DX818" s="424"/>
      <c r="DY818" s="424"/>
      <c r="DZ818" s="424"/>
      <c r="EA818" s="424"/>
      <c r="EB818" s="424"/>
      <c r="EC818" s="404" t="str">
        <f>EC813</f>
        <v/>
      </c>
      <c r="ED818" s="360" t="str">
        <f ca="1">IF(OR(EC818="",EJ818="",EC818=EJ818,ISNA(VLOOKUP(CONCATENATE(EC818,EJ818),games.a,2,FALSE))),"",CONCATENATE(EC818,EJ818))</f>
        <v/>
      </c>
      <c r="EE818" s="360" t="str">
        <f ca="1">IF(ED818="","",CONCATENATE(VLOOKUP(ED818,games.a,9,FALSE),VLOOKUP(ED818,games.a,12,FALSE)))</f>
        <v/>
      </c>
      <c r="EF818" s="420"/>
      <c r="EG818" s="421"/>
      <c r="EH818" s="525" t="str">
        <f ca="1">IF(ED818="","",VLOOKUP(ED818,games.a,6,FALSE))</f>
        <v/>
      </c>
      <c r="EI818" s="362" t="str">
        <f ca="1">IF(ED818="","",VLOOKUP(ED818,games.a,7,FALSE))</f>
        <v/>
      </c>
      <c r="EJ818" s="526" t="str">
        <f ca="1">EJ817</f>
        <v/>
      </c>
      <c r="EK818" s="527"/>
      <c r="EL818" s="528"/>
      <c r="EO818" s="425"/>
    </row>
    <row r="819" spans="98:145" x14ac:dyDescent="0.25">
      <c r="CT819" s="522" t="str">
        <f t="shared" si="454"/>
        <v/>
      </c>
      <c r="CU819" s="371" t="str">
        <f>IF(OR(CT819="",DA819="",CT819=DA819,ISNA(VLOOKUP(CONCATENATE(CT819,DA819),games.a,2,FALSE))),"",CONCATENATE(CT819,DA819))</f>
        <v/>
      </c>
      <c r="CV819" s="371" t="str">
        <f>IF(CU819="","",CONCATENATE(VLOOKUP(CU819,games.a,9,FALSE),VLOOKUP(CU819,games.a,12,FALSE)))</f>
        <v/>
      </c>
      <c r="CW819" s="369" t="str">
        <f>IF(CU819="","",VLOOKUP(CU819,games.a,10,FALSE))</f>
        <v/>
      </c>
      <c r="CX819" s="369" t="str">
        <f>IF(CU819="","",VLOOKUP(CU819,games.a,13,FALSE))</f>
        <v/>
      </c>
      <c r="CY819" s="423" t="str">
        <f>IF(CU819="","",VLOOKUP(CU819,games.a,6,FALSE))</f>
        <v/>
      </c>
      <c r="CZ819" s="409" t="str">
        <f>IF(CU819="","",VLOOKUP(CU819,games.a,7,FALSE))</f>
        <v/>
      </c>
      <c r="DA819" s="523" t="str">
        <f t="shared" si="455"/>
        <v/>
      </c>
      <c r="DB819" s="302"/>
      <c r="DC819" s="364"/>
      <c r="DD819" s="445"/>
      <c r="DF819" s="424"/>
      <c r="DW819" s="424"/>
      <c r="DX819" s="424"/>
      <c r="DY819" s="424"/>
      <c r="DZ819" s="424"/>
      <c r="EA819" s="424"/>
      <c r="EB819" s="424"/>
      <c r="EO819" s="425"/>
    </row>
    <row r="820" spans="98:145" x14ac:dyDescent="0.25">
      <c r="CT820" s="522" t="str">
        <f t="shared" si="454"/>
        <v/>
      </c>
      <c r="CU820" s="371" t="str">
        <f>IF(OR(CT820="",DA820="",CT820=DA820,ISNA(VLOOKUP(CONCATENATE(CT820,DA820),games.a,2,FALSE))),"",CONCATENATE(CT820,DA820))</f>
        <v/>
      </c>
      <c r="CV820" s="371" t="str">
        <f>IF(CU820="","",CONCATENATE(VLOOKUP(CU820,games.a,9,FALSE),VLOOKUP(CU820,games.a,12,FALSE)))</f>
        <v/>
      </c>
      <c r="CW820" s="369" t="str">
        <f>IF(CU820="","",VLOOKUP(CU820,games.a,10,FALSE))</f>
        <v/>
      </c>
      <c r="CX820" s="369" t="str">
        <f>IF(CU820="","",VLOOKUP(CU820,games.a,13,FALSE))</f>
        <v/>
      </c>
      <c r="CY820" s="423" t="str">
        <f>IF(CU820="","",VLOOKUP(CU820,games.a,6,FALSE))</f>
        <v/>
      </c>
      <c r="CZ820" s="409" t="str">
        <f>IF(CU820="","",VLOOKUP(CU820,games.a,7,FALSE))</f>
        <v/>
      </c>
      <c r="DA820" s="523" t="str">
        <f t="shared" si="455"/>
        <v/>
      </c>
      <c r="DB820" s="302"/>
      <c r="DC820" s="364"/>
      <c r="DD820" s="445"/>
      <c r="DF820" s="424"/>
      <c r="DW820" s="424"/>
      <c r="DX820" s="424"/>
      <c r="DY820" s="424"/>
      <c r="DZ820" s="424"/>
      <c r="EA820" s="424"/>
      <c r="EB820" s="424"/>
      <c r="EO820" s="425"/>
    </row>
    <row r="821" spans="98:145" x14ac:dyDescent="0.25">
      <c r="CT821" s="522" t="str">
        <f t="shared" si="454"/>
        <v/>
      </c>
      <c r="CU821" s="371" t="str">
        <f>IF(OR(CT821="",DA821="",CT821=DA821,ISNA(VLOOKUP(CONCATENATE(CT821,DA821),games.a,2,FALSE))),"",CONCATENATE(CT821,DA821))</f>
        <v/>
      </c>
      <c r="CV821" s="371" t="str">
        <f>IF(CU821="","",CONCATENATE(VLOOKUP(CU821,games.a,9,FALSE),VLOOKUP(CU821,games.a,12,FALSE)))</f>
        <v/>
      </c>
      <c r="CW821" s="369" t="str">
        <f>IF(CU821="","",VLOOKUP(CU821,games.a,10,FALSE))</f>
        <v/>
      </c>
      <c r="CX821" s="369" t="str">
        <f>IF(CU821="","",VLOOKUP(CU821,games.a,13,FALSE))</f>
        <v/>
      </c>
      <c r="CY821" s="423" t="str">
        <f>IF(CU821="","",VLOOKUP(CU821,games.a,6,FALSE))</f>
        <v/>
      </c>
      <c r="CZ821" s="409" t="str">
        <f>IF(CU821="","",VLOOKUP(CU821,games.a,7,FALSE))</f>
        <v/>
      </c>
      <c r="DA821" s="523" t="str">
        <f t="shared" si="455"/>
        <v/>
      </c>
      <c r="DB821" s="302"/>
      <c r="DC821" s="364"/>
      <c r="DD821" s="445"/>
      <c r="DF821" s="424"/>
      <c r="DW821" s="424"/>
      <c r="DX821" s="424"/>
      <c r="DY821" s="424"/>
      <c r="DZ821" s="424"/>
      <c r="EA821" s="424"/>
      <c r="EB821" s="424"/>
      <c r="EO821" s="425"/>
    </row>
    <row r="822" spans="98:145" x14ac:dyDescent="0.25">
      <c r="CT822" s="522" t="str">
        <f t="shared" si="454"/>
        <v/>
      </c>
      <c r="CU822" s="371" t="str">
        <f>IF(OR(CT822="",DA822="",CT822=DA822,ISNA(VLOOKUP(CONCATENATE(CT822,DA822),games.a,2,FALSE))),"",CONCATENATE(CT822,DA822))</f>
        <v/>
      </c>
      <c r="CV822" s="371" t="str">
        <f>IF(CU822="","",CONCATENATE(VLOOKUP(CU822,games.a,9,FALSE),VLOOKUP(CU822,games.a,12,FALSE)))</f>
        <v/>
      </c>
      <c r="CW822" s="369" t="str">
        <f>IF(CU822="","",VLOOKUP(CU822,games.a,10,FALSE))</f>
        <v/>
      </c>
      <c r="CX822" s="369" t="str">
        <f>IF(CU822="","",VLOOKUP(CU822,games.a,13,FALSE))</f>
        <v/>
      </c>
      <c r="CY822" s="423" t="str">
        <f>IF(CU822="","",VLOOKUP(CU822,games.a,6,FALSE))</f>
        <v/>
      </c>
      <c r="CZ822" s="409" t="str">
        <f>IF(CU822="","",VLOOKUP(CU822,games.a,7,FALSE))</f>
        <v/>
      </c>
      <c r="DA822" s="523" t="str">
        <f t="shared" si="455"/>
        <v/>
      </c>
      <c r="DB822" s="302"/>
      <c r="DC822" s="364"/>
      <c r="DD822" s="445"/>
      <c r="DF822" s="424"/>
      <c r="DW822" s="424"/>
      <c r="DX822" s="424"/>
      <c r="DY822" s="424"/>
      <c r="DZ822" s="424"/>
      <c r="EA822" s="424"/>
      <c r="EB822" s="424"/>
      <c r="EO822" s="425"/>
    </row>
    <row r="823" spans="98:145" x14ac:dyDescent="0.25">
      <c r="CT823" s="301"/>
      <c r="CU823" s="471" t="s">
        <v>157</v>
      </c>
      <c r="CV823" s="471" t="s">
        <v>158</v>
      </c>
      <c r="CW823" s="472" t="s">
        <v>159</v>
      </c>
      <c r="CX823" s="472"/>
      <c r="CY823" s="473" t="s">
        <v>160</v>
      </c>
      <c r="CZ823" s="472" t="s">
        <v>135</v>
      </c>
      <c r="DA823" s="302"/>
      <c r="DB823" s="302"/>
      <c r="DC823" s="364"/>
      <c r="DD823" s="445"/>
      <c r="DF823" s="424"/>
      <c r="DW823" s="424"/>
      <c r="DX823" s="424"/>
      <c r="DY823" s="424"/>
      <c r="DZ823" s="424"/>
      <c r="EA823" s="424"/>
      <c r="EB823" s="424"/>
      <c r="EO823" s="425"/>
    </row>
    <row r="824" spans="98:145" x14ac:dyDescent="0.25">
      <c r="CT824" s="395" t="str">
        <f t="shared" ref="CT824:CT833" si="456">CT813</f>
        <v/>
      </c>
      <c r="CU824" s="478" t="str">
        <f ca="1">IF(OR(CT824="",DA824="",CT824=DA824,COUNTIF(games.rn,CT824&amp;DA824)=0),"",CONCATENATE(CT824,DA824))</f>
        <v/>
      </c>
      <c r="CV824" s="360" t="str">
        <f ca="1">IF(CU824="","",CONCATENATE(VLOOKUP(CU824,games.r,9,FALSE),VLOOKUP(CU824,games.r,12,FALSE)))</f>
        <v/>
      </c>
      <c r="CW824" s="354" t="str">
        <f ca="1">IF(CU824="","",VLOOKUP(CU824,games.r,10,FALSE))</f>
        <v/>
      </c>
      <c r="CX824" s="354" t="str">
        <f ca="1">IF(CU824="","",VLOOKUP(CU824,games.r,13,FALSE))</f>
        <v/>
      </c>
      <c r="CY824" s="361" t="str">
        <f ca="1">IF(CU824="","",VLOOKUP(CU824,games.r,6,FALSE))</f>
        <v/>
      </c>
      <c r="CZ824" s="362" t="str">
        <f ca="1">IF(CU824="","",VLOOKUP(CU824,games.r,7,FALSE))</f>
        <v/>
      </c>
      <c r="DA824" s="479" t="str">
        <f>CT784</f>
        <v/>
      </c>
      <c r="DB824" s="302"/>
      <c r="DC824" s="364"/>
      <c r="DD824" s="445"/>
      <c r="DF824" s="424"/>
      <c r="DW824" s="424"/>
      <c r="DX824" s="424"/>
      <c r="DY824" s="424"/>
      <c r="DZ824" s="424"/>
      <c r="EA824" s="424"/>
      <c r="EB824" s="424"/>
      <c r="EO824" s="425"/>
    </row>
    <row r="825" spans="98:145" x14ac:dyDescent="0.25">
      <c r="CT825" s="395" t="str">
        <f t="shared" si="456"/>
        <v/>
      </c>
      <c r="CU825" s="478" t="str">
        <f ca="1">IF(OR(CT825="",DA825="",CT825=DA825,COUNTIF(games.rn,CT825&amp;DA825)=0),"",CONCATENATE(CT825,DA825))</f>
        <v/>
      </c>
      <c r="CV825" s="360" t="str">
        <f ca="1">IF(CU825="","",CONCATENATE(VLOOKUP(CU825,games.r,9,FALSE),VLOOKUP(CU825,games.r,12,FALSE)))</f>
        <v/>
      </c>
      <c r="CW825" s="354" t="str">
        <f ca="1">IF(CU825="","",VLOOKUP(CU825,games.r,10,FALSE))</f>
        <v/>
      </c>
      <c r="CX825" s="354" t="str">
        <f ca="1">IF(CU825="","",VLOOKUP(CU825,games.r,13,FALSE))</f>
        <v/>
      </c>
      <c r="CY825" s="361" t="str">
        <f ca="1">IF(CU825="","",VLOOKUP(CU825,games.r,6,FALSE))</f>
        <v/>
      </c>
      <c r="CZ825" s="362" t="str">
        <f ca="1">IF(CU825="","",VLOOKUP(CU825,games.r,7,FALSE))</f>
        <v/>
      </c>
      <c r="DA825" s="379" t="str">
        <f t="shared" ref="DA825:DA833" si="457">DA824</f>
        <v/>
      </c>
      <c r="DB825" s="302"/>
      <c r="DC825" s="364"/>
      <c r="DD825" s="445"/>
      <c r="DF825" s="424"/>
      <c r="DW825" s="424"/>
      <c r="DX825" s="424"/>
      <c r="DY825" s="424"/>
      <c r="DZ825" s="424"/>
      <c r="EA825" s="424"/>
      <c r="EB825" s="424"/>
      <c r="EO825" s="425"/>
    </row>
    <row r="826" spans="98:145" x14ac:dyDescent="0.25">
      <c r="CT826" s="395" t="str">
        <f t="shared" si="456"/>
        <v/>
      </c>
      <c r="CU826" s="478" t="str">
        <f ca="1">IF(OR(CT826="",DA826="",CT826=DA826,COUNTIF(games.rn,CT826&amp;DA826)=0),"",CONCATENATE(CT826,DA826))</f>
        <v/>
      </c>
      <c r="CV826" s="360" t="str">
        <f ca="1">IF(CU826="","",CONCATENATE(VLOOKUP(CU826,games.r,9,FALSE),VLOOKUP(CU826,games.r,12,FALSE)))</f>
        <v/>
      </c>
      <c r="CW826" s="354" t="str">
        <f ca="1">IF(CU826="","",VLOOKUP(CU826,games.r,10,FALSE))</f>
        <v/>
      </c>
      <c r="CX826" s="354" t="str">
        <f ca="1">IF(CU826="","",VLOOKUP(CU826,games.r,13,FALSE))</f>
        <v/>
      </c>
      <c r="CY826" s="361" t="str">
        <f ca="1">IF(CU826="","",VLOOKUP(CU826,games.r,6,FALSE))</f>
        <v/>
      </c>
      <c r="CZ826" s="362" t="str">
        <f ca="1">IF(CU826="","",VLOOKUP(CU826,games.r,7,FALSE))</f>
        <v/>
      </c>
      <c r="DA826" s="379" t="str">
        <f t="shared" si="457"/>
        <v/>
      </c>
      <c r="DB826" s="302"/>
      <c r="DC826" s="364"/>
      <c r="DD826" s="445"/>
      <c r="DF826" s="424"/>
      <c r="DW826" s="424"/>
      <c r="DX826" s="424"/>
      <c r="DY826" s="424"/>
      <c r="DZ826" s="424"/>
      <c r="EA826" s="424"/>
      <c r="EB826" s="424"/>
      <c r="EO826" s="425"/>
    </row>
    <row r="827" spans="98:145" x14ac:dyDescent="0.25">
      <c r="CT827" s="395" t="str">
        <f t="shared" si="456"/>
        <v/>
      </c>
      <c r="CU827" s="478" t="str">
        <f ca="1">IF(OR(CT827="",DA827="",CT827=DA827,COUNTIF(games.rn,CT827&amp;DA827)=0),"",CONCATENATE(CT827,DA827))</f>
        <v/>
      </c>
      <c r="CV827" s="360" t="str">
        <f ca="1">IF(CU827="","",CONCATENATE(VLOOKUP(CU827,games.r,9,FALSE),VLOOKUP(CU827,games.r,12,FALSE)))</f>
        <v/>
      </c>
      <c r="CW827" s="354" t="str">
        <f ca="1">IF(CU827="","",VLOOKUP(CU827,games.r,10,FALSE))</f>
        <v/>
      </c>
      <c r="CX827" s="354" t="str">
        <f ca="1">IF(CU827="","",VLOOKUP(CU827,games.r,13,FALSE))</f>
        <v/>
      </c>
      <c r="CY827" s="361" t="str">
        <f ca="1">IF(CU827="","",VLOOKUP(CU827,games.r,6,FALSE))</f>
        <v/>
      </c>
      <c r="CZ827" s="362" t="str">
        <f ca="1">IF(CU827="","",VLOOKUP(CU827,games.r,7,FALSE))</f>
        <v/>
      </c>
      <c r="DA827" s="379" t="str">
        <f t="shared" si="457"/>
        <v/>
      </c>
      <c r="DB827" s="302"/>
      <c r="DC827" s="364"/>
      <c r="DD827" s="445"/>
      <c r="DF827" s="424"/>
      <c r="DW827" s="424"/>
      <c r="DX827" s="424"/>
      <c r="DY827" s="424"/>
      <c r="DZ827" s="424"/>
      <c r="EA827" s="424"/>
      <c r="EB827" s="424"/>
      <c r="EO827" s="425"/>
    </row>
    <row r="828" spans="98:145" x14ac:dyDescent="0.25">
      <c r="CT828" s="395" t="str">
        <f t="shared" si="456"/>
        <v/>
      </c>
      <c r="CU828" s="478" t="str">
        <f ca="1">IF(OR(CT828="",DA828="",CT828=DA828,COUNTIF(games.rn,CT828&amp;DA828)=0),"",CONCATENATE(CT828,DA828))</f>
        <v/>
      </c>
      <c r="CV828" s="360" t="str">
        <f ca="1">IF(CU828="","",CONCATENATE(VLOOKUP(CU828,games.r,9,FALSE),VLOOKUP(CU828,games.r,12,FALSE)))</f>
        <v/>
      </c>
      <c r="CW828" s="354" t="str">
        <f ca="1">IF(CU828="","",VLOOKUP(CU828,games.r,10,FALSE))</f>
        <v/>
      </c>
      <c r="CX828" s="354" t="str">
        <f ca="1">IF(CU828="","",VLOOKUP(CU828,games.r,13,FALSE))</f>
        <v/>
      </c>
      <c r="CY828" s="361" t="str">
        <f ca="1">IF(CU828="","",VLOOKUP(CU828,games.r,6,FALSE))</f>
        <v/>
      </c>
      <c r="CZ828" s="362" t="str">
        <f ca="1">IF(CU828="","",VLOOKUP(CU828,games.r,7,FALSE))</f>
        <v/>
      </c>
      <c r="DA828" s="379" t="str">
        <f t="shared" si="457"/>
        <v/>
      </c>
      <c r="DB828" s="302"/>
      <c r="DC828" s="364"/>
      <c r="DD828" s="445"/>
      <c r="DF828" s="424"/>
      <c r="DW828" s="424"/>
      <c r="DX828" s="424"/>
      <c r="DY828" s="424"/>
      <c r="DZ828" s="424"/>
      <c r="EA828" s="424"/>
      <c r="EB828" s="424"/>
      <c r="EO828" s="425"/>
    </row>
    <row r="829" spans="98:145" x14ac:dyDescent="0.25">
      <c r="CT829" s="522" t="str">
        <f t="shared" si="456"/>
        <v/>
      </c>
      <c r="CU829" s="371" t="str">
        <f>IF(OR(CT829="",DA829="",CT829=DA829,ISNA(VLOOKUP(CONCATENATE(CT829,DA829),games.a,2,FALSE))),"",CONCATENATE(CT829,DA829))</f>
        <v/>
      </c>
      <c r="CV829" s="371" t="str">
        <f>IF(CU829="","",CONCATENATE(VLOOKUP(CU829,games.a,9,FALSE),VLOOKUP(CU829,games.a,12,FALSE)))</f>
        <v/>
      </c>
      <c r="CW829" s="369" t="str">
        <f>IF(CU829="","",VLOOKUP(CU829,games.a,10,FALSE))</f>
        <v/>
      </c>
      <c r="CX829" s="369" t="str">
        <f>IF(CU829="","",VLOOKUP(CU829,games.a,13,FALSE))</f>
        <v/>
      </c>
      <c r="CY829" s="423" t="str">
        <f>IF(CU829="","",VLOOKUP(CU829,games.a,6,FALSE))</f>
        <v/>
      </c>
      <c r="CZ829" s="409" t="str">
        <f>IF(CU829="","",VLOOKUP(CU829,games.a,7,FALSE))</f>
        <v/>
      </c>
      <c r="DA829" s="523" t="str">
        <f t="shared" si="457"/>
        <v/>
      </c>
      <c r="DB829" s="302"/>
      <c r="DC829" s="364"/>
      <c r="DD829" s="445"/>
      <c r="DF829" s="424"/>
      <c r="DW829" s="424"/>
      <c r="DX829" s="424"/>
      <c r="DY829" s="424"/>
      <c r="DZ829" s="424"/>
      <c r="EA829" s="424"/>
      <c r="EB829" s="424"/>
      <c r="EO829" s="425"/>
    </row>
    <row r="830" spans="98:145" x14ac:dyDescent="0.25">
      <c r="CT830" s="522" t="str">
        <f t="shared" si="456"/>
        <v/>
      </c>
      <c r="CU830" s="371" t="str">
        <f>IF(OR(CT830="",DA830="",CT830=DA830,ISNA(VLOOKUP(CONCATENATE(CT830,DA830),games.a,2,FALSE))),"",CONCATENATE(CT830,DA830))</f>
        <v/>
      </c>
      <c r="CV830" s="371" t="str">
        <f>IF(CU830="","",CONCATENATE(VLOOKUP(CU830,games.a,9,FALSE),VLOOKUP(CU830,games.a,12,FALSE)))</f>
        <v/>
      </c>
      <c r="CW830" s="369" t="str">
        <f>IF(CU830="","",VLOOKUP(CU830,games.a,10,FALSE))</f>
        <v/>
      </c>
      <c r="CX830" s="369" t="str">
        <f>IF(CU830="","",VLOOKUP(CU830,games.a,13,FALSE))</f>
        <v/>
      </c>
      <c r="CY830" s="423" t="str">
        <f>IF(CU830="","",VLOOKUP(CU830,games.a,6,FALSE))</f>
        <v/>
      </c>
      <c r="CZ830" s="409" t="str">
        <f>IF(CU830="","",VLOOKUP(CU830,games.a,7,FALSE))</f>
        <v/>
      </c>
      <c r="DA830" s="523" t="str">
        <f t="shared" si="457"/>
        <v/>
      </c>
      <c r="DB830" s="302"/>
      <c r="DC830" s="364"/>
      <c r="DD830" s="445"/>
      <c r="DF830" s="424"/>
      <c r="DW830" s="424"/>
      <c r="DX830" s="424"/>
      <c r="DY830" s="424"/>
      <c r="DZ830" s="424"/>
      <c r="EA830" s="424"/>
      <c r="EB830" s="424"/>
      <c r="EO830" s="425"/>
    </row>
    <row r="831" spans="98:145" x14ac:dyDescent="0.25">
      <c r="CT831" s="522" t="str">
        <f t="shared" si="456"/>
        <v/>
      </c>
      <c r="CU831" s="371" t="str">
        <f>IF(OR(CT831="",DA831="",CT831=DA831,ISNA(VLOOKUP(CONCATENATE(CT831,DA831),games.a,2,FALSE))),"",CONCATENATE(CT831,DA831))</f>
        <v/>
      </c>
      <c r="CV831" s="371" t="str">
        <f>IF(CU831="","",CONCATENATE(VLOOKUP(CU831,games.a,9,FALSE),VLOOKUP(CU831,games.a,12,FALSE)))</f>
        <v/>
      </c>
      <c r="CW831" s="369" t="str">
        <f>IF(CU831="","",VLOOKUP(CU831,games.a,10,FALSE))</f>
        <v/>
      </c>
      <c r="CX831" s="369" t="str">
        <f>IF(CU831="","",VLOOKUP(CU831,games.a,13,FALSE))</f>
        <v/>
      </c>
      <c r="CY831" s="423" t="str">
        <f>IF(CU831="","",VLOOKUP(CU831,games.a,6,FALSE))</f>
        <v/>
      </c>
      <c r="CZ831" s="409" t="str">
        <f>IF(CU831="","",VLOOKUP(CU831,games.a,7,FALSE))</f>
        <v/>
      </c>
      <c r="DA831" s="523" t="str">
        <f t="shared" si="457"/>
        <v/>
      </c>
      <c r="DB831" s="302"/>
      <c r="DC831" s="364"/>
      <c r="DD831" s="445"/>
      <c r="DF831" s="424"/>
      <c r="DW831" s="424"/>
      <c r="DX831" s="424"/>
      <c r="DY831" s="424"/>
      <c r="DZ831" s="424"/>
      <c r="EA831" s="424"/>
      <c r="EB831" s="424"/>
      <c r="EO831" s="425"/>
    </row>
    <row r="832" spans="98:145" x14ac:dyDescent="0.25">
      <c r="CT832" s="522" t="str">
        <f t="shared" si="456"/>
        <v/>
      </c>
      <c r="CU832" s="371" t="str">
        <f>IF(OR(CT832="",DA832="",CT832=DA832,ISNA(VLOOKUP(CONCATENATE(CT832,DA832),games.a,2,FALSE))),"",CONCATENATE(CT832,DA832))</f>
        <v/>
      </c>
      <c r="CV832" s="371" t="str">
        <f>IF(CU832="","",CONCATENATE(VLOOKUP(CU832,games.a,9,FALSE),VLOOKUP(CU832,games.a,12,FALSE)))</f>
        <v/>
      </c>
      <c r="CW832" s="369" t="str">
        <f>IF(CU832="","",VLOOKUP(CU832,games.a,10,FALSE))</f>
        <v/>
      </c>
      <c r="CX832" s="369" t="str">
        <f>IF(CU832="","",VLOOKUP(CU832,games.a,13,FALSE))</f>
        <v/>
      </c>
      <c r="CY832" s="423" t="str">
        <f>IF(CU832="","",VLOOKUP(CU832,games.a,6,FALSE))</f>
        <v/>
      </c>
      <c r="CZ832" s="409" t="str">
        <f>IF(CU832="","",VLOOKUP(CU832,games.a,7,FALSE))</f>
        <v/>
      </c>
      <c r="DA832" s="523" t="str">
        <f t="shared" si="457"/>
        <v/>
      </c>
      <c r="DB832" s="302"/>
      <c r="DC832" s="364"/>
      <c r="DD832" s="445"/>
      <c r="DF832" s="424"/>
      <c r="DW832" s="424"/>
      <c r="DX832" s="424"/>
      <c r="DY832" s="424"/>
      <c r="DZ832" s="424"/>
      <c r="EA832" s="424"/>
      <c r="EB832" s="424"/>
      <c r="EO832" s="425"/>
    </row>
    <row r="833" spans="98:145" x14ac:dyDescent="0.25">
      <c r="CT833" s="522" t="str">
        <f t="shared" si="456"/>
        <v/>
      </c>
      <c r="CU833" s="371" t="str">
        <f>IF(OR(CT833="",DA833="",CT833=DA833,ISNA(VLOOKUP(CONCATENATE(CT833,DA833),games.a,2,FALSE))),"",CONCATENATE(CT833,DA833))</f>
        <v/>
      </c>
      <c r="CV833" s="371" t="str">
        <f>IF(CU833="","",CONCATENATE(VLOOKUP(CU833,games.a,9,FALSE),VLOOKUP(CU833,games.a,12,FALSE)))</f>
        <v/>
      </c>
      <c r="CW833" s="369" t="str">
        <f>IF(CU833="","",VLOOKUP(CU833,games.a,10,FALSE))</f>
        <v/>
      </c>
      <c r="CX833" s="369" t="str">
        <f>IF(CU833="","",VLOOKUP(CU833,games.a,13,FALSE))</f>
        <v/>
      </c>
      <c r="CY833" s="423" t="str">
        <f>IF(CU833="","",VLOOKUP(CU833,games.a,6,FALSE))</f>
        <v/>
      </c>
      <c r="CZ833" s="409" t="str">
        <f>IF(CU833="","",VLOOKUP(CU833,games.a,7,FALSE))</f>
        <v/>
      </c>
      <c r="DA833" s="523" t="str">
        <f t="shared" si="457"/>
        <v/>
      </c>
      <c r="DB833" s="302"/>
      <c r="DC833" s="364"/>
      <c r="DD833" s="445"/>
      <c r="DF833" s="424"/>
      <c r="DW833" s="424"/>
      <c r="DX833" s="424"/>
      <c r="DY833" s="424"/>
      <c r="DZ833" s="424"/>
      <c r="EA833" s="424"/>
      <c r="EB833" s="424"/>
      <c r="EO833" s="425"/>
    </row>
    <row r="834" spans="98:145" x14ac:dyDescent="0.25">
      <c r="CT834" s="301"/>
      <c r="CU834" s="302"/>
      <c r="CV834" s="302"/>
      <c r="CW834" s="302"/>
      <c r="CX834" s="302"/>
      <c r="CY834" s="302"/>
      <c r="CZ834" s="302"/>
      <c r="DA834" s="302"/>
      <c r="DB834" s="302"/>
      <c r="DC834" s="446" t="s">
        <v>370</v>
      </c>
      <c r="DD834" s="445"/>
      <c r="DF834" s="424"/>
      <c r="DW834" s="424"/>
      <c r="DX834" s="424"/>
      <c r="DY834" s="424"/>
      <c r="DZ834" s="424"/>
      <c r="EA834" s="424"/>
      <c r="EB834" s="424"/>
      <c r="EO834" s="425"/>
    </row>
    <row r="835" spans="98:145" x14ac:dyDescent="0.25">
      <c r="CT835" s="301"/>
      <c r="CU835" s="302"/>
      <c r="CV835" s="302"/>
      <c r="CW835" s="302"/>
      <c r="CX835" s="302"/>
      <c r="CY835" s="302"/>
      <c r="CZ835" s="302"/>
      <c r="DA835" s="447"/>
      <c r="DB835" s="302"/>
      <c r="DC835" s="448" t="s">
        <v>371</v>
      </c>
      <c r="DW835" s="424"/>
      <c r="DX835" s="424"/>
      <c r="DY835" s="424"/>
      <c r="DZ835" s="424"/>
      <c r="EA835" s="424"/>
      <c r="EB835" s="424"/>
      <c r="EO835" s="425"/>
    </row>
    <row r="836" spans="98:145" x14ac:dyDescent="0.25">
      <c r="CT836" s="323" t="b">
        <f ca="1">OR(NOT(ASZTAB!$AJ$44),COUNTIF(CY836:CY856,"")&lt;=18-(DA836-1)*DA836/2)</f>
        <v>1</v>
      </c>
      <c r="CU836" s="471" t="s">
        <v>157</v>
      </c>
      <c r="CV836" s="471" t="s">
        <v>158</v>
      </c>
      <c r="CW836" s="472" t="s">
        <v>159</v>
      </c>
      <c r="CX836" s="472"/>
      <c r="CY836" s="473" t="s">
        <v>160</v>
      </c>
      <c r="CZ836" s="472" t="s">
        <v>135</v>
      </c>
      <c r="DA836" s="323">
        <f>COUNT(CN644:CN646)</f>
        <v>0</v>
      </c>
      <c r="DB836" s="302"/>
      <c r="DC836" s="364"/>
      <c r="DG836" s="329" t="s">
        <v>229</v>
      </c>
      <c r="DH836" s="365"/>
      <c r="DI836" s="329" t="s">
        <v>152</v>
      </c>
      <c r="DJ836" s="329" t="s">
        <v>153</v>
      </c>
      <c r="DK836" s="329" t="s">
        <v>154</v>
      </c>
      <c r="DL836" s="329" t="s">
        <v>155</v>
      </c>
      <c r="DM836" s="329" t="s">
        <v>125</v>
      </c>
      <c r="DN836" s="329" t="s">
        <v>226</v>
      </c>
      <c r="DO836" s="329" t="s">
        <v>126</v>
      </c>
      <c r="DP836" s="329" t="s">
        <v>227</v>
      </c>
      <c r="DQ836" s="424"/>
      <c r="DR836" s="424"/>
      <c r="DS836" s="424"/>
      <c r="DT836" s="329" t="s">
        <v>228</v>
      </c>
      <c r="DU836" s="329" t="s">
        <v>156</v>
      </c>
      <c r="DV836" s="329" t="s">
        <v>208</v>
      </c>
      <c r="DW836" s="424"/>
      <c r="DX836" s="424"/>
      <c r="DY836" s="424"/>
      <c r="DZ836" s="424"/>
      <c r="EA836" s="424"/>
      <c r="EB836" s="424"/>
    </row>
    <row r="837" spans="98:145" x14ac:dyDescent="0.25">
      <c r="CT837" s="477" t="str">
        <f>IF(CN644="","",VLOOKUP(CN644,xxx.rn3,7,FALSE))</f>
        <v/>
      </c>
      <c r="CU837" s="478" t="str">
        <f ca="1">IF(OR(CT837="",DA837="",CT837=DA837,COUNTIF(games.rn,CT837&amp;DA837)=0),"",CONCATENATE(CT837,DA837))</f>
        <v/>
      </c>
      <c r="CV837" s="360" t="str">
        <f ca="1">IF(CU837="","",CONCATENATE(VLOOKUP(CU837,games.r,9,FALSE),VLOOKUP(CU837,games.r,12,FALSE)))</f>
        <v/>
      </c>
      <c r="CW837" s="354" t="str">
        <f ca="1">IF(CU837="","",VLOOKUP(CU837,games.r,10,FALSE))</f>
        <v/>
      </c>
      <c r="CX837" s="354" t="str">
        <f ca="1">IF(CU837="","",VLOOKUP(CU837,games.r,13,FALSE))</f>
        <v/>
      </c>
      <c r="CY837" s="361" t="str">
        <f ca="1">IF(CU837="","",VLOOKUP(CU837,games.r,6,FALSE))</f>
        <v/>
      </c>
      <c r="CZ837" s="362" t="str">
        <f ca="1">IF(CU837="","",VLOOKUP(CU837,games.r,7,FALSE))</f>
        <v/>
      </c>
      <c r="DA837" s="479" t="str">
        <f>CT837</f>
        <v/>
      </c>
      <c r="DB837" s="302"/>
      <c r="DC837" s="364"/>
      <c r="DG837" s="366" t="str">
        <f ca="1">IF(OR(NOT(ASZTAB!$AJ$44),CT836),CT837,"")</f>
        <v/>
      </c>
      <c r="DH837" s="365"/>
      <c r="DI837" s="366">
        <f ca="1">IF(DG837="",0,COUNTIF(xxgy.rn,DG837))</f>
        <v>0</v>
      </c>
      <c r="DJ837" s="366">
        <f ca="1">IF(DG837="",0,COUNTIF(xxd.rn,DG837))</f>
        <v>0</v>
      </c>
      <c r="DK837" s="366">
        <f ca="1">IF(DG837="",0,1)*(SUMIF(xxo.rn,DG837,xxl.rn)+SUMIF(xxi.rn,DG837,xxk.rn))</f>
        <v>0</v>
      </c>
      <c r="DL837" s="366">
        <f ca="1">IF(DG837="",0,1)*(SUMIF(xxo.rn,DG837,xxk.rn)+SUMIF(xxi.rn,DG837,xxl.rn))</f>
        <v>0</v>
      </c>
      <c r="DM837" s="366">
        <f ca="1">DK837-DL837</f>
        <v>0</v>
      </c>
      <c r="DN837" s="366">
        <f ca="1">IF(DL837=0,0,DK837/DL837)</f>
        <v>0</v>
      </c>
      <c r="DO837" s="366">
        <f ca="1">ASZTAB!$AJ$48*DI837+IF(ASZTAB!$AJ$44,0,1)*DJ837</f>
        <v>0</v>
      </c>
      <c r="DP837" s="396">
        <f ca="1">DO837*1000000+IF(ASZTAB!$AJ$44,DN837,DM837)*1000*0</f>
        <v>0</v>
      </c>
      <c r="DQ837" s="424"/>
      <c r="DR837" s="424"/>
      <c r="DS837" s="424"/>
      <c r="DT837" s="366">
        <f ca="1">IF(OR(ISERR(DP837),ISNA(DP837)),0,DP837)</f>
        <v>0</v>
      </c>
      <c r="DU837" s="366">
        <f ca="1">IF(DT837=0,0,RANK(DT837,DT837:DT839,1))</f>
        <v>0</v>
      </c>
      <c r="DV837" s="366">
        <f ca="1">DU837*40000*IF(COUNTIF($EN$780:$EN$789,DG837)&gt;0,0,1)</f>
        <v>0</v>
      </c>
      <c r="DW837" s="424"/>
      <c r="DX837" s="424"/>
      <c r="DY837" s="424"/>
      <c r="DZ837" s="424"/>
      <c r="EA837" s="424"/>
      <c r="EB837" s="424"/>
    </row>
    <row r="838" spans="98:145" x14ac:dyDescent="0.25">
      <c r="CT838" s="477" t="str">
        <f>IF(CN645="","",VLOOKUP(CN645,xxx.rn3,7,FALSE))</f>
        <v/>
      </c>
      <c r="CU838" s="478" t="str">
        <f ca="1">IF(OR(CT838="",DA838="",CT838=DA838,COUNTIF(games.rn,CT838&amp;DA838)=0),"",CONCATENATE(CT838,DA838))</f>
        <v/>
      </c>
      <c r="CV838" s="360" t="str">
        <f ca="1">IF(CU838="","",CONCATENATE(VLOOKUP(CU838,games.r,9,FALSE),VLOOKUP(CU838,games.r,12,FALSE)))</f>
        <v/>
      </c>
      <c r="CW838" s="354" t="str">
        <f ca="1">IF(CU838="","",VLOOKUP(CU838,games.r,10,FALSE))</f>
        <v/>
      </c>
      <c r="CX838" s="354" t="str">
        <f ca="1">IF(CU838="","",VLOOKUP(CU838,games.r,13,FALSE))</f>
        <v/>
      </c>
      <c r="CY838" s="361" t="str">
        <f ca="1">IF(CU838="","",VLOOKUP(CU838,games.r,6,FALSE))</f>
        <v/>
      </c>
      <c r="CZ838" s="362" t="str">
        <f ca="1">IF(CU838="","",VLOOKUP(CU838,games.r,7,FALSE))</f>
        <v/>
      </c>
      <c r="DA838" s="379" t="str">
        <f>DA837</f>
        <v/>
      </c>
      <c r="DB838" s="302"/>
      <c r="DC838" s="364"/>
      <c r="DG838" s="366" t="str">
        <f ca="1">IF(OR(NOT(ASZTAB!$AJ$44),CT836),CT838,"")</f>
        <v/>
      </c>
      <c r="DH838" s="365"/>
      <c r="DI838" s="366">
        <f ca="1">IF(DG838="",0,COUNTIF(xxgy.rn,DG838))</f>
        <v>0</v>
      </c>
      <c r="DJ838" s="366">
        <f ca="1">IF(DG838="",0,COUNTIF(xxd.rn,DG838))</f>
        <v>0</v>
      </c>
      <c r="DK838" s="366">
        <f ca="1">IF(DG838="",0,1)*(SUMIF(xxo.rn,DG838,xxl.rn)+SUMIF(xxi.rn,DG838,xxk.rn))</f>
        <v>0</v>
      </c>
      <c r="DL838" s="366">
        <f ca="1">IF(DG838="",0,1)*(SUMIF(xxo.rn,DG838,xxk.rn)+SUMIF(xxi.rn,DG838,xxl.rn))</f>
        <v>0</v>
      </c>
      <c r="DM838" s="366">
        <f ca="1">DK838-DL838</f>
        <v>0</v>
      </c>
      <c r="DN838" s="366">
        <f ca="1">IF(DL838=0,0,DK838/DL838)</f>
        <v>0</v>
      </c>
      <c r="DO838" s="366">
        <f ca="1">ASZTAB!$AJ$48*DI838+IF(ASZTAB!$AJ$44,0,1)*DJ838</f>
        <v>0</v>
      </c>
      <c r="DP838" s="396">
        <f ca="1">DO838*1000000+IF(ASZTAB!$AJ$44,DN838,DM838)*1000*0</f>
        <v>0</v>
      </c>
      <c r="DQ838" s="424"/>
      <c r="DR838" s="424"/>
      <c r="DS838" s="424"/>
      <c r="DT838" s="366">
        <f ca="1">IF(OR(ISERR(DP838),ISNA(DP838)),0,DP838)</f>
        <v>0</v>
      </c>
      <c r="DU838" s="366">
        <f ca="1">IF(DT838=0,0,RANK(DT838,DT837:DT839,1))</f>
        <v>0</v>
      </c>
      <c r="DV838" s="366">
        <f ca="1">DU838*40000*IF(COUNTIF($EN$780:$EN$789,DG838)&gt;0,0,1)</f>
        <v>0</v>
      </c>
      <c r="DW838" s="424"/>
      <c r="DX838" s="424"/>
      <c r="DY838" s="424"/>
      <c r="DZ838" s="424"/>
      <c r="EA838" s="424"/>
      <c r="EB838" s="424"/>
    </row>
    <row r="839" spans="98:145" x14ac:dyDescent="0.25">
      <c r="CT839" s="477" t="str">
        <f>IF(CN646="","",VLOOKUP(CN646,xxx.rn3,7,FALSE))</f>
        <v/>
      </c>
      <c r="CU839" s="478" t="str">
        <f ca="1">IF(OR(CT839="",DA839="",CT839=DA839,COUNTIF(games.rn,CT839&amp;DA839)=0),"",CONCATENATE(CT839,DA839))</f>
        <v/>
      </c>
      <c r="CV839" s="360" t="str">
        <f ca="1">IF(CU839="","",CONCATENATE(VLOOKUP(CU839,games.r,9,FALSE),VLOOKUP(CU839,games.r,12,FALSE)))</f>
        <v/>
      </c>
      <c r="CW839" s="354" t="str">
        <f ca="1">IF(CU839="","",VLOOKUP(CU839,games.r,10,FALSE))</f>
        <v/>
      </c>
      <c r="CX839" s="354" t="str">
        <f ca="1">IF(CU839="","",VLOOKUP(CU839,games.r,13,FALSE))</f>
        <v/>
      </c>
      <c r="CY839" s="361" t="str">
        <f ca="1">IF(CU839="","",VLOOKUP(CU839,games.r,6,FALSE))</f>
        <v/>
      </c>
      <c r="CZ839" s="362" t="str">
        <f ca="1">IF(CU839="","",VLOOKUP(CU839,games.r,7,FALSE))</f>
        <v/>
      </c>
      <c r="DA839" s="379" t="str">
        <f>DA838</f>
        <v/>
      </c>
      <c r="DB839" s="302"/>
      <c r="DC839" s="364"/>
      <c r="DG839" s="366" t="str">
        <f ca="1">IF(OR(NOT(ASZTAB!$AJ$44),CT836),CT839,"")</f>
        <v/>
      </c>
      <c r="DH839" s="365"/>
      <c r="DI839" s="366">
        <f ca="1">IF(DG839="",0,COUNTIF(xxgy.rn,DG839))</f>
        <v>0</v>
      </c>
      <c r="DJ839" s="366">
        <f ca="1">IF(DG839="",0,COUNTIF(xxd.rn,DG839))</f>
        <v>0</v>
      </c>
      <c r="DK839" s="366">
        <f ca="1">IF(DG839="",0,1)*(SUMIF(xxo.rn,DG839,xxl.rn)+SUMIF(xxi.rn,DG839,xxk.rn))</f>
        <v>0</v>
      </c>
      <c r="DL839" s="366">
        <f ca="1">IF(DG839="",0,1)*(SUMIF(xxo.rn,DG839,xxk.rn)+SUMIF(xxi.rn,DG839,xxl.rn))</f>
        <v>0</v>
      </c>
      <c r="DM839" s="366">
        <f ca="1">DK839-DL839</f>
        <v>0</v>
      </c>
      <c r="DN839" s="366">
        <f ca="1">IF(DL839=0,0,DK839/DL839)</f>
        <v>0</v>
      </c>
      <c r="DO839" s="366">
        <f ca="1">ASZTAB!$AJ$48*DI839+IF(ASZTAB!$AJ$44,0,1)*DJ839</f>
        <v>0</v>
      </c>
      <c r="DP839" s="396">
        <f ca="1">DO839*1000000+IF(ASZTAB!$AJ$44,DN839,DM839)*1000*0</f>
        <v>0</v>
      </c>
      <c r="DQ839" s="424"/>
      <c r="DR839" s="424"/>
      <c r="DS839" s="424"/>
      <c r="DT839" s="366">
        <f ca="1">IF(OR(ISERR(DP839),ISNA(DP839)),0,DP839)</f>
        <v>0</v>
      </c>
      <c r="DU839" s="366">
        <f ca="1">IF(DT839=0,0,RANK(DT839,DT837:DT839,1))</f>
        <v>0</v>
      </c>
      <c r="DV839" s="366">
        <f ca="1">DU839*40000*IF(COUNTIF($EN$780:$EN$789,DG839)&gt;0,0,1)</f>
        <v>0</v>
      </c>
      <c r="DW839" s="424"/>
      <c r="DX839" s="424"/>
      <c r="DY839" s="424"/>
      <c r="DZ839" s="424"/>
      <c r="EA839" s="424"/>
      <c r="EB839" s="424"/>
    </row>
    <row r="840" spans="98:145" x14ac:dyDescent="0.25">
      <c r="CT840" s="522" t="str">
        <f>IF(NOT($AD$112),"",CT837)</f>
        <v/>
      </c>
      <c r="CU840" s="371" t="str">
        <f>IF(OR(CT840="",DA840="",CT840=DA840,ISNA(VLOOKUP(CONCATENATE(CT840,DA840),games.a,2,FALSE))),"",CONCATENATE(CT840,DA840))</f>
        <v/>
      </c>
      <c r="CV840" s="371" t="str">
        <f>IF(CU840="","",CONCATENATE(VLOOKUP(CU840,games.a,9,FALSE),VLOOKUP(CU840,games.a,12,FALSE)))</f>
        <v/>
      </c>
      <c r="CW840" s="369" t="str">
        <f>IF(CU840="","",VLOOKUP(CU840,games.a,10,FALSE))</f>
        <v/>
      </c>
      <c r="CX840" s="369" t="str">
        <f>IF(CU840="","",VLOOKUP(CU840,games.a,13,FALSE))</f>
        <v/>
      </c>
      <c r="CY840" s="423" t="str">
        <f>IF(CU840="","",VLOOKUP(CU840,games.a,6,FALSE))</f>
        <v/>
      </c>
      <c r="CZ840" s="409" t="str">
        <f>IF(CU840="","",VLOOKUP(CU840,games.a,7,FALSE))</f>
        <v/>
      </c>
      <c r="DA840" s="523" t="str">
        <f>DA839</f>
        <v/>
      </c>
      <c r="DB840" s="302"/>
      <c r="DC840" s="364"/>
      <c r="DG840" s="424"/>
      <c r="DH840" s="424"/>
      <c r="DI840" s="424"/>
      <c r="DJ840" s="424"/>
      <c r="DK840" s="424"/>
      <c r="DL840" s="424"/>
      <c r="DM840" s="424"/>
      <c r="DN840" s="424"/>
      <c r="DO840" s="424"/>
      <c r="DP840" s="424"/>
      <c r="DQ840" s="424"/>
      <c r="DR840" s="424"/>
      <c r="DS840" s="424"/>
      <c r="DT840" s="424"/>
      <c r="DU840" s="424"/>
      <c r="DV840" s="424"/>
      <c r="DW840" s="424"/>
      <c r="DX840" s="424"/>
      <c r="DY840" s="424"/>
      <c r="DZ840" s="424"/>
      <c r="EA840" s="424"/>
      <c r="EB840" s="424"/>
    </row>
    <row r="841" spans="98:145" x14ac:dyDescent="0.25">
      <c r="CT841" s="522" t="str">
        <f>IF(NOT($AD$112),"",CT838)</f>
        <v/>
      </c>
      <c r="CU841" s="371" t="str">
        <f>IF(OR(CT841="",DA841="",CT841=DA841,ISNA(VLOOKUP(CONCATENATE(CT841,DA841),games.a,2,FALSE))),"",CONCATENATE(CT841,DA841))</f>
        <v/>
      </c>
      <c r="CV841" s="371" t="str">
        <f>IF(CU841="","",CONCATENATE(VLOOKUP(CU841,games.a,9,FALSE),VLOOKUP(CU841,games.a,12,FALSE)))</f>
        <v/>
      </c>
      <c r="CW841" s="369" t="str">
        <f>IF(CU841="","",VLOOKUP(CU841,games.a,10,FALSE))</f>
        <v/>
      </c>
      <c r="CX841" s="369" t="str">
        <f>IF(CU841="","",VLOOKUP(CU841,games.a,13,FALSE))</f>
        <v/>
      </c>
      <c r="CY841" s="423" t="str">
        <f>IF(CU841="","",VLOOKUP(CU841,games.a,6,FALSE))</f>
        <v/>
      </c>
      <c r="CZ841" s="409" t="str">
        <f>IF(CU841="","",VLOOKUP(CU841,games.a,7,FALSE))</f>
        <v/>
      </c>
      <c r="DA841" s="523" t="str">
        <f>DA840</f>
        <v/>
      </c>
      <c r="DB841" s="302"/>
      <c r="DC841" s="364"/>
      <c r="DG841" s="424"/>
      <c r="DH841" s="424"/>
      <c r="DI841" s="424"/>
      <c r="DJ841" s="424"/>
      <c r="DK841" s="424"/>
      <c r="DL841" s="424"/>
      <c r="DM841" s="424"/>
      <c r="DN841" s="424"/>
      <c r="DO841" s="424"/>
      <c r="DP841" s="424"/>
      <c r="DQ841" s="424"/>
      <c r="DR841" s="424"/>
      <c r="DS841" s="424"/>
      <c r="DT841" s="424"/>
      <c r="DU841" s="424"/>
      <c r="DV841" s="424"/>
      <c r="DW841" s="424"/>
      <c r="DX841" s="424"/>
      <c r="DY841" s="424"/>
      <c r="DZ841" s="424"/>
      <c r="EA841" s="424"/>
      <c r="EB841" s="424"/>
    </row>
    <row r="842" spans="98:145" x14ac:dyDescent="0.25">
      <c r="CT842" s="522" t="str">
        <f>IF(NOT($AD$112),"",CT839)</f>
        <v/>
      </c>
      <c r="CU842" s="371" t="str">
        <f>IF(OR(CT842="",DA842="",CT842=DA842,ISNA(VLOOKUP(CONCATENATE(CT842,DA842),games.a,2,FALSE))),"",CONCATENATE(CT842,DA842))</f>
        <v/>
      </c>
      <c r="CV842" s="371" t="str">
        <f>IF(CU842="","",CONCATENATE(VLOOKUP(CU842,games.a,9,FALSE),VLOOKUP(CU842,games.a,12,FALSE)))</f>
        <v/>
      </c>
      <c r="CW842" s="369" t="str">
        <f>IF(CU842="","",VLOOKUP(CU842,games.a,10,FALSE))</f>
        <v/>
      </c>
      <c r="CX842" s="369" t="str">
        <f>IF(CU842="","",VLOOKUP(CU842,games.a,13,FALSE))</f>
        <v/>
      </c>
      <c r="CY842" s="423" t="str">
        <f>IF(CU842="","",VLOOKUP(CU842,games.a,6,FALSE))</f>
        <v/>
      </c>
      <c r="CZ842" s="409" t="str">
        <f>IF(CU842="","",VLOOKUP(CU842,games.a,7,FALSE))</f>
        <v/>
      </c>
      <c r="DA842" s="523" t="str">
        <f>DA841</f>
        <v/>
      </c>
      <c r="DB842" s="302"/>
      <c r="DC842" s="364"/>
      <c r="DG842" s="424"/>
      <c r="DH842" s="424"/>
      <c r="DI842" s="424"/>
      <c r="DJ842" s="424"/>
      <c r="DK842" s="424"/>
      <c r="DL842" s="424"/>
      <c r="DM842" s="424"/>
      <c r="DN842" s="424"/>
      <c r="DO842" s="424"/>
      <c r="DP842" s="424"/>
      <c r="DQ842" s="424"/>
      <c r="DR842" s="424"/>
      <c r="DS842" s="424"/>
      <c r="DT842" s="424"/>
      <c r="DU842" s="424"/>
      <c r="DV842" s="424"/>
      <c r="DW842" s="424"/>
      <c r="DX842" s="424"/>
      <c r="DY842" s="424"/>
      <c r="DZ842" s="424"/>
      <c r="EA842" s="424"/>
      <c r="EB842" s="424"/>
    </row>
    <row r="843" spans="98:145" x14ac:dyDescent="0.25">
      <c r="CT843" s="301"/>
      <c r="CU843" s="471" t="s">
        <v>157</v>
      </c>
      <c r="CV843" s="471" t="s">
        <v>158</v>
      </c>
      <c r="CW843" s="472" t="s">
        <v>159</v>
      </c>
      <c r="CX843" s="472"/>
      <c r="CY843" s="473" t="s">
        <v>160</v>
      </c>
      <c r="CZ843" s="472" t="s">
        <v>135</v>
      </c>
      <c r="DA843" s="302"/>
      <c r="DB843" s="302"/>
      <c r="DC843" s="364"/>
      <c r="DG843" s="424"/>
      <c r="DH843" s="424"/>
      <c r="DI843" s="424"/>
      <c r="DJ843" s="424"/>
      <c r="DK843" s="424"/>
      <c r="DL843" s="424"/>
      <c r="DM843" s="424"/>
      <c r="DN843" s="424"/>
      <c r="DO843" s="424"/>
      <c r="DP843" s="424"/>
      <c r="DQ843" s="424"/>
      <c r="DR843" s="424"/>
      <c r="DS843" s="424"/>
      <c r="DT843" s="424"/>
      <c r="DU843" s="424"/>
      <c r="DV843" s="424"/>
      <c r="DW843" s="424"/>
      <c r="DX843" s="424"/>
      <c r="DY843" s="424"/>
      <c r="DZ843" s="424"/>
      <c r="EA843" s="424"/>
      <c r="EB843" s="424"/>
    </row>
    <row r="844" spans="98:145" x14ac:dyDescent="0.25">
      <c r="CT844" s="395" t="str">
        <f t="shared" ref="CT844:CT849" si="458">CT837</f>
        <v/>
      </c>
      <c r="CU844" s="478" t="str">
        <f ca="1">IF(OR(CT844="",DA844="",CT844=DA844,COUNTIF(games.rn,CT844&amp;DA844)=0),"",CONCATENATE(CT844,DA844))</f>
        <v/>
      </c>
      <c r="CV844" s="360" t="str">
        <f ca="1">IF(CU844="","",CONCATENATE(VLOOKUP(CU844,games.r,9,FALSE),VLOOKUP(CU844,games.r,12,FALSE)))</f>
        <v/>
      </c>
      <c r="CW844" s="354" t="str">
        <f ca="1">IF(CU844="","",VLOOKUP(CU844,games.r,10,FALSE))</f>
        <v/>
      </c>
      <c r="CX844" s="354" t="str">
        <f ca="1">IF(CU844="","",VLOOKUP(CU844,games.r,13,FALSE))</f>
        <v/>
      </c>
      <c r="CY844" s="361" t="str">
        <f ca="1">IF(CU844="","",VLOOKUP(CU844,games.r,6,FALSE))</f>
        <v/>
      </c>
      <c r="CZ844" s="362" t="str">
        <f ca="1">IF(CU844="","",VLOOKUP(CU844,games.r,7,FALSE))</f>
        <v/>
      </c>
      <c r="DA844" s="479" t="str">
        <f>CT838</f>
        <v/>
      </c>
      <c r="DB844" s="302"/>
      <c r="DC844" s="364"/>
      <c r="DG844" s="424"/>
      <c r="DH844" s="424"/>
      <c r="DI844" s="424"/>
      <c r="DJ844" s="424"/>
      <c r="DK844" s="424"/>
      <c r="DL844" s="424"/>
      <c r="DM844" s="424"/>
      <c r="DN844" s="424"/>
      <c r="DO844" s="424"/>
      <c r="DP844" s="424"/>
      <c r="DQ844" s="424"/>
      <c r="DR844" s="424"/>
      <c r="DS844" s="424"/>
      <c r="DT844" s="424"/>
      <c r="DU844" s="424"/>
      <c r="DV844" s="424"/>
      <c r="DW844" s="424"/>
      <c r="DX844" s="424"/>
      <c r="DY844" s="424"/>
      <c r="DZ844" s="424"/>
      <c r="EA844" s="424"/>
      <c r="EB844" s="424"/>
    </row>
    <row r="845" spans="98:145" x14ac:dyDescent="0.25">
      <c r="CT845" s="395" t="str">
        <f t="shared" si="458"/>
        <v/>
      </c>
      <c r="CU845" s="478" t="str">
        <f ca="1">IF(OR(CT845="",DA845="",CT845=DA845,COUNTIF(games.rn,CT845&amp;DA845)=0),"",CONCATENATE(CT845,DA845))</f>
        <v/>
      </c>
      <c r="CV845" s="360" t="str">
        <f ca="1">IF(CU845="","",CONCATENATE(VLOOKUP(CU845,games.r,9,FALSE),VLOOKUP(CU845,games.r,12,FALSE)))</f>
        <v/>
      </c>
      <c r="CW845" s="354" t="str">
        <f ca="1">IF(CU845="","",VLOOKUP(CU845,games.r,10,FALSE))</f>
        <v/>
      </c>
      <c r="CX845" s="354" t="str">
        <f ca="1">IF(CU845="","",VLOOKUP(CU845,games.r,13,FALSE))</f>
        <v/>
      </c>
      <c r="CY845" s="361" t="str">
        <f ca="1">IF(CU845="","",VLOOKUP(CU845,games.r,6,FALSE))</f>
        <v/>
      </c>
      <c r="CZ845" s="362" t="str">
        <f ca="1">IF(CU845="","",VLOOKUP(CU845,games.r,7,FALSE))</f>
        <v/>
      </c>
      <c r="DA845" s="379" t="str">
        <f>DA844</f>
        <v/>
      </c>
      <c r="DB845" s="302"/>
      <c r="DC845" s="364"/>
      <c r="DG845" s="424"/>
      <c r="DH845" s="424"/>
      <c r="DI845" s="424"/>
      <c r="DJ845" s="424"/>
      <c r="DK845" s="424"/>
      <c r="DL845" s="424"/>
      <c r="DM845" s="424"/>
      <c r="DN845" s="424"/>
      <c r="DO845" s="424"/>
      <c r="DP845" s="424"/>
      <c r="DQ845" s="424"/>
      <c r="DR845" s="424"/>
      <c r="DS845" s="424"/>
      <c r="DT845" s="424"/>
      <c r="DU845" s="424"/>
      <c r="DV845" s="424"/>
      <c r="DW845" s="424"/>
      <c r="DX845" s="424"/>
      <c r="DY845" s="424"/>
      <c r="DZ845" s="424"/>
      <c r="EA845" s="424"/>
      <c r="EB845" s="424"/>
    </row>
    <row r="846" spans="98:145" x14ac:dyDescent="0.25">
      <c r="CT846" s="395" t="str">
        <f t="shared" si="458"/>
        <v/>
      </c>
      <c r="CU846" s="478" t="str">
        <f ca="1">IF(OR(CT846="",DA846="",CT846=DA846,COUNTIF(games.rn,CT846&amp;DA846)=0),"",CONCATENATE(CT846,DA846))</f>
        <v/>
      </c>
      <c r="CV846" s="360" t="str">
        <f ca="1">IF(CU846="","",CONCATENATE(VLOOKUP(CU846,games.r,9,FALSE),VLOOKUP(CU846,games.r,12,FALSE)))</f>
        <v/>
      </c>
      <c r="CW846" s="354" t="str">
        <f ca="1">IF(CU846="","",VLOOKUP(CU846,games.r,10,FALSE))</f>
        <v/>
      </c>
      <c r="CX846" s="354" t="str">
        <f ca="1">IF(CU846="","",VLOOKUP(CU846,games.r,13,FALSE))</f>
        <v/>
      </c>
      <c r="CY846" s="361" t="str">
        <f ca="1">IF(CU846="","",VLOOKUP(CU846,games.r,6,FALSE))</f>
        <v/>
      </c>
      <c r="CZ846" s="362" t="str">
        <f ca="1">IF(CU846="","",VLOOKUP(CU846,games.r,7,FALSE))</f>
        <v/>
      </c>
      <c r="DA846" s="379" t="str">
        <f>DA845</f>
        <v/>
      </c>
      <c r="DB846" s="302"/>
      <c r="DC846" s="364"/>
      <c r="DG846" s="424"/>
      <c r="DH846" s="424"/>
      <c r="DI846" s="424"/>
      <c r="DJ846" s="424"/>
      <c r="DK846" s="424"/>
      <c r="DL846" s="424"/>
      <c r="DM846" s="424"/>
      <c r="DN846" s="424"/>
      <c r="DO846" s="424"/>
      <c r="DP846" s="424"/>
      <c r="DQ846" s="424"/>
      <c r="DR846" s="424"/>
      <c r="DS846" s="424"/>
      <c r="DT846" s="424"/>
      <c r="DU846" s="424"/>
      <c r="DV846" s="424"/>
      <c r="DW846" s="424"/>
      <c r="DX846" s="424"/>
      <c r="DY846" s="424"/>
      <c r="DZ846" s="424"/>
      <c r="EA846" s="424"/>
      <c r="EB846" s="424"/>
    </row>
    <row r="847" spans="98:145" x14ac:dyDescent="0.25">
      <c r="CT847" s="533" t="str">
        <f t="shared" si="458"/>
        <v/>
      </c>
      <c r="CU847" s="371" t="str">
        <f>IF(OR(CT847="",DA847="",CT847=DA847,ISNA(VLOOKUP(CONCATENATE(CT847,DA847),games.a,2,FALSE))),"",CONCATENATE(CT847,DA847))</f>
        <v/>
      </c>
      <c r="CV847" s="371" t="str">
        <f>IF(CU847="","",CONCATENATE(VLOOKUP(CU847,games.a,9,FALSE),VLOOKUP(CU847,games.a,12,FALSE)))</f>
        <v/>
      </c>
      <c r="CW847" s="369" t="str">
        <f>IF(CU847="","",VLOOKUP(CU847,games.a,10,FALSE))</f>
        <v/>
      </c>
      <c r="CX847" s="369" t="str">
        <f>IF(CU847="","",VLOOKUP(CU847,games.a,13,FALSE))</f>
        <v/>
      </c>
      <c r="CY847" s="423" t="str">
        <f>IF(CU847="","",VLOOKUP(CU847,games.a,6,FALSE))</f>
        <v/>
      </c>
      <c r="CZ847" s="409" t="str">
        <f>IF(CU847="","",VLOOKUP(CU847,games.a,7,FALSE))</f>
        <v/>
      </c>
      <c r="DA847" s="523" t="str">
        <f>DA846</f>
        <v/>
      </c>
      <c r="DB847" s="302"/>
      <c r="DC847" s="364"/>
      <c r="DG847" s="424"/>
      <c r="DH847" s="424"/>
      <c r="DI847" s="424"/>
      <c r="DJ847" s="424"/>
      <c r="DK847" s="424"/>
      <c r="DL847" s="424"/>
      <c r="DM847" s="424"/>
      <c r="DN847" s="424"/>
      <c r="DO847" s="424"/>
      <c r="DP847" s="424"/>
      <c r="DQ847" s="424"/>
      <c r="DR847" s="424"/>
      <c r="DS847" s="424"/>
      <c r="DT847" s="424"/>
      <c r="DU847" s="424"/>
      <c r="DV847" s="424"/>
      <c r="DW847" s="424"/>
      <c r="DX847" s="424"/>
      <c r="DY847" s="424"/>
      <c r="DZ847" s="424"/>
      <c r="EA847" s="424"/>
      <c r="EB847" s="424"/>
    </row>
    <row r="848" spans="98:145" x14ac:dyDescent="0.25">
      <c r="CT848" s="533" t="str">
        <f t="shared" si="458"/>
        <v/>
      </c>
      <c r="CU848" s="371" t="str">
        <f>IF(OR(CT848="",DA848="",CT848=DA848,ISNA(VLOOKUP(CONCATENATE(CT848,DA848),games.a,2,FALSE))),"",CONCATENATE(CT848,DA848))</f>
        <v/>
      </c>
      <c r="CV848" s="371" t="str">
        <f>IF(CU848="","",CONCATENATE(VLOOKUP(CU848,games.a,9,FALSE),VLOOKUP(CU848,games.a,12,FALSE)))</f>
        <v/>
      </c>
      <c r="CW848" s="369" t="str">
        <f>IF(CU848="","",VLOOKUP(CU848,games.a,10,FALSE))</f>
        <v/>
      </c>
      <c r="CX848" s="369" t="str">
        <f>IF(CU848="","",VLOOKUP(CU848,games.a,13,FALSE))</f>
        <v/>
      </c>
      <c r="CY848" s="423" t="str">
        <f>IF(CU848="","",VLOOKUP(CU848,games.a,6,FALSE))</f>
        <v/>
      </c>
      <c r="CZ848" s="409" t="str">
        <f>IF(CU848="","",VLOOKUP(CU848,games.a,7,FALSE))</f>
        <v/>
      </c>
      <c r="DA848" s="523" t="str">
        <f>DA847</f>
        <v/>
      </c>
      <c r="DB848" s="302"/>
      <c r="DC848" s="364"/>
      <c r="DG848" s="424"/>
      <c r="DH848" s="424"/>
      <c r="DI848" s="424"/>
      <c r="DJ848" s="424"/>
      <c r="DK848" s="424"/>
      <c r="DL848" s="424"/>
      <c r="DM848" s="424"/>
      <c r="DN848" s="424"/>
      <c r="DO848" s="424"/>
      <c r="DP848" s="424"/>
      <c r="DQ848" s="424"/>
      <c r="DR848" s="424"/>
      <c r="DS848" s="424"/>
      <c r="DT848" s="424"/>
      <c r="DU848" s="424"/>
      <c r="DV848" s="424"/>
      <c r="DW848" s="424"/>
      <c r="DX848" s="424"/>
      <c r="DY848" s="424"/>
      <c r="DZ848" s="424"/>
      <c r="EA848" s="424"/>
      <c r="EB848" s="424"/>
    </row>
    <row r="849" spans="98:132" x14ac:dyDescent="0.25">
      <c r="CT849" s="533" t="str">
        <f t="shared" si="458"/>
        <v/>
      </c>
      <c r="CU849" s="371" t="str">
        <f>IF(OR(CT849="",DA849="",CT849=DA849,ISNA(VLOOKUP(CONCATENATE(CT849,DA849),games.a,2,FALSE))),"",CONCATENATE(CT849,DA849))</f>
        <v/>
      </c>
      <c r="CV849" s="371" t="str">
        <f>IF(CU849="","",CONCATENATE(VLOOKUP(CU849,games.a,9,FALSE),VLOOKUP(CU849,games.a,12,FALSE)))</f>
        <v/>
      </c>
      <c r="CW849" s="369" t="str">
        <f>IF(CU849="","",VLOOKUP(CU849,games.a,10,FALSE))</f>
        <v/>
      </c>
      <c r="CX849" s="369" t="str">
        <f>IF(CU849="","",VLOOKUP(CU849,games.a,13,FALSE))</f>
        <v/>
      </c>
      <c r="CY849" s="423" t="str">
        <f>IF(CU849="","",VLOOKUP(CU849,games.a,6,FALSE))</f>
        <v/>
      </c>
      <c r="CZ849" s="409" t="str">
        <f>IF(CU849="","",VLOOKUP(CU849,games.a,7,FALSE))</f>
        <v/>
      </c>
      <c r="DA849" s="523" t="str">
        <f>DA848</f>
        <v/>
      </c>
      <c r="DB849" s="302"/>
      <c r="DC849" s="364"/>
      <c r="DG849" s="424"/>
      <c r="DH849" s="424"/>
      <c r="DI849" s="424"/>
      <c r="DJ849" s="424"/>
      <c r="DK849" s="424"/>
      <c r="DL849" s="424"/>
      <c r="DM849" s="424"/>
      <c r="DN849" s="424"/>
      <c r="DO849" s="424"/>
      <c r="DP849" s="424"/>
      <c r="DQ849" s="424"/>
      <c r="DR849" s="424"/>
      <c r="DS849" s="424"/>
      <c r="DT849" s="424"/>
      <c r="DU849" s="424"/>
      <c r="DV849" s="424"/>
      <c r="DW849" s="424"/>
      <c r="DX849" s="424"/>
      <c r="DY849" s="424"/>
      <c r="DZ849" s="424"/>
      <c r="EA849" s="424"/>
      <c r="EB849" s="424"/>
    </row>
    <row r="850" spans="98:132" x14ac:dyDescent="0.25">
      <c r="CT850" s="301"/>
      <c r="CU850" s="471" t="s">
        <v>157</v>
      </c>
      <c r="CV850" s="471" t="s">
        <v>158</v>
      </c>
      <c r="CW850" s="472" t="s">
        <v>159</v>
      </c>
      <c r="CX850" s="472"/>
      <c r="CY850" s="473" t="s">
        <v>160</v>
      </c>
      <c r="CZ850" s="472" t="s">
        <v>135</v>
      </c>
      <c r="DA850" s="302"/>
      <c r="DB850" s="302"/>
      <c r="DC850" s="364"/>
      <c r="DG850" s="424"/>
      <c r="DH850" s="424"/>
      <c r="DI850" s="424"/>
      <c r="DJ850" s="424"/>
      <c r="DK850" s="424"/>
      <c r="DL850" s="424"/>
      <c r="DM850" s="424"/>
      <c r="DN850" s="424"/>
      <c r="DO850" s="424"/>
      <c r="DP850" s="424"/>
      <c r="DQ850" s="424"/>
      <c r="DR850" s="424"/>
      <c r="DS850" s="424"/>
      <c r="DT850" s="424"/>
      <c r="DU850" s="424"/>
      <c r="DV850" s="424"/>
      <c r="DW850" s="424"/>
      <c r="DX850" s="424"/>
      <c r="DY850" s="424"/>
      <c r="DZ850" s="424"/>
      <c r="EA850" s="424"/>
      <c r="EB850" s="424"/>
    </row>
    <row r="851" spans="98:132" x14ac:dyDescent="0.25">
      <c r="CT851" s="395" t="str">
        <f t="shared" ref="CT851:CT856" si="459">CT844</f>
        <v/>
      </c>
      <c r="CU851" s="478" t="str">
        <f ca="1">IF(OR(CT851="",DA851="",CT851=DA851,COUNTIF(games.rn,CT851&amp;DA851)=0),"",CONCATENATE(CT851,DA851))</f>
        <v/>
      </c>
      <c r="CV851" s="360" t="str">
        <f ca="1">IF(CU851="","",CONCATENATE(VLOOKUP(CU851,games.r,9,FALSE),VLOOKUP(CU851,games.r,12,FALSE)))</f>
        <v/>
      </c>
      <c r="CW851" s="354" t="str">
        <f ca="1">IF(CU851="","",VLOOKUP(CU851,games.r,10,FALSE))</f>
        <v/>
      </c>
      <c r="CX851" s="354" t="str">
        <f ca="1">IF(CU851="","",VLOOKUP(CU851,games.r,13,FALSE))</f>
        <v/>
      </c>
      <c r="CY851" s="361" t="str">
        <f ca="1">IF(CU851="","",VLOOKUP(CU851,games.r,6,FALSE))</f>
        <v/>
      </c>
      <c r="CZ851" s="362" t="str">
        <f ca="1">IF(CU851="","",VLOOKUP(CU851,games.r,7,FALSE))</f>
        <v/>
      </c>
      <c r="DA851" s="479" t="str">
        <f>CT839</f>
        <v/>
      </c>
      <c r="DB851" s="302"/>
      <c r="DC851" s="364"/>
      <c r="DG851" s="424"/>
      <c r="DH851" s="424"/>
      <c r="DI851" s="424"/>
      <c r="DJ851" s="424"/>
      <c r="DK851" s="424"/>
      <c r="DL851" s="424"/>
      <c r="DM851" s="424"/>
      <c r="DN851" s="424"/>
      <c r="DO851" s="424"/>
      <c r="DP851" s="424"/>
      <c r="DQ851" s="424"/>
      <c r="DR851" s="424"/>
      <c r="DS851" s="424"/>
      <c r="DT851" s="424"/>
      <c r="DU851" s="424"/>
      <c r="DV851" s="424"/>
      <c r="DW851" s="424"/>
      <c r="DX851" s="424"/>
      <c r="DY851" s="424"/>
      <c r="DZ851" s="424"/>
      <c r="EA851" s="424"/>
      <c r="EB851" s="424"/>
    </row>
    <row r="852" spans="98:132" x14ac:dyDescent="0.25">
      <c r="CT852" s="395" t="str">
        <f t="shared" si="459"/>
        <v/>
      </c>
      <c r="CU852" s="478" t="str">
        <f ca="1">IF(OR(CT852="",DA852="",CT852=DA852,COUNTIF(games.rn,CT852&amp;DA852)=0),"",CONCATENATE(CT852,DA852))</f>
        <v/>
      </c>
      <c r="CV852" s="360" t="str">
        <f ca="1">IF(CU852="","",CONCATENATE(VLOOKUP(CU852,games.r,9,FALSE),VLOOKUP(CU852,games.r,12,FALSE)))</f>
        <v/>
      </c>
      <c r="CW852" s="354" t="str">
        <f ca="1">IF(CU852="","",VLOOKUP(CU852,games.r,10,FALSE))</f>
        <v/>
      </c>
      <c r="CX852" s="354" t="str">
        <f ca="1">IF(CU852="","",VLOOKUP(CU852,games.r,13,FALSE))</f>
        <v/>
      </c>
      <c r="CY852" s="361" t="str">
        <f ca="1">IF(CU852="","",VLOOKUP(CU852,games.r,6,FALSE))</f>
        <v/>
      </c>
      <c r="CZ852" s="362" t="str">
        <f ca="1">IF(CU852="","",VLOOKUP(CU852,games.r,7,FALSE))</f>
        <v/>
      </c>
      <c r="DA852" s="379" t="str">
        <f>DA851</f>
        <v/>
      </c>
      <c r="DB852" s="302"/>
      <c r="DC852" s="364"/>
      <c r="DG852" s="424"/>
      <c r="DH852" s="424"/>
      <c r="DI852" s="424"/>
      <c r="DJ852" s="424"/>
      <c r="DK852" s="424"/>
      <c r="DL852" s="424"/>
      <c r="DM852" s="424"/>
      <c r="DN852" s="424"/>
      <c r="DO852" s="424"/>
      <c r="DP852" s="424"/>
      <c r="DQ852" s="424"/>
      <c r="DR852" s="424"/>
      <c r="DS852" s="424"/>
      <c r="DT852" s="424"/>
      <c r="DU852" s="424"/>
      <c r="DV852" s="424"/>
      <c r="DW852" s="424"/>
      <c r="DX852" s="424"/>
      <c r="DY852" s="424"/>
      <c r="DZ852" s="424"/>
      <c r="EA852" s="424"/>
      <c r="EB852" s="424"/>
    </row>
    <row r="853" spans="98:132" x14ac:dyDescent="0.25">
      <c r="CT853" s="395" t="str">
        <f t="shared" si="459"/>
        <v/>
      </c>
      <c r="CU853" s="478" t="str">
        <f ca="1">IF(OR(CT853="",DA853="",CT853=DA853,COUNTIF(games.rn,CT853&amp;DA853)=0),"",CONCATENATE(CT853,DA853))</f>
        <v/>
      </c>
      <c r="CV853" s="360" t="str">
        <f ca="1">IF(CU853="","",CONCATENATE(VLOOKUP(CU853,games.r,9,FALSE),VLOOKUP(CU853,games.r,12,FALSE)))</f>
        <v/>
      </c>
      <c r="CW853" s="354" t="str">
        <f ca="1">IF(CU853="","",VLOOKUP(CU853,games.r,10,FALSE))</f>
        <v/>
      </c>
      <c r="CX853" s="354" t="str">
        <f ca="1">IF(CU853="","",VLOOKUP(CU853,games.r,13,FALSE))</f>
        <v/>
      </c>
      <c r="CY853" s="361" t="str">
        <f ca="1">IF(CU853="","",VLOOKUP(CU853,games.r,6,FALSE))</f>
        <v/>
      </c>
      <c r="CZ853" s="362" t="str">
        <f ca="1">IF(CU853="","",VLOOKUP(CU853,games.r,7,FALSE))</f>
        <v/>
      </c>
      <c r="DA853" s="379" t="str">
        <f>DA852</f>
        <v/>
      </c>
      <c r="DB853" s="302"/>
      <c r="DC853" s="364"/>
      <c r="DG853" s="424"/>
      <c r="DH853" s="424"/>
      <c r="DI853" s="424"/>
      <c r="DJ853" s="424"/>
      <c r="DK853" s="424"/>
      <c r="DL853" s="424"/>
      <c r="DM853" s="424"/>
      <c r="DN853" s="424"/>
      <c r="DO853" s="424"/>
      <c r="DP853" s="424"/>
      <c r="DQ853" s="424"/>
      <c r="DR853" s="424"/>
      <c r="DS853" s="424"/>
      <c r="DT853" s="424"/>
      <c r="DU853" s="424"/>
      <c r="DV853" s="424"/>
      <c r="DW853" s="424"/>
      <c r="DX853" s="424"/>
      <c r="DY853" s="424"/>
      <c r="DZ853" s="424"/>
      <c r="EA853" s="424"/>
      <c r="EB853" s="424"/>
    </row>
    <row r="854" spans="98:132" x14ac:dyDescent="0.25">
      <c r="CT854" s="533" t="str">
        <f t="shared" si="459"/>
        <v/>
      </c>
      <c r="CU854" s="371" t="str">
        <f>IF(OR(CT854="",DA854="",CT854=DA854,ISNA(VLOOKUP(CONCATENATE(CT854,DA854),games.a,2,FALSE))),"",CONCATENATE(CT854,DA854))</f>
        <v/>
      </c>
      <c r="CV854" s="371" t="str">
        <f>IF(CU854="","",CONCATENATE(VLOOKUP(CU854,games.a,9,FALSE),VLOOKUP(CU854,games.a,12,FALSE)))</f>
        <v/>
      </c>
      <c r="CW854" s="369" t="str">
        <f>IF(CU854="","",VLOOKUP(CU854,games.a,10,FALSE))</f>
        <v/>
      </c>
      <c r="CX854" s="369" t="str">
        <f>IF(CU854="","",VLOOKUP(CU854,games.a,13,FALSE))</f>
        <v/>
      </c>
      <c r="CY854" s="423" t="str">
        <f>IF(CU854="","",VLOOKUP(CU854,games.a,6,FALSE))</f>
        <v/>
      </c>
      <c r="CZ854" s="409" t="str">
        <f>IF(CU854="","",VLOOKUP(CU854,games.a,7,FALSE))</f>
        <v/>
      </c>
      <c r="DA854" s="523" t="str">
        <f>DA853</f>
        <v/>
      </c>
      <c r="DB854" s="302"/>
      <c r="DC854" s="364"/>
      <c r="DG854" s="424"/>
      <c r="DH854" s="424"/>
      <c r="DI854" s="424"/>
      <c r="DJ854" s="424"/>
      <c r="DK854" s="424"/>
      <c r="DL854" s="424"/>
      <c r="DM854" s="424"/>
      <c r="DN854" s="424"/>
      <c r="DO854" s="424"/>
      <c r="DP854" s="424"/>
      <c r="DQ854" s="424"/>
      <c r="DR854" s="424"/>
      <c r="DS854" s="424"/>
      <c r="DT854" s="424"/>
      <c r="DU854" s="424"/>
      <c r="DV854" s="424"/>
      <c r="DW854" s="424"/>
      <c r="DX854" s="424"/>
      <c r="DY854" s="424"/>
      <c r="DZ854" s="424"/>
      <c r="EA854" s="424"/>
      <c r="EB854" s="424"/>
    </row>
    <row r="855" spans="98:132" x14ac:dyDescent="0.25">
      <c r="CT855" s="533" t="str">
        <f t="shared" si="459"/>
        <v/>
      </c>
      <c r="CU855" s="371" t="str">
        <f>IF(OR(CT855="",DA855="",CT855=DA855,ISNA(VLOOKUP(CONCATENATE(CT855,DA855),games.a,2,FALSE))),"",CONCATENATE(CT855,DA855))</f>
        <v/>
      </c>
      <c r="CV855" s="371" t="str">
        <f>IF(CU855="","",CONCATENATE(VLOOKUP(CU855,games.a,9,FALSE),VLOOKUP(CU855,games.a,12,FALSE)))</f>
        <v/>
      </c>
      <c r="CW855" s="369" t="str">
        <f>IF(CU855="","",VLOOKUP(CU855,games.a,10,FALSE))</f>
        <v/>
      </c>
      <c r="CX855" s="369" t="str">
        <f>IF(CU855="","",VLOOKUP(CU855,games.a,13,FALSE))</f>
        <v/>
      </c>
      <c r="CY855" s="423" t="str">
        <f>IF(CU855="","",VLOOKUP(CU855,games.a,6,FALSE))</f>
        <v/>
      </c>
      <c r="CZ855" s="409" t="str">
        <f>IF(CU855="","",VLOOKUP(CU855,games.a,7,FALSE))</f>
        <v/>
      </c>
      <c r="DA855" s="523" t="str">
        <f>DA854</f>
        <v/>
      </c>
      <c r="DB855" s="302"/>
      <c r="DC855" s="364"/>
      <c r="DG855" s="424"/>
      <c r="DH855" s="424"/>
      <c r="DI855" s="424"/>
      <c r="DJ855" s="424"/>
      <c r="DK855" s="424"/>
      <c r="DL855" s="424"/>
      <c r="DM855" s="424"/>
      <c r="DN855" s="424"/>
      <c r="DO855" s="424"/>
      <c r="DP855" s="424"/>
      <c r="DQ855" s="424"/>
      <c r="DR855" s="424"/>
      <c r="DS855" s="424"/>
      <c r="DT855" s="424"/>
      <c r="DU855" s="424"/>
      <c r="DV855" s="424"/>
      <c r="DW855" s="424"/>
      <c r="DX855" s="424"/>
      <c r="DY855" s="424"/>
      <c r="DZ855" s="424"/>
      <c r="EA855" s="424"/>
      <c r="EB855" s="424"/>
    </row>
    <row r="856" spans="98:132" x14ac:dyDescent="0.25">
      <c r="CT856" s="533" t="str">
        <f t="shared" si="459"/>
        <v/>
      </c>
      <c r="CU856" s="371" t="str">
        <f>IF(OR(CT856="",DA856="",CT856=DA856,ISNA(VLOOKUP(CONCATENATE(CT856,DA856),games.a,2,FALSE))),"",CONCATENATE(CT856,DA856))</f>
        <v/>
      </c>
      <c r="CV856" s="371" t="str">
        <f>IF(CU856="","",CONCATENATE(VLOOKUP(CU856,games.a,9,FALSE),VLOOKUP(CU856,games.a,12,FALSE)))</f>
        <v/>
      </c>
      <c r="CW856" s="369" t="str">
        <f>IF(CU856="","",VLOOKUP(CU856,games.a,10,FALSE))</f>
        <v/>
      </c>
      <c r="CX856" s="369" t="str">
        <f>IF(CU856="","",VLOOKUP(CU856,games.a,13,FALSE))</f>
        <v/>
      </c>
      <c r="CY856" s="423" t="str">
        <f>IF(CU856="","",VLOOKUP(CU856,games.a,6,FALSE))</f>
        <v/>
      </c>
      <c r="CZ856" s="409" t="str">
        <f>IF(CU856="","",VLOOKUP(CU856,games.a,7,FALSE))</f>
        <v/>
      </c>
      <c r="DA856" s="523" t="str">
        <f>DA855</f>
        <v/>
      </c>
      <c r="DB856" s="302"/>
      <c r="DC856" s="364"/>
      <c r="DG856" s="424"/>
      <c r="DH856" s="424"/>
      <c r="DI856" s="424"/>
      <c r="DJ856" s="424"/>
      <c r="DK856" s="424"/>
      <c r="DL856" s="424"/>
      <c r="DM856" s="424"/>
      <c r="DN856" s="424"/>
      <c r="DO856" s="424"/>
      <c r="DP856" s="424"/>
      <c r="DQ856" s="424"/>
      <c r="DR856" s="424"/>
      <c r="DS856" s="424"/>
      <c r="DT856" s="424"/>
      <c r="DU856" s="424"/>
      <c r="DV856" s="424"/>
      <c r="DW856" s="424"/>
      <c r="DX856" s="424"/>
      <c r="DY856" s="424"/>
      <c r="DZ856" s="424"/>
      <c r="EA856" s="424"/>
      <c r="EB856" s="424"/>
    </row>
    <row r="857" spans="98:132" x14ac:dyDescent="0.25">
      <c r="CT857" s="301"/>
      <c r="CU857" s="302"/>
      <c r="CV857" s="302"/>
      <c r="CW857" s="302"/>
      <c r="CX857" s="302"/>
      <c r="CY857" s="302"/>
      <c r="CZ857" s="302"/>
      <c r="DA857" s="447"/>
      <c r="DB857" s="302"/>
      <c r="DC857" s="446" t="s">
        <v>371</v>
      </c>
      <c r="DG857" s="424"/>
      <c r="DH857" s="424"/>
      <c r="DI857" s="424"/>
      <c r="DJ857" s="424"/>
      <c r="DK857" s="424"/>
      <c r="DL857" s="424"/>
      <c r="DM857" s="424"/>
      <c r="DN857" s="424"/>
      <c r="DO857" s="424"/>
      <c r="DP857" s="424"/>
      <c r="DQ857" s="424"/>
      <c r="DR857" s="424"/>
      <c r="DS857" s="424"/>
      <c r="DT857" s="424"/>
      <c r="DU857" s="424"/>
      <c r="DV857" s="424"/>
      <c r="DW857" s="424"/>
      <c r="DX857" s="424"/>
      <c r="DY857" s="424"/>
      <c r="DZ857" s="424"/>
      <c r="EA857" s="424"/>
      <c r="EB857" s="424"/>
    </row>
    <row r="858" spans="98:132" x14ac:dyDescent="0.25">
      <c r="CT858" s="301"/>
      <c r="CU858" s="302"/>
      <c r="CV858" s="302"/>
      <c r="CW858" s="302"/>
      <c r="CX858" s="302"/>
      <c r="CY858" s="302"/>
      <c r="CZ858" s="302"/>
      <c r="DA858" s="447"/>
      <c r="DB858" s="302"/>
      <c r="DC858" s="448" t="s">
        <v>372</v>
      </c>
      <c r="DG858" s="424"/>
      <c r="DH858" s="424"/>
      <c r="DI858" s="424"/>
      <c r="DJ858" s="424"/>
      <c r="DK858" s="424"/>
      <c r="DL858" s="424"/>
      <c r="DM858" s="424"/>
      <c r="DN858" s="424"/>
      <c r="DO858" s="424"/>
      <c r="DP858" s="424"/>
      <c r="DQ858" s="424"/>
      <c r="DR858" s="424"/>
      <c r="DS858" s="424"/>
      <c r="DT858" s="424"/>
      <c r="DU858" s="424"/>
      <c r="DV858" s="424"/>
      <c r="DW858" s="424"/>
      <c r="DX858" s="424"/>
      <c r="DY858" s="424"/>
      <c r="DZ858" s="424"/>
      <c r="EA858" s="424"/>
      <c r="EB858" s="424"/>
    </row>
    <row r="859" spans="98:132" x14ac:dyDescent="0.25">
      <c r="CT859" s="323" t="b">
        <f ca="1">OR(NOT(ASZTAB!$AJ$44),COUNTIF(CY859:CY868,"")&lt;=8-(DA859-1)*DA859/2)</f>
        <v>1</v>
      </c>
      <c r="CU859" s="471" t="s">
        <v>157</v>
      </c>
      <c r="CV859" s="471" t="s">
        <v>158</v>
      </c>
      <c r="CW859" s="472" t="s">
        <v>159</v>
      </c>
      <c r="CX859" s="472"/>
      <c r="CY859" s="473" t="s">
        <v>160</v>
      </c>
      <c r="CZ859" s="472" t="s">
        <v>135</v>
      </c>
      <c r="DA859" s="323">
        <f>COUNT(CQ644:CQ645)</f>
        <v>0</v>
      </c>
      <c r="DB859" s="302"/>
      <c r="DC859" s="364"/>
      <c r="DG859" s="329" t="s">
        <v>229</v>
      </c>
      <c r="DH859" s="365"/>
      <c r="DI859" s="329" t="s">
        <v>152</v>
      </c>
      <c r="DJ859" s="329" t="s">
        <v>153</v>
      </c>
      <c r="DK859" s="329" t="s">
        <v>154</v>
      </c>
      <c r="DL859" s="329" t="s">
        <v>155</v>
      </c>
      <c r="DM859" s="329" t="s">
        <v>125</v>
      </c>
      <c r="DN859" s="329" t="s">
        <v>226</v>
      </c>
      <c r="DO859" s="329" t="s">
        <v>126</v>
      </c>
      <c r="DP859" s="329" t="s">
        <v>227</v>
      </c>
      <c r="DQ859" s="424"/>
      <c r="DR859" s="424"/>
      <c r="DS859" s="424"/>
      <c r="DT859" s="329" t="s">
        <v>228</v>
      </c>
      <c r="DU859" s="329" t="s">
        <v>156</v>
      </c>
      <c r="DV859" s="329" t="s">
        <v>208</v>
      </c>
      <c r="DW859" s="424"/>
      <c r="DX859" s="424"/>
      <c r="DY859" s="424"/>
      <c r="DZ859" s="424"/>
      <c r="EA859" s="424"/>
      <c r="EB859" s="424"/>
    </row>
    <row r="860" spans="98:132" x14ac:dyDescent="0.25">
      <c r="CT860" s="477" t="str">
        <f>IF(CQ644="","",VLOOKUP(CQ644,xxx.rn3,10,FALSE))</f>
        <v/>
      </c>
      <c r="CU860" s="478" t="str">
        <f ca="1">IF(OR(CT860="",DA860="",CT860=DA860,COUNTIF(games.rn,CT860&amp;DA860)=0),"",CONCATENATE(CT860,DA860))</f>
        <v/>
      </c>
      <c r="CV860" s="360" t="str">
        <f ca="1">IF(CU860="","",CONCATENATE(VLOOKUP(CU860,games.r,9,FALSE),VLOOKUP(CU860,games.r,12,FALSE)))</f>
        <v/>
      </c>
      <c r="CW860" s="354" t="str">
        <f ca="1">IF(CU860="","",VLOOKUP(CU860,games.r,10,FALSE))</f>
        <v/>
      </c>
      <c r="CX860" s="354" t="str">
        <f ca="1">IF(CU860="","",VLOOKUP(CU860,games.r,13,FALSE))</f>
        <v/>
      </c>
      <c r="CY860" s="361" t="str">
        <f ca="1">IF(CU860="","",VLOOKUP(CU860,games.r,6,FALSE))</f>
        <v/>
      </c>
      <c r="CZ860" s="362" t="str">
        <f ca="1">IF(CU860="","",VLOOKUP(CU860,games.r,7,FALSE))</f>
        <v/>
      </c>
      <c r="DA860" s="479" t="str">
        <f>CT860</f>
        <v/>
      </c>
      <c r="DB860" s="302"/>
      <c r="DC860" s="364"/>
      <c r="DG860" s="366" t="str">
        <f ca="1">IF(OR(NOT(ASZTAB!$AJ$44),CT859),CT860,"")</f>
        <v/>
      </c>
      <c r="DH860" s="365"/>
      <c r="DI860" s="366">
        <f ca="1">IF(DG860="",0,COUNTIF(xxgy.rn,DG860))</f>
        <v>0</v>
      </c>
      <c r="DJ860" s="366">
        <f ca="1">IF(DG860="",0,COUNTIF(xxd.rn,DG860))</f>
        <v>0</v>
      </c>
      <c r="DK860" s="366">
        <f ca="1">IF(DG860="",0,1)*(SUMIF(xxo.rn,DG860,xxl.rn)+SUMIF(xxi.rn,DG860,xxk.rn))</f>
        <v>0</v>
      </c>
      <c r="DL860" s="366">
        <f ca="1">IF(DG860="",0,1)*(SUMIF(xxo.rn,DG860,xxk.rn)+SUMIF(xxi.rn,DG860,xxl.rn))</f>
        <v>0</v>
      </c>
      <c r="DM860" s="366">
        <f ca="1">DK860-DL860</f>
        <v>0</v>
      </c>
      <c r="DN860" s="366">
        <f ca="1">IF(DL860=0,0,DK860/DL860)</f>
        <v>0</v>
      </c>
      <c r="DO860" s="366">
        <f ca="1">ASZTAB!$AJ$48*DI860+IF(ASZTAB!$AJ$44,0,1)*DJ860</f>
        <v>0</v>
      </c>
      <c r="DP860" s="396">
        <f ca="1">DO860*1000000+IF(ASZTAB!$AJ$44,DN860,DM860)*1000*0</f>
        <v>0</v>
      </c>
      <c r="DQ860" s="424"/>
      <c r="DR860" s="424"/>
      <c r="DS860" s="424"/>
      <c r="DT860" s="366">
        <f ca="1">IF(OR(ISERR(DP860),ISNA(DP860)),0,DP860)</f>
        <v>0</v>
      </c>
      <c r="DU860" s="366">
        <f ca="1">IF(DT860=0,0,RANK(DT860,DT860:DT861,1))</f>
        <v>0</v>
      </c>
      <c r="DV860" s="366">
        <f ca="1">DU860*40000*IF(COUNTIF($EN$780:$EN$789,DG860)&gt;0,0,1)</f>
        <v>0</v>
      </c>
      <c r="DW860" s="424"/>
      <c r="DX860" s="424"/>
      <c r="DY860" s="424"/>
      <c r="DZ860" s="424"/>
      <c r="EA860" s="424"/>
      <c r="EB860" s="424"/>
    </row>
    <row r="861" spans="98:132" x14ac:dyDescent="0.25">
      <c r="CT861" s="477" t="str">
        <f>IF(CQ645="","",VLOOKUP(CQ645,xxx.rn3,10,FALSE))</f>
        <v/>
      </c>
      <c r="CU861" s="478" t="str">
        <f ca="1">IF(OR(CT861="",DA861="",CT861=DA861,COUNTIF(games.rn,CT861&amp;DA861)=0),"",CONCATENATE(CT861,DA861))</f>
        <v/>
      </c>
      <c r="CV861" s="360" t="str">
        <f ca="1">IF(CU861="","",CONCATENATE(VLOOKUP(CU861,games.r,9,FALSE),VLOOKUP(CU861,games.r,12,FALSE)))</f>
        <v/>
      </c>
      <c r="CW861" s="354" t="str">
        <f ca="1">IF(CU861="","",VLOOKUP(CU861,games.r,10,FALSE))</f>
        <v/>
      </c>
      <c r="CX861" s="354" t="str">
        <f ca="1">IF(CU861="","",VLOOKUP(CU861,games.r,13,FALSE))</f>
        <v/>
      </c>
      <c r="CY861" s="361" t="str">
        <f ca="1">IF(CU861="","",VLOOKUP(CU861,games.r,6,FALSE))</f>
        <v/>
      </c>
      <c r="CZ861" s="362" t="str">
        <f ca="1">IF(CU861="","",VLOOKUP(CU861,games.r,7,FALSE))</f>
        <v/>
      </c>
      <c r="DA861" s="379" t="str">
        <f>DA860</f>
        <v/>
      </c>
      <c r="DB861" s="302"/>
      <c r="DC861" s="364"/>
      <c r="DG861" s="366" t="str">
        <f ca="1">IF(OR(NOT(ASZTAB!$AJ$44),CT859),CT861,"")</f>
        <v/>
      </c>
      <c r="DH861" s="365"/>
      <c r="DI861" s="366">
        <f ca="1">IF(DG861="",0,COUNTIF(xxgy.rn,DG861))</f>
        <v>0</v>
      </c>
      <c r="DJ861" s="366">
        <f ca="1">IF(DG861="",0,COUNTIF(xxd.rn,DG861))</f>
        <v>0</v>
      </c>
      <c r="DK861" s="366">
        <f ca="1">IF(DG861="",0,1)*(SUMIF(xxo.rn,DG861,xxl.rn)+SUMIF(xxi.rn,DG861,xxk.rn))</f>
        <v>0</v>
      </c>
      <c r="DL861" s="366">
        <f ca="1">IF(DG861="",0,1)*(SUMIF(xxo.rn,DG861,xxk.rn)+SUMIF(xxi.rn,DG861,xxl.rn))</f>
        <v>0</v>
      </c>
      <c r="DM861" s="366">
        <f ca="1">DK861-DL861</f>
        <v>0</v>
      </c>
      <c r="DN861" s="366">
        <f ca="1">IF(DL861=0,0,DK861/DL861)</f>
        <v>0</v>
      </c>
      <c r="DO861" s="366">
        <f ca="1">ASZTAB!$AJ$48*DI861+IF(ASZTAB!$AJ$44,0,1)*DJ861</f>
        <v>0</v>
      </c>
      <c r="DP861" s="396">
        <f ca="1">DO861*1000000+IF(ASZTAB!$AJ$44,DN861,DM861)*1000*0</f>
        <v>0</v>
      </c>
      <c r="DQ861" s="424"/>
      <c r="DR861" s="424"/>
      <c r="DS861" s="424"/>
      <c r="DT861" s="366">
        <f ca="1">IF(OR(ISERR(DP861),ISNA(DP861)),0,DP861)</f>
        <v>0</v>
      </c>
      <c r="DU861" s="366">
        <f ca="1">IF(DT861=0,0,RANK(DT861,DT860:DT861,1))</f>
        <v>0</v>
      </c>
      <c r="DV861" s="366">
        <f ca="1">DU861*40000*IF(COUNTIF($EN$780:$EN$789,DG861)&gt;0,0,1)</f>
        <v>0</v>
      </c>
      <c r="DW861" s="424"/>
      <c r="DX861" s="424"/>
      <c r="DY861" s="424"/>
      <c r="DZ861" s="424"/>
      <c r="EA861" s="424"/>
      <c r="EB861" s="424"/>
    </row>
    <row r="862" spans="98:132" x14ac:dyDescent="0.25">
      <c r="CT862" s="522" t="str">
        <f>IF(NOT($AD$112),"",CT860)</f>
        <v/>
      </c>
      <c r="CU862" s="371" t="str">
        <f>IF(OR(CT862="",DA862="",CT862=DA862,ISNA(VLOOKUP(CONCATENATE(CT862,DA862),games.a,2,FALSE))),"",CONCATENATE(CT862,DA862))</f>
        <v/>
      </c>
      <c r="CV862" s="371" t="str">
        <f>IF(CU862="","",CONCATENATE(VLOOKUP(CU862,games.a,9,FALSE),VLOOKUP(CU862,games.a,12,FALSE)))</f>
        <v/>
      </c>
      <c r="CW862" s="369" t="str">
        <f>IF(CU862="","",VLOOKUP(CU862,games.a,10,FALSE))</f>
        <v/>
      </c>
      <c r="CX862" s="369" t="str">
        <f>IF(CU862="","",VLOOKUP(CU862,games.a,13,FALSE))</f>
        <v/>
      </c>
      <c r="CY862" s="423" t="str">
        <f>IF(CU862="","",VLOOKUP(CU862,games.a,6,FALSE))</f>
        <v/>
      </c>
      <c r="CZ862" s="409" t="str">
        <f>IF(CU862="","",VLOOKUP(CU862,games.a,7,FALSE))</f>
        <v/>
      </c>
      <c r="DA862" s="523" t="str">
        <f>DA861</f>
        <v/>
      </c>
      <c r="DB862" s="302"/>
      <c r="DC862" s="364"/>
      <c r="DG862" s="424"/>
      <c r="DH862" s="424"/>
      <c r="DI862" s="424"/>
      <c r="DJ862" s="424"/>
      <c r="DK862" s="424"/>
      <c r="DL862" s="424"/>
      <c r="DM862" s="424"/>
      <c r="DN862" s="424"/>
      <c r="DO862" s="424"/>
      <c r="DP862" s="424"/>
      <c r="DQ862" s="424"/>
      <c r="DR862" s="424"/>
      <c r="DS862" s="424"/>
      <c r="DT862" s="424"/>
      <c r="DU862" s="424"/>
      <c r="DV862" s="424"/>
      <c r="DW862" s="424"/>
      <c r="DX862" s="424"/>
      <c r="DY862" s="424"/>
      <c r="DZ862" s="424"/>
      <c r="EA862" s="424"/>
      <c r="EB862" s="424"/>
    </row>
    <row r="863" spans="98:132" x14ac:dyDescent="0.25">
      <c r="CT863" s="522" t="str">
        <f>IF(NOT($AD$112),"",CT861)</f>
        <v/>
      </c>
      <c r="CU863" s="371" t="str">
        <f>IF(OR(CT863="",DA863="",CT863=DA863,ISNA(VLOOKUP(CONCATENATE(CT863,DA863),games.a,2,FALSE))),"",CONCATENATE(CT863,DA863))</f>
        <v/>
      </c>
      <c r="CV863" s="371" t="str">
        <f>IF(CU863="","",CONCATENATE(VLOOKUP(CU863,games.a,9,FALSE),VLOOKUP(CU863,games.a,12,FALSE)))</f>
        <v/>
      </c>
      <c r="CW863" s="369" t="str">
        <f>IF(CU863="","",VLOOKUP(CU863,games.a,10,FALSE))</f>
        <v/>
      </c>
      <c r="CX863" s="369" t="str">
        <f>IF(CU863="","",VLOOKUP(CU863,games.a,13,FALSE))</f>
        <v/>
      </c>
      <c r="CY863" s="423" t="str">
        <f>IF(CU863="","",VLOOKUP(CU863,games.a,6,FALSE))</f>
        <v/>
      </c>
      <c r="CZ863" s="409" t="str">
        <f>IF(CU863="","",VLOOKUP(CU863,games.a,7,FALSE))</f>
        <v/>
      </c>
      <c r="DA863" s="523" t="str">
        <f>DA862</f>
        <v/>
      </c>
      <c r="DB863" s="302"/>
      <c r="DC863" s="364"/>
      <c r="DG863" s="424"/>
      <c r="DH863" s="424"/>
      <c r="DI863" s="424"/>
      <c r="DJ863" s="424"/>
      <c r="DK863" s="424"/>
      <c r="DL863" s="424"/>
      <c r="DM863" s="424"/>
      <c r="DN863" s="424"/>
      <c r="DO863" s="424"/>
      <c r="DP863" s="424"/>
      <c r="DQ863" s="424"/>
      <c r="DR863" s="424"/>
      <c r="DS863" s="424"/>
      <c r="DT863" s="424"/>
      <c r="DU863" s="424"/>
      <c r="DV863" s="424"/>
      <c r="DW863" s="424"/>
      <c r="DX863" s="424"/>
      <c r="DY863" s="424"/>
      <c r="DZ863" s="424"/>
      <c r="EA863" s="424"/>
      <c r="EB863" s="424"/>
    </row>
    <row r="864" spans="98:132" x14ac:dyDescent="0.25">
      <c r="CT864" s="301"/>
      <c r="CU864" s="471" t="s">
        <v>157</v>
      </c>
      <c r="CV864" s="471" t="s">
        <v>158</v>
      </c>
      <c r="CW864" s="472" t="s">
        <v>159</v>
      </c>
      <c r="CX864" s="472"/>
      <c r="CY864" s="473" t="s">
        <v>160</v>
      </c>
      <c r="CZ864" s="472" t="s">
        <v>135</v>
      </c>
      <c r="DA864" s="302"/>
      <c r="DB864" s="302"/>
      <c r="DC864" s="364"/>
      <c r="DG864" s="424"/>
      <c r="DH864" s="424"/>
      <c r="DI864" s="424"/>
      <c r="DJ864" s="424"/>
      <c r="DK864" s="424"/>
      <c r="DL864" s="424"/>
      <c r="DM864" s="424"/>
      <c r="DN864" s="424"/>
      <c r="DO864" s="424"/>
      <c r="DP864" s="424"/>
      <c r="DQ864" s="424"/>
      <c r="DR864" s="424"/>
      <c r="DS864" s="424"/>
      <c r="DT864" s="424"/>
      <c r="DU864" s="424"/>
      <c r="DV864" s="424"/>
      <c r="DW864" s="424"/>
      <c r="DX864" s="424"/>
      <c r="DY864" s="424"/>
      <c r="DZ864" s="424"/>
      <c r="EA864" s="424"/>
      <c r="EB864" s="424"/>
    </row>
    <row r="865" spans="98:132" x14ac:dyDescent="0.25">
      <c r="CT865" s="395" t="str">
        <f>CT860</f>
        <v/>
      </c>
      <c r="CU865" s="478" t="str">
        <f ca="1">IF(OR(CT865="",DA865="",CT865=DA865,COUNTIF(games.rn,CT865&amp;DA865)=0),"",CONCATENATE(CT865,DA865))</f>
        <v/>
      </c>
      <c r="CV865" s="360" t="str">
        <f ca="1">IF(CU865="","",CONCATENATE(VLOOKUP(CU865,games.r,9,FALSE),VLOOKUP(CU865,games.r,12,FALSE)))</f>
        <v/>
      </c>
      <c r="CW865" s="354" t="str">
        <f ca="1">IF(CU865="","",VLOOKUP(CU865,games.r,10,FALSE))</f>
        <v/>
      </c>
      <c r="CX865" s="354" t="str">
        <f ca="1">IF(CU865="","",VLOOKUP(CU865,games.r,13,FALSE))</f>
        <v/>
      </c>
      <c r="CY865" s="361" t="str">
        <f ca="1">IF(CU865="","",VLOOKUP(CU865,games.r,6,FALSE))</f>
        <v/>
      </c>
      <c r="CZ865" s="362" t="str">
        <f ca="1">IF(CU865="","",VLOOKUP(CU865,games.r,7,FALSE))</f>
        <v/>
      </c>
      <c r="DA865" s="479" t="str">
        <f>CT861</f>
        <v/>
      </c>
      <c r="DB865" s="302"/>
      <c r="DC865" s="364"/>
      <c r="DG865" s="424"/>
      <c r="DH865" s="424"/>
      <c r="DI865" s="424"/>
      <c r="DJ865" s="424"/>
      <c r="DK865" s="424"/>
      <c r="DL865" s="424"/>
      <c r="DM865" s="424"/>
      <c r="DN865" s="424"/>
      <c r="DO865" s="424"/>
      <c r="DP865" s="424"/>
      <c r="DQ865" s="424"/>
      <c r="DR865" s="424"/>
      <c r="DS865" s="424"/>
      <c r="DT865" s="424"/>
      <c r="DU865" s="424"/>
      <c r="DV865" s="424"/>
      <c r="DW865" s="424"/>
      <c r="DX865" s="424"/>
      <c r="DY865" s="424"/>
      <c r="DZ865" s="424"/>
      <c r="EA865" s="424"/>
      <c r="EB865" s="424"/>
    </row>
    <row r="866" spans="98:132" x14ac:dyDescent="0.25">
      <c r="CT866" s="395" t="str">
        <f>CT861</f>
        <v/>
      </c>
      <c r="CU866" s="478" t="str">
        <f ca="1">IF(OR(CT866="",DA866="",CT866=DA866,COUNTIF(games.rn,CT866&amp;DA866)=0),"",CONCATENATE(CT866,DA866))</f>
        <v/>
      </c>
      <c r="CV866" s="360" t="str">
        <f ca="1">IF(CU866="","",CONCATENATE(VLOOKUP(CU866,games.r,9,FALSE),VLOOKUP(CU866,games.r,12,FALSE)))</f>
        <v/>
      </c>
      <c r="CW866" s="354" t="str">
        <f ca="1">IF(CU866="","",VLOOKUP(CU866,games.r,10,FALSE))</f>
        <v/>
      </c>
      <c r="CX866" s="354" t="str">
        <f ca="1">IF(CU866="","",VLOOKUP(CU866,games.r,13,FALSE))</f>
        <v/>
      </c>
      <c r="CY866" s="361" t="str">
        <f ca="1">IF(CU866="","",VLOOKUP(CU866,games.r,6,FALSE))</f>
        <v/>
      </c>
      <c r="CZ866" s="362" t="str">
        <f ca="1">IF(CU866="","",VLOOKUP(CU866,games.r,7,FALSE))</f>
        <v/>
      </c>
      <c r="DA866" s="379" t="str">
        <f>DA865</f>
        <v/>
      </c>
      <c r="DB866" s="302"/>
      <c r="DC866" s="364"/>
      <c r="DG866" s="424"/>
      <c r="DH866" s="424"/>
      <c r="DI866" s="424"/>
      <c r="DJ866" s="424"/>
      <c r="DK866" s="424"/>
      <c r="DL866" s="424"/>
      <c r="DM866" s="424"/>
      <c r="DN866" s="424"/>
      <c r="DO866" s="424"/>
      <c r="DP866" s="424"/>
      <c r="DQ866" s="424"/>
      <c r="DR866" s="424"/>
      <c r="DS866" s="424"/>
      <c r="DT866" s="424"/>
      <c r="DU866" s="424"/>
      <c r="DV866" s="424"/>
      <c r="DW866" s="424"/>
      <c r="DX866" s="424"/>
      <c r="DY866" s="424"/>
      <c r="DZ866" s="424"/>
      <c r="EA866" s="424"/>
    </row>
    <row r="867" spans="98:132" x14ac:dyDescent="0.25">
      <c r="CT867" s="522" t="str">
        <f>CT862</f>
        <v/>
      </c>
      <c r="CU867" s="371" t="str">
        <f>IF(OR(CT867="",DA867="",CT867=DA867,ISNA(VLOOKUP(CONCATENATE(CT867,DA867),games.a,2,FALSE))),"",CONCATENATE(CT867,DA867))</f>
        <v/>
      </c>
      <c r="CV867" s="371" t="str">
        <f>IF(CU867="","",CONCATENATE(VLOOKUP(CU867,games.a,9,FALSE),VLOOKUP(CU867,games.a,12,FALSE)))</f>
        <v/>
      </c>
      <c r="CW867" s="369" t="str">
        <f>IF(CU867="","",VLOOKUP(CU867,games.a,10,FALSE))</f>
        <v/>
      </c>
      <c r="CX867" s="369" t="str">
        <f>IF(CU867="","",VLOOKUP(CU867,games.a,13,FALSE))</f>
        <v/>
      </c>
      <c r="CY867" s="423" t="str">
        <f>IF(CU867="","",VLOOKUP(CU867,games.a,6,FALSE))</f>
        <v/>
      </c>
      <c r="CZ867" s="409" t="str">
        <f>IF(CU867="","",VLOOKUP(CU867,games.a,7,FALSE))</f>
        <v/>
      </c>
      <c r="DA867" s="523" t="str">
        <f>DA866</f>
        <v/>
      </c>
      <c r="DB867" s="302"/>
      <c r="DC867" s="364"/>
      <c r="DG867" s="424"/>
      <c r="DH867" s="424"/>
      <c r="DI867" s="424"/>
      <c r="DJ867" s="424"/>
      <c r="DK867" s="424"/>
      <c r="DL867" s="424"/>
      <c r="DM867" s="424"/>
      <c r="DN867" s="424"/>
      <c r="DO867" s="424"/>
      <c r="DP867" s="424"/>
      <c r="DQ867" s="424"/>
      <c r="DR867" s="424"/>
      <c r="DS867" s="424"/>
      <c r="DT867" s="424"/>
      <c r="DU867" s="424"/>
      <c r="DV867" s="424"/>
      <c r="DW867" s="424"/>
      <c r="DX867" s="424"/>
      <c r="DY867" s="424"/>
      <c r="DZ867" s="424"/>
      <c r="EA867" s="424"/>
    </row>
    <row r="868" spans="98:132" x14ac:dyDescent="0.25">
      <c r="CT868" s="522" t="str">
        <f>CT863</f>
        <v/>
      </c>
      <c r="CU868" s="371" t="str">
        <f>IF(OR(CT868="",DA868="",CT868=DA868,ISNA(VLOOKUP(CONCATENATE(CT868,DA868),games.a,2,FALSE))),"",CONCATENATE(CT868,DA868))</f>
        <v/>
      </c>
      <c r="CV868" s="371" t="str">
        <f>IF(CU868="","",CONCATENATE(VLOOKUP(CU868,games.a,9,FALSE),VLOOKUP(CU868,games.a,12,FALSE)))</f>
        <v/>
      </c>
      <c r="CW868" s="369" t="str">
        <f>IF(CU868="","",VLOOKUP(CU868,games.a,10,FALSE))</f>
        <v/>
      </c>
      <c r="CX868" s="369" t="str">
        <f>IF(CU868="","",VLOOKUP(CU868,games.a,13,FALSE))</f>
        <v/>
      </c>
      <c r="CY868" s="423" t="str">
        <f>IF(CU868="","",VLOOKUP(CU868,games.a,6,FALSE))</f>
        <v/>
      </c>
      <c r="CZ868" s="409" t="str">
        <f>IF(CU868="","",VLOOKUP(CU868,games.a,7,FALSE))</f>
        <v/>
      </c>
      <c r="DA868" s="523" t="str">
        <f>DA867</f>
        <v/>
      </c>
      <c r="DB868" s="302"/>
      <c r="DC868" s="364"/>
      <c r="DG868" s="424"/>
      <c r="DH868" s="424"/>
      <c r="DI868" s="424"/>
      <c r="DJ868" s="424"/>
      <c r="DK868" s="424"/>
      <c r="DL868" s="424"/>
      <c r="DM868" s="424"/>
      <c r="DN868" s="424"/>
      <c r="DO868" s="424"/>
      <c r="DP868" s="424"/>
      <c r="DQ868" s="424"/>
      <c r="DR868" s="424"/>
      <c r="DS868" s="424"/>
      <c r="DT868" s="424"/>
      <c r="DU868" s="424"/>
      <c r="DV868" s="424"/>
      <c r="DW868" s="424"/>
      <c r="DX868" s="424"/>
      <c r="DY868" s="424"/>
      <c r="DZ868" s="424"/>
      <c r="EA868" s="424"/>
    </row>
    <row r="869" spans="98:132" x14ac:dyDescent="0.25">
      <c r="CT869" s="301"/>
      <c r="CU869" s="302"/>
      <c r="CV869" s="302"/>
      <c r="CW869" s="302"/>
      <c r="CX869" s="302"/>
      <c r="CY869" s="302"/>
      <c r="CZ869" s="302"/>
      <c r="DA869" s="302"/>
      <c r="DB869" s="302"/>
      <c r="DC869" s="446" t="s">
        <v>372</v>
      </c>
      <c r="DG869" s="424"/>
      <c r="DH869" s="424"/>
      <c r="DI869" s="424"/>
      <c r="DJ869" s="424"/>
      <c r="DK869" s="424"/>
      <c r="DL869" s="424"/>
      <c r="DM869" s="424"/>
      <c r="DN869" s="424"/>
      <c r="DO869" s="424"/>
      <c r="DP869" s="424"/>
      <c r="DQ869" s="424"/>
      <c r="DR869" s="424"/>
      <c r="DS869" s="424"/>
      <c r="DT869" s="424"/>
      <c r="DU869" s="424"/>
      <c r="DV869" s="424"/>
      <c r="DW869" s="424"/>
      <c r="DX869" s="424"/>
      <c r="DY869" s="424"/>
      <c r="DZ869" s="424"/>
      <c r="EA869" s="424"/>
    </row>
  </sheetData>
  <sheetProtection password="CE76" sheet="1" objects="1" scenarios="1"/>
  <mergeCells count="23">
    <mergeCell ref="F60:M60"/>
    <mergeCell ref="F61:M61"/>
    <mergeCell ref="F62:M62"/>
    <mergeCell ref="G56:M56"/>
    <mergeCell ref="F57:M57"/>
    <mergeCell ref="F58:M58"/>
    <mergeCell ref="F59:M59"/>
    <mergeCell ref="P62:R62"/>
    <mergeCell ref="P63:R63"/>
    <mergeCell ref="O41:R41"/>
    <mergeCell ref="O42:O44"/>
    <mergeCell ref="P45:R45"/>
    <mergeCell ref="O46:R48"/>
    <mergeCell ref="O52:R54"/>
    <mergeCell ref="P60:R60"/>
    <mergeCell ref="P61:R61"/>
    <mergeCell ref="P69:R69"/>
    <mergeCell ref="P70:R70"/>
    <mergeCell ref="P64:R64"/>
    <mergeCell ref="P65:R65"/>
    <mergeCell ref="P66:R66"/>
    <mergeCell ref="P67:R67"/>
    <mergeCell ref="P68:R68"/>
  </mergeCells>
  <phoneticPr fontId="3" type="noConversion"/>
  <conditionalFormatting sqref="DA41 DA98 DA121 DA133 DA190 DA213 DA225 DA282 DA305 DA318 DA375 DA398 DA779 DA836 DA859 DA410 DA467 DA490 DA595 DA652 DA675 DA687 DA744 DA767 DA502 DA559 DA582">
    <cfRule type="expression" dxfId="57" priority="1" stopIfTrue="1">
      <formula>CT41</formula>
    </cfRule>
  </conditionalFormatting>
  <conditionalFormatting sqref="C42:C47 C50:C54">
    <cfRule type="expression" dxfId="56" priority="2" stopIfTrue="1">
      <formula>$D42="▲"</formula>
    </cfRule>
    <cfRule type="expression" dxfId="55" priority="3" stopIfTrue="1">
      <formula>$D42="▼"</formula>
    </cfRule>
  </conditionalFormatting>
  <conditionalFormatting sqref="D50:D54 D42:D47">
    <cfRule type="cellIs" dxfId="54" priority="4" stopIfTrue="1" operator="equal">
      <formula>"▲"</formula>
    </cfRule>
    <cfRule type="cellIs" dxfId="53" priority="5" stopIfTrue="1" operator="equal">
      <formula>"▼"</formula>
    </cfRule>
  </conditionalFormatting>
  <conditionalFormatting sqref="CT121 CT98 CT41 CT213 CT190 CT133 CT305 CT282 CT225 CT398 CT375 CT318 CT859 CT836 CT779 CT490 CT467 CT410 CT675 CT652 CT595 CT767 CT744 CT687 CT582 CT559 CT502">
    <cfRule type="expression" dxfId="52" priority="6" stopIfTrue="1">
      <formula>CT41</formula>
    </cfRule>
  </conditionalFormatting>
  <dataValidations count="7">
    <dataValidation type="whole" allowBlank="1" showInputMessage="1" showErrorMessage="1" error="Érvénytelen adat" sqref="P43">
      <formula1>$AD$62</formula1>
      <formula2>R43</formula2>
    </dataValidation>
    <dataValidation type="whole" allowBlank="1" showInputMessage="1" showErrorMessage="1" error="Érvénytelen adat" sqref="R43">
      <formula1>P43</formula1>
      <formula2>MAX($AD$65:$AD$67)</formula2>
    </dataValidation>
    <dataValidation type="whole" allowBlank="1" showInputMessage="1" showErrorMessage="1" error="Érvénytelen adat" sqref="S48">
      <formula1>R43</formula1>
      <formula2>38</formula2>
    </dataValidation>
    <dataValidation type="list" allowBlank="1" showInputMessage="1" showErrorMessage="1" sqref="AD43:AD45 AD105 AD101:AD103 AD94:AD96 AD98 AD108:AD110 AD112">
      <formula1>$W$68:$W$69</formula1>
    </dataValidation>
    <dataValidation type="whole" allowBlank="1" showInputMessage="1" showErrorMessage="1" sqref="P61:R70">
      <formula1>1</formula1>
      <formula2>100</formula2>
    </dataValidation>
    <dataValidation type="list" allowBlank="1" showInputMessage="1" showErrorMessage="1" sqref="O61:O70">
      <formula1>teams.r</formula1>
    </dataValidation>
    <dataValidation type="list" allowBlank="1" showInputMessage="1" showErrorMessage="1" sqref="F56">
      <formula1>gdays.r</formula1>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drawing r:id="rId2"/>
  <legacyDrawing r:id="rId3"/>
  <picture r:id="rId4"/>
  <mc:AlternateContent xmlns:mc="http://schemas.openxmlformats.org/markup-compatibility/2006">
    <mc:Choice Requires="x14">
      <controls>
        <mc:AlternateContent xmlns:mc="http://schemas.openxmlformats.org/markup-compatibility/2006">
          <mc:Choice Requires="x14">
            <control shapeId="18486" r:id="rId5" name="Check Box 54">
              <controlPr defaultSize="0" autoFill="0" autoLine="0" autoPict="0">
                <anchor moveWithCells="1">
                  <from>
                    <xdr:col>14</xdr:col>
                    <xdr:colOff>152400</xdr:colOff>
                    <xdr:row>57</xdr:row>
                    <xdr:rowOff>152400</xdr:rowOff>
                  </from>
                  <to>
                    <xdr:col>14</xdr:col>
                    <xdr:colOff>457200</xdr:colOff>
                    <xdr:row>58</xdr:row>
                    <xdr:rowOff>161925</xdr:rowOff>
                  </to>
                </anchor>
              </controlPr>
            </control>
          </mc:Choice>
        </mc:AlternateContent>
        <mc:AlternateContent xmlns:mc="http://schemas.openxmlformats.org/markup-compatibility/2006">
          <mc:Choice Requires="x14">
            <control shapeId="18644" r:id="rId6" name="Group Box 212">
              <controlPr defaultSize="0" autoFill="0" autoPict="0">
                <anchor moveWithCells="1" sizeWithCells="1">
                  <from>
                    <xdr:col>14</xdr:col>
                    <xdr:colOff>57150</xdr:colOff>
                    <xdr:row>54</xdr:row>
                    <xdr:rowOff>28575</xdr:rowOff>
                  </from>
                  <to>
                    <xdr:col>17</xdr:col>
                    <xdr:colOff>190500</xdr:colOff>
                    <xdr:row>57</xdr:row>
                    <xdr:rowOff>85725</xdr:rowOff>
                  </to>
                </anchor>
              </controlPr>
            </control>
          </mc:Choice>
        </mc:AlternateContent>
        <mc:AlternateContent xmlns:mc="http://schemas.openxmlformats.org/markup-compatibility/2006">
          <mc:Choice Requires="x14">
            <control shapeId="18645" r:id="rId7" name="Option Button 213">
              <controlPr defaultSize="0" autoFill="0" autoLine="0" autoPict="0">
                <anchor moveWithCells="1" sizeWithCells="1">
                  <from>
                    <xdr:col>14</xdr:col>
                    <xdr:colOff>152400</xdr:colOff>
                    <xdr:row>56</xdr:row>
                    <xdr:rowOff>38100</xdr:rowOff>
                  </from>
                  <to>
                    <xdr:col>14</xdr:col>
                    <xdr:colOff>447675</xdr:colOff>
                    <xdr:row>57</xdr:row>
                    <xdr:rowOff>47625</xdr:rowOff>
                  </to>
                </anchor>
              </controlPr>
            </control>
          </mc:Choice>
        </mc:AlternateContent>
        <mc:AlternateContent xmlns:mc="http://schemas.openxmlformats.org/markup-compatibility/2006">
          <mc:Choice Requires="x14">
            <control shapeId="18646" r:id="rId8" name="Option Button 214">
              <controlPr defaultSize="0" autoFill="0" autoLine="0" autoPict="0">
                <anchor moveWithCells="1" sizeWithCells="1">
                  <from>
                    <xdr:col>14</xdr:col>
                    <xdr:colOff>152400</xdr:colOff>
                    <xdr:row>54</xdr:row>
                    <xdr:rowOff>57150</xdr:rowOff>
                  </from>
                  <to>
                    <xdr:col>14</xdr:col>
                    <xdr:colOff>447675</xdr:colOff>
                    <xdr:row>55</xdr:row>
                    <xdr:rowOff>66675</xdr:rowOff>
                  </to>
                </anchor>
              </controlPr>
            </control>
          </mc:Choice>
        </mc:AlternateContent>
        <mc:AlternateContent xmlns:mc="http://schemas.openxmlformats.org/markup-compatibility/2006">
          <mc:Choice Requires="x14">
            <control shapeId="18647" r:id="rId9" name="Option Button 215">
              <controlPr defaultSize="0" autoFill="0" autoLine="0" autoPict="0">
                <anchor moveWithCells="1" sizeWithCells="1">
                  <from>
                    <xdr:col>14</xdr:col>
                    <xdr:colOff>152400</xdr:colOff>
                    <xdr:row>55</xdr:row>
                    <xdr:rowOff>47625</xdr:rowOff>
                  </from>
                  <to>
                    <xdr:col>14</xdr:col>
                    <xdr:colOff>447675</xdr:colOff>
                    <xdr:row>56</xdr:row>
                    <xdr:rowOff>57150</xdr:rowOff>
                  </to>
                </anchor>
              </controlPr>
            </control>
          </mc:Choice>
        </mc:AlternateContent>
        <mc:AlternateContent xmlns:mc="http://schemas.openxmlformats.org/markup-compatibility/2006">
          <mc:Choice Requires="x14">
            <control shapeId="18635" r:id="rId10" name="Group Box 203">
              <controlPr defaultSize="0" autoFill="0" autoPict="0">
                <anchor moveWithCells="1" sizeWithCells="1">
                  <from>
                    <xdr:col>14</xdr:col>
                    <xdr:colOff>57150</xdr:colOff>
                    <xdr:row>48</xdr:row>
                    <xdr:rowOff>19050</xdr:rowOff>
                  </from>
                  <to>
                    <xdr:col>17</xdr:col>
                    <xdr:colOff>190500</xdr:colOff>
                    <xdr:row>51</xdr:row>
                    <xdr:rowOff>76200</xdr:rowOff>
                  </to>
                </anchor>
              </controlPr>
            </control>
          </mc:Choice>
        </mc:AlternateContent>
        <mc:AlternateContent xmlns:mc="http://schemas.openxmlformats.org/markup-compatibility/2006">
          <mc:Choice Requires="x14">
            <control shapeId="18636" r:id="rId11" name="Option Button 204">
              <controlPr defaultSize="0" autoFill="0" autoLine="0" autoPict="0">
                <anchor moveWithCells="1" sizeWithCells="1">
                  <from>
                    <xdr:col>14</xdr:col>
                    <xdr:colOff>152400</xdr:colOff>
                    <xdr:row>50</xdr:row>
                    <xdr:rowOff>28575</xdr:rowOff>
                  </from>
                  <to>
                    <xdr:col>14</xdr:col>
                    <xdr:colOff>447675</xdr:colOff>
                    <xdr:row>51</xdr:row>
                    <xdr:rowOff>38100</xdr:rowOff>
                  </to>
                </anchor>
              </controlPr>
            </control>
          </mc:Choice>
        </mc:AlternateContent>
        <mc:AlternateContent xmlns:mc="http://schemas.openxmlformats.org/markup-compatibility/2006">
          <mc:Choice Requires="x14">
            <control shapeId="18637" r:id="rId12" name="Option Button 205">
              <controlPr defaultSize="0" autoFill="0" autoLine="0" autoPict="0">
                <anchor moveWithCells="1" sizeWithCells="1">
                  <from>
                    <xdr:col>14</xdr:col>
                    <xdr:colOff>152400</xdr:colOff>
                    <xdr:row>48</xdr:row>
                    <xdr:rowOff>47625</xdr:rowOff>
                  </from>
                  <to>
                    <xdr:col>14</xdr:col>
                    <xdr:colOff>447675</xdr:colOff>
                    <xdr:row>49</xdr:row>
                    <xdr:rowOff>57150</xdr:rowOff>
                  </to>
                </anchor>
              </controlPr>
            </control>
          </mc:Choice>
        </mc:AlternateContent>
        <mc:AlternateContent xmlns:mc="http://schemas.openxmlformats.org/markup-compatibility/2006">
          <mc:Choice Requires="x14">
            <control shapeId="18638" r:id="rId13" name="Option Button 206">
              <controlPr defaultSize="0" autoFill="0" autoLine="0" autoPict="0">
                <anchor moveWithCells="1" sizeWithCells="1">
                  <from>
                    <xdr:col>14</xdr:col>
                    <xdr:colOff>152400</xdr:colOff>
                    <xdr:row>49</xdr:row>
                    <xdr:rowOff>38100</xdr:rowOff>
                  </from>
                  <to>
                    <xdr:col>14</xdr:col>
                    <xdr:colOff>447675</xdr:colOff>
                    <xdr:row>50</xdr:row>
                    <xdr:rowOff>47625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6">
    <pageSetUpPr autoPageBreaks="0"/>
  </sheetPr>
  <dimension ref="A1:AM83"/>
  <sheetViews>
    <sheetView showGridLines="0" showRowColHeaders="0" zoomScaleNormal="100" workbookViewId="0">
      <pane ySplit="39" topLeftCell="A40" activePane="bottomLeft" state="frozen"/>
      <selection pane="bottomLeft"/>
    </sheetView>
  </sheetViews>
  <sheetFormatPr defaultColWidth="9.140625" defaultRowHeight="9" x14ac:dyDescent="0.15"/>
  <cols>
    <col min="1" max="1" width="1.7109375" style="590" customWidth="1"/>
    <col min="2" max="2" width="6" style="591" customWidth="1"/>
    <col min="3" max="3" width="31.42578125" style="592" customWidth="1"/>
    <col min="4" max="8" width="4" style="602" hidden="1" customWidth="1"/>
    <col min="9" max="9" width="7.140625" style="593" customWidth="1"/>
    <col min="10" max="14" width="4" style="602" hidden="1" customWidth="1"/>
    <col min="15" max="15" width="7.140625" style="593" customWidth="1"/>
    <col min="16" max="20" width="4" style="602" hidden="1" customWidth="1"/>
    <col min="21" max="21" width="7.140625" style="593" customWidth="1"/>
    <col min="22" max="26" width="4" style="602" hidden="1" customWidth="1"/>
    <col min="27" max="27" width="7.140625" style="593" customWidth="1"/>
    <col min="28" max="32" width="4" style="602" hidden="1" customWidth="1"/>
    <col min="33" max="33" width="7.140625" style="593" customWidth="1"/>
    <col min="34" max="38" width="4" style="602" hidden="1" customWidth="1"/>
    <col min="39" max="39" width="7.140625" style="593" customWidth="1"/>
    <col min="40" max="42" width="9.140625" style="591"/>
    <col min="43" max="43" width="4.7109375" style="591" customWidth="1"/>
    <col min="44" max="45" width="9.140625" style="591"/>
    <col min="46" max="46" width="7.85546875" style="591" customWidth="1"/>
    <col min="47" max="47" width="3.28515625" style="591" customWidth="1"/>
    <col min="48" max="16384" width="9.140625" style="591"/>
  </cols>
  <sheetData>
    <row r="1" spans="4:6" s="257" customFormat="1" ht="1.5" customHeight="1" x14ac:dyDescent="0.2">
      <c r="D1" s="258"/>
      <c r="E1" s="258"/>
      <c r="F1" s="258"/>
    </row>
    <row r="2" spans="4:6" s="257" customFormat="1" ht="0.75" customHeight="1" x14ac:dyDescent="0.2">
      <c r="D2" s="259"/>
      <c r="E2" s="260"/>
      <c r="F2" s="260"/>
    </row>
    <row r="3" spans="4:6" s="257" customFormat="1" ht="1.5" hidden="1" customHeight="1" x14ac:dyDescent="0.2">
      <c r="D3" s="261"/>
      <c r="E3" s="262"/>
      <c r="F3" s="263"/>
    </row>
    <row r="4" spans="4:6" s="257" customFormat="1" ht="0.75" hidden="1" customHeight="1" x14ac:dyDescent="0.2">
      <c r="D4" s="261"/>
      <c r="E4" s="262"/>
      <c r="F4" s="263"/>
    </row>
    <row r="5" spans="4:6" s="257" customFormat="1" ht="1.5" hidden="1" customHeight="1" x14ac:dyDescent="0.2">
      <c r="D5" s="261"/>
      <c r="E5" s="262"/>
      <c r="F5" s="263"/>
    </row>
    <row r="6" spans="4:6" s="257" customFormat="1" ht="0.75" hidden="1" customHeight="1" x14ac:dyDescent="0.2">
      <c r="D6" s="261"/>
      <c r="E6" s="262"/>
      <c r="F6" s="263"/>
    </row>
    <row r="7" spans="4:6" s="257" customFormat="1" ht="1.5" customHeight="1" x14ac:dyDescent="0.2">
      <c r="D7" s="261"/>
      <c r="E7" s="262"/>
      <c r="F7" s="263"/>
    </row>
    <row r="8" spans="4:6" s="257" customFormat="1" ht="0.75" customHeight="1" x14ac:dyDescent="0.2">
      <c r="D8" s="261"/>
      <c r="E8" s="262"/>
      <c r="F8" s="263"/>
    </row>
    <row r="9" spans="4:6" s="257" customFormat="1" ht="1.5" customHeight="1" x14ac:dyDescent="0.2">
      <c r="D9" s="261"/>
      <c r="E9" s="262"/>
      <c r="F9" s="263"/>
    </row>
    <row r="10" spans="4:6" s="257" customFormat="1" ht="0.75" customHeight="1" x14ac:dyDescent="0.2">
      <c r="D10" s="261"/>
      <c r="E10" s="262"/>
      <c r="F10" s="263"/>
    </row>
    <row r="11" spans="4:6" s="257" customFormat="1" ht="1.5" customHeight="1" x14ac:dyDescent="0.2">
      <c r="D11" s="261"/>
      <c r="E11" s="262"/>
      <c r="F11" s="263"/>
    </row>
    <row r="12" spans="4:6" s="257" customFormat="1" ht="0.75" customHeight="1" x14ac:dyDescent="0.2">
      <c r="D12" s="261"/>
      <c r="E12" s="262"/>
      <c r="F12" s="263"/>
    </row>
    <row r="13" spans="4:6" s="257" customFormat="1" ht="1.5" customHeight="1" x14ac:dyDescent="0.2">
      <c r="D13" s="261"/>
      <c r="E13" s="262"/>
      <c r="F13" s="263"/>
    </row>
    <row r="14" spans="4:6" s="257" customFormat="1" ht="0.75" customHeight="1" x14ac:dyDescent="0.2">
      <c r="D14" s="261"/>
      <c r="E14" s="262"/>
      <c r="F14" s="263"/>
    </row>
    <row r="15" spans="4:6" s="257" customFormat="1" ht="1.5" customHeight="1" x14ac:dyDescent="0.2">
      <c r="D15" s="261"/>
      <c r="E15" s="262"/>
      <c r="F15" s="263"/>
    </row>
    <row r="16" spans="4:6" s="257" customFormat="1" ht="0.75" customHeight="1" x14ac:dyDescent="0.2">
      <c r="D16" s="261"/>
      <c r="E16" s="262"/>
      <c r="F16" s="263"/>
    </row>
    <row r="17" spans="4:6" s="257" customFormat="1" ht="1.5" customHeight="1" x14ac:dyDescent="0.2">
      <c r="D17" s="261"/>
      <c r="E17" s="262"/>
      <c r="F17" s="263"/>
    </row>
    <row r="18" spans="4:6" s="257" customFormat="1" ht="0.75" customHeight="1" x14ac:dyDescent="0.2">
      <c r="D18" s="261"/>
      <c r="E18" s="262"/>
      <c r="F18" s="263"/>
    </row>
    <row r="19" spans="4:6" s="257" customFormat="1" ht="1.5" customHeight="1" x14ac:dyDescent="0.2">
      <c r="D19" s="261"/>
      <c r="E19" s="262"/>
      <c r="F19" s="263"/>
    </row>
    <row r="20" spans="4:6" s="257" customFormat="1" ht="0.75" customHeight="1" x14ac:dyDescent="0.2">
      <c r="D20" s="261"/>
      <c r="E20" s="262"/>
      <c r="F20" s="263"/>
    </row>
    <row r="21" spans="4:6" s="257" customFormat="1" ht="1.5" customHeight="1" x14ac:dyDescent="0.2">
      <c r="D21" s="261"/>
      <c r="E21" s="262"/>
      <c r="F21" s="263"/>
    </row>
    <row r="22" spans="4:6" s="257" customFormat="1" ht="0.75" customHeight="1" x14ac:dyDescent="0.2">
      <c r="D22" s="261"/>
      <c r="E22" s="262"/>
      <c r="F22" s="263"/>
    </row>
    <row r="23" spans="4:6" s="257" customFormat="1" ht="1.5" customHeight="1" x14ac:dyDescent="0.2">
      <c r="D23" s="261"/>
      <c r="E23" s="262"/>
      <c r="F23" s="263"/>
    </row>
    <row r="24" spans="4:6" s="257" customFormat="1" ht="0.75" customHeight="1" x14ac:dyDescent="0.2">
      <c r="D24" s="261"/>
      <c r="E24" s="262"/>
      <c r="F24" s="263"/>
    </row>
    <row r="25" spans="4:6" s="257" customFormat="1" ht="1.5" customHeight="1" x14ac:dyDescent="0.2">
      <c r="D25" s="261"/>
      <c r="E25" s="262"/>
      <c r="F25" s="263"/>
    </row>
    <row r="26" spans="4:6" s="257" customFormat="1" ht="0.75" customHeight="1" x14ac:dyDescent="0.2">
      <c r="D26" s="261"/>
      <c r="E26" s="262"/>
      <c r="F26" s="263"/>
    </row>
    <row r="27" spans="4:6" s="257" customFormat="1" ht="1.5" customHeight="1" x14ac:dyDescent="0.2">
      <c r="D27" s="261"/>
      <c r="E27" s="262"/>
      <c r="F27" s="263"/>
    </row>
    <row r="28" spans="4:6" s="257" customFormat="1" ht="0.75" customHeight="1" x14ac:dyDescent="0.2">
      <c r="D28" s="261"/>
      <c r="E28" s="262"/>
      <c r="F28" s="263"/>
    </row>
    <row r="29" spans="4:6" s="257" customFormat="1" ht="1.5" customHeight="1" x14ac:dyDescent="0.2">
      <c r="D29" s="261"/>
      <c r="E29" s="262"/>
      <c r="F29" s="263"/>
    </row>
    <row r="30" spans="4:6" s="257" customFormat="1" ht="0.75" customHeight="1" x14ac:dyDescent="0.2">
      <c r="D30" s="261"/>
      <c r="E30" s="262"/>
      <c r="F30" s="263"/>
    </row>
    <row r="31" spans="4:6" s="257" customFormat="1" ht="1.5" customHeight="1" x14ac:dyDescent="0.2">
      <c r="D31" s="261"/>
      <c r="E31" s="262"/>
      <c r="F31" s="263"/>
    </row>
    <row r="32" spans="4:6" s="257" customFormat="1" ht="0.75" customHeight="1" x14ac:dyDescent="0.2">
      <c r="D32" s="261"/>
      <c r="E32" s="262"/>
      <c r="F32" s="263"/>
    </row>
    <row r="33" spans="2:39" s="257" customFormat="1" ht="1.5" customHeight="1" x14ac:dyDescent="0.2">
      <c r="D33" s="261"/>
      <c r="E33" s="262"/>
      <c r="F33" s="263"/>
    </row>
    <row r="34" spans="2:39" s="257" customFormat="1" ht="0.75" customHeight="1" x14ac:dyDescent="0.2">
      <c r="D34" s="261"/>
      <c r="E34" s="262"/>
      <c r="F34" s="263"/>
    </row>
    <row r="35" spans="2:39" s="257" customFormat="1" ht="1.5" customHeight="1" x14ac:dyDescent="0.2">
      <c r="D35" s="261"/>
      <c r="E35" s="262"/>
      <c r="F35" s="263"/>
    </row>
    <row r="36" spans="2:39" s="257" customFormat="1" ht="0.75" customHeight="1" x14ac:dyDescent="0.2">
      <c r="D36" s="261"/>
      <c r="E36" s="262"/>
      <c r="F36" s="263"/>
    </row>
    <row r="37" spans="2:39" s="257" customFormat="1" ht="1.5" customHeight="1" x14ac:dyDescent="0.2">
      <c r="D37" s="261"/>
      <c r="E37" s="262"/>
      <c r="F37" s="263"/>
    </row>
    <row r="38" spans="2:39" s="257" customFormat="1" ht="0.75" customHeight="1" x14ac:dyDescent="0.2">
      <c r="D38" s="261"/>
      <c r="E38" s="262"/>
      <c r="F38" s="263"/>
    </row>
    <row r="39" spans="2:39" s="164" customFormat="1" ht="12" customHeight="1" x14ac:dyDescent="0.2">
      <c r="B39" s="256" t="s">
        <v>457</v>
      </c>
      <c r="C39" s="165"/>
      <c r="D39" s="166"/>
      <c r="E39" s="167"/>
      <c r="F39" s="168"/>
    </row>
    <row r="40" spans="2:39" ht="15" customHeight="1" x14ac:dyDescent="0.15">
      <c r="D40" s="592"/>
      <c r="E40" s="592"/>
      <c r="F40" s="592"/>
      <c r="G40" s="592"/>
      <c r="H40" s="592"/>
      <c r="I40" s="592"/>
      <c r="J40" s="592"/>
      <c r="K40" s="592"/>
      <c r="L40" s="592"/>
      <c r="M40" s="592"/>
      <c r="N40" s="592"/>
      <c r="P40" s="592"/>
      <c r="Q40" s="592"/>
      <c r="R40" s="592"/>
      <c r="S40" s="592"/>
      <c r="T40" s="592"/>
      <c r="V40" s="592"/>
      <c r="W40" s="592"/>
      <c r="X40" s="592"/>
      <c r="Y40" s="592"/>
      <c r="Z40" s="592"/>
      <c r="AB40" s="592"/>
      <c r="AC40" s="592"/>
      <c r="AD40" s="592"/>
      <c r="AE40" s="592"/>
      <c r="AF40" s="592"/>
      <c r="AH40" s="592"/>
      <c r="AI40" s="592"/>
      <c r="AJ40" s="592"/>
      <c r="AK40" s="592"/>
      <c r="AL40" s="592"/>
    </row>
    <row r="41" spans="2:39" ht="68.25" customHeight="1" x14ac:dyDescent="0.15">
      <c r="C41" s="630" t="s">
        <v>509</v>
      </c>
      <c r="D41" s="595"/>
      <c r="E41" s="631">
        <f ca="1">IF(G41=1000,100000,VLOOKUP(G41,RCSOP!$AP$71:$AQ$116,2,FALSE))</f>
        <v>100000</v>
      </c>
      <c r="F41" s="597">
        <v>1</v>
      </c>
      <c r="G41" s="596">
        <f ca="1">RCSOP!$AR$117</f>
        <v>1000</v>
      </c>
      <c r="H41" s="598"/>
      <c r="I41" s="599" t="str">
        <f ca="1">C42</f>
        <v>BBK</v>
      </c>
      <c r="J41" s="595"/>
      <c r="K41" s="632"/>
      <c r="L41" s="633"/>
      <c r="M41" s="632"/>
      <c r="N41" s="598"/>
      <c r="O41" s="599" t="str">
        <f ca="1">C43</f>
        <v>K&amp;H</v>
      </c>
      <c r="P41" s="595"/>
      <c r="Q41" s="632"/>
      <c r="R41" s="633"/>
      <c r="S41" s="632"/>
      <c r="T41" s="598"/>
      <c r="U41" s="599" t="str">
        <f ca="1">C44</f>
        <v>BHD</v>
      </c>
      <c r="V41" s="595"/>
      <c r="W41" s="632"/>
      <c r="X41" s="633"/>
      <c r="Y41" s="632"/>
      <c r="Z41" s="598"/>
      <c r="AA41" s="599" t="str">
        <f ca="1">C45</f>
        <v>Zrínyigyöngye</v>
      </c>
      <c r="AB41" s="595"/>
      <c r="AC41" s="632"/>
      <c r="AD41" s="633"/>
      <c r="AE41" s="632"/>
      <c r="AF41" s="598"/>
      <c r="AG41" s="599" t="str">
        <f ca="1">C46</f>
        <v>Élelmesek</v>
      </c>
      <c r="AH41" s="595"/>
      <c r="AI41" s="632"/>
      <c r="AJ41" s="633"/>
      <c r="AK41" s="632"/>
      <c r="AL41" s="598"/>
      <c r="AM41" s="600" t="str">
        <f ca="1">C47</f>
        <v>Hercules-Ludovika</v>
      </c>
    </row>
    <row r="42" spans="2:39" ht="18" customHeight="1" x14ac:dyDescent="0.2">
      <c r="C42" s="619" t="str">
        <f ca="1">IF(RTAB!AW42=0,"–",RTAB!AW42)</f>
        <v>BBK</v>
      </c>
      <c r="D42" s="602" t="str">
        <f t="shared" ref="D42:D47" ca="1" si="0">CONCATENATE($C42,I$41)</f>
        <v>BBKBBK</v>
      </c>
      <c r="E42" s="602" t="str">
        <f t="shared" ref="E42:E47" ca="1" si="1">IF(ISNA(VLOOKUP(D42,games.r,15,FALSE)),"",VLOOKUP(D42,games.r,15,FALSE))</f>
        <v/>
      </c>
      <c r="F42" s="603" t="str">
        <f t="shared" ref="F42:F47" ca="1" si="2">IF(ISNA(VLOOKUP(D42,games.r,3,FALSE)),"",VLOOKUP(D42,games.r,3,FALSE))</f>
        <v/>
      </c>
      <c r="G42" s="602" t="e">
        <f t="shared" ref="G42:G47" ca="1" si="3">IF(VLOOKUP(D42,games.r,2,FALSE),VLOOKUP(D42,games.r,6,FALSE),"")</f>
        <v>#N/A</v>
      </c>
      <c r="H42" s="595" t="e">
        <f t="shared" ref="H42:H47" ca="1" si="4">IF(VLOOKUP(D42,games.r,2,FALSE),VLOOKUP(D42,games.r,7,FALSE),"")</f>
        <v>#N/A</v>
      </c>
      <c r="I42" s="639"/>
      <c r="J42" s="605" t="str">
        <f t="shared" ref="J42:J47" ca="1" si="5">CONCATENATE($C42,O$41)</f>
        <v>BBKK&amp;H</v>
      </c>
      <c r="K42" s="605">
        <f t="shared" ref="K42:K47" ca="1" si="6">IF(ISNA(VLOOKUP(J42,games.r,15,FALSE)),"",VLOOKUP(J42,games.r,15,FALSE))</f>
        <v>42326</v>
      </c>
      <c r="L42" s="606">
        <f t="shared" ref="L42:L47" ca="1" si="7">IF(ISNA(VLOOKUP(J42,games.r,3,FALSE)),"",VLOOKUP(J42,games.r,3,FALSE))</f>
        <v>27</v>
      </c>
      <c r="M42" s="605">
        <f t="shared" ref="M42:M47" ca="1" si="8">IF(VLOOKUP(J42,games.r,2,FALSE),VLOOKUP(J42,games.r,6,FALSE),"")</f>
        <v>2</v>
      </c>
      <c r="N42" s="607">
        <f t="shared" ref="N42:N47" ca="1" si="9">IF(VLOOKUP(J42,games.r,2,FALSE),VLOOKUP(J42,games.r,7,FALSE),"")</f>
        <v>1</v>
      </c>
      <c r="O42" s="622" t="str">
        <f ca="1">IF(L42="","",IF($F$41=1,IF(N42&lt;&gt;"",CONCATENATE(M42,"–",N42),K42),IF($F$41=2,CONCATENATE(L42,"."),K42)))</f>
        <v>2–1</v>
      </c>
      <c r="P42" s="605" t="str">
        <f t="shared" ref="P42:P47" ca="1" si="10">CONCATENATE($C42,U$41)</f>
        <v>BBKBHD</v>
      </c>
      <c r="Q42" s="605">
        <f t="shared" ref="Q42:Q47" ca="1" si="11">IF(ISNA(VLOOKUP(P42,games.r,15,FALSE)),"",VLOOKUP(P42,games.r,15,FALSE))</f>
        <v>42319</v>
      </c>
      <c r="R42" s="606">
        <f t="shared" ref="R42:R47" ca="1" si="12">IF(ISNA(VLOOKUP(P42,games.r,3,FALSE)),"",VLOOKUP(P42,games.r,3,FALSE))</f>
        <v>26</v>
      </c>
      <c r="S42" s="605">
        <f t="shared" ref="S42:S47" ca="1" si="13">IF(VLOOKUP(P42,games.r,2,FALSE),VLOOKUP(P42,games.r,6,FALSE),"")</f>
        <v>0</v>
      </c>
      <c r="T42" s="607">
        <f t="shared" ref="T42:T47" ca="1" si="14">IF(VLOOKUP(P42,games.r,2,FALSE),VLOOKUP(P42,games.r,7,FALSE),"")</f>
        <v>1</v>
      </c>
      <c r="U42" s="622" t="str">
        <f ca="1">IF(R42="","",IF($F$41=1,IF(T42&lt;&gt;"",CONCATENATE(S42,"–",T42),Q42),IF($F$41=2,CONCATENATE(R42,"."),Q42)))</f>
        <v>0–1</v>
      </c>
      <c r="V42" s="605" t="str">
        <f t="shared" ref="V42:V47" ca="1" si="15">CONCATENATE($C42,AA$41)</f>
        <v>BBKZrínyigyöngye</v>
      </c>
      <c r="W42" s="605">
        <f t="shared" ref="W42:W47" ca="1" si="16">IF(ISNA(VLOOKUP(V42,games.r,15,FALSE)),"",VLOOKUP(V42,games.r,15,FALSE))</f>
        <v>42312</v>
      </c>
      <c r="X42" s="606">
        <f t="shared" ref="X42:X47" ca="1" si="17">IF(ISNA(VLOOKUP(V42,games.r,3,FALSE)),"",VLOOKUP(V42,games.r,3,FALSE))</f>
        <v>25</v>
      </c>
      <c r="Y42" s="605">
        <f t="shared" ref="Y42:Y47" ca="1" si="18">IF(VLOOKUP(V42,games.r,2,FALSE),VLOOKUP(V42,games.r,6,FALSE),"")</f>
        <v>6</v>
      </c>
      <c r="Z42" s="607">
        <f t="shared" ref="Z42:Z47" ca="1" si="19">IF(VLOOKUP(V42,games.r,2,FALSE),VLOOKUP(V42,games.r,7,FALSE),"")</f>
        <v>0</v>
      </c>
      <c r="AA42" s="622" t="str">
        <f ca="1">IF(X42="","",IF($F$41=1,IF(Z42&lt;&gt;"",CONCATENATE(Y42,"–",Z42),W42),IF($F$41=2,CONCATENATE(X42,"."),W42)))</f>
        <v>6–0</v>
      </c>
      <c r="AB42" s="605" t="str">
        <f t="shared" ref="AB42:AB47" ca="1" si="20">CONCATENATE($C42,AG$41)</f>
        <v>BBKÉlelmesek</v>
      </c>
      <c r="AC42" s="605">
        <f t="shared" ref="AC42:AC47" ca="1" si="21">IF(ISNA(VLOOKUP(AB42,games.r,15,FALSE)),"",VLOOKUP(AB42,games.r,15,FALSE))</f>
        <v>42305</v>
      </c>
      <c r="AD42" s="606">
        <f t="shared" ref="AD42:AD47" ca="1" si="22">IF(ISNA(VLOOKUP(AB42,games.r,3,FALSE)),"",VLOOKUP(AB42,games.r,3,FALSE))</f>
        <v>24</v>
      </c>
      <c r="AE42" s="605">
        <f t="shared" ref="AE42:AE47" ca="1" si="23">IF(VLOOKUP(AB42,games.r,2,FALSE),VLOOKUP(AB42,games.r,6,FALSE),"")</f>
        <v>7</v>
      </c>
      <c r="AF42" s="607">
        <f t="shared" ref="AF42:AF47" ca="1" si="24">IF(VLOOKUP(AB42,games.r,2,FALSE),VLOOKUP(AB42,games.r,7,FALSE),"")</f>
        <v>2</v>
      </c>
      <c r="AG42" s="622" t="str">
        <f ca="1">IF(AD42="","",IF($F$41=1,IF(AF42&lt;&gt;"",CONCATENATE(AE42,"–",AF42),AC42),IF($F$41=2,CONCATENATE(AD42,"."),AC42)))</f>
        <v>7–2</v>
      </c>
      <c r="AH42" s="605" t="str">
        <f t="shared" ref="AH42:AH47" ca="1" si="25">CONCATENATE($C42,AM$41)</f>
        <v>BBKHercules-Ludovika</v>
      </c>
      <c r="AI42" s="605">
        <f t="shared" ref="AI42:AI47" ca="1" si="26">IF(ISNA(VLOOKUP(AH42,games.r,15,FALSE)),"",VLOOKUP(AH42,games.r,15,FALSE))</f>
        <v>42298</v>
      </c>
      <c r="AJ42" s="606">
        <f t="shared" ref="AJ42:AJ47" ca="1" si="27">IF(ISNA(VLOOKUP(AH42,games.r,3,FALSE)),"",VLOOKUP(AH42,games.r,3,FALSE))</f>
        <v>23</v>
      </c>
      <c r="AK42" s="605">
        <f t="shared" ref="AK42:AK47" ca="1" si="28">IF(VLOOKUP(AH42,games.r,2,FALSE),VLOOKUP(AH42,games.r,6,FALSE),"")</f>
        <v>3</v>
      </c>
      <c r="AL42" s="607">
        <f t="shared" ref="AL42:AL47" ca="1" si="29">IF(VLOOKUP(AH42,games.r,2,FALSE),VLOOKUP(AH42,games.r,7,FALSE),"")</f>
        <v>0</v>
      </c>
      <c r="AM42" s="622" t="str">
        <f ca="1">IF(AJ42="","",IF($F$41=1,IF(AL42&lt;&gt;"",CONCATENATE(AK42,"–",AL42),AI42),IF($F$41=2,CONCATENATE(AJ42,"."),AI42)))</f>
        <v>3–0</v>
      </c>
    </row>
    <row r="43" spans="2:39" ht="18" customHeight="1" x14ac:dyDescent="0.2">
      <c r="C43" s="620" t="str">
        <f ca="1">IF(RTAB!AW43=0,"–",RTAB!AW43)</f>
        <v>K&amp;H</v>
      </c>
      <c r="D43" s="602" t="str">
        <f t="shared" ca="1" si="0"/>
        <v>K&amp;HBBK</v>
      </c>
      <c r="E43" s="602" t="str">
        <f t="shared" ca="1" si="1"/>
        <v/>
      </c>
      <c r="F43" s="603" t="str">
        <f t="shared" ca="1" si="2"/>
        <v/>
      </c>
      <c r="G43" s="602" t="e">
        <f t="shared" ca="1" si="3"/>
        <v>#N/A</v>
      </c>
      <c r="H43" s="595" t="e">
        <f t="shared" ca="1" si="4"/>
        <v>#N/A</v>
      </c>
      <c r="I43" s="622" t="str">
        <f ca="1">IF(F43="","",IF($F$41=1,IF(H43&lt;&gt;"",CONCATENATE(G43,"–",H43),E43),IF($F$41=2,CONCATENATE(F43,"."),E43)))</f>
        <v/>
      </c>
      <c r="J43" s="605" t="str">
        <f t="shared" ca="1" si="5"/>
        <v>K&amp;HK&amp;H</v>
      </c>
      <c r="K43" s="605" t="str">
        <f t="shared" ca="1" si="6"/>
        <v/>
      </c>
      <c r="L43" s="606" t="str">
        <f t="shared" ca="1" si="7"/>
        <v/>
      </c>
      <c r="M43" s="605" t="e">
        <f t="shared" ca="1" si="8"/>
        <v>#N/A</v>
      </c>
      <c r="N43" s="607" t="e">
        <f t="shared" ca="1" si="9"/>
        <v>#N/A</v>
      </c>
      <c r="O43" s="640"/>
      <c r="P43" s="605" t="str">
        <f t="shared" ca="1" si="10"/>
        <v>K&amp;HBHD</v>
      </c>
      <c r="Q43" s="605">
        <f t="shared" ca="1" si="11"/>
        <v>42312</v>
      </c>
      <c r="R43" s="606">
        <f t="shared" ca="1" si="12"/>
        <v>25</v>
      </c>
      <c r="S43" s="605">
        <f t="shared" ca="1" si="13"/>
        <v>0</v>
      </c>
      <c r="T43" s="607">
        <f t="shared" ca="1" si="14"/>
        <v>2</v>
      </c>
      <c r="U43" s="622" t="str">
        <f ca="1">IF(R43="","",IF($F$41=1,IF(T43&lt;&gt;"",CONCATENATE(S43,"–",T43),Q43),IF($F$41=2,CONCATENATE(R43,"."),Q43)))</f>
        <v>0–2</v>
      </c>
      <c r="V43" s="605" t="str">
        <f t="shared" ca="1" si="15"/>
        <v>K&amp;HZrínyigyöngye</v>
      </c>
      <c r="W43" s="605">
        <f t="shared" ca="1" si="16"/>
        <v>42305</v>
      </c>
      <c r="X43" s="606">
        <f t="shared" ca="1" si="17"/>
        <v>24</v>
      </c>
      <c r="Y43" s="605">
        <f t="shared" ca="1" si="18"/>
        <v>1</v>
      </c>
      <c r="Z43" s="607">
        <f t="shared" ca="1" si="19"/>
        <v>5</v>
      </c>
      <c r="AA43" s="622" t="str">
        <f ca="1">IF(X43="","",IF($F$41=1,IF(Z43&lt;&gt;"",CONCATENATE(Y43,"–",Z43),W43),IF($F$41=2,CONCATENATE(X43,"."),W43)))</f>
        <v>1–5</v>
      </c>
      <c r="AB43" s="605" t="str">
        <f t="shared" ca="1" si="20"/>
        <v>K&amp;HÉlelmesek</v>
      </c>
      <c r="AC43" s="605">
        <f t="shared" ca="1" si="21"/>
        <v>42298</v>
      </c>
      <c r="AD43" s="606">
        <f t="shared" ca="1" si="22"/>
        <v>23</v>
      </c>
      <c r="AE43" s="605">
        <f t="shared" ca="1" si="23"/>
        <v>5</v>
      </c>
      <c r="AF43" s="607">
        <f t="shared" ca="1" si="24"/>
        <v>2</v>
      </c>
      <c r="AG43" s="622" t="str">
        <f ca="1">IF(AD43="","",IF($F$41=1,IF(AF43&lt;&gt;"",CONCATENATE(AE43,"–",AF43),AC43),IF($F$41=2,CONCATENATE(AD43,"."),AC43)))</f>
        <v>5–2</v>
      </c>
      <c r="AH43" s="605" t="str">
        <f t="shared" ca="1" si="25"/>
        <v>K&amp;HHercules-Ludovika</v>
      </c>
      <c r="AI43" s="605">
        <f t="shared" ca="1" si="26"/>
        <v>42319</v>
      </c>
      <c r="AJ43" s="606">
        <f t="shared" ca="1" si="27"/>
        <v>26</v>
      </c>
      <c r="AK43" s="605">
        <f t="shared" ca="1" si="28"/>
        <v>1</v>
      </c>
      <c r="AL43" s="607">
        <f t="shared" ca="1" si="29"/>
        <v>0</v>
      </c>
      <c r="AM43" s="622" t="str">
        <f ca="1">IF(AJ43="","",IF($F$41=1,IF(AL43&lt;&gt;"",CONCATENATE(AK43,"–",AL43),AI43),IF($F$41=2,CONCATENATE(AJ43,"."),AI43)))</f>
        <v>1–0</v>
      </c>
    </row>
    <row r="44" spans="2:39" ht="18" customHeight="1" x14ac:dyDescent="0.2">
      <c r="C44" s="620" t="str">
        <f ca="1">IF(RTAB!AW44=0,"–",RTAB!AW44)</f>
        <v>BHD</v>
      </c>
      <c r="D44" s="602" t="str">
        <f t="shared" ca="1" si="0"/>
        <v>BHDBBK</v>
      </c>
      <c r="E44" s="602" t="str">
        <f t="shared" ca="1" si="1"/>
        <v/>
      </c>
      <c r="F44" s="603" t="str">
        <f t="shared" ca="1" si="2"/>
        <v/>
      </c>
      <c r="G44" s="602" t="e">
        <f t="shared" ca="1" si="3"/>
        <v>#N/A</v>
      </c>
      <c r="H44" s="595" t="e">
        <f t="shared" ca="1" si="4"/>
        <v>#N/A</v>
      </c>
      <c r="I44" s="622" t="str">
        <f ca="1">IF(F44="","",IF($F$41=1,IF(H44&lt;&gt;"",CONCATENATE(G44,"–",H44),E44),IF($F$41=2,CONCATENATE(F44,"."),E44)))</f>
        <v/>
      </c>
      <c r="J44" s="605" t="str">
        <f t="shared" ca="1" si="5"/>
        <v>BHDK&amp;H</v>
      </c>
      <c r="K44" s="605" t="str">
        <f t="shared" ca="1" si="6"/>
        <v/>
      </c>
      <c r="L44" s="606" t="str">
        <f t="shared" ca="1" si="7"/>
        <v/>
      </c>
      <c r="M44" s="605" t="e">
        <f t="shared" ca="1" si="8"/>
        <v>#N/A</v>
      </c>
      <c r="N44" s="607" t="e">
        <f t="shared" ca="1" si="9"/>
        <v>#N/A</v>
      </c>
      <c r="O44" s="622" t="str">
        <f ca="1">IF(L44="","",IF($F$41=1,IF(N44&lt;&gt;"",CONCATENATE(M44,"–",N44),K44),IF($F$41=2,CONCATENATE(L44,"."),K44)))</f>
        <v/>
      </c>
      <c r="P44" s="605" t="str">
        <f t="shared" ca="1" si="10"/>
        <v>BHDBHD</v>
      </c>
      <c r="Q44" s="605" t="str">
        <f t="shared" ca="1" si="11"/>
        <v/>
      </c>
      <c r="R44" s="606" t="str">
        <f t="shared" ca="1" si="12"/>
        <v/>
      </c>
      <c r="S44" s="605" t="e">
        <f t="shared" ca="1" si="13"/>
        <v>#N/A</v>
      </c>
      <c r="T44" s="607" t="e">
        <f t="shared" ca="1" si="14"/>
        <v>#N/A</v>
      </c>
      <c r="U44" s="640"/>
      <c r="V44" s="605" t="str">
        <f t="shared" ca="1" si="15"/>
        <v>BHDZrínyigyöngye</v>
      </c>
      <c r="W44" s="605">
        <f t="shared" ca="1" si="16"/>
        <v>42298</v>
      </c>
      <c r="X44" s="606">
        <f t="shared" ca="1" si="17"/>
        <v>23</v>
      </c>
      <c r="Y44" s="605">
        <f t="shared" ca="1" si="18"/>
        <v>4</v>
      </c>
      <c r="Z44" s="607">
        <f t="shared" ca="1" si="19"/>
        <v>3</v>
      </c>
      <c r="AA44" s="622" t="str">
        <f ca="1">IF(X44="","",IF($F$41=1,IF(Z44&lt;&gt;"",CONCATENATE(Y44,"–",Z44),W44),IF($F$41=2,CONCATENATE(X44,"."),W44)))</f>
        <v>4–3</v>
      </c>
      <c r="AB44" s="605" t="str">
        <f t="shared" ca="1" si="20"/>
        <v>BHDÉlelmesek</v>
      </c>
      <c r="AC44" s="605">
        <f t="shared" ca="1" si="21"/>
        <v>42326</v>
      </c>
      <c r="AD44" s="606">
        <f t="shared" ca="1" si="22"/>
        <v>27</v>
      </c>
      <c r="AE44" s="605">
        <f t="shared" ca="1" si="23"/>
        <v>4</v>
      </c>
      <c r="AF44" s="607">
        <f t="shared" ca="1" si="24"/>
        <v>4</v>
      </c>
      <c r="AG44" s="622" t="str">
        <f ca="1">IF(AD44="","",IF($F$41=1,IF(AF44&lt;&gt;"",CONCATENATE(AE44,"–",AF44),AC44),IF($F$41=2,CONCATENATE(AD44,"."),AC44)))</f>
        <v>4–4</v>
      </c>
      <c r="AH44" s="605" t="str">
        <f t="shared" ca="1" si="25"/>
        <v>BHDHercules-Ludovika</v>
      </c>
      <c r="AI44" s="605">
        <f t="shared" ca="1" si="26"/>
        <v>42305</v>
      </c>
      <c r="AJ44" s="606">
        <f t="shared" ca="1" si="27"/>
        <v>24</v>
      </c>
      <c r="AK44" s="605">
        <f t="shared" ca="1" si="28"/>
        <v>3</v>
      </c>
      <c r="AL44" s="607">
        <f t="shared" ca="1" si="29"/>
        <v>0</v>
      </c>
      <c r="AM44" s="622" t="str">
        <f ca="1">IF(AJ44="","",IF($F$41=1,IF(AL44&lt;&gt;"",CONCATENATE(AK44,"–",AL44),AI44),IF($F$41=2,CONCATENATE(AJ44,"."),AI44)))</f>
        <v>3–0</v>
      </c>
    </row>
    <row r="45" spans="2:39" ht="18" customHeight="1" x14ac:dyDescent="0.2">
      <c r="C45" s="620" t="str">
        <f ca="1">IF(RTAB!AW45=0,"–",RTAB!AW45)</f>
        <v>Zrínyigyöngye</v>
      </c>
      <c r="D45" s="602" t="str">
        <f t="shared" ca="1" si="0"/>
        <v>ZrínyigyöngyeBBK</v>
      </c>
      <c r="E45" s="602" t="str">
        <f t="shared" ca="1" si="1"/>
        <v/>
      </c>
      <c r="F45" s="603" t="str">
        <f t="shared" ca="1" si="2"/>
        <v/>
      </c>
      <c r="G45" s="602" t="e">
        <f t="shared" ca="1" si="3"/>
        <v>#N/A</v>
      </c>
      <c r="H45" s="595" t="e">
        <f t="shared" ca="1" si="4"/>
        <v>#N/A</v>
      </c>
      <c r="I45" s="622" t="str">
        <f ca="1">IF(F45="","",IF($F$41=1,IF(H45&lt;&gt;"",CONCATENATE(G45,"–",H45),E45),IF($F$41=2,CONCATENATE(F45,"."),E45)))</f>
        <v/>
      </c>
      <c r="J45" s="605" t="str">
        <f t="shared" ca="1" si="5"/>
        <v>ZrínyigyöngyeK&amp;H</v>
      </c>
      <c r="K45" s="605" t="str">
        <f t="shared" ca="1" si="6"/>
        <v/>
      </c>
      <c r="L45" s="606" t="str">
        <f t="shared" ca="1" si="7"/>
        <v/>
      </c>
      <c r="M45" s="605" t="e">
        <f t="shared" ca="1" si="8"/>
        <v>#N/A</v>
      </c>
      <c r="N45" s="607" t="e">
        <f t="shared" ca="1" si="9"/>
        <v>#N/A</v>
      </c>
      <c r="O45" s="622" t="str">
        <f ca="1">IF(L45="","",IF($F$41=1,IF(N45&lt;&gt;"",CONCATENATE(M45,"–",N45),K45),IF($F$41=2,CONCATENATE(L45,"."),K45)))</f>
        <v/>
      </c>
      <c r="P45" s="605" t="str">
        <f t="shared" ca="1" si="10"/>
        <v>ZrínyigyöngyeBHD</v>
      </c>
      <c r="Q45" s="605" t="str">
        <f t="shared" ca="1" si="11"/>
        <v/>
      </c>
      <c r="R45" s="606" t="str">
        <f t="shared" ca="1" si="12"/>
        <v/>
      </c>
      <c r="S45" s="605" t="e">
        <f t="shared" ca="1" si="13"/>
        <v>#N/A</v>
      </c>
      <c r="T45" s="607" t="e">
        <f t="shared" ca="1" si="14"/>
        <v>#N/A</v>
      </c>
      <c r="U45" s="622" t="str">
        <f ca="1">IF(R45="","",IF($F$41=1,IF(T45&lt;&gt;"",CONCATENATE(S45,"–",T45),Q45),IF($F$41=2,CONCATENATE(R45,"."),Q45)))</f>
        <v/>
      </c>
      <c r="V45" s="605" t="str">
        <f t="shared" ca="1" si="15"/>
        <v>ZrínyigyöngyeZrínyigyöngye</v>
      </c>
      <c r="W45" s="605" t="str">
        <f t="shared" ca="1" si="16"/>
        <v/>
      </c>
      <c r="X45" s="606" t="str">
        <f t="shared" ca="1" si="17"/>
        <v/>
      </c>
      <c r="Y45" s="605" t="e">
        <f t="shared" ca="1" si="18"/>
        <v>#N/A</v>
      </c>
      <c r="Z45" s="607" t="e">
        <f t="shared" ca="1" si="19"/>
        <v>#N/A</v>
      </c>
      <c r="AA45" s="640"/>
      <c r="AB45" s="605" t="str">
        <f t="shared" ca="1" si="20"/>
        <v>ZrínyigyöngyeÉlelmesek</v>
      </c>
      <c r="AC45" s="605">
        <f t="shared" ca="1" si="21"/>
        <v>42319</v>
      </c>
      <c r="AD45" s="606">
        <f t="shared" ca="1" si="22"/>
        <v>26</v>
      </c>
      <c r="AE45" s="605">
        <f t="shared" ca="1" si="23"/>
        <v>3</v>
      </c>
      <c r="AF45" s="607">
        <f t="shared" ca="1" si="24"/>
        <v>2</v>
      </c>
      <c r="AG45" s="622" t="str">
        <f ca="1">IF(AD45="","",IF($F$41=1,IF(AF45&lt;&gt;"",CONCATENATE(AE45,"–",AF45),AC45),IF($F$41=2,CONCATENATE(AD45,"."),AC45)))</f>
        <v>3–2</v>
      </c>
      <c r="AH45" s="605" t="str">
        <f t="shared" ca="1" si="25"/>
        <v>ZrínyigyöngyeHercules-Ludovika</v>
      </c>
      <c r="AI45" s="605">
        <f t="shared" ca="1" si="26"/>
        <v>42326</v>
      </c>
      <c r="AJ45" s="606">
        <f t="shared" ca="1" si="27"/>
        <v>27</v>
      </c>
      <c r="AK45" s="605">
        <f t="shared" ca="1" si="28"/>
        <v>0</v>
      </c>
      <c r="AL45" s="607">
        <f t="shared" ca="1" si="29"/>
        <v>2</v>
      </c>
      <c r="AM45" s="622" t="str">
        <f ca="1">IF(AJ45="","",IF($F$41=1,IF(AL45&lt;&gt;"",CONCATENATE(AK45,"–",AL45),AI45),IF($F$41=2,CONCATENATE(AJ45,"."),AI45)))</f>
        <v>0–2</v>
      </c>
    </row>
    <row r="46" spans="2:39" ht="18" customHeight="1" x14ac:dyDescent="0.2">
      <c r="C46" s="620" t="str">
        <f ca="1">IF(RTAB!AW46=0,"–",RTAB!AW46)</f>
        <v>Élelmesek</v>
      </c>
      <c r="D46" s="602" t="str">
        <f t="shared" ca="1" si="0"/>
        <v>ÉlelmesekBBK</v>
      </c>
      <c r="E46" s="602" t="str">
        <f t="shared" ca="1" si="1"/>
        <v/>
      </c>
      <c r="F46" s="603" t="str">
        <f t="shared" ca="1" si="2"/>
        <v/>
      </c>
      <c r="G46" s="602" t="e">
        <f t="shared" ca="1" si="3"/>
        <v>#N/A</v>
      </c>
      <c r="H46" s="595" t="e">
        <f t="shared" ca="1" si="4"/>
        <v>#N/A</v>
      </c>
      <c r="I46" s="622" t="str">
        <f ca="1">IF(F46="","",IF($F$41=1,IF(H46&lt;&gt;"",CONCATENATE(G46,"–",H46),E46),IF($F$41=2,CONCATENATE(F46,"."),E46)))</f>
        <v/>
      </c>
      <c r="J46" s="605" t="str">
        <f t="shared" ca="1" si="5"/>
        <v>ÉlelmesekK&amp;H</v>
      </c>
      <c r="K46" s="605" t="str">
        <f t="shared" ca="1" si="6"/>
        <v/>
      </c>
      <c r="L46" s="606" t="str">
        <f t="shared" ca="1" si="7"/>
        <v/>
      </c>
      <c r="M46" s="605" t="e">
        <f t="shared" ca="1" si="8"/>
        <v>#N/A</v>
      </c>
      <c r="N46" s="607" t="e">
        <f t="shared" ca="1" si="9"/>
        <v>#N/A</v>
      </c>
      <c r="O46" s="622" t="str">
        <f ca="1">IF(L46="","",IF($F$41=1,IF(N46&lt;&gt;"",CONCATENATE(M46,"–",N46),K46),IF($F$41=2,CONCATENATE(L46,"."),K46)))</f>
        <v/>
      </c>
      <c r="P46" s="605" t="str">
        <f t="shared" ca="1" si="10"/>
        <v>ÉlelmesekBHD</v>
      </c>
      <c r="Q46" s="605" t="str">
        <f t="shared" ca="1" si="11"/>
        <v/>
      </c>
      <c r="R46" s="606" t="str">
        <f t="shared" ca="1" si="12"/>
        <v/>
      </c>
      <c r="S46" s="605" t="e">
        <f t="shared" ca="1" si="13"/>
        <v>#N/A</v>
      </c>
      <c r="T46" s="607" t="e">
        <f t="shared" ca="1" si="14"/>
        <v>#N/A</v>
      </c>
      <c r="U46" s="622" t="str">
        <f ca="1">IF(R46="","",IF($F$41=1,IF(T46&lt;&gt;"",CONCATENATE(S46,"–",T46),Q46),IF($F$41=2,CONCATENATE(R46,"."),Q46)))</f>
        <v/>
      </c>
      <c r="V46" s="605" t="str">
        <f t="shared" ca="1" si="15"/>
        <v>ÉlelmesekZrínyigyöngye</v>
      </c>
      <c r="W46" s="605" t="str">
        <f t="shared" ca="1" si="16"/>
        <v/>
      </c>
      <c r="X46" s="606" t="str">
        <f t="shared" ca="1" si="17"/>
        <v/>
      </c>
      <c r="Y46" s="605" t="e">
        <f t="shared" ca="1" si="18"/>
        <v>#N/A</v>
      </c>
      <c r="Z46" s="607" t="e">
        <f t="shared" ca="1" si="19"/>
        <v>#N/A</v>
      </c>
      <c r="AA46" s="622" t="str">
        <f ca="1">IF(X46="","",IF($F$41=1,IF(Z46&lt;&gt;"",CONCATENATE(Y46,"–",Z46),W46),IF($F$41=2,CONCATENATE(X46,"."),W46)))</f>
        <v/>
      </c>
      <c r="AB46" s="605" t="str">
        <f t="shared" ca="1" si="20"/>
        <v>ÉlelmesekÉlelmesek</v>
      </c>
      <c r="AC46" s="605" t="str">
        <f t="shared" ca="1" si="21"/>
        <v/>
      </c>
      <c r="AD46" s="606" t="str">
        <f t="shared" ca="1" si="22"/>
        <v/>
      </c>
      <c r="AE46" s="605" t="e">
        <f t="shared" ca="1" si="23"/>
        <v>#N/A</v>
      </c>
      <c r="AF46" s="607" t="e">
        <f t="shared" ca="1" si="24"/>
        <v>#N/A</v>
      </c>
      <c r="AG46" s="640"/>
      <c r="AH46" s="605" t="str">
        <f t="shared" ca="1" si="25"/>
        <v>ÉlelmesekHercules-Ludovika</v>
      </c>
      <c r="AI46" s="605">
        <f t="shared" ca="1" si="26"/>
        <v>42312</v>
      </c>
      <c r="AJ46" s="606">
        <f t="shared" ca="1" si="27"/>
        <v>25</v>
      </c>
      <c r="AK46" s="605">
        <f t="shared" ca="1" si="28"/>
        <v>3</v>
      </c>
      <c r="AL46" s="607">
        <f t="shared" ca="1" si="29"/>
        <v>7</v>
      </c>
      <c r="AM46" s="622" t="str">
        <f ca="1">IF(AJ46="","",IF($F$41=1,IF(AL46&lt;&gt;"",CONCATENATE(AK46,"–",AL46),AI46),IF($F$41=2,CONCATENATE(AJ46,"."),AI46)))</f>
        <v>3–7</v>
      </c>
    </row>
    <row r="47" spans="2:39" ht="18" customHeight="1" x14ac:dyDescent="0.2">
      <c r="C47" s="621" t="str">
        <f ca="1">IF(RTAB!AW47=0,"–",RTAB!AW47)</f>
        <v>Hercules-Ludovika</v>
      </c>
      <c r="D47" s="602" t="str">
        <f t="shared" ca="1" si="0"/>
        <v>Hercules-LudovikaBBK</v>
      </c>
      <c r="E47" s="602" t="str">
        <f t="shared" ca="1" si="1"/>
        <v/>
      </c>
      <c r="F47" s="603" t="str">
        <f t="shared" ca="1" si="2"/>
        <v/>
      </c>
      <c r="G47" s="602" t="e">
        <f t="shared" ca="1" si="3"/>
        <v>#N/A</v>
      </c>
      <c r="H47" s="595" t="e">
        <f t="shared" ca="1" si="4"/>
        <v>#N/A</v>
      </c>
      <c r="I47" s="622" t="str">
        <f ca="1">IF(F47="","",IF($F$41=1,IF(H47&lt;&gt;"",CONCATENATE(G47,"–",H47),E47),IF($F$41=2,CONCATENATE(F47,"."),E47)))</f>
        <v/>
      </c>
      <c r="J47" s="605" t="str">
        <f t="shared" ca="1" si="5"/>
        <v>Hercules-LudovikaK&amp;H</v>
      </c>
      <c r="K47" s="605" t="str">
        <f t="shared" ca="1" si="6"/>
        <v/>
      </c>
      <c r="L47" s="606" t="str">
        <f t="shared" ca="1" si="7"/>
        <v/>
      </c>
      <c r="M47" s="605" t="e">
        <f t="shared" ca="1" si="8"/>
        <v>#N/A</v>
      </c>
      <c r="N47" s="607" t="e">
        <f t="shared" ca="1" si="9"/>
        <v>#N/A</v>
      </c>
      <c r="O47" s="622" t="str">
        <f ca="1">IF(L47="","",IF($F$41=1,IF(N47&lt;&gt;"",CONCATENATE(M47,"–",N47),K47),IF($F$41=2,CONCATENATE(L47,"."),K47)))</f>
        <v/>
      </c>
      <c r="P47" s="605" t="str">
        <f t="shared" ca="1" si="10"/>
        <v>Hercules-LudovikaBHD</v>
      </c>
      <c r="Q47" s="605" t="str">
        <f t="shared" ca="1" si="11"/>
        <v/>
      </c>
      <c r="R47" s="606" t="str">
        <f t="shared" ca="1" si="12"/>
        <v/>
      </c>
      <c r="S47" s="605" t="e">
        <f t="shared" ca="1" si="13"/>
        <v>#N/A</v>
      </c>
      <c r="T47" s="607" t="e">
        <f t="shared" ca="1" si="14"/>
        <v>#N/A</v>
      </c>
      <c r="U47" s="622" t="str">
        <f ca="1">IF(R47="","",IF($F$41=1,IF(T47&lt;&gt;"",CONCATENATE(S47,"–",T47),Q47),IF($F$41=2,CONCATENATE(R47,"."),Q47)))</f>
        <v/>
      </c>
      <c r="V47" s="605" t="str">
        <f t="shared" ca="1" si="15"/>
        <v>Hercules-LudovikaZrínyigyöngye</v>
      </c>
      <c r="W47" s="605" t="str">
        <f t="shared" ca="1" si="16"/>
        <v/>
      </c>
      <c r="X47" s="606" t="str">
        <f t="shared" ca="1" si="17"/>
        <v/>
      </c>
      <c r="Y47" s="605" t="e">
        <f t="shared" ca="1" si="18"/>
        <v>#N/A</v>
      </c>
      <c r="Z47" s="607" t="e">
        <f t="shared" ca="1" si="19"/>
        <v>#N/A</v>
      </c>
      <c r="AA47" s="622" t="str">
        <f ca="1">IF(X47="","",IF($F$41=1,IF(Z47&lt;&gt;"",CONCATENATE(Y47,"–",Z47),W47),IF($F$41=2,CONCATENATE(X47,"."),W47)))</f>
        <v/>
      </c>
      <c r="AB47" s="605" t="str">
        <f t="shared" ca="1" si="20"/>
        <v>Hercules-LudovikaÉlelmesek</v>
      </c>
      <c r="AC47" s="605" t="str">
        <f t="shared" ca="1" si="21"/>
        <v/>
      </c>
      <c r="AD47" s="606" t="str">
        <f t="shared" ca="1" si="22"/>
        <v/>
      </c>
      <c r="AE47" s="605" t="e">
        <f t="shared" ca="1" si="23"/>
        <v>#N/A</v>
      </c>
      <c r="AF47" s="607" t="e">
        <f t="shared" ca="1" si="24"/>
        <v>#N/A</v>
      </c>
      <c r="AG47" s="622" t="str">
        <f ca="1">IF(AD47="","",IF($F$41=1,IF(AF47&lt;&gt;"",CONCATENATE(AE47,"–",AF47),AC47),IF($F$41=2,CONCATENATE(AD47,"."),AC47)))</f>
        <v/>
      </c>
      <c r="AH47" s="605" t="str">
        <f t="shared" ca="1" si="25"/>
        <v>Hercules-LudovikaHercules-Ludovika</v>
      </c>
      <c r="AI47" s="605" t="str">
        <f t="shared" ca="1" si="26"/>
        <v/>
      </c>
      <c r="AJ47" s="606" t="str">
        <f t="shared" ca="1" si="27"/>
        <v/>
      </c>
      <c r="AK47" s="605" t="e">
        <f t="shared" ca="1" si="28"/>
        <v>#N/A</v>
      </c>
      <c r="AL47" s="607" t="e">
        <f t="shared" ca="1" si="29"/>
        <v>#N/A</v>
      </c>
      <c r="AM47" s="640"/>
    </row>
    <row r="48" spans="2:39" ht="9" customHeight="1" x14ac:dyDescent="0.15">
      <c r="D48" s="593"/>
      <c r="E48" s="593"/>
      <c r="F48" s="593"/>
      <c r="G48" s="593"/>
      <c r="H48" s="593"/>
      <c r="J48" s="593"/>
      <c r="K48" s="593"/>
      <c r="L48" s="593"/>
      <c r="M48" s="593"/>
      <c r="N48" s="593"/>
      <c r="P48" s="593"/>
      <c r="Q48" s="593"/>
      <c r="R48" s="593"/>
      <c r="S48" s="593"/>
      <c r="T48" s="593"/>
      <c r="V48" s="593"/>
      <c r="W48" s="593"/>
      <c r="X48" s="593"/>
      <c r="Y48" s="593"/>
      <c r="Z48" s="593"/>
      <c r="AB48" s="593"/>
      <c r="AC48" s="593"/>
      <c r="AD48" s="593"/>
      <c r="AE48" s="593"/>
      <c r="AF48" s="593"/>
      <c r="AH48" s="593"/>
      <c r="AI48" s="593"/>
      <c r="AJ48" s="593"/>
      <c r="AK48" s="593"/>
      <c r="AL48" s="593"/>
    </row>
    <row r="49" spans="3:39" ht="9" customHeight="1" x14ac:dyDescent="0.15">
      <c r="D49" s="593"/>
      <c r="E49" s="593"/>
      <c r="F49" s="593"/>
      <c r="G49" s="593"/>
      <c r="H49" s="593"/>
      <c r="J49" s="593"/>
      <c r="K49" s="593"/>
      <c r="L49" s="593"/>
      <c r="M49" s="593"/>
      <c r="N49" s="593"/>
      <c r="P49" s="593"/>
      <c r="Q49" s="593"/>
      <c r="R49" s="593"/>
      <c r="S49" s="593"/>
      <c r="T49" s="593"/>
      <c r="V49" s="593"/>
      <c r="W49" s="593"/>
      <c r="X49" s="593"/>
      <c r="Y49" s="593"/>
      <c r="Z49" s="593"/>
      <c r="AB49" s="593"/>
      <c r="AC49" s="593"/>
      <c r="AD49" s="593"/>
      <c r="AE49" s="593"/>
      <c r="AF49" s="593"/>
      <c r="AH49" s="593"/>
      <c r="AI49" s="593"/>
      <c r="AJ49" s="593"/>
      <c r="AK49" s="593"/>
      <c r="AL49" s="593"/>
    </row>
    <row r="50" spans="3:39" ht="68.25" customHeight="1" x14ac:dyDescent="0.15">
      <c r="C50" s="630" t="s">
        <v>510</v>
      </c>
      <c r="D50" s="595"/>
      <c r="E50" s="632"/>
      <c r="F50" s="633"/>
      <c r="G50" s="632"/>
      <c r="H50" s="598"/>
      <c r="I50" s="599" t="str">
        <f ca="1">C51</f>
        <v>Bakafogó-Honvéd-Sashegy SE</v>
      </c>
      <c r="J50" s="595"/>
      <c r="K50" s="632"/>
      <c r="L50" s="633"/>
      <c r="M50" s="632"/>
      <c r="N50" s="598"/>
      <c r="O50" s="599" t="str">
        <f ca="1">C52</f>
        <v>Vakana</v>
      </c>
      <c r="P50" s="595"/>
      <c r="Q50" s="632"/>
      <c r="R50" s="633"/>
      <c r="S50" s="632"/>
      <c r="T50" s="598"/>
      <c r="U50" s="599" t="str">
        <f ca="1">C53</f>
        <v>Carbonász</v>
      </c>
      <c r="V50" s="595"/>
      <c r="W50" s="632"/>
      <c r="X50" s="633"/>
      <c r="Y50" s="632"/>
      <c r="Z50" s="598"/>
      <c r="AA50" s="599" t="str">
        <f ca="1">C54</f>
        <v>Bőrdíszmű</v>
      </c>
      <c r="AB50" s="595"/>
      <c r="AC50" s="632"/>
      <c r="AD50" s="633"/>
      <c r="AE50" s="632"/>
      <c r="AF50" s="598"/>
      <c r="AG50" s="600" t="str">
        <f ca="1">C55</f>
        <v>Royal Guard's</v>
      </c>
      <c r="AH50" s="592"/>
      <c r="AI50" s="592"/>
      <c r="AJ50" s="592"/>
      <c r="AK50" s="592"/>
      <c r="AL50" s="592"/>
      <c r="AM50" s="592"/>
    </row>
    <row r="51" spans="3:39" ht="18" customHeight="1" x14ac:dyDescent="0.2">
      <c r="C51" s="619" t="str">
        <f ca="1">IF(RTAB!AW66=0,"–",RTAB!AW66)</f>
        <v>Bakafogó-Honvéd-Sashegy SE</v>
      </c>
      <c r="D51" s="602" t="str">
        <f ca="1">CONCATENATE($C51,I$50)</f>
        <v>Bakafogó-Honvéd-Sashegy SEBakafogó-Honvéd-Sashegy SE</v>
      </c>
      <c r="E51" s="602" t="str">
        <f ca="1">IF(ISNA(VLOOKUP(D51,games.r,15,FALSE)),"",VLOOKUP(D51,games.r,15,FALSE))</f>
        <v/>
      </c>
      <c r="F51" s="603" t="str">
        <f ca="1">IF(ISNA(VLOOKUP(D51,games.r,3,FALSE)),"",VLOOKUP(D51,games.r,3,FALSE))</f>
        <v/>
      </c>
      <c r="G51" s="602" t="e">
        <f ca="1">IF(VLOOKUP(D51,games.r,2,FALSE),VLOOKUP(D51,games.r,6,FALSE),"")</f>
        <v>#N/A</v>
      </c>
      <c r="H51" s="595" t="e">
        <f ca="1">IF(VLOOKUP(D51,games.r,2,FALSE),VLOOKUP(D51,games.r,7,FALSE),"")</f>
        <v>#N/A</v>
      </c>
      <c r="I51" s="640"/>
      <c r="J51" s="605" t="str">
        <f ca="1">CONCATENATE($C51,O$50)</f>
        <v>Bakafogó-Honvéd-Sashegy SEVakana</v>
      </c>
      <c r="K51" s="605">
        <f ca="1">IF(ISNA(VLOOKUP(J51,games.r,15,FALSE)),"",VLOOKUP(J51,games.r,15,FALSE))</f>
        <v>42326</v>
      </c>
      <c r="L51" s="606">
        <f ca="1">IF(ISNA(VLOOKUP(J51,games.r,3,FALSE)),"",VLOOKUP(J51,games.r,3,FALSE))</f>
        <v>27</v>
      </c>
      <c r="M51" s="605">
        <f ca="1">IF(VLOOKUP(J51,games.r,2,FALSE),VLOOKUP(J51,games.r,6,FALSE),"")</f>
        <v>1</v>
      </c>
      <c r="N51" s="607">
        <f ca="1">IF(VLOOKUP(J51,games.r,2,FALSE),VLOOKUP(J51,games.r,7,FALSE),"")</f>
        <v>3</v>
      </c>
      <c r="O51" s="622" t="str">
        <f ca="1">IF(L51="","",IF($F$41=1,IF(N51&lt;&gt;"",CONCATENATE(M51,"–",N51),K51),IF($F$41=2,CONCATENATE(L51,"."),K51)))</f>
        <v>1–3</v>
      </c>
      <c r="P51" s="605" t="str">
        <f ca="1">CONCATENATE($C51,U$50)</f>
        <v>Bakafogó-Honvéd-Sashegy SECarbonász</v>
      </c>
      <c r="Q51" s="605">
        <f ca="1">IF(ISNA(VLOOKUP(P51,games.r,15,FALSE)),"",VLOOKUP(P51,games.r,15,FALSE))</f>
        <v>42319</v>
      </c>
      <c r="R51" s="606">
        <f ca="1">IF(ISNA(VLOOKUP(P51,games.r,3,FALSE)),"",VLOOKUP(P51,games.r,3,FALSE))</f>
        <v>26</v>
      </c>
      <c r="S51" s="605">
        <f ca="1">IF(VLOOKUP(P51,games.r,2,FALSE),VLOOKUP(P51,games.r,6,FALSE),"")</f>
        <v>1</v>
      </c>
      <c r="T51" s="607">
        <f ca="1">IF(VLOOKUP(P51,games.r,2,FALSE),VLOOKUP(P51,games.r,7,FALSE),"")</f>
        <v>1</v>
      </c>
      <c r="U51" s="622" t="str">
        <f ca="1">IF(R51="","",IF($F$41=1,IF(T51&lt;&gt;"",CONCATENATE(S51,"–",T51),Q51),IF($F$41=2,CONCATENATE(R51,"."),Q51)))</f>
        <v>1–1</v>
      </c>
      <c r="V51" s="605" t="str">
        <f ca="1">CONCATENATE($C51,AA$50)</f>
        <v>Bakafogó-Honvéd-Sashegy SEBőrdíszmű</v>
      </c>
      <c r="W51" s="605">
        <f ca="1">IF(ISNA(VLOOKUP(V51,games.r,15,FALSE)),"",VLOOKUP(V51,games.r,15,FALSE))</f>
        <v>42312</v>
      </c>
      <c r="X51" s="606">
        <f ca="1">IF(ISNA(VLOOKUP(V51,games.r,3,FALSE)),"",VLOOKUP(V51,games.r,3,FALSE))</f>
        <v>25</v>
      </c>
      <c r="Y51" s="605">
        <f ca="1">IF(VLOOKUP(V51,games.r,2,FALSE),VLOOKUP(V51,games.r,6,FALSE),"")</f>
        <v>9</v>
      </c>
      <c r="Z51" s="607">
        <f ca="1">IF(VLOOKUP(V51,games.r,2,FALSE),VLOOKUP(V51,games.r,7,FALSE),"")</f>
        <v>2</v>
      </c>
      <c r="AA51" s="622" t="str">
        <f ca="1">IF(X51="","",IF($F$41=1,IF(Z51&lt;&gt;"",CONCATENATE(Y51,"–",Z51),W51),IF($F$41=2,CONCATENATE(X51,"."),W51)))</f>
        <v>9–2</v>
      </c>
      <c r="AB51" s="605" t="str">
        <f ca="1">CONCATENATE($C51,AG$50)</f>
        <v>Bakafogó-Honvéd-Sashegy SERoyal Guard's</v>
      </c>
      <c r="AC51" s="605">
        <f ca="1">IF(ISNA(VLOOKUP(AB51,games.r,15,FALSE)),"",VLOOKUP(AB51,games.r,15,FALSE))</f>
        <v>42305</v>
      </c>
      <c r="AD51" s="606">
        <f ca="1">IF(ISNA(VLOOKUP(AB51,games.r,3,FALSE)),"",VLOOKUP(AB51,games.r,3,FALSE))</f>
        <v>24</v>
      </c>
      <c r="AE51" s="605">
        <f ca="1">IF(VLOOKUP(AB51,games.r,2,FALSE),VLOOKUP(AB51,games.r,6,FALSE),"")</f>
        <v>2</v>
      </c>
      <c r="AF51" s="607">
        <f ca="1">IF(VLOOKUP(AB51,games.r,2,FALSE),VLOOKUP(AB51,games.r,7,FALSE),"")</f>
        <v>2</v>
      </c>
      <c r="AG51" s="622" t="str">
        <f ca="1">IF(AD51="","",IF($F$41=1,IF(AF51&lt;&gt;"",CONCATENATE(AE51,"–",AF51),AC51),IF($F$41=2,CONCATENATE(AD51,"."),AC51)))</f>
        <v>2–2</v>
      </c>
      <c r="AH51" s="592"/>
      <c r="AI51" s="592"/>
      <c r="AJ51" s="592"/>
      <c r="AK51" s="592"/>
      <c r="AL51" s="592"/>
      <c r="AM51" s="592"/>
    </row>
    <row r="52" spans="3:39" ht="18" customHeight="1" x14ac:dyDescent="0.2">
      <c r="C52" s="620" t="str">
        <f ca="1">IF(RTAB!AW67=0,"–",RTAB!AW67)</f>
        <v>Vakana</v>
      </c>
      <c r="D52" s="602" t="str">
        <f ca="1">CONCATENATE($C52,I$50)</f>
        <v>VakanaBakafogó-Honvéd-Sashegy SE</v>
      </c>
      <c r="E52" s="602" t="str">
        <f ca="1">IF(ISNA(VLOOKUP(D52,games.r,15,FALSE)),"",VLOOKUP(D52,games.r,15,FALSE))</f>
        <v/>
      </c>
      <c r="F52" s="603" t="str">
        <f ca="1">IF(ISNA(VLOOKUP(D52,games.r,3,FALSE)),"",VLOOKUP(D52,games.r,3,FALSE))</f>
        <v/>
      </c>
      <c r="G52" s="602" t="e">
        <f ca="1">IF(VLOOKUP(D52,games.r,2,FALSE),VLOOKUP(D52,games.r,6,FALSE),"")</f>
        <v>#N/A</v>
      </c>
      <c r="H52" s="595" t="e">
        <f ca="1">IF(VLOOKUP(D52,games.r,2,FALSE),VLOOKUP(D52,games.r,7,FALSE),"")</f>
        <v>#N/A</v>
      </c>
      <c r="I52" s="622" t="str">
        <f ca="1">IF(F52="","",IF($F$41=1,IF(H52&lt;&gt;"",CONCATENATE(G52,"–",H52),E52),IF($F$41=2,CONCATENATE(F52,"."),E52)))</f>
        <v/>
      </c>
      <c r="J52" s="605" t="str">
        <f ca="1">CONCATENATE($C52,O$50)</f>
        <v>VakanaVakana</v>
      </c>
      <c r="K52" s="605" t="str">
        <f ca="1">IF(ISNA(VLOOKUP(J52,games.r,15,FALSE)),"",VLOOKUP(J52,games.r,15,FALSE))</f>
        <v/>
      </c>
      <c r="L52" s="606" t="str">
        <f ca="1">IF(ISNA(VLOOKUP(J52,games.r,3,FALSE)),"",VLOOKUP(J52,games.r,3,FALSE))</f>
        <v/>
      </c>
      <c r="M52" s="605" t="e">
        <f ca="1">IF(VLOOKUP(J52,games.r,2,FALSE),VLOOKUP(J52,games.r,6,FALSE),"")</f>
        <v>#N/A</v>
      </c>
      <c r="N52" s="607" t="e">
        <f ca="1">IF(VLOOKUP(J52,games.r,2,FALSE),VLOOKUP(J52,games.r,7,FALSE),"")</f>
        <v>#N/A</v>
      </c>
      <c r="O52" s="640"/>
      <c r="P52" s="605" t="str">
        <f ca="1">CONCATENATE($C52,U$50)</f>
        <v>VakanaCarbonász</v>
      </c>
      <c r="Q52" s="605">
        <f ca="1">IF(ISNA(VLOOKUP(P52,games.r,15,FALSE)),"",VLOOKUP(P52,games.r,15,FALSE))</f>
        <v>42312</v>
      </c>
      <c r="R52" s="606">
        <f ca="1">IF(ISNA(VLOOKUP(P52,games.r,3,FALSE)),"",VLOOKUP(P52,games.r,3,FALSE))</f>
        <v>25</v>
      </c>
      <c r="S52" s="605">
        <f ca="1">IF(VLOOKUP(P52,games.r,2,FALSE),VLOOKUP(P52,games.r,6,FALSE),"")</f>
        <v>5</v>
      </c>
      <c r="T52" s="607">
        <f ca="1">IF(VLOOKUP(P52,games.r,2,FALSE),VLOOKUP(P52,games.r,7,FALSE),"")</f>
        <v>2</v>
      </c>
      <c r="U52" s="622" t="str">
        <f ca="1">IF(R52="","",IF($F$41=1,IF(T52&lt;&gt;"",CONCATENATE(S52,"–",T52),Q52),IF($F$41=2,CONCATENATE(R52,"."),Q52)))</f>
        <v>5–2</v>
      </c>
      <c r="V52" s="605" t="str">
        <f ca="1">CONCATENATE($C52,AA$50)</f>
        <v>VakanaBőrdíszmű</v>
      </c>
      <c r="W52" s="605">
        <f ca="1">IF(ISNA(VLOOKUP(V52,games.r,15,FALSE)),"",VLOOKUP(V52,games.r,15,FALSE))</f>
        <v>42305</v>
      </c>
      <c r="X52" s="606">
        <f ca="1">IF(ISNA(VLOOKUP(V52,games.r,3,FALSE)),"",VLOOKUP(V52,games.r,3,FALSE))</f>
        <v>24</v>
      </c>
      <c r="Y52" s="605">
        <f ca="1">IF(VLOOKUP(V52,games.r,2,FALSE),VLOOKUP(V52,games.r,6,FALSE),"")</f>
        <v>3</v>
      </c>
      <c r="Z52" s="607">
        <f ca="1">IF(VLOOKUP(V52,games.r,2,FALSE),VLOOKUP(V52,games.r,7,FALSE),"")</f>
        <v>1</v>
      </c>
      <c r="AA52" s="622" t="str">
        <f ca="1">IF(X52="","",IF($F$41=1,IF(Z52&lt;&gt;"",CONCATENATE(Y52,"–",Z52),W52),IF($F$41=2,CONCATENATE(X52,"."),W52)))</f>
        <v>3–1</v>
      </c>
      <c r="AB52" s="605" t="str">
        <f ca="1">CONCATENATE($C52,AG$50)</f>
        <v>VakanaRoyal Guard's</v>
      </c>
      <c r="AC52" s="605">
        <f ca="1">IF(ISNA(VLOOKUP(AB52,games.r,15,FALSE)),"",VLOOKUP(AB52,games.r,15,FALSE))</f>
        <v>42298</v>
      </c>
      <c r="AD52" s="606">
        <f ca="1">IF(ISNA(VLOOKUP(AB52,games.r,3,FALSE)),"",VLOOKUP(AB52,games.r,3,FALSE))</f>
        <v>23</v>
      </c>
      <c r="AE52" s="605">
        <f ca="1">IF(VLOOKUP(AB52,games.r,2,FALSE),VLOOKUP(AB52,games.r,6,FALSE),"")</f>
        <v>2</v>
      </c>
      <c r="AF52" s="607">
        <f ca="1">IF(VLOOKUP(AB52,games.r,2,FALSE),VLOOKUP(AB52,games.r,7,FALSE),"")</f>
        <v>2</v>
      </c>
      <c r="AG52" s="622" t="str">
        <f ca="1">IF(AD52="","",IF($F$41=1,IF(AF52&lt;&gt;"",CONCATENATE(AE52,"–",AF52),AC52),IF($F$41=2,CONCATENATE(AD52,"."),AC52)))</f>
        <v>2–2</v>
      </c>
      <c r="AH52" s="592"/>
      <c r="AI52" s="592"/>
      <c r="AJ52" s="592"/>
      <c r="AK52" s="592"/>
      <c r="AL52" s="592"/>
      <c r="AM52" s="592"/>
    </row>
    <row r="53" spans="3:39" ht="18" customHeight="1" x14ac:dyDescent="0.2">
      <c r="C53" s="620" t="str">
        <f ca="1">IF(RTAB!AW68=0,"–",RTAB!AW68)</f>
        <v>Carbonász</v>
      </c>
      <c r="D53" s="602" t="str">
        <f ca="1">CONCATENATE($C53,I$50)</f>
        <v>CarbonászBakafogó-Honvéd-Sashegy SE</v>
      </c>
      <c r="E53" s="602" t="str">
        <f ca="1">IF(ISNA(VLOOKUP(D53,games.r,15,FALSE)),"",VLOOKUP(D53,games.r,15,FALSE))</f>
        <v/>
      </c>
      <c r="F53" s="603" t="str">
        <f ca="1">IF(ISNA(VLOOKUP(D53,games.r,3,FALSE)),"",VLOOKUP(D53,games.r,3,FALSE))</f>
        <v/>
      </c>
      <c r="G53" s="602" t="e">
        <f ca="1">IF(VLOOKUP(D53,games.r,2,FALSE),VLOOKUP(D53,games.r,6,FALSE),"")</f>
        <v>#N/A</v>
      </c>
      <c r="H53" s="595" t="e">
        <f ca="1">IF(VLOOKUP(D53,games.r,2,FALSE),VLOOKUP(D53,games.r,7,FALSE),"")</f>
        <v>#N/A</v>
      </c>
      <c r="I53" s="622" t="str">
        <f ca="1">IF(F53="","",IF($F$41=1,IF(H53&lt;&gt;"",CONCATENATE(G53,"–",H53),E53),IF($F$41=2,CONCATENATE(F53,"."),E53)))</f>
        <v/>
      </c>
      <c r="J53" s="605" t="str">
        <f ca="1">CONCATENATE($C53,O$50)</f>
        <v>CarbonászVakana</v>
      </c>
      <c r="K53" s="605" t="str">
        <f ca="1">IF(ISNA(VLOOKUP(J53,games.r,15,FALSE)),"",VLOOKUP(J53,games.r,15,FALSE))</f>
        <v/>
      </c>
      <c r="L53" s="606" t="str">
        <f ca="1">IF(ISNA(VLOOKUP(J53,games.r,3,FALSE)),"",VLOOKUP(J53,games.r,3,FALSE))</f>
        <v/>
      </c>
      <c r="M53" s="605" t="e">
        <f ca="1">IF(VLOOKUP(J53,games.r,2,FALSE),VLOOKUP(J53,games.r,6,FALSE),"")</f>
        <v>#N/A</v>
      </c>
      <c r="N53" s="607" t="e">
        <f ca="1">IF(VLOOKUP(J53,games.r,2,FALSE),VLOOKUP(J53,games.r,7,FALSE),"")</f>
        <v>#N/A</v>
      </c>
      <c r="O53" s="622" t="str">
        <f ca="1">IF(L53="","",IF($F$41=1,IF(N53&lt;&gt;"",CONCATENATE(M53,"–",N53),K53),IF($F$41=2,CONCATENATE(L53,"."),K53)))</f>
        <v/>
      </c>
      <c r="P53" s="605" t="str">
        <f ca="1">CONCATENATE($C53,U$50)</f>
        <v>CarbonászCarbonász</v>
      </c>
      <c r="Q53" s="605" t="str">
        <f ca="1">IF(ISNA(VLOOKUP(P53,games.r,15,FALSE)),"",VLOOKUP(P53,games.r,15,FALSE))</f>
        <v/>
      </c>
      <c r="R53" s="606" t="str">
        <f ca="1">IF(ISNA(VLOOKUP(P53,games.r,3,FALSE)),"",VLOOKUP(P53,games.r,3,FALSE))</f>
        <v/>
      </c>
      <c r="S53" s="605" t="e">
        <f ca="1">IF(VLOOKUP(P53,games.r,2,FALSE),VLOOKUP(P53,games.r,6,FALSE),"")</f>
        <v>#N/A</v>
      </c>
      <c r="T53" s="607" t="e">
        <f ca="1">IF(VLOOKUP(P53,games.r,2,FALSE),VLOOKUP(P53,games.r,7,FALSE),"")</f>
        <v>#N/A</v>
      </c>
      <c r="U53" s="640"/>
      <c r="V53" s="605" t="str">
        <f ca="1">CONCATENATE($C53,AA$50)</f>
        <v>CarbonászBőrdíszmű</v>
      </c>
      <c r="W53" s="605">
        <f ca="1">IF(ISNA(VLOOKUP(V53,games.r,15,FALSE)),"",VLOOKUP(V53,games.r,15,FALSE))</f>
        <v>42298</v>
      </c>
      <c r="X53" s="606">
        <f ca="1">IF(ISNA(VLOOKUP(V53,games.r,3,FALSE)),"",VLOOKUP(V53,games.r,3,FALSE))</f>
        <v>23</v>
      </c>
      <c r="Y53" s="605">
        <f ca="1">IF(VLOOKUP(V53,games.r,2,FALSE),VLOOKUP(V53,games.r,6,FALSE),"")</f>
        <v>1</v>
      </c>
      <c r="Z53" s="607">
        <f ca="1">IF(VLOOKUP(V53,games.r,2,FALSE),VLOOKUP(V53,games.r,7,FALSE),"")</f>
        <v>4</v>
      </c>
      <c r="AA53" s="622" t="str">
        <f ca="1">IF(X53="","",IF($F$41=1,IF(Z53&lt;&gt;"",CONCATENATE(Y53,"–",Z53),W53),IF($F$41=2,CONCATENATE(X53,"."),W53)))</f>
        <v>1–4</v>
      </c>
      <c r="AB53" s="605" t="str">
        <f ca="1">CONCATENATE($C53,AG$50)</f>
        <v>CarbonászRoyal Guard's</v>
      </c>
      <c r="AC53" s="605">
        <f ca="1">IF(ISNA(VLOOKUP(AB53,games.r,15,FALSE)),"",VLOOKUP(AB53,games.r,15,FALSE))</f>
        <v>42326</v>
      </c>
      <c r="AD53" s="606">
        <f ca="1">IF(ISNA(VLOOKUP(AB53,games.r,3,FALSE)),"",VLOOKUP(AB53,games.r,3,FALSE))</f>
        <v>27</v>
      </c>
      <c r="AE53" s="605">
        <f ca="1">IF(VLOOKUP(AB53,games.r,2,FALSE),VLOOKUP(AB53,games.r,6,FALSE),"")</f>
        <v>2</v>
      </c>
      <c r="AF53" s="607">
        <f ca="1">IF(VLOOKUP(AB53,games.r,2,FALSE),VLOOKUP(AB53,games.r,7,FALSE),"")</f>
        <v>2</v>
      </c>
      <c r="AG53" s="622" t="str">
        <f ca="1">IF(AD53="","",IF($F$41=1,IF(AF53&lt;&gt;"",CONCATENATE(AE53,"–",AF53),AC53),IF($F$41=2,CONCATENATE(AD53,"."),AC53)))</f>
        <v>2–2</v>
      </c>
      <c r="AH53" s="592"/>
      <c r="AI53" s="592"/>
      <c r="AJ53" s="592"/>
      <c r="AK53" s="592"/>
      <c r="AL53" s="592"/>
      <c r="AM53" s="592"/>
    </row>
    <row r="54" spans="3:39" ht="18" customHeight="1" x14ac:dyDescent="0.2">
      <c r="C54" s="620" t="str">
        <f ca="1">IF(RTAB!AW69=0,"–",RTAB!AW69)</f>
        <v>Bőrdíszmű</v>
      </c>
      <c r="D54" s="602" t="str">
        <f ca="1">CONCATENATE($C54,I$50)</f>
        <v>BőrdíszműBakafogó-Honvéd-Sashegy SE</v>
      </c>
      <c r="E54" s="602" t="str">
        <f ca="1">IF(ISNA(VLOOKUP(D54,games.r,15,FALSE)),"",VLOOKUP(D54,games.r,15,FALSE))</f>
        <v/>
      </c>
      <c r="F54" s="603" t="str">
        <f ca="1">IF(ISNA(VLOOKUP(D54,games.r,3,FALSE)),"",VLOOKUP(D54,games.r,3,FALSE))</f>
        <v/>
      </c>
      <c r="G54" s="602" t="e">
        <f ca="1">IF(VLOOKUP(D54,games.r,2,FALSE),VLOOKUP(D54,games.r,6,FALSE),"")</f>
        <v>#N/A</v>
      </c>
      <c r="H54" s="595" t="e">
        <f ca="1">IF(VLOOKUP(D54,games.r,2,FALSE),VLOOKUP(D54,games.r,7,FALSE),"")</f>
        <v>#N/A</v>
      </c>
      <c r="I54" s="622" t="str">
        <f ca="1">IF(F54="","",IF($F$41=1,IF(H54&lt;&gt;"",CONCATENATE(G54,"–",H54),E54),IF($F$41=2,CONCATENATE(F54,"."),E54)))</f>
        <v/>
      </c>
      <c r="J54" s="605" t="str">
        <f ca="1">CONCATENATE($C54,O$50)</f>
        <v>BőrdíszműVakana</v>
      </c>
      <c r="K54" s="605" t="str">
        <f ca="1">IF(ISNA(VLOOKUP(J54,games.r,15,FALSE)),"",VLOOKUP(J54,games.r,15,FALSE))</f>
        <v/>
      </c>
      <c r="L54" s="606" t="str">
        <f ca="1">IF(ISNA(VLOOKUP(J54,games.r,3,FALSE)),"",VLOOKUP(J54,games.r,3,FALSE))</f>
        <v/>
      </c>
      <c r="M54" s="605" t="e">
        <f ca="1">IF(VLOOKUP(J54,games.r,2,FALSE),VLOOKUP(J54,games.r,6,FALSE),"")</f>
        <v>#N/A</v>
      </c>
      <c r="N54" s="607" t="e">
        <f ca="1">IF(VLOOKUP(J54,games.r,2,FALSE),VLOOKUP(J54,games.r,7,FALSE),"")</f>
        <v>#N/A</v>
      </c>
      <c r="O54" s="622" t="str">
        <f ca="1">IF(L54="","",IF($F$41=1,IF(N54&lt;&gt;"",CONCATENATE(M54,"–",N54),K54),IF($F$41=2,CONCATENATE(L54,"."),K54)))</f>
        <v/>
      </c>
      <c r="P54" s="605" t="str">
        <f ca="1">CONCATENATE($C54,U$50)</f>
        <v>BőrdíszműCarbonász</v>
      </c>
      <c r="Q54" s="605" t="str">
        <f ca="1">IF(ISNA(VLOOKUP(P54,games.r,15,FALSE)),"",VLOOKUP(P54,games.r,15,FALSE))</f>
        <v/>
      </c>
      <c r="R54" s="606" t="str">
        <f ca="1">IF(ISNA(VLOOKUP(P54,games.r,3,FALSE)),"",VLOOKUP(P54,games.r,3,FALSE))</f>
        <v/>
      </c>
      <c r="S54" s="605" t="e">
        <f ca="1">IF(VLOOKUP(P54,games.r,2,FALSE),VLOOKUP(P54,games.r,6,FALSE),"")</f>
        <v>#N/A</v>
      </c>
      <c r="T54" s="607" t="e">
        <f ca="1">IF(VLOOKUP(P54,games.r,2,FALSE),VLOOKUP(P54,games.r,7,FALSE),"")</f>
        <v>#N/A</v>
      </c>
      <c r="U54" s="622" t="str">
        <f ca="1">IF(R54="","",IF($F$41=1,IF(T54&lt;&gt;"",CONCATENATE(S54,"–",T54),Q54),IF($F$41=2,CONCATENATE(R54,"."),Q54)))</f>
        <v/>
      </c>
      <c r="V54" s="605" t="str">
        <f ca="1">CONCATENATE($C54,AA$50)</f>
        <v>BőrdíszműBőrdíszmű</v>
      </c>
      <c r="W54" s="605" t="str">
        <f ca="1">IF(ISNA(VLOOKUP(V54,games.r,15,FALSE)),"",VLOOKUP(V54,games.r,15,FALSE))</f>
        <v/>
      </c>
      <c r="X54" s="606" t="str">
        <f ca="1">IF(ISNA(VLOOKUP(V54,games.r,3,FALSE)),"",VLOOKUP(V54,games.r,3,FALSE))</f>
        <v/>
      </c>
      <c r="Y54" s="605" t="e">
        <f ca="1">IF(VLOOKUP(V54,games.r,2,FALSE),VLOOKUP(V54,games.r,6,FALSE),"")</f>
        <v>#N/A</v>
      </c>
      <c r="Z54" s="607" t="e">
        <f ca="1">IF(VLOOKUP(V54,games.r,2,FALSE),VLOOKUP(V54,games.r,7,FALSE),"")</f>
        <v>#N/A</v>
      </c>
      <c r="AA54" s="640"/>
      <c r="AB54" s="605" t="str">
        <f ca="1">CONCATENATE($C54,AG$50)</f>
        <v>BőrdíszműRoyal Guard's</v>
      </c>
      <c r="AC54" s="605">
        <f ca="1">IF(ISNA(VLOOKUP(AB54,games.r,15,FALSE)),"",VLOOKUP(AB54,games.r,15,FALSE))</f>
        <v>42319</v>
      </c>
      <c r="AD54" s="606">
        <f ca="1">IF(ISNA(VLOOKUP(AB54,games.r,3,FALSE)),"",VLOOKUP(AB54,games.r,3,FALSE))</f>
        <v>26</v>
      </c>
      <c r="AE54" s="605">
        <f ca="1">IF(VLOOKUP(AB54,games.r,2,FALSE),VLOOKUP(AB54,games.r,6,FALSE),"")</f>
        <v>3</v>
      </c>
      <c r="AF54" s="607">
        <f ca="1">IF(VLOOKUP(AB54,games.r,2,FALSE),VLOOKUP(AB54,games.r,7,FALSE),"")</f>
        <v>2</v>
      </c>
      <c r="AG54" s="622" t="str">
        <f ca="1">IF(AD54="","",IF($F$41=1,IF(AF54&lt;&gt;"",CONCATENATE(AE54,"–",AF54),AC54),IF($F$41=2,CONCATENATE(AD54,"."),AC54)))</f>
        <v>3–2</v>
      </c>
      <c r="AH54" s="592"/>
      <c r="AI54" s="592"/>
      <c r="AJ54" s="592"/>
      <c r="AK54" s="592"/>
      <c r="AL54" s="592"/>
      <c r="AM54" s="592"/>
    </row>
    <row r="55" spans="3:39" ht="18" customHeight="1" x14ac:dyDescent="0.2">
      <c r="C55" s="621" t="str">
        <f ca="1">IF(RTAB!AW70=0,"–",RTAB!AW70)</f>
        <v>Royal Guard's</v>
      </c>
      <c r="D55" s="602" t="str">
        <f ca="1">CONCATENATE($C55,I$50)</f>
        <v>Royal Guard'sBakafogó-Honvéd-Sashegy SE</v>
      </c>
      <c r="E55" s="602" t="str">
        <f ca="1">IF(ISNA(VLOOKUP(D55,games.r,15,FALSE)),"",VLOOKUP(D55,games.r,15,FALSE))</f>
        <v/>
      </c>
      <c r="F55" s="603" t="str">
        <f ca="1">IF(ISNA(VLOOKUP(D55,games.r,3,FALSE)),"",VLOOKUP(D55,games.r,3,FALSE))</f>
        <v/>
      </c>
      <c r="G55" s="602" t="e">
        <f ca="1">IF(VLOOKUP(D55,games.r,2,FALSE),VLOOKUP(D55,games.r,6,FALSE),"")</f>
        <v>#N/A</v>
      </c>
      <c r="H55" s="595" t="e">
        <f ca="1">IF(VLOOKUP(D55,games.r,2,FALSE),VLOOKUP(D55,games.r,7,FALSE),"")</f>
        <v>#N/A</v>
      </c>
      <c r="I55" s="622" t="str">
        <f ca="1">IF(F55="","",IF($F$41=1,IF(H55&lt;&gt;"",CONCATENATE(G55,"–",H55),E55),IF($F$41=2,CONCATENATE(F55,"."),E55)))</f>
        <v/>
      </c>
      <c r="J55" s="605" t="str">
        <f ca="1">CONCATENATE($C55,O$50)</f>
        <v>Royal Guard'sVakana</v>
      </c>
      <c r="K55" s="605" t="str">
        <f ca="1">IF(ISNA(VLOOKUP(J55,games.r,15,FALSE)),"",VLOOKUP(J55,games.r,15,FALSE))</f>
        <v/>
      </c>
      <c r="L55" s="606" t="str">
        <f ca="1">IF(ISNA(VLOOKUP(J55,games.r,3,FALSE)),"",VLOOKUP(J55,games.r,3,FALSE))</f>
        <v/>
      </c>
      <c r="M55" s="605" t="e">
        <f ca="1">IF(VLOOKUP(J55,games.r,2,FALSE),VLOOKUP(J55,games.r,6,FALSE),"")</f>
        <v>#N/A</v>
      </c>
      <c r="N55" s="607" t="e">
        <f ca="1">IF(VLOOKUP(J55,games.r,2,FALSE),VLOOKUP(J55,games.r,7,FALSE),"")</f>
        <v>#N/A</v>
      </c>
      <c r="O55" s="622" t="str">
        <f ca="1">IF(L55="","",IF($F$41=1,IF(N55&lt;&gt;"",CONCATENATE(M55,"–",N55),K55),IF($F$41=2,CONCATENATE(L55,"."),K55)))</f>
        <v/>
      </c>
      <c r="P55" s="605" t="str">
        <f ca="1">CONCATENATE($C55,U$50)</f>
        <v>Royal Guard'sCarbonász</v>
      </c>
      <c r="Q55" s="605" t="str">
        <f ca="1">IF(ISNA(VLOOKUP(P55,games.r,15,FALSE)),"",VLOOKUP(P55,games.r,15,FALSE))</f>
        <v/>
      </c>
      <c r="R55" s="606" t="str">
        <f ca="1">IF(ISNA(VLOOKUP(P55,games.r,3,FALSE)),"",VLOOKUP(P55,games.r,3,FALSE))</f>
        <v/>
      </c>
      <c r="S55" s="605" t="e">
        <f ca="1">IF(VLOOKUP(P55,games.r,2,FALSE),VLOOKUP(P55,games.r,6,FALSE),"")</f>
        <v>#N/A</v>
      </c>
      <c r="T55" s="607" t="e">
        <f ca="1">IF(VLOOKUP(P55,games.r,2,FALSE),VLOOKUP(P55,games.r,7,FALSE),"")</f>
        <v>#N/A</v>
      </c>
      <c r="U55" s="622" t="str">
        <f ca="1">IF(R55="","",IF($F$41=1,IF(T55&lt;&gt;"",CONCATENATE(S55,"–",T55),Q55),IF($F$41=2,CONCATENATE(R55,"."),Q55)))</f>
        <v/>
      </c>
      <c r="V55" s="605" t="str">
        <f ca="1">CONCATENATE($C55,AA$50)</f>
        <v>Royal Guard'sBőrdíszmű</v>
      </c>
      <c r="W55" s="605" t="str">
        <f ca="1">IF(ISNA(VLOOKUP(V55,games.r,15,FALSE)),"",VLOOKUP(V55,games.r,15,FALSE))</f>
        <v/>
      </c>
      <c r="X55" s="606" t="str">
        <f ca="1">IF(ISNA(VLOOKUP(V55,games.r,3,FALSE)),"",VLOOKUP(V55,games.r,3,FALSE))</f>
        <v/>
      </c>
      <c r="Y55" s="605" t="e">
        <f ca="1">IF(VLOOKUP(V55,games.r,2,FALSE),VLOOKUP(V55,games.r,6,FALSE),"")</f>
        <v>#N/A</v>
      </c>
      <c r="Z55" s="607" t="e">
        <f ca="1">IF(VLOOKUP(V55,games.r,2,FALSE),VLOOKUP(V55,games.r,7,FALSE),"")</f>
        <v>#N/A</v>
      </c>
      <c r="AA55" s="622" t="str">
        <f ca="1">IF(X55="","",IF($F$41=1,IF(Z55&lt;&gt;"",CONCATENATE(Y55,"–",Z55),W55),IF($F$41=2,CONCATENATE(X55,"."),W55)))</f>
        <v/>
      </c>
      <c r="AB55" s="605" t="str">
        <f ca="1">CONCATENATE($C55,AG$50)</f>
        <v>Royal Guard'sRoyal Guard's</v>
      </c>
      <c r="AC55" s="605" t="str">
        <f ca="1">IF(ISNA(VLOOKUP(AB55,games.r,15,FALSE)),"",VLOOKUP(AB55,games.r,15,FALSE))</f>
        <v/>
      </c>
      <c r="AD55" s="606" t="str">
        <f ca="1">IF(ISNA(VLOOKUP(AB55,games.r,3,FALSE)),"",VLOOKUP(AB55,games.r,3,FALSE))</f>
        <v/>
      </c>
      <c r="AE55" s="605" t="e">
        <f ca="1">IF(VLOOKUP(AB55,games.r,2,FALSE),VLOOKUP(AB55,games.r,6,FALSE),"")</f>
        <v>#N/A</v>
      </c>
      <c r="AF55" s="607" t="e">
        <f ca="1">IF(VLOOKUP(AB55,games.r,2,FALSE),VLOOKUP(AB55,games.r,7,FALSE),"")</f>
        <v>#N/A</v>
      </c>
      <c r="AG55" s="640"/>
      <c r="AH55" s="592"/>
      <c r="AI55" s="592"/>
      <c r="AJ55" s="592"/>
      <c r="AK55" s="592"/>
      <c r="AL55" s="592"/>
      <c r="AM55" s="592"/>
    </row>
    <row r="56" spans="3:39" ht="9" customHeight="1" x14ac:dyDescent="0.15">
      <c r="D56" s="592"/>
      <c r="E56" s="592"/>
      <c r="F56" s="592"/>
      <c r="G56" s="592"/>
      <c r="H56" s="592"/>
      <c r="I56" s="592"/>
      <c r="J56" s="592"/>
      <c r="K56" s="592"/>
      <c r="L56" s="592"/>
      <c r="M56" s="592"/>
      <c r="N56" s="592"/>
      <c r="O56" s="592"/>
      <c r="P56" s="592"/>
      <c r="Q56" s="592"/>
      <c r="R56" s="592"/>
      <c r="S56" s="592"/>
      <c r="T56" s="592"/>
      <c r="U56" s="592"/>
      <c r="V56" s="592"/>
      <c r="W56" s="592"/>
      <c r="X56" s="592"/>
      <c r="Y56" s="592"/>
      <c r="Z56" s="592"/>
      <c r="AA56" s="592"/>
      <c r="AB56" s="592"/>
      <c r="AC56" s="592"/>
      <c r="AD56" s="592"/>
      <c r="AE56" s="592"/>
      <c r="AF56" s="592"/>
      <c r="AG56" s="592"/>
      <c r="AH56" s="592"/>
      <c r="AI56" s="592"/>
      <c r="AJ56" s="592"/>
      <c r="AK56" s="592"/>
      <c r="AL56" s="592"/>
      <c r="AM56" s="592"/>
    </row>
    <row r="57" spans="3:39" ht="9" customHeight="1" x14ac:dyDescent="0.15">
      <c r="D57" s="592"/>
      <c r="E57" s="592"/>
      <c r="F57" s="592"/>
      <c r="G57" s="592"/>
      <c r="H57" s="592"/>
      <c r="I57" s="592"/>
      <c r="J57" s="592"/>
      <c r="K57" s="592"/>
      <c r="L57" s="592"/>
      <c r="M57" s="592"/>
      <c r="N57" s="592"/>
      <c r="O57" s="592"/>
      <c r="P57" s="592"/>
      <c r="Q57" s="592"/>
      <c r="R57" s="592"/>
      <c r="S57" s="592"/>
      <c r="T57" s="592"/>
      <c r="U57" s="592"/>
      <c r="V57" s="592"/>
      <c r="W57" s="592"/>
      <c r="X57" s="592"/>
      <c r="Y57" s="592"/>
      <c r="Z57" s="592"/>
      <c r="AA57" s="592"/>
      <c r="AB57" s="592"/>
      <c r="AC57" s="592"/>
      <c r="AD57" s="592"/>
      <c r="AE57" s="592"/>
      <c r="AF57" s="592"/>
      <c r="AG57" s="592"/>
      <c r="AH57" s="592"/>
      <c r="AI57" s="592"/>
      <c r="AJ57" s="592"/>
      <c r="AK57" s="592"/>
      <c r="AL57" s="592"/>
      <c r="AM57" s="592"/>
    </row>
    <row r="58" spans="3:39" ht="68.25" hidden="1" customHeight="1" x14ac:dyDescent="0.15">
      <c r="C58" s="630"/>
      <c r="D58" s="595"/>
      <c r="E58" s="632"/>
      <c r="F58" s="633"/>
      <c r="G58" s="632"/>
      <c r="H58" s="598"/>
      <c r="I58" s="599" t="str">
        <f>C59</f>
        <v>–</v>
      </c>
      <c r="J58" s="595"/>
      <c r="K58" s="632"/>
      <c r="L58" s="633"/>
      <c r="M58" s="632"/>
      <c r="N58" s="598"/>
      <c r="O58" s="599" t="str">
        <f>C60</f>
        <v>–</v>
      </c>
      <c r="P58" s="595"/>
      <c r="Q58" s="632"/>
      <c r="R58" s="633"/>
      <c r="S58" s="632"/>
      <c r="T58" s="598"/>
      <c r="U58" s="599" t="str">
        <f>C61</f>
        <v>–</v>
      </c>
      <c r="V58" s="595"/>
      <c r="W58" s="632"/>
      <c r="X58" s="633"/>
      <c r="Y58" s="632"/>
      <c r="Z58" s="598"/>
      <c r="AA58" s="599" t="str">
        <f>C62</f>
        <v>–</v>
      </c>
      <c r="AB58" s="595"/>
      <c r="AC58" s="632"/>
      <c r="AD58" s="633"/>
      <c r="AE58" s="632"/>
      <c r="AF58" s="598"/>
      <c r="AG58" s="599" t="str">
        <f>C63</f>
        <v>–</v>
      </c>
      <c r="AH58" s="595"/>
      <c r="AI58" s="632"/>
      <c r="AJ58" s="633"/>
      <c r="AK58" s="632"/>
      <c r="AL58" s="598"/>
      <c r="AM58" s="599" t="str">
        <f>C64</f>
        <v>–</v>
      </c>
    </row>
    <row r="59" spans="3:39" ht="15" hidden="1" customHeight="1" x14ac:dyDescent="0.2">
      <c r="C59" s="601" t="str">
        <f>IF(RTAB!AW90=0,"–",RTAB!AW90)</f>
        <v>–</v>
      </c>
      <c r="D59" s="602" t="str">
        <f>CONCATENATE($C59,I$58)</f>
        <v>––</v>
      </c>
      <c r="E59" s="602" t="str">
        <f t="shared" ref="E59:E68" ca="1" si="30">IF(ISNA(VLOOKUP(D59,games.r,15,FALSE)),"",VLOOKUP(D59,games.r,15,FALSE))</f>
        <v/>
      </c>
      <c r="F59" s="603" t="str">
        <f t="shared" ref="F59:F68" ca="1" si="31">IF(ISNA(VLOOKUP(D59,games.r,3,FALSE)),"",VLOOKUP(D59,games.r,3,FALSE))</f>
        <v/>
      </c>
      <c r="G59" s="602" t="e">
        <f t="shared" ref="G59:G68" ca="1" si="32">IF(VLOOKUP(D59,games.r,2,FALSE),VLOOKUP(D59,games.r,6,FALSE),"")</f>
        <v>#N/A</v>
      </c>
      <c r="H59" s="595" t="e">
        <f t="shared" ref="H59:H68" ca="1" si="33">IF(VLOOKUP(D59,games.r,2,FALSE),VLOOKUP(D59,games.r,7,FALSE),"")</f>
        <v>#N/A</v>
      </c>
      <c r="I59" s="634"/>
      <c r="J59" s="605" t="str">
        <f>CONCATENATE($C59,O$58)</f>
        <v>––</v>
      </c>
      <c r="K59" s="605" t="str">
        <f t="shared" ref="K59:K68" ca="1" si="34">IF(ISNA(VLOOKUP(J59,games.r,15,FALSE)),"",VLOOKUP(J59,games.r,15,FALSE))</f>
        <v/>
      </c>
      <c r="L59" s="606" t="str">
        <f t="shared" ref="L59:L68" ca="1" si="35">IF(ISNA(VLOOKUP(J59,games.r,3,FALSE)),"",VLOOKUP(J59,games.r,3,FALSE))</f>
        <v/>
      </c>
      <c r="M59" s="605" t="e">
        <f t="shared" ref="M59:M68" ca="1" si="36">IF(VLOOKUP(J59,games.r,2,FALSE),VLOOKUP(J59,games.r,6,FALSE),"")</f>
        <v>#N/A</v>
      </c>
      <c r="N59" s="607" t="e">
        <f t="shared" ref="N59:N68" ca="1" si="37">IF(VLOOKUP(J59,games.r,2,FALSE),VLOOKUP(J59,games.r,7,FALSE),"")</f>
        <v>#N/A</v>
      </c>
      <c r="O59" s="608" t="str">
        <f ca="1">IF(L59="","",IF($F$41=1,IF(N59&lt;&gt;"",CONCATENATE(M59,"–",N59),K59),IF($F$41=2,CONCATENATE(L59,"."),K59)))</f>
        <v/>
      </c>
      <c r="P59" s="605" t="str">
        <f>CONCATENATE($C59,U$58)</f>
        <v>––</v>
      </c>
      <c r="Q59" s="605" t="str">
        <f t="shared" ref="Q59:Q68" ca="1" si="38">IF(ISNA(VLOOKUP(P59,games.r,15,FALSE)),"",VLOOKUP(P59,games.r,15,FALSE))</f>
        <v/>
      </c>
      <c r="R59" s="606" t="str">
        <f t="shared" ref="R59:R68" ca="1" si="39">IF(ISNA(VLOOKUP(P59,games.r,3,FALSE)),"",VLOOKUP(P59,games.r,3,FALSE))</f>
        <v/>
      </c>
      <c r="S59" s="605" t="e">
        <f t="shared" ref="S59:S68" ca="1" si="40">IF(VLOOKUP(P59,games.r,2,FALSE),VLOOKUP(P59,games.r,6,FALSE),"")</f>
        <v>#N/A</v>
      </c>
      <c r="T59" s="607" t="e">
        <f t="shared" ref="T59:T68" ca="1" si="41">IF(VLOOKUP(P59,games.r,2,FALSE),VLOOKUP(P59,games.r,7,FALSE),"")</f>
        <v>#N/A</v>
      </c>
      <c r="U59" s="608" t="str">
        <f ca="1">IF(R59="","",IF($F$41=1,IF(T59&lt;&gt;"",CONCATENATE(S59,"–",T59),Q59),IF($F$41=2,CONCATENATE(R59,"."),Q59)))</f>
        <v/>
      </c>
      <c r="V59" s="605" t="str">
        <f>CONCATENATE($C59,AA$58)</f>
        <v>––</v>
      </c>
      <c r="W59" s="605" t="str">
        <f t="shared" ref="W59:W68" ca="1" si="42">IF(ISNA(VLOOKUP(V59,games.r,15,FALSE)),"",VLOOKUP(V59,games.r,15,FALSE))</f>
        <v/>
      </c>
      <c r="X59" s="606" t="str">
        <f t="shared" ref="X59:X68" ca="1" si="43">IF(ISNA(VLOOKUP(V59,games.r,3,FALSE)),"",VLOOKUP(V59,games.r,3,FALSE))</f>
        <v/>
      </c>
      <c r="Y59" s="605" t="e">
        <f t="shared" ref="Y59:Y68" ca="1" si="44">IF(VLOOKUP(V59,games.r,2,FALSE),VLOOKUP(V59,games.r,6,FALSE),"")</f>
        <v>#N/A</v>
      </c>
      <c r="Z59" s="607" t="e">
        <f t="shared" ref="Z59:Z68" ca="1" si="45">IF(VLOOKUP(V59,games.r,2,FALSE),VLOOKUP(V59,games.r,7,FALSE),"")</f>
        <v>#N/A</v>
      </c>
      <c r="AA59" s="608" t="str">
        <f ca="1">IF(X59="","",IF($F$41=1,IF(Z59&lt;&gt;"",CONCATENATE(Y59,"–",Z59),W59),IF($F$41=2,CONCATENATE(X59,"."),W59)))</f>
        <v/>
      </c>
      <c r="AB59" s="605" t="str">
        <f>CONCATENATE($C59,AG$58)</f>
        <v>––</v>
      </c>
      <c r="AC59" s="605" t="str">
        <f t="shared" ref="AC59:AC68" ca="1" si="46">IF(ISNA(VLOOKUP(AB59,games.r,15,FALSE)),"",VLOOKUP(AB59,games.r,15,FALSE))</f>
        <v/>
      </c>
      <c r="AD59" s="606" t="str">
        <f t="shared" ref="AD59:AD68" ca="1" si="47">IF(ISNA(VLOOKUP(AB59,games.r,3,FALSE)),"",VLOOKUP(AB59,games.r,3,FALSE))</f>
        <v/>
      </c>
      <c r="AE59" s="605" t="e">
        <f t="shared" ref="AE59:AE68" ca="1" si="48">IF(VLOOKUP(AB59,games.r,2,FALSE),VLOOKUP(AB59,games.r,6,FALSE),"")</f>
        <v>#N/A</v>
      </c>
      <c r="AF59" s="607" t="e">
        <f t="shared" ref="AF59:AF68" ca="1" si="49">IF(VLOOKUP(AB59,games.r,2,FALSE),VLOOKUP(AB59,games.r,7,FALSE),"")</f>
        <v>#N/A</v>
      </c>
      <c r="AG59" s="608" t="str">
        <f ca="1">IF(AD59="","",IF($F$41=1,IF(AF59&lt;&gt;"",CONCATENATE(AE59,"–",AF59),AC59),IF($F$41=2,CONCATENATE(AD59,"."),AC59)))</f>
        <v/>
      </c>
      <c r="AH59" s="605" t="str">
        <f>CONCATENATE($C59,AM$58)</f>
        <v>––</v>
      </c>
      <c r="AI59" s="605" t="str">
        <f t="shared" ref="AI59:AI68" ca="1" si="50">IF(ISNA(VLOOKUP(AH59,games.r,15,FALSE)),"",VLOOKUP(AH59,games.r,15,FALSE))</f>
        <v/>
      </c>
      <c r="AJ59" s="606" t="str">
        <f t="shared" ref="AJ59:AJ68" ca="1" si="51">IF(ISNA(VLOOKUP(AH59,games.r,3,FALSE)),"",VLOOKUP(AH59,games.r,3,FALSE))</f>
        <v/>
      </c>
      <c r="AK59" s="605" t="e">
        <f t="shared" ref="AK59:AK68" ca="1" si="52">IF(VLOOKUP(AH59,games.r,2,FALSE),VLOOKUP(AH59,games.r,6,FALSE),"")</f>
        <v>#N/A</v>
      </c>
      <c r="AL59" s="607" t="e">
        <f t="shared" ref="AL59:AL68" ca="1" si="53">IF(VLOOKUP(AH59,games.r,2,FALSE),VLOOKUP(AH59,games.r,7,FALSE),"")</f>
        <v>#N/A</v>
      </c>
      <c r="AM59" s="608" t="str">
        <f ca="1">IF(AJ59="","",IF($F$41=1,IF(AL59&lt;&gt;"",CONCATENATE(AK59,"–",AL59),AI59),IF($F$41=2,CONCATENATE(AJ59,"."),AI59)))</f>
        <v/>
      </c>
    </row>
    <row r="60" spans="3:39" ht="15" hidden="1" customHeight="1" x14ac:dyDescent="0.2">
      <c r="C60" s="609" t="str">
        <f>IF(RTAB!AW91=0,"–",RTAB!AW91)</f>
        <v>–</v>
      </c>
      <c r="D60" s="602" t="str">
        <f t="shared" ref="D60:D68" si="54">CONCATENATE($C60,I$58)</f>
        <v>––</v>
      </c>
      <c r="E60" s="602" t="str">
        <f t="shared" ca="1" si="30"/>
        <v/>
      </c>
      <c r="F60" s="603" t="str">
        <f t="shared" ca="1" si="31"/>
        <v/>
      </c>
      <c r="G60" s="602" t="e">
        <f t="shared" ca="1" si="32"/>
        <v>#N/A</v>
      </c>
      <c r="H60" s="595" t="e">
        <f t="shared" ca="1" si="33"/>
        <v>#N/A</v>
      </c>
      <c r="I60" s="608" t="str">
        <f ca="1">IF(F60="","",IF($F$41=1,IF(H60&lt;&gt;"",CONCATENATE(G60,"–",H60),E60),IF($F$41=2,CONCATENATE(F60,"."),E60)))</f>
        <v/>
      </c>
      <c r="J60" s="605" t="str">
        <f t="shared" ref="J60:J68" si="55">CONCATENATE($C60,O$58)</f>
        <v>––</v>
      </c>
      <c r="K60" s="605" t="str">
        <f t="shared" ca="1" si="34"/>
        <v/>
      </c>
      <c r="L60" s="606" t="str">
        <f t="shared" ca="1" si="35"/>
        <v/>
      </c>
      <c r="M60" s="605" t="e">
        <f t="shared" ca="1" si="36"/>
        <v>#N/A</v>
      </c>
      <c r="N60" s="607" t="e">
        <f t="shared" ca="1" si="37"/>
        <v>#N/A</v>
      </c>
      <c r="O60" s="634"/>
      <c r="P60" s="605" t="str">
        <f t="shared" ref="P60:P68" si="56">CONCATENATE($C60,U$58)</f>
        <v>––</v>
      </c>
      <c r="Q60" s="605" t="str">
        <f t="shared" ca="1" si="38"/>
        <v/>
      </c>
      <c r="R60" s="606" t="str">
        <f t="shared" ca="1" si="39"/>
        <v/>
      </c>
      <c r="S60" s="605" t="e">
        <f t="shared" ca="1" si="40"/>
        <v>#N/A</v>
      </c>
      <c r="T60" s="607" t="e">
        <f t="shared" ca="1" si="41"/>
        <v>#N/A</v>
      </c>
      <c r="U60" s="608" t="str">
        <f ca="1">IF(R60="","",IF($F$41=1,IF(T60&lt;&gt;"",CONCATENATE(S60,"–",T60),Q60),IF($F$41=2,CONCATENATE(R60,"."),Q60)))</f>
        <v/>
      </c>
      <c r="V60" s="605" t="str">
        <f t="shared" ref="V60:V68" si="57">CONCATENATE($C60,AA$58)</f>
        <v>––</v>
      </c>
      <c r="W60" s="605" t="str">
        <f t="shared" ca="1" si="42"/>
        <v/>
      </c>
      <c r="X60" s="606" t="str">
        <f t="shared" ca="1" si="43"/>
        <v/>
      </c>
      <c r="Y60" s="605" t="e">
        <f t="shared" ca="1" si="44"/>
        <v>#N/A</v>
      </c>
      <c r="Z60" s="607" t="e">
        <f t="shared" ca="1" si="45"/>
        <v>#N/A</v>
      </c>
      <c r="AA60" s="608" t="str">
        <f ca="1">IF(X60="","",IF($F$41=1,IF(Z60&lt;&gt;"",CONCATENATE(Y60,"–",Z60),W60),IF($F$41=2,CONCATENATE(X60,"."),W60)))</f>
        <v/>
      </c>
      <c r="AB60" s="605" t="str">
        <f t="shared" ref="AB60:AB68" si="58">CONCATENATE($C60,AG$58)</f>
        <v>––</v>
      </c>
      <c r="AC60" s="605" t="str">
        <f t="shared" ca="1" si="46"/>
        <v/>
      </c>
      <c r="AD60" s="606" t="str">
        <f t="shared" ca="1" si="47"/>
        <v/>
      </c>
      <c r="AE60" s="605" t="e">
        <f t="shared" ca="1" si="48"/>
        <v>#N/A</v>
      </c>
      <c r="AF60" s="607" t="e">
        <f t="shared" ca="1" si="49"/>
        <v>#N/A</v>
      </c>
      <c r="AG60" s="608" t="str">
        <f ca="1">IF(AD60="","",IF($F$41=1,IF(AF60&lt;&gt;"",CONCATENATE(AE60,"–",AF60),AC60),IF($F$41=2,CONCATENATE(AD60,"."),AC60)))</f>
        <v/>
      </c>
      <c r="AH60" s="605" t="str">
        <f t="shared" ref="AH60:AH68" si="59">CONCATENATE($C60,AM$58)</f>
        <v>––</v>
      </c>
      <c r="AI60" s="605" t="str">
        <f t="shared" ca="1" si="50"/>
        <v/>
      </c>
      <c r="AJ60" s="606" t="str">
        <f t="shared" ca="1" si="51"/>
        <v/>
      </c>
      <c r="AK60" s="605" t="e">
        <f t="shared" ca="1" si="52"/>
        <v>#N/A</v>
      </c>
      <c r="AL60" s="607" t="e">
        <f t="shared" ca="1" si="53"/>
        <v>#N/A</v>
      </c>
      <c r="AM60" s="608" t="str">
        <f ca="1">IF(AJ60="","",IF($F$41=1,IF(AL60&lt;&gt;"",CONCATENATE(AK60,"–",AL60),AI60),IF($F$41=2,CONCATENATE(AJ60,"."),AI60)))</f>
        <v/>
      </c>
    </row>
    <row r="61" spans="3:39" ht="15" hidden="1" customHeight="1" x14ac:dyDescent="0.2">
      <c r="C61" s="609" t="str">
        <f>IF(RTAB!AW92=0,"–",RTAB!AW92)</f>
        <v>–</v>
      </c>
      <c r="D61" s="602" t="str">
        <f t="shared" si="54"/>
        <v>––</v>
      </c>
      <c r="E61" s="602" t="str">
        <f t="shared" ca="1" si="30"/>
        <v/>
      </c>
      <c r="F61" s="603" t="str">
        <f t="shared" ca="1" si="31"/>
        <v/>
      </c>
      <c r="G61" s="602" t="e">
        <f t="shared" ca="1" si="32"/>
        <v>#N/A</v>
      </c>
      <c r="H61" s="595" t="e">
        <f t="shared" ca="1" si="33"/>
        <v>#N/A</v>
      </c>
      <c r="I61" s="608" t="str">
        <f t="shared" ref="I61:I68" ca="1" si="60">IF(F61="","",IF($F$41=1,IF(H61&lt;&gt;"",CONCATENATE(G61,"–",H61),E61),IF($F$41=2,CONCATENATE(F61,"."),E61)))</f>
        <v/>
      </c>
      <c r="J61" s="605" t="str">
        <f t="shared" si="55"/>
        <v>––</v>
      </c>
      <c r="K61" s="605" t="str">
        <f t="shared" ca="1" si="34"/>
        <v/>
      </c>
      <c r="L61" s="606" t="str">
        <f t="shared" ca="1" si="35"/>
        <v/>
      </c>
      <c r="M61" s="605" t="e">
        <f t="shared" ca="1" si="36"/>
        <v>#N/A</v>
      </c>
      <c r="N61" s="607" t="e">
        <f t="shared" ca="1" si="37"/>
        <v>#N/A</v>
      </c>
      <c r="O61" s="608" t="str">
        <f t="shared" ref="O61:O68" ca="1" si="61">IF(L61="","",IF($F$41=1,IF(N61&lt;&gt;"",CONCATENATE(M61,"–",N61),K61),IF($F$41=2,CONCATENATE(L61,"."),K61)))</f>
        <v/>
      </c>
      <c r="P61" s="605" t="str">
        <f t="shared" si="56"/>
        <v>––</v>
      </c>
      <c r="Q61" s="605" t="str">
        <f t="shared" ca="1" si="38"/>
        <v/>
      </c>
      <c r="R61" s="606" t="str">
        <f t="shared" ca="1" si="39"/>
        <v/>
      </c>
      <c r="S61" s="605" t="e">
        <f t="shared" ca="1" si="40"/>
        <v>#N/A</v>
      </c>
      <c r="T61" s="607" t="e">
        <f t="shared" ca="1" si="41"/>
        <v>#N/A</v>
      </c>
      <c r="U61" s="634"/>
      <c r="V61" s="605" t="str">
        <f t="shared" si="57"/>
        <v>––</v>
      </c>
      <c r="W61" s="605" t="str">
        <f t="shared" ca="1" si="42"/>
        <v/>
      </c>
      <c r="X61" s="606" t="str">
        <f t="shared" ca="1" si="43"/>
        <v/>
      </c>
      <c r="Y61" s="605" t="e">
        <f t="shared" ca="1" si="44"/>
        <v>#N/A</v>
      </c>
      <c r="Z61" s="607" t="e">
        <f t="shared" ca="1" si="45"/>
        <v>#N/A</v>
      </c>
      <c r="AA61" s="608" t="str">
        <f ca="1">IF(X61="","",IF($F$41=1,IF(Z61&lt;&gt;"",CONCATENATE(Y61,"–",Z61),W61),IF($F$41=2,CONCATENATE(X61,"."),W61)))</f>
        <v/>
      </c>
      <c r="AB61" s="605" t="str">
        <f t="shared" si="58"/>
        <v>––</v>
      </c>
      <c r="AC61" s="605" t="str">
        <f t="shared" ca="1" si="46"/>
        <v/>
      </c>
      <c r="AD61" s="606" t="str">
        <f t="shared" ca="1" si="47"/>
        <v/>
      </c>
      <c r="AE61" s="605" t="e">
        <f t="shared" ca="1" si="48"/>
        <v>#N/A</v>
      </c>
      <c r="AF61" s="607" t="e">
        <f t="shared" ca="1" si="49"/>
        <v>#N/A</v>
      </c>
      <c r="AG61" s="608" t="str">
        <f ca="1">IF(AD61="","",IF($F$41=1,IF(AF61&lt;&gt;"",CONCATENATE(AE61,"–",AF61),AC61),IF($F$41=2,CONCATENATE(AD61,"."),AC61)))</f>
        <v/>
      </c>
      <c r="AH61" s="605" t="str">
        <f t="shared" si="59"/>
        <v>––</v>
      </c>
      <c r="AI61" s="605" t="str">
        <f t="shared" ca="1" si="50"/>
        <v/>
      </c>
      <c r="AJ61" s="606" t="str">
        <f t="shared" ca="1" si="51"/>
        <v/>
      </c>
      <c r="AK61" s="605" t="e">
        <f t="shared" ca="1" si="52"/>
        <v>#N/A</v>
      </c>
      <c r="AL61" s="607" t="e">
        <f t="shared" ca="1" si="53"/>
        <v>#N/A</v>
      </c>
      <c r="AM61" s="608" t="str">
        <f ca="1">IF(AJ61="","",IF($F$41=1,IF(AL61&lt;&gt;"",CONCATENATE(AK61,"–",AL61),AI61),IF($F$41=2,CONCATENATE(AJ61,"."),AI61)))</f>
        <v/>
      </c>
    </row>
    <row r="62" spans="3:39" ht="15" hidden="1" customHeight="1" x14ac:dyDescent="0.2">
      <c r="C62" s="609" t="str">
        <f>IF(RTAB!AW93=0,"–",RTAB!AW93)</f>
        <v>–</v>
      </c>
      <c r="D62" s="602" t="str">
        <f t="shared" si="54"/>
        <v>––</v>
      </c>
      <c r="E62" s="602" t="str">
        <f t="shared" ca="1" si="30"/>
        <v/>
      </c>
      <c r="F62" s="603" t="str">
        <f t="shared" ca="1" si="31"/>
        <v/>
      </c>
      <c r="G62" s="602" t="e">
        <f t="shared" ca="1" si="32"/>
        <v>#N/A</v>
      </c>
      <c r="H62" s="595" t="e">
        <f t="shared" ca="1" si="33"/>
        <v>#N/A</v>
      </c>
      <c r="I62" s="608" t="str">
        <f t="shared" ca="1" si="60"/>
        <v/>
      </c>
      <c r="J62" s="605" t="str">
        <f t="shared" si="55"/>
        <v>––</v>
      </c>
      <c r="K62" s="605" t="str">
        <f t="shared" ca="1" si="34"/>
        <v/>
      </c>
      <c r="L62" s="606" t="str">
        <f t="shared" ca="1" si="35"/>
        <v/>
      </c>
      <c r="M62" s="605" t="e">
        <f t="shared" ca="1" si="36"/>
        <v>#N/A</v>
      </c>
      <c r="N62" s="607" t="e">
        <f t="shared" ca="1" si="37"/>
        <v>#N/A</v>
      </c>
      <c r="O62" s="608" t="str">
        <f t="shared" ca="1" si="61"/>
        <v/>
      </c>
      <c r="P62" s="605" t="str">
        <f t="shared" si="56"/>
        <v>––</v>
      </c>
      <c r="Q62" s="605" t="str">
        <f t="shared" ca="1" si="38"/>
        <v/>
      </c>
      <c r="R62" s="606" t="str">
        <f t="shared" ca="1" si="39"/>
        <v/>
      </c>
      <c r="S62" s="605" t="e">
        <f t="shared" ca="1" si="40"/>
        <v>#N/A</v>
      </c>
      <c r="T62" s="607" t="e">
        <f t="shared" ca="1" si="41"/>
        <v>#N/A</v>
      </c>
      <c r="U62" s="608" t="str">
        <f t="shared" ref="U62:U68" ca="1" si="62">IF(R62="","",IF($F$41=1,IF(T62&lt;&gt;"",CONCATENATE(S62,"–",T62),Q62),IF($F$41=2,CONCATENATE(R62,"."),Q62)))</f>
        <v/>
      </c>
      <c r="V62" s="605" t="str">
        <f t="shared" si="57"/>
        <v>––</v>
      </c>
      <c r="W62" s="605" t="str">
        <f t="shared" ca="1" si="42"/>
        <v/>
      </c>
      <c r="X62" s="606" t="str">
        <f t="shared" ca="1" si="43"/>
        <v/>
      </c>
      <c r="Y62" s="605" t="e">
        <f t="shared" ca="1" si="44"/>
        <v>#N/A</v>
      </c>
      <c r="Z62" s="607" t="e">
        <f t="shared" ca="1" si="45"/>
        <v>#N/A</v>
      </c>
      <c r="AA62" s="634"/>
      <c r="AB62" s="605" t="str">
        <f t="shared" si="58"/>
        <v>––</v>
      </c>
      <c r="AC62" s="605" t="str">
        <f t="shared" ca="1" si="46"/>
        <v/>
      </c>
      <c r="AD62" s="606" t="str">
        <f t="shared" ca="1" si="47"/>
        <v/>
      </c>
      <c r="AE62" s="605" t="e">
        <f t="shared" ca="1" si="48"/>
        <v>#N/A</v>
      </c>
      <c r="AF62" s="607" t="e">
        <f t="shared" ca="1" si="49"/>
        <v>#N/A</v>
      </c>
      <c r="AG62" s="608" t="str">
        <f ca="1">IF(AD62="","",IF($F$41=1,IF(AF62&lt;&gt;"",CONCATENATE(AE62,"–",AF62),AC62),IF($F$41=2,CONCATENATE(AD62,"."),AC62)))</f>
        <v/>
      </c>
      <c r="AH62" s="605" t="str">
        <f t="shared" si="59"/>
        <v>––</v>
      </c>
      <c r="AI62" s="605" t="str">
        <f t="shared" ca="1" si="50"/>
        <v/>
      </c>
      <c r="AJ62" s="606" t="str">
        <f t="shared" ca="1" si="51"/>
        <v/>
      </c>
      <c r="AK62" s="605" t="e">
        <f t="shared" ca="1" si="52"/>
        <v>#N/A</v>
      </c>
      <c r="AL62" s="607" t="e">
        <f t="shared" ca="1" si="53"/>
        <v>#N/A</v>
      </c>
      <c r="AM62" s="608" t="str">
        <f ca="1">IF(AJ62="","",IF($F$41=1,IF(AL62&lt;&gt;"",CONCATENATE(AK62,"–",AL62),AI62),IF($F$41=2,CONCATENATE(AJ62,"."),AI62)))</f>
        <v/>
      </c>
    </row>
    <row r="63" spans="3:39" ht="15" hidden="1" customHeight="1" x14ac:dyDescent="0.2">
      <c r="C63" s="609" t="str">
        <f>IF(RTAB!AW94=0,"–",RTAB!AW94)</f>
        <v>–</v>
      </c>
      <c r="D63" s="602" t="str">
        <f t="shared" si="54"/>
        <v>––</v>
      </c>
      <c r="E63" s="602" t="str">
        <f t="shared" ca="1" si="30"/>
        <v/>
      </c>
      <c r="F63" s="603" t="str">
        <f t="shared" ca="1" si="31"/>
        <v/>
      </c>
      <c r="G63" s="602" t="e">
        <f t="shared" ca="1" si="32"/>
        <v>#N/A</v>
      </c>
      <c r="H63" s="595" t="e">
        <f t="shared" ca="1" si="33"/>
        <v>#N/A</v>
      </c>
      <c r="I63" s="608" t="str">
        <f t="shared" ca="1" si="60"/>
        <v/>
      </c>
      <c r="J63" s="605" t="str">
        <f t="shared" si="55"/>
        <v>––</v>
      </c>
      <c r="K63" s="605" t="str">
        <f t="shared" ca="1" si="34"/>
        <v/>
      </c>
      <c r="L63" s="606" t="str">
        <f t="shared" ca="1" si="35"/>
        <v/>
      </c>
      <c r="M63" s="605" t="e">
        <f t="shared" ca="1" si="36"/>
        <v>#N/A</v>
      </c>
      <c r="N63" s="607" t="e">
        <f t="shared" ca="1" si="37"/>
        <v>#N/A</v>
      </c>
      <c r="O63" s="608" t="str">
        <f t="shared" ca="1" si="61"/>
        <v/>
      </c>
      <c r="P63" s="605" t="str">
        <f t="shared" si="56"/>
        <v>––</v>
      </c>
      <c r="Q63" s="605" t="str">
        <f t="shared" ca="1" si="38"/>
        <v/>
      </c>
      <c r="R63" s="606" t="str">
        <f t="shared" ca="1" si="39"/>
        <v/>
      </c>
      <c r="S63" s="605" t="e">
        <f t="shared" ca="1" si="40"/>
        <v>#N/A</v>
      </c>
      <c r="T63" s="607" t="e">
        <f t="shared" ca="1" si="41"/>
        <v>#N/A</v>
      </c>
      <c r="U63" s="608" t="str">
        <f t="shared" ca="1" si="62"/>
        <v/>
      </c>
      <c r="V63" s="605" t="str">
        <f t="shared" si="57"/>
        <v>––</v>
      </c>
      <c r="W63" s="605" t="str">
        <f t="shared" ca="1" si="42"/>
        <v/>
      </c>
      <c r="X63" s="606" t="str">
        <f t="shared" ca="1" si="43"/>
        <v/>
      </c>
      <c r="Y63" s="605" t="e">
        <f t="shared" ca="1" si="44"/>
        <v>#N/A</v>
      </c>
      <c r="Z63" s="607" t="e">
        <f t="shared" ca="1" si="45"/>
        <v>#N/A</v>
      </c>
      <c r="AA63" s="608" t="str">
        <f t="shared" ref="AA63:AA68" ca="1" si="63">IF(X63="","",IF($F$41=1,IF(Z63&lt;&gt;"",CONCATENATE(Y63,"–",Z63),W63),IF($F$41=2,CONCATENATE(X63,"."),W63)))</f>
        <v/>
      </c>
      <c r="AB63" s="605" t="str">
        <f t="shared" si="58"/>
        <v>––</v>
      </c>
      <c r="AC63" s="605" t="str">
        <f t="shared" ca="1" si="46"/>
        <v/>
      </c>
      <c r="AD63" s="606" t="str">
        <f t="shared" ca="1" si="47"/>
        <v/>
      </c>
      <c r="AE63" s="605" t="e">
        <f t="shared" ca="1" si="48"/>
        <v>#N/A</v>
      </c>
      <c r="AF63" s="607" t="e">
        <f t="shared" ca="1" si="49"/>
        <v>#N/A</v>
      </c>
      <c r="AG63" s="634"/>
      <c r="AH63" s="605" t="str">
        <f t="shared" si="59"/>
        <v>––</v>
      </c>
      <c r="AI63" s="605" t="str">
        <f t="shared" ca="1" si="50"/>
        <v/>
      </c>
      <c r="AJ63" s="606" t="str">
        <f t="shared" ca="1" si="51"/>
        <v/>
      </c>
      <c r="AK63" s="605" t="e">
        <f t="shared" ca="1" si="52"/>
        <v>#N/A</v>
      </c>
      <c r="AL63" s="607" t="e">
        <f t="shared" ca="1" si="53"/>
        <v>#N/A</v>
      </c>
      <c r="AM63" s="608" t="str">
        <f ca="1">IF(AJ63="","",IF($F$41=1,IF(AL63&lt;&gt;"",CONCATENATE(AK63,"–",AL63),AI63),IF($F$41=2,CONCATENATE(AJ63,"."),AI63)))</f>
        <v/>
      </c>
    </row>
    <row r="64" spans="3:39" ht="15" hidden="1" customHeight="1" x14ac:dyDescent="0.2">
      <c r="C64" s="609" t="str">
        <f>IF(RTAB!AW95=0,"–",RTAB!AW95)</f>
        <v>–</v>
      </c>
      <c r="D64" s="602" t="str">
        <f t="shared" si="54"/>
        <v>––</v>
      </c>
      <c r="E64" s="602" t="str">
        <f t="shared" ca="1" si="30"/>
        <v/>
      </c>
      <c r="F64" s="603" t="str">
        <f t="shared" ca="1" si="31"/>
        <v/>
      </c>
      <c r="G64" s="602" t="e">
        <f t="shared" ca="1" si="32"/>
        <v>#N/A</v>
      </c>
      <c r="H64" s="595" t="e">
        <f t="shared" ca="1" si="33"/>
        <v>#N/A</v>
      </c>
      <c r="I64" s="608" t="str">
        <f t="shared" ca="1" si="60"/>
        <v/>
      </c>
      <c r="J64" s="605" t="str">
        <f t="shared" si="55"/>
        <v>––</v>
      </c>
      <c r="K64" s="605" t="str">
        <f t="shared" ca="1" si="34"/>
        <v/>
      </c>
      <c r="L64" s="606" t="str">
        <f t="shared" ca="1" si="35"/>
        <v/>
      </c>
      <c r="M64" s="605" t="e">
        <f t="shared" ca="1" si="36"/>
        <v>#N/A</v>
      </c>
      <c r="N64" s="607" t="e">
        <f t="shared" ca="1" si="37"/>
        <v>#N/A</v>
      </c>
      <c r="O64" s="608" t="str">
        <f t="shared" ca="1" si="61"/>
        <v/>
      </c>
      <c r="P64" s="605" t="str">
        <f t="shared" si="56"/>
        <v>––</v>
      </c>
      <c r="Q64" s="605" t="str">
        <f t="shared" ca="1" si="38"/>
        <v/>
      </c>
      <c r="R64" s="606" t="str">
        <f t="shared" ca="1" si="39"/>
        <v/>
      </c>
      <c r="S64" s="605" t="e">
        <f t="shared" ca="1" si="40"/>
        <v>#N/A</v>
      </c>
      <c r="T64" s="607" t="e">
        <f t="shared" ca="1" si="41"/>
        <v>#N/A</v>
      </c>
      <c r="U64" s="608" t="str">
        <f t="shared" ca="1" si="62"/>
        <v/>
      </c>
      <c r="V64" s="605" t="str">
        <f t="shared" si="57"/>
        <v>––</v>
      </c>
      <c r="W64" s="605" t="str">
        <f t="shared" ca="1" si="42"/>
        <v/>
      </c>
      <c r="X64" s="606" t="str">
        <f t="shared" ca="1" si="43"/>
        <v/>
      </c>
      <c r="Y64" s="605" t="e">
        <f t="shared" ca="1" si="44"/>
        <v>#N/A</v>
      </c>
      <c r="Z64" s="607" t="e">
        <f t="shared" ca="1" si="45"/>
        <v>#N/A</v>
      </c>
      <c r="AA64" s="608" t="str">
        <f t="shared" ca="1" si="63"/>
        <v/>
      </c>
      <c r="AB64" s="605" t="str">
        <f t="shared" si="58"/>
        <v>––</v>
      </c>
      <c r="AC64" s="605" t="str">
        <f t="shared" ca="1" si="46"/>
        <v/>
      </c>
      <c r="AD64" s="606" t="str">
        <f t="shared" ca="1" si="47"/>
        <v/>
      </c>
      <c r="AE64" s="605" t="e">
        <f t="shared" ca="1" si="48"/>
        <v>#N/A</v>
      </c>
      <c r="AF64" s="607" t="e">
        <f t="shared" ca="1" si="49"/>
        <v>#N/A</v>
      </c>
      <c r="AG64" s="608" t="str">
        <f ca="1">IF(AD64="","",IF($F$41=1,IF(AF64&lt;&gt;"",CONCATENATE(AE64,"–",AF64),AC64),IF($F$41=2,CONCATENATE(AD64,"."),AC64)))</f>
        <v/>
      </c>
      <c r="AH64" s="605" t="str">
        <f t="shared" si="59"/>
        <v>––</v>
      </c>
      <c r="AI64" s="605" t="str">
        <f t="shared" ca="1" si="50"/>
        <v/>
      </c>
      <c r="AJ64" s="606" t="str">
        <f t="shared" ca="1" si="51"/>
        <v/>
      </c>
      <c r="AK64" s="605" t="e">
        <f t="shared" ca="1" si="52"/>
        <v>#N/A</v>
      </c>
      <c r="AL64" s="607" t="e">
        <f t="shared" ca="1" si="53"/>
        <v>#N/A</v>
      </c>
      <c r="AM64" s="634"/>
    </row>
    <row r="65" spans="3:39" ht="15" hidden="1" customHeight="1" x14ac:dyDescent="0.2">
      <c r="C65" s="609" t="str">
        <f>IF(RTAB!AW96=0,"–",RTAB!AW96)</f>
        <v>–</v>
      </c>
      <c r="D65" s="602" t="str">
        <f t="shared" si="54"/>
        <v>––</v>
      </c>
      <c r="E65" s="602" t="str">
        <f t="shared" ca="1" si="30"/>
        <v/>
      </c>
      <c r="F65" s="603" t="str">
        <f t="shared" ca="1" si="31"/>
        <v/>
      </c>
      <c r="G65" s="602" t="e">
        <f t="shared" ca="1" si="32"/>
        <v>#N/A</v>
      </c>
      <c r="H65" s="595" t="e">
        <f t="shared" ca="1" si="33"/>
        <v>#N/A</v>
      </c>
      <c r="I65" s="608" t="str">
        <f t="shared" ca="1" si="60"/>
        <v/>
      </c>
      <c r="J65" s="605" t="str">
        <f t="shared" si="55"/>
        <v>––</v>
      </c>
      <c r="K65" s="605" t="str">
        <f t="shared" ca="1" si="34"/>
        <v/>
      </c>
      <c r="L65" s="606" t="str">
        <f t="shared" ca="1" si="35"/>
        <v/>
      </c>
      <c r="M65" s="605" t="e">
        <f t="shared" ca="1" si="36"/>
        <v>#N/A</v>
      </c>
      <c r="N65" s="607" t="e">
        <f t="shared" ca="1" si="37"/>
        <v>#N/A</v>
      </c>
      <c r="O65" s="608" t="str">
        <f t="shared" ca="1" si="61"/>
        <v/>
      </c>
      <c r="P65" s="605" t="str">
        <f t="shared" si="56"/>
        <v>––</v>
      </c>
      <c r="Q65" s="605" t="str">
        <f t="shared" ca="1" si="38"/>
        <v/>
      </c>
      <c r="R65" s="606" t="str">
        <f t="shared" ca="1" si="39"/>
        <v/>
      </c>
      <c r="S65" s="605" t="e">
        <f t="shared" ca="1" si="40"/>
        <v>#N/A</v>
      </c>
      <c r="T65" s="607" t="e">
        <f t="shared" ca="1" si="41"/>
        <v>#N/A</v>
      </c>
      <c r="U65" s="608" t="str">
        <f t="shared" ca="1" si="62"/>
        <v/>
      </c>
      <c r="V65" s="605" t="str">
        <f t="shared" si="57"/>
        <v>––</v>
      </c>
      <c r="W65" s="605" t="str">
        <f t="shared" ca="1" si="42"/>
        <v/>
      </c>
      <c r="X65" s="606" t="str">
        <f t="shared" ca="1" si="43"/>
        <v/>
      </c>
      <c r="Y65" s="605" t="e">
        <f t="shared" ca="1" si="44"/>
        <v>#N/A</v>
      </c>
      <c r="Z65" s="607" t="e">
        <f t="shared" ca="1" si="45"/>
        <v>#N/A</v>
      </c>
      <c r="AA65" s="608" t="str">
        <f t="shared" ca="1" si="63"/>
        <v/>
      </c>
      <c r="AB65" s="605" t="str">
        <f t="shared" si="58"/>
        <v>––</v>
      </c>
      <c r="AC65" s="605" t="str">
        <f t="shared" ca="1" si="46"/>
        <v/>
      </c>
      <c r="AD65" s="606" t="str">
        <f t="shared" ca="1" si="47"/>
        <v/>
      </c>
      <c r="AE65" s="605" t="e">
        <f t="shared" ca="1" si="48"/>
        <v>#N/A</v>
      </c>
      <c r="AF65" s="607" t="e">
        <f t="shared" ca="1" si="49"/>
        <v>#N/A</v>
      </c>
      <c r="AG65" s="608" t="str">
        <f ca="1">IF(AD65="","",IF($F$41=1,IF(AF65&lt;&gt;"",CONCATENATE(AE65,"–",AF65),AC65),IF($F$41=2,CONCATENATE(AD65,"."),AC65)))</f>
        <v/>
      </c>
      <c r="AH65" s="605" t="str">
        <f t="shared" si="59"/>
        <v>––</v>
      </c>
      <c r="AI65" s="605" t="str">
        <f t="shared" ca="1" si="50"/>
        <v/>
      </c>
      <c r="AJ65" s="606" t="str">
        <f t="shared" ca="1" si="51"/>
        <v/>
      </c>
      <c r="AK65" s="605" t="e">
        <f t="shared" ca="1" si="52"/>
        <v>#N/A</v>
      </c>
      <c r="AL65" s="607" t="e">
        <f t="shared" ca="1" si="53"/>
        <v>#N/A</v>
      </c>
      <c r="AM65" s="608" t="str">
        <f ca="1">IF(AJ65="","",IF($F$41=1,IF(AL65&lt;&gt;"",CONCATENATE(AK65,"–",AL65),AI65),IF($F$41=2,CONCATENATE(AJ65,"."),AI65)))</f>
        <v/>
      </c>
    </row>
    <row r="66" spans="3:39" ht="15" hidden="1" customHeight="1" x14ac:dyDescent="0.2">
      <c r="C66" s="609" t="str">
        <f>IF(RTAB!AW97=0,"–",RTAB!AW97)</f>
        <v>–</v>
      </c>
      <c r="D66" s="602" t="str">
        <f t="shared" si="54"/>
        <v>––</v>
      </c>
      <c r="E66" s="602" t="str">
        <f t="shared" ca="1" si="30"/>
        <v/>
      </c>
      <c r="F66" s="603" t="str">
        <f t="shared" ca="1" si="31"/>
        <v/>
      </c>
      <c r="G66" s="602" t="e">
        <f t="shared" ca="1" si="32"/>
        <v>#N/A</v>
      </c>
      <c r="H66" s="595" t="e">
        <f t="shared" ca="1" si="33"/>
        <v>#N/A</v>
      </c>
      <c r="I66" s="608" t="str">
        <f t="shared" ca="1" si="60"/>
        <v/>
      </c>
      <c r="J66" s="605" t="str">
        <f t="shared" si="55"/>
        <v>––</v>
      </c>
      <c r="K66" s="605" t="str">
        <f t="shared" ca="1" si="34"/>
        <v/>
      </c>
      <c r="L66" s="606" t="str">
        <f t="shared" ca="1" si="35"/>
        <v/>
      </c>
      <c r="M66" s="605" t="e">
        <f t="shared" ca="1" si="36"/>
        <v>#N/A</v>
      </c>
      <c r="N66" s="607" t="e">
        <f t="shared" ca="1" si="37"/>
        <v>#N/A</v>
      </c>
      <c r="O66" s="608" t="str">
        <f t="shared" ca="1" si="61"/>
        <v/>
      </c>
      <c r="P66" s="605" t="str">
        <f t="shared" si="56"/>
        <v>––</v>
      </c>
      <c r="Q66" s="605" t="str">
        <f t="shared" ca="1" si="38"/>
        <v/>
      </c>
      <c r="R66" s="606" t="str">
        <f t="shared" ca="1" si="39"/>
        <v/>
      </c>
      <c r="S66" s="605" t="e">
        <f t="shared" ca="1" si="40"/>
        <v>#N/A</v>
      </c>
      <c r="T66" s="607" t="e">
        <f t="shared" ca="1" si="41"/>
        <v>#N/A</v>
      </c>
      <c r="U66" s="608" t="str">
        <f t="shared" ca="1" si="62"/>
        <v/>
      </c>
      <c r="V66" s="605" t="str">
        <f t="shared" si="57"/>
        <v>––</v>
      </c>
      <c r="W66" s="605" t="str">
        <f t="shared" ca="1" si="42"/>
        <v/>
      </c>
      <c r="X66" s="606" t="str">
        <f t="shared" ca="1" si="43"/>
        <v/>
      </c>
      <c r="Y66" s="605" t="e">
        <f t="shared" ca="1" si="44"/>
        <v>#N/A</v>
      </c>
      <c r="Z66" s="607" t="e">
        <f t="shared" ca="1" si="45"/>
        <v>#N/A</v>
      </c>
      <c r="AA66" s="608" t="str">
        <f t="shared" ca="1" si="63"/>
        <v/>
      </c>
      <c r="AB66" s="605" t="str">
        <f t="shared" si="58"/>
        <v>––</v>
      </c>
      <c r="AC66" s="605" t="str">
        <f t="shared" ca="1" si="46"/>
        <v/>
      </c>
      <c r="AD66" s="606" t="str">
        <f t="shared" ca="1" si="47"/>
        <v/>
      </c>
      <c r="AE66" s="605" t="e">
        <f t="shared" ca="1" si="48"/>
        <v>#N/A</v>
      </c>
      <c r="AF66" s="607" t="e">
        <f t="shared" ca="1" si="49"/>
        <v>#N/A</v>
      </c>
      <c r="AG66" s="608" t="str">
        <f ca="1">IF(AD66="","",IF($F$41=1,IF(AF66&lt;&gt;"",CONCATENATE(AE66,"–",AF66),AC66),IF($F$41=2,CONCATENATE(AD66,"."),AC66)))</f>
        <v/>
      </c>
      <c r="AH66" s="605" t="str">
        <f t="shared" si="59"/>
        <v>––</v>
      </c>
      <c r="AI66" s="605" t="str">
        <f t="shared" ca="1" si="50"/>
        <v/>
      </c>
      <c r="AJ66" s="606" t="str">
        <f t="shared" ca="1" si="51"/>
        <v/>
      </c>
      <c r="AK66" s="605" t="e">
        <f t="shared" ca="1" si="52"/>
        <v>#N/A</v>
      </c>
      <c r="AL66" s="607" t="e">
        <f t="shared" ca="1" si="53"/>
        <v>#N/A</v>
      </c>
      <c r="AM66" s="608" t="str">
        <f ca="1">IF(AJ66="","",IF($F$41=1,IF(AL66&lt;&gt;"",CONCATENATE(AK66,"–",AL66),AI66),IF($F$41=2,CONCATENATE(AJ66,"."),AI66)))</f>
        <v/>
      </c>
    </row>
    <row r="67" spans="3:39" ht="15" hidden="1" customHeight="1" x14ac:dyDescent="0.2">
      <c r="C67" s="609" t="str">
        <f>IF(RTAB!AW98=0,"–",RTAB!AW98)</f>
        <v>–</v>
      </c>
      <c r="D67" s="602" t="str">
        <f t="shared" si="54"/>
        <v>––</v>
      </c>
      <c r="E67" s="602" t="str">
        <f t="shared" ca="1" si="30"/>
        <v/>
      </c>
      <c r="F67" s="603" t="str">
        <f t="shared" ca="1" si="31"/>
        <v/>
      </c>
      <c r="G67" s="602" t="e">
        <f t="shared" ca="1" si="32"/>
        <v>#N/A</v>
      </c>
      <c r="H67" s="595" t="e">
        <f t="shared" ca="1" si="33"/>
        <v>#N/A</v>
      </c>
      <c r="I67" s="608" t="str">
        <f t="shared" ca="1" si="60"/>
        <v/>
      </c>
      <c r="J67" s="605" t="str">
        <f t="shared" si="55"/>
        <v>––</v>
      </c>
      <c r="K67" s="605" t="str">
        <f t="shared" ca="1" si="34"/>
        <v/>
      </c>
      <c r="L67" s="606" t="str">
        <f t="shared" ca="1" si="35"/>
        <v/>
      </c>
      <c r="M67" s="605" t="e">
        <f t="shared" ca="1" si="36"/>
        <v>#N/A</v>
      </c>
      <c r="N67" s="607" t="e">
        <f t="shared" ca="1" si="37"/>
        <v>#N/A</v>
      </c>
      <c r="O67" s="608" t="str">
        <f t="shared" ca="1" si="61"/>
        <v/>
      </c>
      <c r="P67" s="605" t="str">
        <f t="shared" si="56"/>
        <v>––</v>
      </c>
      <c r="Q67" s="605" t="str">
        <f t="shared" ca="1" si="38"/>
        <v/>
      </c>
      <c r="R67" s="606" t="str">
        <f t="shared" ca="1" si="39"/>
        <v/>
      </c>
      <c r="S67" s="605" t="e">
        <f t="shared" ca="1" si="40"/>
        <v>#N/A</v>
      </c>
      <c r="T67" s="607" t="e">
        <f t="shared" ca="1" si="41"/>
        <v>#N/A</v>
      </c>
      <c r="U67" s="608" t="str">
        <f t="shared" ca="1" si="62"/>
        <v/>
      </c>
      <c r="V67" s="605" t="str">
        <f t="shared" si="57"/>
        <v>––</v>
      </c>
      <c r="W67" s="605" t="str">
        <f t="shared" ca="1" si="42"/>
        <v/>
      </c>
      <c r="X67" s="606" t="str">
        <f t="shared" ca="1" si="43"/>
        <v/>
      </c>
      <c r="Y67" s="605" t="e">
        <f t="shared" ca="1" si="44"/>
        <v>#N/A</v>
      </c>
      <c r="Z67" s="607" t="e">
        <f t="shared" ca="1" si="45"/>
        <v>#N/A</v>
      </c>
      <c r="AA67" s="608" t="str">
        <f t="shared" ca="1" si="63"/>
        <v/>
      </c>
      <c r="AB67" s="605" t="str">
        <f t="shared" si="58"/>
        <v>––</v>
      </c>
      <c r="AC67" s="605" t="str">
        <f t="shared" ca="1" si="46"/>
        <v/>
      </c>
      <c r="AD67" s="606" t="str">
        <f t="shared" ca="1" si="47"/>
        <v/>
      </c>
      <c r="AE67" s="605" t="e">
        <f t="shared" ca="1" si="48"/>
        <v>#N/A</v>
      </c>
      <c r="AF67" s="607" t="e">
        <f t="shared" ca="1" si="49"/>
        <v>#N/A</v>
      </c>
      <c r="AG67" s="608" t="str">
        <f ca="1">IF(AD67="","",IF($F$41=1,IF(AF67&lt;&gt;"",CONCATENATE(AE67,"–",AF67),AC67),IF($F$41=2,CONCATENATE(AD67,"."),AC67)))</f>
        <v/>
      </c>
      <c r="AH67" s="605" t="str">
        <f t="shared" si="59"/>
        <v>––</v>
      </c>
      <c r="AI67" s="605" t="str">
        <f t="shared" ca="1" si="50"/>
        <v/>
      </c>
      <c r="AJ67" s="606" t="str">
        <f t="shared" ca="1" si="51"/>
        <v/>
      </c>
      <c r="AK67" s="605" t="e">
        <f t="shared" ca="1" si="52"/>
        <v>#N/A</v>
      </c>
      <c r="AL67" s="607" t="e">
        <f t="shared" ca="1" si="53"/>
        <v>#N/A</v>
      </c>
      <c r="AM67" s="608" t="str">
        <f ca="1">IF(AJ67="","",IF($F$41=1,IF(AL67&lt;&gt;"",CONCATENATE(AK67,"–",AL67),AI67),IF($F$41=2,CONCATENATE(AJ67,"."),AI67)))</f>
        <v/>
      </c>
    </row>
    <row r="68" spans="3:39" ht="15" hidden="1" customHeight="1" x14ac:dyDescent="0.2">
      <c r="C68" s="611" t="str">
        <f>IF(RTAB!AW99=0,"–",RTAB!AW99)</f>
        <v>–</v>
      </c>
      <c r="D68" s="602" t="str">
        <f t="shared" si="54"/>
        <v>––</v>
      </c>
      <c r="E68" s="602" t="str">
        <f t="shared" ca="1" si="30"/>
        <v/>
      </c>
      <c r="F68" s="603" t="str">
        <f t="shared" ca="1" si="31"/>
        <v/>
      </c>
      <c r="G68" s="602" t="e">
        <f t="shared" ca="1" si="32"/>
        <v>#N/A</v>
      </c>
      <c r="H68" s="595" t="e">
        <f t="shared" ca="1" si="33"/>
        <v>#N/A</v>
      </c>
      <c r="I68" s="608" t="str">
        <f t="shared" ca="1" si="60"/>
        <v/>
      </c>
      <c r="J68" s="605" t="str">
        <f t="shared" si="55"/>
        <v>––</v>
      </c>
      <c r="K68" s="605" t="str">
        <f t="shared" ca="1" si="34"/>
        <v/>
      </c>
      <c r="L68" s="606" t="str">
        <f t="shared" ca="1" si="35"/>
        <v/>
      </c>
      <c r="M68" s="605" t="e">
        <f t="shared" ca="1" si="36"/>
        <v>#N/A</v>
      </c>
      <c r="N68" s="607" t="e">
        <f t="shared" ca="1" si="37"/>
        <v>#N/A</v>
      </c>
      <c r="O68" s="608" t="str">
        <f t="shared" ca="1" si="61"/>
        <v/>
      </c>
      <c r="P68" s="605" t="str">
        <f t="shared" si="56"/>
        <v>––</v>
      </c>
      <c r="Q68" s="605" t="str">
        <f t="shared" ca="1" si="38"/>
        <v/>
      </c>
      <c r="R68" s="606" t="str">
        <f t="shared" ca="1" si="39"/>
        <v/>
      </c>
      <c r="S68" s="605" t="e">
        <f t="shared" ca="1" si="40"/>
        <v>#N/A</v>
      </c>
      <c r="T68" s="607" t="e">
        <f t="shared" ca="1" si="41"/>
        <v>#N/A</v>
      </c>
      <c r="U68" s="608" t="str">
        <f t="shared" ca="1" si="62"/>
        <v/>
      </c>
      <c r="V68" s="605" t="str">
        <f t="shared" si="57"/>
        <v>––</v>
      </c>
      <c r="W68" s="605" t="str">
        <f t="shared" ca="1" si="42"/>
        <v/>
      </c>
      <c r="X68" s="606" t="str">
        <f t="shared" ca="1" si="43"/>
        <v/>
      </c>
      <c r="Y68" s="605" t="e">
        <f t="shared" ca="1" si="44"/>
        <v>#N/A</v>
      </c>
      <c r="Z68" s="607" t="e">
        <f t="shared" ca="1" si="45"/>
        <v>#N/A</v>
      </c>
      <c r="AA68" s="608" t="str">
        <f t="shared" ca="1" si="63"/>
        <v/>
      </c>
      <c r="AB68" s="605" t="str">
        <f t="shared" si="58"/>
        <v>––</v>
      </c>
      <c r="AC68" s="605" t="str">
        <f t="shared" ca="1" si="46"/>
        <v/>
      </c>
      <c r="AD68" s="606" t="str">
        <f t="shared" ca="1" si="47"/>
        <v/>
      </c>
      <c r="AE68" s="605" t="e">
        <f t="shared" ca="1" si="48"/>
        <v>#N/A</v>
      </c>
      <c r="AF68" s="607" t="e">
        <f t="shared" ca="1" si="49"/>
        <v>#N/A</v>
      </c>
      <c r="AG68" s="608" t="str">
        <f ca="1">IF(AD68="","",IF($F$41=1,IF(AF68&lt;&gt;"",CONCATENATE(AE68,"–",AF68),AC68),IF($F$41=2,CONCATENATE(AD68,"."),AC68)))</f>
        <v/>
      </c>
      <c r="AH68" s="605" t="str">
        <f t="shared" si="59"/>
        <v>––</v>
      </c>
      <c r="AI68" s="605" t="str">
        <f t="shared" ca="1" si="50"/>
        <v/>
      </c>
      <c r="AJ68" s="606" t="str">
        <f t="shared" ca="1" si="51"/>
        <v/>
      </c>
      <c r="AK68" s="605" t="e">
        <f t="shared" ca="1" si="52"/>
        <v>#N/A</v>
      </c>
      <c r="AL68" s="607" t="e">
        <f t="shared" ca="1" si="53"/>
        <v>#N/A</v>
      </c>
      <c r="AM68" s="608" t="str">
        <f ca="1">IF(AJ68="","",IF($F$41=1,IF(AL68&lt;&gt;"",CONCATENATE(AK68,"–",AL68),AI68),IF($F$41=2,CONCATENATE(AJ68,"."),AI68)))</f>
        <v/>
      </c>
    </row>
    <row r="69" spans="3:39" ht="15" customHeight="1" x14ac:dyDescent="0.15"/>
    <row r="70" spans="3:39" ht="15" customHeight="1" x14ac:dyDescent="0.15"/>
    <row r="71" spans="3:39" ht="15" customHeight="1" x14ac:dyDescent="0.15"/>
    <row r="72" spans="3:39" ht="15" customHeight="1" x14ac:dyDescent="0.15"/>
    <row r="73" spans="3:39" ht="15" customHeight="1" x14ac:dyDescent="0.15"/>
    <row r="74" spans="3:39" ht="15" customHeight="1" x14ac:dyDescent="0.15"/>
    <row r="75" spans="3:39" ht="15" customHeight="1" x14ac:dyDescent="0.15"/>
    <row r="76" spans="3:39" ht="15" customHeight="1" x14ac:dyDescent="0.15"/>
    <row r="77" spans="3:39" ht="15" customHeight="1" x14ac:dyDescent="0.15"/>
    <row r="78" spans="3:39" ht="15" customHeight="1" x14ac:dyDescent="0.15"/>
    <row r="79" spans="3:39" ht="15" customHeight="1" x14ac:dyDescent="0.15"/>
    <row r="80" spans="3:39" ht="15" customHeight="1" x14ac:dyDescent="0.15"/>
    <row r="81" ht="15" customHeight="1" x14ac:dyDescent="0.15"/>
    <row r="82" ht="15" customHeight="1" x14ac:dyDescent="0.15"/>
    <row r="83" ht="15" customHeight="1" x14ac:dyDescent="0.15"/>
  </sheetData>
  <sheetProtection password="CE76" sheet="1" objects="1" scenarios="1"/>
  <phoneticPr fontId="3" type="noConversion"/>
  <conditionalFormatting sqref="AM42:AM46 AG42:AG45 AA42:AA44 U42:U43 O42 AA55 AG51:AG54 AA51:AA53 U51:U52 O51 I60:I68 O61:O68 U62:U68 AA63:AA68 AG64:AG68 AM65:AM68 AM59:AM63 AG59:AG62 AA59:AA61 U59:U60 O59 I43:I47 O44:O47 U45:U47 AA46:AA47 AG47 I52:I55 O53:O55 U54:U55">
    <cfRule type="expression" dxfId="51" priority="1" stopIfTrue="1">
      <formula>H42&lt;&gt;""</formula>
    </cfRule>
    <cfRule type="expression" dxfId="50" priority="2" stopIfTrue="1">
      <formula>E42&lt;=TODAY()</formula>
    </cfRule>
    <cfRule type="expression" dxfId="49" priority="3" stopIfTrue="1">
      <formula>E42&lt;=$E$41+2</formula>
    </cfRule>
  </conditionalFormatting>
  <pageMargins left="0.31496062992125984" right="0.31496062992125984" top="0.51181102362204722" bottom="0.51181102362204722" header="0.51181102362204722" footer="0.51181102362204722"/>
  <pageSetup paperSize="9" orientation="landscape" r:id="rId1"/>
  <headerFooter alignWithMargins="0"/>
  <drawing r:id="rId2"/>
  <legacyDrawing r:id="rId3"/>
  <picture r:id="rId4"/>
  <mc:AlternateContent xmlns:mc="http://schemas.openxmlformats.org/markup-compatibility/2006">
    <mc:Choice Requires="x14">
      <controls>
        <mc:AlternateContent xmlns:mc="http://schemas.openxmlformats.org/markup-compatibility/2006">
          <mc:Choice Requires="x14">
            <control shapeId="19562" r:id="rId5" name="Option Button 106">
              <controlPr locked="0" defaultSize="0" autoFill="0" autoLine="0" autoPict="0">
                <anchor moveWithCells="1" sizeWithCells="1">
                  <from>
                    <xdr:col>40</xdr:col>
                    <xdr:colOff>152400</xdr:colOff>
                    <xdr:row>40</xdr:row>
                    <xdr:rowOff>209550</xdr:rowOff>
                  </from>
                  <to>
                    <xdr:col>40</xdr:col>
                    <xdr:colOff>390525</xdr:colOff>
                    <xdr:row>40</xdr:row>
                    <xdr:rowOff>466725</xdr:rowOff>
                  </to>
                </anchor>
              </controlPr>
            </control>
          </mc:Choice>
        </mc:AlternateContent>
        <mc:AlternateContent xmlns:mc="http://schemas.openxmlformats.org/markup-compatibility/2006">
          <mc:Choice Requires="x14">
            <control shapeId="19563" r:id="rId6" name="Option Button 107">
              <controlPr locked="0" defaultSize="0" autoFill="0" autoLine="0" autoPict="0">
                <anchor moveWithCells="1" sizeWithCells="1">
                  <from>
                    <xdr:col>40</xdr:col>
                    <xdr:colOff>152400</xdr:colOff>
                    <xdr:row>40</xdr:row>
                    <xdr:rowOff>419100</xdr:rowOff>
                  </from>
                  <to>
                    <xdr:col>40</xdr:col>
                    <xdr:colOff>390525</xdr:colOff>
                    <xdr:row>40</xdr:row>
                    <xdr:rowOff>647700</xdr:rowOff>
                  </to>
                </anchor>
              </controlPr>
            </control>
          </mc:Choice>
        </mc:AlternateContent>
        <mc:AlternateContent xmlns:mc="http://schemas.openxmlformats.org/markup-compatibility/2006">
          <mc:Choice Requires="x14">
            <control shapeId="19569" r:id="rId7" name="Option Button 113">
              <controlPr locked="0" defaultSize="0" autoFill="0" autoLine="0" autoPict="0">
                <anchor moveWithCells="1" sizeWithCells="1">
                  <from>
                    <xdr:col>40</xdr:col>
                    <xdr:colOff>152400</xdr:colOff>
                    <xdr:row>40</xdr:row>
                    <xdr:rowOff>619125</xdr:rowOff>
                  </from>
                  <to>
                    <xdr:col>40</xdr:col>
                    <xdr:colOff>390525</xdr:colOff>
                    <xdr:row>40</xdr:row>
                    <xdr:rowOff>847725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7">
    <pageSetUpPr autoPageBreaks="0"/>
  </sheetPr>
  <dimension ref="A1:BO423"/>
  <sheetViews>
    <sheetView showRowColHeaders="0" topLeftCell="BP40" zoomScaleNormal="100" workbookViewId="0">
      <selection activeCell="BP40" sqref="BP40"/>
    </sheetView>
  </sheetViews>
  <sheetFormatPr defaultColWidth="9.140625" defaultRowHeight="11.25" customHeight="1" x14ac:dyDescent="0.3"/>
  <cols>
    <col min="1" max="1" width="1.7109375" style="61" hidden="1" customWidth="1"/>
    <col min="2" max="2" width="3.42578125" style="62" hidden="1" customWidth="1"/>
    <col min="3" max="3" width="4.28515625" style="133" hidden="1" customWidth="1"/>
    <col min="4" max="4" width="14.28515625" style="64" hidden="1" customWidth="1"/>
    <col min="5" max="5" width="29" style="64" hidden="1" customWidth="1"/>
    <col min="6" max="6" width="4.28515625" style="64" hidden="1" customWidth="1"/>
    <col min="7" max="7" width="1.140625" style="64" hidden="1" customWidth="1"/>
    <col min="8" max="8" width="4.28515625" style="64" hidden="1" customWidth="1"/>
    <col min="9" max="9" width="24.7109375" style="64" hidden="1" customWidth="1"/>
    <col min="10" max="12" width="1.140625" style="64" hidden="1" customWidth="1"/>
    <col min="13" max="13" width="15.28515625" style="64" hidden="1" customWidth="1"/>
    <col min="14" max="14" width="3.42578125" style="64" hidden="1" customWidth="1"/>
    <col min="15" max="15" width="30.7109375" style="64" hidden="1" customWidth="1"/>
    <col min="16" max="16" width="2" style="65" hidden="1" customWidth="1"/>
    <col min="17" max="17" width="1.42578125" style="65" hidden="1" customWidth="1"/>
    <col min="18" max="18" width="0.7109375" style="65" hidden="1" customWidth="1"/>
    <col min="19" max="19" width="0" style="65" hidden="1" customWidth="1"/>
    <col min="20" max="20" width="3.42578125" style="66" hidden="1" customWidth="1"/>
    <col min="21" max="21" width="3.5703125" style="6" hidden="1" customWidth="1"/>
    <col min="22" max="22" width="3.5703125" style="22" hidden="1" customWidth="1"/>
    <col min="23" max="23" width="14.7109375" style="15" hidden="1" customWidth="1"/>
    <col min="24" max="24" width="8.85546875" style="6" hidden="1" customWidth="1"/>
    <col min="25" max="29" width="3.5703125" style="71" hidden="1" customWidth="1"/>
    <col min="30" max="30" width="17.140625" style="71" hidden="1" customWidth="1"/>
    <col min="31" max="32" width="3.5703125" style="71" hidden="1" customWidth="1"/>
    <col min="33" max="33" width="17.140625" style="71" hidden="1" customWidth="1"/>
    <col min="34" max="35" width="3.7109375" style="71" hidden="1" customWidth="1"/>
    <col min="36" max="36" width="10" style="71" hidden="1" customWidth="1"/>
    <col min="37" max="38" width="3.7109375" style="71" hidden="1" customWidth="1"/>
    <col min="39" max="39" width="3.5703125" style="6" hidden="1" customWidth="1"/>
    <col min="40" max="40" width="3.42578125" style="66" hidden="1" customWidth="1"/>
    <col min="41" max="41" width="3.5703125" style="91" hidden="1" customWidth="1"/>
    <col min="42" max="42" width="4.7109375" style="91" hidden="1" customWidth="1"/>
    <col min="43" max="44" width="0" style="92" hidden="1" customWidth="1"/>
    <col min="45" max="45" width="3.7109375" style="92" hidden="1" customWidth="1"/>
    <col min="46" max="48" width="4.7109375" style="91" hidden="1" customWidth="1"/>
    <col min="49" max="50" width="0" style="92" hidden="1" customWidth="1"/>
    <col min="51" max="52" width="5.28515625" style="91" hidden="1" customWidth="1"/>
    <col min="53" max="53" width="3.5703125" style="91" hidden="1" customWidth="1"/>
    <col min="54" max="54" width="3.42578125" style="66" hidden="1" customWidth="1"/>
    <col min="55" max="55" width="3" style="6" hidden="1" customWidth="1"/>
    <col min="56" max="56" width="14.7109375" style="6" hidden="1" customWidth="1"/>
    <col min="57" max="57" width="10.28515625" style="6" hidden="1" customWidth="1"/>
    <col min="58" max="58" width="3" style="6" hidden="1" customWidth="1"/>
    <col min="59" max="59" width="3.42578125" style="67" hidden="1" customWidth="1"/>
    <col min="60" max="60" width="3.5703125" style="93" hidden="1" customWidth="1"/>
    <col min="61" max="61" width="14.140625" style="93" hidden="1" customWidth="1"/>
    <col min="62" max="65" width="5.85546875" style="93" hidden="1" customWidth="1"/>
    <col min="66" max="66" width="3.5703125" style="93" hidden="1" customWidth="1"/>
    <col min="67" max="67" width="3.140625" style="94" hidden="1" customWidth="1"/>
    <col min="68" max="16384" width="9.140625" style="68"/>
  </cols>
  <sheetData>
    <row r="1" spans="4:6" s="24" customFormat="1" ht="1.5" hidden="1" customHeight="1" x14ac:dyDescent="0.3">
      <c r="D1" s="25"/>
      <c r="E1" s="25"/>
      <c r="F1" s="25"/>
    </row>
    <row r="2" spans="4:6" s="24" customFormat="1" ht="0.75" hidden="1" customHeight="1" x14ac:dyDescent="0.3">
      <c r="D2" s="26"/>
      <c r="E2" s="27"/>
      <c r="F2" s="27"/>
    </row>
    <row r="3" spans="4:6" s="24" customFormat="1" ht="1.5" hidden="1" customHeight="1" x14ac:dyDescent="0.3">
      <c r="D3" s="28"/>
      <c r="E3" s="29"/>
      <c r="F3" s="30"/>
    </row>
    <row r="4" spans="4:6" s="24" customFormat="1" ht="0.75" hidden="1" customHeight="1" x14ac:dyDescent="0.3">
      <c r="D4" s="28"/>
      <c r="E4" s="29"/>
      <c r="F4" s="30"/>
    </row>
    <row r="5" spans="4:6" s="24" customFormat="1" ht="1.5" hidden="1" customHeight="1" x14ac:dyDescent="0.3">
      <c r="D5" s="28"/>
      <c r="E5" s="29"/>
      <c r="F5" s="30"/>
    </row>
    <row r="6" spans="4:6" s="24" customFormat="1" ht="0.75" hidden="1" customHeight="1" x14ac:dyDescent="0.3">
      <c r="D6" s="28"/>
      <c r="E6" s="29"/>
      <c r="F6" s="30"/>
    </row>
    <row r="7" spans="4:6" s="24" customFormat="1" ht="1.5" hidden="1" customHeight="1" x14ac:dyDescent="0.3">
      <c r="D7" s="28"/>
      <c r="E7" s="29"/>
      <c r="F7" s="30"/>
    </row>
    <row r="8" spans="4:6" s="24" customFormat="1" ht="0.75" hidden="1" customHeight="1" x14ac:dyDescent="0.3">
      <c r="D8" s="28"/>
      <c r="E8" s="29"/>
      <c r="F8" s="30"/>
    </row>
    <row r="9" spans="4:6" s="24" customFormat="1" ht="1.5" hidden="1" customHeight="1" x14ac:dyDescent="0.3">
      <c r="D9" s="28"/>
      <c r="E9" s="29"/>
      <c r="F9" s="30"/>
    </row>
    <row r="10" spans="4:6" s="24" customFormat="1" ht="0.75" hidden="1" customHeight="1" x14ac:dyDescent="0.3">
      <c r="D10" s="28"/>
      <c r="E10" s="29"/>
      <c r="F10" s="30"/>
    </row>
    <row r="11" spans="4:6" s="24" customFormat="1" ht="1.5" hidden="1" customHeight="1" x14ac:dyDescent="0.3">
      <c r="D11" s="28"/>
      <c r="E11" s="29"/>
      <c r="F11" s="30"/>
    </row>
    <row r="12" spans="4:6" s="24" customFormat="1" ht="0.75" hidden="1" customHeight="1" x14ac:dyDescent="0.3">
      <c r="D12" s="28"/>
      <c r="E12" s="29"/>
      <c r="F12" s="30"/>
    </row>
    <row r="13" spans="4:6" s="24" customFormat="1" ht="1.5" hidden="1" customHeight="1" x14ac:dyDescent="0.3">
      <c r="D13" s="28"/>
      <c r="E13" s="29"/>
      <c r="F13" s="30"/>
    </row>
    <row r="14" spans="4:6" s="24" customFormat="1" ht="0.75" hidden="1" customHeight="1" x14ac:dyDescent="0.3">
      <c r="D14" s="28"/>
      <c r="E14" s="29"/>
      <c r="F14" s="30"/>
    </row>
    <row r="15" spans="4:6" s="24" customFormat="1" ht="1.5" hidden="1" customHeight="1" x14ac:dyDescent="0.3">
      <c r="D15" s="28"/>
      <c r="E15" s="29"/>
      <c r="F15" s="30"/>
    </row>
    <row r="16" spans="4:6" s="24" customFormat="1" ht="0.75" hidden="1" customHeight="1" x14ac:dyDescent="0.3">
      <c r="D16" s="28"/>
      <c r="E16" s="29"/>
      <c r="F16" s="30"/>
    </row>
    <row r="17" spans="4:6" s="24" customFormat="1" ht="1.5" hidden="1" customHeight="1" x14ac:dyDescent="0.3">
      <c r="D17" s="28"/>
      <c r="E17" s="29"/>
      <c r="F17" s="30"/>
    </row>
    <row r="18" spans="4:6" s="24" customFormat="1" ht="0.75" hidden="1" customHeight="1" x14ac:dyDescent="0.3">
      <c r="D18" s="28"/>
      <c r="E18" s="29"/>
      <c r="F18" s="30"/>
    </row>
    <row r="19" spans="4:6" s="24" customFormat="1" ht="1.5" hidden="1" customHeight="1" x14ac:dyDescent="0.3">
      <c r="D19" s="28"/>
      <c r="E19" s="29"/>
      <c r="F19" s="30"/>
    </row>
    <row r="20" spans="4:6" s="24" customFormat="1" ht="0.75" hidden="1" customHeight="1" x14ac:dyDescent="0.3">
      <c r="D20" s="28"/>
      <c r="E20" s="29"/>
      <c r="F20" s="30"/>
    </row>
    <row r="21" spans="4:6" s="24" customFormat="1" ht="1.5" hidden="1" customHeight="1" x14ac:dyDescent="0.3">
      <c r="D21" s="28"/>
      <c r="E21" s="29"/>
      <c r="F21" s="30"/>
    </row>
    <row r="22" spans="4:6" s="24" customFormat="1" ht="0.75" hidden="1" customHeight="1" x14ac:dyDescent="0.3">
      <c r="D22" s="28"/>
      <c r="E22" s="29"/>
      <c r="F22" s="30"/>
    </row>
    <row r="23" spans="4:6" s="24" customFormat="1" ht="1.5" hidden="1" customHeight="1" x14ac:dyDescent="0.3">
      <c r="D23" s="28"/>
      <c r="E23" s="29"/>
      <c r="F23" s="30"/>
    </row>
    <row r="24" spans="4:6" s="24" customFormat="1" ht="0.75" hidden="1" customHeight="1" x14ac:dyDescent="0.3">
      <c r="D24" s="28"/>
      <c r="E24" s="29"/>
      <c r="F24" s="30"/>
    </row>
    <row r="25" spans="4:6" s="24" customFormat="1" ht="1.5" hidden="1" customHeight="1" x14ac:dyDescent="0.3">
      <c r="D25" s="28"/>
      <c r="E25" s="29"/>
      <c r="F25" s="30"/>
    </row>
    <row r="26" spans="4:6" s="24" customFormat="1" ht="0.75" hidden="1" customHeight="1" x14ac:dyDescent="0.3">
      <c r="D26" s="28"/>
      <c r="E26" s="29"/>
      <c r="F26" s="30"/>
    </row>
    <row r="27" spans="4:6" s="24" customFormat="1" ht="1.5" hidden="1" customHeight="1" x14ac:dyDescent="0.3">
      <c r="D27" s="28"/>
      <c r="E27" s="29"/>
      <c r="F27" s="30"/>
    </row>
    <row r="28" spans="4:6" s="24" customFormat="1" ht="0.75" hidden="1" customHeight="1" x14ac:dyDescent="0.3">
      <c r="D28" s="28"/>
      <c r="E28" s="29"/>
      <c r="F28" s="30"/>
    </row>
    <row r="29" spans="4:6" s="24" customFormat="1" ht="1.5" hidden="1" customHeight="1" x14ac:dyDescent="0.3">
      <c r="D29" s="28"/>
      <c r="E29" s="29"/>
      <c r="F29" s="30"/>
    </row>
    <row r="30" spans="4:6" s="24" customFormat="1" ht="0.75" hidden="1" customHeight="1" x14ac:dyDescent="0.3">
      <c r="D30" s="28"/>
      <c r="E30" s="29"/>
      <c r="F30" s="30"/>
    </row>
    <row r="31" spans="4:6" s="24" customFormat="1" ht="1.5" hidden="1" customHeight="1" x14ac:dyDescent="0.3">
      <c r="D31" s="28"/>
      <c r="E31" s="29"/>
      <c r="F31" s="30"/>
    </row>
    <row r="32" spans="4:6" s="24" customFormat="1" ht="0.75" hidden="1" customHeight="1" x14ac:dyDescent="0.3">
      <c r="D32" s="28"/>
      <c r="E32" s="29"/>
      <c r="F32" s="30"/>
    </row>
    <row r="33" spans="1:66" s="24" customFormat="1" ht="1.5" hidden="1" customHeight="1" x14ac:dyDescent="0.3">
      <c r="D33" s="28"/>
      <c r="E33" s="29"/>
      <c r="F33" s="30"/>
    </row>
    <row r="34" spans="1:66" s="24" customFormat="1" ht="0.75" hidden="1" customHeight="1" x14ac:dyDescent="0.3">
      <c r="D34" s="28"/>
      <c r="E34" s="29"/>
      <c r="F34" s="30"/>
    </row>
    <row r="35" spans="1:66" s="24" customFormat="1" ht="1.5" hidden="1" customHeight="1" x14ac:dyDescent="0.3">
      <c r="D35" s="28"/>
      <c r="E35" s="29"/>
      <c r="F35" s="30"/>
    </row>
    <row r="36" spans="1:66" s="24" customFormat="1" ht="0.75" hidden="1" customHeight="1" x14ac:dyDescent="0.3">
      <c r="D36" s="28"/>
      <c r="E36" s="29"/>
      <c r="F36" s="30"/>
    </row>
    <row r="37" spans="1:66" s="24" customFormat="1" ht="1.5" hidden="1" customHeight="1" x14ac:dyDescent="0.3">
      <c r="D37" s="28"/>
      <c r="E37" s="29"/>
      <c r="F37" s="30"/>
    </row>
    <row r="38" spans="1:66" s="24" customFormat="1" ht="0.75" hidden="1" customHeight="1" x14ac:dyDescent="0.3">
      <c r="D38" s="28"/>
      <c r="E38" s="29"/>
      <c r="F38" s="30"/>
    </row>
    <row r="39" spans="1:66" s="1" customFormat="1" ht="12" hidden="1" customHeight="1" x14ac:dyDescent="0.3">
      <c r="B39" s="31" t="s">
        <v>455</v>
      </c>
      <c r="C39" s="2"/>
      <c r="D39" s="3"/>
      <c r="E39" s="4"/>
      <c r="F39" s="5"/>
      <c r="W39" s="154" t="s">
        <v>464</v>
      </c>
    </row>
    <row r="40" spans="1:66" ht="15" customHeight="1" x14ac:dyDescent="0.3">
      <c r="A40" s="864"/>
      <c r="B40" s="88"/>
      <c r="C40" s="89"/>
      <c r="D40" s="90"/>
      <c r="AY40" s="92"/>
      <c r="AZ40" s="92"/>
      <c r="BD40" s="142"/>
      <c r="BH40" s="98"/>
      <c r="BI40" s="98"/>
      <c r="BJ40" s="98"/>
      <c r="BK40" s="99"/>
      <c r="BL40" s="99"/>
      <c r="BM40" s="99"/>
    </row>
    <row r="41" spans="1:66" ht="15" customHeight="1" x14ac:dyDescent="0.3">
      <c r="A41" s="864"/>
      <c r="B41" s="147"/>
      <c r="C41" s="149">
        <f>V41</f>
        <v>1</v>
      </c>
      <c r="D41" s="150" t="str">
        <f>UPPER(W41)</f>
        <v>RÁJÁTSZÁS AZ 1-4. HELYÉRT – ELŐDÖNTŐ (A)</v>
      </c>
      <c r="E41" s="151"/>
      <c r="F41" s="151"/>
      <c r="G41" s="151"/>
      <c r="H41" s="151"/>
      <c r="I41" s="151"/>
      <c r="J41" s="151"/>
      <c r="K41" s="151"/>
      <c r="L41" s="151"/>
      <c r="M41" s="138"/>
      <c r="N41" s="151"/>
      <c r="O41" s="161" t="str">
        <f ca="1">IF(NOT(AG51),"","A PÁRHARC GYŐZTESE: "&amp;UPPER(AG49))</f>
        <v/>
      </c>
      <c r="P41" s="152" t="str">
        <f>IF(NOT(Y49),"",CONCATENATE("A PÁRHARC GYŐZTESE: ",AH47," "))</f>
        <v/>
      </c>
      <c r="Q41" s="148" t="str">
        <f>IF(NOT(Z49),"",CONCATENATE("A PÁRHARC GYŐZTESE: ",AJ47," "))</f>
        <v/>
      </c>
      <c r="R41" s="148" t="str">
        <f>IF(NOT(AA49),"",CONCATENATE("A PÁRHARC GYŐZTESE: ",AK47," "))</f>
        <v/>
      </c>
      <c r="S41" s="148" t="str">
        <f>IF(NOT(AB49),"",CONCATENATE("A PÁRHARC GYŐZTESE: ",AL47," "))</f>
        <v/>
      </c>
      <c r="V41" s="21">
        <v>1</v>
      </c>
      <c r="W41" s="95" t="s">
        <v>478</v>
      </c>
      <c r="X41" s="96"/>
      <c r="Y41" s="96"/>
      <c r="Z41" s="96"/>
      <c r="AA41" s="96"/>
      <c r="AB41" s="96"/>
      <c r="AC41" s="96"/>
      <c r="AD41" s="96"/>
      <c r="AE41" s="96"/>
      <c r="AF41" s="96"/>
      <c r="AG41" s="96"/>
      <c r="AH41" s="96"/>
      <c r="AI41" s="96"/>
      <c r="AJ41" s="96"/>
      <c r="AK41" s="96"/>
      <c r="AL41" s="97"/>
      <c r="AY41" s="13" t="s">
        <v>326</v>
      </c>
      <c r="AZ41" s="13" t="s">
        <v>325</v>
      </c>
      <c r="BD41" s="142" t="s">
        <v>290</v>
      </c>
      <c r="BH41" s="98"/>
      <c r="BI41" s="143" t="s">
        <v>142</v>
      </c>
      <c r="BJ41" s="98"/>
      <c r="BK41" s="99" t="s">
        <v>176</v>
      </c>
      <c r="BL41" s="99"/>
      <c r="BM41" s="144" t="b">
        <f>ASZ!AW59</f>
        <v>1</v>
      </c>
    </row>
    <row r="42" spans="1:66" ht="11.25" customHeight="1" x14ac:dyDescent="0.3">
      <c r="A42" s="864"/>
      <c r="C42" s="145"/>
      <c r="D42" s="135"/>
      <c r="E42" s="73"/>
      <c r="F42" s="107"/>
      <c r="H42" s="110"/>
      <c r="I42" s="146"/>
      <c r="J42" s="107"/>
      <c r="K42" s="160" t="str">
        <f ca="1">IF(OR(AU43,AU44,AU45,AU46,AU47,AU48,AU49),"BÜNTETŐK","")</f>
        <v/>
      </c>
      <c r="L42" s="110"/>
      <c r="M42" s="158" t="s">
        <v>286</v>
      </c>
      <c r="N42" s="159"/>
      <c r="O42" s="158" t="s">
        <v>285</v>
      </c>
      <c r="AP42" s="105" t="s">
        <v>328</v>
      </c>
      <c r="AQ42" s="12" t="s">
        <v>138</v>
      </c>
      <c r="AR42" s="12" t="s">
        <v>139</v>
      </c>
      <c r="AT42" s="105" t="s">
        <v>320</v>
      </c>
      <c r="AU42" s="105" t="s">
        <v>321</v>
      </c>
      <c r="AV42" s="105" t="s">
        <v>324</v>
      </c>
      <c r="AW42" s="12" t="s">
        <v>322</v>
      </c>
      <c r="AX42" s="12" t="s">
        <v>323</v>
      </c>
      <c r="AY42" s="116">
        <f>IF(X52,COUNTIF(Z52:Z53,AG44)*ASZTAB!$AJ$48+COUNTIF(AA52:AB53,AG44),0)</f>
        <v>0</v>
      </c>
      <c r="AZ42" s="116">
        <f>IF(X52,COUNTIF(Z52:Z53,AG45)*ASZTAB!$AJ$48+COUNTIF(AA52:AB53,AG45),0)</f>
        <v>0</v>
      </c>
      <c r="BD42" s="15" t="s">
        <v>292</v>
      </c>
      <c r="BE42" s="23" t="s">
        <v>289</v>
      </c>
      <c r="BH42" s="98"/>
      <c r="BI42" s="134" t="str">
        <f>CONCATENATE(ADDRESS(ROW(BI43),COLUMN(BI43)),":",ADDRESS(ROW(BI43)+300-1-COUNTIF(BI43:BI342,0)-COUNTIF(BI43:BI342,""),COLUMN(BI43)))</f>
        <v>$BI$43:$BI$223</v>
      </c>
      <c r="BJ42" s="98"/>
      <c r="BK42" s="99" t="s">
        <v>177</v>
      </c>
      <c r="BL42" s="99"/>
      <c r="BM42" s="100" t="b">
        <f>ASZ!AW60</f>
        <v>0</v>
      </c>
    </row>
    <row r="43" spans="1:66" ht="15" customHeight="1" x14ac:dyDescent="0.3">
      <c r="A43" s="864"/>
      <c r="B43" s="7"/>
      <c r="C43" s="106">
        <v>1</v>
      </c>
      <c r="D43" s="137">
        <v>40261</v>
      </c>
      <c r="E43" s="107" t="str">
        <f ca="1">IF(NOT($AP43),"",AQ43)</f>
        <v>BBK</v>
      </c>
      <c r="F43" s="108"/>
      <c r="G43" s="64" t="str">
        <f ca="1">IF(NOT($AP43),"","–")</f>
        <v>–</v>
      </c>
      <c r="H43" s="109"/>
      <c r="I43" s="110" t="str">
        <f ca="1">IF(NOT($AP43),"",AR43)</f>
        <v>Zrínyigyöngye</v>
      </c>
      <c r="J43" s="111"/>
      <c r="K43" s="112" t="str">
        <f ca="1">IF(AU43,"–","")</f>
        <v/>
      </c>
      <c r="L43" s="113"/>
      <c r="M43" s="153" t="str">
        <f ca="1">IF(OR(AL43="",NOT(AV43)),"",IF(AL43="p",CONCATENATE(AY43,"–",AZ43),CONCATENATE(AZ43,"–",AY43)))</f>
        <v/>
      </c>
      <c r="N43" s="110"/>
      <c r="O43" s="139"/>
      <c r="P43" s="114"/>
      <c r="Q43" s="114"/>
      <c r="R43" s="114"/>
      <c r="S43" s="114"/>
      <c r="X43" s="11" t="s">
        <v>306</v>
      </c>
      <c r="Y43" s="11" t="s">
        <v>294</v>
      </c>
      <c r="Z43" s="70" t="s">
        <v>295</v>
      </c>
      <c r="AA43" s="70" t="s">
        <v>127</v>
      </c>
      <c r="AB43" s="70" t="s">
        <v>301</v>
      </c>
      <c r="AC43" s="70" t="s">
        <v>302</v>
      </c>
      <c r="AD43" s="70" t="s">
        <v>332</v>
      </c>
      <c r="AE43" s="70" t="s">
        <v>333</v>
      </c>
      <c r="AF43" s="70" t="s">
        <v>329</v>
      </c>
      <c r="AG43" s="70" t="s">
        <v>303</v>
      </c>
      <c r="AH43" s="70" t="s">
        <v>293</v>
      </c>
      <c r="AJ43" s="71" t="s">
        <v>314</v>
      </c>
      <c r="AL43" s="18" t="s">
        <v>318</v>
      </c>
      <c r="AP43" s="115" t="b">
        <f ca="1">AND(AJ44,AJ45,AL43&lt;&gt;"")</f>
        <v>1</v>
      </c>
      <c r="AQ43" s="116" t="str">
        <f ca="1">IF(NOT(AP43),"",IF(AL43="p",AG44,AG45))</f>
        <v>BBK</v>
      </c>
      <c r="AR43" s="117" t="str">
        <f ca="1">IF(NOT(AP43),"",IF(AL43="p",AG45,AG44))</f>
        <v>Zrínyigyöngye</v>
      </c>
      <c r="AT43" s="115" t="b">
        <f t="shared" ref="AT43:AT49" ca="1" si="0">AND(F43&lt;&gt;"",H43&lt;&gt;"",AP43)</f>
        <v>0</v>
      </c>
      <c r="AU43" s="115" t="b">
        <f ca="1">AND(ASZTAB!$AJ$42,AT43,F43=H43)</f>
        <v>0</v>
      </c>
      <c r="AV43" s="115" t="b">
        <f t="shared" ref="AV43:AV49" ca="1" si="1">OR(AND(AT43,NOT(AU43),F43&lt;&gt;H43),AND(AT43,AU43,J43&lt;&gt;"",L43&lt;&gt;"",J43&lt;&gt;L43))</f>
        <v>0</v>
      </c>
      <c r="AW43" s="116" t="str">
        <f t="shared" ref="AW43:AW49" ca="1" si="2">IF(NOT(AV43),"",IF(AU43,IF(F43+J43&gt;H43+L43,E43,I43),IF(F43&gt;H43,E43,I43)))</f>
        <v/>
      </c>
      <c r="AX43" s="117" t="str">
        <f t="shared" ref="AX43:AX49" ca="1" si="3">IF(NOT(AV43),"",IF(AW43=E43,I43,IF(AW43=I43,E43,"")))</f>
        <v/>
      </c>
      <c r="AY43" s="116" t="str">
        <f ca="1">IF(NOT(AV43),"",IF(AG44=AW43,X48,0)+AY42)</f>
        <v/>
      </c>
      <c r="AZ43" s="116" t="str">
        <f ca="1">IF(NOT(AV43),"",IF(AG45=AW43,X48,0)+AZ42)</f>
        <v/>
      </c>
      <c r="BD43" s="15" t="s">
        <v>291</v>
      </c>
      <c r="BE43" s="23" t="s">
        <v>288</v>
      </c>
      <c r="BI43" s="118">
        <v>42370</v>
      </c>
      <c r="BK43" s="99" t="s">
        <v>178</v>
      </c>
      <c r="BL43" s="119"/>
      <c r="BM43" s="100" t="b">
        <f>ASZ!AW61</f>
        <v>0</v>
      </c>
    </row>
    <row r="44" spans="1:66" ht="15" customHeight="1" x14ac:dyDescent="0.3">
      <c r="A44" s="864"/>
      <c r="B44" s="7"/>
      <c r="C44" s="106">
        <v>2</v>
      </c>
      <c r="D44" s="137">
        <v>39909</v>
      </c>
      <c r="E44" s="107" t="str">
        <f t="shared" ref="E44:E49" ca="1" si="4">IF(NOT($AP44),"",AQ44)</f>
        <v>Zrínyigyöngye</v>
      </c>
      <c r="F44" s="108"/>
      <c r="G44" s="64" t="str">
        <f t="shared" ref="G44:G49" ca="1" si="5">IF(NOT($AP44),"","–")</f>
        <v>–</v>
      </c>
      <c r="H44" s="109"/>
      <c r="I44" s="110" t="str">
        <f t="shared" ref="I44:I49" ca="1" si="6">IF(NOT($AP44),"",AR44)</f>
        <v>BBK</v>
      </c>
      <c r="J44" s="111"/>
      <c r="K44" s="112" t="str">
        <f t="shared" ref="K44:K49" ca="1" si="7">IF(AU44,"–","")</f>
        <v/>
      </c>
      <c r="L44" s="113"/>
      <c r="M44" s="153" t="str">
        <f t="shared" ref="M44:M49" ca="1" si="8">IF(OR(AL44="",NOT(AV44)),"",IF(AL44="p",CONCATENATE(AY44,"–",AZ44),CONCATENATE(AZ44,"–",AY44)))</f>
        <v/>
      </c>
      <c r="N44" s="110"/>
      <c r="O44" s="140"/>
      <c r="P44" s="114"/>
      <c r="Q44" s="114"/>
      <c r="R44" s="114"/>
      <c r="S44" s="114"/>
      <c r="W44" s="15" t="s">
        <v>312</v>
      </c>
      <c r="X44" s="18" t="s">
        <v>307</v>
      </c>
      <c r="Y44" s="72" t="s">
        <v>289</v>
      </c>
      <c r="Z44" s="72">
        <v>1</v>
      </c>
      <c r="AA44" s="72">
        <v>1</v>
      </c>
      <c r="AB44" s="18"/>
      <c r="AC44" s="18"/>
      <c r="AD44" s="14" t="str">
        <f ca="1">IF(NOT(AJ44),"",IF(X44=$BE$45,VLOOKUP(AA44,INDIRECT(CONCATENATE("rank.",Y44,Z44)),2,FALSE),VLOOKUP(CONCATENATE(AB44,AC44),result.e,2,FALSE)))</f>
        <v>BBK</v>
      </c>
      <c r="AE44" s="18"/>
      <c r="AF44" s="120" t="str">
        <f ca="1">IF(OR(AD44="",X44=$BE$45),"",VLOOKUP(AD44,INDIRECT(CONCATENATE("rankname.",AE44)),2,FALSE))</f>
        <v/>
      </c>
      <c r="AG44" s="14" t="str">
        <f ca="1">IF(AD44="","",IF(X44=$BE$45,AD44,IF(AF44&gt;AF45,AD45,AD44)))</f>
        <v>BBK</v>
      </c>
      <c r="AH44" s="120">
        <f ca="1">MAX(AY42:AY49)</f>
        <v>0</v>
      </c>
      <c r="AJ44" s="21" t="b">
        <f ca="1">IF(X44=$BE$45,IF(OR(Y44="",Z44="",AA44=""),FALSE,VLOOKUP(CONCATENATE(Y44,Z44),$BD$59:$BE$63,2,FALSE)),IF(OR(AB44="",AC44="",AE44=""),FALSE,VLOOKUP(CONCATENATE(AB44,"e"),result.e,2,FALSE)))</f>
        <v>1</v>
      </c>
      <c r="AL44" s="18" t="s">
        <v>331</v>
      </c>
      <c r="AP44" s="115" t="b">
        <f ca="1">AND(AP43,AL44&lt;&gt;"",(COUNTIF(AP43:AP43,"IGAZ")-COUNTIF(AV43:AV43,"IGAZ"))*X48+MAX(AY42:AZ43)&lt;X47)</f>
        <v>1</v>
      </c>
      <c r="AQ44" s="116" t="str">
        <f ca="1">IF(NOT(AP44),"",IF(AL44="p",AG44,AG45))</f>
        <v>Zrínyigyöngye</v>
      </c>
      <c r="AR44" s="117" t="str">
        <f ca="1">IF(NOT(AP44),"",IF(AL44="p",AG45,AG44))</f>
        <v>BBK</v>
      </c>
      <c r="AT44" s="115" t="b">
        <f t="shared" ca="1" si="0"/>
        <v>0</v>
      </c>
      <c r="AU44" s="115" t="b">
        <f ca="1">AND(ASZTAB!$AJ$42,AT44,F44=H44)</f>
        <v>0</v>
      </c>
      <c r="AV44" s="115" t="b">
        <f t="shared" ca="1" si="1"/>
        <v>0</v>
      </c>
      <c r="AW44" s="116" t="str">
        <f t="shared" ca="1" si="2"/>
        <v/>
      </c>
      <c r="AX44" s="117" t="str">
        <f t="shared" ca="1" si="3"/>
        <v/>
      </c>
      <c r="AY44" s="116" t="str">
        <f ca="1">IF(OR(AY43="",NOT(AV44)),"",IF(AG44=AW44,X48,0)+AY43)</f>
        <v/>
      </c>
      <c r="AZ44" s="116" t="str">
        <f ca="1">IF(OR(AZ43="",NOT(AV44)),"",IF(AG45=AW44,X48,0)+AZ43)</f>
        <v/>
      </c>
      <c r="BI44" s="118">
        <f>BI43+1</f>
        <v>42371</v>
      </c>
      <c r="BK44" s="99" t="s">
        <v>179</v>
      </c>
      <c r="BM44" s="100" t="b">
        <f>ASZ!AW62</f>
        <v>0</v>
      </c>
    </row>
    <row r="45" spans="1:66" ht="15" customHeight="1" x14ac:dyDescent="0.3">
      <c r="A45" s="864"/>
      <c r="B45" s="7"/>
      <c r="C45" s="106">
        <v>3</v>
      </c>
      <c r="D45" s="137">
        <v>39916</v>
      </c>
      <c r="E45" s="107" t="str">
        <f t="shared" ca="1" si="4"/>
        <v>BBK</v>
      </c>
      <c r="F45" s="108"/>
      <c r="G45" s="64" t="str">
        <f t="shared" ca="1" si="5"/>
        <v>–</v>
      </c>
      <c r="H45" s="109"/>
      <c r="I45" s="110" t="str">
        <f t="shared" ca="1" si="6"/>
        <v>Zrínyigyöngye</v>
      </c>
      <c r="J45" s="111"/>
      <c r="K45" s="112" t="str">
        <f t="shared" ca="1" si="7"/>
        <v/>
      </c>
      <c r="L45" s="113"/>
      <c r="M45" s="153" t="str">
        <f t="shared" ca="1" si="8"/>
        <v/>
      </c>
      <c r="N45" s="110"/>
      <c r="O45" s="140"/>
      <c r="P45" s="114"/>
      <c r="Q45" s="114"/>
      <c r="R45" s="114"/>
      <c r="S45" s="114"/>
      <c r="W45" s="15" t="s">
        <v>313</v>
      </c>
      <c r="X45" s="18" t="s">
        <v>307</v>
      </c>
      <c r="Y45" s="72" t="s">
        <v>289</v>
      </c>
      <c r="Z45" s="72">
        <v>1</v>
      </c>
      <c r="AA45" s="72">
        <v>4</v>
      </c>
      <c r="AB45" s="18"/>
      <c r="AC45" s="18"/>
      <c r="AD45" s="14" t="str">
        <f ca="1">IF(NOT(AJ45),"",IF(X45=$BE$45,VLOOKUP(AA45,INDIRECT(CONCATENATE("rank.",Y45,Z45)),2,FALSE),VLOOKUP(CONCATENATE(AB45,AC45),result.e,2,FALSE)))</f>
        <v>Zrínyigyöngye</v>
      </c>
      <c r="AE45" s="18"/>
      <c r="AF45" s="120" t="str">
        <f ca="1">IF(OR(AD45="",X45=$BE$45),"",VLOOKUP(AD45,INDIRECT(CONCATENATE("rankname.",AE45)),2,FALSE))</f>
        <v/>
      </c>
      <c r="AG45" s="14" t="str">
        <f ca="1">IF(AD45="","",IF(X45=$BE$45,AD45,IF(AF44&gt;AF45,AD44,AD45)))</f>
        <v>Zrínyigyöngye</v>
      </c>
      <c r="AH45" s="120">
        <f ca="1">MAX(AZ42:AZ49)</f>
        <v>0</v>
      </c>
      <c r="AJ45" s="21" t="b">
        <f ca="1">IF(X45=$BE$45,IF(OR(Y45="",Z45="",AA45=""),FALSE,VLOOKUP(CONCATENATE(Y45,Z45),$BD$59:$BE$63,2,FALSE)),IF(OR(AB45="",AC45="",AE45=""),FALSE,VLOOKUP(CONCATENATE(AB45,"e"),result.e,2,FALSE)))</f>
        <v>1</v>
      </c>
      <c r="AL45" s="18" t="s">
        <v>318</v>
      </c>
      <c r="AP45" s="115" t="b">
        <f ca="1">AND(AP44,AL45&lt;&gt;"",(COUNTIF(AP43:AP44,"IGAZ")-COUNTIF(AV43:AV44,"IGAZ"))*X48+MAX(AY42:AZ44)&lt;X47)</f>
        <v>1</v>
      </c>
      <c r="AQ45" s="116" t="str">
        <f ca="1">IF(NOT(AP45),"",IF(AL45="p",AG44,AG45))</f>
        <v>BBK</v>
      </c>
      <c r="AR45" s="117" t="str">
        <f ca="1">IF(NOT(AP45),"",IF(AL45="p",AG45,AG44))</f>
        <v>Zrínyigyöngye</v>
      </c>
      <c r="AT45" s="115" t="b">
        <f t="shared" ca="1" si="0"/>
        <v>0</v>
      </c>
      <c r="AU45" s="115" t="b">
        <f ca="1">AND(ASZTAB!$AJ$42,AT45,F45=H45)</f>
        <v>0</v>
      </c>
      <c r="AV45" s="115" t="b">
        <f t="shared" ca="1" si="1"/>
        <v>0</v>
      </c>
      <c r="AW45" s="116" t="str">
        <f t="shared" ca="1" si="2"/>
        <v/>
      </c>
      <c r="AX45" s="117" t="str">
        <f t="shared" ca="1" si="3"/>
        <v/>
      </c>
      <c r="AY45" s="116" t="str">
        <f ca="1">IF(OR(AY44="",NOT(AV45)),"",IF(AG44=AW45,X48,0)+AY44)</f>
        <v/>
      </c>
      <c r="AZ45" s="116" t="str">
        <f ca="1">IF(OR(AZ44="",NOT(AV45)),"",IF(AG45=AW45,X48,0)+AZ44)</f>
        <v/>
      </c>
      <c r="BD45" s="15" t="s">
        <v>304</v>
      </c>
      <c r="BE45" s="23" t="s">
        <v>307</v>
      </c>
      <c r="BI45" s="118">
        <f t="shared" ref="BI45:BI108" si="9">BI44+1</f>
        <v>42372</v>
      </c>
      <c r="BN45" s="119"/>
    </row>
    <row r="46" spans="1:66" ht="15" customHeight="1" x14ac:dyDescent="0.3">
      <c r="A46" s="864"/>
      <c r="B46" s="7"/>
      <c r="C46" s="106">
        <v>4</v>
      </c>
      <c r="D46" s="137">
        <v>39919</v>
      </c>
      <c r="E46" s="107" t="str">
        <f t="shared" ca="1" si="4"/>
        <v/>
      </c>
      <c r="F46" s="108"/>
      <c r="G46" s="64" t="str">
        <f t="shared" ca="1" si="5"/>
        <v/>
      </c>
      <c r="H46" s="109"/>
      <c r="I46" s="110" t="str">
        <f t="shared" ca="1" si="6"/>
        <v/>
      </c>
      <c r="J46" s="111"/>
      <c r="K46" s="112" t="str">
        <f t="shared" ca="1" si="7"/>
        <v/>
      </c>
      <c r="L46" s="113"/>
      <c r="M46" s="153" t="str">
        <f t="shared" ca="1" si="8"/>
        <v/>
      </c>
      <c r="N46" s="110"/>
      <c r="O46" s="140"/>
      <c r="P46" s="114"/>
      <c r="Q46" s="114"/>
      <c r="AL46" s="18" t="s">
        <v>331</v>
      </c>
      <c r="AP46" s="115" t="b">
        <f ca="1">AND(AP45,AL46&lt;&gt;"",(COUNTIF(AP43:AP45,"IGAZ")-COUNTIF(AV43:AV45,"IGAZ"))*X48+MAX(AY42:AZ45)&lt;X47)</f>
        <v>0</v>
      </c>
      <c r="AQ46" s="116" t="str">
        <f ca="1">IF(NOT(AP46),"",IF(AL46="p",AG44,AG45))</f>
        <v/>
      </c>
      <c r="AR46" s="117" t="str">
        <f ca="1">IF(NOT(AP46),"",IF(AL46="p",AG45,AG44))</f>
        <v/>
      </c>
      <c r="AT46" s="115" t="b">
        <f t="shared" ca="1" si="0"/>
        <v>0</v>
      </c>
      <c r="AU46" s="115" t="b">
        <f ca="1">AND(ASZTAB!$AJ$42,AT46,F46=H46)</f>
        <v>0</v>
      </c>
      <c r="AV46" s="115" t="b">
        <f t="shared" ca="1" si="1"/>
        <v>0</v>
      </c>
      <c r="AW46" s="116" t="str">
        <f t="shared" ca="1" si="2"/>
        <v/>
      </c>
      <c r="AX46" s="117" t="str">
        <f t="shared" ca="1" si="3"/>
        <v/>
      </c>
      <c r="AY46" s="116" t="str">
        <f ca="1">IF(OR(AY45="",NOT(AV46)),"",IF(AG44=AW46,X48,0)+AY45)</f>
        <v/>
      </c>
      <c r="AZ46" s="116" t="str">
        <f ca="1">IF(OR(AZ45="",NOT(AV46)),"",IF(AG45=AW46,X48,0)+AZ45)</f>
        <v/>
      </c>
      <c r="BD46" s="15" t="s">
        <v>305</v>
      </c>
      <c r="BE46" s="23" t="s">
        <v>308</v>
      </c>
      <c r="BI46" s="118">
        <f t="shared" si="9"/>
        <v>42373</v>
      </c>
    </row>
    <row r="47" spans="1:66" ht="15" customHeight="1" x14ac:dyDescent="0.3">
      <c r="A47" s="864"/>
      <c r="B47" s="121"/>
      <c r="C47" s="106">
        <v>5</v>
      </c>
      <c r="D47" s="137">
        <v>39926</v>
      </c>
      <c r="E47" s="107" t="str">
        <f t="shared" ca="1" si="4"/>
        <v/>
      </c>
      <c r="F47" s="108"/>
      <c r="G47" s="64" t="str">
        <f t="shared" ca="1" si="5"/>
        <v/>
      </c>
      <c r="H47" s="109"/>
      <c r="I47" s="110" t="str">
        <f t="shared" ca="1" si="6"/>
        <v/>
      </c>
      <c r="J47" s="111"/>
      <c r="K47" s="112" t="str">
        <f t="shared" ca="1" si="7"/>
        <v/>
      </c>
      <c r="L47" s="113"/>
      <c r="M47" s="153" t="str">
        <f t="shared" ca="1" si="8"/>
        <v/>
      </c>
      <c r="N47" s="110"/>
      <c r="O47" s="140"/>
      <c r="P47" s="114"/>
      <c r="Q47" s="114"/>
      <c r="R47" s="114"/>
      <c r="S47" s="114"/>
      <c r="W47" s="15" t="s">
        <v>315</v>
      </c>
      <c r="X47" s="18">
        <v>3</v>
      </c>
      <c r="AE47" s="15" t="s">
        <v>312</v>
      </c>
      <c r="AF47" s="15" t="str">
        <f>CONCATENATE(V41,"f")</f>
        <v>1f</v>
      </c>
      <c r="AG47" s="16" t="str">
        <f ca="1">IF(OR(NOT(AJ44),NOT(AJ45)),"",AD44)</f>
        <v>BBK</v>
      </c>
      <c r="AH47" s="23">
        <f ca="1">IF(OR(NOT(AJ44),NOT(AJ45)),"",VLOOKUP(AG47,AG44:AH45,2,FALSE))</f>
        <v>0</v>
      </c>
      <c r="AL47" s="18" t="s">
        <v>318</v>
      </c>
      <c r="AP47" s="115" t="b">
        <f ca="1">AND(AP46,AL47&lt;&gt;"",(COUNTIF(AP43:AP46,"IGAZ")-COUNTIF(AV43:AV46,"IGAZ"))*X48+MAX(AY42:AZ46)&lt;X47)</f>
        <v>0</v>
      </c>
      <c r="AQ47" s="116" t="str">
        <f ca="1">IF(NOT(AP47),"",IF(AL47="p",AG44,AG45))</f>
        <v/>
      </c>
      <c r="AR47" s="117" t="str">
        <f ca="1">IF(NOT(AP47),"",IF(AL47="p",AG45,AG44))</f>
        <v/>
      </c>
      <c r="AT47" s="115" t="b">
        <f t="shared" ca="1" si="0"/>
        <v>0</v>
      </c>
      <c r="AU47" s="115" t="b">
        <f ca="1">AND(ASZTAB!$AJ$42,AT47,F47=H47)</f>
        <v>0</v>
      </c>
      <c r="AV47" s="115" t="b">
        <f t="shared" ca="1" si="1"/>
        <v>0</v>
      </c>
      <c r="AW47" s="116" t="str">
        <f t="shared" ca="1" si="2"/>
        <v/>
      </c>
      <c r="AX47" s="117" t="str">
        <f t="shared" ca="1" si="3"/>
        <v/>
      </c>
      <c r="AY47" s="116" t="str">
        <f ca="1">IF(OR(AY46="",NOT(AV47)),"",IF(AG44=AW47,X48,0)+AY46)</f>
        <v/>
      </c>
      <c r="AZ47" s="116" t="str">
        <f ca="1">IF(OR(AZ46="",NOT(AV47)),"",IF(AG45=AW47,X48,0)+AZ46)</f>
        <v/>
      </c>
      <c r="BI47" s="118">
        <f t="shared" si="9"/>
        <v>42374</v>
      </c>
      <c r="BK47" s="119"/>
      <c r="BL47" s="119"/>
      <c r="BM47" s="119"/>
    </row>
    <row r="48" spans="1:66" ht="15" customHeight="1" x14ac:dyDescent="0.3">
      <c r="A48" s="864"/>
      <c r="B48" s="122"/>
      <c r="C48" s="106">
        <v>6</v>
      </c>
      <c r="D48" s="137"/>
      <c r="E48" s="107" t="str">
        <f t="shared" ca="1" si="4"/>
        <v/>
      </c>
      <c r="F48" s="108"/>
      <c r="G48" s="64" t="str">
        <f t="shared" ca="1" si="5"/>
        <v/>
      </c>
      <c r="H48" s="109"/>
      <c r="I48" s="110" t="str">
        <f t="shared" ca="1" si="6"/>
        <v/>
      </c>
      <c r="J48" s="111"/>
      <c r="K48" s="112" t="str">
        <f t="shared" ca="1" si="7"/>
        <v/>
      </c>
      <c r="L48" s="113"/>
      <c r="M48" s="8" t="str">
        <f t="shared" ca="1" si="8"/>
        <v/>
      </c>
      <c r="N48" s="123"/>
      <c r="O48" s="141"/>
      <c r="W48" s="15" t="s">
        <v>327</v>
      </c>
      <c r="X48" s="18">
        <v>1</v>
      </c>
      <c r="AE48" s="15" t="s">
        <v>313</v>
      </c>
      <c r="AF48" s="15" t="str">
        <f>CONCATENATE(V41,"a")</f>
        <v>1a</v>
      </c>
      <c r="AG48" s="16" t="str">
        <f ca="1">IF(OR(NOT(AJ44),NOT(AJ45)),"",AD45)</f>
        <v>Zrínyigyöngye</v>
      </c>
      <c r="AH48" s="23">
        <f ca="1">IF(OR(NOT(AJ44),NOT(AJ45)),"",VLOOKUP(AG48,AG44:AH45,2,FALSE))</f>
        <v>0</v>
      </c>
      <c r="AL48" s="18" t="s">
        <v>331</v>
      </c>
      <c r="AP48" s="115" t="b">
        <f ca="1">AND(AP47,AL48&lt;&gt;"",(COUNTIF(AP43:AP47,"IGAZ")-COUNTIF(AV43:AV47,"IGAZ"))*X48+MAX(AY42:AZ47)&lt;X47)</f>
        <v>0</v>
      </c>
      <c r="AQ48" s="116" t="str">
        <f ca="1">IF(NOT(AP48),"",IF(AL48="p",AG44,AG45))</f>
        <v/>
      </c>
      <c r="AR48" s="117" t="str">
        <f ca="1">IF(NOT(AP48),"",IF(AL48="p",AG45,AG44))</f>
        <v/>
      </c>
      <c r="AT48" s="115" t="b">
        <f t="shared" ca="1" si="0"/>
        <v>0</v>
      </c>
      <c r="AU48" s="115" t="b">
        <f ca="1">AND(ASZTAB!$AJ$42,AT48,F48=H48)</f>
        <v>0</v>
      </c>
      <c r="AV48" s="115" t="b">
        <f t="shared" ca="1" si="1"/>
        <v>0</v>
      </c>
      <c r="AW48" s="116" t="str">
        <f t="shared" ca="1" si="2"/>
        <v/>
      </c>
      <c r="AX48" s="117" t="str">
        <f t="shared" ca="1" si="3"/>
        <v/>
      </c>
      <c r="AY48" s="116" t="str">
        <f ca="1">IF(OR(AY47="",NOT(AV48)),"",IF(AG44=AW48,X48,0)+AY47)</f>
        <v/>
      </c>
      <c r="AZ48" s="116" t="str">
        <f ca="1">IF(OR(AZ47="",NOT(AV48)),"",IF(AG45=AW48,X48,0)+AZ47)</f>
        <v/>
      </c>
      <c r="BD48" s="15" t="s">
        <v>309</v>
      </c>
      <c r="BE48" s="23" t="s">
        <v>311</v>
      </c>
      <c r="BI48" s="118">
        <f t="shared" si="9"/>
        <v>42375</v>
      </c>
      <c r="BK48" s="119"/>
      <c r="BL48" s="119"/>
      <c r="BM48" s="119"/>
    </row>
    <row r="49" spans="1:66" ht="15" customHeight="1" x14ac:dyDescent="0.3">
      <c r="A49" s="864"/>
      <c r="B49" s="122"/>
      <c r="C49" s="106">
        <v>7</v>
      </c>
      <c r="D49" s="137"/>
      <c r="E49" s="107" t="str">
        <f t="shared" ca="1" si="4"/>
        <v/>
      </c>
      <c r="F49" s="108"/>
      <c r="G49" s="64" t="str">
        <f t="shared" ca="1" si="5"/>
        <v/>
      </c>
      <c r="H49" s="109"/>
      <c r="I49" s="110" t="str">
        <f t="shared" ca="1" si="6"/>
        <v/>
      </c>
      <c r="J49" s="111"/>
      <c r="K49" s="112" t="str">
        <f t="shared" ca="1" si="7"/>
        <v/>
      </c>
      <c r="L49" s="113"/>
      <c r="M49" s="8" t="str">
        <f t="shared" ca="1" si="8"/>
        <v/>
      </c>
      <c r="N49" s="123"/>
      <c r="O49" s="141"/>
      <c r="AD49" s="15"/>
      <c r="AE49" s="15" t="s">
        <v>316</v>
      </c>
      <c r="AF49" s="15" t="str">
        <f>CONCATENATE(V41,"w")</f>
        <v>1w</v>
      </c>
      <c r="AG49" s="16" t="str">
        <f ca="1">IF(AND(AJ44,AJ45),IF(MAX(AY43:AY49)&gt;=X47,AG44,IF(MAX(AZ43:AZ49)&gt;=X47,AG45,"")),"")</f>
        <v/>
      </c>
      <c r="AL49" s="18" t="s">
        <v>318</v>
      </c>
      <c r="AP49" s="115" t="b">
        <f ca="1">AND(AP48,AL49&lt;&gt;"",(COUNTIF(AP43:AP48,"IGAZ")-COUNTIF(AV43:AV48,"IGAZ"))*X48+MAX(AY42:AZ48)&lt;X47)</f>
        <v>0</v>
      </c>
      <c r="AQ49" s="116" t="str">
        <f ca="1">IF(NOT(AP49),"",IF(AL49="p",AG44,AG45))</f>
        <v/>
      </c>
      <c r="AR49" s="117" t="str">
        <f ca="1">IF(NOT(AP49),"",IF(AL49="p",AG45,AG44))</f>
        <v/>
      </c>
      <c r="AT49" s="115" t="b">
        <f t="shared" ca="1" si="0"/>
        <v>0</v>
      </c>
      <c r="AU49" s="115" t="b">
        <f ca="1">AND(ASZTAB!$AJ$42,AT49,F49=H49)</f>
        <v>0</v>
      </c>
      <c r="AV49" s="115" t="b">
        <f t="shared" ca="1" si="1"/>
        <v>0</v>
      </c>
      <c r="AW49" s="116" t="str">
        <f t="shared" ca="1" si="2"/>
        <v/>
      </c>
      <c r="AX49" s="117" t="str">
        <f t="shared" ca="1" si="3"/>
        <v/>
      </c>
      <c r="AY49" s="116" t="str">
        <f ca="1">IF(OR(AY48="",NOT(AV49)),"",IF(AG44=AW49,X48,0)+AY48)</f>
        <v/>
      </c>
      <c r="AZ49" s="116" t="str">
        <f ca="1">IF(OR(AZ48="",NOT(AV49)),"",IF(AG45=AW49,X48,0)+AZ48)</f>
        <v/>
      </c>
      <c r="BD49" s="15" t="s">
        <v>310</v>
      </c>
      <c r="BE49" s="23" t="s">
        <v>154</v>
      </c>
      <c r="BI49" s="118">
        <f t="shared" si="9"/>
        <v>42376</v>
      </c>
      <c r="BK49" s="119"/>
      <c r="BL49" s="119"/>
      <c r="BM49" s="119"/>
      <c r="BN49" s="119"/>
    </row>
    <row r="50" spans="1:66" ht="15" customHeight="1" x14ac:dyDescent="0.3">
      <c r="A50" s="864"/>
      <c r="B50" s="122"/>
      <c r="C50" s="106"/>
      <c r="D50" s="123"/>
      <c r="E50" s="124"/>
      <c r="F50" s="125"/>
      <c r="G50" s="123"/>
      <c r="H50" s="114"/>
      <c r="I50" s="123"/>
      <c r="J50" s="125"/>
      <c r="K50" s="123"/>
      <c r="L50" s="114"/>
      <c r="M50" s="123"/>
      <c r="N50" s="123"/>
      <c r="O50" s="123"/>
      <c r="AD50" s="15"/>
      <c r="AE50" s="15" t="s">
        <v>317</v>
      </c>
      <c r="AF50" s="15" t="str">
        <f>CONCATENATE(V41,"l")</f>
        <v>1l</v>
      </c>
      <c r="AG50" s="16" t="str">
        <f ca="1">IF(AG49=AG44,AG45,IF(AG45=AG49,AG44,""))</f>
        <v/>
      </c>
      <c r="AL50" s="126" t="s">
        <v>330</v>
      </c>
      <c r="BI50" s="118">
        <f t="shared" si="9"/>
        <v>42377</v>
      </c>
      <c r="BK50" s="119"/>
      <c r="BL50" s="119"/>
      <c r="BM50" s="119"/>
      <c r="BN50" s="119"/>
    </row>
    <row r="51" spans="1:66" ht="15" customHeight="1" x14ac:dyDescent="0.3">
      <c r="A51" s="864"/>
      <c r="B51" s="122"/>
      <c r="C51" s="127" t="s">
        <v>463</v>
      </c>
      <c r="D51" s="123"/>
      <c r="E51" s="124"/>
      <c r="F51" s="125"/>
      <c r="G51" s="123"/>
      <c r="H51" s="114"/>
      <c r="I51" s="123"/>
      <c r="J51" s="125"/>
      <c r="K51" s="123"/>
      <c r="L51" s="114"/>
      <c r="M51" s="123"/>
      <c r="N51" s="123"/>
      <c r="O51" s="123"/>
      <c r="Y51" s="11" t="s">
        <v>294</v>
      </c>
      <c r="Z51" s="70" t="s">
        <v>311</v>
      </c>
      <c r="AA51" s="70" t="s">
        <v>153</v>
      </c>
      <c r="AB51" s="70" t="s">
        <v>153</v>
      </c>
      <c r="AE51" s="15" t="s">
        <v>287</v>
      </c>
      <c r="AF51" s="15" t="str">
        <f>CONCATENATE(V41,"e")</f>
        <v>1e</v>
      </c>
      <c r="AG51" s="21" t="b">
        <f ca="1">AND(AG49&lt;&gt;"",AG50&lt;&gt;"")</f>
        <v>0</v>
      </c>
      <c r="BD51" s="15" t="s">
        <v>312</v>
      </c>
      <c r="BE51" s="23" t="s">
        <v>318</v>
      </c>
      <c r="BI51" s="118">
        <f t="shared" si="9"/>
        <v>42378</v>
      </c>
      <c r="BK51" s="119"/>
      <c r="BL51" s="119"/>
      <c r="BM51" s="119"/>
      <c r="BN51" s="119"/>
    </row>
    <row r="52" spans="1:66" ht="15" customHeight="1" x14ac:dyDescent="0.3">
      <c r="A52" s="864"/>
      <c r="B52" s="122"/>
      <c r="C52" s="865"/>
      <c r="D52" s="865"/>
      <c r="E52" s="865"/>
      <c r="F52" s="865"/>
      <c r="G52" s="865"/>
      <c r="H52" s="865"/>
      <c r="I52" s="865"/>
      <c r="J52" s="865"/>
      <c r="K52" s="865"/>
      <c r="L52" s="865"/>
      <c r="M52" s="865"/>
      <c r="N52" s="865"/>
      <c r="O52" s="865"/>
      <c r="W52" s="15" t="s">
        <v>319</v>
      </c>
      <c r="X52" s="18" t="b">
        <v>0</v>
      </c>
      <c r="Y52" s="72" t="s">
        <v>289</v>
      </c>
      <c r="Z52" s="16" t="str">
        <f ca="1">IF(AND(AJ44,AJ45,X52,Y52&lt;&gt;""),CONCATENATE(VLOOKUP(CONCATENATE(AG44,AG45),INDIRECT(CONCATENATE("games.",Y52)),9,FALSE),VLOOKUP(CONCATENATE(AG44,AG45),INDIRECT(CONCATENATE("games.",Y52)),12,FALSE)),"")</f>
        <v/>
      </c>
      <c r="AA52" s="16" t="str">
        <f ca="1">IF(AND(AJ44,AJ45,X52,Y52&lt;&gt;""),VLOOKUP(CONCATENATE(AG44,AG45),INDIRECT(CONCATENATE("games.",Y52)),10,FALSE),"")</f>
        <v/>
      </c>
      <c r="AB52" s="54" t="str">
        <f ca="1">IF(AND(AJ44,AJ45,X52,Y52&lt;&gt;""),VLOOKUP(CONCATENATE(AG44,AG45),INDIRECT(CONCATENATE("games.",Y52)),13,FALSE),"")</f>
        <v/>
      </c>
      <c r="BD52" s="15" t="s">
        <v>313</v>
      </c>
      <c r="BE52" s="23" t="s">
        <v>331</v>
      </c>
      <c r="BI52" s="118">
        <f t="shared" si="9"/>
        <v>42379</v>
      </c>
      <c r="BK52" s="119"/>
      <c r="BL52" s="119"/>
      <c r="BM52" s="119"/>
      <c r="BN52" s="119"/>
    </row>
    <row r="53" spans="1:66" ht="15" customHeight="1" x14ac:dyDescent="0.3">
      <c r="A53" s="864"/>
      <c r="B53" s="122"/>
      <c r="C53" s="866"/>
      <c r="D53" s="866"/>
      <c r="E53" s="866"/>
      <c r="F53" s="866"/>
      <c r="G53" s="866"/>
      <c r="H53" s="866"/>
      <c r="I53" s="866"/>
      <c r="J53" s="866"/>
      <c r="K53" s="866"/>
      <c r="L53" s="866"/>
      <c r="M53" s="866"/>
      <c r="N53" s="866"/>
      <c r="O53" s="866"/>
      <c r="Z53" s="16" t="str">
        <f ca="1">IF(AND(AJ44,AJ45,X52,Y52&lt;&gt;""),CONCATENATE(VLOOKUP(CONCATENATE(AG45,AG44),INDIRECT(CONCATENATE("games.",Y52)),9,FALSE),VLOOKUP(CONCATENATE(AG45,AG44),INDIRECT(CONCATENATE("games.",Y52)),12,FALSE)),"")</f>
        <v/>
      </c>
      <c r="AA53" s="16" t="str">
        <f ca="1">IF(AND(AJ44,AJ45,X52,Y52&lt;&gt;""),VLOOKUP(CONCATENATE(AG45,AG44),INDIRECT(CONCATENATE("games.",Y52)),10,FALSE),"")</f>
        <v/>
      </c>
      <c r="AB53" s="54" t="str">
        <f ca="1">IF(AND(AJ44,AJ45,X52,Y52&lt;&gt;""),VLOOKUP(CONCATENATE(AG45,AG44),INDIRECT(CONCATENATE("games.",Y52)),13,FALSE),"")</f>
        <v/>
      </c>
      <c r="BI53" s="118">
        <f t="shared" si="9"/>
        <v>42380</v>
      </c>
      <c r="BK53" s="119"/>
      <c r="BL53" s="119"/>
      <c r="BM53" s="119"/>
      <c r="BN53" s="119"/>
    </row>
    <row r="54" spans="1:66" ht="15" customHeight="1" x14ac:dyDescent="0.3">
      <c r="A54" s="864"/>
      <c r="B54" s="122"/>
      <c r="C54" s="866"/>
      <c r="D54" s="866"/>
      <c r="E54" s="866"/>
      <c r="F54" s="866"/>
      <c r="G54" s="866"/>
      <c r="H54" s="866"/>
      <c r="I54" s="866"/>
      <c r="J54" s="866"/>
      <c r="K54" s="866"/>
      <c r="L54" s="866"/>
      <c r="M54" s="866"/>
      <c r="N54" s="866"/>
      <c r="O54" s="866"/>
      <c r="BE54" s="14" t="b">
        <v>1</v>
      </c>
      <c r="BI54" s="118">
        <f t="shared" si="9"/>
        <v>42381</v>
      </c>
      <c r="BK54" s="119"/>
      <c r="BL54" s="119"/>
      <c r="BM54" s="119"/>
      <c r="BN54" s="119"/>
    </row>
    <row r="55" spans="1:66" ht="15" customHeight="1" x14ac:dyDescent="0.3">
      <c r="A55" s="864"/>
      <c r="B55" s="122"/>
      <c r="C55" s="106"/>
      <c r="D55" s="123"/>
      <c r="E55" s="124"/>
      <c r="F55" s="125"/>
      <c r="G55" s="123"/>
      <c r="H55" s="114"/>
      <c r="I55" s="123"/>
      <c r="J55" s="125"/>
      <c r="K55" s="123"/>
      <c r="L55" s="114"/>
      <c r="M55" s="123"/>
      <c r="N55" s="123"/>
      <c r="O55" s="123"/>
      <c r="U55" s="10"/>
      <c r="V55" s="128"/>
      <c r="W55" s="129"/>
      <c r="X55" s="10"/>
      <c r="Y55" s="130"/>
      <c r="Z55" s="130"/>
      <c r="AA55" s="130"/>
      <c r="AB55" s="130"/>
      <c r="AC55" s="130"/>
      <c r="AD55" s="130"/>
      <c r="AE55" s="130"/>
      <c r="AF55" s="130"/>
      <c r="AG55" s="130"/>
      <c r="AH55" s="130"/>
      <c r="AI55" s="130"/>
      <c r="AJ55" s="130"/>
      <c r="AK55" s="130"/>
      <c r="AL55" s="130"/>
      <c r="AM55" s="10"/>
      <c r="AO55" s="131"/>
      <c r="AP55" s="131"/>
      <c r="AQ55" s="132"/>
      <c r="AR55" s="132"/>
      <c r="AS55" s="132"/>
      <c r="AT55" s="131"/>
      <c r="AU55" s="131"/>
      <c r="AV55" s="131"/>
      <c r="AW55" s="132"/>
      <c r="AX55" s="132"/>
      <c r="AY55" s="131"/>
      <c r="AZ55" s="131"/>
      <c r="BA55" s="131"/>
      <c r="BE55" s="14" t="b">
        <v>0</v>
      </c>
      <c r="BI55" s="118">
        <f t="shared" si="9"/>
        <v>42382</v>
      </c>
      <c r="BK55" s="119"/>
      <c r="BL55" s="119"/>
      <c r="BM55" s="119"/>
      <c r="BN55" s="119"/>
    </row>
    <row r="56" spans="1:66" ht="15" customHeight="1" x14ac:dyDescent="0.3">
      <c r="A56" s="864"/>
      <c r="B56" s="88"/>
      <c r="C56" s="89"/>
      <c r="D56" s="90"/>
      <c r="BI56" s="118">
        <f t="shared" si="9"/>
        <v>42383</v>
      </c>
      <c r="BM56" s="119"/>
    </row>
    <row r="57" spans="1:66" ht="15" customHeight="1" x14ac:dyDescent="0.3">
      <c r="A57" s="864"/>
      <c r="B57" s="147"/>
      <c r="C57" s="149">
        <f>V57</f>
        <v>2</v>
      </c>
      <c r="D57" s="150" t="str">
        <f>UPPER(W57)</f>
        <v>RÁJÁTSZÁS AZ 1-4. HELYÉRT – ELŐDÖNTŐ (B)</v>
      </c>
      <c r="E57" s="151"/>
      <c r="F57" s="151"/>
      <c r="G57" s="151"/>
      <c r="H57" s="151"/>
      <c r="I57" s="151"/>
      <c r="J57" s="151"/>
      <c r="K57" s="151"/>
      <c r="L57" s="151"/>
      <c r="M57" s="138"/>
      <c r="N57" s="151"/>
      <c r="O57" s="161" t="str">
        <f ca="1">IF(NOT(AG67),"","A PÁRHARC GYŐZTESE: "&amp;UPPER(AG65))</f>
        <v/>
      </c>
      <c r="P57" s="152" t="str">
        <f>IF(NOT(Y65),"",CONCATENATE("A PÁRHARC GYŐZTESE: ",AH63," "))</f>
        <v/>
      </c>
      <c r="Q57" s="148" t="str">
        <f>IF(NOT(Z65),"",CONCATENATE("A PÁRHARC GYŐZTESE: ",AJ63," "))</f>
        <v/>
      </c>
      <c r="R57" s="148" t="str">
        <f>IF(NOT(AA65),"",CONCATENATE("A PÁRHARC GYŐZTESE: ",AK63," "))</f>
        <v/>
      </c>
      <c r="S57" s="148" t="str">
        <f>IF(NOT(AB65),"",CONCATENATE("A PÁRHARC GYŐZTESE: ",AL63," "))</f>
        <v/>
      </c>
      <c r="V57" s="21">
        <f>V41+1</f>
        <v>2</v>
      </c>
      <c r="W57" s="95" t="s">
        <v>479</v>
      </c>
      <c r="X57" s="96"/>
      <c r="Y57" s="96"/>
      <c r="Z57" s="96"/>
      <c r="AA57" s="96"/>
      <c r="AB57" s="96"/>
      <c r="AC57" s="96"/>
      <c r="AD57" s="96"/>
      <c r="AE57" s="96"/>
      <c r="AF57" s="96"/>
      <c r="AG57" s="96"/>
      <c r="AH57" s="96"/>
      <c r="AI57" s="96"/>
      <c r="AJ57" s="96"/>
      <c r="AK57" s="96"/>
      <c r="AL57" s="97"/>
      <c r="AY57" s="13" t="s">
        <v>326</v>
      </c>
      <c r="AZ57" s="13" t="s">
        <v>325</v>
      </c>
      <c r="BD57" s="142"/>
      <c r="BH57" s="98"/>
      <c r="BI57" s="118">
        <f t="shared" si="9"/>
        <v>42384</v>
      </c>
      <c r="BJ57" s="98"/>
      <c r="BK57" s="99"/>
      <c r="BL57" s="99"/>
      <c r="BM57" s="119"/>
    </row>
    <row r="58" spans="1:66" ht="11.25" customHeight="1" x14ac:dyDescent="0.3">
      <c r="A58" s="864"/>
      <c r="C58" s="101"/>
      <c r="D58" s="102"/>
      <c r="E58" s="103"/>
      <c r="F58" s="58"/>
      <c r="G58" s="104"/>
      <c r="H58" s="60"/>
      <c r="I58" s="146"/>
      <c r="J58" s="107"/>
      <c r="K58" s="160" t="str">
        <f ca="1">IF(OR(AU59,AU60,AU61,AU62,AU63,AU64,AU65),"BÜNTETŐK","")</f>
        <v/>
      </c>
      <c r="L58" s="110"/>
      <c r="M58" s="158" t="s">
        <v>286</v>
      </c>
      <c r="N58" s="159"/>
      <c r="O58" s="158" t="s">
        <v>285</v>
      </c>
      <c r="AP58" s="105" t="s">
        <v>328</v>
      </c>
      <c r="AQ58" s="12" t="s">
        <v>138</v>
      </c>
      <c r="AR58" s="12" t="s">
        <v>139</v>
      </c>
      <c r="AT58" s="105" t="s">
        <v>320</v>
      </c>
      <c r="AU58" s="105" t="s">
        <v>321</v>
      </c>
      <c r="AV58" s="105" t="s">
        <v>324</v>
      </c>
      <c r="AW58" s="12" t="s">
        <v>322</v>
      </c>
      <c r="AX58" s="12" t="s">
        <v>323</v>
      </c>
      <c r="AY58" s="116">
        <f>IF(X68,COUNTIF(Z68:Z69,AG60)*ASZTAB!$AJ$48+COUNTIF(AA68:AB69,AG60),0)</f>
        <v>0</v>
      </c>
      <c r="AZ58" s="116">
        <f>IF(X68,COUNTIF(Z68:Z69,AG61)*ASZTAB!$AJ$48+COUNTIF(AA68:AB69,AG61),0)</f>
        <v>0</v>
      </c>
      <c r="BD58" s="9" t="s">
        <v>296</v>
      </c>
      <c r="BE58" s="10"/>
      <c r="BH58" s="98"/>
      <c r="BI58" s="118">
        <f t="shared" si="9"/>
        <v>42385</v>
      </c>
      <c r="BJ58" s="98"/>
      <c r="BK58" s="99"/>
      <c r="BL58" s="99"/>
      <c r="BM58" s="119"/>
    </row>
    <row r="59" spans="1:66" ht="15" customHeight="1" x14ac:dyDescent="0.3">
      <c r="A59" s="864"/>
      <c r="B59" s="7"/>
      <c r="C59" s="106">
        <v>1</v>
      </c>
      <c r="D59" s="137">
        <v>39902</v>
      </c>
      <c r="E59" s="107" t="str">
        <f ca="1">IF(NOT($AP59),"",AQ59)</f>
        <v>K&amp;H</v>
      </c>
      <c r="F59" s="108"/>
      <c r="G59" s="64" t="str">
        <f ca="1">IF(NOT($AP59),"","–")</f>
        <v>–</v>
      </c>
      <c r="H59" s="109"/>
      <c r="I59" s="110" t="str">
        <f ca="1">IF(NOT($AP59),"",AR59)</f>
        <v>BHD</v>
      </c>
      <c r="J59" s="111"/>
      <c r="K59" s="112" t="str">
        <f ca="1">IF(AU59,"–","")</f>
        <v/>
      </c>
      <c r="L59" s="113"/>
      <c r="M59" s="153" t="str">
        <f ca="1">IF(OR(AL59="",NOT(AV59)),"",IF(AL59="p",CONCATENATE(AY59,"–",AZ59),CONCATENATE(AZ59,"–",AY59)))</f>
        <v/>
      </c>
      <c r="N59" s="110"/>
      <c r="O59" s="139"/>
      <c r="P59" s="114"/>
      <c r="Q59" s="114"/>
      <c r="R59" s="114"/>
      <c r="S59" s="114"/>
      <c r="X59" s="11" t="s">
        <v>306</v>
      </c>
      <c r="Y59" s="11" t="s">
        <v>294</v>
      </c>
      <c r="Z59" s="70" t="s">
        <v>295</v>
      </c>
      <c r="AA59" s="70" t="s">
        <v>127</v>
      </c>
      <c r="AB59" s="70" t="s">
        <v>301</v>
      </c>
      <c r="AC59" s="70" t="s">
        <v>302</v>
      </c>
      <c r="AD59" s="70" t="s">
        <v>332</v>
      </c>
      <c r="AE59" s="70" t="s">
        <v>333</v>
      </c>
      <c r="AF59" s="70" t="s">
        <v>329</v>
      </c>
      <c r="AG59" s="70" t="s">
        <v>303</v>
      </c>
      <c r="AH59" s="70" t="s">
        <v>293</v>
      </c>
      <c r="AJ59" s="71" t="s">
        <v>314</v>
      </c>
      <c r="AL59" s="18" t="s">
        <v>318</v>
      </c>
      <c r="AP59" s="115" t="b">
        <f ca="1">AND(AJ60,AJ61,AL59&lt;&gt;"")</f>
        <v>1</v>
      </c>
      <c r="AQ59" s="116" t="str">
        <f ca="1">IF(NOT(AP59),"",IF(AL59="p",AG60,AG61))</f>
        <v>K&amp;H</v>
      </c>
      <c r="AR59" s="117" t="str">
        <f ca="1">IF(NOT(AP59),"",IF(AL59="p",AG61,AG60))</f>
        <v>BHD</v>
      </c>
      <c r="AT59" s="115" t="b">
        <f t="shared" ref="AT59:AT65" ca="1" si="10">AND(F59&lt;&gt;"",H59&lt;&gt;"",AP59)</f>
        <v>0</v>
      </c>
      <c r="AU59" s="115" t="b">
        <f ca="1">AND(ASZTAB!$AJ$42,AT59,F59=H59)</f>
        <v>0</v>
      </c>
      <c r="AV59" s="115" t="b">
        <f t="shared" ref="AV59:AV65" ca="1" si="11">OR(AND(AT59,NOT(AU59),F59&lt;&gt;H59),AND(AT59,AU59,J59&lt;&gt;"",L59&lt;&gt;"",J59&lt;&gt;L59))</f>
        <v>0</v>
      </c>
      <c r="AW59" s="116" t="str">
        <f t="shared" ref="AW59:AW65" ca="1" si="12">IF(NOT(AV59),"",IF(AU59,IF(F59+J59&gt;H59+L59,E59,I59),IF(F59&gt;H59,E59,I59)))</f>
        <v/>
      </c>
      <c r="AX59" s="117" t="str">
        <f t="shared" ref="AX59:AX65" ca="1" si="13">IF(NOT(AV59),"",IF(AW59=E59,I59,IF(AW59=I59,E59,"")))</f>
        <v/>
      </c>
      <c r="AY59" s="116" t="str">
        <f ca="1">IF(NOT(AV59),"",IF(AG60=AW59,X64,0)+AY58)</f>
        <v/>
      </c>
      <c r="AZ59" s="116" t="str">
        <f ca="1">IF(NOT(AV59),"",IF(AG61=AW59,X64,0)+AZ58)</f>
        <v/>
      </c>
      <c r="BD59" s="15" t="s">
        <v>297</v>
      </c>
      <c r="BE59" s="21" t="b">
        <f ca="1">ASZTAB!$AJ$69</f>
        <v>1</v>
      </c>
      <c r="BI59" s="118">
        <f t="shared" si="9"/>
        <v>42386</v>
      </c>
      <c r="BK59" s="99"/>
      <c r="BL59" s="119"/>
      <c r="BM59" s="119"/>
    </row>
    <row r="60" spans="1:66" ht="15" customHeight="1" x14ac:dyDescent="0.3">
      <c r="A60" s="864"/>
      <c r="B60" s="7"/>
      <c r="C60" s="106">
        <v>2</v>
      </c>
      <c r="D60" s="137">
        <v>39909</v>
      </c>
      <c r="E60" s="107" t="str">
        <f t="shared" ref="E60:E65" ca="1" si="14">IF(NOT($AP60),"",AQ60)</f>
        <v>BHD</v>
      </c>
      <c r="F60" s="108"/>
      <c r="G60" s="64" t="str">
        <f t="shared" ref="G60:G65" ca="1" si="15">IF(NOT($AP60),"","–")</f>
        <v>–</v>
      </c>
      <c r="H60" s="109"/>
      <c r="I60" s="110" t="str">
        <f t="shared" ref="I60:I65" ca="1" si="16">IF(NOT($AP60),"",AR60)</f>
        <v>K&amp;H</v>
      </c>
      <c r="J60" s="111"/>
      <c r="K60" s="112" t="str">
        <f t="shared" ref="K60:K65" ca="1" si="17">IF(AU60,"–","")</f>
        <v/>
      </c>
      <c r="L60" s="113"/>
      <c r="M60" s="153" t="str">
        <f t="shared" ref="M60:M65" ca="1" si="18">IF(OR(AL60="",NOT(AV60)),"",IF(AL60="p",CONCATENATE(AY60,"–",AZ60),CONCATENATE(AZ60,"–",AY60)))</f>
        <v/>
      </c>
      <c r="N60" s="110"/>
      <c r="O60" s="140"/>
      <c r="P60" s="114"/>
      <c r="Q60" s="114"/>
      <c r="R60" s="114"/>
      <c r="S60" s="114"/>
      <c r="W60" s="15" t="s">
        <v>312</v>
      </c>
      <c r="X60" s="18" t="s">
        <v>307</v>
      </c>
      <c r="Y60" s="72" t="s">
        <v>289</v>
      </c>
      <c r="Z60" s="72">
        <v>1</v>
      </c>
      <c r="AA60" s="72">
        <v>2</v>
      </c>
      <c r="AB60" s="18"/>
      <c r="AC60" s="18"/>
      <c r="AD60" s="14" t="str">
        <f ca="1">IF(NOT(AJ60),"",IF(X60=$BE$45,VLOOKUP(AA60,INDIRECT(CONCATENATE("rank.",Y60,Z60)),2,FALSE),VLOOKUP(CONCATENATE(AB60,AC60),result.e,2,FALSE)))</f>
        <v>K&amp;H</v>
      </c>
      <c r="AE60" s="18"/>
      <c r="AF60" s="120" t="str">
        <f ca="1">IF(OR(AD60="",X60=$BE$45),"",VLOOKUP(AD60,INDIRECT(CONCATENATE("rankname.",AE60)),2,FALSE))</f>
        <v/>
      </c>
      <c r="AG60" s="14" t="str">
        <f ca="1">IF(AD60="","",IF(X60=$BE$45,AD60,IF(AF60&gt;AF61,AD61,AD60)))</f>
        <v>K&amp;H</v>
      </c>
      <c r="AH60" s="120">
        <f ca="1">MAX(AY58:AY65)</f>
        <v>0</v>
      </c>
      <c r="AJ60" s="21" t="b">
        <f ca="1">IF(X60=$BE$45,IF(OR(Y60="",Z60="",AA60=""),FALSE,VLOOKUP(CONCATENATE(Y60,Z60),$BD$59:$BE$63,2,FALSE)),IF(OR(AB60="",AC60="",AE60=""),FALSE,VLOOKUP(CONCATENATE(AB60,"e"),result.e,2,FALSE)))</f>
        <v>1</v>
      </c>
      <c r="AL60" s="18" t="s">
        <v>331</v>
      </c>
      <c r="AP60" s="115" t="b">
        <f ca="1">AND(AP59,AL60&lt;&gt;"",(COUNTIF(AP59:AP59,"IGAZ")-COUNTIF(AV59:AV59,"IGAZ"))*X64+MAX(AY58:AZ59)&lt;X63)</f>
        <v>1</v>
      </c>
      <c r="AQ60" s="116" t="str">
        <f ca="1">IF(NOT(AP60),"",IF(AL60="p",AG60,AG61))</f>
        <v>BHD</v>
      </c>
      <c r="AR60" s="117" t="str">
        <f ca="1">IF(NOT(AP60),"",IF(AL60="p",AG61,AG60))</f>
        <v>K&amp;H</v>
      </c>
      <c r="AT60" s="115" t="b">
        <f t="shared" ca="1" si="10"/>
        <v>0</v>
      </c>
      <c r="AU60" s="115" t="b">
        <f ca="1">AND(ASZTAB!$AJ$42,AT60,F60=H60)</f>
        <v>0</v>
      </c>
      <c r="AV60" s="115" t="b">
        <f t="shared" ca="1" si="11"/>
        <v>0</v>
      </c>
      <c r="AW60" s="116" t="str">
        <f t="shared" ca="1" si="12"/>
        <v/>
      </c>
      <c r="AX60" s="117" t="str">
        <f t="shared" ca="1" si="13"/>
        <v/>
      </c>
      <c r="AY60" s="116" t="str">
        <f ca="1">IF(OR(AY59="",NOT(AV60)),"",IF(AG60=AW60,X64,0)+AY59)</f>
        <v/>
      </c>
      <c r="AZ60" s="116" t="str">
        <f ca="1">IF(OR(AZ59="",NOT(AV60)),"",IF(AG61=AW60,X64,0)+AZ59)</f>
        <v/>
      </c>
      <c r="BD60" s="15" t="s">
        <v>298</v>
      </c>
      <c r="BE60" s="21" t="b">
        <f>ASZTAB!$AJ$75</f>
        <v>0</v>
      </c>
      <c r="BI60" s="118">
        <f t="shared" si="9"/>
        <v>42387</v>
      </c>
      <c r="BK60" s="99"/>
      <c r="BM60" s="119"/>
    </row>
    <row r="61" spans="1:66" ht="15" customHeight="1" x14ac:dyDescent="0.3">
      <c r="A61" s="864"/>
      <c r="B61" s="7"/>
      <c r="C61" s="106">
        <v>3</v>
      </c>
      <c r="D61" s="137">
        <v>39916</v>
      </c>
      <c r="E61" s="107" t="str">
        <f t="shared" ca="1" si="14"/>
        <v>K&amp;H</v>
      </c>
      <c r="F61" s="108"/>
      <c r="G61" s="64" t="str">
        <f t="shared" ca="1" si="15"/>
        <v>–</v>
      </c>
      <c r="H61" s="109"/>
      <c r="I61" s="110" t="str">
        <f t="shared" ca="1" si="16"/>
        <v>BHD</v>
      </c>
      <c r="J61" s="111"/>
      <c r="K61" s="112" t="str">
        <f t="shared" ca="1" si="17"/>
        <v/>
      </c>
      <c r="L61" s="113"/>
      <c r="M61" s="153" t="str">
        <f t="shared" ca="1" si="18"/>
        <v/>
      </c>
      <c r="N61" s="110"/>
      <c r="O61" s="140"/>
      <c r="P61" s="114"/>
      <c r="Q61" s="114"/>
      <c r="R61" s="114"/>
      <c r="S61" s="114"/>
      <c r="W61" s="15" t="s">
        <v>313</v>
      </c>
      <c r="X61" s="18" t="s">
        <v>307</v>
      </c>
      <c r="Y61" s="72" t="s">
        <v>289</v>
      </c>
      <c r="Z61" s="72">
        <v>1</v>
      </c>
      <c r="AA61" s="72">
        <v>3</v>
      </c>
      <c r="AB61" s="18"/>
      <c r="AC61" s="18"/>
      <c r="AD61" s="14" t="str">
        <f ca="1">IF(NOT(AJ61),"",IF(X61=$BE$45,VLOOKUP(AA61,INDIRECT(CONCATENATE("rank.",Y61,Z61)),2,FALSE),VLOOKUP(CONCATENATE(AB61,AC61),result.e,2,FALSE)))</f>
        <v>BHD</v>
      </c>
      <c r="AE61" s="18"/>
      <c r="AF61" s="120" t="str">
        <f ca="1">IF(OR(AD61="",X61=$BE$45),"",VLOOKUP(AD61,INDIRECT(CONCATENATE("rankname.",AE61)),2,FALSE))</f>
        <v/>
      </c>
      <c r="AG61" s="14" t="str">
        <f ca="1">IF(AD61="","",IF(X61=$BE$45,AD61,IF(AF60&gt;AF61,AD60,AD61)))</f>
        <v>BHD</v>
      </c>
      <c r="AH61" s="120">
        <f ca="1">MAX(AZ58:AZ65)</f>
        <v>0</v>
      </c>
      <c r="AJ61" s="21" t="b">
        <f ca="1">IF(X61=$BE$45,IF(OR(Y61="",Z61="",AA61=""),FALSE,VLOOKUP(CONCATENATE(Y61,Z61),$BD$59:$BE$63,2,FALSE)),IF(OR(AB61="",AC61="",AE61=""),FALSE,VLOOKUP(CONCATENATE(AB61,"e"),result.e,2,FALSE)))</f>
        <v>1</v>
      </c>
      <c r="AL61" s="18" t="s">
        <v>318</v>
      </c>
      <c r="AP61" s="115" t="b">
        <f ca="1">AND(AP60,AL61&lt;&gt;"",(COUNTIF(AP59:AP60,"IGAZ")-COUNTIF(AV59:AV60,"IGAZ"))*X64+MAX(AY58:AZ60)&lt;X63)</f>
        <v>1</v>
      </c>
      <c r="AQ61" s="116" t="str">
        <f ca="1">IF(NOT(AP61),"",IF(AL61="p",AG60,AG61))</f>
        <v>K&amp;H</v>
      </c>
      <c r="AR61" s="117" t="str">
        <f ca="1">IF(NOT(AP61),"",IF(AL61="p",AG61,AG60))</f>
        <v>BHD</v>
      </c>
      <c r="AT61" s="115" t="b">
        <f t="shared" ca="1" si="10"/>
        <v>0</v>
      </c>
      <c r="AU61" s="115" t="b">
        <f ca="1">AND(ASZTAB!$AJ$42,AT61,F61=H61)</f>
        <v>0</v>
      </c>
      <c r="AV61" s="115" t="b">
        <f t="shared" ca="1" si="11"/>
        <v>0</v>
      </c>
      <c r="AW61" s="116" t="str">
        <f t="shared" ca="1" si="12"/>
        <v/>
      </c>
      <c r="AX61" s="117" t="str">
        <f t="shared" ca="1" si="13"/>
        <v/>
      </c>
      <c r="AY61" s="116" t="str">
        <f ca="1">IF(OR(AY60="",NOT(AV61)),"",IF(AG60=AW61,X64,0)+AY60)</f>
        <v/>
      </c>
      <c r="AZ61" s="116" t="str">
        <f ca="1">IF(OR(AZ60="",NOT(AV61)),"",IF(AG61=AW61,X64,0)+AZ60)</f>
        <v/>
      </c>
      <c r="BD61" s="15" t="s">
        <v>299</v>
      </c>
      <c r="BE61" s="21" t="b">
        <f ca="1">RTAB!$AD$73</f>
        <v>0</v>
      </c>
      <c r="BI61" s="118">
        <f t="shared" si="9"/>
        <v>42388</v>
      </c>
      <c r="BM61" s="119"/>
      <c r="BN61" s="119"/>
    </row>
    <row r="62" spans="1:66" ht="15" customHeight="1" x14ac:dyDescent="0.3">
      <c r="A62" s="864"/>
      <c r="B62" s="7"/>
      <c r="C62" s="106">
        <v>4</v>
      </c>
      <c r="D62" s="137">
        <v>39919</v>
      </c>
      <c r="E62" s="107" t="str">
        <f t="shared" ca="1" si="14"/>
        <v/>
      </c>
      <c r="F62" s="108"/>
      <c r="G62" s="64" t="str">
        <f t="shared" ca="1" si="15"/>
        <v/>
      </c>
      <c r="H62" s="109"/>
      <c r="I62" s="110" t="str">
        <f t="shared" ca="1" si="16"/>
        <v/>
      </c>
      <c r="J62" s="111"/>
      <c r="K62" s="112" t="str">
        <f t="shared" ca="1" si="17"/>
        <v/>
      </c>
      <c r="L62" s="113"/>
      <c r="M62" s="153" t="str">
        <f t="shared" ca="1" si="18"/>
        <v/>
      </c>
      <c r="N62" s="110"/>
      <c r="O62" s="140"/>
      <c r="P62" s="114"/>
      <c r="Q62" s="114"/>
      <c r="AL62" s="18" t="s">
        <v>331</v>
      </c>
      <c r="AP62" s="115" t="b">
        <f ca="1">AND(AP61,AL62&lt;&gt;"",(COUNTIF(AP59:AP61,"IGAZ")-COUNTIF(AV59:AV61,"IGAZ"))*X64+MAX(AY58:AZ61)&lt;X63)</f>
        <v>0</v>
      </c>
      <c r="AQ62" s="116" t="str">
        <f ca="1">IF(NOT(AP62),"",IF(AL62="p",AG60,AG61))</f>
        <v/>
      </c>
      <c r="AR62" s="117" t="str">
        <f ca="1">IF(NOT(AP62),"",IF(AL62="p",AG61,AG60))</f>
        <v/>
      </c>
      <c r="AT62" s="115" t="b">
        <f t="shared" ca="1" si="10"/>
        <v>0</v>
      </c>
      <c r="AU62" s="115" t="b">
        <f ca="1">AND(ASZTAB!$AJ$42,AT62,F62=H62)</f>
        <v>0</v>
      </c>
      <c r="AV62" s="115" t="b">
        <f t="shared" ca="1" si="11"/>
        <v>0</v>
      </c>
      <c r="AW62" s="116" t="str">
        <f t="shared" ca="1" si="12"/>
        <v/>
      </c>
      <c r="AX62" s="117" t="str">
        <f t="shared" ca="1" si="13"/>
        <v/>
      </c>
      <c r="AY62" s="116" t="str">
        <f ca="1">IF(OR(AY61="",NOT(AV62)),"",IF(AG60=AW62,X64,0)+AY61)</f>
        <v/>
      </c>
      <c r="AZ62" s="116" t="str">
        <f ca="1">IF(OR(AZ61="",NOT(AV62)),"",IF(AG61=AW62,X64,0)+AZ61)</f>
        <v/>
      </c>
      <c r="BD62" s="15" t="s">
        <v>300</v>
      </c>
      <c r="BE62" s="21" t="b">
        <f ca="1">RTAB!$AD$79</f>
        <v>1</v>
      </c>
      <c r="BI62" s="118">
        <f t="shared" si="9"/>
        <v>42389</v>
      </c>
      <c r="BM62" s="119"/>
    </row>
    <row r="63" spans="1:66" ht="15" customHeight="1" x14ac:dyDescent="0.3">
      <c r="A63" s="864"/>
      <c r="B63" s="121"/>
      <c r="C63" s="106">
        <v>5</v>
      </c>
      <c r="D63" s="137">
        <v>39926</v>
      </c>
      <c r="E63" s="107" t="str">
        <f t="shared" ca="1" si="14"/>
        <v/>
      </c>
      <c r="F63" s="108"/>
      <c r="G63" s="64" t="str">
        <f t="shared" ca="1" si="15"/>
        <v/>
      </c>
      <c r="H63" s="109"/>
      <c r="I63" s="110" t="str">
        <f t="shared" ca="1" si="16"/>
        <v/>
      </c>
      <c r="J63" s="111"/>
      <c r="K63" s="112" t="str">
        <f t="shared" ca="1" si="17"/>
        <v/>
      </c>
      <c r="L63" s="113"/>
      <c r="M63" s="153" t="str">
        <f t="shared" ca="1" si="18"/>
        <v/>
      </c>
      <c r="N63" s="110"/>
      <c r="O63" s="140"/>
      <c r="P63" s="114"/>
      <c r="Q63" s="114"/>
      <c r="R63" s="114"/>
      <c r="S63" s="114"/>
      <c r="W63" s="15" t="s">
        <v>315</v>
      </c>
      <c r="X63" s="18">
        <v>3</v>
      </c>
      <c r="AD63" s="15"/>
      <c r="AE63" s="15" t="s">
        <v>312</v>
      </c>
      <c r="AF63" s="15" t="str">
        <f>CONCATENATE(V57,"f")</f>
        <v>2f</v>
      </c>
      <c r="AG63" s="16" t="str">
        <f ca="1">IF(OR(NOT(AJ60),NOT(AJ61)),"",AD60)</f>
        <v>K&amp;H</v>
      </c>
      <c r="AH63" s="23">
        <f ca="1">IF(OR(NOT(AJ60),NOT(AJ61)),"",VLOOKUP(AG63,AG60:AH61,2,FALSE))</f>
        <v>0</v>
      </c>
      <c r="AL63" s="18" t="s">
        <v>318</v>
      </c>
      <c r="AP63" s="115" t="b">
        <f ca="1">AND(AP62,AL63&lt;&gt;"",(COUNTIF(AP59:AP62,"IGAZ")-COUNTIF(AV59:AV62,"IGAZ"))*X64+MAX(AY58:AZ62)&lt;X63)</f>
        <v>0</v>
      </c>
      <c r="AQ63" s="116" t="str">
        <f ca="1">IF(NOT(AP63),"",IF(AL63="p",AG60,AG61))</f>
        <v/>
      </c>
      <c r="AR63" s="117" t="str">
        <f ca="1">IF(NOT(AP63),"",IF(AL63="p",AG61,AG60))</f>
        <v/>
      </c>
      <c r="AT63" s="115" t="b">
        <f t="shared" ca="1" si="10"/>
        <v>0</v>
      </c>
      <c r="AU63" s="115" t="b">
        <f ca="1">AND(ASZTAB!$AJ$42,AT63,F63=H63)</f>
        <v>0</v>
      </c>
      <c r="AV63" s="115" t="b">
        <f t="shared" ca="1" si="11"/>
        <v>0</v>
      </c>
      <c r="AW63" s="116" t="str">
        <f t="shared" ca="1" si="12"/>
        <v/>
      </c>
      <c r="AX63" s="117" t="str">
        <f t="shared" ca="1" si="13"/>
        <v/>
      </c>
      <c r="AY63" s="116" t="str">
        <f ca="1">IF(OR(AY62="",NOT(AV63)),"",IF(AG60=AW63,X64,0)+AY62)</f>
        <v/>
      </c>
      <c r="AZ63" s="116" t="str">
        <f ca="1">IF(OR(AZ62="",NOT(AV63)),"",IF(AG61=AW63,X64,0)+AZ62)</f>
        <v/>
      </c>
      <c r="BD63" s="15" t="s">
        <v>373</v>
      </c>
      <c r="BE63" s="21" t="b">
        <f>RTAB!$AD$85</f>
        <v>0</v>
      </c>
      <c r="BI63" s="118">
        <f t="shared" si="9"/>
        <v>42390</v>
      </c>
      <c r="BK63" s="119"/>
      <c r="BL63" s="119"/>
      <c r="BM63" s="119"/>
    </row>
    <row r="64" spans="1:66" ht="15" customHeight="1" x14ac:dyDescent="0.3">
      <c r="A64" s="864"/>
      <c r="B64" s="122"/>
      <c r="C64" s="106">
        <v>6</v>
      </c>
      <c r="D64" s="137"/>
      <c r="E64" s="107" t="str">
        <f t="shared" ca="1" si="14"/>
        <v/>
      </c>
      <c r="F64" s="108"/>
      <c r="G64" s="64" t="str">
        <f t="shared" ca="1" si="15"/>
        <v/>
      </c>
      <c r="H64" s="109"/>
      <c r="I64" s="110" t="str">
        <f t="shared" ca="1" si="16"/>
        <v/>
      </c>
      <c r="J64" s="111"/>
      <c r="K64" s="112" t="str">
        <f t="shared" ca="1" si="17"/>
        <v/>
      </c>
      <c r="L64" s="113"/>
      <c r="M64" s="8" t="str">
        <f t="shared" ca="1" si="18"/>
        <v/>
      </c>
      <c r="N64" s="123"/>
      <c r="O64" s="141"/>
      <c r="W64" s="15" t="s">
        <v>327</v>
      </c>
      <c r="X64" s="18">
        <v>1</v>
      </c>
      <c r="AD64" s="15"/>
      <c r="AE64" s="15" t="s">
        <v>313</v>
      </c>
      <c r="AF64" s="15" t="str">
        <f>CONCATENATE(V57,"a")</f>
        <v>2a</v>
      </c>
      <c r="AG64" s="16" t="str">
        <f ca="1">IF(OR(NOT(AJ60),NOT(AJ61)),"",AD61)</f>
        <v>BHD</v>
      </c>
      <c r="AH64" s="23">
        <f ca="1">IF(OR(NOT(AJ60),NOT(AJ61)),"",VLOOKUP(AG64,AG60:AH61,2,FALSE))</f>
        <v>0</v>
      </c>
      <c r="AL64" s="18" t="s">
        <v>331</v>
      </c>
      <c r="AP64" s="115" t="b">
        <f ca="1">AND(AP63,AL64&lt;&gt;"",(COUNTIF(AP59:AP63,"IGAZ")-COUNTIF(AV59:AV63,"IGAZ"))*X64+MAX(AY58:AZ63)&lt;X63)</f>
        <v>0</v>
      </c>
      <c r="AQ64" s="116" t="str">
        <f ca="1">IF(NOT(AP64),"",IF(AL64="p",AG60,AG61))</f>
        <v/>
      </c>
      <c r="AR64" s="117" t="str">
        <f ca="1">IF(NOT(AP64),"",IF(AL64="p",AG61,AG60))</f>
        <v/>
      </c>
      <c r="AT64" s="115" t="b">
        <f t="shared" ca="1" si="10"/>
        <v>0</v>
      </c>
      <c r="AU64" s="115" t="b">
        <f ca="1">AND(ASZTAB!$AJ$42,AT64,F64=H64)</f>
        <v>0</v>
      </c>
      <c r="AV64" s="115" t="b">
        <f t="shared" ca="1" si="11"/>
        <v>0</v>
      </c>
      <c r="AW64" s="116" t="str">
        <f t="shared" ca="1" si="12"/>
        <v/>
      </c>
      <c r="AX64" s="117" t="str">
        <f t="shared" ca="1" si="13"/>
        <v/>
      </c>
      <c r="AY64" s="116" t="str">
        <f ca="1">IF(OR(AY63="",NOT(AV64)),"",IF(AG60=AW64,X64,0)+AY63)</f>
        <v/>
      </c>
      <c r="AZ64" s="116" t="str">
        <f ca="1">IF(OR(AZ63="",NOT(AV64)),"",IF(AG61=AW64,X64,0)+AZ63)</f>
        <v/>
      </c>
      <c r="BD64" s="15"/>
      <c r="BI64" s="118">
        <f t="shared" si="9"/>
        <v>42391</v>
      </c>
      <c r="BK64" s="119"/>
      <c r="BL64" s="119"/>
      <c r="BM64" s="119"/>
    </row>
    <row r="65" spans="1:66" ht="15" customHeight="1" x14ac:dyDescent="0.3">
      <c r="A65" s="864"/>
      <c r="B65" s="122"/>
      <c r="C65" s="106">
        <v>7</v>
      </c>
      <c r="D65" s="137"/>
      <c r="E65" s="107" t="str">
        <f t="shared" ca="1" si="14"/>
        <v/>
      </c>
      <c r="F65" s="108"/>
      <c r="G65" s="64" t="str">
        <f t="shared" ca="1" si="15"/>
        <v/>
      </c>
      <c r="H65" s="109"/>
      <c r="I65" s="110" t="str">
        <f t="shared" ca="1" si="16"/>
        <v/>
      </c>
      <c r="J65" s="111"/>
      <c r="K65" s="112" t="str">
        <f t="shared" ca="1" si="17"/>
        <v/>
      </c>
      <c r="L65" s="113"/>
      <c r="M65" s="8" t="str">
        <f t="shared" ca="1" si="18"/>
        <v/>
      </c>
      <c r="N65" s="123"/>
      <c r="O65" s="141"/>
      <c r="AE65" s="15" t="s">
        <v>316</v>
      </c>
      <c r="AF65" s="15" t="str">
        <f>CONCATENATE(V57,"w")</f>
        <v>2w</v>
      </c>
      <c r="AG65" s="16" t="str">
        <f ca="1">IF(AND(AJ60,AJ61),IF(MAX(AY59:AY65)&gt;=X63,AG60,IF(MAX(AZ59:AZ65)&gt;=X63,AG61,"")),"")</f>
        <v/>
      </c>
      <c r="AL65" s="18" t="s">
        <v>318</v>
      </c>
      <c r="AP65" s="115" t="b">
        <f ca="1">AND(AP64,AL65&lt;&gt;"",(COUNTIF(AP59:AP64,"IGAZ")-COUNTIF(AV59:AV64,"IGAZ"))*X64+MAX(AY58:AZ64)&lt;X63)</f>
        <v>0</v>
      </c>
      <c r="AQ65" s="116" t="str">
        <f ca="1">IF(NOT(AP65),"",IF(AL65="p",AG60,AG61))</f>
        <v/>
      </c>
      <c r="AR65" s="117" t="str">
        <f ca="1">IF(NOT(AP65),"",IF(AL65="p",AG61,AG60))</f>
        <v/>
      </c>
      <c r="AT65" s="115" t="b">
        <f t="shared" ca="1" si="10"/>
        <v>0</v>
      </c>
      <c r="AU65" s="115" t="b">
        <f ca="1">AND(ASZTAB!$AJ$42,AT65,F65=H65)</f>
        <v>0</v>
      </c>
      <c r="AV65" s="115" t="b">
        <f t="shared" ca="1" si="11"/>
        <v>0</v>
      </c>
      <c r="AW65" s="116" t="str">
        <f t="shared" ca="1" si="12"/>
        <v/>
      </c>
      <c r="AX65" s="117" t="str">
        <f t="shared" ca="1" si="13"/>
        <v/>
      </c>
      <c r="AY65" s="116" t="str">
        <f ca="1">IF(OR(AY64="",NOT(AV65)),"",IF(AG60=AW65,X64,0)+AY64)</f>
        <v/>
      </c>
      <c r="AZ65" s="116" t="str">
        <f ca="1">IF(OR(AZ64="",NOT(AV65)),"",IF(AG61=AW65,X64,0)+AZ64)</f>
        <v/>
      </c>
      <c r="BD65" s="15"/>
      <c r="BI65" s="118">
        <f t="shared" si="9"/>
        <v>42392</v>
      </c>
      <c r="BK65" s="119"/>
      <c r="BL65" s="119"/>
      <c r="BM65" s="119"/>
      <c r="BN65" s="119"/>
    </row>
    <row r="66" spans="1:66" ht="15" customHeight="1" x14ac:dyDescent="0.3">
      <c r="A66" s="864"/>
      <c r="B66" s="122"/>
      <c r="C66" s="106"/>
      <c r="D66" s="123"/>
      <c r="E66" s="124"/>
      <c r="F66" s="125"/>
      <c r="G66" s="123"/>
      <c r="H66" s="114"/>
      <c r="I66" s="123"/>
      <c r="J66" s="125"/>
      <c r="K66" s="123"/>
      <c r="L66" s="114"/>
      <c r="M66" s="123"/>
      <c r="N66" s="123"/>
      <c r="O66" s="123"/>
      <c r="AE66" s="15" t="s">
        <v>317</v>
      </c>
      <c r="AF66" s="15" t="str">
        <f>CONCATENATE(V57,"l")</f>
        <v>2l</v>
      </c>
      <c r="AG66" s="16" t="str">
        <f ca="1">IF(AG65=AG60,AG61,IF(AG61=AG65,AG60,""))</f>
        <v/>
      </c>
      <c r="AL66" s="126" t="s">
        <v>330</v>
      </c>
      <c r="BD66" s="15"/>
      <c r="BI66" s="118">
        <f t="shared" si="9"/>
        <v>42393</v>
      </c>
      <c r="BK66" s="119"/>
      <c r="BL66" s="119"/>
      <c r="BM66" s="119"/>
      <c r="BN66" s="119"/>
    </row>
    <row r="67" spans="1:66" ht="15" customHeight="1" x14ac:dyDescent="0.3">
      <c r="A67" s="864"/>
      <c r="B67" s="122"/>
      <c r="C67" s="127" t="s">
        <v>463</v>
      </c>
      <c r="D67" s="123"/>
      <c r="E67" s="124"/>
      <c r="F67" s="125"/>
      <c r="G67" s="123"/>
      <c r="H67" s="114"/>
      <c r="I67" s="123"/>
      <c r="J67" s="125"/>
      <c r="K67" s="123"/>
      <c r="L67" s="114"/>
      <c r="M67" s="123"/>
      <c r="N67" s="123"/>
      <c r="O67" s="123"/>
      <c r="Y67" s="11" t="s">
        <v>294</v>
      </c>
      <c r="Z67" s="70" t="s">
        <v>311</v>
      </c>
      <c r="AA67" s="70" t="s">
        <v>153</v>
      </c>
      <c r="AB67" s="70" t="s">
        <v>153</v>
      </c>
      <c r="AE67" s="15" t="s">
        <v>287</v>
      </c>
      <c r="AF67" s="15" t="str">
        <f>CONCATENATE(V57,"e")</f>
        <v>2e</v>
      </c>
      <c r="AG67" s="21" t="b">
        <f ca="1">AND(AG65&lt;&gt;"",AG66&lt;&gt;"")</f>
        <v>0</v>
      </c>
      <c r="BD67" s="15"/>
      <c r="BI67" s="118">
        <f t="shared" si="9"/>
        <v>42394</v>
      </c>
      <c r="BK67" s="119"/>
      <c r="BL67" s="119"/>
      <c r="BM67" s="119"/>
      <c r="BN67" s="119"/>
    </row>
    <row r="68" spans="1:66" ht="15" customHeight="1" x14ac:dyDescent="0.3">
      <c r="A68" s="864"/>
      <c r="B68" s="122"/>
      <c r="C68" s="865"/>
      <c r="D68" s="865"/>
      <c r="E68" s="865"/>
      <c r="F68" s="865"/>
      <c r="G68" s="865"/>
      <c r="H68" s="865"/>
      <c r="I68" s="865"/>
      <c r="J68" s="865"/>
      <c r="K68" s="865"/>
      <c r="L68" s="865"/>
      <c r="M68" s="865"/>
      <c r="N68" s="865"/>
      <c r="O68" s="865"/>
      <c r="W68" s="15" t="s">
        <v>319</v>
      </c>
      <c r="X68" s="18" t="b">
        <v>0</v>
      </c>
      <c r="Y68" s="72" t="s">
        <v>289</v>
      </c>
      <c r="Z68" s="16" t="str">
        <f ca="1">IF(AND(AJ60,AJ61,X68,Y68&lt;&gt;""),CONCATENATE(VLOOKUP(CONCATENATE(AG60,AG61),INDIRECT(CONCATENATE("games.",Y68)),9,FALSE),VLOOKUP(CONCATENATE(AG60,AG61),INDIRECT(CONCATENATE("games.",Y68)),12,FALSE)),"")</f>
        <v/>
      </c>
      <c r="AA68" s="16" t="str">
        <f ca="1">IF(AND(AJ60,AJ61,X68,Y68&lt;&gt;""),VLOOKUP(CONCATENATE(AG60,AG61),INDIRECT(CONCATENATE("games.",Y68)),10,FALSE),"")</f>
        <v/>
      </c>
      <c r="AB68" s="54" t="str">
        <f ca="1">IF(AND(AJ60,AJ61,X68,Y68&lt;&gt;""),VLOOKUP(CONCATENATE(AG60,AG61),INDIRECT(CONCATENATE("games.",Y68)),13,FALSE),"")</f>
        <v/>
      </c>
      <c r="BD68" s="15"/>
      <c r="BI68" s="118">
        <f t="shared" si="9"/>
        <v>42395</v>
      </c>
      <c r="BK68" s="119"/>
      <c r="BL68" s="119"/>
      <c r="BM68" s="119"/>
      <c r="BN68" s="119"/>
    </row>
    <row r="69" spans="1:66" ht="15" customHeight="1" x14ac:dyDescent="0.3">
      <c r="A69" s="864"/>
      <c r="B69" s="122"/>
      <c r="C69" s="866"/>
      <c r="D69" s="866"/>
      <c r="E69" s="866"/>
      <c r="F69" s="866"/>
      <c r="G69" s="866"/>
      <c r="H69" s="866"/>
      <c r="I69" s="866"/>
      <c r="J69" s="866"/>
      <c r="K69" s="866"/>
      <c r="L69" s="866"/>
      <c r="M69" s="866"/>
      <c r="N69" s="866"/>
      <c r="O69" s="866"/>
      <c r="Z69" s="16" t="str">
        <f ca="1">IF(AND(AJ60,AJ61,X68,Y68&lt;&gt;""),CONCATENATE(VLOOKUP(CONCATENATE(AG61,AG60),INDIRECT(CONCATENATE("games.",Y68)),9,FALSE),VLOOKUP(CONCATENATE(AG61,AG60),INDIRECT(CONCATENATE("games.",Y68)),12,FALSE)),"")</f>
        <v/>
      </c>
      <c r="AA69" s="16" t="str">
        <f ca="1">IF(AND(AJ60,AJ61,X68,Y68&lt;&gt;""),VLOOKUP(CONCATENATE(AG61,AG60),INDIRECT(CONCATENATE("games.",Y68)),10,FALSE),"")</f>
        <v/>
      </c>
      <c r="AB69" s="54" t="str">
        <f ca="1">IF(AND(AJ60,AJ61,X68,Y68&lt;&gt;""),VLOOKUP(CONCATENATE(AG61,AG60),INDIRECT(CONCATENATE("games.",Y68)),13,FALSE),"")</f>
        <v/>
      </c>
      <c r="BD69" s="15"/>
      <c r="BI69" s="118">
        <f t="shared" si="9"/>
        <v>42396</v>
      </c>
      <c r="BK69" s="119"/>
      <c r="BL69" s="119"/>
      <c r="BM69" s="119"/>
      <c r="BN69" s="119"/>
    </row>
    <row r="70" spans="1:66" ht="15" customHeight="1" x14ac:dyDescent="0.3">
      <c r="A70" s="864"/>
      <c r="B70" s="122"/>
      <c r="C70" s="866"/>
      <c r="D70" s="866"/>
      <c r="E70" s="866"/>
      <c r="F70" s="866"/>
      <c r="G70" s="866"/>
      <c r="H70" s="866"/>
      <c r="I70" s="866"/>
      <c r="J70" s="866"/>
      <c r="K70" s="866"/>
      <c r="L70" s="866"/>
      <c r="M70" s="866"/>
      <c r="N70" s="866"/>
      <c r="O70" s="866"/>
      <c r="BD70" s="15"/>
      <c r="BI70" s="118">
        <f t="shared" si="9"/>
        <v>42397</v>
      </c>
      <c r="BK70" s="119"/>
      <c r="BL70" s="119"/>
      <c r="BM70" s="119"/>
      <c r="BN70" s="119"/>
    </row>
    <row r="71" spans="1:66" ht="15" customHeight="1" x14ac:dyDescent="0.3">
      <c r="A71" s="864"/>
      <c r="B71" s="122"/>
      <c r="C71" s="106"/>
      <c r="D71" s="123"/>
      <c r="E71" s="124"/>
      <c r="F71" s="125"/>
      <c r="G71" s="123"/>
      <c r="H71" s="114"/>
      <c r="I71" s="123"/>
      <c r="J71" s="125"/>
      <c r="K71" s="123"/>
      <c r="L71" s="114"/>
      <c r="M71" s="123"/>
      <c r="N71" s="123"/>
      <c r="O71" s="123"/>
      <c r="U71" s="10"/>
      <c r="V71" s="128"/>
      <c r="W71" s="129"/>
      <c r="X71" s="10"/>
      <c r="Y71" s="130"/>
      <c r="Z71" s="130"/>
      <c r="AA71" s="130"/>
      <c r="AB71" s="130"/>
      <c r="AC71" s="130"/>
      <c r="AD71" s="130"/>
      <c r="AE71" s="130"/>
      <c r="AF71" s="130"/>
      <c r="AG71" s="130"/>
      <c r="AH71" s="130"/>
      <c r="AI71" s="130"/>
      <c r="AJ71" s="130"/>
      <c r="AK71" s="130"/>
      <c r="AL71" s="130"/>
      <c r="AM71" s="10"/>
      <c r="AO71" s="131"/>
      <c r="AP71" s="131"/>
      <c r="AQ71" s="132"/>
      <c r="AR71" s="132"/>
      <c r="AS71" s="132"/>
      <c r="AT71" s="131"/>
      <c r="AU71" s="131"/>
      <c r="AV71" s="131"/>
      <c r="AW71" s="132"/>
      <c r="AX71" s="132"/>
      <c r="AY71" s="131"/>
      <c r="AZ71" s="131"/>
      <c r="BA71" s="131"/>
      <c r="BD71" s="15"/>
      <c r="BI71" s="118">
        <f t="shared" si="9"/>
        <v>42398</v>
      </c>
      <c r="BK71" s="119"/>
      <c r="BL71" s="119"/>
      <c r="BM71" s="119"/>
      <c r="BN71" s="119"/>
    </row>
    <row r="72" spans="1:66" ht="15" customHeight="1" x14ac:dyDescent="0.3">
      <c r="A72" s="864"/>
      <c r="B72" s="88"/>
      <c r="C72" s="89"/>
      <c r="D72" s="90"/>
      <c r="BI72" s="118">
        <f t="shared" si="9"/>
        <v>42399</v>
      </c>
      <c r="BM72" s="119"/>
    </row>
    <row r="73" spans="1:66" ht="15" customHeight="1" x14ac:dyDescent="0.3">
      <c r="A73" s="864"/>
      <c r="B73" s="147"/>
      <c r="C73" s="149">
        <f>V73</f>
        <v>3</v>
      </c>
      <c r="D73" s="150" t="str">
        <f>UPPER(W73)</f>
        <v>RÁJÁTSZÁS AZ 5-8. HELYÉRT (A)</v>
      </c>
      <c r="E73" s="151"/>
      <c r="F73" s="151"/>
      <c r="G73" s="151"/>
      <c r="H73" s="151"/>
      <c r="I73" s="151"/>
      <c r="J73" s="151"/>
      <c r="K73" s="151"/>
      <c r="L73" s="151"/>
      <c r="M73" s="138"/>
      <c r="N73" s="151"/>
      <c r="O73" s="161" t="str">
        <f ca="1">IF(NOT(AG83),"","A PÁRHARC GYŐZTESE: "&amp;UPPER(AG81))</f>
        <v/>
      </c>
      <c r="P73" s="152" t="str">
        <f>IF(NOT(Y81),"",CONCATENATE("A PÁRHARC GYŐZTESE: ",AH79," "))</f>
        <v/>
      </c>
      <c r="Q73" s="148" t="str">
        <f>IF(NOT(Z81),"",CONCATENATE("A PÁRHARC GYŐZTESE: ",AJ79," "))</f>
        <v/>
      </c>
      <c r="R73" s="148" t="str">
        <f>IF(NOT(AA81),"",CONCATENATE("A PÁRHARC GYŐZTESE: ",AK79," "))</f>
        <v/>
      </c>
      <c r="S73" s="148" t="str">
        <f>IF(NOT(AB81),"",CONCATENATE("A PÁRHARC GYŐZTESE: ",AL79," "))</f>
        <v/>
      </c>
      <c r="V73" s="21">
        <f>V57+1</f>
        <v>3</v>
      </c>
      <c r="W73" s="95" t="s">
        <v>334</v>
      </c>
      <c r="X73" s="96"/>
      <c r="Y73" s="96"/>
      <c r="Z73" s="96"/>
      <c r="AA73" s="96"/>
      <c r="AB73" s="96"/>
      <c r="AC73" s="96"/>
      <c r="AD73" s="96"/>
      <c r="AE73" s="96"/>
      <c r="AF73" s="96"/>
      <c r="AG73" s="96"/>
      <c r="AH73" s="96"/>
      <c r="AI73" s="96"/>
      <c r="AJ73" s="96"/>
      <c r="AK73" s="96"/>
      <c r="AL73" s="97"/>
      <c r="AY73" s="13" t="s">
        <v>326</v>
      </c>
      <c r="AZ73" s="13" t="s">
        <v>325</v>
      </c>
      <c r="BD73" s="142"/>
      <c r="BH73" s="98"/>
      <c r="BI73" s="118">
        <f t="shared" si="9"/>
        <v>42400</v>
      </c>
      <c r="BJ73" s="98"/>
      <c r="BK73" s="99"/>
      <c r="BL73" s="99"/>
      <c r="BM73" s="119"/>
    </row>
    <row r="74" spans="1:66" ht="11.25" customHeight="1" x14ac:dyDescent="0.3">
      <c r="A74" s="864"/>
      <c r="C74" s="101"/>
      <c r="D74" s="102"/>
      <c r="E74" s="103"/>
      <c r="F74" s="58"/>
      <c r="G74" s="104"/>
      <c r="H74" s="60"/>
      <c r="I74" s="146"/>
      <c r="J74" s="107"/>
      <c r="K74" s="160" t="str">
        <f ca="1">IF(OR(AU75,AU76,AU77,AU78,AU79,AU80,AU81),"BÜNTETŐK","")</f>
        <v/>
      </c>
      <c r="L74" s="110"/>
      <c r="M74" s="158" t="s">
        <v>286</v>
      </c>
      <c r="N74" s="159"/>
      <c r="O74" s="158" t="s">
        <v>285</v>
      </c>
      <c r="AP74" s="105" t="s">
        <v>328</v>
      </c>
      <c r="AQ74" s="12" t="s">
        <v>138</v>
      </c>
      <c r="AR74" s="12" t="s">
        <v>139</v>
      </c>
      <c r="AT74" s="105" t="s">
        <v>320</v>
      </c>
      <c r="AU74" s="105" t="s">
        <v>321</v>
      </c>
      <c r="AV74" s="105" t="s">
        <v>324</v>
      </c>
      <c r="AW74" s="12" t="s">
        <v>322</v>
      </c>
      <c r="AX74" s="12" t="s">
        <v>323</v>
      </c>
      <c r="AY74" s="116">
        <f>IF(X84,COUNTIF(Z84:Z85,AG76)*ASZTAB!$AJ$48+COUNTIF(AA84:AB85,AG76),0)</f>
        <v>0</v>
      </c>
      <c r="AZ74" s="116">
        <f>IF(X84,COUNTIF(Z84:Z85,AG77)*ASZTAB!$AJ$48+COUNTIF(AA84:AB85,AG77),0)</f>
        <v>0</v>
      </c>
      <c r="BD74" s="142"/>
      <c r="BH74" s="98"/>
      <c r="BI74" s="118">
        <f t="shared" si="9"/>
        <v>42401</v>
      </c>
      <c r="BJ74" s="98"/>
      <c r="BK74" s="99"/>
      <c r="BL74" s="99"/>
      <c r="BM74" s="119"/>
    </row>
    <row r="75" spans="1:66" ht="15" customHeight="1" x14ac:dyDescent="0.3">
      <c r="A75" s="864"/>
      <c r="B75" s="7"/>
      <c r="C75" s="106">
        <v>1</v>
      </c>
      <c r="D75" s="137"/>
      <c r="E75" s="107" t="str">
        <f t="shared" ref="E75:E81" ca="1" si="19">IF(NOT($AP75),"",AQ75)</f>
        <v/>
      </c>
      <c r="F75" s="108"/>
      <c r="G75" s="64" t="str">
        <f t="shared" ref="G75:G81" ca="1" si="20">IF(NOT($AP75),"","–")</f>
        <v/>
      </c>
      <c r="H75" s="109"/>
      <c r="I75" s="110" t="str">
        <f t="shared" ref="I75:I81" ca="1" si="21">IF(NOT($AP75),"",AR75)</f>
        <v/>
      </c>
      <c r="J75" s="111"/>
      <c r="K75" s="112" t="str">
        <f t="shared" ref="K75:K81" ca="1" si="22">IF(AU75,"–","")</f>
        <v/>
      </c>
      <c r="L75" s="113"/>
      <c r="M75" s="153" t="str">
        <f ca="1">IF(OR(AL75="",NOT(AV75)),"",IF(AL75="p",CONCATENATE(AY75,"–",AZ75),CONCATENATE(AZ75,"–",AY75)))</f>
        <v/>
      </c>
      <c r="N75" s="110"/>
      <c r="O75" s="139"/>
      <c r="P75" s="114"/>
      <c r="Q75" s="114"/>
      <c r="R75" s="114"/>
      <c r="S75" s="114"/>
      <c r="X75" s="11" t="s">
        <v>306</v>
      </c>
      <c r="Y75" s="11" t="s">
        <v>294</v>
      </c>
      <c r="Z75" s="70" t="s">
        <v>295</v>
      </c>
      <c r="AA75" s="70" t="s">
        <v>127</v>
      </c>
      <c r="AB75" s="70" t="s">
        <v>301</v>
      </c>
      <c r="AC75" s="70" t="s">
        <v>302</v>
      </c>
      <c r="AD75" s="70" t="s">
        <v>332</v>
      </c>
      <c r="AE75" s="70" t="s">
        <v>333</v>
      </c>
      <c r="AF75" s="70" t="s">
        <v>329</v>
      </c>
      <c r="AG75" s="70" t="s">
        <v>303</v>
      </c>
      <c r="AH75" s="70" t="s">
        <v>293</v>
      </c>
      <c r="AJ75" s="71" t="s">
        <v>314</v>
      </c>
      <c r="AL75" s="18" t="s">
        <v>318</v>
      </c>
      <c r="AP75" s="115" t="b">
        <f ca="1">AND(AJ76,AJ77,AL75&lt;&gt;"")</f>
        <v>0</v>
      </c>
      <c r="AQ75" s="116" t="str">
        <f ca="1">IF(NOT(AP75),"",IF(AL75="p",AG76,AG77))</f>
        <v/>
      </c>
      <c r="AR75" s="117" t="str">
        <f ca="1">IF(NOT(AP75),"",IF(AL75="p",AG77,AG76))</f>
        <v/>
      </c>
      <c r="AT75" s="115" t="b">
        <f t="shared" ref="AT75:AT81" ca="1" si="23">AND(F75&lt;&gt;"",H75&lt;&gt;"",AP75)</f>
        <v>0</v>
      </c>
      <c r="AU75" s="115" t="b">
        <f ca="1">AND(ASZTAB!$AJ$42,AT75,F75=H75)</f>
        <v>0</v>
      </c>
      <c r="AV75" s="115" t="b">
        <f t="shared" ref="AV75:AV81" ca="1" si="24">OR(AND(AT75,NOT(AU75),F75&lt;&gt;H75),AND(AT75,AU75,J75&lt;&gt;"",L75&lt;&gt;"",J75&lt;&gt;L75))</f>
        <v>0</v>
      </c>
      <c r="AW75" s="116" t="str">
        <f t="shared" ref="AW75:AW81" ca="1" si="25">IF(NOT(AV75),"",IF(AU75,IF(F75+J75&gt;H75+L75,E75,I75),IF(F75&gt;H75,E75,I75)))</f>
        <v/>
      </c>
      <c r="AX75" s="117" t="str">
        <f t="shared" ref="AX75:AX81" ca="1" si="26">IF(NOT(AV75),"",IF(AW75=E75,I75,IF(AW75=I75,E75,"")))</f>
        <v/>
      </c>
      <c r="AY75" s="116" t="str">
        <f ca="1">IF(NOT(AV75),"",IF(AG76=AW75,X80,0)+AY74)</f>
        <v/>
      </c>
      <c r="AZ75" s="116" t="str">
        <f ca="1">IF(NOT(AV75),"",IF(AG77=AW75,X80,0)+AZ74)</f>
        <v/>
      </c>
      <c r="BD75" s="142"/>
      <c r="BI75" s="118">
        <f t="shared" si="9"/>
        <v>42402</v>
      </c>
      <c r="BK75" s="99"/>
      <c r="BL75" s="119"/>
      <c r="BM75" s="119"/>
    </row>
    <row r="76" spans="1:66" ht="15" customHeight="1" x14ac:dyDescent="0.3">
      <c r="A76" s="864"/>
      <c r="B76" s="7"/>
      <c r="C76" s="106">
        <v>2</v>
      </c>
      <c r="D76" s="137"/>
      <c r="E76" s="107" t="str">
        <f t="shared" ca="1" si="19"/>
        <v/>
      </c>
      <c r="F76" s="108"/>
      <c r="G76" s="64" t="str">
        <f t="shared" ca="1" si="20"/>
        <v/>
      </c>
      <c r="H76" s="109"/>
      <c r="I76" s="110" t="str">
        <f t="shared" ca="1" si="21"/>
        <v/>
      </c>
      <c r="J76" s="111"/>
      <c r="K76" s="112" t="str">
        <f t="shared" ca="1" si="22"/>
        <v/>
      </c>
      <c r="L76" s="113"/>
      <c r="M76" s="153" t="str">
        <f t="shared" ref="M76:M81" ca="1" si="27">IF(OR(AL76="",NOT(AV76)),"",IF(AL76="p",CONCATENATE(AY76,"–",AZ76),CONCATENATE(AZ76,"–",AY76)))</f>
        <v/>
      </c>
      <c r="N76" s="110"/>
      <c r="O76" s="140"/>
      <c r="P76" s="114"/>
      <c r="Q76" s="114"/>
      <c r="R76" s="114"/>
      <c r="S76" s="114"/>
      <c r="W76" s="15" t="s">
        <v>312</v>
      </c>
      <c r="X76" s="18" t="s">
        <v>307</v>
      </c>
      <c r="Y76" s="72" t="s">
        <v>288</v>
      </c>
      <c r="Z76" s="72">
        <v>1</v>
      </c>
      <c r="AA76" s="72">
        <v>5</v>
      </c>
      <c r="AB76" s="18"/>
      <c r="AC76" s="18"/>
      <c r="AD76" s="14" t="str">
        <f ca="1">IF(NOT(AJ76),"",IF(X76=$BE$45,VLOOKUP(AA76,INDIRECT(CONCATENATE("rank.",Y76,Z76)),2,FALSE),VLOOKUP(CONCATENATE(AB76,AC76),result.e,2,FALSE)))</f>
        <v/>
      </c>
      <c r="AE76" s="18"/>
      <c r="AF76" s="120" t="str">
        <f ca="1">IF(OR(AD76="",X76=$BE$45),"",VLOOKUP(AD76,INDIRECT(CONCATENATE("rankname.",AE76)),2,FALSE))</f>
        <v/>
      </c>
      <c r="AG76" s="14" t="str">
        <f ca="1">IF(AD76="","",IF(X76=$BE$45,AD76,IF(AF76&gt;AF77,AD77,AD76)))</f>
        <v/>
      </c>
      <c r="AH76" s="120">
        <f ca="1">MAX(AY74:AY81)</f>
        <v>0</v>
      </c>
      <c r="AJ76" s="21" t="b">
        <f ca="1">IF(X76=$BE$45,IF(OR(Y76="",Z76="",AA76=""),FALSE,VLOOKUP(CONCATENATE(Y76,Z76),$BD$59:$BE$63,2,FALSE)),IF(OR(AB76="",AC76="",AE76=""),FALSE,VLOOKUP(CONCATENATE(AB76,"e"),result.e,2,FALSE)))</f>
        <v>0</v>
      </c>
      <c r="AL76" s="18" t="s">
        <v>331</v>
      </c>
      <c r="AP76" s="115" t="b">
        <f ca="1">AND(AP75,AL76&lt;&gt;"",(COUNTIF(AP75:AP75,"IGAZ")-COUNTIF(AV75:AV75,"IGAZ"))*X80+MAX(AY74:AZ75)&lt;X79)</f>
        <v>0</v>
      </c>
      <c r="AQ76" s="116" t="str">
        <f ca="1">IF(NOT(AP76),"",IF(AL76="p",AG76,AG77))</f>
        <v/>
      </c>
      <c r="AR76" s="117" t="str">
        <f ca="1">IF(NOT(AP76),"",IF(AL76="p",AG77,AG76))</f>
        <v/>
      </c>
      <c r="AT76" s="115" t="b">
        <f t="shared" ca="1" si="23"/>
        <v>0</v>
      </c>
      <c r="AU76" s="115" t="b">
        <f ca="1">AND(ASZTAB!$AJ$42,AT76,F76=H76)</f>
        <v>0</v>
      </c>
      <c r="AV76" s="115" t="b">
        <f t="shared" ca="1" si="24"/>
        <v>0</v>
      </c>
      <c r="AW76" s="116" t="str">
        <f t="shared" ca="1" si="25"/>
        <v/>
      </c>
      <c r="AX76" s="117" t="str">
        <f t="shared" ca="1" si="26"/>
        <v/>
      </c>
      <c r="AY76" s="116" t="str">
        <f ca="1">IF(OR(AY75="",NOT(AV76)),"",IF(AG76=AW76,X80,0)+AY75)</f>
        <v/>
      </c>
      <c r="AZ76" s="116" t="str">
        <f ca="1">IF(OR(AZ75="",NOT(AV76)),"",IF(AG77=AW76,X80,0)+AZ75)</f>
        <v/>
      </c>
      <c r="BD76" s="142"/>
      <c r="BI76" s="118">
        <f t="shared" si="9"/>
        <v>42403</v>
      </c>
      <c r="BK76" s="99"/>
      <c r="BM76" s="119"/>
    </row>
    <row r="77" spans="1:66" ht="15" customHeight="1" x14ac:dyDescent="0.3">
      <c r="A77" s="864"/>
      <c r="B77" s="7"/>
      <c r="C77" s="106">
        <v>3</v>
      </c>
      <c r="D77" s="137"/>
      <c r="E77" s="107" t="str">
        <f t="shared" ca="1" si="19"/>
        <v/>
      </c>
      <c r="F77" s="108"/>
      <c r="G77" s="64" t="str">
        <f t="shared" ca="1" si="20"/>
        <v/>
      </c>
      <c r="H77" s="109"/>
      <c r="I77" s="110" t="str">
        <f t="shared" ca="1" si="21"/>
        <v/>
      </c>
      <c r="J77" s="111"/>
      <c r="K77" s="112" t="str">
        <f t="shared" ca="1" si="22"/>
        <v/>
      </c>
      <c r="L77" s="113"/>
      <c r="M77" s="153" t="str">
        <f t="shared" ca="1" si="27"/>
        <v/>
      </c>
      <c r="N77" s="110"/>
      <c r="O77" s="140"/>
      <c r="P77" s="114"/>
      <c r="Q77" s="114"/>
      <c r="R77" s="114"/>
      <c r="S77" s="114"/>
      <c r="W77" s="15" t="s">
        <v>313</v>
      </c>
      <c r="X77" s="18" t="s">
        <v>307</v>
      </c>
      <c r="Y77" s="72" t="s">
        <v>288</v>
      </c>
      <c r="Z77" s="72">
        <v>1</v>
      </c>
      <c r="AA77" s="72">
        <v>8</v>
      </c>
      <c r="AB77" s="18"/>
      <c r="AC77" s="18"/>
      <c r="AD77" s="14" t="str">
        <f ca="1">IF(NOT(AJ77),"",IF(X77=$BE$45,VLOOKUP(AA77,INDIRECT(CONCATENATE("rank.",Y77,Z77)),2,FALSE),VLOOKUP(CONCATENATE(AB77,AC77),result.e,2,FALSE)))</f>
        <v/>
      </c>
      <c r="AE77" s="18"/>
      <c r="AF77" s="120" t="str">
        <f ca="1">IF(OR(AD77="",X77=$BE$45),"",VLOOKUP(AD77,INDIRECT(CONCATENATE("rankname.",AE77)),2,FALSE))</f>
        <v/>
      </c>
      <c r="AG77" s="14" t="str">
        <f ca="1">IF(AD77="","",IF(X77=$BE$45,AD77,IF(AF76&gt;AF77,AD76,AD77)))</f>
        <v/>
      </c>
      <c r="AH77" s="120">
        <f ca="1">MAX(AZ74:AZ81)</f>
        <v>0</v>
      </c>
      <c r="AJ77" s="21" t="b">
        <f ca="1">IF(X77=$BE$45,IF(OR(Y77="",Z77="",AA77=""),FALSE,VLOOKUP(CONCATENATE(Y77,Z77),$BD$59:$BE$63,2,FALSE)),IF(OR(AB77="",AC77="",AE77=""),FALSE,VLOOKUP(CONCATENATE(AB77,"e"),result.e,2,FALSE)))</f>
        <v>0</v>
      </c>
      <c r="AL77" s="18" t="s">
        <v>318</v>
      </c>
      <c r="AP77" s="115" t="b">
        <f ca="1">AND(AP76,AL77&lt;&gt;"",(COUNTIF(AP75:AP76,"IGAZ")-COUNTIF(AV75:AV76,"IGAZ"))*X80+MAX(AY74:AZ76)&lt;X79)</f>
        <v>0</v>
      </c>
      <c r="AQ77" s="116" t="str">
        <f ca="1">IF(NOT(AP77),"",IF(AL77="p",AG76,AG77))</f>
        <v/>
      </c>
      <c r="AR77" s="117" t="str">
        <f ca="1">IF(NOT(AP77),"",IF(AL77="p",AG77,AG76))</f>
        <v/>
      </c>
      <c r="AT77" s="115" t="b">
        <f t="shared" ca="1" si="23"/>
        <v>0</v>
      </c>
      <c r="AU77" s="115" t="b">
        <f ca="1">AND(ASZTAB!$AJ$42,AT77,F77=H77)</f>
        <v>0</v>
      </c>
      <c r="AV77" s="115" t="b">
        <f t="shared" ca="1" si="24"/>
        <v>0</v>
      </c>
      <c r="AW77" s="116" t="str">
        <f t="shared" ca="1" si="25"/>
        <v/>
      </c>
      <c r="AX77" s="117" t="str">
        <f t="shared" ca="1" si="26"/>
        <v/>
      </c>
      <c r="AY77" s="116" t="str">
        <f ca="1">IF(OR(AY76="",NOT(AV77)),"",IF(AG76=AW77,X80,0)+AY76)</f>
        <v/>
      </c>
      <c r="AZ77" s="116" t="str">
        <f ca="1">IF(OR(AZ76="",NOT(AV77)),"",IF(AG77=AW77,X80,0)+AZ76)</f>
        <v/>
      </c>
      <c r="BD77" s="142"/>
      <c r="BI77" s="118">
        <f t="shared" si="9"/>
        <v>42404</v>
      </c>
      <c r="BM77" s="119"/>
      <c r="BN77" s="119"/>
    </row>
    <row r="78" spans="1:66" ht="15" customHeight="1" x14ac:dyDescent="0.3">
      <c r="A78" s="864"/>
      <c r="B78" s="7"/>
      <c r="C78" s="106">
        <v>4</v>
      </c>
      <c r="D78" s="137"/>
      <c r="E78" s="107" t="str">
        <f t="shared" ca="1" si="19"/>
        <v/>
      </c>
      <c r="F78" s="108"/>
      <c r="G78" s="64" t="str">
        <f t="shared" ca="1" si="20"/>
        <v/>
      </c>
      <c r="H78" s="109"/>
      <c r="I78" s="110" t="str">
        <f t="shared" ca="1" si="21"/>
        <v/>
      </c>
      <c r="J78" s="111"/>
      <c r="K78" s="112" t="str">
        <f t="shared" ca="1" si="22"/>
        <v/>
      </c>
      <c r="L78" s="113"/>
      <c r="M78" s="153" t="str">
        <f t="shared" ca="1" si="27"/>
        <v/>
      </c>
      <c r="N78" s="110"/>
      <c r="O78" s="140"/>
      <c r="P78" s="114"/>
      <c r="Q78" s="114"/>
      <c r="AL78" s="18" t="s">
        <v>331</v>
      </c>
      <c r="AP78" s="115" t="b">
        <f ca="1">AND(AP77,AL78&lt;&gt;"",(COUNTIF(AP75:AP77,"IGAZ")-COUNTIF(AV75:AV77,"IGAZ"))*X80+MAX(AY74:AZ77)&lt;X79)</f>
        <v>0</v>
      </c>
      <c r="AQ78" s="116" t="str">
        <f ca="1">IF(NOT(AP78),"",IF(AL78="p",AG76,AG77))</f>
        <v/>
      </c>
      <c r="AR78" s="117" t="str">
        <f ca="1">IF(NOT(AP78),"",IF(AL78="p",AG77,AG76))</f>
        <v/>
      </c>
      <c r="AT78" s="115" t="b">
        <f t="shared" ca="1" si="23"/>
        <v>0</v>
      </c>
      <c r="AU78" s="115" t="b">
        <f ca="1">AND(ASZTAB!$AJ$42,AT78,F78=H78)</f>
        <v>0</v>
      </c>
      <c r="AV78" s="115" t="b">
        <f t="shared" ca="1" si="24"/>
        <v>0</v>
      </c>
      <c r="AW78" s="116" t="str">
        <f t="shared" ca="1" si="25"/>
        <v/>
      </c>
      <c r="AX78" s="117" t="str">
        <f t="shared" ca="1" si="26"/>
        <v/>
      </c>
      <c r="AY78" s="116" t="str">
        <f ca="1">IF(OR(AY77="",NOT(AV78)),"",IF(AG76=AW78,X80,0)+AY77)</f>
        <v/>
      </c>
      <c r="AZ78" s="116" t="str">
        <f ca="1">IF(OR(AZ77="",NOT(AV78)),"",IF(AG77=AW78,X80,0)+AZ77)</f>
        <v/>
      </c>
      <c r="BD78" s="142"/>
      <c r="BI78" s="118">
        <f t="shared" si="9"/>
        <v>42405</v>
      </c>
      <c r="BM78" s="119"/>
    </row>
    <row r="79" spans="1:66" ht="15" customHeight="1" x14ac:dyDescent="0.3">
      <c r="A79" s="864"/>
      <c r="B79" s="121"/>
      <c r="C79" s="106">
        <v>5</v>
      </c>
      <c r="D79" s="137"/>
      <c r="E79" s="107" t="str">
        <f t="shared" ca="1" si="19"/>
        <v/>
      </c>
      <c r="F79" s="108"/>
      <c r="G79" s="64" t="str">
        <f t="shared" ca="1" si="20"/>
        <v/>
      </c>
      <c r="H79" s="109"/>
      <c r="I79" s="110" t="str">
        <f t="shared" ca="1" si="21"/>
        <v/>
      </c>
      <c r="J79" s="111"/>
      <c r="K79" s="112" t="str">
        <f t="shared" ca="1" si="22"/>
        <v/>
      </c>
      <c r="L79" s="113"/>
      <c r="M79" s="153" t="str">
        <f t="shared" ca="1" si="27"/>
        <v/>
      </c>
      <c r="N79" s="110"/>
      <c r="O79" s="140"/>
      <c r="P79" s="114"/>
      <c r="Q79" s="114"/>
      <c r="R79" s="114"/>
      <c r="S79" s="114"/>
      <c r="W79" s="15" t="s">
        <v>315</v>
      </c>
      <c r="X79" s="18">
        <v>2</v>
      </c>
      <c r="AD79" s="15"/>
      <c r="AE79" s="15" t="s">
        <v>312</v>
      </c>
      <c r="AF79" s="15" t="str">
        <f>CONCATENATE(V73,"f")</f>
        <v>3f</v>
      </c>
      <c r="AG79" s="16" t="str">
        <f ca="1">IF(OR(NOT(AJ76),NOT(AJ77)),"",AD76)</f>
        <v/>
      </c>
      <c r="AH79" s="23" t="str">
        <f ca="1">IF(OR(NOT(AJ76),NOT(AJ77)),"",VLOOKUP(AG79,AG76:AH77,2,FALSE))</f>
        <v/>
      </c>
      <c r="AL79" s="18" t="s">
        <v>318</v>
      </c>
      <c r="AP79" s="115" t="b">
        <f ca="1">AND(AP78,AL79&lt;&gt;"",(COUNTIF(AP75:AP78,"IGAZ")-COUNTIF(AV75:AV78,"IGAZ"))*X80+MAX(AY74:AZ78)&lt;X79)</f>
        <v>0</v>
      </c>
      <c r="AQ79" s="116" t="str">
        <f ca="1">IF(NOT(AP79),"",IF(AL79="p",AG76,AG77))</f>
        <v/>
      </c>
      <c r="AR79" s="117" t="str">
        <f ca="1">IF(NOT(AP79),"",IF(AL79="p",AG77,AG76))</f>
        <v/>
      </c>
      <c r="AT79" s="115" t="b">
        <f t="shared" ca="1" si="23"/>
        <v>0</v>
      </c>
      <c r="AU79" s="115" t="b">
        <f ca="1">AND(ASZTAB!$AJ$42,AT79,F79=H79)</f>
        <v>0</v>
      </c>
      <c r="AV79" s="115" t="b">
        <f t="shared" ca="1" si="24"/>
        <v>0</v>
      </c>
      <c r="AW79" s="116" t="str">
        <f t="shared" ca="1" si="25"/>
        <v/>
      </c>
      <c r="AX79" s="117" t="str">
        <f t="shared" ca="1" si="26"/>
        <v/>
      </c>
      <c r="AY79" s="116" t="str">
        <f ca="1">IF(OR(AY78="",NOT(AV79)),"",IF(AG76=AW79,X80,0)+AY78)</f>
        <v/>
      </c>
      <c r="AZ79" s="116" t="str">
        <f ca="1">IF(OR(AZ78="",NOT(AV79)),"",IF(AG77=AW79,X80,0)+AZ78)</f>
        <v/>
      </c>
      <c r="BD79" s="142"/>
      <c r="BI79" s="118">
        <f t="shared" si="9"/>
        <v>42406</v>
      </c>
      <c r="BK79" s="119"/>
      <c r="BL79" s="119"/>
      <c r="BM79" s="119"/>
    </row>
    <row r="80" spans="1:66" ht="15" customHeight="1" x14ac:dyDescent="0.3">
      <c r="A80" s="864"/>
      <c r="B80" s="122"/>
      <c r="C80" s="106">
        <v>6</v>
      </c>
      <c r="D80" s="137"/>
      <c r="E80" s="107" t="str">
        <f t="shared" ca="1" si="19"/>
        <v/>
      </c>
      <c r="F80" s="108"/>
      <c r="G80" s="64" t="str">
        <f t="shared" ca="1" si="20"/>
        <v/>
      </c>
      <c r="H80" s="109"/>
      <c r="I80" s="110" t="str">
        <f t="shared" ca="1" si="21"/>
        <v/>
      </c>
      <c r="J80" s="111"/>
      <c r="K80" s="112" t="str">
        <f t="shared" ca="1" si="22"/>
        <v/>
      </c>
      <c r="L80" s="113"/>
      <c r="M80" s="8" t="str">
        <f t="shared" ca="1" si="27"/>
        <v/>
      </c>
      <c r="N80" s="123"/>
      <c r="O80" s="141"/>
      <c r="W80" s="15" t="s">
        <v>327</v>
      </c>
      <c r="X80" s="18">
        <v>1</v>
      </c>
      <c r="AD80" s="15"/>
      <c r="AE80" s="15" t="s">
        <v>313</v>
      </c>
      <c r="AF80" s="15" t="str">
        <f>CONCATENATE(V73,"a")</f>
        <v>3a</v>
      </c>
      <c r="AG80" s="16" t="str">
        <f ca="1">IF(OR(NOT(AJ76),NOT(AJ77)),"",AD77)</f>
        <v/>
      </c>
      <c r="AH80" s="23" t="str">
        <f ca="1">IF(OR(NOT(AJ76),NOT(AJ77)),"",VLOOKUP(AG80,AG76:AH77,2,FALSE))</f>
        <v/>
      </c>
      <c r="AL80" s="18" t="s">
        <v>331</v>
      </c>
      <c r="AP80" s="115" t="b">
        <f ca="1">AND(AP79,AL80&lt;&gt;"",(COUNTIF(AP75:AP79,"IGAZ")-COUNTIF(AV75:AV79,"IGAZ"))*X80+MAX(AY74:AZ79)&lt;X79)</f>
        <v>0</v>
      </c>
      <c r="AQ80" s="116" t="str">
        <f ca="1">IF(NOT(AP80),"",IF(AL80="p",AG76,AG77))</f>
        <v/>
      </c>
      <c r="AR80" s="117" t="str">
        <f ca="1">IF(NOT(AP80),"",IF(AL80="p",AG77,AG76))</f>
        <v/>
      </c>
      <c r="AT80" s="115" t="b">
        <f t="shared" ca="1" si="23"/>
        <v>0</v>
      </c>
      <c r="AU80" s="115" t="b">
        <f ca="1">AND(ASZTAB!$AJ$42,AT80,F80=H80)</f>
        <v>0</v>
      </c>
      <c r="AV80" s="115" t="b">
        <f t="shared" ca="1" si="24"/>
        <v>0</v>
      </c>
      <c r="AW80" s="116" t="str">
        <f t="shared" ca="1" si="25"/>
        <v/>
      </c>
      <c r="AX80" s="117" t="str">
        <f t="shared" ca="1" si="26"/>
        <v/>
      </c>
      <c r="AY80" s="116" t="str">
        <f ca="1">IF(OR(AY79="",NOT(AV80)),"",IF(AG76=AW80,X80,0)+AY79)</f>
        <v/>
      </c>
      <c r="AZ80" s="116" t="str">
        <f ca="1">IF(OR(AZ79="",NOT(AV80)),"",IF(AG77=AW80,X80,0)+AZ79)</f>
        <v/>
      </c>
      <c r="BD80" s="142"/>
      <c r="BI80" s="118">
        <f t="shared" si="9"/>
        <v>42407</v>
      </c>
      <c r="BK80" s="119"/>
      <c r="BL80" s="119"/>
      <c r="BM80" s="119"/>
    </row>
    <row r="81" spans="1:66" ht="15" customHeight="1" x14ac:dyDescent="0.3">
      <c r="A81" s="864"/>
      <c r="B81" s="122"/>
      <c r="C81" s="106">
        <v>7</v>
      </c>
      <c r="D81" s="137"/>
      <c r="E81" s="107" t="str">
        <f t="shared" ca="1" si="19"/>
        <v/>
      </c>
      <c r="F81" s="108"/>
      <c r="G81" s="64" t="str">
        <f t="shared" ca="1" si="20"/>
        <v/>
      </c>
      <c r="H81" s="109"/>
      <c r="I81" s="110" t="str">
        <f t="shared" ca="1" si="21"/>
        <v/>
      </c>
      <c r="J81" s="111"/>
      <c r="K81" s="112" t="str">
        <f t="shared" ca="1" si="22"/>
        <v/>
      </c>
      <c r="L81" s="113"/>
      <c r="M81" s="8" t="str">
        <f t="shared" ca="1" si="27"/>
        <v/>
      </c>
      <c r="N81" s="123"/>
      <c r="O81" s="141"/>
      <c r="AE81" s="15" t="s">
        <v>316</v>
      </c>
      <c r="AF81" s="15" t="str">
        <f>CONCATENATE(V73,"w")</f>
        <v>3w</v>
      </c>
      <c r="AG81" s="16" t="str">
        <f ca="1">IF(AND(AJ76,AJ77),IF(MAX(AY75:AY81)&gt;=X79,AG76,IF(MAX(AZ75:AZ81)&gt;=X79,AG77,"")),"")</f>
        <v/>
      </c>
      <c r="AL81" s="18" t="s">
        <v>318</v>
      </c>
      <c r="AP81" s="115" t="b">
        <f ca="1">AND(AP80,AL81&lt;&gt;"",(COUNTIF(AP75:AP80,"IGAZ")-COUNTIF(AV75:AV80,"IGAZ"))*X80+MAX(AY74:AZ80)&lt;X79)</f>
        <v>0</v>
      </c>
      <c r="AQ81" s="116" t="str">
        <f ca="1">IF(NOT(AP81),"",IF(AL81="p",AG76,AG77))</f>
        <v/>
      </c>
      <c r="AR81" s="117" t="str">
        <f ca="1">IF(NOT(AP81),"",IF(AL81="p",AG77,AG76))</f>
        <v/>
      </c>
      <c r="AT81" s="115" t="b">
        <f t="shared" ca="1" si="23"/>
        <v>0</v>
      </c>
      <c r="AU81" s="115" t="b">
        <f ca="1">AND(ASZTAB!$AJ$42,AT81,F81=H81)</f>
        <v>0</v>
      </c>
      <c r="AV81" s="115" t="b">
        <f t="shared" ca="1" si="24"/>
        <v>0</v>
      </c>
      <c r="AW81" s="116" t="str">
        <f t="shared" ca="1" si="25"/>
        <v/>
      </c>
      <c r="AX81" s="117" t="str">
        <f t="shared" ca="1" si="26"/>
        <v/>
      </c>
      <c r="AY81" s="116" t="str">
        <f ca="1">IF(OR(AY80="",NOT(AV81)),"",IF(AG76=AW81,X80,0)+AY80)</f>
        <v/>
      </c>
      <c r="AZ81" s="116" t="str">
        <f ca="1">IF(OR(AZ80="",NOT(AV81)),"",IF(AG77=AW81,X80,0)+AZ80)</f>
        <v/>
      </c>
      <c r="BD81" s="142"/>
      <c r="BI81" s="118">
        <f t="shared" si="9"/>
        <v>42408</v>
      </c>
      <c r="BK81" s="119"/>
      <c r="BL81" s="119"/>
      <c r="BM81" s="119"/>
      <c r="BN81" s="119"/>
    </row>
    <row r="82" spans="1:66" ht="15" customHeight="1" x14ac:dyDescent="0.3">
      <c r="A82" s="864"/>
      <c r="B82" s="122"/>
      <c r="C82" s="106"/>
      <c r="D82" s="123"/>
      <c r="E82" s="124"/>
      <c r="F82" s="125"/>
      <c r="G82" s="123"/>
      <c r="H82" s="114"/>
      <c r="I82" s="123"/>
      <c r="J82" s="125"/>
      <c r="K82" s="123"/>
      <c r="L82" s="114"/>
      <c r="M82" s="123"/>
      <c r="N82" s="123"/>
      <c r="O82" s="123"/>
      <c r="AE82" s="15" t="s">
        <v>317</v>
      </c>
      <c r="AF82" s="15" t="str">
        <f>CONCATENATE(V73,"l")</f>
        <v>3l</v>
      </c>
      <c r="AG82" s="16" t="str">
        <f ca="1">IF(AG81=AG76,AG77,IF(AG77=AG81,AG76,""))</f>
        <v/>
      </c>
      <c r="AL82" s="126" t="s">
        <v>330</v>
      </c>
      <c r="BD82" s="142"/>
      <c r="BI82" s="118">
        <f t="shared" si="9"/>
        <v>42409</v>
      </c>
      <c r="BK82" s="119"/>
      <c r="BL82" s="119"/>
      <c r="BM82" s="119"/>
      <c r="BN82" s="119"/>
    </row>
    <row r="83" spans="1:66" ht="15" customHeight="1" x14ac:dyDescent="0.3">
      <c r="A83" s="864"/>
      <c r="B83" s="122"/>
      <c r="C83" s="127" t="s">
        <v>463</v>
      </c>
      <c r="D83" s="123"/>
      <c r="E83" s="124"/>
      <c r="F83" s="125"/>
      <c r="G83" s="123"/>
      <c r="H83" s="114"/>
      <c r="I83" s="123"/>
      <c r="J83" s="125"/>
      <c r="K83" s="123"/>
      <c r="L83" s="114"/>
      <c r="M83" s="123"/>
      <c r="N83" s="123"/>
      <c r="O83" s="123"/>
      <c r="Y83" s="11" t="s">
        <v>294</v>
      </c>
      <c r="Z83" s="70" t="s">
        <v>311</v>
      </c>
      <c r="AA83" s="70" t="s">
        <v>153</v>
      </c>
      <c r="AB83" s="70" t="s">
        <v>153</v>
      </c>
      <c r="AE83" s="15" t="s">
        <v>287</v>
      </c>
      <c r="AF83" s="15" t="str">
        <f>CONCATENATE(V73,"e")</f>
        <v>3e</v>
      </c>
      <c r="AG83" s="21" t="b">
        <f ca="1">AND(AG81&lt;&gt;"",AG82&lt;&gt;"")</f>
        <v>0</v>
      </c>
      <c r="BD83" s="15"/>
      <c r="BI83" s="118">
        <f t="shared" si="9"/>
        <v>42410</v>
      </c>
      <c r="BK83" s="119"/>
      <c r="BL83" s="119"/>
      <c r="BM83" s="119"/>
      <c r="BN83" s="119"/>
    </row>
    <row r="84" spans="1:66" ht="15" customHeight="1" x14ac:dyDescent="0.3">
      <c r="A84" s="864"/>
      <c r="B84" s="122"/>
      <c r="C84" s="865"/>
      <c r="D84" s="865"/>
      <c r="E84" s="865"/>
      <c r="F84" s="865"/>
      <c r="G84" s="865"/>
      <c r="H84" s="865"/>
      <c r="I84" s="865"/>
      <c r="J84" s="865"/>
      <c r="K84" s="865"/>
      <c r="L84" s="865"/>
      <c r="M84" s="865"/>
      <c r="N84" s="865"/>
      <c r="O84" s="865"/>
      <c r="W84" s="15" t="s">
        <v>319</v>
      </c>
      <c r="X84" s="18" t="b">
        <v>0</v>
      </c>
      <c r="Y84" s="72" t="s">
        <v>289</v>
      </c>
      <c r="Z84" s="16" t="str">
        <f ca="1">IF(AND(AJ76,AJ77,X84,Y84&lt;&gt;""),CONCATENATE(VLOOKUP(CONCATENATE(AG76,AG77),INDIRECT(CONCATENATE("games.",Y84)),9,FALSE),VLOOKUP(CONCATENATE(AG76,AG77),INDIRECT(CONCATENATE("games.",Y84)),12,FALSE)),"")</f>
        <v/>
      </c>
      <c r="AA84" s="16" t="str">
        <f ca="1">IF(AND(AJ76,AJ77,X84,Y84&lt;&gt;""),VLOOKUP(CONCATENATE(AG76,AG77),INDIRECT(CONCATENATE("games.",Y84)),10,FALSE),"")</f>
        <v/>
      </c>
      <c r="AB84" s="54" t="str">
        <f ca="1">IF(AND(AJ76,AJ77,X84,Y84&lt;&gt;""),VLOOKUP(CONCATENATE(AG76,AG77),INDIRECT(CONCATENATE("games.",Y84)),13,FALSE),"")</f>
        <v/>
      </c>
      <c r="BD84" s="15"/>
      <c r="BI84" s="118">
        <f t="shared" si="9"/>
        <v>42411</v>
      </c>
      <c r="BK84" s="119"/>
      <c r="BL84" s="119"/>
      <c r="BM84" s="119"/>
      <c r="BN84" s="119"/>
    </row>
    <row r="85" spans="1:66" ht="15" customHeight="1" x14ac:dyDescent="0.3">
      <c r="A85" s="864"/>
      <c r="B85" s="122"/>
      <c r="C85" s="866"/>
      <c r="D85" s="866"/>
      <c r="E85" s="866"/>
      <c r="F85" s="866"/>
      <c r="G85" s="866"/>
      <c r="H85" s="866"/>
      <c r="I85" s="866"/>
      <c r="J85" s="866"/>
      <c r="K85" s="866"/>
      <c r="L85" s="866"/>
      <c r="M85" s="866"/>
      <c r="N85" s="866"/>
      <c r="O85" s="866"/>
      <c r="Z85" s="16" t="str">
        <f ca="1">IF(AND(AJ76,AJ77,X84,Y84&lt;&gt;""),CONCATENATE(VLOOKUP(CONCATENATE(AG77,AG76),INDIRECT(CONCATENATE("games.",Y84)),9,FALSE),VLOOKUP(CONCATENATE(AG77,AG76),INDIRECT(CONCATENATE("games.",Y84)),12,FALSE)),"")</f>
        <v/>
      </c>
      <c r="AA85" s="16" t="str">
        <f ca="1">IF(AND(AJ76,AJ77,X84,Y84&lt;&gt;""),VLOOKUP(CONCATENATE(AG77,AG76),INDIRECT(CONCATENATE("games.",Y84)),10,FALSE),"")</f>
        <v/>
      </c>
      <c r="AB85" s="54" t="str">
        <f ca="1">IF(AND(AJ76,AJ77,X84,Y84&lt;&gt;""),VLOOKUP(CONCATENATE(AG77,AG76),INDIRECT(CONCATENATE("games.",Y84)),13,FALSE),"")</f>
        <v/>
      </c>
      <c r="BD85" s="15"/>
      <c r="BI85" s="118">
        <f t="shared" si="9"/>
        <v>42412</v>
      </c>
      <c r="BK85" s="119"/>
      <c r="BL85" s="119"/>
      <c r="BM85" s="119"/>
      <c r="BN85" s="119"/>
    </row>
    <row r="86" spans="1:66" ht="15" customHeight="1" x14ac:dyDescent="0.3">
      <c r="A86" s="864"/>
      <c r="B86" s="122"/>
      <c r="C86" s="866"/>
      <c r="D86" s="866"/>
      <c r="E86" s="866"/>
      <c r="F86" s="866"/>
      <c r="G86" s="866"/>
      <c r="H86" s="866"/>
      <c r="I86" s="866"/>
      <c r="J86" s="866"/>
      <c r="K86" s="866"/>
      <c r="L86" s="866"/>
      <c r="M86" s="866"/>
      <c r="N86" s="866"/>
      <c r="O86" s="866"/>
      <c r="BD86" s="15"/>
      <c r="BI86" s="118">
        <f t="shared" si="9"/>
        <v>42413</v>
      </c>
      <c r="BK86" s="119"/>
      <c r="BL86" s="119"/>
      <c r="BM86" s="119"/>
      <c r="BN86" s="119"/>
    </row>
    <row r="87" spans="1:66" ht="15" customHeight="1" x14ac:dyDescent="0.3">
      <c r="A87" s="864"/>
      <c r="B87" s="122"/>
      <c r="C87" s="106"/>
      <c r="D87" s="123"/>
      <c r="E87" s="124"/>
      <c r="F87" s="125"/>
      <c r="G87" s="123"/>
      <c r="H87" s="114"/>
      <c r="I87" s="123"/>
      <c r="J87" s="125"/>
      <c r="K87" s="123"/>
      <c r="L87" s="114"/>
      <c r="M87" s="123"/>
      <c r="N87" s="123"/>
      <c r="O87" s="123"/>
      <c r="U87" s="10"/>
      <c r="V87" s="128"/>
      <c r="W87" s="129"/>
      <c r="X87" s="10"/>
      <c r="Y87" s="130"/>
      <c r="Z87" s="130"/>
      <c r="AA87" s="130"/>
      <c r="AB87" s="130"/>
      <c r="AC87" s="130"/>
      <c r="AD87" s="130"/>
      <c r="AE87" s="130"/>
      <c r="AF87" s="130"/>
      <c r="AG87" s="130"/>
      <c r="AH87" s="130"/>
      <c r="AI87" s="130"/>
      <c r="AJ87" s="130"/>
      <c r="AK87" s="130"/>
      <c r="AL87" s="130"/>
      <c r="AM87" s="10"/>
      <c r="AO87" s="131"/>
      <c r="AP87" s="131"/>
      <c r="AQ87" s="132"/>
      <c r="AR87" s="132"/>
      <c r="AS87" s="132"/>
      <c r="AT87" s="131"/>
      <c r="AU87" s="131"/>
      <c r="AV87" s="131"/>
      <c r="AW87" s="132"/>
      <c r="AX87" s="132"/>
      <c r="AY87" s="131"/>
      <c r="AZ87" s="131"/>
      <c r="BA87" s="131"/>
      <c r="BD87" s="15"/>
      <c r="BI87" s="118">
        <f t="shared" si="9"/>
        <v>42414</v>
      </c>
      <c r="BK87" s="119"/>
      <c r="BL87" s="119"/>
      <c r="BM87" s="119"/>
      <c r="BN87" s="119"/>
    </row>
    <row r="88" spans="1:66" ht="15" customHeight="1" x14ac:dyDescent="0.3">
      <c r="A88" s="864"/>
      <c r="B88" s="88"/>
      <c r="C88" s="89"/>
      <c r="D88" s="90"/>
      <c r="BI88" s="118">
        <f t="shared" si="9"/>
        <v>42415</v>
      </c>
      <c r="BM88" s="119"/>
    </row>
    <row r="89" spans="1:66" ht="15" customHeight="1" x14ac:dyDescent="0.3">
      <c r="A89" s="864"/>
      <c r="B89" s="147"/>
      <c r="C89" s="149">
        <f>V89</f>
        <v>4</v>
      </c>
      <c r="D89" s="150" t="str">
        <f>UPPER(W89)</f>
        <v>RÁJÁTSZÁS AZ 5-8. HELYÉRT (B)</v>
      </c>
      <c r="E89" s="151"/>
      <c r="F89" s="151"/>
      <c r="G89" s="151"/>
      <c r="H89" s="151"/>
      <c r="I89" s="151"/>
      <c r="J89" s="151"/>
      <c r="K89" s="151"/>
      <c r="L89" s="151"/>
      <c r="M89" s="138"/>
      <c r="N89" s="151"/>
      <c r="O89" s="161" t="str">
        <f ca="1">IF(NOT(AG99),"","A PÁRHARC GYŐZTESE: "&amp;UPPER(AG97))</f>
        <v/>
      </c>
      <c r="P89" s="152" t="str">
        <f>IF(NOT(Y97),"",CONCATENATE("A PÁRHARC GYŐZTESE: ",AH95," "))</f>
        <v/>
      </c>
      <c r="Q89" s="148" t="str">
        <f>IF(NOT(Z97),"",CONCATENATE("A PÁRHARC GYŐZTESE: ",AJ95," "))</f>
        <v/>
      </c>
      <c r="R89" s="148" t="str">
        <f>IF(NOT(AA97),"",CONCATENATE("A PÁRHARC GYŐZTESE: ",AK95," "))</f>
        <v/>
      </c>
      <c r="S89" s="148" t="str">
        <f>IF(NOT(AB97),"",CONCATENATE("A PÁRHARC GYŐZTESE: ",AL95," "))</f>
        <v/>
      </c>
      <c r="V89" s="21">
        <f>V73+1</f>
        <v>4</v>
      </c>
      <c r="W89" s="95" t="s">
        <v>335</v>
      </c>
      <c r="X89" s="96"/>
      <c r="Y89" s="96"/>
      <c r="Z89" s="96"/>
      <c r="AA89" s="96"/>
      <c r="AB89" s="96"/>
      <c r="AC89" s="96"/>
      <c r="AD89" s="96"/>
      <c r="AE89" s="96"/>
      <c r="AF89" s="96"/>
      <c r="AG89" s="96"/>
      <c r="AH89" s="96"/>
      <c r="AI89" s="96"/>
      <c r="AJ89" s="96"/>
      <c r="AK89" s="96"/>
      <c r="AL89" s="97"/>
      <c r="AY89" s="13" t="s">
        <v>326</v>
      </c>
      <c r="AZ89" s="13" t="s">
        <v>325</v>
      </c>
      <c r="BD89" s="142"/>
      <c r="BH89" s="98"/>
      <c r="BI89" s="118">
        <f t="shared" si="9"/>
        <v>42416</v>
      </c>
      <c r="BJ89" s="98"/>
      <c r="BK89" s="99"/>
      <c r="BL89" s="99"/>
      <c r="BM89" s="119"/>
    </row>
    <row r="90" spans="1:66" ht="11.25" customHeight="1" x14ac:dyDescent="0.3">
      <c r="A90" s="864"/>
      <c r="C90" s="101"/>
      <c r="D90" s="102"/>
      <c r="E90" s="103"/>
      <c r="F90" s="58"/>
      <c r="G90" s="104"/>
      <c r="H90" s="60"/>
      <c r="I90" s="146"/>
      <c r="J90" s="107"/>
      <c r="K90" s="160" t="str">
        <f ca="1">IF(OR(AU91,AU92,AU93,AU94,AU95,AU96,AU97),"BÜNTETŐK","")</f>
        <v/>
      </c>
      <c r="L90" s="110"/>
      <c r="M90" s="158" t="s">
        <v>286</v>
      </c>
      <c r="N90" s="159"/>
      <c r="O90" s="158" t="s">
        <v>285</v>
      </c>
      <c r="AP90" s="105" t="s">
        <v>328</v>
      </c>
      <c r="AQ90" s="12" t="s">
        <v>138</v>
      </c>
      <c r="AR90" s="12" t="s">
        <v>139</v>
      </c>
      <c r="AT90" s="105" t="s">
        <v>320</v>
      </c>
      <c r="AU90" s="105" t="s">
        <v>321</v>
      </c>
      <c r="AV90" s="105" t="s">
        <v>324</v>
      </c>
      <c r="AW90" s="12" t="s">
        <v>322</v>
      </c>
      <c r="AX90" s="12" t="s">
        <v>323</v>
      </c>
      <c r="AY90" s="116">
        <f>IF(X100,COUNTIF(Z100:Z101,AG92)*ASZTAB!$AJ$48+COUNTIF(AA100:AB101,AG92),0)</f>
        <v>0</v>
      </c>
      <c r="AZ90" s="116">
        <f>IF(X100,COUNTIF(Z100:Z101,AG93)*ASZTAB!$AJ$48+COUNTIF(AA100:AB101,AG93),0)</f>
        <v>0</v>
      </c>
      <c r="BD90" s="142"/>
      <c r="BH90" s="98"/>
      <c r="BI90" s="118">
        <f t="shared" si="9"/>
        <v>42417</v>
      </c>
      <c r="BJ90" s="98"/>
      <c r="BK90" s="99"/>
      <c r="BL90" s="99"/>
      <c r="BM90" s="119"/>
    </row>
    <row r="91" spans="1:66" ht="15" customHeight="1" x14ac:dyDescent="0.3">
      <c r="A91" s="864"/>
      <c r="B91" s="7"/>
      <c r="C91" s="106">
        <v>1</v>
      </c>
      <c r="D91" s="137"/>
      <c r="E91" s="107" t="str">
        <f t="shared" ref="E91:E97" ca="1" si="28">IF(NOT($AP91),"",AQ91)</f>
        <v/>
      </c>
      <c r="F91" s="108"/>
      <c r="G91" s="64" t="str">
        <f t="shared" ref="G91:G97" ca="1" si="29">IF(NOT($AP91),"","–")</f>
        <v/>
      </c>
      <c r="H91" s="109"/>
      <c r="I91" s="110" t="str">
        <f t="shared" ref="I91:I97" ca="1" si="30">IF(NOT($AP91),"",AR91)</f>
        <v/>
      </c>
      <c r="J91" s="111"/>
      <c r="K91" s="112" t="str">
        <f t="shared" ref="K91:K97" ca="1" si="31">IF(AU91,"–","")</f>
        <v/>
      </c>
      <c r="L91" s="113"/>
      <c r="M91" s="153" t="str">
        <f ca="1">IF(OR(AL91="",NOT(AV91)),"",IF(AL91="p",CONCATENATE(AY91,"–",AZ91),CONCATENATE(AZ91,"–",AY91)))</f>
        <v/>
      </c>
      <c r="N91" s="110"/>
      <c r="O91" s="139"/>
      <c r="P91" s="114"/>
      <c r="Q91" s="114"/>
      <c r="R91" s="114"/>
      <c r="S91" s="114"/>
      <c r="X91" s="11" t="s">
        <v>306</v>
      </c>
      <c r="Y91" s="11" t="s">
        <v>294</v>
      </c>
      <c r="Z91" s="70" t="s">
        <v>295</v>
      </c>
      <c r="AA91" s="70" t="s">
        <v>127</v>
      </c>
      <c r="AB91" s="70" t="s">
        <v>301</v>
      </c>
      <c r="AC91" s="70" t="s">
        <v>302</v>
      </c>
      <c r="AD91" s="70" t="s">
        <v>332</v>
      </c>
      <c r="AE91" s="70" t="s">
        <v>333</v>
      </c>
      <c r="AF91" s="70" t="s">
        <v>329</v>
      </c>
      <c r="AG91" s="70" t="s">
        <v>303</v>
      </c>
      <c r="AH91" s="70" t="s">
        <v>293</v>
      </c>
      <c r="AJ91" s="71" t="s">
        <v>314</v>
      </c>
      <c r="AL91" s="18" t="s">
        <v>318</v>
      </c>
      <c r="AP91" s="115" t="b">
        <f ca="1">AND(AJ92,AJ93,AL91&lt;&gt;"")</f>
        <v>0</v>
      </c>
      <c r="AQ91" s="116" t="str">
        <f ca="1">IF(NOT(AP91),"",IF(AL91="p",AG92,AG93))</f>
        <v/>
      </c>
      <c r="AR91" s="117" t="str">
        <f ca="1">IF(NOT(AP91),"",IF(AL91="p",AG93,AG92))</f>
        <v/>
      </c>
      <c r="AT91" s="115" t="b">
        <f t="shared" ref="AT91:AT97" ca="1" si="32">AND(F91&lt;&gt;"",H91&lt;&gt;"",AP91)</f>
        <v>0</v>
      </c>
      <c r="AU91" s="115" t="b">
        <f ca="1">AND(ASZTAB!$AJ$42,AT91,F91=H91)</f>
        <v>0</v>
      </c>
      <c r="AV91" s="115" t="b">
        <f t="shared" ref="AV91:AV97" ca="1" si="33">OR(AND(AT91,NOT(AU91),F91&lt;&gt;H91),AND(AT91,AU91,J91&lt;&gt;"",L91&lt;&gt;"",J91&lt;&gt;L91))</f>
        <v>0</v>
      </c>
      <c r="AW91" s="116" t="str">
        <f t="shared" ref="AW91:AW97" ca="1" si="34">IF(NOT(AV91),"",IF(AU91,IF(F91+J91&gt;H91+L91,E91,I91),IF(F91&gt;H91,E91,I91)))</f>
        <v/>
      </c>
      <c r="AX91" s="117" t="str">
        <f t="shared" ref="AX91:AX97" ca="1" si="35">IF(NOT(AV91),"",IF(AW91=E91,I91,IF(AW91=I91,E91,"")))</f>
        <v/>
      </c>
      <c r="AY91" s="116" t="str">
        <f ca="1">IF(NOT(AV91),"",IF(AG92=AW91,X96,0)+AY90)</f>
        <v/>
      </c>
      <c r="AZ91" s="116" t="str">
        <f ca="1">IF(NOT(AV91),"",IF(AG93=AW91,X96,0)+AZ90)</f>
        <v/>
      </c>
      <c r="BD91" s="142"/>
      <c r="BI91" s="118">
        <f t="shared" si="9"/>
        <v>42418</v>
      </c>
      <c r="BK91" s="99"/>
      <c r="BL91" s="119"/>
      <c r="BM91" s="119"/>
    </row>
    <row r="92" spans="1:66" ht="15" customHeight="1" x14ac:dyDescent="0.3">
      <c r="A92" s="864"/>
      <c r="B92" s="7"/>
      <c r="C92" s="106">
        <v>2</v>
      </c>
      <c r="D92" s="137"/>
      <c r="E92" s="107" t="str">
        <f t="shared" ca="1" si="28"/>
        <v/>
      </c>
      <c r="F92" s="108"/>
      <c r="G92" s="64" t="str">
        <f t="shared" ca="1" si="29"/>
        <v/>
      </c>
      <c r="H92" s="109"/>
      <c r="I92" s="110" t="str">
        <f t="shared" ca="1" si="30"/>
        <v/>
      </c>
      <c r="J92" s="111"/>
      <c r="K92" s="112" t="str">
        <f t="shared" ca="1" si="31"/>
        <v/>
      </c>
      <c r="L92" s="113"/>
      <c r="M92" s="153" t="str">
        <f t="shared" ref="M92:M97" ca="1" si="36">IF(OR(AL92="",NOT(AV92)),"",IF(AL92="p",CONCATENATE(AY92,"–",AZ92),CONCATENATE(AZ92,"–",AY92)))</f>
        <v/>
      </c>
      <c r="N92" s="110"/>
      <c r="O92" s="140"/>
      <c r="P92" s="114"/>
      <c r="Q92" s="114"/>
      <c r="R92" s="114"/>
      <c r="S92" s="114"/>
      <c r="W92" s="15" t="s">
        <v>312</v>
      </c>
      <c r="X92" s="18" t="s">
        <v>307</v>
      </c>
      <c r="Y92" s="72" t="s">
        <v>288</v>
      </c>
      <c r="Z92" s="72">
        <v>1</v>
      </c>
      <c r="AA92" s="72">
        <v>6</v>
      </c>
      <c r="AB92" s="18"/>
      <c r="AC92" s="18"/>
      <c r="AD92" s="14" t="str">
        <f ca="1">IF(NOT(AJ92),"",IF(X92=$BE$45,VLOOKUP(AA92,INDIRECT(CONCATENATE("rank.",Y92,Z92)),2,FALSE),VLOOKUP(CONCATENATE(AB92,AC92),result.e,2,FALSE)))</f>
        <v/>
      </c>
      <c r="AE92" s="18"/>
      <c r="AF92" s="120" t="str">
        <f ca="1">IF(OR(AD92="",X92=$BE$45),"",VLOOKUP(AD92,INDIRECT(CONCATENATE("rankname.",AE92)),2,FALSE))</f>
        <v/>
      </c>
      <c r="AG92" s="14" t="str">
        <f ca="1">IF(AD92="","",IF(X92=$BE$45,AD92,IF(AF92&gt;AF93,AD93,AD92)))</f>
        <v/>
      </c>
      <c r="AH92" s="120">
        <f ca="1">MAX(AY90:AY97)</f>
        <v>0</v>
      </c>
      <c r="AJ92" s="21" t="b">
        <f ca="1">IF(X92=$BE$45,IF(OR(Y92="",Z92="",AA92=""),FALSE,VLOOKUP(CONCATENATE(Y92,Z92),$BD$59:$BE$63,2,FALSE)),IF(OR(AB92="",AC92="",AE92=""),FALSE,VLOOKUP(CONCATENATE(AB92,"e"),result.e,2,FALSE)))</f>
        <v>0</v>
      </c>
      <c r="AL92" s="18" t="s">
        <v>331</v>
      </c>
      <c r="AP92" s="115" t="b">
        <f ca="1">AND(AP91,AL92&lt;&gt;"",(COUNTIF(AP91:AP91,"IGAZ")-COUNTIF(AV91:AV91,"IGAZ"))*X96+MAX(AY90:AZ91)&lt;X95)</f>
        <v>0</v>
      </c>
      <c r="AQ92" s="116" t="str">
        <f ca="1">IF(NOT(AP92),"",IF(AL92="p",AG92,AG93))</f>
        <v/>
      </c>
      <c r="AR92" s="117" t="str">
        <f ca="1">IF(NOT(AP92),"",IF(AL92="p",AG93,AG92))</f>
        <v/>
      </c>
      <c r="AT92" s="115" t="b">
        <f t="shared" ca="1" si="32"/>
        <v>0</v>
      </c>
      <c r="AU92" s="115" t="b">
        <f ca="1">AND(ASZTAB!$AJ$42,AT92,F92=H92)</f>
        <v>0</v>
      </c>
      <c r="AV92" s="115" t="b">
        <f t="shared" ca="1" si="33"/>
        <v>0</v>
      </c>
      <c r="AW92" s="116" t="str">
        <f t="shared" ca="1" si="34"/>
        <v/>
      </c>
      <c r="AX92" s="117" t="str">
        <f t="shared" ca="1" si="35"/>
        <v/>
      </c>
      <c r="AY92" s="116" t="str">
        <f ca="1">IF(OR(AY91="",NOT(AV92)),"",IF(AG92=AW92,X96,0)+AY91)</f>
        <v/>
      </c>
      <c r="AZ92" s="116" t="str">
        <f ca="1">IF(OR(AZ91="",NOT(AV92)),"",IF(AG93=AW92,X96,0)+AZ91)</f>
        <v/>
      </c>
      <c r="BD92" s="142"/>
      <c r="BI92" s="118">
        <f t="shared" si="9"/>
        <v>42419</v>
      </c>
      <c r="BK92" s="99"/>
      <c r="BM92" s="119"/>
    </row>
    <row r="93" spans="1:66" ht="15" customHeight="1" x14ac:dyDescent="0.3">
      <c r="A93" s="864"/>
      <c r="B93" s="7"/>
      <c r="C93" s="106">
        <v>3</v>
      </c>
      <c r="D93" s="137"/>
      <c r="E93" s="107" t="str">
        <f t="shared" ca="1" si="28"/>
        <v/>
      </c>
      <c r="F93" s="108"/>
      <c r="G93" s="64" t="str">
        <f t="shared" ca="1" si="29"/>
        <v/>
      </c>
      <c r="H93" s="109"/>
      <c r="I93" s="110" t="str">
        <f t="shared" ca="1" si="30"/>
        <v/>
      </c>
      <c r="J93" s="111"/>
      <c r="K93" s="112" t="str">
        <f t="shared" ca="1" si="31"/>
        <v/>
      </c>
      <c r="L93" s="113"/>
      <c r="M93" s="153" t="str">
        <f t="shared" ca="1" si="36"/>
        <v/>
      </c>
      <c r="N93" s="110"/>
      <c r="O93" s="140"/>
      <c r="P93" s="114"/>
      <c r="Q93" s="114"/>
      <c r="R93" s="114"/>
      <c r="S93" s="114"/>
      <c r="W93" s="15" t="s">
        <v>313</v>
      </c>
      <c r="X93" s="18" t="s">
        <v>307</v>
      </c>
      <c r="Y93" s="72" t="s">
        <v>288</v>
      </c>
      <c r="Z93" s="72">
        <v>1</v>
      </c>
      <c r="AA93" s="72">
        <v>7</v>
      </c>
      <c r="AB93" s="18"/>
      <c r="AC93" s="18"/>
      <c r="AD93" s="14" t="str">
        <f ca="1">IF(NOT(AJ93),"",IF(X93=$BE$45,VLOOKUP(AA93,INDIRECT(CONCATENATE("rank.",Y93,Z93)),2,FALSE),VLOOKUP(CONCATENATE(AB93,AC93),result.e,2,FALSE)))</f>
        <v/>
      </c>
      <c r="AE93" s="18"/>
      <c r="AF93" s="120" t="str">
        <f ca="1">IF(OR(AD93="",X93=$BE$45),"",VLOOKUP(AD93,INDIRECT(CONCATENATE("rankname.",AE93)),2,FALSE))</f>
        <v/>
      </c>
      <c r="AG93" s="14" t="str">
        <f ca="1">IF(AD93="","",IF(X93=$BE$45,AD93,IF(AF92&gt;AF93,AD92,AD93)))</f>
        <v/>
      </c>
      <c r="AH93" s="120">
        <f ca="1">MAX(AZ90:AZ97)</f>
        <v>0</v>
      </c>
      <c r="AJ93" s="21" t="b">
        <f ca="1">IF(X93=$BE$45,IF(OR(Y93="",Z93="",AA93=""),FALSE,VLOOKUP(CONCATENATE(Y93,Z93),$BD$59:$BE$63,2,FALSE)),IF(OR(AB93="",AC93="",AE93=""),FALSE,VLOOKUP(CONCATENATE(AB93,"e"),result.e,2,FALSE)))</f>
        <v>0</v>
      </c>
      <c r="AL93" s="18" t="s">
        <v>318</v>
      </c>
      <c r="AP93" s="115" t="b">
        <f ca="1">AND(AP92,AL93&lt;&gt;"",(COUNTIF(AP91:AP92,"IGAZ")-COUNTIF(AV91:AV92,"IGAZ"))*X96+MAX(AY90:AZ92)&lt;X95)</f>
        <v>0</v>
      </c>
      <c r="AQ93" s="116" t="str">
        <f ca="1">IF(NOT(AP93),"",IF(AL93="p",AG92,AG93))</f>
        <v/>
      </c>
      <c r="AR93" s="117" t="str">
        <f ca="1">IF(NOT(AP93),"",IF(AL93="p",AG93,AG92))</f>
        <v/>
      </c>
      <c r="AT93" s="115" t="b">
        <f t="shared" ca="1" si="32"/>
        <v>0</v>
      </c>
      <c r="AU93" s="115" t="b">
        <f ca="1">AND(ASZTAB!$AJ$42,AT93,F93=H93)</f>
        <v>0</v>
      </c>
      <c r="AV93" s="115" t="b">
        <f t="shared" ca="1" si="33"/>
        <v>0</v>
      </c>
      <c r="AW93" s="116" t="str">
        <f t="shared" ca="1" si="34"/>
        <v/>
      </c>
      <c r="AX93" s="117" t="str">
        <f t="shared" ca="1" si="35"/>
        <v/>
      </c>
      <c r="AY93" s="116" t="str">
        <f ca="1">IF(OR(AY92="",NOT(AV93)),"",IF(AG92=AW93,X96,0)+AY92)</f>
        <v/>
      </c>
      <c r="AZ93" s="116" t="str">
        <f ca="1">IF(OR(AZ92="",NOT(AV93)),"",IF(AG93=AW93,X96,0)+AZ92)</f>
        <v/>
      </c>
      <c r="BD93" s="142"/>
      <c r="BI93" s="118">
        <f t="shared" si="9"/>
        <v>42420</v>
      </c>
      <c r="BM93" s="119"/>
      <c r="BN93" s="119"/>
    </row>
    <row r="94" spans="1:66" ht="15" customHeight="1" x14ac:dyDescent="0.3">
      <c r="A94" s="864"/>
      <c r="B94" s="7"/>
      <c r="C94" s="106">
        <v>4</v>
      </c>
      <c r="D94" s="137"/>
      <c r="E94" s="107" t="str">
        <f t="shared" ca="1" si="28"/>
        <v/>
      </c>
      <c r="F94" s="108"/>
      <c r="G94" s="64" t="str">
        <f t="shared" ca="1" si="29"/>
        <v/>
      </c>
      <c r="H94" s="109"/>
      <c r="I94" s="110" t="str">
        <f t="shared" ca="1" si="30"/>
        <v/>
      </c>
      <c r="J94" s="111"/>
      <c r="K94" s="112" t="str">
        <f t="shared" ca="1" si="31"/>
        <v/>
      </c>
      <c r="L94" s="113"/>
      <c r="M94" s="153" t="str">
        <f t="shared" ca="1" si="36"/>
        <v/>
      </c>
      <c r="N94" s="110"/>
      <c r="O94" s="140"/>
      <c r="P94" s="114"/>
      <c r="Q94" s="114"/>
      <c r="AL94" s="18" t="s">
        <v>331</v>
      </c>
      <c r="AP94" s="115" t="b">
        <f ca="1">AND(AP93,AL94&lt;&gt;"",(COUNTIF(AP91:AP93,"IGAZ")-COUNTIF(AV91:AV93,"IGAZ"))*X96+MAX(AY90:AZ93)&lt;X95)</f>
        <v>0</v>
      </c>
      <c r="AQ94" s="116" t="str">
        <f ca="1">IF(NOT(AP94),"",IF(AL94="p",AG92,AG93))</f>
        <v/>
      </c>
      <c r="AR94" s="117" t="str">
        <f ca="1">IF(NOT(AP94),"",IF(AL94="p",AG93,AG92))</f>
        <v/>
      </c>
      <c r="AT94" s="115" t="b">
        <f t="shared" ca="1" si="32"/>
        <v>0</v>
      </c>
      <c r="AU94" s="115" t="b">
        <f ca="1">AND(ASZTAB!$AJ$42,AT94,F94=H94)</f>
        <v>0</v>
      </c>
      <c r="AV94" s="115" t="b">
        <f t="shared" ca="1" si="33"/>
        <v>0</v>
      </c>
      <c r="AW94" s="116" t="str">
        <f t="shared" ca="1" si="34"/>
        <v/>
      </c>
      <c r="AX94" s="117" t="str">
        <f t="shared" ca="1" si="35"/>
        <v/>
      </c>
      <c r="AY94" s="116" t="str">
        <f ca="1">IF(OR(AY93="",NOT(AV94)),"",IF(AG92=AW94,X96,0)+AY93)</f>
        <v/>
      </c>
      <c r="AZ94" s="116" t="str">
        <f ca="1">IF(OR(AZ93="",NOT(AV94)),"",IF(AG93=AW94,X96,0)+AZ93)</f>
        <v/>
      </c>
      <c r="BD94" s="142"/>
      <c r="BI94" s="118">
        <f t="shared" si="9"/>
        <v>42421</v>
      </c>
      <c r="BM94" s="119"/>
    </row>
    <row r="95" spans="1:66" ht="15" customHeight="1" x14ac:dyDescent="0.3">
      <c r="A95" s="864"/>
      <c r="B95" s="121"/>
      <c r="C95" s="106">
        <v>5</v>
      </c>
      <c r="D95" s="137"/>
      <c r="E95" s="107" t="str">
        <f t="shared" ca="1" si="28"/>
        <v/>
      </c>
      <c r="F95" s="108"/>
      <c r="G95" s="64" t="str">
        <f t="shared" ca="1" si="29"/>
        <v/>
      </c>
      <c r="H95" s="109"/>
      <c r="I95" s="110" t="str">
        <f t="shared" ca="1" si="30"/>
        <v/>
      </c>
      <c r="J95" s="111"/>
      <c r="K95" s="112" t="str">
        <f t="shared" ca="1" si="31"/>
        <v/>
      </c>
      <c r="L95" s="113"/>
      <c r="M95" s="153" t="str">
        <f t="shared" ca="1" si="36"/>
        <v/>
      </c>
      <c r="N95" s="110"/>
      <c r="O95" s="140"/>
      <c r="P95" s="114"/>
      <c r="Q95" s="114"/>
      <c r="R95" s="114"/>
      <c r="S95" s="114"/>
      <c r="W95" s="15" t="s">
        <v>315</v>
      </c>
      <c r="X95" s="18">
        <v>2</v>
      </c>
      <c r="AD95" s="15"/>
      <c r="AE95" s="15" t="s">
        <v>312</v>
      </c>
      <c r="AF95" s="15" t="str">
        <f>CONCATENATE(V89,"f")</f>
        <v>4f</v>
      </c>
      <c r="AG95" s="16" t="str">
        <f ca="1">IF(OR(NOT(AJ92),NOT(AJ93)),"",AD92)</f>
        <v/>
      </c>
      <c r="AH95" s="23" t="str">
        <f ca="1">IF(OR(NOT(AJ92),NOT(AJ93)),"",VLOOKUP(AG95,AG92:AH93,2,FALSE))</f>
        <v/>
      </c>
      <c r="AL95" s="18" t="s">
        <v>318</v>
      </c>
      <c r="AP95" s="115" t="b">
        <f ca="1">AND(AP94,AL95&lt;&gt;"",(COUNTIF(AP91:AP94,"IGAZ")-COUNTIF(AV91:AV94,"IGAZ"))*X96+MAX(AY90:AZ94)&lt;X95)</f>
        <v>0</v>
      </c>
      <c r="AQ95" s="116" t="str">
        <f ca="1">IF(NOT(AP95),"",IF(AL95="p",AG92,AG93))</f>
        <v/>
      </c>
      <c r="AR95" s="117" t="str">
        <f ca="1">IF(NOT(AP95),"",IF(AL95="p",AG93,AG92))</f>
        <v/>
      </c>
      <c r="AT95" s="115" t="b">
        <f t="shared" ca="1" si="32"/>
        <v>0</v>
      </c>
      <c r="AU95" s="115" t="b">
        <f ca="1">AND(ASZTAB!$AJ$42,AT95,F95=H95)</f>
        <v>0</v>
      </c>
      <c r="AV95" s="115" t="b">
        <f t="shared" ca="1" si="33"/>
        <v>0</v>
      </c>
      <c r="AW95" s="116" t="str">
        <f t="shared" ca="1" si="34"/>
        <v/>
      </c>
      <c r="AX95" s="117" t="str">
        <f t="shared" ca="1" si="35"/>
        <v/>
      </c>
      <c r="AY95" s="116" t="str">
        <f ca="1">IF(OR(AY94="",NOT(AV95)),"",IF(AG92=AW95,X96,0)+AY94)</f>
        <v/>
      </c>
      <c r="AZ95" s="116" t="str">
        <f ca="1">IF(OR(AZ94="",NOT(AV95)),"",IF(AG93=AW95,X96,0)+AZ94)</f>
        <v/>
      </c>
      <c r="BD95" s="142"/>
      <c r="BI95" s="118">
        <f t="shared" si="9"/>
        <v>42422</v>
      </c>
      <c r="BK95" s="119"/>
      <c r="BL95" s="119"/>
      <c r="BM95" s="119"/>
    </row>
    <row r="96" spans="1:66" ht="15" customHeight="1" x14ac:dyDescent="0.3">
      <c r="A96" s="864"/>
      <c r="B96" s="122"/>
      <c r="C96" s="106">
        <v>6</v>
      </c>
      <c r="D96" s="137"/>
      <c r="E96" s="107" t="str">
        <f t="shared" ca="1" si="28"/>
        <v/>
      </c>
      <c r="F96" s="108"/>
      <c r="G96" s="64" t="str">
        <f t="shared" ca="1" si="29"/>
        <v/>
      </c>
      <c r="H96" s="109"/>
      <c r="I96" s="110" t="str">
        <f t="shared" ca="1" si="30"/>
        <v/>
      </c>
      <c r="J96" s="111"/>
      <c r="K96" s="112" t="str">
        <f t="shared" ca="1" si="31"/>
        <v/>
      </c>
      <c r="L96" s="113"/>
      <c r="M96" s="8" t="str">
        <f t="shared" ca="1" si="36"/>
        <v/>
      </c>
      <c r="N96" s="123"/>
      <c r="O96" s="141"/>
      <c r="W96" s="15" t="s">
        <v>327</v>
      </c>
      <c r="X96" s="18">
        <v>1</v>
      </c>
      <c r="AD96" s="15"/>
      <c r="AE96" s="15" t="s">
        <v>313</v>
      </c>
      <c r="AF96" s="15" t="str">
        <f>CONCATENATE(V89,"a")</f>
        <v>4a</v>
      </c>
      <c r="AG96" s="16" t="str">
        <f ca="1">IF(OR(NOT(AJ92),NOT(AJ93)),"",AD93)</f>
        <v/>
      </c>
      <c r="AH96" s="23" t="str">
        <f ca="1">IF(OR(NOT(AJ92),NOT(AJ93)),"",VLOOKUP(AG96,AG92:AH93,2,FALSE))</f>
        <v/>
      </c>
      <c r="AL96" s="18" t="s">
        <v>331</v>
      </c>
      <c r="AP96" s="115" t="b">
        <f ca="1">AND(AP95,AL96&lt;&gt;"",(COUNTIF(AP91:AP95,"IGAZ")-COUNTIF(AV91:AV95,"IGAZ"))*X96+MAX(AY90:AZ95)&lt;X95)</f>
        <v>0</v>
      </c>
      <c r="AQ96" s="116" t="str">
        <f ca="1">IF(NOT(AP96),"",IF(AL96="p",AG92,AG93))</f>
        <v/>
      </c>
      <c r="AR96" s="117" t="str">
        <f ca="1">IF(NOT(AP96),"",IF(AL96="p",AG93,AG92))</f>
        <v/>
      </c>
      <c r="AT96" s="115" t="b">
        <f t="shared" ca="1" si="32"/>
        <v>0</v>
      </c>
      <c r="AU96" s="115" t="b">
        <f ca="1">AND(ASZTAB!$AJ$42,AT96,F96=H96)</f>
        <v>0</v>
      </c>
      <c r="AV96" s="115" t="b">
        <f t="shared" ca="1" si="33"/>
        <v>0</v>
      </c>
      <c r="AW96" s="116" t="str">
        <f t="shared" ca="1" si="34"/>
        <v/>
      </c>
      <c r="AX96" s="117" t="str">
        <f t="shared" ca="1" si="35"/>
        <v/>
      </c>
      <c r="AY96" s="116" t="str">
        <f ca="1">IF(OR(AY95="",NOT(AV96)),"",IF(AG92=AW96,X96,0)+AY95)</f>
        <v/>
      </c>
      <c r="AZ96" s="116" t="str">
        <f ca="1">IF(OR(AZ95="",NOT(AV96)),"",IF(AG93=AW96,X96,0)+AZ95)</f>
        <v/>
      </c>
      <c r="BD96" s="142"/>
      <c r="BI96" s="118">
        <f t="shared" si="9"/>
        <v>42423</v>
      </c>
      <c r="BK96" s="119"/>
      <c r="BL96" s="119"/>
      <c r="BM96" s="119"/>
    </row>
    <row r="97" spans="1:66" ht="15" customHeight="1" x14ac:dyDescent="0.3">
      <c r="A97" s="864"/>
      <c r="B97" s="122"/>
      <c r="C97" s="106">
        <v>7</v>
      </c>
      <c r="D97" s="137"/>
      <c r="E97" s="107" t="str">
        <f t="shared" ca="1" si="28"/>
        <v/>
      </c>
      <c r="F97" s="108"/>
      <c r="G97" s="64" t="str">
        <f t="shared" ca="1" si="29"/>
        <v/>
      </c>
      <c r="H97" s="109"/>
      <c r="I97" s="110" t="str">
        <f t="shared" ca="1" si="30"/>
        <v/>
      </c>
      <c r="J97" s="111"/>
      <c r="K97" s="112" t="str">
        <f t="shared" ca="1" si="31"/>
        <v/>
      </c>
      <c r="L97" s="113"/>
      <c r="M97" s="8" t="str">
        <f t="shared" ca="1" si="36"/>
        <v/>
      </c>
      <c r="N97" s="123"/>
      <c r="O97" s="141"/>
      <c r="AE97" s="15" t="s">
        <v>316</v>
      </c>
      <c r="AF97" s="15" t="str">
        <f>CONCATENATE(V89,"w")</f>
        <v>4w</v>
      </c>
      <c r="AG97" s="16" t="str">
        <f ca="1">IF(AND(AJ92,AJ93),IF(MAX(AY91:AY97)&gt;=X95,AG92,IF(MAX(AZ91:AZ97)&gt;=X95,AG93,"")),"")</f>
        <v/>
      </c>
      <c r="AL97" s="18" t="s">
        <v>318</v>
      </c>
      <c r="AP97" s="115" t="b">
        <f ca="1">AND(AP96,AL97&lt;&gt;"",(COUNTIF(AP91:AP96,"IGAZ")-COUNTIF(AV91:AV96,"IGAZ"))*X96+MAX(AY90:AZ96)&lt;X95)</f>
        <v>0</v>
      </c>
      <c r="AQ97" s="116" t="str">
        <f ca="1">IF(NOT(AP97),"",IF(AL97="p",AG92,AG93))</f>
        <v/>
      </c>
      <c r="AR97" s="117" t="str">
        <f ca="1">IF(NOT(AP97),"",IF(AL97="p",AG93,AG92))</f>
        <v/>
      </c>
      <c r="AT97" s="115" t="b">
        <f t="shared" ca="1" si="32"/>
        <v>0</v>
      </c>
      <c r="AU97" s="115" t="b">
        <f ca="1">AND(ASZTAB!$AJ$42,AT97,F97=H97)</f>
        <v>0</v>
      </c>
      <c r="AV97" s="115" t="b">
        <f t="shared" ca="1" si="33"/>
        <v>0</v>
      </c>
      <c r="AW97" s="116" t="str">
        <f t="shared" ca="1" si="34"/>
        <v/>
      </c>
      <c r="AX97" s="117" t="str">
        <f t="shared" ca="1" si="35"/>
        <v/>
      </c>
      <c r="AY97" s="116" t="str">
        <f ca="1">IF(OR(AY96="",NOT(AV97)),"",IF(AG92=AW97,X96,0)+AY96)</f>
        <v/>
      </c>
      <c r="AZ97" s="116" t="str">
        <f ca="1">IF(OR(AZ96="",NOT(AV97)),"",IF(AG93=AW97,X96,0)+AZ96)</f>
        <v/>
      </c>
      <c r="BD97" s="142"/>
      <c r="BI97" s="118">
        <f t="shared" si="9"/>
        <v>42424</v>
      </c>
      <c r="BK97" s="119"/>
      <c r="BL97" s="119"/>
      <c r="BM97" s="119"/>
      <c r="BN97" s="119"/>
    </row>
    <row r="98" spans="1:66" ht="15" customHeight="1" x14ac:dyDescent="0.3">
      <c r="A98" s="864"/>
      <c r="B98" s="122"/>
      <c r="C98" s="106"/>
      <c r="D98" s="123"/>
      <c r="E98" s="124"/>
      <c r="F98" s="125"/>
      <c r="G98" s="123"/>
      <c r="H98" s="114"/>
      <c r="I98" s="123"/>
      <c r="J98" s="125"/>
      <c r="K98" s="123"/>
      <c r="L98" s="114"/>
      <c r="M98" s="123"/>
      <c r="N98" s="123"/>
      <c r="O98" s="123"/>
      <c r="AE98" s="15" t="s">
        <v>317</v>
      </c>
      <c r="AF98" s="15" t="str">
        <f>CONCATENATE(V89,"l")</f>
        <v>4l</v>
      </c>
      <c r="AG98" s="16" t="str">
        <f ca="1">IF(AG97=AG92,AG93,IF(AG93=AG97,AG92,""))</f>
        <v/>
      </c>
      <c r="AL98" s="126" t="s">
        <v>330</v>
      </c>
      <c r="BD98" s="142"/>
      <c r="BI98" s="118">
        <f t="shared" si="9"/>
        <v>42425</v>
      </c>
      <c r="BK98" s="119"/>
      <c r="BL98" s="119"/>
      <c r="BM98" s="119"/>
      <c r="BN98" s="119"/>
    </row>
    <row r="99" spans="1:66" ht="15" customHeight="1" x14ac:dyDescent="0.3">
      <c r="A99" s="864"/>
      <c r="B99" s="122"/>
      <c r="C99" s="127" t="s">
        <v>463</v>
      </c>
      <c r="D99" s="123"/>
      <c r="E99" s="124"/>
      <c r="F99" s="125"/>
      <c r="G99" s="123"/>
      <c r="H99" s="114"/>
      <c r="I99" s="123"/>
      <c r="J99" s="125"/>
      <c r="K99" s="123"/>
      <c r="L99" s="114"/>
      <c r="M99" s="123"/>
      <c r="N99" s="123"/>
      <c r="O99" s="123"/>
      <c r="Y99" s="11" t="s">
        <v>294</v>
      </c>
      <c r="Z99" s="70" t="s">
        <v>311</v>
      </c>
      <c r="AA99" s="70" t="s">
        <v>153</v>
      </c>
      <c r="AB99" s="70" t="s">
        <v>153</v>
      </c>
      <c r="AE99" s="15" t="s">
        <v>287</v>
      </c>
      <c r="AF99" s="15" t="str">
        <f>CONCATENATE(V89,"e")</f>
        <v>4e</v>
      </c>
      <c r="AG99" s="21" t="b">
        <f ca="1">AND(AG97&lt;&gt;"",AG98&lt;&gt;"")</f>
        <v>0</v>
      </c>
      <c r="BD99" s="15"/>
      <c r="BI99" s="118">
        <f t="shared" si="9"/>
        <v>42426</v>
      </c>
      <c r="BK99" s="119"/>
      <c r="BL99" s="119"/>
      <c r="BM99" s="119"/>
      <c r="BN99" s="119"/>
    </row>
    <row r="100" spans="1:66" ht="15" customHeight="1" x14ac:dyDescent="0.3">
      <c r="A100" s="864"/>
      <c r="B100" s="122"/>
      <c r="C100" s="865"/>
      <c r="D100" s="865"/>
      <c r="E100" s="865"/>
      <c r="F100" s="865"/>
      <c r="G100" s="865"/>
      <c r="H100" s="865"/>
      <c r="I100" s="865"/>
      <c r="J100" s="865"/>
      <c r="K100" s="865"/>
      <c r="L100" s="865"/>
      <c r="M100" s="865"/>
      <c r="N100" s="865"/>
      <c r="O100" s="865"/>
      <c r="W100" s="15" t="s">
        <v>319</v>
      </c>
      <c r="X100" s="18" t="b">
        <v>0</v>
      </c>
      <c r="Y100" s="72" t="s">
        <v>289</v>
      </c>
      <c r="Z100" s="16" t="str">
        <f ca="1">IF(AND(AJ92,AJ93,X100,Y100&lt;&gt;""),CONCATENATE(VLOOKUP(CONCATENATE(AG92,AG93),INDIRECT(CONCATENATE("games.",Y100)),9,FALSE),VLOOKUP(CONCATENATE(AG92,AG93),INDIRECT(CONCATENATE("games.",Y100)),12,FALSE)),"")</f>
        <v/>
      </c>
      <c r="AA100" s="16" t="str">
        <f ca="1">IF(AND(AJ92,AJ93,X100,Y100&lt;&gt;""),VLOOKUP(CONCATENATE(AG92,AG93),INDIRECT(CONCATENATE("games.",Y100)),10,FALSE),"")</f>
        <v/>
      </c>
      <c r="AB100" s="54" t="str">
        <f ca="1">IF(AND(AJ92,AJ93,X100,Y100&lt;&gt;""),VLOOKUP(CONCATENATE(AG92,AG93),INDIRECT(CONCATENATE("games.",Y100)),13,FALSE),"")</f>
        <v/>
      </c>
      <c r="BD100" s="15"/>
      <c r="BI100" s="118">
        <f t="shared" si="9"/>
        <v>42427</v>
      </c>
      <c r="BK100" s="119"/>
      <c r="BL100" s="119"/>
      <c r="BM100" s="119"/>
      <c r="BN100" s="119"/>
    </row>
    <row r="101" spans="1:66" ht="15" customHeight="1" x14ac:dyDescent="0.3">
      <c r="A101" s="864"/>
      <c r="B101" s="122"/>
      <c r="C101" s="866"/>
      <c r="D101" s="866"/>
      <c r="E101" s="866"/>
      <c r="F101" s="866"/>
      <c r="G101" s="866"/>
      <c r="H101" s="866"/>
      <c r="I101" s="866"/>
      <c r="J101" s="866"/>
      <c r="K101" s="866"/>
      <c r="L101" s="866"/>
      <c r="M101" s="866"/>
      <c r="N101" s="866"/>
      <c r="O101" s="866"/>
      <c r="Z101" s="16" t="str">
        <f ca="1">IF(AND(AJ92,AJ93,X100,Y100&lt;&gt;""),CONCATENATE(VLOOKUP(CONCATENATE(AG93,AG92),INDIRECT(CONCATENATE("games.",Y100)),9,FALSE),VLOOKUP(CONCATENATE(AG93,AG92),INDIRECT(CONCATENATE("games.",Y100)),12,FALSE)),"")</f>
        <v/>
      </c>
      <c r="AA101" s="16" t="str">
        <f ca="1">IF(AND(AJ92,AJ93,X100,Y100&lt;&gt;""),VLOOKUP(CONCATENATE(AG93,AG92),INDIRECT(CONCATENATE("games.",Y100)),10,FALSE),"")</f>
        <v/>
      </c>
      <c r="AB101" s="54" t="str">
        <f ca="1">IF(AND(AJ92,AJ93,X100,Y100&lt;&gt;""),VLOOKUP(CONCATENATE(AG93,AG92),INDIRECT(CONCATENATE("games.",Y100)),13,FALSE),"")</f>
        <v/>
      </c>
      <c r="BD101" s="15"/>
      <c r="BI101" s="118">
        <f t="shared" si="9"/>
        <v>42428</v>
      </c>
      <c r="BK101" s="119"/>
      <c r="BL101" s="119"/>
      <c r="BM101" s="119"/>
      <c r="BN101" s="119"/>
    </row>
    <row r="102" spans="1:66" ht="15" customHeight="1" x14ac:dyDescent="0.3">
      <c r="A102" s="864"/>
      <c r="B102" s="122"/>
      <c r="C102" s="866"/>
      <c r="D102" s="866"/>
      <c r="E102" s="866"/>
      <c r="F102" s="866"/>
      <c r="G102" s="866"/>
      <c r="H102" s="866"/>
      <c r="I102" s="866"/>
      <c r="J102" s="866"/>
      <c r="K102" s="866"/>
      <c r="L102" s="866"/>
      <c r="M102" s="866"/>
      <c r="N102" s="866"/>
      <c r="O102" s="866"/>
      <c r="BD102" s="15"/>
      <c r="BI102" s="118">
        <f t="shared" si="9"/>
        <v>42429</v>
      </c>
      <c r="BK102" s="119"/>
      <c r="BL102" s="119"/>
      <c r="BM102" s="119"/>
      <c r="BN102" s="119"/>
    </row>
    <row r="103" spans="1:66" ht="15" customHeight="1" x14ac:dyDescent="0.3">
      <c r="A103" s="864"/>
      <c r="B103" s="122"/>
      <c r="C103" s="106"/>
      <c r="D103" s="123"/>
      <c r="E103" s="124"/>
      <c r="F103" s="125"/>
      <c r="G103" s="123"/>
      <c r="H103" s="114"/>
      <c r="I103" s="123"/>
      <c r="J103" s="125"/>
      <c r="K103" s="123"/>
      <c r="L103" s="114"/>
      <c r="M103" s="123"/>
      <c r="N103" s="123"/>
      <c r="O103" s="123"/>
      <c r="U103" s="10"/>
      <c r="V103" s="128"/>
      <c r="W103" s="129"/>
      <c r="X103" s="10"/>
      <c r="Y103" s="130"/>
      <c r="Z103" s="130"/>
      <c r="AA103" s="130"/>
      <c r="AB103" s="130"/>
      <c r="AC103" s="130"/>
      <c r="AD103" s="130"/>
      <c r="AE103" s="130"/>
      <c r="AF103" s="130"/>
      <c r="AG103" s="130"/>
      <c r="AH103" s="130"/>
      <c r="AI103" s="130"/>
      <c r="AJ103" s="130"/>
      <c r="AK103" s="130"/>
      <c r="AL103" s="130"/>
      <c r="AM103" s="10"/>
      <c r="AO103" s="131"/>
      <c r="AP103" s="131"/>
      <c r="AQ103" s="132"/>
      <c r="AR103" s="132"/>
      <c r="AS103" s="132"/>
      <c r="AT103" s="131"/>
      <c r="AU103" s="131"/>
      <c r="AV103" s="131"/>
      <c r="AW103" s="132"/>
      <c r="AX103" s="132"/>
      <c r="AY103" s="131"/>
      <c r="AZ103" s="131"/>
      <c r="BA103" s="131"/>
      <c r="BD103" s="15"/>
      <c r="BI103" s="118">
        <f t="shared" si="9"/>
        <v>42430</v>
      </c>
      <c r="BK103" s="119"/>
      <c r="BL103" s="119"/>
      <c r="BM103" s="119"/>
      <c r="BN103" s="119"/>
    </row>
    <row r="104" spans="1:66" ht="15" customHeight="1" x14ac:dyDescent="0.3">
      <c r="A104" s="864"/>
      <c r="B104" s="88"/>
      <c r="C104" s="89"/>
      <c r="D104" s="90"/>
      <c r="BI104" s="118">
        <f t="shared" si="9"/>
        <v>42431</v>
      </c>
      <c r="BM104" s="119"/>
    </row>
    <row r="105" spans="1:66" ht="15" customHeight="1" x14ac:dyDescent="0.3">
      <c r="A105" s="864"/>
      <c r="B105" s="147"/>
      <c r="C105" s="149">
        <f>V105</f>
        <v>5</v>
      </c>
      <c r="D105" s="150" t="str">
        <f>UPPER(W105)</f>
        <v>DÖNTŐ</v>
      </c>
      <c r="E105" s="151"/>
      <c r="F105" s="151"/>
      <c r="G105" s="151"/>
      <c r="H105" s="151"/>
      <c r="I105" s="151"/>
      <c r="J105" s="151"/>
      <c r="K105" s="151"/>
      <c r="L105" s="151"/>
      <c r="M105" s="138"/>
      <c r="N105" s="151"/>
      <c r="O105" s="161" t="str">
        <f ca="1">IF(NOT(AG115),"","A PÁRHARC GYŐZTESE: "&amp;UPPER(AG113))</f>
        <v/>
      </c>
      <c r="P105" s="152" t="str">
        <f>IF(NOT(Y113),"",CONCATENATE("A PÁRHARC GYŐZTESE: ",AH111," "))</f>
        <v/>
      </c>
      <c r="Q105" s="148" t="str">
        <f>IF(NOT(Z113),"",CONCATENATE("A PÁRHARC GYŐZTESE: ",AJ111," "))</f>
        <v/>
      </c>
      <c r="R105" s="148" t="str">
        <f>IF(NOT(AA113),"",CONCATENATE("A PÁRHARC GYŐZTESE: ",AK111," "))</f>
        <v/>
      </c>
      <c r="S105" s="148" t="str">
        <f>IF(NOT(AB113),"",CONCATENATE("A PÁRHARC GYŐZTESE: ",AL111," "))</f>
        <v/>
      </c>
      <c r="V105" s="21">
        <f>V89+1</f>
        <v>5</v>
      </c>
      <c r="W105" s="95" t="s">
        <v>336</v>
      </c>
      <c r="X105" s="96"/>
      <c r="Y105" s="96"/>
      <c r="Z105" s="96"/>
      <c r="AA105" s="96"/>
      <c r="AB105" s="96"/>
      <c r="AC105" s="96"/>
      <c r="AD105" s="96"/>
      <c r="AE105" s="96"/>
      <c r="AF105" s="96"/>
      <c r="AG105" s="96"/>
      <c r="AH105" s="96"/>
      <c r="AI105" s="96"/>
      <c r="AJ105" s="96"/>
      <c r="AK105" s="96"/>
      <c r="AL105" s="97"/>
      <c r="AY105" s="13" t="s">
        <v>326</v>
      </c>
      <c r="AZ105" s="13" t="s">
        <v>325</v>
      </c>
      <c r="BD105" s="142"/>
      <c r="BH105" s="98"/>
      <c r="BI105" s="118">
        <f t="shared" si="9"/>
        <v>42432</v>
      </c>
      <c r="BJ105" s="98"/>
      <c r="BK105" s="99"/>
      <c r="BL105" s="99"/>
      <c r="BM105" s="119"/>
    </row>
    <row r="106" spans="1:66" ht="11.25" customHeight="1" x14ac:dyDescent="0.3">
      <c r="A106" s="864"/>
      <c r="C106" s="101"/>
      <c r="D106" s="102"/>
      <c r="E106" s="103"/>
      <c r="F106" s="58"/>
      <c r="G106" s="104"/>
      <c r="H106" s="60"/>
      <c r="I106" s="146"/>
      <c r="J106" s="107"/>
      <c r="K106" s="160" t="str">
        <f ca="1">IF(OR(AU107,AU108,AU109,AU110,AU111,AU112,AU113),"BÜNTETŐK","")</f>
        <v/>
      </c>
      <c r="L106" s="110"/>
      <c r="M106" s="158" t="s">
        <v>286</v>
      </c>
      <c r="N106" s="159"/>
      <c r="O106" s="158" t="s">
        <v>285</v>
      </c>
      <c r="AP106" s="105" t="s">
        <v>328</v>
      </c>
      <c r="AQ106" s="12" t="s">
        <v>138</v>
      </c>
      <c r="AR106" s="12" t="s">
        <v>139</v>
      </c>
      <c r="AT106" s="105" t="s">
        <v>320</v>
      </c>
      <c r="AU106" s="105" t="s">
        <v>321</v>
      </c>
      <c r="AV106" s="105" t="s">
        <v>324</v>
      </c>
      <c r="AW106" s="12" t="s">
        <v>322</v>
      </c>
      <c r="AX106" s="12" t="s">
        <v>323</v>
      </c>
      <c r="AY106" s="116">
        <f>IF(X116,COUNTIF(Z116:Z117,AG108)*ASZTAB!$AJ$48+COUNTIF(AA116:AB117,AG108),0)</f>
        <v>0</v>
      </c>
      <c r="AZ106" s="116">
        <f>IF(X116,COUNTIF(Z116:Z117,AG109)*ASZTAB!$AJ$48+COUNTIF(AA116:AB117,AG109),0)</f>
        <v>0</v>
      </c>
      <c r="BD106" s="142"/>
      <c r="BH106" s="98"/>
      <c r="BI106" s="118">
        <f t="shared" si="9"/>
        <v>42433</v>
      </c>
      <c r="BJ106" s="98"/>
      <c r="BK106" s="99"/>
      <c r="BL106" s="99"/>
      <c r="BM106" s="119"/>
    </row>
    <row r="107" spans="1:66" ht="15" customHeight="1" x14ac:dyDescent="0.3">
      <c r="A107" s="864"/>
      <c r="B107" s="7"/>
      <c r="C107" s="106">
        <v>1</v>
      </c>
      <c r="D107" s="137"/>
      <c r="E107" s="107" t="str">
        <f t="shared" ref="E107:E113" ca="1" si="37">IF(NOT($AP107),"",AQ107)</f>
        <v/>
      </c>
      <c r="F107" s="108"/>
      <c r="G107" s="64" t="str">
        <f t="shared" ref="G107:G113" ca="1" si="38">IF(NOT($AP107),"","–")</f>
        <v/>
      </c>
      <c r="H107" s="109"/>
      <c r="I107" s="110" t="str">
        <f t="shared" ref="I107:I113" ca="1" si="39">IF(NOT($AP107),"",AR107)</f>
        <v/>
      </c>
      <c r="J107" s="111"/>
      <c r="K107" s="112" t="str">
        <f t="shared" ref="K107:K113" ca="1" si="40">IF(AU107,"–","")</f>
        <v/>
      </c>
      <c r="L107" s="113"/>
      <c r="M107" s="153" t="str">
        <f ca="1">IF(OR(AL107="",NOT(AV107)),"",IF(AL107="p",CONCATENATE(AY107,"–",AZ107),CONCATENATE(AZ107,"–",AY107)))</f>
        <v/>
      </c>
      <c r="N107" s="110"/>
      <c r="O107" s="139"/>
      <c r="P107" s="114"/>
      <c r="Q107" s="114"/>
      <c r="R107" s="114"/>
      <c r="S107" s="114"/>
      <c r="X107" s="11" t="s">
        <v>306</v>
      </c>
      <c r="Y107" s="11" t="s">
        <v>294</v>
      </c>
      <c r="Z107" s="70" t="s">
        <v>295</v>
      </c>
      <c r="AA107" s="70" t="s">
        <v>127</v>
      </c>
      <c r="AB107" s="70" t="s">
        <v>301</v>
      </c>
      <c r="AC107" s="70" t="s">
        <v>302</v>
      </c>
      <c r="AD107" s="70" t="s">
        <v>332</v>
      </c>
      <c r="AE107" s="70" t="s">
        <v>333</v>
      </c>
      <c r="AF107" s="70" t="s">
        <v>329</v>
      </c>
      <c r="AG107" s="70" t="s">
        <v>303</v>
      </c>
      <c r="AH107" s="70" t="s">
        <v>293</v>
      </c>
      <c r="AJ107" s="71" t="s">
        <v>314</v>
      </c>
      <c r="AL107" s="18" t="s">
        <v>318</v>
      </c>
      <c r="AP107" s="115" t="b">
        <f ca="1">AND(AJ108,AJ109,AL107&lt;&gt;"")</f>
        <v>0</v>
      </c>
      <c r="AQ107" s="116" t="str">
        <f ca="1">IF(NOT(AP107),"",IF(AL107="p",AG108,AG109))</f>
        <v/>
      </c>
      <c r="AR107" s="117" t="str">
        <f ca="1">IF(NOT(AP107),"",IF(AL107="p",AG109,AG108))</f>
        <v/>
      </c>
      <c r="AT107" s="115" t="b">
        <f t="shared" ref="AT107:AT113" ca="1" si="41">AND(F107&lt;&gt;"",H107&lt;&gt;"",AP107)</f>
        <v>0</v>
      </c>
      <c r="AU107" s="115" t="b">
        <f ca="1">AND(ASZTAB!$AJ$42,AT107,F107=H107)</f>
        <v>0</v>
      </c>
      <c r="AV107" s="115" t="b">
        <f t="shared" ref="AV107:AV113" ca="1" si="42">OR(AND(AT107,NOT(AU107),F107&lt;&gt;H107),AND(AT107,AU107,J107&lt;&gt;"",L107&lt;&gt;"",J107&lt;&gt;L107))</f>
        <v>0</v>
      </c>
      <c r="AW107" s="116" t="str">
        <f t="shared" ref="AW107:AW113" ca="1" si="43">IF(NOT(AV107),"",IF(AU107,IF(F107+J107&gt;H107+L107,E107,I107),IF(F107&gt;H107,E107,I107)))</f>
        <v/>
      </c>
      <c r="AX107" s="117" t="str">
        <f t="shared" ref="AX107:AX113" ca="1" si="44">IF(NOT(AV107),"",IF(AW107=E107,I107,IF(AW107=I107,E107,"")))</f>
        <v/>
      </c>
      <c r="AY107" s="116" t="str">
        <f ca="1">IF(NOT(AV107),"",IF(AG108=AW107,X112,0)+AY106)</f>
        <v/>
      </c>
      <c r="AZ107" s="116" t="str">
        <f ca="1">IF(NOT(AV107),"",IF(AG109=AW107,X112,0)+AZ106)</f>
        <v/>
      </c>
      <c r="BD107" s="142"/>
      <c r="BI107" s="118">
        <f t="shared" si="9"/>
        <v>42434</v>
      </c>
      <c r="BK107" s="99"/>
      <c r="BL107" s="119"/>
      <c r="BM107" s="119"/>
    </row>
    <row r="108" spans="1:66" ht="15" customHeight="1" x14ac:dyDescent="0.3">
      <c r="A108" s="864"/>
      <c r="B108" s="7"/>
      <c r="C108" s="106">
        <v>2</v>
      </c>
      <c r="D108" s="137"/>
      <c r="E108" s="107" t="str">
        <f t="shared" ca="1" si="37"/>
        <v/>
      </c>
      <c r="F108" s="108"/>
      <c r="G108" s="64" t="str">
        <f t="shared" ca="1" si="38"/>
        <v/>
      </c>
      <c r="H108" s="109"/>
      <c r="I108" s="110" t="str">
        <f t="shared" ca="1" si="39"/>
        <v/>
      </c>
      <c r="J108" s="111"/>
      <c r="K108" s="112" t="str">
        <f t="shared" ca="1" si="40"/>
        <v/>
      </c>
      <c r="L108" s="113"/>
      <c r="M108" s="153" t="str">
        <f t="shared" ref="M108:M113" ca="1" si="45">IF(OR(AL108="",NOT(AV108)),"",IF(AL108="p",CONCATENATE(AY108,"–",AZ108),CONCATENATE(AZ108,"–",AY108)))</f>
        <v/>
      </c>
      <c r="N108" s="110"/>
      <c r="O108" s="140"/>
      <c r="P108" s="114"/>
      <c r="Q108" s="114"/>
      <c r="R108" s="114"/>
      <c r="S108" s="114"/>
      <c r="W108" s="15" t="s">
        <v>312</v>
      </c>
      <c r="X108" s="18" t="s">
        <v>308</v>
      </c>
      <c r="Y108" s="72"/>
      <c r="Z108" s="72"/>
      <c r="AA108" s="72"/>
      <c r="AB108" s="18">
        <v>1</v>
      </c>
      <c r="AC108" s="18" t="s">
        <v>311</v>
      </c>
      <c r="AD108" s="14" t="str">
        <f ca="1">IF(NOT(AJ108),"",IF(X108=$BE$45,VLOOKUP(AA108,INDIRECT(CONCATENATE("rank.",Y108,Z108)),2,FALSE),VLOOKUP(CONCATENATE(AB108,AC108),result.e,2,FALSE)))</f>
        <v/>
      </c>
      <c r="AE108" s="18" t="s">
        <v>288</v>
      </c>
      <c r="AF108" s="120" t="str">
        <f ca="1">IF(OR(AD108="",X108=$BE$45),"",VLOOKUP(AD108,INDIRECT(CONCATENATE("rankname.",AE108)),2,FALSE))</f>
        <v/>
      </c>
      <c r="AG108" s="14" t="str">
        <f ca="1">IF(AD108="","",IF(X108=$BE$45,AD108,IF(AF108&gt;AF109,AD109,AD108)))</f>
        <v/>
      </c>
      <c r="AH108" s="120">
        <f ca="1">MAX(AY106:AY113)</f>
        <v>0</v>
      </c>
      <c r="AJ108" s="21" t="b">
        <f ca="1">IF(X108=$BE$45,IF(OR(Y108="",Z108="",AA108=""),FALSE,VLOOKUP(CONCATENATE(Y108,Z108),$BD$59:$BE$63,2,FALSE)),IF(OR(AB108="",AC108="",AE108=""),FALSE,VLOOKUP(CONCATENATE(AB108,"e"),result.e,2,FALSE)))</f>
        <v>0</v>
      </c>
      <c r="AL108" s="18" t="s">
        <v>331</v>
      </c>
      <c r="AP108" s="115" t="b">
        <f ca="1">AND(AP107,AL108&lt;&gt;"",(COUNTIF(AP107:AP107,"IGAZ")-COUNTIF(AV107:AV107,"IGAZ"))*X112+MAX(AY106:AZ107)&lt;X111)</f>
        <v>0</v>
      </c>
      <c r="AQ108" s="116" t="str">
        <f ca="1">IF(NOT(AP108),"",IF(AL108="p",AG108,AG109))</f>
        <v/>
      </c>
      <c r="AR108" s="117" t="str">
        <f ca="1">IF(NOT(AP108),"",IF(AL108="p",AG109,AG108))</f>
        <v/>
      </c>
      <c r="AT108" s="115" t="b">
        <f t="shared" ca="1" si="41"/>
        <v>0</v>
      </c>
      <c r="AU108" s="115" t="b">
        <f ca="1">AND(ASZTAB!$AJ$42,AT108,F108=H108)</f>
        <v>0</v>
      </c>
      <c r="AV108" s="115" t="b">
        <f t="shared" ca="1" si="42"/>
        <v>0</v>
      </c>
      <c r="AW108" s="116" t="str">
        <f t="shared" ca="1" si="43"/>
        <v/>
      </c>
      <c r="AX108" s="117" t="str">
        <f t="shared" ca="1" si="44"/>
        <v/>
      </c>
      <c r="AY108" s="116" t="str">
        <f ca="1">IF(OR(AY107="",NOT(AV108)),"",IF(AG108=AW108,X112,0)+AY107)</f>
        <v/>
      </c>
      <c r="AZ108" s="116" t="str">
        <f ca="1">IF(OR(AZ107="",NOT(AV108)),"",IF(AG109=AW108,X112,0)+AZ107)</f>
        <v/>
      </c>
      <c r="BD108" s="142"/>
      <c r="BI108" s="118">
        <f t="shared" si="9"/>
        <v>42435</v>
      </c>
      <c r="BK108" s="99"/>
      <c r="BM108" s="119"/>
    </row>
    <row r="109" spans="1:66" ht="15" customHeight="1" x14ac:dyDescent="0.3">
      <c r="A109" s="864"/>
      <c r="B109" s="7"/>
      <c r="C109" s="106">
        <v>3</v>
      </c>
      <c r="D109" s="137"/>
      <c r="E109" s="107" t="str">
        <f t="shared" ca="1" si="37"/>
        <v/>
      </c>
      <c r="F109" s="108"/>
      <c r="G109" s="64" t="str">
        <f t="shared" ca="1" si="38"/>
        <v/>
      </c>
      <c r="H109" s="109"/>
      <c r="I109" s="110" t="str">
        <f t="shared" ca="1" si="39"/>
        <v/>
      </c>
      <c r="J109" s="111"/>
      <c r="K109" s="112" t="str">
        <f t="shared" ca="1" si="40"/>
        <v/>
      </c>
      <c r="L109" s="113"/>
      <c r="M109" s="153" t="str">
        <f t="shared" ca="1" si="45"/>
        <v/>
      </c>
      <c r="N109" s="110"/>
      <c r="O109" s="140"/>
      <c r="P109" s="114"/>
      <c r="Q109" s="114"/>
      <c r="R109" s="114"/>
      <c r="S109" s="114"/>
      <c r="W109" s="15" t="s">
        <v>313</v>
      </c>
      <c r="X109" s="18" t="s">
        <v>308</v>
      </c>
      <c r="Y109" s="72"/>
      <c r="Z109" s="72"/>
      <c r="AA109" s="72"/>
      <c r="AB109" s="18">
        <v>2</v>
      </c>
      <c r="AC109" s="18" t="s">
        <v>311</v>
      </c>
      <c r="AD109" s="14" t="str">
        <f ca="1">IF(NOT(AJ109),"",IF(X109=$BE$45,VLOOKUP(AA109,INDIRECT(CONCATENATE("rank.",Y109,Z109)),2,FALSE),VLOOKUP(CONCATENATE(AB109,AC109),result.e,2,FALSE)))</f>
        <v/>
      </c>
      <c r="AE109" s="18" t="s">
        <v>288</v>
      </c>
      <c r="AF109" s="120" t="str">
        <f ca="1">IF(OR(AD109="",X109=$BE$45),"",VLOOKUP(AD109,INDIRECT(CONCATENATE("rankname.",AE109)),2,FALSE))</f>
        <v/>
      </c>
      <c r="AG109" s="14" t="str">
        <f ca="1">IF(AD109="","",IF(X109=$BE$45,AD109,IF(AF108&gt;AF109,AD108,AD109)))</f>
        <v/>
      </c>
      <c r="AH109" s="120">
        <f ca="1">MAX(AZ106:AZ113)</f>
        <v>0</v>
      </c>
      <c r="AJ109" s="21" t="b">
        <f ca="1">IF(X109=$BE$45,IF(OR(Y109="",Z109="",AA109=""),FALSE,VLOOKUP(CONCATENATE(Y109,Z109),$BD$59:$BE$63,2,FALSE)),IF(OR(AB109="",AC109="",AE109=""),FALSE,VLOOKUP(CONCATENATE(AB109,"e"),result.e,2,FALSE)))</f>
        <v>0</v>
      </c>
      <c r="AL109" s="18" t="s">
        <v>318</v>
      </c>
      <c r="AP109" s="115" t="b">
        <f ca="1">AND(AP108,AL109&lt;&gt;"",(COUNTIF(AP107:AP108,"IGAZ")-COUNTIF(AV107:AV108,"IGAZ"))*X112+MAX(AY106:AZ108)&lt;X111)</f>
        <v>0</v>
      </c>
      <c r="AQ109" s="116" t="str">
        <f ca="1">IF(NOT(AP109),"",IF(AL109="p",AG108,AG109))</f>
        <v/>
      </c>
      <c r="AR109" s="117" t="str">
        <f ca="1">IF(NOT(AP109),"",IF(AL109="p",AG109,AG108))</f>
        <v/>
      </c>
      <c r="AT109" s="115" t="b">
        <f t="shared" ca="1" si="41"/>
        <v>0</v>
      </c>
      <c r="AU109" s="115" t="b">
        <f ca="1">AND(ASZTAB!$AJ$42,AT109,F109=H109)</f>
        <v>0</v>
      </c>
      <c r="AV109" s="115" t="b">
        <f t="shared" ca="1" si="42"/>
        <v>0</v>
      </c>
      <c r="AW109" s="116" t="str">
        <f t="shared" ca="1" si="43"/>
        <v/>
      </c>
      <c r="AX109" s="117" t="str">
        <f t="shared" ca="1" si="44"/>
        <v/>
      </c>
      <c r="AY109" s="116" t="str">
        <f ca="1">IF(OR(AY108="",NOT(AV109)),"",IF(AG108=AW109,X112,0)+AY108)</f>
        <v/>
      </c>
      <c r="AZ109" s="116" t="str">
        <f ca="1">IF(OR(AZ108="",NOT(AV109)),"",IF(AG109=AW109,X112,0)+AZ108)</f>
        <v/>
      </c>
      <c r="BD109" s="142"/>
      <c r="BI109" s="118">
        <f t="shared" ref="BI109:BI172" si="46">BI108+1</f>
        <v>42436</v>
      </c>
      <c r="BM109" s="119"/>
      <c r="BN109" s="119"/>
    </row>
    <row r="110" spans="1:66" ht="15" customHeight="1" x14ac:dyDescent="0.3">
      <c r="A110" s="864"/>
      <c r="B110" s="7"/>
      <c r="C110" s="106">
        <v>4</v>
      </c>
      <c r="D110" s="137"/>
      <c r="E110" s="107" t="str">
        <f t="shared" ca="1" si="37"/>
        <v/>
      </c>
      <c r="F110" s="108"/>
      <c r="G110" s="64" t="str">
        <f t="shared" ca="1" si="38"/>
        <v/>
      </c>
      <c r="H110" s="109"/>
      <c r="I110" s="110" t="str">
        <f t="shared" ca="1" si="39"/>
        <v/>
      </c>
      <c r="J110" s="111"/>
      <c r="K110" s="112" t="str">
        <f t="shared" ca="1" si="40"/>
        <v/>
      </c>
      <c r="L110" s="113"/>
      <c r="M110" s="153" t="str">
        <f t="shared" ca="1" si="45"/>
        <v/>
      </c>
      <c r="N110" s="110"/>
      <c r="O110" s="140"/>
      <c r="P110" s="114"/>
      <c r="Q110" s="114"/>
      <c r="AL110" s="18" t="s">
        <v>331</v>
      </c>
      <c r="AP110" s="115" t="b">
        <f ca="1">AND(AP109,AL110&lt;&gt;"",(COUNTIF(AP107:AP109,"IGAZ")-COUNTIF(AV107:AV109,"IGAZ"))*X112+MAX(AY106:AZ109)&lt;X111)</f>
        <v>0</v>
      </c>
      <c r="AQ110" s="116" t="str">
        <f ca="1">IF(NOT(AP110),"",IF(AL110="p",AG108,AG109))</f>
        <v/>
      </c>
      <c r="AR110" s="117" t="str">
        <f ca="1">IF(NOT(AP110),"",IF(AL110="p",AG109,AG108))</f>
        <v/>
      </c>
      <c r="AT110" s="115" t="b">
        <f t="shared" ca="1" si="41"/>
        <v>0</v>
      </c>
      <c r="AU110" s="115" t="b">
        <f ca="1">AND(ASZTAB!$AJ$42,AT110,F110=H110)</f>
        <v>0</v>
      </c>
      <c r="AV110" s="115" t="b">
        <f t="shared" ca="1" si="42"/>
        <v>0</v>
      </c>
      <c r="AW110" s="116" t="str">
        <f t="shared" ca="1" si="43"/>
        <v/>
      </c>
      <c r="AX110" s="117" t="str">
        <f t="shared" ca="1" si="44"/>
        <v/>
      </c>
      <c r="AY110" s="116" t="str">
        <f ca="1">IF(OR(AY109="",NOT(AV110)),"",IF(AG108=AW110,X112,0)+AY109)</f>
        <v/>
      </c>
      <c r="AZ110" s="116" t="str">
        <f ca="1">IF(OR(AZ109="",NOT(AV110)),"",IF(AG109=AW110,X112,0)+AZ109)</f>
        <v/>
      </c>
      <c r="BD110" s="142"/>
      <c r="BI110" s="118">
        <f t="shared" si="46"/>
        <v>42437</v>
      </c>
      <c r="BM110" s="119"/>
    </row>
    <row r="111" spans="1:66" ht="15" customHeight="1" x14ac:dyDescent="0.3">
      <c r="A111" s="864"/>
      <c r="B111" s="121"/>
      <c r="C111" s="106">
        <v>5</v>
      </c>
      <c r="D111" s="137"/>
      <c r="E111" s="107" t="str">
        <f t="shared" ca="1" si="37"/>
        <v/>
      </c>
      <c r="F111" s="108"/>
      <c r="G111" s="64" t="str">
        <f t="shared" ca="1" si="38"/>
        <v/>
      </c>
      <c r="H111" s="109"/>
      <c r="I111" s="110" t="str">
        <f t="shared" ca="1" si="39"/>
        <v/>
      </c>
      <c r="J111" s="111"/>
      <c r="K111" s="112" t="str">
        <f t="shared" ca="1" si="40"/>
        <v/>
      </c>
      <c r="L111" s="113"/>
      <c r="M111" s="153" t="str">
        <f t="shared" ca="1" si="45"/>
        <v/>
      </c>
      <c r="N111" s="110"/>
      <c r="O111" s="140"/>
      <c r="P111" s="114"/>
      <c r="Q111" s="114"/>
      <c r="R111" s="114"/>
      <c r="S111" s="114"/>
      <c r="W111" s="15" t="s">
        <v>315</v>
      </c>
      <c r="X111" s="18">
        <v>3</v>
      </c>
      <c r="AD111" s="15"/>
      <c r="AE111" s="15" t="s">
        <v>312</v>
      </c>
      <c r="AF111" s="15" t="str">
        <f>CONCATENATE(V105,"f")</f>
        <v>5f</v>
      </c>
      <c r="AG111" s="16" t="str">
        <f ca="1">IF(OR(NOT(AJ108),NOT(AJ109)),"",AD108)</f>
        <v/>
      </c>
      <c r="AH111" s="23" t="str">
        <f ca="1">IF(OR(NOT(AJ108),NOT(AJ109)),"",VLOOKUP(AG111,AG108:AH109,2,FALSE))</f>
        <v/>
      </c>
      <c r="AL111" s="18" t="s">
        <v>318</v>
      </c>
      <c r="AP111" s="115" t="b">
        <f ca="1">AND(AP110,AL111&lt;&gt;"",(COUNTIF(AP107:AP110,"IGAZ")-COUNTIF(AV107:AV110,"IGAZ"))*X112+MAX(AY106:AZ110)&lt;X111)</f>
        <v>0</v>
      </c>
      <c r="AQ111" s="116" t="str">
        <f ca="1">IF(NOT(AP111),"",IF(AL111="p",AG108,AG109))</f>
        <v/>
      </c>
      <c r="AR111" s="117" t="str">
        <f ca="1">IF(NOT(AP111),"",IF(AL111="p",AG109,AG108))</f>
        <v/>
      </c>
      <c r="AT111" s="115" t="b">
        <f t="shared" ca="1" si="41"/>
        <v>0</v>
      </c>
      <c r="AU111" s="115" t="b">
        <f ca="1">AND(ASZTAB!$AJ$42,AT111,F111=H111)</f>
        <v>0</v>
      </c>
      <c r="AV111" s="115" t="b">
        <f t="shared" ca="1" si="42"/>
        <v>0</v>
      </c>
      <c r="AW111" s="116" t="str">
        <f t="shared" ca="1" si="43"/>
        <v/>
      </c>
      <c r="AX111" s="117" t="str">
        <f t="shared" ca="1" si="44"/>
        <v/>
      </c>
      <c r="AY111" s="116" t="str">
        <f ca="1">IF(OR(AY110="",NOT(AV111)),"",IF(AG108=AW111,X112,0)+AY110)</f>
        <v/>
      </c>
      <c r="AZ111" s="116" t="str">
        <f ca="1">IF(OR(AZ110="",NOT(AV111)),"",IF(AG109=AW111,X112,0)+AZ110)</f>
        <v/>
      </c>
      <c r="BD111" s="142"/>
      <c r="BI111" s="118">
        <f t="shared" si="46"/>
        <v>42438</v>
      </c>
      <c r="BK111" s="119"/>
      <c r="BL111" s="119"/>
      <c r="BM111" s="119"/>
    </row>
    <row r="112" spans="1:66" ht="15" customHeight="1" x14ac:dyDescent="0.3">
      <c r="A112" s="864"/>
      <c r="B112" s="122"/>
      <c r="C112" s="106">
        <v>6</v>
      </c>
      <c r="D112" s="137"/>
      <c r="E112" s="107" t="str">
        <f t="shared" ca="1" si="37"/>
        <v/>
      </c>
      <c r="F112" s="108"/>
      <c r="G112" s="64" t="str">
        <f t="shared" ca="1" si="38"/>
        <v/>
      </c>
      <c r="H112" s="109"/>
      <c r="I112" s="110" t="str">
        <f t="shared" ca="1" si="39"/>
        <v/>
      </c>
      <c r="J112" s="111"/>
      <c r="K112" s="112" t="str">
        <f t="shared" ca="1" si="40"/>
        <v/>
      </c>
      <c r="L112" s="113"/>
      <c r="M112" s="8" t="str">
        <f t="shared" ca="1" si="45"/>
        <v/>
      </c>
      <c r="N112" s="123"/>
      <c r="O112" s="141"/>
      <c r="W112" s="15" t="s">
        <v>327</v>
      </c>
      <c r="X112" s="18">
        <v>1</v>
      </c>
      <c r="AD112" s="15"/>
      <c r="AE112" s="15" t="s">
        <v>313</v>
      </c>
      <c r="AF112" s="15" t="str">
        <f>CONCATENATE(V105,"a")</f>
        <v>5a</v>
      </c>
      <c r="AG112" s="16" t="str">
        <f ca="1">IF(OR(NOT(AJ108),NOT(AJ109)),"",AD109)</f>
        <v/>
      </c>
      <c r="AH112" s="23" t="str">
        <f ca="1">IF(OR(NOT(AJ108),NOT(AJ109)),"",VLOOKUP(AG112,AG108:AH109,2,FALSE))</f>
        <v/>
      </c>
      <c r="AL112" s="18" t="s">
        <v>331</v>
      </c>
      <c r="AP112" s="115" t="b">
        <f ca="1">AND(AP111,AL112&lt;&gt;"",(COUNTIF(AP107:AP111,"IGAZ")-COUNTIF(AV107:AV111,"IGAZ"))*X112+MAX(AY106:AZ111)&lt;X111)</f>
        <v>0</v>
      </c>
      <c r="AQ112" s="116" t="str">
        <f ca="1">IF(NOT(AP112),"",IF(AL112="p",AG108,AG109))</f>
        <v/>
      </c>
      <c r="AR112" s="117" t="str">
        <f ca="1">IF(NOT(AP112),"",IF(AL112="p",AG109,AG108))</f>
        <v/>
      </c>
      <c r="AT112" s="115" t="b">
        <f t="shared" ca="1" si="41"/>
        <v>0</v>
      </c>
      <c r="AU112" s="115" t="b">
        <f ca="1">AND(ASZTAB!$AJ$42,AT112,F112=H112)</f>
        <v>0</v>
      </c>
      <c r="AV112" s="115" t="b">
        <f t="shared" ca="1" si="42"/>
        <v>0</v>
      </c>
      <c r="AW112" s="116" t="str">
        <f t="shared" ca="1" si="43"/>
        <v/>
      </c>
      <c r="AX112" s="117" t="str">
        <f t="shared" ca="1" si="44"/>
        <v/>
      </c>
      <c r="AY112" s="116" t="str">
        <f ca="1">IF(OR(AY111="",NOT(AV112)),"",IF(AG108=AW112,X112,0)+AY111)</f>
        <v/>
      </c>
      <c r="AZ112" s="116" t="str">
        <f ca="1">IF(OR(AZ111="",NOT(AV112)),"",IF(AG109=AW112,X112,0)+AZ111)</f>
        <v/>
      </c>
      <c r="BD112" s="142"/>
      <c r="BI112" s="118">
        <f t="shared" si="46"/>
        <v>42439</v>
      </c>
      <c r="BK112" s="119"/>
      <c r="BL112" s="119"/>
      <c r="BM112" s="119"/>
    </row>
    <row r="113" spans="1:66" ht="15" customHeight="1" x14ac:dyDescent="0.3">
      <c r="A113" s="864"/>
      <c r="B113" s="122"/>
      <c r="C113" s="106">
        <v>7</v>
      </c>
      <c r="D113" s="137"/>
      <c r="E113" s="107" t="str">
        <f t="shared" ca="1" si="37"/>
        <v/>
      </c>
      <c r="F113" s="108"/>
      <c r="G113" s="64" t="str">
        <f t="shared" ca="1" si="38"/>
        <v/>
      </c>
      <c r="H113" s="109"/>
      <c r="I113" s="110" t="str">
        <f t="shared" ca="1" si="39"/>
        <v/>
      </c>
      <c r="J113" s="111"/>
      <c r="K113" s="112" t="str">
        <f t="shared" ca="1" si="40"/>
        <v/>
      </c>
      <c r="L113" s="113"/>
      <c r="M113" s="8" t="str">
        <f t="shared" ca="1" si="45"/>
        <v/>
      </c>
      <c r="N113" s="123"/>
      <c r="O113" s="141"/>
      <c r="AE113" s="15" t="s">
        <v>316</v>
      </c>
      <c r="AF113" s="15" t="str">
        <f>CONCATENATE(V105,"w")</f>
        <v>5w</v>
      </c>
      <c r="AG113" s="16" t="str">
        <f ca="1">IF(AND(AJ108,AJ109),IF(MAX(AY107:AY113)&gt;=X111,AG108,IF(MAX(AZ107:AZ113)&gt;=X111,AG109,"")),"")</f>
        <v/>
      </c>
      <c r="AL113" s="18" t="s">
        <v>318</v>
      </c>
      <c r="AP113" s="115" t="b">
        <f ca="1">AND(AP112,AL113&lt;&gt;"",(COUNTIF(AP107:AP112,"IGAZ")-COUNTIF(AV107:AV112,"IGAZ"))*X112+MAX(AY106:AZ112)&lt;X111)</f>
        <v>0</v>
      </c>
      <c r="AQ113" s="116" t="str">
        <f ca="1">IF(NOT(AP113),"",IF(AL113="p",AG108,AG109))</f>
        <v/>
      </c>
      <c r="AR113" s="117" t="str">
        <f ca="1">IF(NOT(AP113),"",IF(AL113="p",AG109,AG108))</f>
        <v/>
      </c>
      <c r="AT113" s="115" t="b">
        <f t="shared" ca="1" si="41"/>
        <v>0</v>
      </c>
      <c r="AU113" s="115" t="b">
        <f ca="1">AND(ASZTAB!$AJ$42,AT113,F113=H113)</f>
        <v>0</v>
      </c>
      <c r="AV113" s="115" t="b">
        <f t="shared" ca="1" si="42"/>
        <v>0</v>
      </c>
      <c r="AW113" s="116" t="str">
        <f t="shared" ca="1" si="43"/>
        <v/>
      </c>
      <c r="AX113" s="117" t="str">
        <f t="shared" ca="1" si="44"/>
        <v/>
      </c>
      <c r="AY113" s="116" t="str">
        <f ca="1">IF(OR(AY112="",NOT(AV113)),"",IF(AG108=AW113,X112,0)+AY112)</f>
        <v/>
      </c>
      <c r="AZ113" s="116" t="str">
        <f ca="1">IF(OR(AZ112="",NOT(AV113)),"",IF(AG109=AW113,X112,0)+AZ112)</f>
        <v/>
      </c>
      <c r="BD113" s="142"/>
      <c r="BI113" s="118">
        <f t="shared" si="46"/>
        <v>42440</v>
      </c>
      <c r="BK113" s="119"/>
      <c r="BL113" s="119"/>
      <c r="BM113" s="119"/>
      <c r="BN113" s="119"/>
    </row>
    <row r="114" spans="1:66" ht="15" customHeight="1" x14ac:dyDescent="0.3">
      <c r="A114" s="864"/>
      <c r="B114" s="122"/>
      <c r="C114" s="106"/>
      <c r="D114" s="123"/>
      <c r="E114" s="124"/>
      <c r="F114" s="125"/>
      <c r="G114" s="123"/>
      <c r="H114" s="114"/>
      <c r="I114" s="123"/>
      <c r="J114" s="125"/>
      <c r="K114" s="123"/>
      <c r="L114" s="114"/>
      <c r="M114" s="123"/>
      <c r="N114" s="123"/>
      <c r="O114" s="123"/>
      <c r="AE114" s="15" t="s">
        <v>317</v>
      </c>
      <c r="AF114" s="15" t="str">
        <f>CONCATENATE(V105,"l")</f>
        <v>5l</v>
      </c>
      <c r="AG114" s="16" t="str">
        <f ca="1">IF(AG113=AG108,AG109,IF(AG109=AG113,AG108,""))</f>
        <v/>
      </c>
      <c r="AL114" s="126" t="s">
        <v>330</v>
      </c>
      <c r="BD114" s="142"/>
      <c r="BI114" s="118">
        <f t="shared" si="46"/>
        <v>42441</v>
      </c>
      <c r="BK114" s="119"/>
      <c r="BL114" s="119"/>
      <c r="BM114" s="119"/>
      <c r="BN114" s="119"/>
    </row>
    <row r="115" spans="1:66" ht="15" customHeight="1" x14ac:dyDescent="0.3">
      <c r="A115" s="864"/>
      <c r="B115" s="122"/>
      <c r="C115" s="127" t="s">
        <v>463</v>
      </c>
      <c r="D115" s="123"/>
      <c r="E115" s="124"/>
      <c r="F115" s="125"/>
      <c r="G115" s="123"/>
      <c r="H115" s="114"/>
      <c r="I115" s="123"/>
      <c r="J115" s="125"/>
      <c r="K115" s="123"/>
      <c r="L115" s="114"/>
      <c r="M115" s="123"/>
      <c r="N115" s="123"/>
      <c r="O115" s="123"/>
      <c r="Y115" s="11" t="s">
        <v>294</v>
      </c>
      <c r="Z115" s="70" t="s">
        <v>311</v>
      </c>
      <c r="AA115" s="70" t="s">
        <v>153</v>
      </c>
      <c r="AB115" s="70" t="s">
        <v>153</v>
      </c>
      <c r="AE115" s="15" t="s">
        <v>287</v>
      </c>
      <c r="AF115" s="15" t="str">
        <f>CONCATENATE(V105,"e")</f>
        <v>5e</v>
      </c>
      <c r="AG115" s="21" t="b">
        <f ca="1">AND(AG113&lt;&gt;"",AG114&lt;&gt;"")</f>
        <v>0</v>
      </c>
      <c r="BD115" s="15"/>
      <c r="BI115" s="118">
        <f t="shared" si="46"/>
        <v>42442</v>
      </c>
      <c r="BK115" s="119"/>
      <c r="BL115" s="119"/>
      <c r="BM115" s="119"/>
      <c r="BN115" s="119"/>
    </row>
    <row r="116" spans="1:66" ht="15" customHeight="1" x14ac:dyDescent="0.3">
      <c r="A116" s="864"/>
      <c r="B116" s="122"/>
      <c r="C116" s="865"/>
      <c r="D116" s="865"/>
      <c r="E116" s="865"/>
      <c r="F116" s="865"/>
      <c r="G116" s="865"/>
      <c r="H116" s="865"/>
      <c r="I116" s="865"/>
      <c r="J116" s="865"/>
      <c r="K116" s="865"/>
      <c r="L116" s="865"/>
      <c r="M116" s="865"/>
      <c r="N116" s="865"/>
      <c r="O116" s="865"/>
      <c r="W116" s="15" t="s">
        <v>319</v>
      </c>
      <c r="X116" s="18" t="b">
        <v>0</v>
      </c>
      <c r="Y116" s="72" t="s">
        <v>289</v>
      </c>
      <c r="Z116" s="16" t="str">
        <f ca="1">IF(AND(AJ108,AJ109,X116,Y116&lt;&gt;""),CONCATENATE(VLOOKUP(CONCATENATE(AG108,AG109),INDIRECT(CONCATENATE("games.",Y116)),9,FALSE),VLOOKUP(CONCATENATE(AG108,AG109),INDIRECT(CONCATENATE("games.",Y116)),12,FALSE)),"")</f>
        <v/>
      </c>
      <c r="AA116" s="16" t="str">
        <f ca="1">IF(AND(AJ108,AJ109,X116,Y116&lt;&gt;""),VLOOKUP(CONCATENATE(AG108,AG109),INDIRECT(CONCATENATE("games.",Y116)),10,FALSE),"")</f>
        <v/>
      </c>
      <c r="AB116" s="54" t="str">
        <f ca="1">IF(AND(AJ108,AJ109,X116,Y116&lt;&gt;""),VLOOKUP(CONCATENATE(AG108,AG109),INDIRECT(CONCATENATE("games.",Y116)),13,FALSE),"")</f>
        <v/>
      </c>
      <c r="BD116" s="15"/>
      <c r="BI116" s="118">
        <f t="shared" si="46"/>
        <v>42443</v>
      </c>
      <c r="BK116" s="119"/>
      <c r="BL116" s="119"/>
      <c r="BM116" s="119"/>
      <c r="BN116" s="119"/>
    </row>
    <row r="117" spans="1:66" ht="15" customHeight="1" x14ac:dyDescent="0.3">
      <c r="A117" s="864"/>
      <c r="B117" s="122"/>
      <c r="C117" s="866"/>
      <c r="D117" s="866"/>
      <c r="E117" s="866"/>
      <c r="F117" s="866"/>
      <c r="G117" s="866"/>
      <c r="H117" s="866"/>
      <c r="I117" s="866"/>
      <c r="J117" s="866"/>
      <c r="K117" s="866"/>
      <c r="L117" s="866"/>
      <c r="M117" s="866"/>
      <c r="N117" s="866"/>
      <c r="O117" s="866"/>
      <c r="Z117" s="16" t="str">
        <f ca="1">IF(AND(AJ108,AJ109,X116,Y116&lt;&gt;""),CONCATENATE(VLOOKUP(CONCATENATE(AG109,AG108),INDIRECT(CONCATENATE("games.",Y116)),9,FALSE),VLOOKUP(CONCATENATE(AG109,AG108),INDIRECT(CONCATENATE("games.",Y116)),12,FALSE)),"")</f>
        <v/>
      </c>
      <c r="AA117" s="16" t="str">
        <f ca="1">IF(AND(AJ108,AJ109,X116,Y116&lt;&gt;""),VLOOKUP(CONCATENATE(AG109,AG108),INDIRECT(CONCATENATE("games.",Y116)),10,FALSE),"")</f>
        <v/>
      </c>
      <c r="AB117" s="54" t="str">
        <f ca="1">IF(AND(AJ108,AJ109,X116,Y116&lt;&gt;""),VLOOKUP(CONCATENATE(AG109,AG108),INDIRECT(CONCATENATE("games.",Y116)),13,FALSE),"")</f>
        <v/>
      </c>
      <c r="BD117" s="15"/>
      <c r="BI117" s="118">
        <f t="shared" si="46"/>
        <v>42444</v>
      </c>
      <c r="BK117" s="119"/>
      <c r="BL117" s="119"/>
      <c r="BM117" s="119"/>
      <c r="BN117" s="119"/>
    </row>
    <row r="118" spans="1:66" ht="15" customHeight="1" x14ac:dyDescent="0.3">
      <c r="A118" s="864"/>
      <c r="B118" s="122"/>
      <c r="C118" s="866"/>
      <c r="D118" s="866"/>
      <c r="E118" s="866"/>
      <c r="F118" s="866"/>
      <c r="G118" s="866"/>
      <c r="H118" s="866"/>
      <c r="I118" s="866"/>
      <c r="J118" s="866"/>
      <c r="K118" s="866"/>
      <c r="L118" s="866"/>
      <c r="M118" s="866"/>
      <c r="N118" s="866"/>
      <c r="O118" s="866"/>
      <c r="BD118" s="15"/>
      <c r="BI118" s="118">
        <f t="shared" si="46"/>
        <v>42445</v>
      </c>
      <c r="BK118" s="119"/>
      <c r="BL118" s="119"/>
      <c r="BM118" s="119"/>
      <c r="BN118" s="119"/>
    </row>
    <row r="119" spans="1:66" ht="15" customHeight="1" x14ac:dyDescent="0.3">
      <c r="A119" s="864"/>
      <c r="B119" s="122"/>
      <c r="C119" s="106"/>
      <c r="D119" s="123"/>
      <c r="E119" s="124"/>
      <c r="F119" s="125"/>
      <c r="G119" s="123"/>
      <c r="H119" s="114"/>
      <c r="I119" s="123"/>
      <c r="J119" s="125"/>
      <c r="K119" s="123"/>
      <c r="L119" s="114"/>
      <c r="M119" s="123"/>
      <c r="N119" s="123"/>
      <c r="O119" s="123"/>
      <c r="U119" s="10"/>
      <c r="V119" s="128"/>
      <c r="W119" s="129"/>
      <c r="X119" s="10"/>
      <c r="Y119" s="130"/>
      <c r="Z119" s="130"/>
      <c r="AA119" s="130"/>
      <c r="AB119" s="130"/>
      <c r="AC119" s="130"/>
      <c r="AD119" s="130"/>
      <c r="AE119" s="130"/>
      <c r="AF119" s="130"/>
      <c r="AG119" s="130"/>
      <c r="AH119" s="130"/>
      <c r="AI119" s="130"/>
      <c r="AJ119" s="130"/>
      <c r="AK119" s="130"/>
      <c r="AL119" s="130"/>
      <c r="AM119" s="10"/>
      <c r="AO119" s="131"/>
      <c r="AP119" s="131"/>
      <c r="AQ119" s="132"/>
      <c r="AR119" s="132"/>
      <c r="AS119" s="132"/>
      <c r="AT119" s="131"/>
      <c r="AU119" s="131"/>
      <c r="AV119" s="131"/>
      <c r="AW119" s="132"/>
      <c r="AX119" s="132"/>
      <c r="AY119" s="131"/>
      <c r="AZ119" s="131"/>
      <c r="BA119" s="131"/>
      <c r="BD119" s="15"/>
      <c r="BI119" s="118">
        <f t="shared" si="46"/>
        <v>42446</v>
      </c>
      <c r="BK119" s="119"/>
      <c r="BL119" s="119"/>
      <c r="BM119" s="119"/>
      <c r="BN119" s="119"/>
    </row>
    <row r="120" spans="1:66" ht="15" customHeight="1" x14ac:dyDescent="0.3">
      <c r="A120" s="864"/>
      <c r="B120" s="88"/>
      <c r="C120" s="89"/>
      <c r="D120" s="90"/>
      <c r="BI120" s="118">
        <f t="shared" si="46"/>
        <v>42447</v>
      </c>
      <c r="BM120" s="119"/>
    </row>
    <row r="121" spans="1:66" ht="15" customHeight="1" x14ac:dyDescent="0.3">
      <c r="A121" s="864"/>
      <c r="B121" s="147"/>
      <c r="C121" s="149">
        <f>V121</f>
        <v>6</v>
      </c>
      <c r="D121" s="150" t="str">
        <f>UPPER(W121)</f>
        <v>RÁJÁTSZÁS A 3. HELYÉRT</v>
      </c>
      <c r="E121" s="151"/>
      <c r="F121" s="151"/>
      <c r="G121" s="151"/>
      <c r="H121" s="151"/>
      <c r="I121" s="151"/>
      <c r="J121" s="151"/>
      <c r="K121" s="151"/>
      <c r="L121" s="151"/>
      <c r="M121" s="138"/>
      <c r="N121" s="151"/>
      <c r="O121" s="161" t="str">
        <f ca="1">IF(NOT(AG131),"","A PÁRHARC GYŐZTESE: "&amp;UPPER(AG129))</f>
        <v/>
      </c>
      <c r="P121" s="152" t="str">
        <f>IF(NOT(Y129),"",CONCATENATE("A PÁRHARC GYŐZTESE: ",AH127," "))</f>
        <v/>
      </c>
      <c r="Q121" s="148" t="str">
        <f>IF(NOT(Z129),"",CONCATENATE("A PÁRHARC GYŐZTESE: ",AJ127," "))</f>
        <v/>
      </c>
      <c r="R121" s="148" t="str">
        <f>IF(NOT(AA129),"",CONCATENATE("A PÁRHARC GYŐZTESE: ",AK127," "))</f>
        <v/>
      </c>
      <c r="S121" s="148" t="str">
        <f>IF(NOT(AB129),"",CONCATENATE("A PÁRHARC GYŐZTESE: ",AL127," "))</f>
        <v/>
      </c>
      <c r="V121" s="21">
        <f>V105+1</f>
        <v>6</v>
      </c>
      <c r="W121" s="95" t="s">
        <v>337</v>
      </c>
      <c r="X121" s="96"/>
      <c r="Y121" s="96"/>
      <c r="Z121" s="96"/>
      <c r="AA121" s="96"/>
      <c r="AB121" s="96"/>
      <c r="AC121" s="96"/>
      <c r="AD121" s="96"/>
      <c r="AE121" s="96"/>
      <c r="AF121" s="96"/>
      <c r="AG121" s="96"/>
      <c r="AH121" s="96"/>
      <c r="AI121" s="96"/>
      <c r="AJ121" s="96"/>
      <c r="AK121" s="96"/>
      <c r="AL121" s="97"/>
      <c r="AY121" s="13" t="s">
        <v>326</v>
      </c>
      <c r="AZ121" s="13" t="s">
        <v>325</v>
      </c>
      <c r="BD121" s="142"/>
      <c r="BH121" s="98"/>
      <c r="BI121" s="118">
        <f t="shared" si="46"/>
        <v>42448</v>
      </c>
      <c r="BJ121" s="98"/>
      <c r="BK121" s="99"/>
      <c r="BL121" s="99"/>
      <c r="BM121" s="119"/>
    </row>
    <row r="122" spans="1:66" ht="11.25" customHeight="1" x14ac:dyDescent="0.3">
      <c r="A122" s="864"/>
      <c r="C122" s="101"/>
      <c r="D122" s="102"/>
      <c r="E122" s="103"/>
      <c r="F122" s="58"/>
      <c r="G122" s="104"/>
      <c r="H122" s="60"/>
      <c r="I122" s="146"/>
      <c r="J122" s="107"/>
      <c r="K122" s="160" t="str">
        <f ca="1">IF(OR(AU123,AU124,AU125,AU126,AU127,AU128,AU129),"BÜNTETŐK","")</f>
        <v/>
      </c>
      <c r="L122" s="110"/>
      <c r="M122" s="158" t="s">
        <v>286</v>
      </c>
      <c r="N122" s="159"/>
      <c r="O122" s="158" t="s">
        <v>285</v>
      </c>
      <c r="AP122" s="105" t="s">
        <v>328</v>
      </c>
      <c r="AQ122" s="12" t="s">
        <v>138</v>
      </c>
      <c r="AR122" s="12" t="s">
        <v>139</v>
      </c>
      <c r="AT122" s="105" t="s">
        <v>320</v>
      </c>
      <c r="AU122" s="105" t="s">
        <v>321</v>
      </c>
      <c r="AV122" s="105" t="s">
        <v>324</v>
      </c>
      <c r="AW122" s="12" t="s">
        <v>322</v>
      </c>
      <c r="AX122" s="12" t="s">
        <v>323</v>
      </c>
      <c r="AY122" s="116">
        <f>IF(X132,COUNTIF(Z132:Z133,AG124)*ASZTAB!$AJ$48+COUNTIF(AA132:AB133,AG124),0)</f>
        <v>0</v>
      </c>
      <c r="AZ122" s="116">
        <f>IF(X132,COUNTIF(Z132:Z133,AG125)*ASZTAB!$AJ$48+COUNTIF(AA132:AB133,AG125),0)</f>
        <v>0</v>
      </c>
      <c r="BD122" s="142"/>
      <c r="BH122" s="98"/>
      <c r="BI122" s="118">
        <f t="shared" si="46"/>
        <v>42449</v>
      </c>
      <c r="BJ122" s="98"/>
      <c r="BK122" s="99"/>
      <c r="BL122" s="99"/>
      <c r="BM122" s="119"/>
    </row>
    <row r="123" spans="1:66" ht="15" customHeight="1" x14ac:dyDescent="0.3">
      <c r="A123" s="864"/>
      <c r="B123" s="7"/>
      <c r="C123" s="106">
        <v>1</v>
      </c>
      <c r="D123" s="137"/>
      <c r="E123" s="107" t="str">
        <f t="shared" ref="E123:E129" ca="1" si="47">IF(NOT($AP123),"",AQ123)</f>
        <v/>
      </c>
      <c r="F123" s="108"/>
      <c r="G123" s="64" t="str">
        <f t="shared" ref="G123:G129" ca="1" si="48">IF(NOT($AP123),"","–")</f>
        <v/>
      </c>
      <c r="H123" s="109"/>
      <c r="I123" s="110" t="str">
        <f t="shared" ref="I123:I129" ca="1" si="49">IF(NOT($AP123),"",AR123)</f>
        <v/>
      </c>
      <c r="J123" s="111"/>
      <c r="K123" s="112" t="str">
        <f t="shared" ref="K123:K129" ca="1" si="50">IF(AU123,"–","")</f>
        <v/>
      </c>
      <c r="L123" s="113"/>
      <c r="M123" s="153" t="str">
        <f ca="1">IF(OR(AL123="",NOT(AV123)),"",IF(AL123="p",CONCATENATE(AY123,"–",AZ123),CONCATENATE(AZ123,"–",AY123)))</f>
        <v/>
      </c>
      <c r="N123" s="110"/>
      <c r="O123" s="139"/>
      <c r="P123" s="114"/>
      <c r="Q123" s="114"/>
      <c r="R123" s="114"/>
      <c r="S123" s="114"/>
      <c r="X123" s="11" t="s">
        <v>306</v>
      </c>
      <c r="Y123" s="11" t="s">
        <v>294</v>
      </c>
      <c r="Z123" s="70" t="s">
        <v>295</v>
      </c>
      <c r="AA123" s="70" t="s">
        <v>127</v>
      </c>
      <c r="AB123" s="70" t="s">
        <v>301</v>
      </c>
      <c r="AC123" s="70" t="s">
        <v>302</v>
      </c>
      <c r="AD123" s="70" t="s">
        <v>332</v>
      </c>
      <c r="AE123" s="70" t="s">
        <v>333</v>
      </c>
      <c r="AF123" s="70" t="s">
        <v>329</v>
      </c>
      <c r="AG123" s="70" t="s">
        <v>303</v>
      </c>
      <c r="AH123" s="70" t="s">
        <v>293</v>
      </c>
      <c r="AJ123" s="71" t="s">
        <v>314</v>
      </c>
      <c r="AL123" s="18" t="s">
        <v>318</v>
      </c>
      <c r="AP123" s="115" t="b">
        <f ca="1">AND(AJ124,AJ125,AL123&lt;&gt;"")</f>
        <v>0</v>
      </c>
      <c r="AQ123" s="116" t="str">
        <f ca="1">IF(NOT(AP123),"",IF(AL123="p",AG124,AG125))</f>
        <v/>
      </c>
      <c r="AR123" s="117" t="str">
        <f ca="1">IF(NOT(AP123),"",IF(AL123="p",AG125,AG124))</f>
        <v/>
      </c>
      <c r="AT123" s="115" t="b">
        <f t="shared" ref="AT123:AT129" ca="1" si="51">AND(F123&lt;&gt;"",H123&lt;&gt;"",AP123)</f>
        <v>0</v>
      </c>
      <c r="AU123" s="115" t="b">
        <f ca="1">AND(ASZTAB!$AJ$42,AT123,F123=H123)</f>
        <v>0</v>
      </c>
      <c r="AV123" s="115" t="b">
        <f t="shared" ref="AV123:AV129" ca="1" si="52">OR(AND(AT123,NOT(AU123),F123&lt;&gt;H123),AND(AT123,AU123,J123&lt;&gt;"",L123&lt;&gt;"",J123&lt;&gt;L123))</f>
        <v>0</v>
      </c>
      <c r="AW123" s="116" t="str">
        <f t="shared" ref="AW123:AW129" ca="1" si="53">IF(NOT(AV123),"",IF(AU123,IF(F123+J123&gt;H123+L123,E123,I123),IF(F123&gt;H123,E123,I123)))</f>
        <v/>
      </c>
      <c r="AX123" s="117" t="str">
        <f t="shared" ref="AX123:AX129" ca="1" si="54">IF(NOT(AV123),"",IF(AW123=E123,I123,IF(AW123=I123,E123,"")))</f>
        <v/>
      </c>
      <c r="AY123" s="116" t="str">
        <f ca="1">IF(NOT(AV123),"",IF(AG124=AW123,X128,0)+AY122)</f>
        <v/>
      </c>
      <c r="AZ123" s="116" t="str">
        <f ca="1">IF(NOT(AV123),"",IF(AG125=AW123,X128,0)+AZ122)</f>
        <v/>
      </c>
      <c r="BD123" s="142"/>
      <c r="BI123" s="118">
        <f t="shared" si="46"/>
        <v>42450</v>
      </c>
      <c r="BK123" s="99"/>
      <c r="BL123" s="119"/>
      <c r="BM123" s="119"/>
    </row>
    <row r="124" spans="1:66" ht="15" customHeight="1" x14ac:dyDescent="0.3">
      <c r="A124" s="864"/>
      <c r="B124" s="7"/>
      <c r="C124" s="106">
        <v>2</v>
      </c>
      <c r="D124" s="137"/>
      <c r="E124" s="107" t="str">
        <f t="shared" ca="1" si="47"/>
        <v/>
      </c>
      <c r="F124" s="108"/>
      <c r="G124" s="64" t="str">
        <f t="shared" ca="1" si="48"/>
        <v/>
      </c>
      <c r="H124" s="109"/>
      <c r="I124" s="110" t="str">
        <f t="shared" ca="1" si="49"/>
        <v/>
      </c>
      <c r="J124" s="111"/>
      <c r="K124" s="112" t="str">
        <f t="shared" ca="1" si="50"/>
        <v/>
      </c>
      <c r="L124" s="113"/>
      <c r="M124" s="153" t="str">
        <f t="shared" ref="M124:M129" ca="1" si="55">IF(OR(AL124="",NOT(AV124)),"",IF(AL124="p",CONCATENATE(AY124,"–",AZ124),CONCATENATE(AZ124,"–",AY124)))</f>
        <v/>
      </c>
      <c r="N124" s="110"/>
      <c r="O124" s="140"/>
      <c r="P124" s="114"/>
      <c r="Q124" s="114"/>
      <c r="R124" s="114"/>
      <c r="S124" s="114"/>
      <c r="W124" s="15" t="s">
        <v>312</v>
      </c>
      <c r="X124" s="18" t="s">
        <v>308</v>
      </c>
      <c r="Y124" s="72"/>
      <c r="Z124" s="72"/>
      <c r="AA124" s="72"/>
      <c r="AB124" s="18">
        <v>1</v>
      </c>
      <c r="AC124" s="18" t="s">
        <v>154</v>
      </c>
      <c r="AD124" s="14" t="str">
        <f ca="1">IF(NOT(AJ124),"",IF(X124=$BE$45,VLOOKUP(AA124,INDIRECT(CONCATENATE("rank.",Y124,Z124)),2,FALSE),VLOOKUP(CONCATENATE(AB124,AC124),result.e,2,FALSE)))</f>
        <v/>
      </c>
      <c r="AE124" s="18" t="s">
        <v>288</v>
      </c>
      <c r="AF124" s="120" t="str">
        <f ca="1">IF(OR(AD124="",X124=$BE$45),"",VLOOKUP(AD124,INDIRECT(CONCATENATE("rankname.",AE124)),2,FALSE))</f>
        <v/>
      </c>
      <c r="AG124" s="14" t="str">
        <f ca="1">IF(AD124="","",IF(X124=$BE$45,AD124,IF(AF124&gt;AF125,AD125,AD124)))</f>
        <v/>
      </c>
      <c r="AH124" s="120">
        <f ca="1">MAX(AY122:AY129)</f>
        <v>0</v>
      </c>
      <c r="AJ124" s="21" t="b">
        <f ca="1">IF(X124=$BE$45,IF(OR(Y124="",Z124="",AA124=""),FALSE,VLOOKUP(CONCATENATE(Y124,Z124),$BD$59:$BE$63,2,FALSE)),IF(OR(AB124="",AC124="",AE124=""),FALSE,VLOOKUP(CONCATENATE(AB124,"e"),result.e,2,FALSE)))</f>
        <v>0</v>
      </c>
      <c r="AL124" s="18" t="s">
        <v>331</v>
      </c>
      <c r="AP124" s="115" t="b">
        <f ca="1">AND(AP123,AL124&lt;&gt;"",(COUNTIF(AP123:AP123,"IGAZ")-COUNTIF(AV123:AV123,"IGAZ"))*X128+MAX(AY122:AZ123)&lt;X127)</f>
        <v>0</v>
      </c>
      <c r="AQ124" s="116" t="str">
        <f ca="1">IF(NOT(AP124),"",IF(AL124="p",AG124,AG125))</f>
        <v/>
      </c>
      <c r="AR124" s="117" t="str">
        <f ca="1">IF(NOT(AP124),"",IF(AL124="p",AG125,AG124))</f>
        <v/>
      </c>
      <c r="AT124" s="115" t="b">
        <f t="shared" ca="1" si="51"/>
        <v>0</v>
      </c>
      <c r="AU124" s="115" t="b">
        <f ca="1">AND(ASZTAB!$AJ$42,AT124,F124=H124)</f>
        <v>0</v>
      </c>
      <c r="AV124" s="115" t="b">
        <f t="shared" ca="1" si="52"/>
        <v>0</v>
      </c>
      <c r="AW124" s="116" t="str">
        <f t="shared" ca="1" si="53"/>
        <v/>
      </c>
      <c r="AX124" s="117" t="str">
        <f t="shared" ca="1" si="54"/>
        <v/>
      </c>
      <c r="AY124" s="116" t="str">
        <f ca="1">IF(OR(AY123="",NOT(AV124)),"",IF(AG124=AW124,X128,0)+AY123)</f>
        <v/>
      </c>
      <c r="AZ124" s="116" t="str">
        <f ca="1">IF(OR(AZ123="",NOT(AV124)),"",IF(AG125=AW124,X128,0)+AZ123)</f>
        <v/>
      </c>
      <c r="BD124" s="142"/>
      <c r="BI124" s="118">
        <f t="shared" si="46"/>
        <v>42451</v>
      </c>
      <c r="BK124" s="99"/>
      <c r="BM124" s="119"/>
    </row>
    <row r="125" spans="1:66" ht="15" customHeight="1" x14ac:dyDescent="0.3">
      <c r="A125" s="864"/>
      <c r="B125" s="7"/>
      <c r="C125" s="106">
        <v>3</v>
      </c>
      <c r="D125" s="137"/>
      <c r="E125" s="107" t="str">
        <f t="shared" ca="1" si="47"/>
        <v/>
      </c>
      <c r="F125" s="108"/>
      <c r="G125" s="64" t="str">
        <f t="shared" ca="1" si="48"/>
        <v/>
      </c>
      <c r="H125" s="109"/>
      <c r="I125" s="110" t="str">
        <f t="shared" ca="1" si="49"/>
        <v/>
      </c>
      <c r="J125" s="111"/>
      <c r="K125" s="112" t="str">
        <f t="shared" ca="1" si="50"/>
        <v/>
      </c>
      <c r="L125" s="113"/>
      <c r="M125" s="153" t="str">
        <f t="shared" ca="1" si="55"/>
        <v/>
      </c>
      <c r="N125" s="110"/>
      <c r="O125" s="140"/>
      <c r="P125" s="114"/>
      <c r="Q125" s="114"/>
      <c r="R125" s="114"/>
      <c r="S125" s="114"/>
      <c r="W125" s="15" t="s">
        <v>313</v>
      </c>
      <c r="X125" s="18" t="s">
        <v>308</v>
      </c>
      <c r="Y125" s="72"/>
      <c r="Z125" s="72"/>
      <c r="AA125" s="72"/>
      <c r="AB125" s="18">
        <v>2</v>
      </c>
      <c r="AC125" s="18" t="s">
        <v>154</v>
      </c>
      <c r="AD125" s="14" t="str">
        <f ca="1">IF(NOT(AJ125),"",IF(X125=$BE$45,VLOOKUP(AA125,INDIRECT(CONCATENATE("rank.",Y125,Z125)),2,FALSE),VLOOKUP(CONCATENATE(AB125,AC125),result.e,2,FALSE)))</f>
        <v/>
      </c>
      <c r="AE125" s="18" t="s">
        <v>288</v>
      </c>
      <c r="AF125" s="120" t="str">
        <f ca="1">IF(OR(AD125="",X125=$BE$45),"",VLOOKUP(AD125,INDIRECT(CONCATENATE("rankname.",AE125)),2,FALSE))</f>
        <v/>
      </c>
      <c r="AG125" s="14" t="str">
        <f ca="1">IF(AD125="","",IF(X125=$BE$45,AD125,IF(AF124&gt;AF125,AD124,AD125)))</f>
        <v/>
      </c>
      <c r="AH125" s="120">
        <f ca="1">MAX(AZ122:AZ129)</f>
        <v>0</v>
      </c>
      <c r="AJ125" s="21" t="b">
        <f ca="1">IF(X125=$BE$45,IF(OR(Y125="",Z125="",AA125=""),FALSE,VLOOKUP(CONCATENATE(Y125,Z125),$BD$59:$BE$63,2,FALSE)),IF(OR(AB125="",AC125="",AE125=""),FALSE,VLOOKUP(CONCATENATE(AB125,"e"),result.e,2,FALSE)))</f>
        <v>0</v>
      </c>
      <c r="AL125" s="18" t="s">
        <v>318</v>
      </c>
      <c r="AP125" s="115" t="b">
        <f ca="1">AND(AP124,AL125&lt;&gt;"",(COUNTIF(AP123:AP124,"IGAZ")-COUNTIF(AV123:AV124,"IGAZ"))*X128+MAX(AY122:AZ124)&lt;X127)</f>
        <v>0</v>
      </c>
      <c r="AQ125" s="116" t="str">
        <f ca="1">IF(NOT(AP125),"",IF(AL125="p",AG124,AG125))</f>
        <v/>
      </c>
      <c r="AR125" s="117" t="str">
        <f ca="1">IF(NOT(AP125),"",IF(AL125="p",AG125,AG124))</f>
        <v/>
      </c>
      <c r="AT125" s="115" t="b">
        <f t="shared" ca="1" si="51"/>
        <v>0</v>
      </c>
      <c r="AU125" s="115" t="b">
        <f ca="1">AND(ASZTAB!$AJ$42,AT125,F125=H125)</f>
        <v>0</v>
      </c>
      <c r="AV125" s="115" t="b">
        <f t="shared" ca="1" si="52"/>
        <v>0</v>
      </c>
      <c r="AW125" s="116" t="str">
        <f t="shared" ca="1" si="53"/>
        <v/>
      </c>
      <c r="AX125" s="117" t="str">
        <f t="shared" ca="1" si="54"/>
        <v/>
      </c>
      <c r="AY125" s="116" t="str">
        <f ca="1">IF(OR(AY124="",NOT(AV125)),"",IF(AG124=AW125,X128,0)+AY124)</f>
        <v/>
      </c>
      <c r="AZ125" s="116" t="str">
        <f ca="1">IF(OR(AZ124="",NOT(AV125)),"",IF(AG125=AW125,X128,0)+AZ124)</f>
        <v/>
      </c>
      <c r="BD125" s="142"/>
      <c r="BI125" s="118">
        <f t="shared" si="46"/>
        <v>42452</v>
      </c>
      <c r="BM125" s="119"/>
      <c r="BN125" s="119"/>
    </row>
    <row r="126" spans="1:66" ht="15" customHeight="1" x14ac:dyDescent="0.3">
      <c r="A126" s="864"/>
      <c r="B126" s="7"/>
      <c r="C126" s="106">
        <v>4</v>
      </c>
      <c r="D126" s="137"/>
      <c r="E126" s="107" t="str">
        <f t="shared" ca="1" si="47"/>
        <v/>
      </c>
      <c r="F126" s="108"/>
      <c r="G126" s="64" t="str">
        <f t="shared" ca="1" si="48"/>
        <v/>
      </c>
      <c r="H126" s="109"/>
      <c r="I126" s="110" t="str">
        <f t="shared" ca="1" si="49"/>
        <v/>
      </c>
      <c r="J126" s="111"/>
      <c r="K126" s="112" t="str">
        <f t="shared" ca="1" si="50"/>
        <v/>
      </c>
      <c r="L126" s="113"/>
      <c r="M126" s="153" t="str">
        <f t="shared" ca="1" si="55"/>
        <v/>
      </c>
      <c r="N126" s="110"/>
      <c r="O126" s="140"/>
      <c r="P126" s="114"/>
      <c r="Q126" s="114"/>
      <c r="AL126" s="18" t="s">
        <v>331</v>
      </c>
      <c r="AP126" s="115" t="b">
        <f ca="1">AND(AP125,AL126&lt;&gt;"",(COUNTIF(AP123:AP125,"IGAZ")-COUNTIF(AV123:AV125,"IGAZ"))*X128+MAX(AY122:AZ125)&lt;X127)</f>
        <v>0</v>
      </c>
      <c r="AQ126" s="116" t="str">
        <f ca="1">IF(NOT(AP126),"",IF(AL126="p",AG124,AG125))</f>
        <v/>
      </c>
      <c r="AR126" s="117" t="str">
        <f ca="1">IF(NOT(AP126),"",IF(AL126="p",AG125,AG124))</f>
        <v/>
      </c>
      <c r="AT126" s="115" t="b">
        <f t="shared" ca="1" si="51"/>
        <v>0</v>
      </c>
      <c r="AU126" s="115" t="b">
        <f ca="1">AND(ASZTAB!$AJ$42,AT126,F126=H126)</f>
        <v>0</v>
      </c>
      <c r="AV126" s="115" t="b">
        <f t="shared" ca="1" si="52"/>
        <v>0</v>
      </c>
      <c r="AW126" s="116" t="str">
        <f t="shared" ca="1" si="53"/>
        <v/>
      </c>
      <c r="AX126" s="117" t="str">
        <f t="shared" ca="1" si="54"/>
        <v/>
      </c>
      <c r="AY126" s="116" t="str">
        <f ca="1">IF(OR(AY125="",NOT(AV126)),"",IF(AG124=AW126,X128,0)+AY125)</f>
        <v/>
      </c>
      <c r="AZ126" s="116" t="str">
        <f ca="1">IF(OR(AZ125="",NOT(AV126)),"",IF(AG125=AW126,X128,0)+AZ125)</f>
        <v/>
      </c>
      <c r="BD126" s="142"/>
      <c r="BI126" s="118">
        <f t="shared" si="46"/>
        <v>42453</v>
      </c>
      <c r="BM126" s="119"/>
    </row>
    <row r="127" spans="1:66" ht="15" customHeight="1" x14ac:dyDescent="0.3">
      <c r="A127" s="864"/>
      <c r="B127" s="121"/>
      <c r="C127" s="106">
        <v>5</v>
      </c>
      <c r="D127" s="137"/>
      <c r="E127" s="107" t="str">
        <f t="shared" ca="1" si="47"/>
        <v/>
      </c>
      <c r="F127" s="108"/>
      <c r="G127" s="64" t="str">
        <f t="shared" ca="1" si="48"/>
        <v/>
      </c>
      <c r="H127" s="109"/>
      <c r="I127" s="110" t="str">
        <f t="shared" ca="1" si="49"/>
        <v/>
      </c>
      <c r="J127" s="111"/>
      <c r="K127" s="112" t="str">
        <f t="shared" ca="1" si="50"/>
        <v/>
      </c>
      <c r="L127" s="113"/>
      <c r="M127" s="153" t="str">
        <f t="shared" ca="1" si="55"/>
        <v/>
      </c>
      <c r="N127" s="110"/>
      <c r="O127" s="140"/>
      <c r="P127" s="114"/>
      <c r="Q127" s="114"/>
      <c r="R127" s="114"/>
      <c r="S127" s="114"/>
      <c r="W127" s="15" t="s">
        <v>315</v>
      </c>
      <c r="X127" s="18">
        <v>3</v>
      </c>
      <c r="AD127" s="15"/>
      <c r="AE127" s="15" t="s">
        <v>312</v>
      </c>
      <c r="AF127" s="15" t="str">
        <f>CONCATENATE(V121,"f")</f>
        <v>6f</v>
      </c>
      <c r="AG127" s="16" t="str">
        <f ca="1">IF(OR(NOT(AJ124),NOT(AJ125)),"",AD124)</f>
        <v/>
      </c>
      <c r="AH127" s="23" t="str">
        <f ca="1">IF(OR(NOT(AJ124),NOT(AJ125)),"",VLOOKUP(AG127,AG124:AH125,2,FALSE))</f>
        <v/>
      </c>
      <c r="AL127" s="18" t="s">
        <v>318</v>
      </c>
      <c r="AP127" s="115" t="b">
        <f ca="1">AND(AP126,AL127&lt;&gt;"",(COUNTIF(AP123:AP126,"IGAZ")-COUNTIF(AV123:AV126,"IGAZ"))*X128+MAX(AY122:AZ126)&lt;X127)</f>
        <v>0</v>
      </c>
      <c r="AQ127" s="116" t="str">
        <f ca="1">IF(NOT(AP127),"",IF(AL127="p",AG124,AG125))</f>
        <v/>
      </c>
      <c r="AR127" s="117" t="str">
        <f ca="1">IF(NOT(AP127),"",IF(AL127="p",AG125,AG124))</f>
        <v/>
      </c>
      <c r="AT127" s="115" t="b">
        <f t="shared" ca="1" si="51"/>
        <v>0</v>
      </c>
      <c r="AU127" s="115" t="b">
        <f ca="1">AND(ASZTAB!$AJ$42,AT127,F127=H127)</f>
        <v>0</v>
      </c>
      <c r="AV127" s="115" t="b">
        <f t="shared" ca="1" si="52"/>
        <v>0</v>
      </c>
      <c r="AW127" s="116" t="str">
        <f t="shared" ca="1" si="53"/>
        <v/>
      </c>
      <c r="AX127" s="117" t="str">
        <f t="shared" ca="1" si="54"/>
        <v/>
      </c>
      <c r="AY127" s="116" t="str">
        <f ca="1">IF(OR(AY126="",NOT(AV127)),"",IF(AG124=AW127,X128,0)+AY126)</f>
        <v/>
      </c>
      <c r="AZ127" s="116" t="str">
        <f ca="1">IF(OR(AZ126="",NOT(AV127)),"",IF(AG125=AW127,X128,0)+AZ126)</f>
        <v/>
      </c>
      <c r="BD127" s="142"/>
      <c r="BI127" s="118">
        <f t="shared" si="46"/>
        <v>42454</v>
      </c>
      <c r="BK127" s="119"/>
      <c r="BL127" s="119"/>
      <c r="BM127" s="119"/>
    </row>
    <row r="128" spans="1:66" ht="15" customHeight="1" x14ac:dyDescent="0.3">
      <c r="A128" s="864"/>
      <c r="B128" s="122"/>
      <c r="C128" s="106">
        <v>6</v>
      </c>
      <c r="D128" s="137"/>
      <c r="E128" s="107" t="str">
        <f t="shared" ca="1" si="47"/>
        <v/>
      </c>
      <c r="F128" s="108"/>
      <c r="G128" s="64" t="str">
        <f t="shared" ca="1" si="48"/>
        <v/>
      </c>
      <c r="H128" s="109"/>
      <c r="I128" s="110" t="str">
        <f t="shared" ca="1" si="49"/>
        <v/>
      </c>
      <c r="J128" s="111"/>
      <c r="K128" s="112" t="str">
        <f t="shared" ca="1" si="50"/>
        <v/>
      </c>
      <c r="L128" s="113"/>
      <c r="M128" s="8" t="str">
        <f t="shared" ca="1" si="55"/>
        <v/>
      </c>
      <c r="N128" s="123"/>
      <c r="O128" s="141"/>
      <c r="W128" s="15" t="s">
        <v>327</v>
      </c>
      <c r="X128" s="18">
        <v>1</v>
      </c>
      <c r="AD128" s="15"/>
      <c r="AE128" s="15" t="s">
        <v>313</v>
      </c>
      <c r="AF128" s="15" t="str">
        <f>CONCATENATE(V121,"a")</f>
        <v>6a</v>
      </c>
      <c r="AG128" s="16" t="str">
        <f ca="1">IF(OR(NOT(AJ124),NOT(AJ125)),"",AD125)</f>
        <v/>
      </c>
      <c r="AH128" s="23" t="str">
        <f ca="1">IF(OR(NOT(AJ124),NOT(AJ125)),"",VLOOKUP(AG128,AG124:AH125,2,FALSE))</f>
        <v/>
      </c>
      <c r="AL128" s="18" t="s">
        <v>331</v>
      </c>
      <c r="AP128" s="115" t="b">
        <f ca="1">AND(AP127,AL128&lt;&gt;"",(COUNTIF(AP123:AP127,"IGAZ")-COUNTIF(AV123:AV127,"IGAZ"))*X128+MAX(AY122:AZ127)&lt;X127)</f>
        <v>0</v>
      </c>
      <c r="AQ128" s="116" t="str">
        <f ca="1">IF(NOT(AP128),"",IF(AL128="p",AG124,AG125))</f>
        <v/>
      </c>
      <c r="AR128" s="117" t="str">
        <f ca="1">IF(NOT(AP128),"",IF(AL128="p",AG125,AG124))</f>
        <v/>
      </c>
      <c r="AT128" s="115" t="b">
        <f t="shared" ca="1" si="51"/>
        <v>0</v>
      </c>
      <c r="AU128" s="115" t="b">
        <f ca="1">AND(ASZTAB!$AJ$42,AT128,F128=H128)</f>
        <v>0</v>
      </c>
      <c r="AV128" s="115" t="b">
        <f t="shared" ca="1" si="52"/>
        <v>0</v>
      </c>
      <c r="AW128" s="116" t="str">
        <f t="shared" ca="1" si="53"/>
        <v/>
      </c>
      <c r="AX128" s="117" t="str">
        <f t="shared" ca="1" si="54"/>
        <v/>
      </c>
      <c r="AY128" s="116" t="str">
        <f ca="1">IF(OR(AY127="",NOT(AV128)),"",IF(AG124=AW128,X128,0)+AY127)</f>
        <v/>
      </c>
      <c r="AZ128" s="116" t="str">
        <f ca="1">IF(OR(AZ127="",NOT(AV128)),"",IF(AG125=AW128,X128,0)+AZ127)</f>
        <v/>
      </c>
      <c r="BD128" s="142"/>
      <c r="BI128" s="118">
        <f t="shared" si="46"/>
        <v>42455</v>
      </c>
      <c r="BK128" s="119"/>
      <c r="BL128" s="119"/>
      <c r="BM128" s="119"/>
    </row>
    <row r="129" spans="1:66" ht="15" customHeight="1" x14ac:dyDescent="0.3">
      <c r="A129" s="864"/>
      <c r="B129" s="122"/>
      <c r="C129" s="106">
        <v>7</v>
      </c>
      <c r="D129" s="137"/>
      <c r="E129" s="107" t="str">
        <f t="shared" ca="1" si="47"/>
        <v/>
      </c>
      <c r="F129" s="108"/>
      <c r="G129" s="64" t="str">
        <f t="shared" ca="1" si="48"/>
        <v/>
      </c>
      <c r="H129" s="109"/>
      <c r="I129" s="110" t="str">
        <f t="shared" ca="1" si="49"/>
        <v/>
      </c>
      <c r="J129" s="111"/>
      <c r="K129" s="112" t="str">
        <f t="shared" ca="1" si="50"/>
        <v/>
      </c>
      <c r="L129" s="113"/>
      <c r="M129" s="8" t="str">
        <f t="shared" ca="1" si="55"/>
        <v/>
      </c>
      <c r="N129" s="123"/>
      <c r="O129" s="141"/>
      <c r="AE129" s="15" t="s">
        <v>316</v>
      </c>
      <c r="AF129" s="15" t="str">
        <f>CONCATENATE(V121,"w")</f>
        <v>6w</v>
      </c>
      <c r="AG129" s="16" t="str">
        <f ca="1">IF(AND(AJ124,AJ125),IF(MAX(AY123:AY129)&gt;=X127,AG124,IF(MAX(AZ123:AZ129)&gt;=X127,AG125,"")),"")</f>
        <v/>
      </c>
      <c r="AL129" s="18" t="s">
        <v>318</v>
      </c>
      <c r="AP129" s="115" t="b">
        <f ca="1">AND(AP128,AL129&lt;&gt;"",(COUNTIF(AP123:AP128,"IGAZ")-COUNTIF(AV123:AV128,"IGAZ"))*X128+MAX(AY122:AZ128)&lt;X127)</f>
        <v>0</v>
      </c>
      <c r="AQ129" s="116" t="str">
        <f ca="1">IF(NOT(AP129),"",IF(AL129="p",AG124,AG125))</f>
        <v/>
      </c>
      <c r="AR129" s="117" t="str">
        <f ca="1">IF(NOT(AP129),"",IF(AL129="p",AG125,AG124))</f>
        <v/>
      </c>
      <c r="AT129" s="115" t="b">
        <f t="shared" ca="1" si="51"/>
        <v>0</v>
      </c>
      <c r="AU129" s="115" t="b">
        <f ca="1">AND(ASZTAB!$AJ$42,AT129,F129=H129)</f>
        <v>0</v>
      </c>
      <c r="AV129" s="115" t="b">
        <f t="shared" ca="1" si="52"/>
        <v>0</v>
      </c>
      <c r="AW129" s="116" t="str">
        <f t="shared" ca="1" si="53"/>
        <v/>
      </c>
      <c r="AX129" s="117" t="str">
        <f t="shared" ca="1" si="54"/>
        <v/>
      </c>
      <c r="AY129" s="116" t="str">
        <f ca="1">IF(OR(AY128="",NOT(AV129)),"",IF(AG124=AW129,X128,0)+AY128)</f>
        <v/>
      </c>
      <c r="AZ129" s="116" t="str">
        <f ca="1">IF(OR(AZ128="",NOT(AV129)),"",IF(AG125=AW129,X128,0)+AZ128)</f>
        <v/>
      </c>
      <c r="BD129" s="142"/>
      <c r="BI129" s="118">
        <f t="shared" si="46"/>
        <v>42456</v>
      </c>
      <c r="BK129" s="119"/>
      <c r="BL129" s="119"/>
      <c r="BM129" s="119"/>
      <c r="BN129" s="119"/>
    </row>
    <row r="130" spans="1:66" ht="15" customHeight="1" x14ac:dyDescent="0.3">
      <c r="A130" s="864"/>
      <c r="B130" s="122"/>
      <c r="C130" s="106"/>
      <c r="D130" s="123"/>
      <c r="E130" s="124"/>
      <c r="F130" s="125"/>
      <c r="G130" s="123"/>
      <c r="H130" s="114"/>
      <c r="I130" s="123"/>
      <c r="J130" s="125"/>
      <c r="K130" s="123"/>
      <c r="L130" s="114"/>
      <c r="M130" s="123"/>
      <c r="N130" s="123"/>
      <c r="O130" s="123"/>
      <c r="AE130" s="15" t="s">
        <v>317</v>
      </c>
      <c r="AF130" s="15" t="str">
        <f>CONCATENATE(V121,"l")</f>
        <v>6l</v>
      </c>
      <c r="AG130" s="16" t="str">
        <f ca="1">IF(AG129=AG124,AG125,IF(AG125=AG129,AG124,""))</f>
        <v/>
      </c>
      <c r="AL130" s="126" t="s">
        <v>330</v>
      </c>
      <c r="BD130" s="142"/>
      <c r="BI130" s="118">
        <f t="shared" si="46"/>
        <v>42457</v>
      </c>
      <c r="BK130" s="119"/>
      <c r="BL130" s="119"/>
      <c r="BM130" s="119"/>
      <c r="BN130" s="119"/>
    </row>
    <row r="131" spans="1:66" ht="15" customHeight="1" x14ac:dyDescent="0.3">
      <c r="A131" s="864"/>
      <c r="B131" s="122"/>
      <c r="C131" s="127" t="s">
        <v>463</v>
      </c>
      <c r="D131" s="123"/>
      <c r="E131" s="124"/>
      <c r="F131" s="125"/>
      <c r="G131" s="123"/>
      <c r="H131" s="114"/>
      <c r="I131" s="123"/>
      <c r="J131" s="125"/>
      <c r="K131" s="123"/>
      <c r="L131" s="114"/>
      <c r="M131" s="123"/>
      <c r="N131" s="123"/>
      <c r="O131" s="123"/>
      <c r="Y131" s="11" t="s">
        <v>294</v>
      </c>
      <c r="Z131" s="70" t="s">
        <v>311</v>
      </c>
      <c r="AA131" s="70" t="s">
        <v>153</v>
      </c>
      <c r="AB131" s="70" t="s">
        <v>153</v>
      </c>
      <c r="AE131" s="15" t="s">
        <v>287</v>
      </c>
      <c r="AF131" s="15" t="str">
        <f>CONCATENATE(V121,"e")</f>
        <v>6e</v>
      </c>
      <c r="AG131" s="21" t="b">
        <f ca="1">AND(AG129&lt;&gt;"",AG130&lt;&gt;"")</f>
        <v>0</v>
      </c>
      <c r="BD131" s="15"/>
      <c r="BI131" s="118">
        <f t="shared" si="46"/>
        <v>42458</v>
      </c>
      <c r="BK131" s="119"/>
      <c r="BL131" s="119"/>
      <c r="BM131" s="119"/>
      <c r="BN131" s="119"/>
    </row>
    <row r="132" spans="1:66" ht="15" customHeight="1" x14ac:dyDescent="0.3">
      <c r="A132" s="864"/>
      <c r="B132" s="122"/>
      <c r="C132" s="865"/>
      <c r="D132" s="865"/>
      <c r="E132" s="865"/>
      <c r="F132" s="865"/>
      <c r="G132" s="865"/>
      <c r="H132" s="865"/>
      <c r="I132" s="865"/>
      <c r="J132" s="865"/>
      <c r="K132" s="865"/>
      <c r="L132" s="865"/>
      <c r="M132" s="865"/>
      <c r="N132" s="865"/>
      <c r="O132" s="865"/>
      <c r="W132" s="15" t="s">
        <v>319</v>
      </c>
      <c r="X132" s="18" t="b">
        <v>0</v>
      </c>
      <c r="Y132" s="72" t="s">
        <v>289</v>
      </c>
      <c r="Z132" s="16" t="str">
        <f ca="1">IF(AND(AJ124,AJ125,X132,Y132&lt;&gt;""),CONCATENATE(VLOOKUP(CONCATENATE(AG124,AG125),INDIRECT(CONCATENATE("games.",Y132)),9,FALSE),VLOOKUP(CONCATENATE(AG124,AG125),INDIRECT(CONCATENATE("games.",Y132)),12,FALSE)),"")</f>
        <v/>
      </c>
      <c r="AA132" s="16" t="str">
        <f ca="1">IF(AND(AJ124,AJ125,X132,Y132&lt;&gt;""),VLOOKUP(CONCATENATE(AG124,AG125),INDIRECT(CONCATENATE("games.",Y132)),10,FALSE),"")</f>
        <v/>
      </c>
      <c r="AB132" s="54" t="str">
        <f ca="1">IF(AND(AJ124,AJ125,X132,Y132&lt;&gt;""),VLOOKUP(CONCATENATE(AG124,AG125),INDIRECT(CONCATENATE("games.",Y132)),13,FALSE),"")</f>
        <v/>
      </c>
      <c r="BD132" s="15"/>
      <c r="BI132" s="118">
        <f t="shared" si="46"/>
        <v>42459</v>
      </c>
      <c r="BK132" s="119"/>
      <c r="BL132" s="119"/>
      <c r="BM132" s="119"/>
      <c r="BN132" s="119"/>
    </row>
    <row r="133" spans="1:66" ht="15" customHeight="1" x14ac:dyDescent="0.3">
      <c r="A133" s="864"/>
      <c r="B133" s="122"/>
      <c r="C133" s="866"/>
      <c r="D133" s="866"/>
      <c r="E133" s="866"/>
      <c r="F133" s="866"/>
      <c r="G133" s="866"/>
      <c r="H133" s="866"/>
      <c r="I133" s="866"/>
      <c r="J133" s="866"/>
      <c r="K133" s="866"/>
      <c r="L133" s="866"/>
      <c r="M133" s="866"/>
      <c r="N133" s="866"/>
      <c r="O133" s="866"/>
      <c r="Z133" s="16" t="str">
        <f ca="1">IF(AND(AJ124,AJ125,X132,Y132&lt;&gt;""),CONCATENATE(VLOOKUP(CONCATENATE(AG125,AG124),INDIRECT(CONCATENATE("games.",Y132)),9,FALSE),VLOOKUP(CONCATENATE(AG125,AG124),INDIRECT(CONCATENATE("games.",Y132)),12,FALSE)),"")</f>
        <v/>
      </c>
      <c r="AA133" s="16" t="str">
        <f ca="1">IF(AND(AJ124,AJ125,X132,Y132&lt;&gt;""),VLOOKUP(CONCATENATE(AG125,AG124),INDIRECT(CONCATENATE("games.",Y132)),10,FALSE),"")</f>
        <v/>
      </c>
      <c r="AB133" s="54" t="str">
        <f ca="1">IF(AND(AJ124,AJ125,X132,Y132&lt;&gt;""),VLOOKUP(CONCATENATE(AG125,AG124),INDIRECT(CONCATENATE("games.",Y132)),13,FALSE),"")</f>
        <v/>
      </c>
      <c r="BD133" s="15"/>
      <c r="BI133" s="118">
        <f t="shared" si="46"/>
        <v>42460</v>
      </c>
      <c r="BK133" s="119"/>
      <c r="BL133" s="119"/>
      <c r="BM133" s="119"/>
      <c r="BN133" s="119"/>
    </row>
    <row r="134" spans="1:66" ht="15" customHeight="1" x14ac:dyDescent="0.3">
      <c r="A134" s="864"/>
      <c r="B134" s="122"/>
      <c r="C134" s="866"/>
      <c r="D134" s="866"/>
      <c r="E134" s="866"/>
      <c r="F134" s="866"/>
      <c r="G134" s="866"/>
      <c r="H134" s="866"/>
      <c r="I134" s="866"/>
      <c r="J134" s="866"/>
      <c r="K134" s="866"/>
      <c r="L134" s="866"/>
      <c r="M134" s="866"/>
      <c r="N134" s="866"/>
      <c r="O134" s="866"/>
      <c r="BD134" s="15"/>
      <c r="BI134" s="118">
        <f t="shared" si="46"/>
        <v>42461</v>
      </c>
      <c r="BK134" s="119"/>
      <c r="BL134" s="119"/>
      <c r="BM134" s="119"/>
      <c r="BN134" s="119"/>
    </row>
    <row r="135" spans="1:66" ht="15" customHeight="1" x14ac:dyDescent="0.3">
      <c r="A135" s="864"/>
      <c r="B135" s="122"/>
      <c r="C135" s="106"/>
      <c r="D135" s="123"/>
      <c r="E135" s="124"/>
      <c r="F135" s="125"/>
      <c r="G135" s="123"/>
      <c r="H135" s="114"/>
      <c r="I135" s="123"/>
      <c r="J135" s="125"/>
      <c r="K135" s="123"/>
      <c r="L135" s="114"/>
      <c r="M135" s="123"/>
      <c r="N135" s="123"/>
      <c r="O135" s="123"/>
      <c r="U135" s="10"/>
      <c r="V135" s="128"/>
      <c r="W135" s="129"/>
      <c r="X135" s="10"/>
      <c r="Y135" s="130"/>
      <c r="Z135" s="130"/>
      <c r="AA135" s="130"/>
      <c r="AB135" s="130"/>
      <c r="AC135" s="130"/>
      <c r="AD135" s="130"/>
      <c r="AE135" s="130"/>
      <c r="AF135" s="130"/>
      <c r="AG135" s="130"/>
      <c r="AH135" s="130"/>
      <c r="AI135" s="130"/>
      <c r="AJ135" s="130"/>
      <c r="AK135" s="130"/>
      <c r="AL135" s="130"/>
      <c r="AM135" s="10"/>
      <c r="AO135" s="131"/>
      <c r="AP135" s="131"/>
      <c r="AQ135" s="132"/>
      <c r="AR135" s="132"/>
      <c r="AS135" s="132"/>
      <c r="AT135" s="131"/>
      <c r="AU135" s="131"/>
      <c r="AV135" s="131"/>
      <c r="AW135" s="132"/>
      <c r="AX135" s="132"/>
      <c r="AY135" s="131"/>
      <c r="AZ135" s="131"/>
      <c r="BA135" s="131"/>
      <c r="BD135" s="15"/>
      <c r="BI135" s="118">
        <f t="shared" si="46"/>
        <v>42462</v>
      </c>
      <c r="BK135" s="119"/>
      <c r="BL135" s="119"/>
      <c r="BM135" s="119"/>
      <c r="BN135" s="119"/>
    </row>
    <row r="136" spans="1:66" ht="15" customHeight="1" x14ac:dyDescent="0.3">
      <c r="A136" s="864"/>
      <c r="B136" s="88"/>
      <c r="C136" s="89"/>
      <c r="D136" s="90"/>
      <c r="BI136" s="118">
        <f t="shared" si="46"/>
        <v>42463</v>
      </c>
      <c r="BM136" s="119"/>
    </row>
    <row r="137" spans="1:66" ht="15" customHeight="1" x14ac:dyDescent="0.3">
      <c r="A137" s="864"/>
      <c r="B137" s="147"/>
      <c r="C137" s="149">
        <f>V137</f>
        <v>7</v>
      </c>
      <c r="D137" s="150" t="str">
        <f>UPPER(W137)</f>
        <v>RÁJÁTSZÁS AZ 5. HELYÉRT</v>
      </c>
      <c r="E137" s="151"/>
      <c r="F137" s="151"/>
      <c r="G137" s="151"/>
      <c r="H137" s="151"/>
      <c r="I137" s="151"/>
      <c r="J137" s="151"/>
      <c r="K137" s="151"/>
      <c r="L137" s="151"/>
      <c r="M137" s="138"/>
      <c r="N137" s="151"/>
      <c r="O137" s="161" t="str">
        <f ca="1">IF(NOT(AG147),"","A PÁRHARC GYŐZTESE: "&amp;UPPER(AG145))</f>
        <v/>
      </c>
      <c r="P137" s="152" t="str">
        <f>IF(NOT(Y145),"",CONCATENATE("A PÁRHARC GYŐZTESE: ",AH143," "))</f>
        <v/>
      </c>
      <c r="Q137" s="148" t="str">
        <f>IF(NOT(Z145),"",CONCATENATE("A PÁRHARC GYŐZTESE: ",AJ143," "))</f>
        <v/>
      </c>
      <c r="R137" s="148" t="str">
        <f>IF(NOT(AA145),"",CONCATENATE("A PÁRHARC GYŐZTESE: ",AK143," "))</f>
        <v/>
      </c>
      <c r="S137" s="148" t="str">
        <f>IF(NOT(AB145),"",CONCATENATE("A PÁRHARC GYŐZTESE: ",AL143," "))</f>
        <v/>
      </c>
      <c r="V137" s="21">
        <f>V121+1</f>
        <v>7</v>
      </c>
      <c r="W137" s="95" t="s">
        <v>338</v>
      </c>
      <c r="X137" s="96"/>
      <c r="Y137" s="96"/>
      <c r="Z137" s="96"/>
      <c r="AA137" s="96"/>
      <c r="AB137" s="96"/>
      <c r="AC137" s="96"/>
      <c r="AD137" s="96"/>
      <c r="AE137" s="96"/>
      <c r="AF137" s="96"/>
      <c r="AG137" s="96"/>
      <c r="AH137" s="96"/>
      <c r="AI137" s="96"/>
      <c r="AJ137" s="96"/>
      <c r="AK137" s="96"/>
      <c r="AL137" s="97"/>
      <c r="AY137" s="13" t="s">
        <v>326</v>
      </c>
      <c r="AZ137" s="13" t="s">
        <v>325</v>
      </c>
      <c r="BD137" s="142"/>
      <c r="BH137" s="98"/>
      <c r="BI137" s="118">
        <f t="shared" si="46"/>
        <v>42464</v>
      </c>
      <c r="BJ137" s="98"/>
      <c r="BK137" s="99"/>
      <c r="BL137" s="99"/>
      <c r="BM137" s="119"/>
    </row>
    <row r="138" spans="1:66" ht="11.25" customHeight="1" x14ac:dyDescent="0.3">
      <c r="A138" s="864"/>
      <c r="C138" s="101"/>
      <c r="D138" s="102"/>
      <c r="E138" s="103"/>
      <c r="F138" s="58"/>
      <c r="G138" s="104"/>
      <c r="H138" s="60"/>
      <c r="I138" s="146"/>
      <c r="J138" s="107"/>
      <c r="K138" s="160" t="str">
        <f ca="1">IF(OR(AU139,AU140,AU141,AU142,AU143,AU144,AU145),"BÜNTETŐK","")</f>
        <v/>
      </c>
      <c r="L138" s="110"/>
      <c r="M138" s="158" t="s">
        <v>286</v>
      </c>
      <c r="N138" s="159"/>
      <c r="O138" s="158" t="s">
        <v>285</v>
      </c>
      <c r="AP138" s="105" t="s">
        <v>328</v>
      </c>
      <c r="AQ138" s="12" t="s">
        <v>138</v>
      </c>
      <c r="AR138" s="12" t="s">
        <v>139</v>
      </c>
      <c r="AT138" s="105" t="s">
        <v>320</v>
      </c>
      <c r="AU138" s="105" t="s">
        <v>321</v>
      </c>
      <c r="AV138" s="105" t="s">
        <v>324</v>
      </c>
      <c r="AW138" s="12" t="s">
        <v>322</v>
      </c>
      <c r="AX138" s="12" t="s">
        <v>323</v>
      </c>
      <c r="AY138" s="116">
        <f>IF(X148,COUNTIF(Z148:Z149,AG140)*ASZTAB!$AJ$48+COUNTIF(AA148:AB149,AG140),0)</f>
        <v>0</v>
      </c>
      <c r="AZ138" s="116">
        <f>IF(X148,COUNTIF(Z148:Z149,AG141)*ASZTAB!$AJ$48+COUNTIF(AA148:AB149,AG141),0)</f>
        <v>0</v>
      </c>
      <c r="BD138" s="142"/>
      <c r="BH138" s="98"/>
      <c r="BI138" s="118">
        <f t="shared" si="46"/>
        <v>42465</v>
      </c>
      <c r="BJ138" s="98"/>
      <c r="BK138" s="99"/>
      <c r="BL138" s="99"/>
      <c r="BM138" s="119"/>
    </row>
    <row r="139" spans="1:66" ht="15" customHeight="1" x14ac:dyDescent="0.3">
      <c r="A139" s="864"/>
      <c r="B139" s="7"/>
      <c r="C139" s="106">
        <v>1</v>
      </c>
      <c r="D139" s="137"/>
      <c r="E139" s="107" t="str">
        <f t="shared" ref="E139:E145" ca="1" si="56">IF(NOT($AP139),"",AQ139)</f>
        <v/>
      </c>
      <c r="F139" s="108"/>
      <c r="G139" s="64" t="str">
        <f t="shared" ref="G139:G145" ca="1" si="57">IF(NOT($AP139),"","–")</f>
        <v/>
      </c>
      <c r="H139" s="109"/>
      <c r="I139" s="110" t="str">
        <f t="shared" ref="I139:I145" ca="1" si="58">IF(NOT($AP139),"",AR139)</f>
        <v/>
      </c>
      <c r="J139" s="111"/>
      <c r="K139" s="112" t="str">
        <f t="shared" ref="K139:K145" ca="1" si="59">IF(AU139,"–","")</f>
        <v/>
      </c>
      <c r="L139" s="113"/>
      <c r="M139" s="153" t="str">
        <f ca="1">IF(OR(AL139="",NOT(AV139)),"",IF(AL139="p",CONCATENATE(AY139,"–",AZ139),CONCATENATE(AZ139,"–",AY139)))</f>
        <v/>
      </c>
      <c r="N139" s="110"/>
      <c r="O139" s="139"/>
      <c r="P139" s="114"/>
      <c r="Q139" s="114"/>
      <c r="R139" s="114"/>
      <c r="S139" s="114"/>
      <c r="X139" s="11" t="s">
        <v>306</v>
      </c>
      <c r="Y139" s="11" t="s">
        <v>294</v>
      </c>
      <c r="Z139" s="70" t="s">
        <v>295</v>
      </c>
      <c r="AA139" s="70" t="s">
        <v>127</v>
      </c>
      <c r="AB139" s="70" t="s">
        <v>301</v>
      </c>
      <c r="AC139" s="70" t="s">
        <v>302</v>
      </c>
      <c r="AD139" s="70" t="s">
        <v>332</v>
      </c>
      <c r="AE139" s="70" t="s">
        <v>333</v>
      </c>
      <c r="AF139" s="70" t="s">
        <v>329</v>
      </c>
      <c r="AG139" s="70" t="s">
        <v>303</v>
      </c>
      <c r="AH139" s="70" t="s">
        <v>293</v>
      </c>
      <c r="AJ139" s="71" t="s">
        <v>314</v>
      </c>
      <c r="AL139" s="18" t="s">
        <v>318</v>
      </c>
      <c r="AP139" s="115" t="b">
        <f ca="1">AND(AJ140,AJ141,AL139&lt;&gt;"")</f>
        <v>0</v>
      </c>
      <c r="AQ139" s="116" t="str">
        <f ca="1">IF(NOT(AP139),"",IF(AL139="p",AG140,AG141))</f>
        <v/>
      </c>
      <c r="AR139" s="117" t="str">
        <f ca="1">IF(NOT(AP139),"",IF(AL139="p",AG141,AG140))</f>
        <v/>
      </c>
      <c r="AT139" s="115" t="b">
        <f t="shared" ref="AT139:AT145" ca="1" si="60">AND(F139&lt;&gt;"",H139&lt;&gt;"",AP139)</f>
        <v>0</v>
      </c>
      <c r="AU139" s="115" t="b">
        <f ca="1">AND(ASZTAB!$AJ$42,AT139,F139=H139)</f>
        <v>0</v>
      </c>
      <c r="AV139" s="115" t="b">
        <f t="shared" ref="AV139:AV145" ca="1" si="61">OR(AND(AT139,NOT(AU139),F139&lt;&gt;H139),AND(AT139,AU139,J139&lt;&gt;"",L139&lt;&gt;"",J139&lt;&gt;L139))</f>
        <v>0</v>
      </c>
      <c r="AW139" s="116" t="str">
        <f t="shared" ref="AW139:AW145" ca="1" si="62">IF(NOT(AV139),"",IF(AU139,IF(F139+J139&gt;H139+L139,E139,I139),IF(F139&gt;H139,E139,I139)))</f>
        <v/>
      </c>
      <c r="AX139" s="117" t="str">
        <f t="shared" ref="AX139:AX145" ca="1" si="63">IF(NOT(AV139),"",IF(AW139=E139,I139,IF(AW139=I139,E139,"")))</f>
        <v/>
      </c>
      <c r="AY139" s="116" t="str">
        <f ca="1">IF(NOT(AV139),"",IF(AG140=AW139,X144,0)+AY138)</f>
        <v/>
      </c>
      <c r="AZ139" s="116" t="str">
        <f ca="1">IF(NOT(AV139),"",IF(AG141=AW139,X144,0)+AZ138)</f>
        <v/>
      </c>
      <c r="BD139" s="142"/>
      <c r="BI139" s="118">
        <f t="shared" si="46"/>
        <v>42466</v>
      </c>
      <c r="BK139" s="99"/>
      <c r="BL139" s="119"/>
      <c r="BM139" s="119"/>
    </row>
    <row r="140" spans="1:66" ht="15" customHeight="1" x14ac:dyDescent="0.3">
      <c r="A140" s="864"/>
      <c r="B140" s="7"/>
      <c r="C140" s="106">
        <v>2</v>
      </c>
      <c r="D140" s="137"/>
      <c r="E140" s="107" t="str">
        <f t="shared" ca="1" si="56"/>
        <v/>
      </c>
      <c r="F140" s="108"/>
      <c r="G140" s="64" t="str">
        <f t="shared" ca="1" si="57"/>
        <v/>
      </c>
      <c r="H140" s="109"/>
      <c r="I140" s="110" t="str">
        <f t="shared" ca="1" si="58"/>
        <v/>
      </c>
      <c r="J140" s="111"/>
      <c r="K140" s="112" t="str">
        <f t="shared" ca="1" si="59"/>
        <v/>
      </c>
      <c r="L140" s="113"/>
      <c r="M140" s="153" t="str">
        <f t="shared" ref="M140:M145" ca="1" si="64">IF(OR(AL140="",NOT(AV140)),"",IF(AL140="p",CONCATENATE(AY140,"–",AZ140),CONCATENATE(AZ140,"–",AY140)))</f>
        <v/>
      </c>
      <c r="N140" s="110"/>
      <c r="O140" s="140"/>
      <c r="P140" s="114"/>
      <c r="Q140" s="114"/>
      <c r="R140" s="114"/>
      <c r="S140" s="114"/>
      <c r="W140" s="15" t="s">
        <v>312</v>
      </c>
      <c r="X140" s="18" t="s">
        <v>308</v>
      </c>
      <c r="Y140" s="72"/>
      <c r="Z140" s="72"/>
      <c r="AA140" s="72"/>
      <c r="AB140" s="18">
        <v>3</v>
      </c>
      <c r="AC140" s="18" t="s">
        <v>311</v>
      </c>
      <c r="AD140" s="14" t="str">
        <f ca="1">IF(NOT(AJ140),"",IF(X140=$BE$45,VLOOKUP(AA140,INDIRECT(CONCATENATE("rank.",Y140,Z140)),2,FALSE),VLOOKUP(CONCATENATE(AB140,AC140),result.e,2,FALSE)))</f>
        <v/>
      </c>
      <c r="AE140" s="18" t="s">
        <v>288</v>
      </c>
      <c r="AF140" s="120" t="str">
        <f ca="1">IF(OR(AD140="",X140=$BE$45),"",VLOOKUP(AD140,INDIRECT(CONCATENATE("rankname.",AE140)),2,FALSE))</f>
        <v/>
      </c>
      <c r="AG140" s="14" t="str">
        <f ca="1">IF(AD140="","",IF(X140=$BE$45,AD140,IF(AF140&gt;AF141,AD141,AD140)))</f>
        <v/>
      </c>
      <c r="AH140" s="120">
        <f ca="1">MAX(AY138:AY145)</f>
        <v>0</v>
      </c>
      <c r="AJ140" s="21" t="b">
        <f ca="1">IF(X140=$BE$45,IF(OR(Y140="",Z140="",AA140=""),FALSE,VLOOKUP(CONCATENATE(Y140,Z140),$BD$59:$BE$63,2,FALSE)),IF(OR(AB140="",AC140="",AE140=""),FALSE,VLOOKUP(CONCATENATE(AB140,"e"),result.e,2,FALSE)))</f>
        <v>0</v>
      </c>
      <c r="AL140" s="18" t="s">
        <v>331</v>
      </c>
      <c r="AP140" s="115" t="b">
        <f ca="1">AND(AP139,AL140&lt;&gt;"",(COUNTIF(AP139:AP139,"IGAZ")-COUNTIF(AV139:AV139,"IGAZ"))*X144+MAX(AY138:AZ139)&lt;X143)</f>
        <v>0</v>
      </c>
      <c r="AQ140" s="116" t="str">
        <f ca="1">IF(NOT(AP140),"",IF(AL140="p",AG140,AG141))</f>
        <v/>
      </c>
      <c r="AR140" s="117" t="str">
        <f ca="1">IF(NOT(AP140),"",IF(AL140="p",AG141,AG140))</f>
        <v/>
      </c>
      <c r="AT140" s="115" t="b">
        <f t="shared" ca="1" si="60"/>
        <v>0</v>
      </c>
      <c r="AU140" s="115" t="b">
        <f ca="1">AND(ASZTAB!$AJ$42,AT140,F140=H140)</f>
        <v>0</v>
      </c>
      <c r="AV140" s="115" t="b">
        <f t="shared" ca="1" si="61"/>
        <v>0</v>
      </c>
      <c r="AW140" s="116" t="str">
        <f t="shared" ca="1" si="62"/>
        <v/>
      </c>
      <c r="AX140" s="117" t="str">
        <f t="shared" ca="1" si="63"/>
        <v/>
      </c>
      <c r="AY140" s="116" t="str">
        <f ca="1">IF(OR(AY139="",NOT(AV140)),"",IF(AG140=AW140,X144,0)+AY139)</f>
        <v/>
      </c>
      <c r="AZ140" s="116" t="str">
        <f ca="1">IF(OR(AZ139="",NOT(AV140)),"",IF(AG141=AW140,X144,0)+AZ139)</f>
        <v/>
      </c>
      <c r="BD140" s="142"/>
      <c r="BI140" s="118">
        <f t="shared" si="46"/>
        <v>42467</v>
      </c>
      <c r="BK140" s="99"/>
      <c r="BM140" s="119"/>
    </row>
    <row r="141" spans="1:66" ht="15" customHeight="1" x14ac:dyDescent="0.3">
      <c r="A141" s="864"/>
      <c r="B141" s="7"/>
      <c r="C141" s="106">
        <v>3</v>
      </c>
      <c r="D141" s="137"/>
      <c r="E141" s="107" t="str">
        <f t="shared" ca="1" si="56"/>
        <v/>
      </c>
      <c r="F141" s="108"/>
      <c r="G141" s="64" t="str">
        <f t="shared" ca="1" si="57"/>
        <v/>
      </c>
      <c r="H141" s="109"/>
      <c r="I141" s="110" t="str">
        <f t="shared" ca="1" si="58"/>
        <v/>
      </c>
      <c r="J141" s="111"/>
      <c r="K141" s="112" t="str">
        <f t="shared" ca="1" si="59"/>
        <v/>
      </c>
      <c r="L141" s="113"/>
      <c r="M141" s="153" t="str">
        <f t="shared" ca="1" si="64"/>
        <v/>
      </c>
      <c r="N141" s="110"/>
      <c r="O141" s="140"/>
      <c r="P141" s="114"/>
      <c r="Q141" s="114"/>
      <c r="R141" s="114"/>
      <c r="S141" s="114"/>
      <c r="W141" s="15" t="s">
        <v>313</v>
      </c>
      <c r="X141" s="18" t="s">
        <v>308</v>
      </c>
      <c r="Y141" s="72"/>
      <c r="Z141" s="72"/>
      <c r="AA141" s="72"/>
      <c r="AB141" s="18">
        <v>4</v>
      </c>
      <c r="AC141" s="18" t="s">
        <v>311</v>
      </c>
      <c r="AD141" s="14" t="str">
        <f ca="1">IF(NOT(AJ141),"",IF(X141=$BE$45,VLOOKUP(AA141,INDIRECT(CONCATENATE("rank.",Y141,Z141)),2,FALSE),VLOOKUP(CONCATENATE(AB141,AC141),result.e,2,FALSE)))</f>
        <v/>
      </c>
      <c r="AE141" s="18" t="s">
        <v>288</v>
      </c>
      <c r="AF141" s="120" t="str">
        <f ca="1">IF(OR(AD141="",X141=$BE$45),"",VLOOKUP(AD141,INDIRECT(CONCATENATE("rankname.",AE141)),2,FALSE))</f>
        <v/>
      </c>
      <c r="AG141" s="14" t="str">
        <f ca="1">IF(AD141="","",IF(X141=$BE$45,AD141,IF(AF140&gt;AF141,AD140,AD141)))</f>
        <v/>
      </c>
      <c r="AH141" s="120">
        <f ca="1">MAX(AZ138:AZ145)</f>
        <v>0</v>
      </c>
      <c r="AJ141" s="21" t="b">
        <f ca="1">IF(X141=$BE$45,IF(OR(Y141="",Z141="",AA141=""),FALSE,VLOOKUP(CONCATENATE(Y141,Z141),$BD$59:$BE$63,2,FALSE)),IF(OR(AB141="",AC141="",AE141=""),FALSE,VLOOKUP(CONCATENATE(AB141,"e"),result.e,2,FALSE)))</f>
        <v>0</v>
      </c>
      <c r="AL141" s="18" t="s">
        <v>318</v>
      </c>
      <c r="AP141" s="115" t="b">
        <f ca="1">AND(AP140,AL141&lt;&gt;"",(COUNTIF(AP139:AP140,"IGAZ")-COUNTIF(AV139:AV140,"IGAZ"))*X144+MAX(AY138:AZ140)&lt;X143)</f>
        <v>0</v>
      </c>
      <c r="AQ141" s="116" t="str">
        <f ca="1">IF(NOT(AP141),"",IF(AL141="p",AG140,AG141))</f>
        <v/>
      </c>
      <c r="AR141" s="117" t="str">
        <f ca="1">IF(NOT(AP141),"",IF(AL141="p",AG141,AG140))</f>
        <v/>
      </c>
      <c r="AT141" s="115" t="b">
        <f t="shared" ca="1" si="60"/>
        <v>0</v>
      </c>
      <c r="AU141" s="115" t="b">
        <f ca="1">AND(ASZTAB!$AJ$42,AT141,F141=H141)</f>
        <v>0</v>
      </c>
      <c r="AV141" s="115" t="b">
        <f t="shared" ca="1" si="61"/>
        <v>0</v>
      </c>
      <c r="AW141" s="116" t="str">
        <f t="shared" ca="1" si="62"/>
        <v/>
      </c>
      <c r="AX141" s="117" t="str">
        <f t="shared" ca="1" si="63"/>
        <v/>
      </c>
      <c r="AY141" s="116" t="str">
        <f ca="1">IF(OR(AY140="",NOT(AV141)),"",IF(AG140=AW141,X144,0)+AY140)</f>
        <v/>
      </c>
      <c r="AZ141" s="116" t="str">
        <f ca="1">IF(OR(AZ140="",NOT(AV141)),"",IF(AG141=AW141,X144,0)+AZ140)</f>
        <v/>
      </c>
      <c r="BD141" s="142"/>
      <c r="BI141" s="118">
        <f t="shared" si="46"/>
        <v>42468</v>
      </c>
      <c r="BM141" s="119"/>
      <c r="BN141" s="119"/>
    </row>
    <row r="142" spans="1:66" ht="15" customHeight="1" x14ac:dyDescent="0.3">
      <c r="A142" s="864"/>
      <c r="B142" s="7"/>
      <c r="C142" s="106">
        <v>4</v>
      </c>
      <c r="D142" s="137"/>
      <c r="E142" s="107" t="str">
        <f t="shared" ca="1" si="56"/>
        <v/>
      </c>
      <c r="F142" s="108"/>
      <c r="G142" s="64" t="str">
        <f t="shared" ca="1" si="57"/>
        <v/>
      </c>
      <c r="H142" s="109"/>
      <c r="I142" s="110" t="str">
        <f t="shared" ca="1" si="58"/>
        <v/>
      </c>
      <c r="J142" s="111"/>
      <c r="K142" s="112" t="str">
        <f t="shared" ca="1" si="59"/>
        <v/>
      </c>
      <c r="L142" s="113"/>
      <c r="M142" s="153" t="str">
        <f t="shared" ca="1" si="64"/>
        <v/>
      </c>
      <c r="N142" s="110"/>
      <c r="O142" s="140"/>
      <c r="P142" s="114"/>
      <c r="Q142" s="114"/>
      <c r="AL142" s="18" t="s">
        <v>331</v>
      </c>
      <c r="AP142" s="115" t="b">
        <f ca="1">AND(AP141,AL142&lt;&gt;"",(COUNTIF(AP139:AP141,"IGAZ")-COUNTIF(AV139:AV141,"IGAZ"))*X144+MAX(AY138:AZ141)&lt;X143)</f>
        <v>0</v>
      </c>
      <c r="AQ142" s="116" t="str">
        <f ca="1">IF(NOT(AP142),"",IF(AL142="p",AG140,AG141))</f>
        <v/>
      </c>
      <c r="AR142" s="117" t="str">
        <f ca="1">IF(NOT(AP142),"",IF(AL142="p",AG141,AG140))</f>
        <v/>
      </c>
      <c r="AT142" s="115" t="b">
        <f t="shared" ca="1" si="60"/>
        <v>0</v>
      </c>
      <c r="AU142" s="115" t="b">
        <f ca="1">AND(ASZTAB!$AJ$42,AT142,F142=H142)</f>
        <v>0</v>
      </c>
      <c r="AV142" s="115" t="b">
        <f t="shared" ca="1" si="61"/>
        <v>0</v>
      </c>
      <c r="AW142" s="116" t="str">
        <f t="shared" ca="1" si="62"/>
        <v/>
      </c>
      <c r="AX142" s="117" t="str">
        <f t="shared" ca="1" si="63"/>
        <v/>
      </c>
      <c r="AY142" s="116" t="str">
        <f ca="1">IF(OR(AY141="",NOT(AV142)),"",IF(AG140=AW142,X144,0)+AY141)</f>
        <v/>
      </c>
      <c r="AZ142" s="116" t="str">
        <f ca="1">IF(OR(AZ141="",NOT(AV142)),"",IF(AG141=AW142,X144,0)+AZ141)</f>
        <v/>
      </c>
      <c r="BD142" s="142"/>
      <c r="BI142" s="118">
        <f t="shared" si="46"/>
        <v>42469</v>
      </c>
      <c r="BM142" s="119"/>
    </row>
    <row r="143" spans="1:66" ht="15" customHeight="1" x14ac:dyDescent="0.3">
      <c r="A143" s="864"/>
      <c r="B143" s="121"/>
      <c r="C143" s="106">
        <v>5</v>
      </c>
      <c r="D143" s="137"/>
      <c r="E143" s="107" t="str">
        <f t="shared" ca="1" si="56"/>
        <v/>
      </c>
      <c r="F143" s="108"/>
      <c r="G143" s="64" t="str">
        <f t="shared" ca="1" si="57"/>
        <v/>
      </c>
      <c r="H143" s="109"/>
      <c r="I143" s="110" t="str">
        <f t="shared" ca="1" si="58"/>
        <v/>
      </c>
      <c r="J143" s="111"/>
      <c r="K143" s="112" t="str">
        <f t="shared" ca="1" si="59"/>
        <v/>
      </c>
      <c r="L143" s="113"/>
      <c r="M143" s="153" t="str">
        <f t="shared" ca="1" si="64"/>
        <v/>
      </c>
      <c r="N143" s="110"/>
      <c r="O143" s="140"/>
      <c r="P143" s="114"/>
      <c r="Q143" s="114"/>
      <c r="R143" s="114"/>
      <c r="S143" s="114"/>
      <c r="W143" s="15" t="s">
        <v>315</v>
      </c>
      <c r="X143" s="18">
        <v>2</v>
      </c>
      <c r="AD143" s="15"/>
      <c r="AE143" s="15" t="s">
        <v>312</v>
      </c>
      <c r="AF143" s="15" t="str">
        <f>CONCATENATE(V137,"f")</f>
        <v>7f</v>
      </c>
      <c r="AG143" s="16" t="str">
        <f ca="1">IF(OR(NOT(AJ140),NOT(AJ141)),"",AD140)</f>
        <v/>
      </c>
      <c r="AH143" s="23" t="str">
        <f ca="1">IF(OR(NOT(AJ140),NOT(AJ141)),"",VLOOKUP(AG143,AG140:AH141,2,FALSE))</f>
        <v/>
      </c>
      <c r="AL143" s="18" t="s">
        <v>318</v>
      </c>
      <c r="AP143" s="115" t="b">
        <f ca="1">AND(AP142,AL143&lt;&gt;"",(COUNTIF(AP139:AP142,"IGAZ")-COUNTIF(AV139:AV142,"IGAZ"))*X144+MAX(AY138:AZ142)&lt;X143)</f>
        <v>0</v>
      </c>
      <c r="AQ143" s="116" t="str">
        <f ca="1">IF(NOT(AP143),"",IF(AL143="p",AG140,AG141))</f>
        <v/>
      </c>
      <c r="AR143" s="117" t="str">
        <f ca="1">IF(NOT(AP143),"",IF(AL143="p",AG141,AG140))</f>
        <v/>
      </c>
      <c r="AT143" s="115" t="b">
        <f t="shared" ca="1" si="60"/>
        <v>0</v>
      </c>
      <c r="AU143" s="115" t="b">
        <f ca="1">AND(ASZTAB!$AJ$42,AT143,F143=H143)</f>
        <v>0</v>
      </c>
      <c r="AV143" s="115" t="b">
        <f t="shared" ca="1" si="61"/>
        <v>0</v>
      </c>
      <c r="AW143" s="116" t="str">
        <f t="shared" ca="1" si="62"/>
        <v/>
      </c>
      <c r="AX143" s="117" t="str">
        <f t="shared" ca="1" si="63"/>
        <v/>
      </c>
      <c r="AY143" s="116" t="str">
        <f ca="1">IF(OR(AY142="",NOT(AV143)),"",IF(AG140=AW143,X144,0)+AY142)</f>
        <v/>
      </c>
      <c r="AZ143" s="116" t="str">
        <f ca="1">IF(OR(AZ142="",NOT(AV143)),"",IF(AG141=AW143,X144,0)+AZ142)</f>
        <v/>
      </c>
      <c r="BD143" s="142"/>
      <c r="BI143" s="118">
        <f t="shared" si="46"/>
        <v>42470</v>
      </c>
      <c r="BK143" s="119"/>
      <c r="BL143" s="119"/>
      <c r="BM143" s="119"/>
    </row>
    <row r="144" spans="1:66" ht="15" customHeight="1" x14ac:dyDescent="0.3">
      <c r="A144" s="864"/>
      <c r="B144" s="122"/>
      <c r="C144" s="106">
        <v>6</v>
      </c>
      <c r="D144" s="137"/>
      <c r="E144" s="107" t="str">
        <f t="shared" ca="1" si="56"/>
        <v/>
      </c>
      <c r="F144" s="108"/>
      <c r="G144" s="64" t="str">
        <f t="shared" ca="1" si="57"/>
        <v/>
      </c>
      <c r="H144" s="109"/>
      <c r="I144" s="110" t="str">
        <f t="shared" ca="1" si="58"/>
        <v/>
      </c>
      <c r="J144" s="111"/>
      <c r="K144" s="112" t="str">
        <f t="shared" ca="1" si="59"/>
        <v/>
      </c>
      <c r="L144" s="113"/>
      <c r="M144" s="8" t="str">
        <f t="shared" ca="1" si="64"/>
        <v/>
      </c>
      <c r="N144" s="123"/>
      <c r="O144" s="141"/>
      <c r="W144" s="15" t="s">
        <v>327</v>
      </c>
      <c r="X144" s="18">
        <v>1</v>
      </c>
      <c r="AD144" s="15"/>
      <c r="AE144" s="15" t="s">
        <v>313</v>
      </c>
      <c r="AF144" s="15" t="str">
        <f>CONCATENATE(V137,"a")</f>
        <v>7a</v>
      </c>
      <c r="AG144" s="16" t="str">
        <f ca="1">IF(OR(NOT(AJ140),NOT(AJ141)),"",AD141)</f>
        <v/>
      </c>
      <c r="AH144" s="23" t="str">
        <f ca="1">IF(OR(NOT(AJ140),NOT(AJ141)),"",VLOOKUP(AG144,AG140:AH141,2,FALSE))</f>
        <v/>
      </c>
      <c r="AL144" s="18" t="s">
        <v>331</v>
      </c>
      <c r="AP144" s="115" t="b">
        <f ca="1">AND(AP143,AL144&lt;&gt;"",(COUNTIF(AP139:AP143,"IGAZ")-COUNTIF(AV139:AV143,"IGAZ"))*X144+MAX(AY138:AZ143)&lt;X143)</f>
        <v>0</v>
      </c>
      <c r="AQ144" s="116" t="str">
        <f ca="1">IF(NOT(AP144),"",IF(AL144="p",AG140,AG141))</f>
        <v/>
      </c>
      <c r="AR144" s="117" t="str">
        <f ca="1">IF(NOT(AP144),"",IF(AL144="p",AG141,AG140))</f>
        <v/>
      </c>
      <c r="AT144" s="115" t="b">
        <f t="shared" ca="1" si="60"/>
        <v>0</v>
      </c>
      <c r="AU144" s="115" t="b">
        <f ca="1">AND(ASZTAB!$AJ$42,AT144,F144=H144)</f>
        <v>0</v>
      </c>
      <c r="AV144" s="115" t="b">
        <f t="shared" ca="1" si="61"/>
        <v>0</v>
      </c>
      <c r="AW144" s="116" t="str">
        <f t="shared" ca="1" si="62"/>
        <v/>
      </c>
      <c r="AX144" s="117" t="str">
        <f t="shared" ca="1" si="63"/>
        <v/>
      </c>
      <c r="AY144" s="116" t="str">
        <f ca="1">IF(OR(AY143="",NOT(AV144)),"",IF(AG140=AW144,X144,0)+AY143)</f>
        <v/>
      </c>
      <c r="AZ144" s="116" t="str">
        <f ca="1">IF(OR(AZ143="",NOT(AV144)),"",IF(AG141=AW144,X144,0)+AZ143)</f>
        <v/>
      </c>
      <c r="BD144" s="142"/>
      <c r="BI144" s="118">
        <f t="shared" si="46"/>
        <v>42471</v>
      </c>
      <c r="BK144" s="119"/>
      <c r="BL144" s="119"/>
      <c r="BM144" s="119"/>
    </row>
    <row r="145" spans="1:66" ht="15" customHeight="1" x14ac:dyDescent="0.3">
      <c r="A145" s="864"/>
      <c r="B145" s="122"/>
      <c r="C145" s="106">
        <v>7</v>
      </c>
      <c r="D145" s="137"/>
      <c r="E145" s="107" t="str">
        <f t="shared" ca="1" si="56"/>
        <v/>
      </c>
      <c r="F145" s="108"/>
      <c r="G145" s="64" t="str">
        <f t="shared" ca="1" si="57"/>
        <v/>
      </c>
      <c r="H145" s="109"/>
      <c r="I145" s="110" t="str">
        <f t="shared" ca="1" si="58"/>
        <v/>
      </c>
      <c r="J145" s="111"/>
      <c r="K145" s="112" t="str">
        <f t="shared" ca="1" si="59"/>
        <v/>
      </c>
      <c r="L145" s="113"/>
      <c r="M145" s="8" t="str">
        <f t="shared" ca="1" si="64"/>
        <v/>
      </c>
      <c r="N145" s="123"/>
      <c r="O145" s="141"/>
      <c r="AE145" s="15" t="s">
        <v>316</v>
      </c>
      <c r="AF145" s="15" t="str">
        <f>CONCATENATE(V137,"w")</f>
        <v>7w</v>
      </c>
      <c r="AG145" s="16" t="str">
        <f ca="1">IF(AND(AJ140,AJ141),IF(MAX(AY139:AY145)&gt;=X143,AG140,IF(MAX(AZ139:AZ145)&gt;=X143,AG141,"")),"")</f>
        <v/>
      </c>
      <c r="AL145" s="18" t="s">
        <v>318</v>
      </c>
      <c r="AP145" s="115" t="b">
        <f ca="1">AND(AP144,AL145&lt;&gt;"",(COUNTIF(AP139:AP144,"IGAZ")-COUNTIF(AV139:AV144,"IGAZ"))*X144+MAX(AY138:AZ144)&lt;X143)</f>
        <v>0</v>
      </c>
      <c r="AQ145" s="116" t="str">
        <f ca="1">IF(NOT(AP145),"",IF(AL145="p",AG140,AG141))</f>
        <v/>
      </c>
      <c r="AR145" s="117" t="str">
        <f ca="1">IF(NOT(AP145),"",IF(AL145="p",AG141,AG140))</f>
        <v/>
      </c>
      <c r="AT145" s="115" t="b">
        <f t="shared" ca="1" si="60"/>
        <v>0</v>
      </c>
      <c r="AU145" s="115" t="b">
        <f ca="1">AND(ASZTAB!$AJ$42,AT145,F145=H145)</f>
        <v>0</v>
      </c>
      <c r="AV145" s="115" t="b">
        <f t="shared" ca="1" si="61"/>
        <v>0</v>
      </c>
      <c r="AW145" s="116" t="str">
        <f t="shared" ca="1" si="62"/>
        <v/>
      </c>
      <c r="AX145" s="117" t="str">
        <f t="shared" ca="1" si="63"/>
        <v/>
      </c>
      <c r="AY145" s="116" t="str">
        <f ca="1">IF(OR(AY144="",NOT(AV145)),"",IF(AG140=AW145,X144,0)+AY144)</f>
        <v/>
      </c>
      <c r="AZ145" s="116" t="str">
        <f ca="1">IF(OR(AZ144="",NOT(AV145)),"",IF(AG141=AW145,X144,0)+AZ144)</f>
        <v/>
      </c>
      <c r="BD145" s="142"/>
      <c r="BI145" s="118">
        <f t="shared" si="46"/>
        <v>42472</v>
      </c>
      <c r="BK145" s="119"/>
      <c r="BL145" s="119"/>
      <c r="BM145" s="119"/>
      <c r="BN145" s="119"/>
    </row>
    <row r="146" spans="1:66" ht="15" customHeight="1" x14ac:dyDescent="0.3">
      <c r="A146" s="864"/>
      <c r="B146" s="122"/>
      <c r="C146" s="106"/>
      <c r="D146" s="123"/>
      <c r="E146" s="124"/>
      <c r="F146" s="125"/>
      <c r="G146" s="123"/>
      <c r="H146" s="114"/>
      <c r="I146" s="123"/>
      <c r="J146" s="125"/>
      <c r="K146" s="123"/>
      <c r="L146" s="114"/>
      <c r="M146" s="123"/>
      <c r="N146" s="123"/>
      <c r="O146" s="123"/>
      <c r="AE146" s="15" t="s">
        <v>317</v>
      </c>
      <c r="AF146" s="15" t="str">
        <f>CONCATENATE(V137,"l")</f>
        <v>7l</v>
      </c>
      <c r="AG146" s="16" t="str">
        <f ca="1">IF(AG145=AG140,AG141,IF(AG141=AG145,AG140,""))</f>
        <v/>
      </c>
      <c r="AL146" s="126" t="s">
        <v>330</v>
      </c>
      <c r="BD146" s="142"/>
      <c r="BI146" s="118">
        <f t="shared" si="46"/>
        <v>42473</v>
      </c>
      <c r="BK146" s="119"/>
      <c r="BL146" s="119"/>
      <c r="BM146" s="119"/>
      <c r="BN146" s="119"/>
    </row>
    <row r="147" spans="1:66" ht="15" customHeight="1" x14ac:dyDescent="0.3">
      <c r="A147" s="864"/>
      <c r="B147" s="122"/>
      <c r="C147" s="127" t="s">
        <v>463</v>
      </c>
      <c r="D147" s="123"/>
      <c r="E147" s="124"/>
      <c r="F147" s="125"/>
      <c r="G147" s="123"/>
      <c r="H147" s="114"/>
      <c r="I147" s="123"/>
      <c r="J147" s="125"/>
      <c r="K147" s="123"/>
      <c r="L147" s="114"/>
      <c r="M147" s="123"/>
      <c r="N147" s="123"/>
      <c r="O147" s="123"/>
      <c r="Y147" s="11" t="s">
        <v>294</v>
      </c>
      <c r="Z147" s="70" t="s">
        <v>311</v>
      </c>
      <c r="AA147" s="70" t="s">
        <v>153</v>
      </c>
      <c r="AB147" s="70" t="s">
        <v>153</v>
      </c>
      <c r="AE147" s="15" t="s">
        <v>287</v>
      </c>
      <c r="AF147" s="15" t="str">
        <f>CONCATENATE(V137,"e")</f>
        <v>7e</v>
      </c>
      <c r="AG147" s="21" t="b">
        <f ca="1">AND(AG145&lt;&gt;"",AG146&lt;&gt;"")</f>
        <v>0</v>
      </c>
      <c r="BD147" s="15"/>
      <c r="BI147" s="118">
        <f t="shared" si="46"/>
        <v>42474</v>
      </c>
      <c r="BK147" s="119"/>
      <c r="BL147" s="119"/>
      <c r="BM147" s="119"/>
      <c r="BN147" s="119"/>
    </row>
    <row r="148" spans="1:66" ht="15" customHeight="1" x14ac:dyDescent="0.3">
      <c r="A148" s="864"/>
      <c r="B148" s="122"/>
      <c r="C148" s="865"/>
      <c r="D148" s="865"/>
      <c r="E148" s="865"/>
      <c r="F148" s="865"/>
      <c r="G148" s="865"/>
      <c r="H148" s="865"/>
      <c r="I148" s="865"/>
      <c r="J148" s="865"/>
      <c r="K148" s="865"/>
      <c r="L148" s="865"/>
      <c r="M148" s="865"/>
      <c r="N148" s="865"/>
      <c r="O148" s="865"/>
      <c r="W148" s="15" t="s">
        <v>319</v>
      </c>
      <c r="X148" s="18" t="b">
        <v>0</v>
      </c>
      <c r="Y148" s="72" t="s">
        <v>289</v>
      </c>
      <c r="Z148" s="16" t="str">
        <f ca="1">IF(AND(AJ140,AJ141,X148,Y148&lt;&gt;""),CONCATENATE(VLOOKUP(CONCATENATE(AG140,AG141),INDIRECT(CONCATENATE("games.",Y148)),9,FALSE),VLOOKUP(CONCATENATE(AG140,AG141),INDIRECT(CONCATENATE("games.",Y148)),12,FALSE)),"")</f>
        <v/>
      </c>
      <c r="AA148" s="16" t="str">
        <f ca="1">IF(AND(AJ140,AJ141,X148,Y148&lt;&gt;""),VLOOKUP(CONCATENATE(AG140,AG141),INDIRECT(CONCATENATE("games.",Y148)),10,FALSE),"")</f>
        <v/>
      </c>
      <c r="AB148" s="54" t="str">
        <f ca="1">IF(AND(AJ140,AJ141,X148,Y148&lt;&gt;""),VLOOKUP(CONCATENATE(AG140,AG141),INDIRECT(CONCATENATE("games.",Y148)),13,FALSE),"")</f>
        <v/>
      </c>
      <c r="BD148" s="15"/>
      <c r="BI148" s="118">
        <f t="shared" si="46"/>
        <v>42475</v>
      </c>
      <c r="BK148" s="119"/>
      <c r="BL148" s="119"/>
      <c r="BM148" s="119"/>
      <c r="BN148" s="119"/>
    </row>
    <row r="149" spans="1:66" ht="15" customHeight="1" x14ac:dyDescent="0.3">
      <c r="A149" s="864"/>
      <c r="B149" s="122"/>
      <c r="C149" s="866"/>
      <c r="D149" s="866"/>
      <c r="E149" s="866"/>
      <c r="F149" s="866"/>
      <c r="G149" s="866"/>
      <c r="H149" s="866"/>
      <c r="I149" s="866"/>
      <c r="J149" s="866"/>
      <c r="K149" s="866"/>
      <c r="L149" s="866"/>
      <c r="M149" s="866"/>
      <c r="N149" s="866"/>
      <c r="O149" s="866"/>
      <c r="Z149" s="16" t="str">
        <f ca="1">IF(AND(AJ140,AJ141,X148,Y148&lt;&gt;""),CONCATENATE(VLOOKUP(CONCATENATE(AG141,AG140),INDIRECT(CONCATENATE("games.",Y148)),9,FALSE),VLOOKUP(CONCATENATE(AG141,AG140),INDIRECT(CONCATENATE("games.",Y148)),12,FALSE)),"")</f>
        <v/>
      </c>
      <c r="AA149" s="16" t="str">
        <f ca="1">IF(AND(AJ140,AJ141,X148,Y148&lt;&gt;""),VLOOKUP(CONCATENATE(AG141,AG140),INDIRECT(CONCATENATE("games.",Y148)),10,FALSE),"")</f>
        <v/>
      </c>
      <c r="AB149" s="54" t="str">
        <f ca="1">IF(AND(AJ140,AJ141,X148,Y148&lt;&gt;""),VLOOKUP(CONCATENATE(AG141,AG140),INDIRECT(CONCATENATE("games.",Y148)),13,FALSE),"")</f>
        <v/>
      </c>
      <c r="BD149" s="15"/>
      <c r="BI149" s="118">
        <f t="shared" si="46"/>
        <v>42476</v>
      </c>
      <c r="BK149" s="119"/>
      <c r="BL149" s="119"/>
      <c r="BM149" s="119"/>
      <c r="BN149" s="119"/>
    </row>
    <row r="150" spans="1:66" ht="15" customHeight="1" x14ac:dyDescent="0.3">
      <c r="A150" s="864"/>
      <c r="B150" s="122"/>
      <c r="C150" s="866"/>
      <c r="D150" s="866"/>
      <c r="E150" s="866"/>
      <c r="F150" s="866"/>
      <c r="G150" s="866"/>
      <c r="H150" s="866"/>
      <c r="I150" s="866"/>
      <c r="J150" s="866"/>
      <c r="K150" s="866"/>
      <c r="L150" s="866"/>
      <c r="M150" s="866"/>
      <c r="N150" s="866"/>
      <c r="O150" s="866"/>
      <c r="BD150" s="15"/>
      <c r="BI150" s="118">
        <f t="shared" si="46"/>
        <v>42477</v>
      </c>
      <c r="BK150" s="119"/>
      <c r="BL150" s="119"/>
      <c r="BM150" s="119"/>
      <c r="BN150" s="119"/>
    </row>
    <row r="151" spans="1:66" ht="15" customHeight="1" x14ac:dyDescent="0.3">
      <c r="A151" s="864"/>
      <c r="B151" s="122"/>
      <c r="C151" s="106"/>
      <c r="D151" s="123"/>
      <c r="E151" s="124"/>
      <c r="F151" s="125"/>
      <c r="G151" s="123"/>
      <c r="H151" s="114"/>
      <c r="I151" s="123"/>
      <c r="J151" s="125"/>
      <c r="K151" s="123"/>
      <c r="L151" s="114"/>
      <c r="M151" s="123"/>
      <c r="N151" s="123"/>
      <c r="O151" s="123"/>
      <c r="U151" s="10"/>
      <c r="V151" s="128"/>
      <c r="W151" s="129"/>
      <c r="X151" s="10"/>
      <c r="Y151" s="130"/>
      <c r="Z151" s="130"/>
      <c r="AA151" s="130"/>
      <c r="AB151" s="130"/>
      <c r="AC151" s="130"/>
      <c r="AD151" s="130"/>
      <c r="AE151" s="130"/>
      <c r="AF151" s="130"/>
      <c r="AG151" s="130"/>
      <c r="AH151" s="130"/>
      <c r="AI151" s="130"/>
      <c r="AJ151" s="130"/>
      <c r="AK151" s="130"/>
      <c r="AL151" s="130"/>
      <c r="AM151" s="10"/>
      <c r="AO151" s="131"/>
      <c r="AP151" s="131"/>
      <c r="AQ151" s="132"/>
      <c r="AR151" s="132"/>
      <c r="AS151" s="132"/>
      <c r="AT151" s="131"/>
      <c r="AU151" s="131"/>
      <c r="AV151" s="131"/>
      <c r="AW151" s="132"/>
      <c r="AX151" s="132"/>
      <c r="AY151" s="131"/>
      <c r="AZ151" s="131"/>
      <c r="BA151" s="131"/>
      <c r="BD151" s="15"/>
      <c r="BI151" s="118">
        <f t="shared" si="46"/>
        <v>42478</v>
      </c>
      <c r="BK151" s="119"/>
      <c r="BL151" s="119"/>
      <c r="BM151" s="119"/>
      <c r="BN151" s="119"/>
    </row>
    <row r="152" spans="1:66" ht="15" customHeight="1" x14ac:dyDescent="0.3">
      <c r="A152" s="864"/>
      <c r="B152" s="88"/>
      <c r="C152" s="89"/>
      <c r="D152" s="90"/>
      <c r="BI152" s="118">
        <f t="shared" si="46"/>
        <v>42479</v>
      </c>
      <c r="BM152" s="119"/>
    </row>
    <row r="153" spans="1:66" ht="15" customHeight="1" x14ac:dyDescent="0.3">
      <c r="A153" s="864"/>
      <c r="B153" s="147"/>
      <c r="C153" s="149">
        <f>V153</f>
        <v>8</v>
      </c>
      <c r="D153" s="150" t="str">
        <f>UPPER(W153)</f>
        <v>RÁJÁTSZÁS A 7. HELYÉRT</v>
      </c>
      <c r="E153" s="151"/>
      <c r="F153" s="151"/>
      <c r="G153" s="151"/>
      <c r="H153" s="151"/>
      <c r="I153" s="151"/>
      <c r="J153" s="151"/>
      <c r="K153" s="151"/>
      <c r="L153" s="151"/>
      <c r="M153" s="138"/>
      <c r="N153" s="151"/>
      <c r="O153" s="161" t="str">
        <f ca="1">IF(NOT(AG163),"","A PÁRHARC GYŐZTESE: "&amp;UPPER(AG161))</f>
        <v/>
      </c>
      <c r="P153" s="152" t="str">
        <f>IF(NOT(Y161),"",CONCATENATE("A PÁRHARC GYŐZTESE: ",AH159," "))</f>
        <v/>
      </c>
      <c r="Q153" s="148" t="str">
        <f>IF(NOT(Z161),"",CONCATENATE("A PÁRHARC GYŐZTESE: ",AJ159," "))</f>
        <v/>
      </c>
      <c r="R153" s="148" t="str">
        <f>IF(NOT(AA161),"",CONCATENATE("A PÁRHARC GYŐZTESE: ",AK159," "))</f>
        <v/>
      </c>
      <c r="S153" s="148" t="str">
        <f>IF(NOT(AB161),"",CONCATENATE("A PÁRHARC GYŐZTESE: ",AL159," "))</f>
        <v/>
      </c>
      <c r="V153" s="21">
        <f>V137+1</f>
        <v>8</v>
      </c>
      <c r="W153" s="95" t="s">
        <v>339</v>
      </c>
      <c r="X153" s="96"/>
      <c r="Y153" s="96"/>
      <c r="Z153" s="96"/>
      <c r="AA153" s="96"/>
      <c r="AB153" s="96"/>
      <c r="AC153" s="96"/>
      <c r="AD153" s="96"/>
      <c r="AE153" s="96"/>
      <c r="AF153" s="96"/>
      <c r="AG153" s="96"/>
      <c r="AH153" s="96"/>
      <c r="AI153" s="96"/>
      <c r="AJ153" s="96"/>
      <c r="AK153" s="96"/>
      <c r="AL153" s="97"/>
      <c r="AY153" s="13" t="s">
        <v>326</v>
      </c>
      <c r="AZ153" s="13" t="s">
        <v>325</v>
      </c>
      <c r="BD153" s="142"/>
      <c r="BH153" s="98"/>
      <c r="BI153" s="118">
        <f t="shared" si="46"/>
        <v>42480</v>
      </c>
      <c r="BJ153" s="98"/>
      <c r="BK153" s="99"/>
      <c r="BL153" s="99"/>
      <c r="BM153" s="119"/>
    </row>
    <row r="154" spans="1:66" ht="11.25" customHeight="1" x14ac:dyDescent="0.3">
      <c r="A154" s="864"/>
      <c r="C154" s="101"/>
      <c r="D154" s="102"/>
      <c r="E154" s="103"/>
      <c r="F154" s="58"/>
      <c r="G154" s="104"/>
      <c r="H154" s="60"/>
      <c r="I154" s="146"/>
      <c r="J154" s="107"/>
      <c r="K154" s="160" t="str">
        <f ca="1">IF(OR(AU155,AU156,AU157,AU158,AU159,AU160,AU161),"BÜNTETŐK","")</f>
        <v/>
      </c>
      <c r="L154" s="110"/>
      <c r="M154" s="158" t="s">
        <v>286</v>
      </c>
      <c r="N154" s="159"/>
      <c r="O154" s="158" t="s">
        <v>285</v>
      </c>
      <c r="AP154" s="105" t="s">
        <v>328</v>
      </c>
      <c r="AQ154" s="12" t="s">
        <v>138</v>
      </c>
      <c r="AR154" s="12" t="s">
        <v>139</v>
      </c>
      <c r="AT154" s="105" t="s">
        <v>320</v>
      </c>
      <c r="AU154" s="105" t="s">
        <v>321</v>
      </c>
      <c r="AV154" s="105" t="s">
        <v>324</v>
      </c>
      <c r="AW154" s="12" t="s">
        <v>322</v>
      </c>
      <c r="AX154" s="12" t="s">
        <v>323</v>
      </c>
      <c r="AY154" s="116">
        <f>IF(X164,COUNTIF(Z164:Z165,AG156)*ASZTAB!$AJ$48+COUNTIF(AA164:AB165,AG156),0)</f>
        <v>0</v>
      </c>
      <c r="AZ154" s="116">
        <f>IF(X164,COUNTIF(Z164:Z165,AG157)*ASZTAB!$AJ$48+COUNTIF(AA164:AB165,AG157),0)</f>
        <v>0</v>
      </c>
      <c r="BD154" s="142"/>
      <c r="BH154" s="98"/>
      <c r="BI154" s="118">
        <f t="shared" si="46"/>
        <v>42481</v>
      </c>
      <c r="BJ154" s="98"/>
      <c r="BK154" s="99"/>
      <c r="BL154" s="99"/>
      <c r="BM154" s="119"/>
    </row>
    <row r="155" spans="1:66" ht="15" customHeight="1" x14ac:dyDescent="0.3">
      <c r="A155" s="864"/>
      <c r="B155" s="7"/>
      <c r="C155" s="106">
        <v>1</v>
      </c>
      <c r="D155" s="137"/>
      <c r="E155" s="107" t="str">
        <f t="shared" ref="E155:E161" ca="1" si="65">IF(NOT($AP155),"",AQ155)</f>
        <v/>
      </c>
      <c r="F155" s="108"/>
      <c r="G155" s="64" t="str">
        <f t="shared" ref="G155:G161" ca="1" si="66">IF(NOT($AP155),"","–")</f>
        <v/>
      </c>
      <c r="H155" s="109"/>
      <c r="I155" s="110" t="str">
        <f t="shared" ref="I155:I161" ca="1" si="67">IF(NOT($AP155),"",AR155)</f>
        <v/>
      </c>
      <c r="J155" s="111"/>
      <c r="K155" s="112" t="str">
        <f t="shared" ref="K155:K161" ca="1" si="68">IF(AU155,"–","")</f>
        <v/>
      </c>
      <c r="L155" s="113"/>
      <c r="M155" s="153" t="str">
        <f ca="1">IF(OR(AL155="",NOT(AV155)),"",IF(AL155="p",CONCATENATE(AY155,"–",AZ155),CONCATENATE(AZ155,"–",AY155)))</f>
        <v/>
      </c>
      <c r="N155" s="110"/>
      <c r="O155" s="139"/>
      <c r="P155" s="114"/>
      <c r="Q155" s="114"/>
      <c r="R155" s="114"/>
      <c r="S155" s="114"/>
      <c r="X155" s="11" t="s">
        <v>306</v>
      </c>
      <c r="Y155" s="11" t="s">
        <v>294</v>
      </c>
      <c r="Z155" s="70" t="s">
        <v>295</v>
      </c>
      <c r="AA155" s="70" t="s">
        <v>127</v>
      </c>
      <c r="AB155" s="70" t="s">
        <v>301</v>
      </c>
      <c r="AC155" s="70" t="s">
        <v>302</v>
      </c>
      <c r="AD155" s="70" t="s">
        <v>332</v>
      </c>
      <c r="AE155" s="70" t="s">
        <v>333</v>
      </c>
      <c r="AF155" s="70" t="s">
        <v>329</v>
      </c>
      <c r="AG155" s="70" t="s">
        <v>303</v>
      </c>
      <c r="AH155" s="70" t="s">
        <v>293</v>
      </c>
      <c r="AJ155" s="71" t="s">
        <v>314</v>
      </c>
      <c r="AL155" s="18" t="s">
        <v>318</v>
      </c>
      <c r="AP155" s="115" t="b">
        <f ca="1">AND(AJ156,AJ157,AL155&lt;&gt;"")</f>
        <v>0</v>
      </c>
      <c r="AQ155" s="116" t="str">
        <f ca="1">IF(NOT(AP155),"",IF(AL155="p",AG156,AG157))</f>
        <v/>
      </c>
      <c r="AR155" s="117" t="str">
        <f ca="1">IF(NOT(AP155),"",IF(AL155="p",AG157,AG156))</f>
        <v/>
      </c>
      <c r="AT155" s="115" t="b">
        <f t="shared" ref="AT155:AT161" ca="1" si="69">AND(F155&lt;&gt;"",H155&lt;&gt;"",AP155)</f>
        <v>0</v>
      </c>
      <c r="AU155" s="115" t="b">
        <f ca="1">AND(ASZTAB!$AJ$42,AT155,F155=H155)</f>
        <v>0</v>
      </c>
      <c r="AV155" s="115" t="b">
        <f t="shared" ref="AV155:AV161" ca="1" si="70">OR(AND(AT155,NOT(AU155),F155&lt;&gt;H155),AND(AT155,AU155,J155&lt;&gt;"",L155&lt;&gt;"",J155&lt;&gt;L155))</f>
        <v>0</v>
      </c>
      <c r="AW155" s="116" t="str">
        <f t="shared" ref="AW155:AW161" ca="1" si="71">IF(NOT(AV155),"",IF(AU155,IF(F155+J155&gt;H155+L155,E155,I155),IF(F155&gt;H155,E155,I155)))</f>
        <v/>
      </c>
      <c r="AX155" s="117" t="str">
        <f t="shared" ref="AX155:AX161" ca="1" si="72">IF(NOT(AV155),"",IF(AW155=E155,I155,IF(AW155=I155,E155,"")))</f>
        <v/>
      </c>
      <c r="AY155" s="116" t="str">
        <f ca="1">IF(NOT(AV155),"",IF(AG156=AW155,X160,0)+AY154)</f>
        <v/>
      </c>
      <c r="AZ155" s="116" t="str">
        <f ca="1">IF(NOT(AV155),"",IF(AG157=AW155,X160,0)+AZ154)</f>
        <v/>
      </c>
      <c r="BD155" s="142"/>
      <c r="BI155" s="118">
        <f t="shared" si="46"/>
        <v>42482</v>
      </c>
      <c r="BK155" s="99"/>
      <c r="BL155" s="119"/>
      <c r="BM155" s="119"/>
    </row>
    <row r="156" spans="1:66" ht="15" customHeight="1" x14ac:dyDescent="0.3">
      <c r="A156" s="864"/>
      <c r="B156" s="7"/>
      <c r="C156" s="106">
        <v>2</v>
      </c>
      <c r="D156" s="137"/>
      <c r="E156" s="107" t="str">
        <f t="shared" ca="1" si="65"/>
        <v/>
      </c>
      <c r="F156" s="108"/>
      <c r="G156" s="64" t="str">
        <f t="shared" ca="1" si="66"/>
        <v/>
      </c>
      <c r="H156" s="109"/>
      <c r="I156" s="110" t="str">
        <f t="shared" ca="1" si="67"/>
        <v/>
      </c>
      <c r="J156" s="111"/>
      <c r="K156" s="112" t="str">
        <f t="shared" ca="1" si="68"/>
        <v/>
      </c>
      <c r="L156" s="113"/>
      <c r="M156" s="153" t="str">
        <f t="shared" ref="M156:M161" ca="1" si="73">IF(OR(AL156="",NOT(AV156)),"",IF(AL156="p",CONCATENATE(AY156,"–",AZ156),CONCATENATE(AZ156,"–",AY156)))</f>
        <v/>
      </c>
      <c r="N156" s="110"/>
      <c r="O156" s="140"/>
      <c r="P156" s="114"/>
      <c r="Q156" s="114"/>
      <c r="R156" s="114"/>
      <c r="S156" s="114"/>
      <c r="W156" s="15" t="s">
        <v>312</v>
      </c>
      <c r="X156" s="18" t="s">
        <v>308</v>
      </c>
      <c r="Y156" s="72"/>
      <c r="Z156" s="72"/>
      <c r="AA156" s="72"/>
      <c r="AB156" s="18">
        <v>3</v>
      </c>
      <c r="AC156" s="18" t="s">
        <v>154</v>
      </c>
      <c r="AD156" s="14" t="str">
        <f ca="1">IF(NOT(AJ156),"",IF(X156=$BE$45,VLOOKUP(AA156,INDIRECT(CONCATENATE("rank.",Y156,Z156)),2,FALSE),VLOOKUP(CONCATENATE(AB156,AC156),result.e,2,FALSE)))</f>
        <v/>
      </c>
      <c r="AE156" s="18" t="s">
        <v>288</v>
      </c>
      <c r="AF156" s="120" t="str">
        <f ca="1">IF(OR(AD156="",X156=$BE$45),"",VLOOKUP(AD156,INDIRECT(CONCATENATE("rankname.",AE156)),2,FALSE))</f>
        <v/>
      </c>
      <c r="AG156" s="14" t="str">
        <f ca="1">IF(AD156="","",IF(X156=$BE$45,AD156,IF(AF156&gt;AF157,AD157,AD156)))</f>
        <v/>
      </c>
      <c r="AH156" s="120">
        <f ca="1">MAX(AY154:AY161)</f>
        <v>0</v>
      </c>
      <c r="AJ156" s="21" t="b">
        <f ca="1">IF(X156=$BE$45,IF(OR(Y156="",Z156="",AA156=""),FALSE,VLOOKUP(CONCATENATE(Y156,Z156),$BD$59:$BE$63,2,FALSE)),IF(OR(AB156="",AC156="",AE156=""),FALSE,VLOOKUP(CONCATENATE(AB156,"e"),result.e,2,FALSE)))</f>
        <v>0</v>
      </c>
      <c r="AL156" s="18" t="s">
        <v>331</v>
      </c>
      <c r="AP156" s="115" t="b">
        <f ca="1">AND(AP155,AL156&lt;&gt;"",(COUNTIF(AP155:AP155,"IGAZ")-COUNTIF(AV155:AV155,"IGAZ"))*X160+MAX(AY154:AZ155)&lt;X159)</f>
        <v>0</v>
      </c>
      <c r="AQ156" s="116" t="str">
        <f ca="1">IF(NOT(AP156),"",IF(AL156="p",AG156,AG157))</f>
        <v/>
      </c>
      <c r="AR156" s="117" t="str">
        <f ca="1">IF(NOT(AP156),"",IF(AL156="p",AG157,AG156))</f>
        <v/>
      </c>
      <c r="AT156" s="115" t="b">
        <f t="shared" ca="1" si="69"/>
        <v>0</v>
      </c>
      <c r="AU156" s="115" t="b">
        <f ca="1">AND(ASZTAB!$AJ$42,AT156,F156=H156)</f>
        <v>0</v>
      </c>
      <c r="AV156" s="115" t="b">
        <f t="shared" ca="1" si="70"/>
        <v>0</v>
      </c>
      <c r="AW156" s="116" t="str">
        <f t="shared" ca="1" si="71"/>
        <v/>
      </c>
      <c r="AX156" s="117" t="str">
        <f t="shared" ca="1" si="72"/>
        <v/>
      </c>
      <c r="AY156" s="116" t="str">
        <f ca="1">IF(OR(AY155="",NOT(AV156)),"",IF(AG156=AW156,X160,0)+AY155)</f>
        <v/>
      </c>
      <c r="AZ156" s="116" t="str">
        <f ca="1">IF(OR(AZ155="",NOT(AV156)),"",IF(AG157=AW156,X160,0)+AZ155)</f>
        <v/>
      </c>
      <c r="BD156" s="142"/>
      <c r="BI156" s="118">
        <f t="shared" si="46"/>
        <v>42483</v>
      </c>
      <c r="BK156" s="99"/>
      <c r="BM156" s="119"/>
    </row>
    <row r="157" spans="1:66" ht="15" customHeight="1" x14ac:dyDescent="0.3">
      <c r="A157" s="864"/>
      <c r="B157" s="7"/>
      <c r="C157" s="106">
        <v>3</v>
      </c>
      <c r="D157" s="137"/>
      <c r="E157" s="107" t="str">
        <f t="shared" ca="1" si="65"/>
        <v/>
      </c>
      <c r="F157" s="108"/>
      <c r="G157" s="64" t="str">
        <f t="shared" ca="1" si="66"/>
        <v/>
      </c>
      <c r="H157" s="109"/>
      <c r="I157" s="110" t="str">
        <f t="shared" ca="1" si="67"/>
        <v/>
      </c>
      <c r="J157" s="111"/>
      <c r="K157" s="112" t="str">
        <f t="shared" ca="1" si="68"/>
        <v/>
      </c>
      <c r="L157" s="113"/>
      <c r="M157" s="153" t="str">
        <f t="shared" ca="1" si="73"/>
        <v/>
      </c>
      <c r="N157" s="110"/>
      <c r="O157" s="140"/>
      <c r="P157" s="114"/>
      <c r="Q157" s="114"/>
      <c r="R157" s="114"/>
      <c r="S157" s="114"/>
      <c r="W157" s="15" t="s">
        <v>313</v>
      </c>
      <c r="X157" s="18" t="s">
        <v>308</v>
      </c>
      <c r="Y157" s="72"/>
      <c r="Z157" s="72"/>
      <c r="AA157" s="72"/>
      <c r="AB157" s="18">
        <v>4</v>
      </c>
      <c r="AC157" s="18" t="s">
        <v>154</v>
      </c>
      <c r="AD157" s="14" t="str">
        <f ca="1">IF(NOT(AJ157),"",IF(X157=$BE$45,VLOOKUP(AA157,INDIRECT(CONCATENATE("rank.",Y157,Z157)),2,FALSE),VLOOKUP(CONCATENATE(AB157,AC157),result.e,2,FALSE)))</f>
        <v/>
      </c>
      <c r="AE157" s="18" t="s">
        <v>288</v>
      </c>
      <c r="AF157" s="120" t="str">
        <f ca="1">IF(OR(AD157="",X157=$BE$45),"",VLOOKUP(AD157,INDIRECT(CONCATENATE("rankname.",AE157)),2,FALSE))</f>
        <v/>
      </c>
      <c r="AG157" s="14" t="str">
        <f ca="1">IF(AD157="","",IF(X157=$BE$45,AD157,IF(AF156&gt;AF157,AD156,AD157)))</f>
        <v/>
      </c>
      <c r="AH157" s="120">
        <f ca="1">MAX(AZ154:AZ161)</f>
        <v>0</v>
      </c>
      <c r="AJ157" s="21" t="b">
        <f ca="1">IF(X157=$BE$45,IF(OR(Y157="",Z157="",AA157=""),FALSE,VLOOKUP(CONCATENATE(Y157,Z157),$BD$59:$BE$63,2,FALSE)),IF(OR(AB157="",AC157="",AE157=""),FALSE,VLOOKUP(CONCATENATE(AB157,"e"),result.e,2,FALSE)))</f>
        <v>0</v>
      </c>
      <c r="AL157" s="18" t="s">
        <v>318</v>
      </c>
      <c r="AP157" s="115" t="b">
        <f ca="1">AND(AP156,AL157&lt;&gt;"",(COUNTIF(AP155:AP156,"IGAZ")-COUNTIF(AV155:AV156,"IGAZ"))*X160+MAX(AY154:AZ156)&lt;X159)</f>
        <v>0</v>
      </c>
      <c r="AQ157" s="116" t="str">
        <f ca="1">IF(NOT(AP157),"",IF(AL157="p",AG156,AG157))</f>
        <v/>
      </c>
      <c r="AR157" s="117" t="str">
        <f ca="1">IF(NOT(AP157),"",IF(AL157="p",AG157,AG156))</f>
        <v/>
      </c>
      <c r="AT157" s="115" t="b">
        <f t="shared" ca="1" si="69"/>
        <v>0</v>
      </c>
      <c r="AU157" s="115" t="b">
        <f ca="1">AND(ASZTAB!$AJ$42,AT157,F157=H157)</f>
        <v>0</v>
      </c>
      <c r="AV157" s="115" t="b">
        <f t="shared" ca="1" si="70"/>
        <v>0</v>
      </c>
      <c r="AW157" s="116" t="str">
        <f t="shared" ca="1" si="71"/>
        <v/>
      </c>
      <c r="AX157" s="117" t="str">
        <f t="shared" ca="1" si="72"/>
        <v/>
      </c>
      <c r="AY157" s="116" t="str">
        <f ca="1">IF(OR(AY156="",NOT(AV157)),"",IF(AG156=AW157,X160,0)+AY156)</f>
        <v/>
      </c>
      <c r="AZ157" s="116" t="str">
        <f ca="1">IF(OR(AZ156="",NOT(AV157)),"",IF(AG157=AW157,X160,0)+AZ156)</f>
        <v/>
      </c>
      <c r="BD157" s="142"/>
      <c r="BI157" s="118">
        <f t="shared" si="46"/>
        <v>42484</v>
      </c>
      <c r="BM157" s="119"/>
      <c r="BN157" s="119"/>
    </row>
    <row r="158" spans="1:66" ht="15" customHeight="1" x14ac:dyDescent="0.3">
      <c r="A158" s="864"/>
      <c r="B158" s="7"/>
      <c r="C158" s="106">
        <v>4</v>
      </c>
      <c r="D158" s="137"/>
      <c r="E158" s="107" t="str">
        <f t="shared" ca="1" si="65"/>
        <v/>
      </c>
      <c r="F158" s="108"/>
      <c r="G158" s="64" t="str">
        <f t="shared" ca="1" si="66"/>
        <v/>
      </c>
      <c r="H158" s="109"/>
      <c r="I158" s="110" t="str">
        <f t="shared" ca="1" si="67"/>
        <v/>
      </c>
      <c r="J158" s="111"/>
      <c r="K158" s="112" t="str">
        <f t="shared" ca="1" si="68"/>
        <v/>
      </c>
      <c r="L158" s="113"/>
      <c r="M158" s="153" t="str">
        <f t="shared" ca="1" si="73"/>
        <v/>
      </c>
      <c r="N158" s="110"/>
      <c r="O158" s="140"/>
      <c r="P158" s="114"/>
      <c r="Q158" s="114"/>
      <c r="AL158" s="18" t="s">
        <v>331</v>
      </c>
      <c r="AP158" s="115" t="b">
        <f ca="1">AND(AP157,AL158&lt;&gt;"",(COUNTIF(AP155:AP157,"IGAZ")-COUNTIF(AV155:AV157,"IGAZ"))*X160+MAX(AY154:AZ157)&lt;X159)</f>
        <v>0</v>
      </c>
      <c r="AQ158" s="116" t="str">
        <f ca="1">IF(NOT(AP158),"",IF(AL158="p",AG156,AG157))</f>
        <v/>
      </c>
      <c r="AR158" s="117" t="str">
        <f ca="1">IF(NOT(AP158),"",IF(AL158="p",AG157,AG156))</f>
        <v/>
      </c>
      <c r="AT158" s="115" t="b">
        <f t="shared" ca="1" si="69"/>
        <v>0</v>
      </c>
      <c r="AU158" s="115" t="b">
        <f ca="1">AND(ASZTAB!$AJ$42,AT158,F158=H158)</f>
        <v>0</v>
      </c>
      <c r="AV158" s="115" t="b">
        <f t="shared" ca="1" si="70"/>
        <v>0</v>
      </c>
      <c r="AW158" s="116" t="str">
        <f t="shared" ca="1" si="71"/>
        <v/>
      </c>
      <c r="AX158" s="117" t="str">
        <f t="shared" ca="1" si="72"/>
        <v/>
      </c>
      <c r="AY158" s="116" t="str">
        <f ca="1">IF(OR(AY157="",NOT(AV158)),"",IF(AG156=AW158,X160,0)+AY157)</f>
        <v/>
      </c>
      <c r="AZ158" s="116" t="str">
        <f ca="1">IF(OR(AZ157="",NOT(AV158)),"",IF(AG157=AW158,X160,0)+AZ157)</f>
        <v/>
      </c>
      <c r="BD158" s="142"/>
      <c r="BI158" s="118">
        <f t="shared" si="46"/>
        <v>42485</v>
      </c>
      <c r="BM158" s="119"/>
    </row>
    <row r="159" spans="1:66" ht="15" customHeight="1" x14ac:dyDescent="0.3">
      <c r="A159" s="864"/>
      <c r="B159" s="121"/>
      <c r="C159" s="106">
        <v>5</v>
      </c>
      <c r="D159" s="137"/>
      <c r="E159" s="107" t="str">
        <f t="shared" ca="1" si="65"/>
        <v/>
      </c>
      <c r="F159" s="108"/>
      <c r="G159" s="64" t="str">
        <f t="shared" ca="1" si="66"/>
        <v/>
      </c>
      <c r="H159" s="109"/>
      <c r="I159" s="110" t="str">
        <f t="shared" ca="1" si="67"/>
        <v/>
      </c>
      <c r="J159" s="111"/>
      <c r="K159" s="112" t="str">
        <f t="shared" ca="1" si="68"/>
        <v/>
      </c>
      <c r="L159" s="113"/>
      <c r="M159" s="153" t="str">
        <f t="shared" ca="1" si="73"/>
        <v/>
      </c>
      <c r="N159" s="110"/>
      <c r="O159" s="140"/>
      <c r="P159" s="114"/>
      <c r="Q159" s="114"/>
      <c r="R159" s="114"/>
      <c r="S159" s="114"/>
      <c r="W159" s="15" t="s">
        <v>315</v>
      </c>
      <c r="X159" s="18">
        <v>2</v>
      </c>
      <c r="AD159" s="15"/>
      <c r="AE159" s="15" t="s">
        <v>312</v>
      </c>
      <c r="AF159" s="15" t="str">
        <f>CONCATENATE(V153,"f")</f>
        <v>8f</v>
      </c>
      <c r="AG159" s="16" t="str">
        <f ca="1">IF(OR(NOT(AJ156),NOT(AJ157)),"",AD156)</f>
        <v/>
      </c>
      <c r="AH159" s="23" t="str">
        <f ca="1">IF(OR(NOT(AJ156),NOT(AJ157)),"",VLOOKUP(AG159,AG156:AH157,2,FALSE))</f>
        <v/>
      </c>
      <c r="AL159" s="18" t="s">
        <v>318</v>
      </c>
      <c r="AP159" s="115" t="b">
        <f ca="1">AND(AP158,AL159&lt;&gt;"",(COUNTIF(AP155:AP158,"IGAZ")-COUNTIF(AV155:AV158,"IGAZ"))*X160+MAX(AY154:AZ158)&lt;X159)</f>
        <v>0</v>
      </c>
      <c r="AQ159" s="116" t="str">
        <f ca="1">IF(NOT(AP159),"",IF(AL159="p",AG156,AG157))</f>
        <v/>
      </c>
      <c r="AR159" s="117" t="str">
        <f ca="1">IF(NOT(AP159),"",IF(AL159="p",AG157,AG156))</f>
        <v/>
      </c>
      <c r="AT159" s="115" t="b">
        <f t="shared" ca="1" si="69"/>
        <v>0</v>
      </c>
      <c r="AU159" s="115" t="b">
        <f ca="1">AND(ASZTAB!$AJ$42,AT159,F159=H159)</f>
        <v>0</v>
      </c>
      <c r="AV159" s="115" t="b">
        <f t="shared" ca="1" si="70"/>
        <v>0</v>
      </c>
      <c r="AW159" s="116" t="str">
        <f t="shared" ca="1" si="71"/>
        <v/>
      </c>
      <c r="AX159" s="117" t="str">
        <f t="shared" ca="1" si="72"/>
        <v/>
      </c>
      <c r="AY159" s="116" t="str">
        <f ca="1">IF(OR(AY158="",NOT(AV159)),"",IF(AG156=AW159,X160,0)+AY158)</f>
        <v/>
      </c>
      <c r="AZ159" s="116" t="str">
        <f ca="1">IF(OR(AZ158="",NOT(AV159)),"",IF(AG157=AW159,X160,0)+AZ158)</f>
        <v/>
      </c>
      <c r="BD159" s="142"/>
      <c r="BI159" s="118">
        <f t="shared" si="46"/>
        <v>42486</v>
      </c>
      <c r="BK159" s="119"/>
      <c r="BL159" s="119"/>
      <c r="BM159" s="119"/>
    </row>
    <row r="160" spans="1:66" ht="15" customHeight="1" x14ac:dyDescent="0.3">
      <c r="A160" s="864"/>
      <c r="B160" s="122"/>
      <c r="C160" s="106">
        <v>6</v>
      </c>
      <c r="D160" s="137"/>
      <c r="E160" s="107" t="str">
        <f t="shared" ca="1" si="65"/>
        <v/>
      </c>
      <c r="F160" s="108"/>
      <c r="G160" s="64" t="str">
        <f t="shared" ca="1" si="66"/>
        <v/>
      </c>
      <c r="H160" s="109"/>
      <c r="I160" s="110" t="str">
        <f t="shared" ca="1" si="67"/>
        <v/>
      </c>
      <c r="J160" s="111"/>
      <c r="K160" s="112" t="str">
        <f t="shared" ca="1" si="68"/>
        <v/>
      </c>
      <c r="L160" s="113"/>
      <c r="M160" s="8" t="str">
        <f t="shared" ca="1" si="73"/>
        <v/>
      </c>
      <c r="N160" s="123"/>
      <c r="O160" s="141"/>
      <c r="W160" s="15" t="s">
        <v>327</v>
      </c>
      <c r="X160" s="18">
        <v>1</v>
      </c>
      <c r="AD160" s="15"/>
      <c r="AE160" s="15" t="s">
        <v>313</v>
      </c>
      <c r="AF160" s="15" t="str">
        <f>CONCATENATE(V153,"a")</f>
        <v>8a</v>
      </c>
      <c r="AG160" s="16" t="str">
        <f ca="1">IF(OR(NOT(AJ156),NOT(AJ157)),"",AD157)</f>
        <v/>
      </c>
      <c r="AH160" s="23" t="str">
        <f ca="1">IF(OR(NOT(AJ156),NOT(AJ157)),"",VLOOKUP(AG160,AG156:AH157,2,FALSE))</f>
        <v/>
      </c>
      <c r="AL160" s="18" t="s">
        <v>331</v>
      </c>
      <c r="AP160" s="115" t="b">
        <f ca="1">AND(AP159,AL160&lt;&gt;"",(COUNTIF(AP155:AP159,"IGAZ")-COUNTIF(AV155:AV159,"IGAZ"))*X160+MAX(AY154:AZ159)&lt;X159)</f>
        <v>0</v>
      </c>
      <c r="AQ160" s="116" t="str">
        <f ca="1">IF(NOT(AP160),"",IF(AL160="p",AG156,AG157))</f>
        <v/>
      </c>
      <c r="AR160" s="117" t="str">
        <f ca="1">IF(NOT(AP160),"",IF(AL160="p",AG157,AG156))</f>
        <v/>
      </c>
      <c r="AT160" s="115" t="b">
        <f t="shared" ca="1" si="69"/>
        <v>0</v>
      </c>
      <c r="AU160" s="115" t="b">
        <f ca="1">AND(ASZTAB!$AJ$42,AT160,F160=H160)</f>
        <v>0</v>
      </c>
      <c r="AV160" s="115" t="b">
        <f t="shared" ca="1" si="70"/>
        <v>0</v>
      </c>
      <c r="AW160" s="116" t="str">
        <f t="shared" ca="1" si="71"/>
        <v/>
      </c>
      <c r="AX160" s="117" t="str">
        <f t="shared" ca="1" si="72"/>
        <v/>
      </c>
      <c r="AY160" s="116" t="str">
        <f ca="1">IF(OR(AY159="",NOT(AV160)),"",IF(AG156=AW160,X160,0)+AY159)</f>
        <v/>
      </c>
      <c r="AZ160" s="116" t="str">
        <f ca="1">IF(OR(AZ159="",NOT(AV160)),"",IF(AG157=AW160,X160,0)+AZ159)</f>
        <v/>
      </c>
      <c r="BD160" s="142"/>
      <c r="BI160" s="118">
        <f t="shared" si="46"/>
        <v>42487</v>
      </c>
      <c r="BK160" s="119"/>
      <c r="BL160" s="119"/>
      <c r="BM160" s="119"/>
    </row>
    <row r="161" spans="1:66" ht="15" customHeight="1" x14ac:dyDescent="0.3">
      <c r="A161" s="864"/>
      <c r="B161" s="122"/>
      <c r="C161" s="106">
        <v>7</v>
      </c>
      <c r="D161" s="137"/>
      <c r="E161" s="107" t="str">
        <f t="shared" ca="1" si="65"/>
        <v/>
      </c>
      <c r="F161" s="108"/>
      <c r="G161" s="64" t="str">
        <f t="shared" ca="1" si="66"/>
        <v/>
      </c>
      <c r="H161" s="109"/>
      <c r="I161" s="110" t="str">
        <f t="shared" ca="1" si="67"/>
        <v/>
      </c>
      <c r="J161" s="111"/>
      <c r="K161" s="112" t="str">
        <f t="shared" ca="1" si="68"/>
        <v/>
      </c>
      <c r="L161" s="113"/>
      <c r="M161" s="8" t="str">
        <f t="shared" ca="1" si="73"/>
        <v/>
      </c>
      <c r="N161" s="123"/>
      <c r="O161" s="141"/>
      <c r="AE161" s="15" t="s">
        <v>316</v>
      </c>
      <c r="AF161" s="15" t="str">
        <f>CONCATENATE(V153,"w")</f>
        <v>8w</v>
      </c>
      <c r="AG161" s="16" t="str">
        <f ca="1">IF(AND(AJ156,AJ157),IF(MAX(AY155:AY161)&gt;=X159,AG156,IF(MAX(AZ155:AZ161)&gt;=X159,AG157,"")),"")</f>
        <v/>
      </c>
      <c r="AL161" s="18" t="s">
        <v>318</v>
      </c>
      <c r="AP161" s="115" t="b">
        <f ca="1">AND(AP160,AL161&lt;&gt;"",(COUNTIF(AP155:AP160,"IGAZ")-COUNTIF(AV155:AV160,"IGAZ"))*X160+MAX(AY154:AZ160)&lt;X159)</f>
        <v>0</v>
      </c>
      <c r="AQ161" s="116" t="str">
        <f ca="1">IF(NOT(AP161),"",IF(AL161="p",AG156,AG157))</f>
        <v/>
      </c>
      <c r="AR161" s="117" t="str">
        <f ca="1">IF(NOT(AP161),"",IF(AL161="p",AG157,AG156))</f>
        <v/>
      </c>
      <c r="AT161" s="115" t="b">
        <f t="shared" ca="1" si="69"/>
        <v>0</v>
      </c>
      <c r="AU161" s="115" t="b">
        <f ca="1">AND(ASZTAB!$AJ$42,AT161,F161=H161)</f>
        <v>0</v>
      </c>
      <c r="AV161" s="115" t="b">
        <f t="shared" ca="1" si="70"/>
        <v>0</v>
      </c>
      <c r="AW161" s="116" t="str">
        <f t="shared" ca="1" si="71"/>
        <v/>
      </c>
      <c r="AX161" s="117" t="str">
        <f t="shared" ca="1" si="72"/>
        <v/>
      </c>
      <c r="AY161" s="116" t="str">
        <f ca="1">IF(OR(AY160="",NOT(AV161)),"",IF(AG156=AW161,X160,0)+AY160)</f>
        <v/>
      </c>
      <c r="AZ161" s="116" t="str">
        <f ca="1">IF(OR(AZ160="",NOT(AV161)),"",IF(AG157=AW161,X160,0)+AZ160)</f>
        <v/>
      </c>
      <c r="BD161" s="142"/>
      <c r="BI161" s="118">
        <f t="shared" si="46"/>
        <v>42488</v>
      </c>
      <c r="BK161" s="119"/>
      <c r="BL161" s="119"/>
      <c r="BM161" s="119"/>
      <c r="BN161" s="119"/>
    </row>
    <row r="162" spans="1:66" ht="15" customHeight="1" x14ac:dyDescent="0.3">
      <c r="A162" s="864"/>
      <c r="B162" s="122"/>
      <c r="C162" s="106"/>
      <c r="D162" s="123"/>
      <c r="E162" s="124"/>
      <c r="F162" s="125"/>
      <c r="G162" s="123"/>
      <c r="H162" s="114"/>
      <c r="I162" s="123"/>
      <c r="J162" s="125"/>
      <c r="K162" s="123"/>
      <c r="L162" s="114"/>
      <c r="M162" s="123"/>
      <c r="N162" s="123"/>
      <c r="O162" s="123"/>
      <c r="AE162" s="15" t="s">
        <v>317</v>
      </c>
      <c r="AF162" s="15" t="str">
        <f>CONCATENATE(V153,"l")</f>
        <v>8l</v>
      </c>
      <c r="AG162" s="16" t="str">
        <f ca="1">IF(AG161=AG156,AG157,IF(AG157=AG161,AG156,""))</f>
        <v/>
      </c>
      <c r="AL162" s="126" t="s">
        <v>330</v>
      </c>
      <c r="BD162" s="142"/>
      <c r="BI162" s="118">
        <f t="shared" si="46"/>
        <v>42489</v>
      </c>
      <c r="BK162" s="119"/>
      <c r="BL162" s="119"/>
      <c r="BM162" s="119"/>
      <c r="BN162" s="119"/>
    </row>
    <row r="163" spans="1:66" ht="15" customHeight="1" x14ac:dyDescent="0.3">
      <c r="A163" s="864"/>
      <c r="B163" s="122"/>
      <c r="C163" s="127" t="s">
        <v>463</v>
      </c>
      <c r="D163" s="123"/>
      <c r="E163" s="124"/>
      <c r="F163" s="125"/>
      <c r="G163" s="123"/>
      <c r="H163" s="114"/>
      <c r="I163" s="123"/>
      <c r="J163" s="125"/>
      <c r="K163" s="123"/>
      <c r="L163" s="114"/>
      <c r="M163" s="123"/>
      <c r="N163" s="123"/>
      <c r="O163" s="123"/>
      <c r="Y163" s="11" t="s">
        <v>294</v>
      </c>
      <c r="Z163" s="70" t="s">
        <v>311</v>
      </c>
      <c r="AA163" s="70" t="s">
        <v>153</v>
      </c>
      <c r="AB163" s="70" t="s">
        <v>153</v>
      </c>
      <c r="AE163" s="15" t="s">
        <v>287</v>
      </c>
      <c r="AF163" s="15" t="str">
        <f>CONCATENATE(V153,"e")</f>
        <v>8e</v>
      </c>
      <c r="AG163" s="21" t="b">
        <f ca="1">AND(AG161&lt;&gt;"",AG162&lt;&gt;"")</f>
        <v>0</v>
      </c>
      <c r="BD163" s="15"/>
      <c r="BI163" s="118">
        <f t="shared" si="46"/>
        <v>42490</v>
      </c>
      <c r="BK163" s="119"/>
      <c r="BL163" s="119"/>
      <c r="BM163" s="119"/>
      <c r="BN163" s="119"/>
    </row>
    <row r="164" spans="1:66" ht="15" customHeight="1" x14ac:dyDescent="0.3">
      <c r="A164" s="864"/>
      <c r="B164" s="122"/>
      <c r="C164" s="865"/>
      <c r="D164" s="865"/>
      <c r="E164" s="865"/>
      <c r="F164" s="865"/>
      <c r="G164" s="865"/>
      <c r="H164" s="865"/>
      <c r="I164" s="865"/>
      <c r="J164" s="865"/>
      <c r="K164" s="865"/>
      <c r="L164" s="865"/>
      <c r="M164" s="865"/>
      <c r="N164" s="865"/>
      <c r="O164" s="865"/>
      <c r="W164" s="15" t="s">
        <v>319</v>
      </c>
      <c r="X164" s="18" t="b">
        <v>0</v>
      </c>
      <c r="Y164" s="72" t="s">
        <v>289</v>
      </c>
      <c r="Z164" s="16" t="str">
        <f ca="1">IF(AND(AJ156,AJ157,X164,Y164&lt;&gt;""),CONCATENATE(VLOOKUP(CONCATENATE(AG156,AG157),INDIRECT(CONCATENATE("games.",Y164)),9,FALSE),VLOOKUP(CONCATENATE(AG156,AG157),INDIRECT(CONCATENATE("games.",Y164)),12,FALSE)),"")</f>
        <v/>
      </c>
      <c r="AA164" s="16" t="str">
        <f ca="1">IF(AND(AJ156,AJ157,X164,Y164&lt;&gt;""),VLOOKUP(CONCATENATE(AG156,AG157),INDIRECT(CONCATENATE("games.",Y164)),10,FALSE),"")</f>
        <v/>
      </c>
      <c r="AB164" s="54" t="str">
        <f ca="1">IF(AND(AJ156,AJ157,X164,Y164&lt;&gt;""),VLOOKUP(CONCATENATE(AG156,AG157),INDIRECT(CONCATENATE("games.",Y164)),13,FALSE),"")</f>
        <v/>
      </c>
      <c r="BD164" s="15"/>
      <c r="BI164" s="118">
        <f t="shared" si="46"/>
        <v>42491</v>
      </c>
      <c r="BK164" s="119"/>
      <c r="BL164" s="119"/>
      <c r="BM164" s="119"/>
      <c r="BN164" s="119"/>
    </row>
    <row r="165" spans="1:66" ht="15" customHeight="1" x14ac:dyDescent="0.3">
      <c r="A165" s="864"/>
      <c r="B165" s="122"/>
      <c r="C165" s="866"/>
      <c r="D165" s="866"/>
      <c r="E165" s="866"/>
      <c r="F165" s="866"/>
      <c r="G165" s="866"/>
      <c r="H165" s="866"/>
      <c r="I165" s="866"/>
      <c r="J165" s="866"/>
      <c r="K165" s="866"/>
      <c r="L165" s="866"/>
      <c r="M165" s="866"/>
      <c r="N165" s="866"/>
      <c r="O165" s="866"/>
      <c r="Z165" s="16" t="str">
        <f ca="1">IF(AND(AJ156,AJ157,X164,Y164&lt;&gt;""),CONCATENATE(VLOOKUP(CONCATENATE(AG157,AG156),INDIRECT(CONCATENATE("games.",Y164)),9,FALSE),VLOOKUP(CONCATENATE(AG157,AG156),INDIRECT(CONCATENATE("games.",Y164)),12,FALSE)),"")</f>
        <v/>
      </c>
      <c r="AA165" s="16" t="str">
        <f ca="1">IF(AND(AJ156,AJ157,X164,Y164&lt;&gt;""),VLOOKUP(CONCATENATE(AG157,AG156),INDIRECT(CONCATENATE("games.",Y164)),10,FALSE),"")</f>
        <v/>
      </c>
      <c r="AB165" s="54" t="str">
        <f ca="1">IF(AND(AJ156,AJ157,X164,Y164&lt;&gt;""),VLOOKUP(CONCATENATE(AG157,AG156),INDIRECT(CONCATENATE("games.",Y164)),13,FALSE),"")</f>
        <v/>
      </c>
      <c r="BD165" s="15"/>
      <c r="BI165" s="118">
        <f t="shared" si="46"/>
        <v>42492</v>
      </c>
      <c r="BK165" s="119"/>
      <c r="BL165" s="119"/>
      <c r="BM165" s="119"/>
      <c r="BN165" s="119"/>
    </row>
    <row r="166" spans="1:66" ht="15" customHeight="1" x14ac:dyDescent="0.3">
      <c r="A166" s="864"/>
      <c r="B166" s="122"/>
      <c r="C166" s="866"/>
      <c r="D166" s="866"/>
      <c r="E166" s="866"/>
      <c r="F166" s="866"/>
      <c r="G166" s="866"/>
      <c r="H166" s="866"/>
      <c r="I166" s="866"/>
      <c r="J166" s="866"/>
      <c r="K166" s="866"/>
      <c r="L166" s="866"/>
      <c r="M166" s="866"/>
      <c r="N166" s="866"/>
      <c r="O166" s="866"/>
      <c r="BD166" s="15"/>
      <c r="BI166" s="118">
        <f t="shared" si="46"/>
        <v>42493</v>
      </c>
      <c r="BK166" s="119"/>
      <c r="BL166" s="119"/>
      <c r="BM166" s="119"/>
      <c r="BN166" s="119"/>
    </row>
    <row r="167" spans="1:66" ht="15" customHeight="1" x14ac:dyDescent="0.3">
      <c r="A167" s="864"/>
      <c r="B167" s="122"/>
      <c r="C167" s="106"/>
      <c r="D167" s="123"/>
      <c r="E167" s="124"/>
      <c r="F167" s="125"/>
      <c r="G167" s="123"/>
      <c r="H167" s="114"/>
      <c r="I167" s="123"/>
      <c r="J167" s="125"/>
      <c r="K167" s="123"/>
      <c r="L167" s="114"/>
      <c r="M167" s="123"/>
      <c r="N167" s="123"/>
      <c r="O167" s="123"/>
      <c r="U167" s="10"/>
      <c r="V167" s="128"/>
      <c r="W167" s="129"/>
      <c r="X167" s="10"/>
      <c r="Y167" s="130"/>
      <c r="Z167" s="130"/>
      <c r="AA167" s="130"/>
      <c r="AB167" s="130"/>
      <c r="AC167" s="130"/>
      <c r="AD167" s="130"/>
      <c r="AE167" s="130"/>
      <c r="AF167" s="130"/>
      <c r="AG167" s="130"/>
      <c r="AH167" s="130"/>
      <c r="AI167" s="130"/>
      <c r="AJ167" s="130"/>
      <c r="AK167" s="130"/>
      <c r="AL167" s="130"/>
      <c r="AM167" s="10"/>
      <c r="AO167" s="131"/>
      <c r="AP167" s="131"/>
      <c r="AQ167" s="132"/>
      <c r="AR167" s="132"/>
      <c r="AS167" s="132"/>
      <c r="AT167" s="131"/>
      <c r="AU167" s="131"/>
      <c r="AV167" s="131"/>
      <c r="AW167" s="132"/>
      <c r="AX167" s="132"/>
      <c r="AY167" s="131"/>
      <c r="AZ167" s="131"/>
      <c r="BA167" s="131"/>
      <c r="BD167" s="15"/>
      <c r="BI167" s="118">
        <f t="shared" si="46"/>
        <v>42494</v>
      </c>
      <c r="BK167" s="119"/>
      <c r="BL167" s="119"/>
      <c r="BM167" s="119"/>
      <c r="BN167" s="119"/>
    </row>
    <row r="168" spans="1:66" ht="15" customHeight="1" x14ac:dyDescent="0.3">
      <c r="A168" s="864"/>
      <c r="B168" s="88"/>
      <c r="C168" s="89"/>
      <c r="D168" s="90"/>
      <c r="BI168" s="118">
        <f t="shared" si="46"/>
        <v>42495</v>
      </c>
      <c r="BM168" s="119"/>
    </row>
    <row r="169" spans="1:66" ht="15" customHeight="1" x14ac:dyDescent="0.3">
      <c r="A169" s="864"/>
      <c r="B169" s="147"/>
      <c r="C169" s="149">
        <f>V169</f>
        <v>9</v>
      </c>
      <c r="D169" s="150" t="str">
        <f>UPPER(W169)</f>
        <v/>
      </c>
      <c r="E169" s="151"/>
      <c r="F169" s="151"/>
      <c r="G169" s="151"/>
      <c r="H169" s="151"/>
      <c r="I169" s="151"/>
      <c r="J169" s="151"/>
      <c r="K169" s="151"/>
      <c r="L169" s="151"/>
      <c r="M169" s="138"/>
      <c r="N169" s="151"/>
      <c r="O169" s="161" t="str">
        <f ca="1">IF(NOT(AG179),"","A PÁRHARC GYŐZTESE: "&amp;UPPER(AG177))</f>
        <v/>
      </c>
      <c r="P169" s="152" t="str">
        <f>IF(NOT(Y177),"",CONCATENATE("A PÁRHARC GYŐZTESE: ",AH175," "))</f>
        <v/>
      </c>
      <c r="Q169" s="148" t="str">
        <f>IF(NOT(Z177),"",CONCATENATE("A PÁRHARC GYŐZTESE: ",AJ175," "))</f>
        <v/>
      </c>
      <c r="R169" s="148" t="str">
        <f>IF(NOT(AA177),"",CONCATENATE("A PÁRHARC GYŐZTESE: ",AK175," "))</f>
        <v/>
      </c>
      <c r="S169" s="148" t="str">
        <f>IF(NOT(AB177),"",CONCATENATE("A PÁRHARC GYŐZTESE: ",AL175," "))</f>
        <v/>
      </c>
      <c r="V169" s="21">
        <f>V153+1</f>
        <v>9</v>
      </c>
      <c r="W169" s="95"/>
      <c r="X169" s="96"/>
      <c r="Y169" s="96"/>
      <c r="Z169" s="96"/>
      <c r="AA169" s="96"/>
      <c r="AB169" s="96"/>
      <c r="AC169" s="96"/>
      <c r="AD169" s="96"/>
      <c r="AE169" s="96"/>
      <c r="AF169" s="96"/>
      <c r="AG169" s="96"/>
      <c r="AH169" s="96"/>
      <c r="AI169" s="96"/>
      <c r="AJ169" s="96"/>
      <c r="AK169" s="96"/>
      <c r="AL169" s="97"/>
      <c r="AY169" s="13" t="s">
        <v>326</v>
      </c>
      <c r="AZ169" s="13" t="s">
        <v>325</v>
      </c>
      <c r="BD169" s="142"/>
      <c r="BH169" s="98"/>
      <c r="BI169" s="118">
        <f t="shared" si="46"/>
        <v>42496</v>
      </c>
      <c r="BJ169" s="98"/>
      <c r="BK169" s="99"/>
      <c r="BL169" s="99"/>
      <c r="BM169" s="119"/>
    </row>
    <row r="170" spans="1:66" ht="11.25" customHeight="1" x14ac:dyDescent="0.3">
      <c r="A170" s="864"/>
      <c r="C170" s="101"/>
      <c r="D170" s="102"/>
      <c r="E170" s="103"/>
      <c r="F170" s="58"/>
      <c r="G170" s="104"/>
      <c r="H170" s="60"/>
      <c r="I170" s="146"/>
      <c r="J170" s="107"/>
      <c r="K170" s="160" t="str">
        <f>IF(OR(AU171,AU172,AU173,AU174,AU175,AU176,AU177),"BÜNTETŐK","")</f>
        <v/>
      </c>
      <c r="L170" s="110"/>
      <c r="M170" s="158" t="s">
        <v>286</v>
      </c>
      <c r="N170" s="159"/>
      <c r="O170" s="158" t="s">
        <v>285</v>
      </c>
      <c r="AP170" s="105" t="s">
        <v>328</v>
      </c>
      <c r="AQ170" s="12" t="s">
        <v>138</v>
      </c>
      <c r="AR170" s="12" t="s">
        <v>139</v>
      </c>
      <c r="AT170" s="105" t="s">
        <v>320</v>
      </c>
      <c r="AU170" s="105" t="s">
        <v>321</v>
      </c>
      <c r="AV170" s="105" t="s">
        <v>324</v>
      </c>
      <c r="AW170" s="12" t="s">
        <v>322</v>
      </c>
      <c r="AX170" s="12" t="s">
        <v>323</v>
      </c>
      <c r="AY170" s="116">
        <f>IF(X180,COUNTIF(Z180:Z181,AG172)*ASZTAB!$AJ$48+COUNTIF(AA180:AB181,AG172),0)</f>
        <v>0</v>
      </c>
      <c r="AZ170" s="116">
        <f>IF(X180,COUNTIF(Z180:Z181,AG173)*ASZTAB!$AJ$48+COUNTIF(AA180:AB181,AG173),0)</f>
        <v>0</v>
      </c>
      <c r="BD170" s="142"/>
      <c r="BH170" s="98"/>
      <c r="BI170" s="118">
        <f t="shared" si="46"/>
        <v>42497</v>
      </c>
      <c r="BJ170" s="98"/>
      <c r="BK170" s="99"/>
      <c r="BL170" s="99"/>
      <c r="BM170" s="119"/>
    </row>
    <row r="171" spans="1:66" ht="15" customHeight="1" x14ac:dyDescent="0.3">
      <c r="A171" s="864"/>
      <c r="B171" s="7"/>
      <c r="C171" s="106">
        <v>1</v>
      </c>
      <c r="D171" s="137"/>
      <c r="E171" s="107" t="str">
        <f t="shared" ref="E171:E177" si="74">IF(NOT($AP171),"",AQ171)</f>
        <v/>
      </c>
      <c r="F171" s="108"/>
      <c r="G171" s="64" t="str">
        <f t="shared" ref="G171:G177" si="75">IF(NOT($AP171),"","–")</f>
        <v/>
      </c>
      <c r="H171" s="109"/>
      <c r="I171" s="110" t="str">
        <f t="shared" ref="I171:I177" si="76">IF(NOT($AP171),"",AR171)</f>
        <v/>
      </c>
      <c r="J171" s="111"/>
      <c r="K171" s="112" t="str">
        <f t="shared" ref="K171:K177" si="77">IF(AU171,"–","")</f>
        <v/>
      </c>
      <c r="L171" s="113"/>
      <c r="M171" s="153" t="str">
        <f>IF(OR(AL171="",NOT(AV171)),"",IF(AL171="p",CONCATENATE(AY171,"–",AZ171),CONCATENATE(AZ171,"–",AY171)))</f>
        <v/>
      </c>
      <c r="N171" s="110"/>
      <c r="O171" s="139"/>
      <c r="P171" s="114"/>
      <c r="Q171" s="114"/>
      <c r="R171" s="114"/>
      <c r="S171" s="114"/>
      <c r="X171" s="11" t="s">
        <v>306</v>
      </c>
      <c r="Y171" s="11" t="s">
        <v>294</v>
      </c>
      <c r="Z171" s="70" t="s">
        <v>295</v>
      </c>
      <c r="AA171" s="70" t="s">
        <v>127</v>
      </c>
      <c r="AB171" s="70" t="s">
        <v>301</v>
      </c>
      <c r="AC171" s="70" t="s">
        <v>302</v>
      </c>
      <c r="AD171" s="70" t="s">
        <v>332</v>
      </c>
      <c r="AE171" s="70" t="s">
        <v>333</v>
      </c>
      <c r="AF171" s="70" t="s">
        <v>329</v>
      </c>
      <c r="AG171" s="70" t="s">
        <v>303</v>
      </c>
      <c r="AH171" s="70" t="s">
        <v>293</v>
      </c>
      <c r="AJ171" s="71" t="s">
        <v>314</v>
      </c>
      <c r="AL171" s="18" t="s">
        <v>318</v>
      </c>
      <c r="AP171" s="115" t="b">
        <f>AND(AJ172,AJ173,AL171&lt;&gt;"")</f>
        <v>0</v>
      </c>
      <c r="AQ171" s="116" t="str">
        <f>IF(NOT(AP171),"",IF(AL171="p",AG172,AG173))</f>
        <v/>
      </c>
      <c r="AR171" s="117" t="str">
        <f>IF(NOT(AP171),"",IF(AL171="p",AG173,AG172))</f>
        <v/>
      </c>
      <c r="AT171" s="115" t="b">
        <f t="shared" ref="AT171:AT177" si="78">AND(F171&lt;&gt;"",H171&lt;&gt;"",AP171)</f>
        <v>0</v>
      </c>
      <c r="AU171" s="115" t="b">
        <f>AND(ASZTAB!$AJ$42,AT171,F171=H171)</f>
        <v>0</v>
      </c>
      <c r="AV171" s="115" t="b">
        <f t="shared" ref="AV171:AV177" si="79">OR(AND(AT171,NOT(AU171),F171&lt;&gt;H171),AND(AT171,AU171,J171&lt;&gt;"",L171&lt;&gt;"",J171&lt;&gt;L171))</f>
        <v>0</v>
      </c>
      <c r="AW171" s="116" t="str">
        <f t="shared" ref="AW171:AW177" si="80">IF(NOT(AV171),"",IF(AU171,IF(F171+J171&gt;H171+L171,E171,I171),IF(F171&gt;H171,E171,I171)))</f>
        <v/>
      </c>
      <c r="AX171" s="117" t="str">
        <f t="shared" ref="AX171:AX177" si="81">IF(NOT(AV171),"",IF(AW171=E171,I171,IF(AW171=I171,E171,"")))</f>
        <v/>
      </c>
      <c r="AY171" s="116" t="str">
        <f>IF(NOT(AV171),"",IF(AG172=AW171,X176,0)+AY170)</f>
        <v/>
      </c>
      <c r="AZ171" s="116" t="str">
        <f>IF(NOT(AV171),"",IF(AG173=AW171,X176,0)+AZ170)</f>
        <v/>
      </c>
      <c r="BD171" s="142"/>
      <c r="BI171" s="118">
        <f t="shared" si="46"/>
        <v>42498</v>
      </c>
      <c r="BK171" s="99"/>
      <c r="BL171" s="119"/>
      <c r="BM171" s="119"/>
    </row>
    <row r="172" spans="1:66" ht="15" customHeight="1" x14ac:dyDescent="0.3">
      <c r="A172" s="864"/>
      <c r="B172" s="7"/>
      <c r="C172" s="106">
        <v>2</v>
      </c>
      <c r="D172" s="137"/>
      <c r="E172" s="107" t="str">
        <f t="shared" si="74"/>
        <v/>
      </c>
      <c r="F172" s="108"/>
      <c r="G172" s="64" t="str">
        <f t="shared" si="75"/>
        <v/>
      </c>
      <c r="H172" s="109"/>
      <c r="I172" s="110" t="str">
        <f t="shared" si="76"/>
        <v/>
      </c>
      <c r="J172" s="111"/>
      <c r="K172" s="112" t="str">
        <f t="shared" si="77"/>
        <v/>
      </c>
      <c r="L172" s="113"/>
      <c r="M172" s="153" t="str">
        <f t="shared" ref="M172:M177" si="82">IF(OR(AL172="",NOT(AV172)),"",IF(AL172="p",CONCATENATE(AY172,"–",AZ172),CONCATENATE(AZ172,"–",AY172)))</f>
        <v/>
      </c>
      <c r="N172" s="110"/>
      <c r="O172" s="140"/>
      <c r="P172" s="114"/>
      <c r="Q172" s="114"/>
      <c r="R172" s="114"/>
      <c r="S172" s="114"/>
      <c r="W172" s="15" t="s">
        <v>312</v>
      </c>
      <c r="X172" s="18"/>
      <c r="Y172" s="72"/>
      <c r="Z172" s="72"/>
      <c r="AA172" s="72"/>
      <c r="AB172" s="18"/>
      <c r="AC172" s="18"/>
      <c r="AD172" s="14" t="str">
        <f ca="1">IF(NOT(AJ172),"",IF(X172=$BE$45,VLOOKUP(AA172,INDIRECT(CONCATENATE("rank.",Y172,Z172)),2,FALSE),VLOOKUP(CONCATENATE(AB172,AC172),result.e,2,FALSE)))</f>
        <v/>
      </c>
      <c r="AE172" s="18"/>
      <c r="AF172" s="120" t="str">
        <f ca="1">IF(OR(AD172="",X172=$BE$45),"",VLOOKUP(AD172,INDIRECT(CONCATENATE("rankname.",AE172)),2,FALSE))</f>
        <v/>
      </c>
      <c r="AG172" s="14" t="str">
        <f ca="1">IF(AD172="","",IF(X172=$BE$45,AD172,IF(AF172&gt;AF173,AD173,AD172)))</f>
        <v/>
      </c>
      <c r="AH172" s="120">
        <f>MAX(AY170:AY177)</f>
        <v>0</v>
      </c>
      <c r="AJ172" s="21" t="b">
        <f>IF(X172=$BE$45,IF(OR(Y172="",Z172="",AA172=""),FALSE,VLOOKUP(CONCATENATE(Y172,Z172),$BD$59:$BE$63,2,FALSE)),IF(OR(AB172="",AC172="",AE172=""),FALSE,VLOOKUP(CONCATENATE(AB172,"e"),result.e,2,FALSE)))</f>
        <v>0</v>
      </c>
      <c r="AL172" s="18" t="s">
        <v>331</v>
      </c>
      <c r="AP172" s="115" t="b">
        <f>AND(AP171,AL172&lt;&gt;"",(COUNTIF(AP171:AP171,"IGAZ")-COUNTIF(AV171:AV171,"IGAZ"))*X176+MAX(AY170:AZ171)&lt;X175)</f>
        <v>0</v>
      </c>
      <c r="AQ172" s="116" t="str">
        <f>IF(NOT(AP172),"",IF(AL172="p",AG172,AG173))</f>
        <v/>
      </c>
      <c r="AR172" s="117" t="str">
        <f>IF(NOT(AP172),"",IF(AL172="p",AG173,AG172))</f>
        <v/>
      </c>
      <c r="AT172" s="115" t="b">
        <f t="shared" si="78"/>
        <v>0</v>
      </c>
      <c r="AU172" s="115" t="b">
        <f>AND(ASZTAB!$AJ$42,AT172,F172=H172)</f>
        <v>0</v>
      </c>
      <c r="AV172" s="115" t="b">
        <f t="shared" si="79"/>
        <v>0</v>
      </c>
      <c r="AW172" s="116" t="str">
        <f t="shared" si="80"/>
        <v/>
      </c>
      <c r="AX172" s="117" t="str">
        <f t="shared" si="81"/>
        <v/>
      </c>
      <c r="AY172" s="116" t="str">
        <f>IF(OR(AY171="",NOT(AV172)),"",IF(AG172=AW172,X176,0)+AY171)</f>
        <v/>
      </c>
      <c r="AZ172" s="116" t="str">
        <f>IF(OR(AZ171="",NOT(AV172)),"",IF(AG173=AW172,X176,0)+AZ171)</f>
        <v/>
      </c>
      <c r="BD172" s="142"/>
      <c r="BI172" s="118">
        <f t="shared" si="46"/>
        <v>42499</v>
      </c>
      <c r="BK172" s="99"/>
      <c r="BM172" s="119"/>
    </row>
    <row r="173" spans="1:66" ht="15" customHeight="1" x14ac:dyDescent="0.3">
      <c r="A173" s="864"/>
      <c r="B173" s="7"/>
      <c r="C173" s="106">
        <v>3</v>
      </c>
      <c r="D173" s="137"/>
      <c r="E173" s="107" t="str">
        <f t="shared" si="74"/>
        <v/>
      </c>
      <c r="F173" s="108"/>
      <c r="G173" s="64" t="str">
        <f t="shared" si="75"/>
        <v/>
      </c>
      <c r="H173" s="109"/>
      <c r="I173" s="110" t="str">
        <f t="shared" si="76"/>
        <v/>
      </c>
      <c r="J173" s="111"/>
      <c r="K173" s="112" t="str">
        <f t="shared" si="77"/>
        <v/>
      </c>
      <c r="L173" s="113"/>
      <c r="M173" s="153" t="str">
        <f t="shared" si="82"/>
        <v/>
      </c>
      <c r="N173" s="110"/>
      <c r="O173" s="140"/>
      <c r="P173" s="114"/>
      <c r="Q173" s="114"/>
      <c r="R173" s="114"/>
      <c r="S173" s="114"/>
      <c r="W173" s="15" t="s">
        <v>313</v>
      </c>
      <c r="X173" s="18"/>
      <c r="Y173" s="72"/>
      <c r="Z173" s="72"/>
      <c r="AA173" s="72"/>
      <c r="AB173" s="18"/>
      <c r="AC173" s="18"/>
      <c r="AD173" s="14" t="str">
        <f ca="1">IF(NOT(AJ173),"",IF(X173=$BE$45,VLOOKUP(AA173,INDIRECT(CONCATENATE("rank.",Y173,Z173)),2,FALSE),VLOOKUP(CONCATENATE(AB173,AC173),result.e,2,FALSE)))</f>
        <v/>
      </c>
      <c r="AE173" s="18"/>
      <c r="AF173" s="120" t="str">
        <f ca="1">IF(OR(AD173="",X173=$BE$45),"",VLOOKUP(AD173,INDIRECT(CONCATENATE("rankname.",AE173)),2,FALSE))</f>
        <v/>
      </c>
      <c r="AG173" s="14" t="str">
        <f ca="1">IF(AD173="","",IF(X173=$BE$45,AD173,IF(AF172&gt;AF173,AD172,AD173)))</f>
        <v/>
      </c>
      <c r="AH173" s="120">
        <f>MAX(AZ170:AZ177)</f>
        <v>0</v>
      </c>
      <c r="AJ173" s="21" t="b">
        <f>IF(X173=$BE$45,IF(OR(Y173="",Z173="",AA173=""),FALSE,VLOOKUP(CONCATENATE(Y173,Z173),$BD$59:$BE$63,2,FALSE)),IF(OR(AB173="",AC173="",AE173=""),FALSE,VLOOKUP(CONCATENATE(AB173,"e"),result.e,2,FALSE)))</f>
        <v>0</v>
      </c>
      <c r="AL173" s="18" t="s">
        <v>318</v>
      </c>
      <c r="AP173" s="115" t="b">
        <f>AND(AP172,AL173&lt;&gt;"",(COUNTIF(AP171:AP172,"IGAZ")-COUNTIF(AV171:AV172,"IGAZ"))*X176+MAX(AY170:AZ172)&lt;X175)</f>
        <v>0</v>
      </c>
      <c r="AQ173" s="116" t="str">
        <f>IF(NOT(AP173),"",IF(AL173="p",AG172,AG173))</f>
        <v/>
      </c>
      <c r="AR173" s="117" t="str">
        <f>IF(NOT(AP173),"",IF(AL173="p",AG173,AG172))</f>
        <v/>
      </c>
      <c r="AT173" s="115" t="b">
        <f t="shared" si="78"/>
        <v>0</v>
      </c>
      <c r="AU173" s="115" t="b">
        <f>AND(ASZTAB!$AJ$42,AT173,F173=H173)</f>
        <v>0</v>
      </c>
      <c r="AV173" s="115" t="b">
        <f t="shared" si="79"/>
        <v>0</v>
      </c>
      <c r="AW173" s="116" t="str">
        <f t="shared" si="80"/>
        <v/>
      </c>
      <c r="AX173" s="117" t="str">
        <f t="shared" si="81"/>
        <v/>
      </c>
      <c r="AY173" s="116" t="str">
        <f>IF(OR(AY172="",NOT(AV173)),"",IF(AG172=AW173,X176,0)+AY172)</f>
        <v/>
      </c>
      <c r="AZ173" s="116" t="str">
        <f>IF(OR(AZ172="",NOT(AV173)),"",IF(AG173=AW173,X176,0)+AZ172)</f>
        <v/>
      </c>
      <c r="BD173" s="142"/>
      <c r="BI173" s="118">
        <f t="shared" ref="BI173:BI188" si="83">BI172+1</f>
        <v>42500</v>
      </c>
      <c r="BM173" s="119"/>
      <c r="BN173" s="119"/>
    </row>
    <row r="174" spans="1:66" ht="15" customHeight="1" x14ac:dyDescent="0.3">
      <c r="A174" s="864"/>
      <c r="B174" s="7"/>
      <c r="C174" s="106">
        <v>4</v>
      </c>
      <c r="D174" s="137"/>
      <c r="E174" s="107" t="str">
        <f t="shared" si="74"/>
        <v/>
      </c>
      <c r="F174" s="108"/>
      <c r="G174" s="64" t="str">
        <f t="shared" si="75"/>
        <v/>
      </c>
      <c r="H174" s="109"/>
      <c r="I174" s="110" t="str">
        <f t="shared" si="76"/>
        <v/>
      </c>
      <c r="J174" s="111"/>
      <c r="K174" s="112" t="str">
        <f t="shared" si="77"/>
        <v/>
      </c>
      <c r="L174" s="113"/>
      <c r="M174" s="153" t="str">
        <f t="shared" si="82"/>
        <v/>
      </c>
      <c r="N174" s="110"/>
      <c r="O174" s="140"/>
      <c r="P174" s="114"/>
      <c r="Q174" s="114"/>
      <c r="AL174" s="18" t="s">
        <v>331</v>
      </c>
      <c r="AP174" s="115" t="b">
        <f>AND(AP173,AL174&lt;&gt;"",(COUNTIF(AP171:AP173,"IGAZ")-COUNTIF(AV171:AV173,"IGAZ"))*X176+MAX(AY170:AZ173)&lt;X175)</f>
        <v>0</v>
      </c>
      <c r="AQ174" s="116" t="str">
        <f>IF(NOT(AP174),"",IF(AL174="p",AG172,AG173))</f>
        <v/>
      </c>
      <c r="AR174" s="117" t="str">
        <f>IF(NOT(AP174),"",IF(AL174="p",AG173,AG172))</f>
        <v/>
      </c>
      <c r="AT174" s="115" t="b">
        <f t="shared" si="78"/>
        <v>0</v>
      </c>
      <c r="AU174" s="115" t="b">
        <f>AND(ASZTAB!$AJ$42,AT174,F174=H174)</f>
        <v>0</v>
      </c>
      <c r="AV174" s="115" t="b">
        <f t="shared" si="79"/>
        <v>0</v>
      </c>
      <c r="AW174" s="116" t="str">
        <f t="shared" si="80"/>
        <v/>
      </c>
      <c r="AX174" s="117" t="str">
        <f t="shared" si="81"/>
        <v/>
      </c>
      <c r="AY174" s="116" t="str">
        <f>IF(OR(AY173="",NOT(AV174)),"",IF(AG172=AW174,X176,0)+AY173)</f>
        <v/>
      </c>
      <c r="AZ174" s="116" t="str">
        <f>IF(OR(AZ173="",NOT(AV174)),"",IF(AG173=AW174,X176,0)+AZ173)</f>
        <v/>
      </c>
      <c r="BD174" s="142"/>
      <c r="BI174" s="118">
        <f t="shared" si="83"/>
        <v>42501</v>
      </c>
      <c r="BM174" s="119"/>
    </row>
    <row r="175" spans="1:66" ht="15" customHeight="1" x14ac:dyDescent="0.3">
      <c r="A175" s="864"/>
      <c r="B175" s="121"/>
      <c r="C175" s="106">
        <v>5</v>
      </c>
      <c r="D175" s="137"/>
      <c r="E175" s="107" t="str">
        <f t="shared" si="74"/>
        <v/>
      </c>
      <c r="F175" s="108"/>
      <c r="G175" s="64" t="str">
        <f t="shared" si="75"/>
        <v/>
      </c>
      <c r="H175" s="109"/>
      <c r="I175" s="110" t="str">
        <f t="shared" si="76"/>
        <v/>
      </c>
      <c r="J175" s="111"/>
      <c r="K175" s="112" t="str">
        <f t="shared" si="77"/>
        <v/>
      </c>
      <c r="L175" s="113"/>
      <c r="M175" s="153" t="str">
        <f t="shared" si="82"/>
        <v/>
      </c>
      <c r="N175" s="110"/>
      <c r="O175" s="140"/>
      <c r="P175" s="114"/>
      <c r="Q175" s="114"/>
      <c r="R175" s="114"/>
      <c r="S175" s="114"/>
      <c r="W175" s="15" t="s">
        <v>315</v>
      </c>
      <c r="X175" s="18">
        <v>3</v>
      </c>
      <c r="AD175" s="15"/>
      <c r="AE175" s="15" t="s">
        <v>312</v>
      </c>
      <c r="AF175" s="15" t="str">
        <f>CONCATENATE(V169,"f")</f>
        <v>9f</v>
      </c>
      <c r="AG175" s="16" t="str">
        <f>IF(OR(NOT(AJ172),NOT(AJ173)),"",AD172)</f>
        <v/>
      </c>
      <c r="AH175" s="23" t="str">
        <f>IF(OR(NOT(AJ172),NOT(AJ173)),"",VLOOKUP(AG175,AG172:AH173,2,FALSE))</f>
        <v/>
      </c>
      <c r="AL175" s="18" t="s">
        <v>318</v>
      </c>
      <c r="AP175" s="115" t="b">
        <f>AND(AP174,AL175&lt;&gt;"",(COUNTIF(AP171:AP174,"IGAZ")-COUNTIF(AV171:AV174,"IGAZ"))*X176+MAX(AY170:AZ174)&lt;X175)</f>
        <v>0</v>
      </c>
      <c r="AQ175" s="116" t="str">
        <f>IF(NOT(AP175),"",IF(AL175="p",AG172,AG173))</f>
        <v/>
      </c>
      <c r="AR175" s="117" t="str">
        <f>IF(NOT(AP175),"",IF(AL175="p",AG173,AG172))</f>
        <v/>
      </c>
      <c r="AT175" s="115" t="b">
        <f t="shared" si="78"/>
        <v>0</v>
      </c>
      <c r="AU175" s="115" t="b">
        <f>AND(ASZTAB!$AJ$42,AT175,F175=H175)</f>
        <v>0</v>
      </c>
      <c r="AV175" s="115" t="b">
        <f t="shared" si="79"/>
        <v>0</v>
      </c>
      <c r="AW175" s="116" t="str">
        <f t="shared" si="80"/>
        <v/>
      </c>
      <c r="AX175" s="117" t="str">
        <f t="shared" si="81"/>
        <v/>
      </c>
      <c r="AY175" s="116" t="str">
        <f>IF(OR(AY174="",NOT(AV175)),"",IF(AG172=AW175,X176,0)+AY174)</f>
        <v/>
      </c>
      <c r="AZ175" s="116" t="str">
        <f>IF(OR(AZ174="",NOT(AV175)),"",IF(AG173=AW175,X176,0)+AZ174)</f>
        <v/>
      </c>
      <c r="BD175" s="142"/>
      <c r="BI175" s="118">
        <f t="shared" si="83"/>
        <v>42502</v>
      </c>
      <c r="BK175" s="119"/>
      <c r="BL175" s="119"/>
      <c r="BM175" s="119"/>
    </row>
    <row r="176" spans="1:66" ht="15" customHeight="1" x14ac:dyDescent="0.3">
      <c r="A176" s="864"/>
      <c r="B176" s="122"/>
      <c r="C176" s="106">
        <v>6</v>
      </c>
      <c r="D176" s="137"/>
      <c r="E176" s="107" t="str">
        <f t="shared" si="74"/>
        <v/>
      </c>
      <c r="F176" s="108"/>
      <c r="G176" s="64" t="str">
        <f t="shared" si="75"/>
        <v/>
      </c>
      <c r="H176" s="109"/>
      <c r="I176" s="110" t="str">
        <f t="shared" si="76"/>
        <v/>
      </c>
      <c r="J176" s="111"/>
      <c r="K176" s="112" t="str">
        <f t="shared" si="77"/>
        <v/>
      </c>
      <c r="L176" s="113"/>
      <c r="M176" s="8" t="str">
        <f t="shared" si="82"/>
        <v/>
      </c>
      <c r="N176" s="123"/>
      <c r="O176" s="141"/>
      <c r="W176" s="15" t="s">
        <v>327</v>
      </c>
      <c r="X176" s="18">
        <v>1</v>
      </c>
      <c r="AD176" s="15"/>
      <c r="AE176" s="15" t="s">
        <v>313</v>
      </c>
      <c r="AF176" s="15" t="str">
        <f>CONCATENATE(V169,"a")</f>
        <v>9a</v>
      </c>
      <c r="AG176" s="16" t="str">
        <f>IF(OR(NOT(AJ172),NOT(AJ173)),"",AD173)</f>
        <v/>
      </c>
      <c r="AH176" s="23" t="str">
        <f>IF(OR(NOT(AJ172),NOT(AJ173)),"",VLOOKUP(AG176,AG172:AH173,2,FALSE))</f>
        <v/>
      </c>
      <c r="AL176" s="18" t="s">
        <v>331</v>
      </c>
      <c r="AP176" s="115" t="b">
        <f>AND(AP175,AL176&lt;&gt;"",(COUNTIF(AP171:AP175,"IGAZ")-COUNTIF(AV171:AV175,"IGAZ"))*X176+MAX(AY170:AZ175)&lt;X175)</f>
        <v>0</v>
      </c>
      <c r="AQ176" s="116" t="str">
        <f>IF(NOT(AP176),"",IF(AL176="p",AG172,AG173))</f>
        <v/>
      </c>
      <c r="AR176" s="117" t="str">
        <f>IF(NOT(AP176),"",IF(AL176="p",AG173,AG172))</f>
        <v/>
      </c>
      <c r="AT176" s="115" t="b">
        <f t="shared" si="78"/>
        <v>0</v>
      </c>
      <c r="AU176" s="115" t="b">
        <f>AND(ASZTAB!$AJ$42,AT176,F176=H176)</f>
        <v>0</v>
      </c>
      <c r="AV176" s="115" t="b">
        <f t="shared" si="79"/>
        <v>0</v>
      </c>
      <c r="AW176" s="116" t="str">
        <f t="shared" si="80"/>
        <v/>
      </c>
      <c r="AX176" s="117" t="str">
        <f t="shared" si="81"/>
        <v/>
      </c>
      <c r="AY176" s="116" t="str">
        <f>IF(OR(AY175="",NOT(AV176)),"",IF(AG172=AW176,X176,0)+AY175)</f>
        <v/>
      </c>
      <c r="AZ176" s="116" t="str">
        <f>IF(OR(AZ175="",NOT(AV176)),"",IF(AG173=AW176,X176,0)+AZ175)</f>
        <v/>
      </c>
      <c r="BD176" s="142"/>
      <c r="BI176" s="118">
        <f t="shared" si="83"/>
        <v>42503</v>
      </c>
      <c r="BK176" s="119"/>
      <c r="BL176" s="119"/>
      <c r="BM176" s="119"/>
    </row>
    <row r="177" spans="1:66" ht="15" customHeight="1" x14ac:dyDescent="0.3">
      <c r="A177" s="864"/>
      <c r="B177" s="122"/>
      <c r="C177" s="106">
        <v>7</v>
      </c>
      <c r="D177" s="137"/>
      <c r="E177" s="107" t="str">
        <f t="shared" si="74"/>
        <v/>
      </c>
      <c r="F177" s="108"/>
      <c r="G177" s="64" t="str">
        <f t="shared" si="75"/>
        <v/>
      </c>
      <c r="H177" s="109"/>
      <c r="I177" s="110" t="str">
        <f t="shared" si="76"/>
        <v/>
      </c>
      <c r="J177" s="111"/>
      <c r="K177" s="112" t="str">
        <f t="shared" si="77"/>
        <v/>
      </c>
      <c r="L177" s="113"/>
      <c r="M177" s="8" t="str">
        <f t="shared" si="82"/>
        <v/>
      </c>
      <c r="N177" s="123"/>
      <c r="O177" s="141"/>
      <c r="AE177" s="15" t="s">
        <v>316</v>
      </c>
      <c r="AF177" s="15" t="str">
        <f>CONCATENATE(V169,"w")</f>
        <v>9w</v>
      </c>
      <c r="AG177" s="16" t="str">
        <f>IF(AND(AJ172,AJ173),IF(MAX(AY171:AY177)&gt;=X175,AG172,IF(MAX(AZ171:AZ177)&gt;=X175,AG173,"")),"")</f>
        <v/>
      </c>
      <c r="AL177" s="18" t="s">
        <v>318</v>
      </c>
      <c r="AP177" s="115" t="b">
        <f>AND(AP176,AL177&lt;&gt;"",(COUNTIF(AP171:AP176,"IGAZ")-COUNTIF(AV171:AV176,"IGAZ"))*X176+MAX(AY170:AZ176)&lt;X175)</f>
        <v>0</v>
      </c>
      <c r="AQ177" s="116" t="str">
        <f>IF(NOT(AP177),"",IF(AL177="p",AG172,AG173))</f>
        <v/>
      </c>
      <c r="AR177" s="117" t="str">
        <f>IF(NOT(AP177),"",IF(AL177="p",AG173,AG172))</f>
        <v/>
      </c>
      <c r="AT177" s="115" t="b">
        <f t="shared" si="78"/>
        <v>0</v>
      </c>
      <c r="AU177" s="115" t="b">
        <f>AND(ASZTAB!$AJ$42,AT177,F177=H177)</f>
        <v>0</v>
      </c>
      <c r="AV177" s="115" t="b">
        <f t="shared" si="79"/>
        <v>0</v>
      </c>
      <c r="AW177" s="116" t="str">
        <f t="shared" si="80"/>
        <v/>
      </c>
      <c r="AX177" s="117" t="str">
        <f t="shared" si="81"/>
        <v/>
      </c>
      <c r="AY177" s="116" t="str">
        <f>IF(OR(AY176="",NOT(AV177)),"",IF(AG172=AW177,X176,0)+AY176)</f>
        <v/>
      </c>
      <c r="AZ177" s="116" t="str">
        <f>IF(OR(AZ176="",NOT(AV177)),"",IF(AG173=AW177,X176,0)+AZ176)</f>
        <v/>
      </c>
      <c r="BD177" s="142"/>
      <c r="BI177" s="118">
        <f t="shared" si="83"/>
        <v>42504</v>
      </c>
      <c r="BK177" s="119"/>
      <c r="BL177" s="119"/>
      <c r="BM177" s="119"/>
      <c r="BN177" s="119"/>
    </row>
    <row r="178" spans="1:66" ht="15" customHeight="1" x14ac:dyDescent="0.3">
      <c r="A178" s="864"/>
      <c r="B178" s="122"/>
      <c r="C178" s="106"/>
      <c r="D178" s="123"/>
      <c r="E178" s="124"/>
      <c r="F178" s="125"/>
      <c r="G178" s="123"/>
      <c r="H178" s="114"/>
      <c r="I178" s="123"/>
      <c r="J178" s="125"/>
      <c r="K178" s="123"/>
      <c r="L178" s="114"/>
      <c r="M178" s="123"/>
      <c r="N178" s="123"/>
      <c r="O178" s="123"/>
      <c r="AE178" s="15" t="s">
        <v>317</v>
      </c>
      <c r="AF178" s="15" t="str">
        <f>CONCATENATE(V169,"l")</f>
        <v>9l</v>
      </c>
      <c r="AG178" s="16" t="str">
        <f ca="1">IF(AG177=AG172,AG173,IF(AG173=AG177,AG172,""))</f>
        <v/>
      </c>
      <c r="AL178" s="126" t="s">
        <v>330</v>
      </c>
      <c r="BD178" s="142"/>
      <c r="BI178" s="118">
        <f t="shared" si="83"/>
        <v>42505</v>
      </c>
      <c r="BK178" s="119"/>
      <c r="BL178" s="119"/>
      <c r="BM178" s="119"/>
      <c r="BN178" s="119"/>
    </row>
    <row r="179" spans="1:66" ht="15" customHeight="1" x14ac:dyDescent="0.3">
      <c r="A179" s="864"/>
      <c r="B179" s="122"/>
      <c r="C179" s="127" t="s">
        <v>463</v>
      </c>
      <c r="D179" s="123"/>
      <c r="E179" s="124"/>
      <c r="F179" s="125"/>
      <c r="G179" s="123"/>
      <c r="H179" s="114"/>
      <c r="I179" s="123"/>
      <c r="J179" s="125"/>
      <c r="K179" s="123"/>
      <c r="L179" s="114"/>
      <c r="M179" s="123"/>
      <c r="N179" s="123"/>
      <c r="O179" s="123"/>
      <c r="Y179" s="11" t="s">
        <v>294</v>
      </c>
      <c r="Z179" s="70" t="s">
        <v>311</v>
      </c>
      <c r="AA179" s="70" t="s">
        <v>153</v>
      </c>
      <c r="AB179" s="70" t="s">
        <v>153</v>
      </c>
      <c r="AE179" s="15" t="s">
        <v>287</v>
      </c>
      <c r="AF179" s="15" t="str">
        <f>CONCATENATE(V169,"e")</f>
        <v>9e</v>
      </c>
      <c r="AG179" s="21" t="b">
        <f ca="1">AND(AG177&lt;&gt;"",AG178&lt;&gt;"")</f>
        <v>0</v>
      </c>
      <c r="BD179" s="15"/>
      <c r="BI179" s="118">
        <f t="shared" si="83"/>
        <v>42506</v>
      </c>
      <c r="BK179" s="119"/>
      <c r="BL179" s="119"/>
      <c r="BM179" s="119"/>
      <c r="BN179" s="119"/>
    </row>
    <row r="180" spans="1:66" ht="15" customHeight="1" x14ac:dyDescent="0.3">
      <c r="A180" s="864"/>
      <c r="B180" s="122"/>
      <c r="C180" s="865"/>
      <c r="D180" s="865"/>
      <c r="E180" s="865"/>
      <c r="F180" s="865"/>
      <c r="G180" s="865"/>
      <c r="H180" s="865"/>
      <c r="I180" s="865"/>
      <c r="J180" s="865"/>
      <c r="K180" s="865"/>
      <c r="L180" s="865"/>
      <c r="M180" s="865"/>
      <c r="N180" s="865"/>
      <c r="O180" s="865"/>
      <c r="W180" s="15" t="s">
        <v>319</v>
      </c>
      <c r="X180" s="18" t="b">
        <v>0</v>
      </c>
      <c r="Y180" s="72" t="s">
        <v>289</v>
      </c>
      <c r="Z180" s="16" t="str">
        <f ca="1">IF(AND(AJ172,AJ173,X180,Y180&lt;&gt;""),CONCATENATE(VLOOKUP(CONCATENATE(AG172,AG173),INDIRECT(CONCATENATE("games.",Y180)),9,FALSE),VLOOKUP(CONCATENATE(AG172,AG173),INDIRECT(CONCATENATE("games.",Y180)),12,FALSE)),"")</f>
        <v/>
      </c>
      <c r="AA180" s="16" t="str">
        <f ca="1">IF(AND(AJ172,AJ173,X180,Y180&lt;&gt;""),VLOOKUP(CONCATENATE(AG172,AG173),INDIRECT(CONCATENATE("games.",Y180)),10,FALSE),"")</f>
        <v/>
      </c>
      <c r="AB180" s="54" t="str">
        <f ca="1">IF(AND(AJ172,AJ173,X180,Y180&lt;&gt;""),VLOOKUP(CONCATENATE(AG172,AG173),INDIRECT(CONCATENATE("games.",Y180)),13,FALSE),"")</f>
        <v/>
      </c>
      <c r="BD180" s="15"/>
      <c r="BI180" s="118">
        <f t="shared" si="83"/>
        <v>42507</v>
      </c>
      <c r="BK180" s="119"/>
      <c r="BL180" s="119"/>
      <c r="BM180" s="119"/>
      <c r="BN180" s="119"/>
    </row>
    <row r="181" spans="1:66" ht="15" customHeight="1" x14ac:dyDescent="0.3">
      <c r="A181" s="864"/>
      <c r="B181" s="122"/>
      <c r="C181" s="866"/>
      <c r="D181" s="866"/>
      <c r="E181" s="866"/>
      <c r="F181" s="866"/>
      <c r="G181" s="866"/>
      <c r="H181" s="866"/>
      <c r="I181" s="866"/>
      <c r="J181" s="866"/>
      <c r="K181" s="866"/>
      <c r="L181" s="866"/>
      <c r="M181" s="866"/>
      <c r="N181" s="866"/>
      <c r="O181" s="866"/>
      <c r="Z181" s="16" t="str">
        <f ca="1">IF(AND(AJ172,AJ173,X180,Y180&lt;&gt;""),CONCATENATE(VLOOKUP(CONCATENATE(AG173,AG172),INDIRECT(CONCATENATE("games.",Y180)),9,FALSE),VLOOKUP(CONCATENATE(AG173,AG172),INDIRECT(CONCATENATE("games.",Y180)),12,FALSE)),"")</f>
        <v/>
      </c>
      <c r="AA181" s="16" t="str">
        <f ca="1">IF(AND(AJ172,AJ173,X180,Y180&lt;&gt;""),VLOOKUP(CONCATENATE(AG173,AG172),INDIRECT(CONCATENATE("games.",Y180)),10,FALSE),"")</f>
        <v/>
      </c>
      <c r="AB181" s="54" t="str">
        <f ca="1">IF(AND(AJ172,AJ173,X180,Y180&lt;&gt;""),VLOOKUP(CONCATENATE(AG173,AG172),INDIRECT(CONCATENATE("games.",Y180)),13,FALSE),"")</f>
        <v/>
      </c>
      <c r="BD181" s="15"/>
      <c r="BI181" s="118">
        <f t="shared" si="83"/>
        <v>42508</v>
      </c>
      <c r="BK181" s="119"/>
      <c r="BL181" s="119"/>
      <c r="BM181" s="119"/>
      <c r="BN181" s="119"/>
    </row>
    <row r="182" spans="1:66" ht="15" customHeight="1" x14ac:dyDescent="0.3">
      <c r="A182" s="864"/>
      <c r="B182" s="122"/>
      <c r="C182" s="866"/>
      <c r="D182" s="866"/>
      <c r="E182" s="866"/>
      <c r="F182" s="866"/>
      <c r="G182" s="866"/>
      <c r="H182" s="866"/>
      <c r="I182" s="866"/>
      <c r="J182" s="866"/>
      <c r="K182" s="866"/>
      <c r="L182" s="866"/>
      <c r="M182" s="866"/>
      <c r="N182" s="866"/>
      <c r="O182" s="866"/>
      <c r="BD182" s="15"/>
      <c r="BI182" s="118">
        <f t="shared" si="83"/>
        <v>42509</v>
      </c>
      <c r="BK182" s="119"/>
      <c r="BL182" s="119"/>
      <c r="BM182" s="119"/>
      <c r="BN182" s="119"/>
    </row>
    <row r="183" spans="1:66" ht="15" customHeight="1" x14ac:dyDescent="0.3">
      <c r="A183" s="864"/>
      <c r="B183" s="122"/>
      <c r="C183" s="106"/>
      <c r="D183" s="123"/>
      <c r="E183" s="124"/>
      <c r="F183" s="125"/>
      <c r="G183" s="123"/>
      <c r="H183" s="114"/>
      <c r="I183" s="123"/>
      <c r="J183" s="125"/>
      <c r="K183" s="123"/>
      <c r="L183" s="114"/>
      <c r="M183" s="123"/>
      <c r="N183" s="123"/>
      <c r="O183" s="123"/>
      <c r="U183" s="10"/>
      <c r="V183" s="128"/>
      <c r="W183" s="129"/>
      <c r="X183" s="10"/>
      <c r="Y183" s="130"/>
      <c r="Z183" s="130"/>
      <c r="AA183" s="130"/>
      <c r="AB183" s="130"/>
      <c r="AC183" s="130"/>
      <c r="AD183" s="130"/>
      <c r="AE183" s="130"/>
      <c r="AF183" s="130"/>
      <c r="AG183" s="130"/>
      <c r="AH183" s="130"/>
      <c r="AI183" s="130"/>
      <c r="AJ183" s="130"/>
      <c r="AK183" s="130"/>
      <c r="AL183" s="130"/>
      <c r="AM183" s="10"/>
      <c r="AO183" s="131"/>
      <c r="AP183" s="131"/>
      <c r="AQ183" s="132"/>
      <c r="AR183" s="132"/>
      <c r="AS183" s="132"/>
      <c r="AT183" s="131"/>
      <c r="AU183" s="131"/>
      <c r="AV183" s="131"/>
      <c r="AW183" s="132"/>
      <c r="AX183" s="132"/>
      <c r="AY183" s="131"/>
      <c r="AZ183" s="131"/>
      <c r="BA183" s="131"/>
      <c r="BD183" s="15"/>
      <c r="BI183" s="118">
        <f t="shared" si="83"/>
        <v>42510</v>
      </c>
      <c r="BK183" s="119"/>
      <c r="BL183" s="119"/>
      <c r="BM183" s="119"/>
      <c r="BN183" s="119"/>
    </row>
    <row r="184" spans="1:66" ht="15" customHeight="1" x14ac:dyDescent="0.3">
      <c r="A184" s="864"/>
      <c r="B184" s="88"/>
      <c r="C184" s="89"/>
      <c r="D184" s="90"/>
      <c r="BI184" s="118">
        <f t="shared" si="83"/>
        <v>42511</v>
      </c>
      <c r="BM184" s="119"/>
    </row>
    <row r="185" spans="1:66" ht="15" customHeight="1" x14ac:dyDescent="0.3">
      <c r="A185" s="864"/>
      <c r="B185" s="147"/>
      <c r="C185" s="149">
        <f>V185</f>
        <v>10</v>
      </c>
      <c r="D185" s="150" t="str">
        <f>UPPER(W185)</f>
        <v/>
      </c>
      <c r="E185" s="151"/>
      <c r="F185" s="151"/>
      <c r="G185" s="151"/>
      <c r="H185" s="151"/>
      <c r="I185" s="151"/>
      <c r="J185" s="151"/>
      <c r="K185" s="151"/>
      <c r="L185" s="151"/>
      <c r="M185" s="138"/>
      <c r="N185" s="151"/>
      <c r="O185" s="161" t="str">
        <f ca="1">IF(NOT(AG195),"","A PÁRHARC GYŐZTESE: "&amp;UPPER(AG193))</f>
        <v/>
      </c>
      <c r="P185" s="152" t="str">
        <f>IF(NOT(Y193),"",CONCATENATE("A PÁRHARC GYŐZTESE: ",AH191," "))</f>
        <v/>
      </c>
      <c r="Q185" s="148" t="str">
        <f>IF(NOT(Z193),"",CONCATENATE("A PÁRHARC GYŐZTESE: ",AJ191," "))</f>
        <v/>
      </c>
      <c r="R185" s="148" t="str">
        <f>IF(NOT(AA193),"",CONCATENATE("A PÁRHARC GYŐZTESE: ",AK191," "))</f>
        <v/>
      </c>
      <c r="S185" s="148" t="str">
        <f>IF(NOT(AB193),"",CONCATENATE("A PÁRHARC GYŐZTESE: ",AL191," "))</f>
        <v/>
      </c>
      <c r="V185" s="21">
        <f>V169+1</f>
        <v>10</v>
      </c>
      <c r="W185" s="95"/>
      <c r="X185" s="96"/>
      <c r="Y185" s="96"/>
      <c r="Z185" s="96"/>
      <c r="AA185" s="96"/>
      <c r="AB185" s="96"/>
      <c r="AC185" s="96"/>
      <c r="AD185" s="96"/>
      <c r="AE185" s="96"/>
      <c r="AF185" s="96"/>
      <c r="AG185" s="96"/>
      <c r="AH185" s="96"/>
      <c r="AI185" s="96"/>
      <c r="AJ185" s="96"/>
      <c r="AK185" s="96"/>
      <c r="AL185" s="97"/>
      <c r="AY185" s="13" t="s">
        <v>326</v>
      </c>
      <c r="AZ185" s="13" t="s">
        <v>325</v>
      </c>
      <c r="BD185" s="142"/>
      <c r="BH185" s="98"/>
      <c r="BI185" s="118">
        <f t="shared" si="83"/>
        <v>42512</v>
      </c>
      <c r="BJ185" s="98"/>
      <c r="BK185" s="99"/>
      <c r="BL185" s="99"/>
      <c r="BM185" s="119"/>
    </row>
    <row r="186" spans="1:66" ht="11.25" customHeight="1" x14ac:dyDescent="0.3">
      <c r="A186" s="864"/>
      <c r="C186" s="101"/>
      <c r="D186" s="102"/>
      <c r="E186" s="103"/>
      <c r="F186" s="58"/>
      <c r="G186" s="104"/>
      <c r="H186" s="60"/>
      <c r="I186" s="146"/>
      <c r="J186" s="107"/>
      <c r="K186" s="160" t="str">
        <f>IF(OR(AU187,AU188,AU189,AU190,AU191,AU192,AU193),"BÜNTETŐK","")</f>
        <v/>
      </c>
      <c r="L186" s="110"/>
      <c r="M186" s="158" t="s">
        <v>286</v>
      </c>
      <c r="N186" s="159"/>
      <c r="O186" s="158" t="s">
        <v>285</v>
      </c>
      <c r="AP186" s="105" t="s">
        <v>328</v>
      </c>
      <c r="AQ186" s="12" t="s">
        <v>138</v>
      </c>
      <c r="AR186" s="12" t="s">
        <v>139</v>
      </c>
      <c r="AT186" s="105" t="s">
        <v>320</v>
      </c>
      <c r="AU186" s="105" t="s">
        <v>321</v>
      </c>
      <c r="AV186" s="105" t="s">
        <v>324</v>
      </c>
      <c r="AW186" s="12" t="s">
        <v>322</v>
      </c>
      <c r="AX186" s="12" t="s">
        <v>323</v>
      </c>
      <c r="AY186" s="116">
        <f>IF(X196,COUNTIF(Z196:Z197,AG188)*ASZTAB!$AJ$48+COUNTIF(AA196:AB197,AG188),0)</f>
        <v>0</v>
      </c>
      <c r="AZ186" s="116">
        <f>IF(X196,COUNTIF(Z196:Z197,AG189)*ASZTAB!$AJ$48+COUNTIF(AA196:AB197,AG189),0)</f>
        <v>0</v>
      </c>
      <c r="BD186" s="142"/>
      <c r="BH186" s="98"/>
      <c r="BI186" s="118">
        <f t="shared" si="83"/>
        <v>42513</v>
      </c>
      <c r="BJ186" s="98"/>
      <c r="BK186" s="99"/>
      <c r="BL186" s="99"/>
      <c r="BM186" s="119"/>
    </row>
    <row r="187" spans="1:66" ht="15" customHeight="1" x14ac:dyDescent="0.3">
      <c r="A187" s="864"/>
      <c r="B187" s="7"/>
      <c r="C187" s="106">
        <v>1</v>
      </c>
      <c r="D187" s="137"/>
      <c r="E187" s="107" t="str">
        <f t="shared" ref="E187:E193" si="84">IF(NOT($AP187),"",AQ187)</f>
        <v/>
      </c>
      <c r="F187" s="108"/>
      <c r="G187" s="64" t="str">
        <f t="shared" ref="G187:G193" si="85">IF(NOT($AP187),"","–")</f>
        <v/>
      </c>
      <c r="H187" s="109"/>
      <c r="I187" s="110" t="str">
        <f t="shared" ref="I187:I193" si="86">IF(NOT($AP187),"",AR187)</f>
        <v/>
      </c>
      <c r="J187" s="111"/>
      <c r="K187" s="112" t="str">
        <f t="shared" ref="K187:K193" si="87">IF(AU187,"–","")</f>
        <v/>
      </c>
      <c r="L187" s="113"/>
      <c r="M187" s="153" t="str">
        <f>IF(OR(AL187="",NOT(AV187)),"",IF(AL187="p",CONCATENATE(AY187,"–",AZ187),CONCATENATE(AZ187,"–",AY187)))</f>
        <v/>
      </c>
      <c r="N187" s="110"/>
      <c r="O187" s="139"/>
      <c r="P187" s="114"/>
      <c r="Q187" s="114"/>
      <c r="R187" s="114"/>
      <c r="S187" s="114"/>
      <c r="X187" s="11" t="s">
        <v>306</v>
      </c>
      <c r="Y187" s="11" t="s">
        <v>294</v>
      </c>
      <c r="Z187" s="70" t="s">
        <v>295</v>
      </c>
      <c r="AA187" s="70" t="s">
        <v>127</v>
      </c>
      <c r="AB187" s="70" t="s">
        <v>301</v>
      </c>
      <c r="AC187" s="70" t="s">
        <v>302</v>
      </c>
      <c r="AD187" s="70" t="s">
        <v>332</v>
      </c>
      <c r="AE187" s="70" t="s">
        <v>333</v>
      </c>
      <c r="AF187" s="70" t="s">
        <v>329</v>
      </c>
      <c r="AG187" s="70" t="s">
        <v>303</v>
      </c>
      <c r="AH187" s="70" t="s">
        <v>293</v>
      </c>
      <c r="AJ187" s="71" t="s">
        <v>314</v>
      </c>
      <c r="AL187" s="18" t="s">
        <v>318</v>
      </c>
      <c r="AP187" s="115" t="b">
        <f>AND(AJ188,AJ189,AL187&lt;&gt;"")</f>
        <v>0</v>
      </c>
      <c r="AQ187" s="116" t="str">
        <f>IF(NOT(AP187),"",IF(AL187="p",AG188,AG189))</f>
        <v/>
      </c>
      <c r="AR187" s="117" t="str">
        <f>IF(NOT(AP187),"",IF(AL187="p",AG189,AG188))</f>
        <v/>
      </c>
      <c r="AT187" s="115" t="b">
        <f t="shared" ref="AT187:AT193" si="88">AND(F187&lt;&gt;"",H187&lt;&gt;"",AP187)</f>
        <v>0</v>
      </c>
      <c r="AU187" s="115" t="b">
        <f>AND(ASZTAB!$AJ$42,AT187,F187=H187)</f>
        <v>0</v>
      </c>
      <c r="AV187" s="115" t="b">
        <f t="shared" ref="AV187:AV193" si="89">OR(AND(AT187,NOT(AU187),F187&lt;&gt;H187),AND(AT187,AU187,J187&lt;&gt;"",L187&lt;&gt;"",J187&lt;&gt;L187))</f>
        <v>0</v>
      </c>
      <c r="AW187" s="116" t="str">
        <f t="shared" ref="AW187:AW193" si="90">IF(NOT(AV187),"",IF(AU187,IF(F187+J187&gt;H187+L187,E187,I187),IF(F187&gt;H187,E187,I187)))</f>
        <v/>
      </c>
      <c r="AX187" s="117" t="str">
        <f t="shared" ref="AX187:AX193" si="91">IF(NOT(AV187),"",IF(AW187=E187,I187,IF(AW187=I187,E187,"")))</f>
        <v/>
      </c>
      <c r="AY187" s="116" t="str">
        <f>IF(NOT(AV187),"",IF(AG188=AW187,X192,0)+AY186)</f>
        <v/>
      </c>
      <c r="AZ187" s="116" t="str">
        <f>IF(NOT(AV187),"",IF(AG189=AW187,X192,0)+AZ186)</f>
        <v/>
      </c>
      <c r="BD187" s="142"/>
      <c r="BI187" s="118">
        <f t="shared" si="83"/>
        <v>42514</v>
      </c>
      <c r="BK187" s="99"/>
      <c r="BL187" s="119"/>
      <c r="BM187" s="119"/>
    </row>
    <row r="188" spans="1:66" ht="15" customHeight="1" x14ac:dyDescent="0.3">
      <c r="A188" s="864"/>
      <c r="B188" s="7"/>
      <c r="C188" s="106">
        <v>2</v>
      </c>
      <c r="D188" s="137"/>
      <c r="E188" s="107" t="str">
        <f t="shared" si="84"/>
        <v/>
      </c>
      <c r="F188" s="108"/>
      <c r="G188" s="64" t="str">
        <f t="shared" si="85"/>
        <v/>
      </c>
      <c r="H188" s="109"/>
      <c r="I188" s="110" t="str">
        <f t="shared" si="86"/>
        <v/>
      </c>
      <c r="J188" s="111"/>
      <c r="K188" s="112" t="str">
        <f t="shared" si="87"/>
        <v/>
      </c>
      <c r="L188" s="113"/>
      <c r="M188" s="153" t="str">
        <f t="shared" ref="M188:M193" si="92">IF(OR(AL188="",NOT(AV188)),"",IF(AL188="p",CONCATENATE(AY188,"–",AZ188),CONCATENATE(AZ188,"–",AY188)))</f>
        <v/>
      </c>
      <c r="N188" s="110"/>
      <c r="O188" s="140"/>
      <c r="P188" s="114"/>
      <c r="Q188" s="114"/>
      <c r="R188" s="114"/>
      <c r="S188" s="114"/>
      <c r="W188" s="15" t="s">
        <v>312</v>
      </c>
      <c r="X188" s="18"/>
      <c r="Y188" s="72"/>
      <c r="Z188" s="72"/>
      <c r="AA188" s="72"/>
      <c r="AB188" s="18"/>
      <c r="AC188" s="18"/>
      <c r="AD188" s="14" t="str">
        <f ca="1">IF(NOT(AJ188),"",IF(X188=$BE$45,VLOOKUP(AA188,INDIRECT(CONCATENATE("rank.",Y188,Z188)),2,FALSE),VLOOKUP(CONCATENATE(AB188,AC188),result.e,2,FALSE)))</f>
        <v/>
      </c>
      <c r="AE188" s="18"/>
      <c r="AF188" s="120" t="str">
        <f ca="1">IF(OR(AD188="",X188=$BE$45),"",VLOOKUP(AD188,INDIRECT(CONCATENATE("rankname.",AE188)),2,FALSE))</f>
        <v/>
      </c>
      <c r="AG188" s="14" t="str">
        <f ca="1">IF(AD188="","",IF(X188=$BE$45,AD188,IF(AF188&gt;AF189,AD189,AD188)))</f>
        <v/>
      </c>
      <c r="AH188" s="120">
        <f>MAX(AY186:AY193)</f>
        <v>0</v>
      </c>
      <c r="AJ188" s="21" t="b">
        <f>IF(X188=$BE$45,IF(OR(Y188="",Z188="",AA188=""),FALSE,VLOOKUP(CONCATENATE(Y188,Z188),$BD$59:$BE$63,2,FALSE)),IF(OR(AB188="",AC188="",AE188=""),FALSE,VLOOKUP(CONCATENATE(AB188,"e"),result.e,2,FALSE)))</f>
        <v>0</v>
      </c>
      <c r="AL188" s="18" t="s">
        <v>331</v>
      </c>
      <c r="AP188" s="115" t="b">
        <f>AND(AP187,AL188&lt;&gt;"",(COUNTIF(AP187:AP187,"IGAZ")-COUNTIF(AV187:AV187,"IGAZ"))*X192+MAX(AY186:AZ187)&lt;X191)</f>
        <v>0</v>
      </c>
      <c r="AQ188" s="116" t="str">
        <f>IF(NOT(AP188),"",IF(AL188="p",AG188,AG189))</f>
        <v/>
      </c>
      <c r="AR188" s="117" t="str">
        <f>IF(NOT(AP188),"",IF(AL188="p",AG189,AG188))</f>
        <v/>
      </c>
      <c r="AT188" s="115" t="b">
        <f t="shared" si="88"/>
        <v>0</v>
      </c>
      <c r="AU188" s="115" t="b">
        <f>AND(ASZTAB!$AJ$42,AT188,F188=H188)</f>
        <v>0</v>
      </c>
      <c r="AV188" s="115" t="b">
        <f t="shared" si="89"/>
        <v>0</v>
      </c>
      <c r="AW188" s="116" t="str">
        <f t="shared" si="90"/>
        <v/>
      </c>
      <c r="AX188" s="117" t="str">
        <f t="shared" si="91"/>
        <v/>
      </c>
      <c r="AY188" s="116" t="str">
        <f>IF(OR(AY187="",NOT(AV188)),"",IF(AG188=AW188,X192,0)+AY187)</f>
        <v/>
      </c>
      <c r="AZ188" s="116" t="str">
        <f>IF(OR(AZ187="",NOT(AV188)),"",IF(AG189=AW188,X192,0)+AZ187)</f>
        <v/>
      </c>
      <c r="BD188" s="142"/>
      <c r="BI188" s="118">
        <f t="shared" si="83"/>
        <v>42515</v>
      </c>
      <c r="BK188" s="99"/>
      <c r="BM188" s="119"/>
    </row>
    <row r="189" spans="1:66" ht="15" customHeight="1" x14ac:dyDescent="0.3">
      <c r="A189" s="864"/>
      <c r="B189" s="7"/>
      <c r="C189" s="106">
        <v>3</v>
      </c>
      <c r="D189" s="137"/>
      <c r="E189" s="107" t="str">
        <f t="shared" si="84"/>
        <v/>
      </c>
      <c r="F189" s="108"/>
      <c r="G189" s="64" t="str">
        <f t="shared" si="85"/>
        <v/>
      </c>
      <c r="H189" s="109"/>
      <c r="I189" s="110" t="str">
        <f t="shared" si="86"/>
        <v/>
      </c>
      <c r="J189" s="111"/>
      <c r="K189" s="112" t="str">
        <f t="shared" si="87"/>
        <v/>
      </c>
      <c r="L189" s="113"/>
      <c r="M189" s="153" t="str">
        <f t="shared" si="92"/>
        <v/>
      </c>
      <c r="N189" s="110"/>
      <c r="O189" s="140"/>
      <c r="P189" s="114"/>
      <c r="Q189" s="114"/>
      <c r="R189" s="114"/>
      <c r="S189" s="114"/>
      <c r="W189" s="15" t="s">
        <v>313</v>
      </c>
      <c r="X189" s="18"/>
      <c r="Y189" s="72"/>
      <c r="Z189" s="72"/>
      <c r="AA189" s="72"/>
      <c r="AB189" s="18"/>
      <c r="AC189" s="18"/>
      <c r="AD189" s="14" t="str">
        <f ca="1">IF(NOT(AJ189),"",IF(X189=$BE$45,VLOOKUP(AA189,INDIRECT(CONCATENATE("rank.",Y189,Z189)),2,FALSE),VLOOKUP(CONCATENATE(AB189,AC189),result.e,2,FALSE)))</f>
        <v/>
      </c>
      <c r="AE189" s="18"/>
      <c r="AF189" s="120" t="str">
        <f ca="1">IF(OR(AD189="",X189=$BE$45),"",VLOOKUP(AD189,INDIRECT(CONCATENATE("rankname.",AE189)),2,FALSE))</f>
        <v/>
      </c>
      <c r="AG189" s="14" t="str">
        <f ca="1">IF(AD189="","",IF(X189=$BE$45,AD189,IF(AF188&gt;AF189,AD188,AD189)))</f>
        <v/>
      </c>
      <c r="AH189" s="120">
        <f>MAX(AZ186:AZ193)</f>
        <v>0</v>
      </c>
      <c r="AJ189" s="21" t="b">
        <f>IF(X189=$BE$45,IF(OR(Y189="",Z189="",AA189=""),FALSE,VLOOKUP(CONCATENATE(Y189,Z189),$BD$59:$BE$63,2,FALSE)),IF(OR(AB189="",AC189="",AE189=""),FALSE,VLOOKUP(CONCATENATE(AB189,"e"),result.e,2,FALSE)))</f>
        <v>0</v>
      </c>
      <c r="AL189" s="18" t="s">
        <v>318</v>
      </c>
      <c r="AP189" s="115" t="b">
        <f>AND(AP188,AL189&lt;&gt;"",(COUNTIF(AP187:AP188,"IGAZ")-COUNTIF(AV187:AV188,"IGAZ"))*X192+MAX(AY186:AZ188)&lt;X191)</f>
        <v>0</v>
      </c>
      <c r="AQ189" s="116" t="str">
        <f>IF(NOT(AP189),"",IF(AL189="p",AG188,AG189))</f>
        <v/>
      </c>
      <c r="AR189" s="117" t="str">
        <f>IF(NOT(AP189),"",IF(AL189="p",AG189,AG188))</f>
        <v/>
      </c>
      <c r="AT189" s="115" t="b">
        <f t="shared" si="88"/>
        <v>0</v>
      </c>
      <c r="AU189" s="115" t="b">
        <f>AND(ASZTAB!$AJ$42,AT189,F189=H189)</f>
        <v>0</v>
      </c>
      <c r="AV189" s="115" t="b">
        <f t="shared" si="89"/>
        <v>0</v>
      </c>
      <c r="AW189" s="116" t="str">
        <f t="shared" si="90"/>
        <v/>
      </c>
      <c r="AX189" s="117" t="str">
        <f t="shared" si="91"/>
        <v/>
      </c>
      <c r="AY189" s="116" t="str">
        <f>IF(OR(AY188="",NOT(AV189)),"",IF(AG188=AW189,X192,0)+AY188)</f>
        <v/>
      </c>
      <c r="AZ189" s="116" t="str">
        <f>IF(OR(AZ188="",NOT(AV189)),"",IF(AG189=AW189,X192,0)+AZ188)</f>
        <v/>
      </c>
      <c r="BD189" s="142"/>
      <c r="BI189" s="118">
        <f t="shared" ref="BI189:BI223" si="93">BI188+1</f>
        <v>42516</v>
      </c>
      <c r="BM189" s="119"/>
      <c r="BN189" s="119"/>
    </row>
    <row r="190" spans="1:66" ht="15" customHeight="1" x14ac:dyDescent="0.3">
      <c r="A190" s="864"/>
      <c r="B190" s="7"/>
      <c r="C190" s="106">
        <v>4</v>
      </c>
      <c r="D190" s="137"/>
      <c r="E190" s="107" t="str">
        <f t="shared" si="84"/>
        <v/>
      </c>
      <c r="F190" s="108"/>
      <c r="G190" s="64" t="str">
        <f t="shared" si="85"/>
        <v/>
      </c>
      <c r="H190" s="109"/>
      <c r="I190" s="110" t="str">
        <f t="shared" si="86"/>
        <v/>
      </c>
      <c r="J190" s="111"/>
      <c r="K190" s="112" t="str">
        <f t="shared" si="87"/>
        <v/>
      </c>
      <c r="L190" s="113"/>
      <c r="M190" s="153" t="str">
        <f t="shared" si="92"/>
        <v/>
      </c>
      <c r="N190" s="110"/>
      <c r="O190" s="140"/>
      <c r="P190" s="114"/>
      <c r="Q190" s="114"/>
      <c r="AL190" s="18" t="s">
        <v>331</v>
      </c>
      <c r="AP190" s="115" t="b">
        <f>AND(AP189,AL190&lt;&gt;"",(COUNTIF(AP187:AP189,"IGAZ")-COUNTIF(AV187:AV189,"IGAZ"))*X192+MAX(AY186:AZ189)&lt;X191)</f>
        <v>0</v>
      </c>
      <c r="AQ190" s="116" t="str">
        <f>IF(NOT(AP190),"",IF(AL190="p",AG188,AG189))</f>
        <v/>
      </c>
      <c r="AR190" s="117" t="str">
        <f>IF(NOT(AP190),"",IF(AL190="p",AG189,AG188))</f>
        <v/>
      </c>
      <c r="AT190" s="115" t="b">
        <f t="shared" si="88"/>
        <v>0</v>
      </c>
      <c r="AU190" s="115" t="b">
        <f>AND(ASZTAB!$AJ$42,AT190,F190=H190)</f>
        <v>0</v>
      </c>
      <c r="AV190" s="115" t="b">
        <f t="shared" si="89"/>
        <v>0</v>
      </c>
      <c r="AW190" s="116" t="str">
        <f t="shared" si="90"/>
        <v/>
      </c>
      <c r="AX190" s="117" t="str">
        <f t="shared" si="91"/>
        <v/>
      </c>
      <c r="AY190" s="116" t="str">
        <f>IF(OR(AY189="",NOT(AV190)),"",IF(AG188=AW190,X192,0)+AY189)</f>
        <v/>
      </c>
      <c r="AZ190" s="116" t="str">
        <f>IF(OR(AZ189="",NOT(AV190)),"",IF(AG189=AW190,X192,0)+AZ189)</f>
        <v/>
      </c>
      <c r="BD190" s="142"/>
      <c r="BI190" s="118">
        <f t="shared" si="93"/>
        <v>42517</v>
      </c>
      <c r="BM190" s="119"/>
    </row>
    <row r="191" spans="1:66" ht="15" customHeight="1" x14ac:dyDescent="0.3">
      <c r="A191" s="864"/>
      <c r="B191" s="121"/>
      <c r="C191" s="106">
        <v>5</v>
      </c>
      <c r="D191" s="137"/>
      <c r="E191" s="107" t="str">
        <f t="shared" si="84"/>
        <v/>
      </c>
      <c r="F191" s="108"/>
      <c r="G191" s="64" t="str">
        <f t="shared" si="85"/>
        <v/>
      </c>
      <c r="H191" s="109"/>
      <c r="I191" s="110" t="str">
        <f t="shared" si="86"/>
        <v/>
      </c>
      <c r="J191" s="111"/>
      <c r="K191" s="112" t="str">
        <f t="shared" si="87"/>
        <v/>
      </c>
      <c r="L191" s="113"/>
      <c r="M191" s="153" t="str">
        <f t="shared" si="92"/>
        <v/>
      </c>
      <c r="N191" s="110"/>
      <c r="O191" s="140"/>
      <c r="P191" s="114"/>
      <c r="Q191" s="114"/>
      <c r="R191" s="114"/>
      <c r="S191" s="114"/>
      <c r="W191" s="15" t="s">
        <v>315</v>
      </c>
      <c r="X191" s="18">
        <v>3</v>
      </c>
      <c r="AD191" s="15"/>
      <c r="AE191" s="15" t="s">
        <v>312</v>
      </c>
      <c r="AF191" s="15" t="str">
        <f>CONCATENATE(V185,"f")</f>
        <v>10f</v>
      </c>
      <c r="AG191" s="16" t="str">
        <f>IF(OR(NOT(AJ188),NOT(AJ189)),"",AD188)</f>
        <v/>
      </c>
      <c r="AH191" s="23" t="str">
        <f>IF(OR(NOT(AJ188),NOT(AJ189)),"",VLOOKUP(AG191,AG188:AH189,2,FALSE))</f>
        <v/>
      </c>
      <c r="AL191" s="18" t="s">
        <v>318</v>
      </c>
      <c r="AP191" s="115" t="b">
        <f>AND(AP190,AL191&lt;&gt;"",(COUNTIF(AP187:AP190,"IGAZ")-COUNTIF(AV187:AV190,"IGAZ"))*X192+MAX(AY186:AZ190)&lt;X191)</f>
        <v>0</v>
      </c>
      <c r="AQ191" s="116" t="str">
        <f>IF(NOT(AP191),"",IF(AL191="p",AG188,AG189))</f>
        <v/>
      </c>
      <c r="AR191" s="117" t="str">
        <f>IF(NOT(AP191),"",IF(AL191="p",AG189,AG188))</f>
        <v/>
      </c>
      <c r="AT191" s="115" t="b">
        <f t="shared" si="88"/>
        <v>0</v>
      </c>
      <c r="AU191" s="115" t="b">
        <f>AND(ASZTAB!$AJ$42,AT191,F191=H191)</f>
        <v>0</v>
      </c>
      <c r="AV191" s="115" t="b">
        <f t="shared" si="89"/>
        <v>0</v>
      </c>
      <c r="AW191" s="116" t="str">
        <f t="shared" si="90"/>
        <v/>
      </c>
      <c r="AX191" s="117" t="str">
        <f t="shared" si="91"/>
        <v/>
      </c>
      <c r="AY191" s="116" t="str">
        <f>IF(OR(AY190="",NOT(AV191)),"",IF(AG188=AW191,X192,0)+AY190)</f>
        <v/>
      </c>
      <c r="AZ191" s="116" t="str">
        <f>IF(OR(AZ190="",NOT(AV191)),"",IF(AG189=AW191,X192,0)+AZ190)</f>
        <v/>
      </c>
      <c r="BD191" s="142"/>
      <c r="BI191" s="118">
        <f t="shared" si="93"/>
        <v>42518</v>
      </c>
      <c r="BK191" s="119"/>
      <c r="BL191" s="119"/>
      <c r="BM191" s="119"/>
    </row>
    <row r="192" spans="1:66" ht="15" customHeight="1" x14ac:dyDescent="0.3">
      <c r="A192" s="864"/>
      <c r="B192" s="122"/>
      <c r="C192" s="106">
        <v>6</v>
      </c>
      <c r="D192" s="137"/>
      <c r="E192" s="107" t="str">
        <f t="shared" si="84"/>
        <v/>
      </c>
      <c r="F192" s="108"/>
      <c r="G192" s="64" t="str">
        <f t="shared" si="85"/>
        <v/>
      </c>
      <c r="H192" s="109"/>
      <c r="I192" s="110" t="str">
        <f t="shared" si="86"/>
        <v/>
      </c>
      <c r="J192" s="111"/>
      <c r="K192" s="112" t="str">
        <f t="shared" si="87"/>
        <v/>
      </c>
      <c r="L192" s="113"/>
      <c r="M192" s="8" t="str">
        <f t="shared" si="92"/>
        <v/>
      </c>
      <c r="N192" s="123"/>
      <c r="O192" s="141"/>
      <c r="W192" s="15" t="s">
        <v>327</v>
      </c>
      <c r="X192" s="18">
        <v>1</v>
      </c>
      <c r="AD192" s="15"/>
      <c r="AE192" s="15" t="s">
        <v>313</v>
      </c>
      <c r="AF192" s="15" t="str">
        <f>CONCATENATE(V185,"a")</f>
        <v>10a</v>
      </c>
      <c r="AG192" s="16" t="str">
        <f>IF(OR(NOT(AJ188),NOT(AJ189)),"",AD189)</f>
        <v/>
      </c>
      <c r="AH192" s="23" t="str">
        <f>IF(OR(NOT(AJ188),NOT(AJ189)),"",VLOOKUP(AG192,AG188:AH189,2,FALSE))</f>
        <v/>
      </c>
      <c r="AL192" s="18" t="s">
        <v>331</v>
      </c>
      <c r="AP192" s="115" t="b">
        <f>AND(AP191,AL192&lt;&gt;"",(COUNTIF(AP187:AP191,"IGAZ")-COUNTIF(AV187:AV191,"IGAZ"))*X192+MAX(AY186:AZ191)&lt;X191)</f>
        <v>0</v>
      </c>
      <c r="AQ192" s="116" t="str">
        <f>IF(NOT(AP192),"",IF(AL192="p",AG188,AG189))</f>
        <v/>
      </c>
      <c r="AR192" s="117" t="str">
        <f>IF(NOT(AP192),"",IF(AL192="p",AG189,AG188))</f>
        <v/>
      </c>
      <c r="AT192" s="115" t="b">
        <f t="shared" si="88"/>
        <v>0</v>
      </c>
      <c r="AU192" s="115" t="b">
        <f>AND(ASZTAB!$AJ$42,AT192,F192=H192)</f>
        <v>0</v>
      </c>
      <c r="AV192" s="115" t="b">
        <f t="shared" si="89"/>
        <v>0</v>
      </c>
      <c r="AW192" s="116" t="str">
        <f t="shared" si="90"/>
        <v/>
      </c>
      <c r="AX192" s="117" t="str">
        <f t="shared" si="91"/>
        <v/>
      </c>
      <c r="AY192" s="116" t="str">
        <f>IF(OR(AY191="",NOT(AV192)),"",IF(AG188=AW192,X192,0)+AY191)</f>
        <v/>
      </c>
      <c r="AZ192" s="116" t="str">
        <f>IF(OR(AZ191="",NOT(AV192)),"",IF(AG189=AW192,X192,0)+AZ191)</f>
        <v/>
      </c>
      <c r="BD192" s="142"/>
      <c r="BI192" s="118">
        <f t="shared" si="93"/>
        <v>42519</v>
      </c>
      <c r="BK192" s="119"/>
      <c r="BL192" s="119"/>
      <c r="BM192" s="119"/>
    </row>
    <row r="193" spans="1:66" ht="15" customHeight="1" x14ac:dyDescent="0.3">
      <c r="A193" s="864"/>
      <c r="B193" s="122"/>
      <c r="C193" s="106">
        <v>7</v>
      </c>
      <c r="D193" s="137"/>
      <c r="E193" s="107" t="str">
        <f t="shared" si="84"/>
        <v/>
      </c>
      <c r="F193" s="108"/>
      <c r="G193" s="64" t="str">
        <f t="shared" si="85"/>
        <v/>
      </c>
      <c r="H193" s="109"/>
      <c r="I193" s="110" t="str">
        <f t="shared" si="86"/>
        <v/>
      </c>
      <c r="J193" s="111"/>
      <c r="K193" s="112" t="str">
        <f t="shared" si="87"/>
        <v/>
      </c>
      <c r="L193" s="113"/>
      <c r="M193" s="8" t="str">
        <f t="shared" si="92"/>
        <v/>
      </c>
      <c r="N193" s="123"/>
      <c r="O193" s="141"/>
      <c r="AE193" s="15" t="s">
        <v>316</v>
      </c>
      <c r="AF193" s="15" t="str">
        <f>CONCATENATE(V185,"w")</f>
        <v>10w</v>
      </c>
      <c r="AG193" s="16" t="str">
        <f>IF(AND(AJ188,AJ189),IF(MAX(AY187:AY193)&gt;=X191,AG188,IF(MAX(AZ187:AZ193)&gt;=X191,AG189,"")),"")</f>
        <v/>
      </c>
      <c r="AL193" s="18" t="s">
        <v>318</v>
      </c>
      <c r="AP193" s="115" t="b">
        <f>AND(AP192,AL193&lt;&gt;"",(COUNTIF(AP187:AP192,"IGAZ")-COUNTIF(AV187:AV192,"IGAZ"))*X192+MAX(AY186:AZ192)&lt;X191)</f>
        <v>0</v>
      </c>
      <c r="AQ193" s="116" t="str">
        <f>IF(NOT(AP193),"",IF(AL193="p",AG188,AG189))</f>
        <v/>
      </c>
      <c r="AR193" s="117" t="str">
        <f>IF(NOT(AP193),"",IF(AL193="p",AG189,AG188))</f>
        <v/>
      </c>
      <c r="AT193" s="115" t="b">
        <f t="shared" si="88"/>
        <v>0</v>
      </c>
      <c r="AU193" s="115" t="b">
        <f>AND(ASZTAB!$AJ$42,AT193,F193=H193)</f>
        <v>0</v>
      </c>
      <c r="AV193" s="115" t="b">
        <f t="shared" si="89"/>
        <v>0</v>
      </c>
      <c r="AW193" s="116" t="str">
        <f t="shared" si="90"/>
        <v/>
      </c>
      <c r="AX193" s="117" t="str">
        <f t="shared" si="91"/>
        <v/>
      </c>
      <c r="AY193" s="116" t="str">
        <f>IF(OR(AY192="",NOT(AV193)),"",IF(AG188=AW193,X192,0)+AY192)</f>
        <v/>
      </c>
      <c r="AZ193" s="116" t="str">
        <f>IF(OR(AZ192="",NOT(AV193)),"",IF(AG189=AW193,X192,0)+AZ192)</f>
        <v/>
      </c>
      <c r="BD193" s="142"/>
      <c r="BI193" s="118">
        <f t="shared" si="93"/>
        <v>42520</v>
      </c>
      <c r="BK193" s="119"/>
      <c r="BL193" s="119"/>
      <c r="BM193" s="119"/>
      <c r="BN193" s="119"/>
    </row>
    <row r="194" spans="1:66" ht="15" customHeight="1" x14ac:dyDescent="0.3">
      <c r="A194" s="864"/>
      <c r="B194" s="122"/>
      <c r="C194" s="106"/>
      <c r="D194" s="123"/>
      <c r="E194" s="124"/>
      <c r="F194" s="125"/>
      <c r="G194" s="123"/>
      <c r="H194" s="114"/>
      <c r="I194" s="123"/>
      <c r="J194" s="125"/>
      <c r="K194" s="123"/>
      <c r="L194" s="114"/>
      <c r="M194" s="123"/>
      <c r="N194" s="123"/>
      <c r="O194" s="123"/>
      <c r="AE194" s="15" t="s">
        <v>317</v>
      </c>
      <c r="AF194" s="15" t="str">
        <f>CONCATENATE(V185,"l")</f>
        <v>10l</v>
      </c>
      <c r="AG194" s="16" t="str">
        <f ca="1">IF(AG193=AG188,AG189,IF(AG189=AG193,AG188,""))</f>
        <v/>
      </c>
      <c r="AL194" s="126" t="s">
        <v>330</v>
      </c>
      <c r="BD194" s="142"/>
      <c r="BI194" s="118">
        <f t="shared" si="93"/>
        <v>42521</v>
      </c>
      <c r="BK194" s="119"/>
      <c r="BL194" s="119"/>
      <c r="BM194" s="119"/>
      <c r="BN194" s="119"/>
    </row>
    <row r="195" spans="1:66" ht="15" customHeight="1" x14ac:dyDescent="0.3">
      <c r="A195" s="864"/>
      <c r="B195" s="122"/>
      <c r="C195" s="127" t="s">
        <v>463</v>
      </c>
      <c r="D195" s="123"/>
      <c r="E195" s="124"/>
      <c r="F195" s="125"/>
      <c r="G195" s="123"/>
      <c r="H195" s="114"/>
      <c r="I195" s="123"/>
      <c r="J195" s="125"/>
      <c r="K195" s="123"/>
      <c r="L195" s="114"/>
      <c r="M195" s="123"/>
      <c r="N195" s="123"/>
      <c r="O195" s="123"/>
      <c r="Y195" s="11" t="s">
        <v>294</v>
      </c>
      <c r="Z195" s="70" t="s">
        <v>311</v>
      </c>
      <c r="AA195" s="70" t="s">
        <v>153</v>
      </c>
      <c r="AB195" s="70" t="s">
        <v>153</v>
      </c>
      <c r="AE195" s="15" t="s">
        <v>287</v>
      </c>
      <c r="AF195" s="15" t="str">
        <f>CONCATENATE(V185,"e")</f>
        <v>10e</v>
      </c>
      <c r="AG195" s="21" t="b">
        <f ca="1">AND(AG193&lt;&gt;"",AG194&lt;&gt;"")</f>
        <v>0</v>
      </c>
      <c r="BD195" s="15"/>
      <c r="BI195" s="118">
        <f t="shared" si="93"/>
        <v>42522</v>
      </c>
      <c r="BK195" s="119"/>
      <c r="BL195" s="119"/>
      <c r="BM195" s="119"/>
      <c r="BN195" s="119"/>
    </row>
    <row r="196" spans="1:66" ht="15" customHeight="1" x14ac:dyDescent="0.3">
      <c r="A196" s="864"/>
      <c r="B196" s="122"/>
      <c r="C196" s="865"/>
      <c r="D196" s="865"/>
      <c r="E196" s="865"/>
      <c r="F196" s="865"/>
      <c r="G196" s="865"/>
      <c r="H196" s="865"/>
      <c r="I196" s="865"/>
      <c r="J196" s="865"/>
      <c r="K196" s="865"/>
      <c r="L196" s="865"/>
      <c r="M196" s="865"/>
      <c r="N196" s="865"/>
      <c r="O196" s="865"/>
      <c r="W196" s="15" t="s">
        <v>319</v>
      </c>
      <c r="X196" s="18" t="b">
        <v>0</v>
      </c>
      <c r="Y196" s="72" t="s">
        <v>289</v>
      </c>
      <c r="Z196" s="16" t="str">
        <f ca="1">IF(AND(AJ188,AJ189,X196,Y196&lt;&gt;""),CONCATENATE(VLOOKUP(CONCATENATE(AG188,AG189),INDIRECT(CONCATENATE("games.",Y196)),9,FALSE),VLOOKUP(CONCATENATE(AG188,AG189),INDIRECT(CONCATENATE("games.",Y196)),12,FALSE)),"")</f>
        <v/>
      </c>
      <c r="AA196" s="16" t="str">
        <f ca="1">IF(AND(AJ188,AJ189,X196,Y196&lt;&gt;""),VLOOKUP(CONCATENATE(AG188,AG189),INDIRECT(CONCATENATE("games.",Y196)),10,FALSE),"")</f>
        <v/>
      </c>
      <c r="AB196" s="54" t="str">
        <f ca="1">IF(AND(AJ188,AJ189,X196,Y196&lt;&gt;""),VLOOKUP(CONCATENATE(AG188,AG189),INDIRECT(CONCATENATE("games.",Y196)),13,FALSE),"")</f>
        <v/>
      </c>
      <c r="BD196" s="15"/>
      <c r="BI196" s="118">
        <f t="shared" si="93"/>
        <v>42523</v>
      </c>
      <c r="BK196" s="119"/>
      <c r="BL196" s="119"/>
      <c r="BM196" s="119"/>
      <c r="BN196" s="119"/>
    </row>
    <row r="197" spans="1:66" ht="15" customHeight="1" x14ac:dyDescent="0.3">
      <c r="A197" s="864"/>
      <c r="B197" s="122"/>
      <c r="C197" s="866"/>
      <c r="D197" s="866"/>
      <c r="E197" s="866"/>
      <c r="F197" s="866"/>
      <c r="G197" s="866"/>
      <c r="H197" s="866"/>
      <c r="I197" s="866"/>
      <c r="J197" s="866"/>
      <c r="K197" s="866"/>
      <c r="L197" s="866"/>
      <c r="M197" s="866"/>
      <c r="N197" s="866"/>
      <c r="O197" s="866"/>
      <c r="Z197" s="16" t="str">
        <f ca="1">IF(AND(AJ188,AJ189,X196,Y196&lt;&gt;""),CONCATENATE(VLOOKUP(CONCATENATE(AG189,AG188),INDIRECT(CONCATENATE("games.",Y196)),9,FALSE),VLOOKUP(CONCATENATE(AG189,AG188),INDIRECT(CONCATENATE("games.",Y196)),12,FALSE)),"")</f>
        <v/>
      </c>
      <c r="AA197" s="16" t="str">
        <f ca="1">IF(AND(AJ188,AJ189,X196,Y196&lt;&gt;""),VLOOKUP(CONCATENATE(AG189,AG188),INDIRECT(CONCATENATE("games.",Y196)),10,FALSE),"")</f>
        <v/>
      </c>
      <c r="AB197" s="54" t="str">
        <f ca="1">IF(AND(AJ188,AJ189,X196,Y196&lt;&gt;""),VLOOKUP(CONCATENATE(AG189,AG188),INDIRECT(CONCATENATE("games.",Y196)),13,FALSE),"")</f>
        <v/>
      </c>
      <c r="BD197" s="15"/>
      <c r="BI197" s="118">
        <f t="shared" si="93"/>
        <v>42524</v>
      </c>
      <c r="BK197" s="119"/>
      <c r="BL197" s="119"/>
      <c r="BM197" s="119"/>
      <c r="BN197" s="119"/>
    </row>
    <row r="198" spans="1:66" ht="15" customHeight="1" x14ac:dyDescent="0.3">
      <c r="A198" s="864"/>
      <c r="B198" s="122"/>
      <c r="C198" s="866"/>
      <c r="D198" s="866"/>
      <c r="E198" s="866"/>
      <c r="F198" s="866"/>
      <c r="G198" s="866"/>
      <c r="H198" s="866"/>
      <c r="I198" s="866"/>
      <c r="J198" s="866"/>
      <c r="K198" s="866"/>
      <c r="L198" s="866"/>
      <c r="M198" s="866"/>
      <c r="N198" s="866"/>
      <c r="O198" s="866"/>
      <c r="BD198" s="15"/>
      <c r="BI198" s="118">
        <f t="shared" si="93"/>
        <v>42525</v>
      </c>
      <c r="BK198" s="119"/>
      <c r="BL198" s="119"/>
      <c r="BM198" s="119"/>
      <c r="BN198" s="119"/>
    </row>
    <row r="199" spans="1:66" ht="15" customHeight="1" x14ac:dyDescent="0.3">
      <c r="A199" s="864"/>
      <c r="B199" s="122"/>
      <c r="C199" s="106"/>
      <c r="D199" s="123"/>
      <c r="E199" s="124"/>
      <c r="F199" s="125"/>
      <c r="G199" s="123"/>
      <c r="H199" s="114"/>
      <c r="I199" s="123"/>
      <c r="J199" s="125"/>
      <c r="K199" s="123"/>
      <c r="L199" s="114"/>
      <c r="M199" s="123"/>
      <c r="N199" s="123"/>
      <c r="O199" s="123"/>
      <c r="U199" s="10"/>
      <c r="V199" s="128"/>
      <c r="W199" s="129"/>
      <c r="X199" s="10"/>
      <c r="Y199" s="130"/>
      <c r="Z199" s="130"/>
      <c r="AA199" s="130"/>
      <c r="AB199" s="130"/>
      <c r="AC199" s="130"/>
      <c r="AD199" s="130"/>
      <c r="AE199" s="130"/>
      <c r="AF199" s="130"/>
      <c r="AG199" s="130"/>
      <c r="AH199" s="130"/>
      <c r="AI199" s="130"/>
      <c r="AJ199" s="130"/>
      <c r="AK199" s="130"/>
      <c r="AL199" s="130"/>
      <c r="AM199" s="10"/>
      <c r="AO199" s="131"/>
      <c r="AP199" s="131"/>
      <c r="AQ199" s="132"/>
      <c r="AR199" s="132"/>
      <c r="AS199" s="132"/>
      <c r="AT199" s="131"/>
      <c r="AU199" s="131"/>
      <c r="AV199" s="131"/>
      <c r="AW199" s="132"/>
      <c r="AX199" s="132"/>
      <c r="AY199" s="131"/>
      <c r="AZ199" s="131"/>
      <c r="BA199" s="131"/>
      <c r="BD199" s="15"/>
      <c r="BI199" s="118">
        <f t="shared" si="93"/>
        <v>42526</v>
      </c>
      <c r="BK199" s="119"/>
      <c r="BL199" s="119"/>
      <c r="BM199" s="119"/>
      <c r="BN199" s="119"/>
    </row>
    <row r="200" spans="1:66" ht="15" customHeight="1" x14ac:dyDescent="0.3">
      <c r="A200" s="864"/>
      <c r="B200" s="88"/>
      <c r="C200" s="89"/>
      <c r="D200" s="90"/>
      <c r="BI200" s="118">
        <f t="shared" si="93"/>
        <v>42527</v>
      </c>
      <c r="BM200" s="119"/>
    </row>
    <row r="201" spans="1:66" ht="15" customHeight="1" x14ac:dyDescent="0.3">
      <c r="A201" s="864"/>
      <c r="B201" s="147"/>
      <c r="C201" s="149">
        <f>V201</f>
        <v>11</v>
      </c>
      <c r="D201" s="150" t="str">
        <f>UPPER(W201)</f>
        <v/>
      </c>
      <c r="E201" s="151"/>
      <c r="F201" s="151"/>
      <c r="G201" s="151"/>
      <c r="H201" s="151"/>
      <c r="I201" s="151"/>
      <c r="J201" s="151"/>
      <c r="K201" s="151"/>
      <c r="L201" s="151"/>
      <c r="M201" s="138"/>
      <c r="N201" s="151"/>
      <c r="O201" s="161" t="str">
        <f ca="1">IF(NOT(AG211),"","A PÁRHARC GYŐZTESE: "&amp;UPPER(AG209))</f>
        <v/>
      </c>
      <c r="P201" s="152" t="str">
        <f>IF(NOT(Y209),"",CONCATENATE("A PÁRHARC GYŐZTESE: ",AH207," "))</f>
        <v/>
      </c>
      <c r="Q201" s="148" t="str">
        <f>IF(NOT(Z209),"",CONCATENATE("A PÁRHARC GYŐZTESE: ",AJ207," "))</f>
        <v/>
      </c>
      <c r="R201" s="148" t="str">
        <f>IF(NOT(AA209),"",CONCATENATE("A PÁRHARC GYŐZTESE: ",AK207," "))</f>
        <v/>
      </c>
      <c r="S201" s="148" t="str">
        <f>IF(NOT(AB209),"",CONCATENATE("A PÁRHARC GYŐZTESE: ",AL207," "))</f>
        <v/>
      </c>
      <c r="V201" s="21">
        <f>V185+1</f>
        <v>11</v>
      </c>
      <c r="W201" s="95"/>
      <c r="X201" s="96"/>
      <c r="Y201" s="96"/>
      <c r="Z201" s="96"/>
      <c r="AA201" s="96"/>
      <c r="AB201" s="96"/>
      <c r="AC201" s="96"/>
      <c r="AD201" s="96"/>
      <c r="AE201" s="96"/>
      <c r="AF201" s="96"/>
      <c r="AG201" s="96"/>
      <c r="AH201" s="96"/>
      <c r="AI201" s="96"/>
      <c r="AJ201" s="96"/>
      <c r="AK201" s="96"/>
      <c r="AL201" s="97"/>
      <c r="AY201" s="13" t="s">
        <v>326</v>
      </c>
      <c r="AZ201" s="13" t="s">
        <v>325</v>
      </c>
      <c r="BD201" s="142"/>
      <c r="BH201" s="98"/>
      <c r="BI201" s="118">
        <f t="shared" si="93"/>
        <v>42528</v>
      </c>
      <c r="BJ201" s="98"/>
      <c r="BK201" s="99"/>
      <c r="BL201" s="99"/>
      <c r="BM201" s="119"/>
    </row>
    <row r="202" spans="1:66" ht="11.25" customHeight="1" x14ac:dyDescent="0.3">
      <c r="A202" s="864"/>
      <c r="C202" s="101"/>
      <c r="D202" s="102"/>
      <c r="E202" s="103"/>
      <c r="F202" s="58"/>
      <c r="G202" s="104"/>
      <c r="H202" s="60"/>
      <c r="I202" s="146"/>
      <c r="J202" s="107"/>
      <c r="K202" s="160" t="str">
        <f>IF(OR(AU203,AU204,AU205,AU206,AU207,AU208,AU209),"BÜNTETŐK","")</f>
        <v/>
      </c>
      <c r="L202" s="110"/>
      <c r="M202" s="158" t="s">
        <v>286</v>
      </c>
      <c r="N202" s="159"/>
      <c r="O202" s="158" t="s">
        <v>285</v>
      </c>
      <c r="AP202" s="105" t="s">
        <v>328</v>
      </c>
      <c r="AQ202" s="12" t="s">
        <v>138</v>
      </c>
      <c r="AR202" s="12" t="s">
        <v>139</v>
      </c>
      <c r="AT202" s="105" t="s">
        <v>320</v>
      </c>
      <c r="AU202" s="105" t="s">
        <v>321</v>
      </c>
      <c r="AV202" s="105" t="s">
        <v>324</v>
      </c>
      <c r="AW202" s="12" t="s">
        <v>322</v>
      </c>
      <c r="AX202" s="12" t="s">
        <v>323</v>
      </c>
      <c r="AY202" s="116">
        <f>IF(X212,COUNTIF(Z212:Z213,AG204)*ASZTAB!$AJ$48+COUNTIF(AA212:AB213,AG204),0)</f>
        <v>0</v>
      </c>
      <c r="AZ202" s="116">
        <f>IF(X212,COUNTIF(Z212:Z213,AG205)*ASZTAB!$AJ$48+COUNTIF(AA212:AB213,AG205),0)</f>
        <v>0</v>
      </c>
      <c r="BD202" s="142"/>
      <c r="BH202" s="98"/>
      <c r="BI202" s="118">
        <f t="shared" si="93"/>
        <v>42529</v>
      </c>
      <c r="BJ202" s="98"/>
      <c r="BK202" s="99"/>
      <c r="BL202" s="99"/>
      <c r="BM202" s="119"/>
    </row>
    <row r="203" spans="1:66" ht="15" customHeight="1" x14ac:dyDescent="0.3">
      <c r="A203" s="864"/>
      <c r="B203" s="7"/>
      <c r="C203" s="106">
        <v>1</v>
      </c>
      <c r="D203" s="137"/>
      <c r="E203" s="107" t="str">
        <f t="shared" ref="E203:E209" si="94">IF(NOT($AP203),"",AQ203)</f>
        <v/>
      </c>
      <c r="F203" s="108"/>
      <c r="G203" s="64" t="str">
        <f t="shared" ref="G203:G209" si="95">IF(NOT($AP203),"","–")</f>
        <v/>
      </c>
      <c r="H203" s="109"/>
      <c r="I203" s="110" t="str">
        <f t="shared" ref="I203:I209" si="96">IF(NOT($AP203),"",AR203)</f>
        <v/>
      </c>
      <c r="J203" s="111"/>
      <c r="K203" s="112" t="str">
        <f t="shared" ref="K203:K209" si="97">IF(AU203,"–","")</f>
        <v/>
      </c>
      <c r="L203" s="113"/>
      <c r="M203" s="153" t="str">
        <f>IF(OR(AL203="",NOT(AV203)),"",IF(AL203="p",CONCATENATE(AY203,"–",AZ203),CONCATENATE(AZ203,"–",AY203)))</f>
        <v/>
      </c>
      <c r="N203" s="110"/>
      <c r="O203" s="139"/>
      <c r="P203" s="114"/>
      <c r="Q203" s="114"/>
      <c r="R203" s="114"/>
      <c r="S203" s="114"/>
      <c r="X203" s="11" t="s">
        <v>306</v>
      </c>
      <c r="Y203" s="11" t="s">
        <v>294</v>
      </c>
      <c r="Z203" s="70" t="s">
        <v>295</v>
      </c>
      <c r="AA203" s="70" t="s">
        <v>127</v>
      </c>
      <c r="AB203" s="70" t="s">
        <v>301</v>
      </c>
      <c r="AC203" s="70" t="s">
        <v>302</v>
      </c>
      <c r="AD203" s="70" t="s">
        <v>332</v>
      </c>
      <c r="AE203" s="70" t="s">
        <v>333</v>
      </c>
      <c r="AF203" s="70" t="s">
        <v>329</v>
      </c>
      <c r="AG203" s="70" t="s">
        <v>303</v>
      </c>
      <c r="AH203" s="70" t="s">
        <v>293</v>
      </c>
      <c r="AJ203" s="71" t="s">
        <v>314</v>
      </c>
      <c r="AL203" s="18" t="s">
        <v>318</v>
      </c>
      <c r="AP203" s="115" t="b">
        <f>AND(AJ204,AJ205,AL203&lt;&gt;"")</f>
        <v>0</v>
      </c>
      <c r="AQ203" s="116" t="str">
        <f>IF(NOT(AP203),"",IF(AL203="p",AG204,AG205))</f>
        <v/>
      </c>
      <c r="AR203" s="117" t="str">
        <f>IF(NOT(AP203),"",IF(AL203="p",AG205,AG204))</f>
        <v/>
      </c>
      <c r="AT203" s="115" t="b">
        <f t="shared" ref="AT203:AT209" si="98">AND(F203&lt;&gt;"",H203&lt;&gt;"",AP203)</f>
        <v>0</v>
      </c>
      <c r="AU203" s="115" t="b">
        <f>AND(ASZTAB!$AJ$42,AT203,F203=H203)</f>
        <v>0</v>
      </c>
      <c r="AV203" s="115" t="b">
        <f t="shared" ref="AV203:AV209" si="99">OR(AND(AT203,NOT(AU203),F203&lt;&gt;H203),AND(AT203,AU203,J203&lt;&gt;"",L203&lt;&gt;"",J203&lt;&gt;L203))</f>
        <v>0</v>
      </c>
      <c r="AW203" s="116" t="str">
        <f t="shared" ref="AW203:AW209" si="100">IF(NOT(AV203),"",IF(AU203,IF(F203+J203&gt;H203+L203,E203,I203),IF(F203&gt;H203,E203,I203)))</f>
        <v/>
      </c>
      <c r="AX203" s="117" t="str">
        <f t="shared" ref="AX203:AX209" si="101">IF(NOT(AV203),"",IF(AW203=E203,I203,IF(AW203=I203,E203,"")))</f>
        <v/>
      </c>
      <c r="AY203" s="116" t="str">
        <f>IF(NOT(AV203),"",IF(AG204=AW203,X208,0)+AY202)</f>
        <v/>
      </c>
      <c r="AZ203" s="116" t="str">
        <f>IF(NOT(AV203),"",IF(AG205=AW203,X208,0)+AZ202)</f>
        <v/>
      </c>
      <c r="BD203" s="142"/>
      <c r="BI203" s="118">
        <f t="shared" si="93"/>
        <v>42530</v>
      </c>
      <c r="BK203" s="99"/>
      <c r="BL203" s="119"/>
      <c r="BM203" s="119"/>
    </row>
    <row r="204" spans="1:66" ht="15" customHeight="1" x14ac:dyDescent="0.3">
      <c r="A204" s="864"/>
      <c r="B204" s="7"/>
      <c r="C204" s="106">
        <v>2</v>
      </c>
      <c r="D204" s="137"/>
      <c r="E204" s="107" t="str">
        <f t="shared" si="94"/>
        <v/>
      </c>
      <c r="F204" s="108"/>
      <c r="G204" s="64" t="str">
        <f t="shared" si="95"/>
        <v/>
      </c>
      <c r="H204" s="109"/>
      <c r="I204" s="110" t="str">
        <f t="shared" si="96"/>
        <v/>
      </c>
      <c r="J204" s="111"/>
      <c r="K204" s="112" t="str">
        <f t="shared" si="97"/>
        <v/>
      </c>
      <c r="L204" s="113"/>
      <c r="M204" s="153" t="str">
        <f t="shared" ref="M204:M209" si="102">IF(OR(AL204="",NOT(AV204)),"",IF(AL204="p",CONCATENATE(AY204,"–",AZ204),CONCATENATE(AZ204,"–",AY204)))</f>
        <v/>
      </c>
      <c r="N204" s="110"/>
      <c r="O204" s="140"/>
      <c r="P204" s="114"/>
      <c r="Q204" s="114"/>
      <c r="R204" s="114"/>
      <c r="S204" s="114"/>
      <c r="W204" s="15" t="s">
        <v>312</v>
      </c>
      <c r="X204" s="18"/>
      <c r="Y204" s="72"/>
      <c r="Z204" s="72"/>
      <c r="AA204" s="72"/>
      <c r="AB204" s="18"/>
      <c r="AC204" s="18"/>
      <c r="AD204" s="14" t="str">
        <f ca="1">IF(NOT(AJ204),"",IF(X204=$BE$45,VLOOKUP(AA204,INDIRECT(CONCATENATE("rank.",Y204,Z204)),2,FALSE),VLOOKUP(CONCATENATE(AB204,AC204),result.e,2,FALSE)))</f>
        <v/>
      </c>
      <c r="AE204" s="18"/>
      <c r="AF204" s="120" t="str">
        <f ca="1">IF(OR(AD204="",X204=$BE$45),"",VLOOKUP(AD204,INDIRECT(CONCATENATE("rankname.",AE204)),2,FALSE))</f>
        <v/>
      </c>
      <c r="AG204" s="14" t="str">
        <f ca="1">IF(AD204="","",IF(X204=$BE$45,AD204,IF(AF204&gt;AF205,AD205,AD204)))</f>
        <v/>
      </c>
      <c r="AH204" s="120">
        <f>MAX(AY202:AY209)</f>
        <v>0</v>
      </c>
      <c r="AJ204" s="21" t="b">
        <f>IF(X204=$BE$45,IF(OR(Y204="",Z204="",AA204=""),FALSE,VLOOKUP(CONCATENATE(Y204,Z204),$BD$59:$BE$63,2,FALSE)),IF(OR(AB204="",AC204="",AE204=""),FALSE,VLOOKUP(CONCATENATE(AB204,"e"),result.e,2,FALSE)))</f>
        <v>0</v>
      </c>
      <c r="AL204" s="18" t="s">
        <v>331</v>
      </c>
      <c r="AP204" s="115" t="b">
        <f>AND(AP203,AL204&lt;&gt;"",(COUNTIF(AP203:AP203,"IGAZ")-COUNTIF(AV203:AV203,"IGAZ"))*X208+MAX(AY202:AZ203)&lt;X207)</f>
        <v>0</v>
      </c>
      <c r="AQ204" s="116" t="str">
        <f>IF(NOT(AP204),"",IF(AL204="p",AG204,AG205))</f>
        <v/>
      </c>
      <c r="AR204" s="117" t="str">
        <f>IF(NOT(AP204),"",IF(AL204="p",AG205,AG204))</f>
        <v/>
      </c>
      <c r="AT204" s="115" t="b">
        <f t="shared" si="98"/>
        <v>0</v>
      </c>
      <c r="AU204" s="115" t="b">
        <f>AND(ASZTAB!$AJ$42,AT204,F204=H204)</f>
        <v>0</v>
      </c>
      <c r="AV204" s="115" t="b">
        <f t="shared" si="99"/>
        <v>0</v>
      </c>
      <c r="AW204" s="116" t="str">
        <f t="shared" si="100"/>
        <v/>
      </c>
      <c r="AX204" s="117" t="str">
        <f t="shared" si="101"/>
        <v/>
      </c>
      <c r="AY204" s="116" t="str">
        <f>IF(OR(AY203="",NOT(AV204)),"",IF(AG204=AW204,X208,0)+AY203)</f>
        <v/>
      </c>
      <c r="AZ204" s="116" t="str">
        <f>IF(OR(AZ203="",NOT(AV204)),"",IF(AG205=AW204,X208,0)+AZ203)</f>
        <v/>
      </c>
      <c r="BD204" s="142"/>
      <c r="BI204" s="118">
        <f t="shared" si="93"/>
        <v>42531</v>
      </c>
      <c r="BK204" s="99"/>
      <c r="BM204" s="119"/>
    </row>
    <row r="205" spans="1:66" ht="15" customHeight="1" x14ac:dyDescent="0.3">
      <c r="A205" s="864"/>
      <c r="B205" s="7"/>
      <c r="C205" s="106">
        <v>3</v>
      </c>
      <c r="D205" s="137"/>
      <c r="E205" s="107" t="str">
        <f t="shared" si="94"/>
        <v/>
      </c>
      <c r="F205" s="108"/>
      <c r="G205" s="64" t="str">
        <f t="shared" si="95"/>
        <v/>
      </c>
      <c r="H205" s="109"/>
      <c r="I205" s="110" t="str">
        <f t="shared" si="96"/>
        <v/>
      </c>
      <c r="J205" s="111"/>
      <c r="K205" s="112" t="str">
        <f t="shared" si="97"/>
        <v/>
      </c>
      <c r="L205" s="113"/>
      <c r="M205" s="153" t="str">
        <f t="shared" si="102"/>
        <v/>
      </c>
      <c r="N205" s="110"/>
      <c r="O205" s="140"/>
      <c r="P205" s="114"/>
      <c r="Q205" s="114"/>
      <c r="R205" s="114"/>
      <c r="S205" s="114"/>
      <c r="W205" s="15" t="s">
        <v>313</v>
      </c>
      <c r="X205" s="18"/>
      <c r="Y205" s="72"/>
      <c r="Z205" s="72"/>
      <c r="AA205" s="72"/>
      <c r="AB205" s="18"/>
      <c r="AC205" s="18"/>
      <c r="AD205" s="14" t="str">
        <f ca="1">IF(NOT(AJ205),"",IF(X205=$BE$45,VLOOKUP(AA205,INDIRECT(CONCATENATE("rank.",Y205,Z205)),2,FALSE),VLOOKUP(CONCATENATE(AB205,AC205),result.e,2,FALSE)))</f>
        <v/>
      </c>
      <c r="AE205" s="18"/>
      <c r="AF205" s="120" t="str">
        <f ca="1">IF(OR(AD205="",X205=$BE$45),"",VLOOKUP(AD205,INDIRECT(CONCATENATE("rankname.",AE205)),2,FALSE))</f>
        <v/>
      </c>
      <c r="AG205" s="14" t="str">
        <f ca="1">IF(AD205="","",IF(X205=$BE$45,AD205,IF(AF204&gt;AF205,AD204,AD205)))</f>
        <v/>
      </c>
      <c r="AH205" s="120">
        <f>MAX(AZ202:AZ209)</f>
        <v>0</v>
      </c>
      <c r="AJ205" s="21" t="b">
        <f>IF(X205=$BE$45,IF(OR(Y205="",Z205="",AA205=""),FALSE,VLOOKUP(CONCATENATE(Y205,Z205),$BD$59:$BE$63,2,FALSE)),IF(OR(AB205="",AC205="",AE205=""),FALSE,VLOOKUP(CONCATENATE(AB205,"e"),result.e,2,FALSE)))</f>
        <v>0</v>
      </c>
      <c r="AL205" s="18" t="s">
        <v>318</v>
      </c>
      <c r="AP205" s="115" t="b">
        <f>AND(AP204,AL205&lt;&gt;"",(COUNTIF(AP203:AP204,"IGAZ")-COUNTIF(AV203:AV204,"IGAZ"))*X208+MAX(AY202:AZ204)&lt;X207)</f>
        <v>0</v>
      </c>
      <c r="AQ205" s="116" t="str">
        <f>IF(NOT(AP205),"",IF(AL205="p",AG204,AG205))</f>
        <v/>
      </c>
      <c r="AR205" s="117" t="str">
        <f>IF(NOT(AP205),"",IF(AL205="p",AG205,AG204))</f>
        <v/>
      </c>
      <c r="AT205" s="115" t="b">
        <f t="shared" si="98"/>
        <v>0</v>
      </c>
      <c r="AU205" s="115" t="b">
        <f>AND(ASZTAB!$AJ$42,AT205,F205=H205)</f>
        <v>0</v>
      </c>
      <c r="AV205" s="115" t="b">
        <f t="shared" si="99"/>
        <v>0</v>
      </c>
      <c r="AW205" s="116" t="str">
        <f t="shared" si="100"/>
        <v/>
      </c>
      <c r="AX205" s="117" t="str">
        <f t="shared" si="101"/>
        <v/>
      </c>
      <c r="AY205" s="116" t="str">
        <f>IF(OR(AY204="",NOT(AV205)),"",IF(AG204=AW205,X208,0)+AY204)</f>
        <v/>
      </c>
      <c r="AZ205" s="116" t="str">
        <f>IF(OR(AZ204="",NOT(AV205)),"",IF(AG205=AW205,X208,0)+AZ204)</f>
        <v/>
      </c>
      <c r="BD205" s="142"/>
      <c r="BI205" s="118">
        <f t="shared" si="93"/>
        <v>42532</v>
      </c>
      <c r="BM205" s="119"/>
      <c r="BN205" s="119"/>
    </row>
    <row r="206" spans="1:66" ht="15" customHeight="1" x14ac:dyDescent="0.3">
      <c r="A206" s="864"/>
      <c r="B206" s="7"/>
      <c r="C206" s="106">
        <v>4</v>
      </c>
      <c r="D206" s="137"/>
      <c r="E206" s="107" t="str">
        <f t="shared" si="94"/>
        <v/>
      </c>
      <c r="F206" s="108"/>
      <c r="G206" s="64" t="str">
        <f t="shared" si="95"/>
        <v/>
      </c>
      <c r="H206" s="109"/>
      <c r="I206" s="110" t="str">
        <f t="shared" si="96"/>
        <v/>
      </c>
      <c r="J206" s="111"/>
      <c r="K206" s="112" t="str">
        <f t="shared" si="97"/>
        <v/>
      </c>
      <c r="L206" s="113"/>
      <c r="M206" s="153" t="str">
        <f t="shared" si="102"/>
        <v/>
      </c>
      <c r="N206" s="110"/>
      <c r="O206" s="140"/>
      <c r="P206" s="114"/>
      <c r="Q206" s="114"/>
      <c r="AL206" s="18" t="s">
        <v>331</v>
      </c>
      <c r="AP206" s="115" t="b">
        <f>AND(AP205,AL206&lt;&gt;"",(COUNTIF(AP203:AP205,"IGAZ")-COUNTIF(AV203:AV205,"IGAZ"))*X208+MAX(AY202:AZ205)&lt;X207)</f>
        <v>0</v>
      </c>
      <c r="AQ206" s="116" t="str">
        <f>IF(NOT(AP206),"",IF(AL206="p",AG204,AG205))</f>
        <v/>
      </c>
      <c r="AR206" s="117" t="str">
        <f>IF(NOT(AP206),"",IF(AL206="p",AG205,AG204))</f>
        <v/>
      </c>
      <c r="AT206" s="115" t="b">
        <f t="shared" si="98"/>
        <v>0</v>
      </c>
      <c r="AU206" s="115" t="b">
        <f>AND(ASZTAB!$AJ$42,AT206,F206=H206)</f>
        <v>0</v>
      </c>
      <c r="AV206" s="115" t="b">
        <f t="shared" si="99"/>
        <v>0</v>
      </c>
      <c r="AW206" s="116" t="str">
        <f t="shared" si="100"/>
        <v/>
      </c>
      <c r="AX206" s="117" t="str">
        <f t="shared" si="101"/>
        <v/>
      </c>
      <c r="AY206" s="116" t="str">
        <f>IF(OR(AY205="",NOT(AV206)),"",IF(AG204=AW206,X208,0)+AY205)</f>
        <v/>
      </c>
      <c r="AZ206" s="116" t="str">
        <f>IF(OR(AZ205="",NOT(AV206)),"",IF(AG205=AW206,X208,0)+AZ205)</f>
        <v/>
      </c>
      <c r="BD206" s="142"/>
      <c r="BI206" s="118">
        <f t="shared" si="93"/>
        <v>42533</v>
      </c>
      <c r="BM206" s="119"/>
    </row>
    <row r="207" spans="1:66" ht="15" customHeight="1" x14ac:dyDescent="0.3">
      <c r="A207" s="864"/>
      <c r="B207" s="121"/>
      <c r="C207" s="106">
        <v>5</v>
      </c>
      <c r="D207" s="137"/>
      <c r="E207" s="107" t="str">
        <f t="shared" si="94"/>
        <v/>
      </c>
      <c r="F207" s="108"/>
      <c r="G207" s="64" t="str">
        <f t="shared" si="95"/>
        <v/>
      </c>
      <c r="H207" s="109"/>
      <c r="I207" s="110" t="str">
        <f t="shared" si="96"/>
        <v/>
      </c>
      <c r="J207" s="111"/>
      <c r="K207" s="112" t="str">
        <f t="shared" si="97"/>
        <v/>
      </c>
      <c r="L207" s="113"/>
      <c r="M207" s="153" t="str">
        <f t="shared" si="102"/>
        <v/>
      </c>
      <c r="N207" s="110"/>
      <c r="O207" s="140"/>
      <c r="P207" s="114"/>
      <c r="Q207" s="114"/>
      <c r="R207" s="114"/>
      <c r="S207" s="114"/>
      <c r="W207" s="15" t="s">
        <v>315</v>
      </c>
      <c r="X207" s="18">
        <v>3</v>
      </c>
      <c r="AD207" s="15"/>
      <c r="AE207" s="15" t="s">
        <v>312</v>
      </c>
      <c r="AF207" s="15" t="str">
        <f>CONCATENATE(V201,"f")</f>
        <v>11f</v>
      </c>
      <c r="AG207" s="16" t="str">
        <f>IF(OR(NOT(AJ204),NOT(AJ205)),"",AD204)</f>
        <v/>
      </c>
      <c r="AH207" s="23" t="str">
        <f>IF(OR(NOT(AJ204),NOT(AJ205)),"",VLOOKUP(AG207,AG204:AH205,2,FALSE))</f>
        <v/>
      </c>
      <c r="AL207" s="18" t="s">
        <v>318</v>
      </c>
      <c r="AP207" s="115" t="b">
        <f>AND(AP206,AL207&lt;&gt;"",(COUNTIF(AP203:AP206,"IGAZ")-COUNTIF(AV203:AV206,"IGAZ"))*X208+MAX(AY202:AZ206)&lt;X207)</f>
        <v>0</v>
      </c>
      <c r="AQ207" s="116" t="str">
        <f>IF(NOT(AP207),"",IF(AL207="p",AG204,AG205))</f>
        <v/>
      </c>
      <c r="AR207" s="117" t="str">
        <f>IF(NOT(AP207),"",IF(AL207="p",AG205,AG204))</f>
        <v/>
      </c>
      <c r="AT207" s="115" t="b">
        <f t="shared" si="98"/>
        <v>0</v>
      </c>
      <c r="AU207" s="115" t="b">
        <f>AND(ASZTAB!$AJ$42,AT207,F207=H207)</f>
        <v>0</v>
      </c>
      <c r="AV207" s="115" t="b">
        <f t="shared" si="99"/>
        <v>0</v>
      </c>
      <c r="AW207" s="116" t="str">
        <f t="shared" si="100"/>
        <v/>
      </c>
      <c r="AX207" s="117" t="str">
        <f t="shared" si="101"/>
        <v/>
      </c>
      <c r="AY207" s="116" t="str">
        <f>IF(OR(AY206="",NOT(AV207)),"",IF(AG204=AW207,X208,0)+AY206)</f>
        <v/>
      </c>
      <c r="AZ207" s="116" t="str">
        <f>IF(OR(AZ206="",NOT(AV207)),"",IF(AG205=AW207,X208,0)+AZ206)</f>
        <v/>
      </c>
      <c r="BD207" s="142"/>
      <c r="BI207" s="118">
        <f t="shared" si="93"/>
        <v>42534</v>
      </c>
      <c r="BK207" s="119"/>
      <c r="BL207" s="119"/>
      <c r="BM207" s="119"/>
    </row>
    <row r="208" spans="1:66" ht="15" customHeight="1" x14ac:dyDescent="0.3">
      <c r="A208" s="864"/>
      <c r="B208" s="122"/>
      <c r="C208" s="106">
        <v>6</v>
      </c>
      <c r="D208" s="137"/>
      <c r="E208" s="107" t="str">
        <f t="shared" si="94"/>
        <v/>
      </c>
      <c r="F208" s="108"/>
      <c r="G208" s="64" t="str">
        <f t="shared" si="95"/>
        <v/>
      </c>
      <c r="H208" s="109"/>
      <c r="I208" s="110" t="str">
        <f t="shared" si="96"/>
        <v/>
      </c>
      <c r="J208" s="111"/>
      <c r="K208" s="112" t="str">
        <f t="shared" si="97"/>
        <v/>
      </c>
      <c r="L208" s="113"/>
      <c r="M208" s="8" t="str">
        <f t="shared" si="102"/>
        <v/>
      </c>
      <c r="N208" s="123"/>
      <c r="O208" s="141"/>
      <c r="W208" s="15" t="s">
        <v>327</v>
      </c>
      <c r="X208" s="18">
        <v>1</v>
      </c>
      <c r="AD208" s="15"/>
      <c r="AE208" s="15" t="s">
        <v>313</v>
      </c>
      <c r="AF208" s="15" t="str">
        <f>CONCATENATE(V201,"a")</f>
        <v>11a</v>
      </c>
      <c r="AG208" s="16" t="str">
        <f>IF(OR(NOT(AJ204),NOT(AJ205)),"",AD205)</f>
        <v/>
      </c>
      <c r="AH208" s="23" t="str">
        <f>IF(OR(NOT(AJ204),NOT(AJ205)),"",VLOOKUP(AG208,AG204:AH205,2,FALSE))</f>
        <v/>
      </c>
      <c r="AL208" s="18" t="s">
        <v>331</v>
      </c>
      <c r="AP208" s="115" t="b">
        <f>AND(AP207,AL208&lt;&gt;"",(COUNTIF(AP203:AP207,"IGAZ")-COUNTIF(AV203:AV207,"IGAZ"))*X208+MAX(AY202:AZ207)&lt;X207)</f>
        <v>0</v>
      </c>
      <c r="AQ208" s="116" t="str">
        <f>IF(NOT(AP208),"",IF(AL208="p",AG204,AG205))</f>
        <v/>
      </c>
      <c r="AR208" s="117" t="str">
        <f>IF(NOT(AP208),"",IF(AL208="p",AG205,AG204))</f>
        <v/>
      </c>
      <c r="AT208" s="115" t="b">
        <f t="shared" si="98"/>
        <v>0</v>
      </c>
      <c r="AU208" s="115" t="b">
        <f>AND(ASZTAB!$AJ$42,AT208,F208=H208)</f>
        <v>0</v>
      </c>
      <c r="AV208" s="115" t="b">
        <f t="shared" si="99"/>
        <v>0</v>
      </c>
      <c r="AW208" s="116" t="str">
        <f t="shared" si="100"/>
        <v/>
      </c>
      <c r="AX208" s="117" t="str">
        <f t="shared" si="101"/>
        <v/>
      </c>
      <c r="AY208" s="116" t="str">
        <f>IF(OR(AY207="",NOT(AV208)),"",IF(AG204=AW208,X208,0)+AY207)</f>
        <v/>
      </c>
      <c r="AZ208" s="116" t="str">
        <f>IF(OR(AZ207="",NOT(AV208)),"",IF(AG205=AW208,X208,0)+AZ207)</f>
        <v/>
      </c>
      <c r="BD208" s="142"/>
      <c r="BI208" s="118">
        <f t="shared" si="93"/>
        <v>42535</v>
      </c>
      <c r="BK208" s="119"/>
      <c r="BL208" s="119"/>
      <c r="BM208" s="119"/>
    </row>
    <row r="209" spans="1:66" ht="15" customHeight="1" x14ac:dyDescent="0.3">
      <c r="A209" s="864"/>
      <c r="B209" s="122"/>
      <c r="C209" s="106">
        <v>7</v>
      </c>
      <c r="D209" s="137"/>
      <c r="E209" s="107" t="str">
        <f t="shared" si="94"/>
        <v/>
      </c>
      <c r="F209" s="108"/>
      <c r="G209" s="64" t="str">
        <f t="shared" si="95"/>
        <v/>
      </c>
      <c r="H209" s="109"/>
      <c r="I209" s="110" t="str">
        <f t="shared" si="96"/>
        <v/>
      </c>
      <c r="J209" s="111"/>
      <c r="K209" s="112" t="str">
        <f t="shared" si="97"/>
        <v/>
      </c>
      <c r="L209" s="113"/>
      <c r="M209" s="8" t="str">
        <f t="shared" si="102"/>
        <v/>
      </c>
      <c r="N209" s="123"/>
      <c r="O209" s="141"/>
      <c r="AE209" s="15" t="s">
        <v>316</v>
      </c>
      <c r="AF209" s="15" t="str">
        <f>CONCATENATE(V201,"w")</f>
        <v>11w</v>
      </c>
      <c r="AG209" s="16" t="str">
        <f>IF(AND(AJ204,AJ205),IF(MAX(AY203:AY209)&gt;=X207,AG204,IF(MAX(AZ203:AZ209)&gt;=X207,AG205,"")),"")</f>
        <v/>
      </c>
      <c r="AL209" s="18" t="s">
        <v>318</v>
      </c>
      <c r="AP209" s="115" t="b">
        <f>AND(AP208,AL209&lt;&gt;"",(COUNTIF(AP203:AP208,"IGAZ")-COUNTIF(AV203:AV208,"IGAZ"))*X208+MAX(AY202:AZ208)&lt;X207)</f>
        <v>0</v>
      </c>
      <c r="AQ209" s="116" t="str">
        <f>IF(NOT(AP209),"",IF(AL209="p",AG204,AG205))</f>
        <v/>
      </c>
      <c r="AR209" s="117" t="str">
        <f>IF(NOT(AP209),"",IF(AL209="p",AG205,AG204))</f>
        <v/>
      </c>
      <c r="AT209" s="115" t="b">
        <f t="shared" si="98"/>
        <v>0</v>
      </c>
      <c r="AU209" s="115" t="b">
        <f>AND(ASZTAB!$AJ$42,AT209,F209=H209)</f>
        <v>0</v>
      </c>
      <c r="AV209" s="115" t="b">
        <f t="shared" si="99"/>
        <v>0</v>
      </c>
      <c r="AW209" s="116" t="str">
        <f t="shared" si="100"/>
        <v/>
      </c>
      <c r="AX209" s="117" t="str">
        <f t="shared" si="101"/>
        <v/>
      </c>
      <c r="AY209" s="116" t="str">
        <f>IF(OR(AY208="",NOT(AV209)),"",IF(AG204=AW209,X208,0)+AY208)</f>
        <v/>
      </c>
      <c r="AZ209" s="116" t="str">
        <f>IF(OR(AZ208="",NOT(AV209)),"",IF(AG205=AW209,X208,0)+AZ208)</f>
        <v/>
      </c>
      <c r="BD209" s="142"/>
      <c r="BI209" s="118">
        <f t="shared" si="93"/>
        <v>42536</v>
      </c>
      <c r="BK209" s="119"/>
      <c r="BL209" s="119"/>
      <c r="BM209" s="119"/>
      <c r="BN209" s="119"/>
    </row>
    <row r="210" spans="1:66" ht="15" customHeight="1" x14ac:dyDescent="0.3">
      <c r="A210" s="864"/>
      <c r="B210" s="122"/>
      <c r="C210" s="106"/>
      <c r="D210" s="123"/>
      <c r="E210" s="124"/>
      <c r="F210" s="125"/>
      <c r="G210" s="123"/>
      <c r="H210" s="114"/>
      <c r="I210" s="123"/>
      <c r="J210" s="125"/>
      <c r="K210" s="123"/>
      <c r="L210" s="114"/>
      <c r="M210" s="123"/>
      <c r="N210" s="123"/>
      <c r="O210" s="123"/>
      <c r="AE210" s="15" t="s">
        <v>317</v>
      </c>
      <c r="AF210" s="15" t="str">
        <f>CONCATENATE(V201,"l")</f>
        <v>11l</v>
      </c>
      <c r="AG210" s="16" t="str">
        <f ca="1">IF(AG209=AG204,AG205,IF(AG205=AG209,AG204,""))</f>
        <v/>
      </c>
      <c r="AL210" s="126" t="s">
        <v>330</v>
      </c>
      <c r="BD210" s="142"/>
      <c r="BI210" s="118">
        <f t="shared" si="93"/>
        <v>42537</v>
      </c>
      <c r="BK210" s="119"/>
      <c r="BL210" s="119"/>
      <c r="BM210" s="119"/>
      <c r="BN210" s="119"/>
    </row>
    <row r="211" spans="1:66" ht="15" customHeight="1" x14ac:dyDescent="0.3">
      <c r="A211" s="864"/>
      <c r="B211" s="122"/>
      <c r="C211" s="127" t="s">
        <v>463</v>
      </c>
      <c r="D211" s="123"/>
      <c r="E211" s="124"/>
      <c r="F211" s="125"/>
      <c r="G211" s="123"/>
      <c r="H211" s="114"/>
      <c r="I211" s="123"/>
      <c r="J211" s="125"/>
      <c r="K211" s="123"/>
      <c r="L211" s="114"/>
      <c r="M211" s="123"/>
      <c r="N211" s="123"/>
      <c r="O211" s="123"/>
      <c r="Y211" s="11" t="s">
        <v>294</v>
      </c>
      <c r="Z211" s="70" t="s">
        <v>311</v>
      </c>
      <c r="AA211" s="70" t="s">
        <v>153</v>
      </c>
      <c r="AB211" s="70" t="s">
        <v>153</v>
      </c>
      <c r="AE211" s="15" t="s">
        <v>287</v>
      </c>
      <c r="AF211" s="15" t="str">
        <f>CONCATENATE(V201,"e")</f>
        <v>11e</v>
      </c>
      <c r="AG211" s="21" t="b">
        <f ca="1">AND(AG209&lt;&gt;"",AG210&lt;&gt;"")</f>
        <v>0</v>
      </c>
      <c r="BD211" s="15"/>
      <c r="BI211" s="118">
        <f t="shared" si="93"/>
        <v>42538</v>
      </c>
      <c r="BK211" s="119"/>
      <c r="BL211" s="119"/>
      <c r="BM211" s="119"/>
      <c r="BN211" s="119"/>
    </row>
    <row r="212" spans="1:66" ht="15" customHeight="1" x14ac:dyDescent="0.3">
      <c r="A212" s="864"/>
      <c r="B212" s="122"/>
      <c r="C212" s="865"/>
      <c r="D212" s="865"/>
      <c r="E212" s="865"/>
      <c r="F212" s="865"/>
      <c r="G212" s="865"/>
      <c r="H212" s="865"/>
      <c r="I212" s="865"/>
      <c r="J212" s="865"/>
      <c r="K212" s="865"/>
      <c r="L212" s="865"/>
      <c r="M212" s="865"/>
      <c r="N212" s="865"/>
      <c r="O212" s="865"/>
      <c r="W212" s="15" t="s">
        <v>319</v>
      </c>
      <c r="X212" s="18" t="b">
        <v>0</v>
      </c>
      <c r="Y212" s="72" t="s">
        <v>289</v>
      </c>
      <c r="Z212" s="16" t="str">
        <f ca="1">IF(AND(AJ204,AJ205,X212,Y212&lt;&gt;""),CONCATENATE(VLOOKUP(CONCATENATE(AG204,AG205),INDIRECT(CONCATENATE("games.",Y212)),9,FALSE),VLOOKUP(CONCATENATE(AG204,AG205),INDIRECT(CONCATENATE("games.",Y212)),12,FALSE)),"")</f>
        <v/>
      </c>
      <c r="AA212" s="16" t="str">
        <f ca="1">IF(AND(AJ204,AJ205,X212,Y212&lt;&gt;""),VLOOKUP(CONCATENATE(AG204,AG205),INDIRECT(CONCATENATE("games.",Y212)),10,FALSE),"")</f>
        <v/>
      </c>
      <c r="AB212" s="54" t="str">
        <f ca="1">IF(AND(AJ204,AJ205,X212,Y212&lt;&gt;""),VLOOKUP(CONCATENATE(AG204,AG205),INDIRECT(CONCATENATE("games.",Y212)),13,FALSE),"")</f>
        <v/>
      </c>
      <c r="BD212" s="15"/>
      <c r="BI212" s="118">
        <f t="shared" si="93"/>
        <v>42539</v>
      </c>
      <c r="BK212" s="119"/>
      <c r="BL212" s="119"/>
      <c r="BM212" s="119"/>
      <c r="BN212" s="119"/>
    </row>
    <row r="213" spans="1:66" ht="15" customHeight="1" x14ac:dyDescent="0.3">
      <c r="A213" s="864"/>
      <c r="B213" s="122"/>
      <c r="C213" s="866"/>
      <c r="D213" s="866"/>
      <c r="E213" s="866"/>
      <c r="F213" s="866"/>
      <c r="G213" s="866"/>
      <c r="H213" s="866"/>
      <c r="I213" s="866"/>
      <c r="J213" s="866"/>
      <c r="K213" s="866"/>
      <c r="L213" s="866"/>
      <c r="M213" s="866"/>
      <c r="N213" s="866"/>
      <c r="O213" s="866"/>
      <c r="Z213" s="16" t="str">
        <f ca="1">IF(AND(AJ204,AJ205,X212,Y212&lt;&gt;""),CONCATENATE(VLOOKUP(CONCATENATE(AG205,AG204),INDIRECT(CONCATENATE("games.",Y212)),9,FALSE),VLOOKUP(CONCATENATE(AG205,AG204),INDIRECT(CONCATENATE("games.",Y212)),12,FALSE)),"")</f>
        <v/>
      </c>
      <c r="AA213" s="16" t="str">
        <f ca="1">IF(AND(AJ204,AJ205,X212,Y212&lt;&gt;""),VLOOKUP(CONCATENATE(AG205,AG204),INDIRECT(CONCATENATE("games.",Y212)),10,FALSE),"")</f>
        <v/>
      </c>
      <c r="AB213" s="54" t="str">
        <f ca="1">IF(AND(AJ204,AJ205,X212,Y212&lt;&gt;""),VLOOKUP(CONCATENATE(AG205,AG204),INDIRECT(CONCATENATE("games.",Y212)),13,FALSE),"")</f>
        <v/>
      </c>
      <c r="BD213" s="15"/>
      <c r="BI213" s="118">
        <f t="shared" si="93"/>
        <v>42540</v>
      </c>
      <c r="BK213" s="119"/>
      <c r="BL213" s="119"/>
      <c r="BM213" s="119"/>
      <c r="BN213" s="119"/>
    </row>
    <row r="214" spans="1:66" ht="15" customHeight="1" x14ac:dyDescent="0.3">
      <c r="A214" s="864"/>
      <c r="B214" s="122"/>
      <c r="C214" s="866"/>
      <c r="D214" s="866"/>
      <c r="E214" s="866"/>
      <c r="F214" s="866"/>
      <c r="G214" s="866"/>
      <c r="H214" s="866"/>
      <c r="I214" s="866"/>
      <c r="J214" s="866"/>
      <c r="K214" s="866"/>
      <c r="L214" s="866"/>
      <c r="M214" s="866"/>
      <c r="N214" s="866"/>
      <c r="O214" s="866"/>
      <c r="BD214" s="15"/>
      <c r="BI214" s="118">
        <f t="shared" si="93"/>
        <v>42541</v>
      </c>
      <c r="BK214" s="119"/>
      <c r="BL214" s="119"/>
      <c r="BM214" s="119"/>
      <c r="BN214" s="119"/>
    </row>
    <row r="215" spans="1:66" ht="15" customHeight="1" x14ac:dyDescent="0.3">
      <c r="A215" s="864"/>
      <c r="B215" s="122"/>
      <c r="C215" s="106"/>
      <c r="D215" s="123"/>
      <c r="E215" s="124"/>
      <c r="F215" s="125"/>
      <c r="G215" s="123"/>
      <c r="H215" s="114"/>
      <c r="I215" s="123"/>
      <c r="J215" s="125"/>
      <c r="K215" s="123"/>
      <c r="L215" s="114"/>
      <c r="M215" s="123"/>
      <c r="N215" s="123"/>
      <c r="O215" s="123"/>
      <c r="U215" s="10"/>
      <c r="V215" s="128"/>
      <c r="W215" s="129"/>
      <c r="X215" s="10"/>
      <c r="Y215" s="130"/>
      <c r="Z215" s="130"/>
      <c r="AA215" s="130"/>
      <c r="AB215" s="130"/>
      <c r="AC215" s="130"/>
      <c r="AD215" s="130"/>
      <c r="AE215" s="130"/>
      <c r="AF215" s="130"/>
      <c r="AG215" s="130"/>
      <c r="AH215" s="130"/>
      <c r="AI215" s="130"/>
      <c r="AJ215" s="130"/>
      <c r="AK215" s="130"/>
      <c r="AL215" s="130"/>
      <c r="AM215" s="10"/>
      <c r="AO215" s="131"/>
      <c r="AP215" s="131"/>
      <c r="AQ215" s="132"/>
      <c r="AR215" s="132"/>
      <c r="AS215" s="132"/>
      <c r="AT215" s="131"/>
      <c r="AU215" s="131"/>
      <c r="AV215" s="131"/>
      <c r="AW215" s="132"/>
      <c r="AX215" s="132"/>
      <c r="AY215" s="131"/>
      <c r="AZ215" s="131"/>
      <c r="BA215" s="131"/>
      <c r="BD215" s="15"/>
      <c r="BI215" s="118">
        <f t="shared" si="93"/>
        <v>42542</v>
      </c>
      <c r="BK215" s="119"/>
      <c r="BL215" s="119"/>
      <c r="BM215" s="119"/>
      <c r="BN215" s="119"/>
    </row>
    <row r="216" spans="1:66" ht="15" customHeight="1" x14ac:dyDescent="0.3">
      <c r="A216" s="864"/>
      <c r="B216" s="88"/>
      <c r="C216" s="89"/>
      <c r="D216" s="90"/>
      <c r="BI216" s="118">
        <f t="shared" si="93"/>
        <v>42543</v>
      </c>
      <c r="BM216" s="119"/>
    </row>
    <row r="217" spans="1:66" ht="15" customHeight="1" x14ac:dyDescent="0.3">
      <c r="A217" s="864"/>
      <c r="B217" s="147"/>
      <c r="C217" s="149">
        <f>V217</f>
        <v>12</v>
      </c>
      <c r="D217" s="150" t="str">
        <f>UPPER(W217)</f>
        <v/>
      </c>
      <c r="E217" s="151"/>
      <c r="F217" s="151"/>
      <c r="G217" s="151"/>
      <c r="H217" s="151"/>
      <c r="I217" s="151"/>
      <c r="J217" s="151"/>
      <c r="K217" s="151"/>
      <c r="L217" s="151"/>
      <c r="M217" s="138"/>
      <c r="N217" s="151"/>
      <c r="O217" s="161" t="str">
        <f ca="1">IF(NOT(AG227),"","A PÁRHARC GYŐZTESE: "&amp;UPPER(AG225))</f>
        <v/>
      </c>
      <c r="P217" s="152" t="str">
        <f>IF(NOT(Y225),"",CONCATENATE("A PÁRHARC GYŐZTESE: ",AH223," "))</f>
        <v/>
      </c>
      <c r="Q217" s="148" t="str">
        <f>IF(NOT(Z225),"",CONCATENATE("A PÁRHARC GYŐZTESE: ",AJ223," "))</f>
        <v/>
      </c>
      <c r="R217" s="148" t="str">
        <f>IF(NOT(AA225),"",CONCATENATE("A PÁRHARC GYŐZTESE: ",AK223," "))</f>
        <v/>
      </c>
      <c r="S217" s="148" t="str">
        <f>IF(NOT(AB225),"",CONCATENATE("A PÁRHARC GYŐZTESE: ",AL223," "))</f>
        <v/>
      </c>
      <c r="V217" s="21">
        <f>V201+1</f>
        <v>12</v>
      </c>
      <c r="W217" s="95"/>
      <c r="X217" s="96"/>
      <c r="Y217" s="96"/>
      <c r="Z217" s="96"/>
      <c r="AA217" s="96"/>
      <c r="AB217" s="96"/>
      <c r="AC217" s="96"/>
      <c r="AD217" s="96"/>
      <c r="AE217" s="96"/>
      <c r="AF217" s="96"/>
      <c r="AG217" s="96"/>
      <c r="AH217" s="96"/>
      <c r="AI217" s="96"/>
      <c r="AJ217" s="96"/>
      <c r="AK217" s="96"/>
      <c r="AL217" s="97"/>
      <c r="AY217" s="13" t="s">
        <v>326</v>
      </c>
      <c r="AZ217" s="13" t="s">
        <v>325</v>
      </c>
      <c r="BD217" s="142"/>
      <c r="BH217" s="98"/>
      <c r="BI217" s="118">
        <f t="shared" si="93"/>
        <v>42544</v>
      </c>
      <c r="BJ217" s="98"/>
      <c r="BK217" s="99"/>
      <c r="BL217" s="99"/>
      <c r="BM217" s="119"/>
    </row>
    <row r="218" spans="1:66" ht="11.25" customHeight="1" x14ac:dyDescent="0.3">
      <c r="A218" s="864"/>
      <c r="C218" s="101"/>
      <c r="D218" s="102"/>
      <c r="E218" s="103"/>
      <c r="F218" s="58"/>
      <c r="G218" s="104"/>
      <c r="H218" s="60"/>
      <c r="I218" s="146"/>
      <c r="J218" s="107"/>
      <c r="K218" s="160" t="str">
        <f>IF(OR(AU219,AU220,AU221,AU222,AU223,AU224,AU225),"BÜNTETŐK","")</f>
        <v/>
      </c>
      <c r="L218" s="110"/>
      <c r="M218" s="158" t="s">
        <v>286</v>
      </c>
      <c r="N218" s="159"/>
      <c r="O218" s="158" t="s">
        <v>285</v>
      </c>
      <c r="AP218" s="105" t="s">
        <v>328</v>
      </c>
      <c r="AQ218" s="12" t="s">
        <v>138</v>
      </c>
      <c r="AR218" s="12" t="s">
        <v>139</v>
      </c>
      <c r="AT218" s="105" t="s">
        <v>320</v>
      </c>
      <c r="AU218" s="105" t="s">
        <v>321</v>
      </c>
      <c r="AV218" s="105" t="s">
        <v>324</v>
      </c>
      <c r="AW218" s="12" t="s">
        <v>322</v>
      </c>
      <c r="AX218" s="12" t="s">
        <v>323</v>
      </c>
      <c r="AY218" s="116">
        <f>IF(X228,COUNTIF(Z228:Z229,AG220)*ASZTAB!$AJ$48+COUNTIF(AA228:AB229,AG220),0)</f>
        <v>0</v>
      </c>
      <c r="AZ218" s="116">
        <f>IF(X228,COUNTIF(Z228:Z229,AG221)*ASZTAB!$AJ$48+COUNTIF(AA228:AB229,AG221),0)</f>
        <v>0</v>
      </c>
      <c r="BD218" s="142"/>
      <c r="BH218" s="98"/>
      <c r="BI218" s="118">
        <f t="shared" si="93"/>
        <v>42545</v>
      </c>
      <c r="BJ218" s="98"/>
      <c r="BK218" s="99"/>
      <c r="BL218" s="99"/>
      <c r="BM218" s="119"/>
    </row>
    <row r="219" spans="1:66" ht="15" customHeight="1" x14ac:dyDescent="0.3">
      <c r="A219" s="864"/>
      <c r="B219" s="7"/>
      <c r="C219" s="106">
        <v>1</v>
      </c>
      <c r="D219" s="137"/>
      <c r="E219" s="107" t="str">
        <f t="shared" ref="E219:E225" si="103">IF(NOT($AP219),"",AQ219)</f>
        <v/>
      </c>
      <c r="F219" s="108"/>
      <c r="G219" s="64" t="str">
        <f t="shared" ref="G219:G225" si="104">IF(NOT($AP219),"","–")</f>
        <v/>
      </c>
      <c r="H219" s="109"/>
      <c r="I219" s="110" t="str">
        <f t="shared" ref="I219:I225" si="105">IF(NOT($AP219),"",AR219)</f>
        <v/>
      </c>
      <c r="J219" s="111"/>
      <c r="K219" s="112" t="str">
        <f t="shared" ref="K219:K225" si="106">IF(AU219,"–","")</f>
        <v/>
      </c>
      <c r="L219" s="113"/>
      <c r="M219" s="153" t="str">
        <f>IF(OR(AL219="",NOT(AV219)),"",IF(AL219="p",CONCATENATE(AY219,"–",AZ219),CONCATENATE(AZ219,"–",AY219)))</f>
        <v/>
      </c>
      <c r="N219" s="110"/>
      <c r="O219" s="139"/>
      <c r="P219" s="114"/>
      <c r="Q219" s="114"/>
      <c r="R219" s="114"/>
      <c r="S219" s="114"/>
      <c r="X219" s="11" t="s">
        <v>306</v>
      </c>
      <c r="Y219" s="11" t="s">
        <v>294</v>
      </c>
      <c r="Z219" s="70" t="s">
        <v>295</v>
      </c>
      <c r="AA219" s="70" t="s">
        <v>127</v>
      </c>
      <c r="AB219" s="70" t="s">
        <v>301</v>
      </c>
      <c r="AC219" s="70" t="s">
        <v>302</v>
      </c>
      <c r="AD219" s="70" t="s">
        <v>332</v>
      </c>
      <c r="AE219" s="70" t="s">
        <v>333</v>
      </c>
      <c r="AF219" s="70" t="s">
        <v>329</v>
      </c>
      <c r="AG219" s="70" t="s">
        <v>303</v>
      </c>
      <c r="AH219" s="70" t="s">
        <v>293</v>
      </c>
      <c r="AJ219" s="71" t="s">
        <v>314</v>
      </c>
      <c r="AL219" s="18" t="s">
        <v>318</v>
      </c>
      <c r="AP219" s="115" t="b">
        <f>AND(AJ220,AJ221,AL219&lt;&gt;"")</f>
        <v>0</v>
      </c>
      <c r="AQ219" s="116" t="str">
        <f>IF(NOT(AP219),"",IF(AL219="p",AG220,AG221))</f>
        <v/>
      </c>
      <c r="AR219" s="117" t="str">
        <f>IF(NOT(AP219),"",IF(AL219="p",AG221,AG220))</f>
        <v/>
      </c>
      <c r="AT219" s="115" t="b">
        <f t="shared" ref="AT219:AT225" si="107">AND(F219&lt;&gt;"",H219&lt;&gt;"",AP219)</f>
        <v>0</v>
      </c>
      <c r="AU219" s="115" t="b">
        <f>AND(ASZTAB!$AJ$42,AT219,F219=H219)</f>
        <v>0</v>
      </c>
      <c r="AV219" s="115" t="b">
        <f t="shared" ref="AV219:AV225" si="108">OR(AND(AT219,NOT(AU219),F219&lt;&gt;H219),AND(AT219,AU219,J219&lt;&gt;"",L219&lt;&gt;"",J219&lt;&gt;L219))</f>
        <v>0</v>
      </c>
      <c r="AW219" s="116" t="str">
        <f t="shared" ref="AW219:AW225" si="109">IF(NOT(AV219),"",IF(AU219,IF(F219+J219&gt;H219+L219,E219,I219),IF(F219&gt;H219,E219,I219)))</f>
        <v/>
      </c>
      <c r="AX219" s="117" t="str">
        <f t="shared" ref="AX219:AX225" si="110">IF(NOT(AV219),"",IF(AW219=E219,I219,IF(AW219=I219,E219,"")))</f>
        <v/>
      </c>
      <c r="AY219" s="116" t="str">
        <f>IF(NOT(AV219),"",IF(AG220=AW219,X224,0)+AY218)</f>
        <v/>
      </c>
      <c r="AZ219" s="116" t="str">
        <f>IF(NOT(AV219),"",IF(AG221=AW219,X224,0)+AZ218)</f>
        <v/>
      </c>
      <c r="BD219" s="142"/>
      <c r="BI219" s="118">
        <f t="shared" si="93"/>
        <v>42546</v>
      </c>
      <c r="BK219" s="99"/>
      <c r="BL219" s="119"/>
      <c r="BM219" s="119"/>
    </row>
    <row r="220" spans="1:66" ht="15" customHeight="1" x14ac:dyDescent="0.3">
      <c r="A220" s="864"/>
      <c r="B220" s="7"/>
      <c r="C220" s="106">
        <v>2</v>
      </c>
      <c r="D220" s="137"/>
      <c r="E220" s="107" t="str">
        <f t="shared" si="103"/>
        <v/>
      </c>
      <c r="F220" s="108"/>
      <c r="G220" s="64" t="str">
        <f t="shared" si="104"/>
        <v/>
      </c>
      <c r="H220" s="109"/>
      <c r="I220" s="110" t="str">
        <f t="shared" si="105"/>
        <v/>
      </c>
      <c r="J220" s="111"/>
      <c r="K220" s="112" t="str">
        <f t="shared" si="106"/>
        <v/>
      </c>
      <c r="L220" s="113"/>
      <c r="M220" s="153" t="str">
        <f t="shared" ref="M220:M225" si="111">IF(OR(AL220="",NOT(AV220)),"",IF(AL220="p",CONCATENATE(AY220,"–",AZ220),CONCATENATE(AZ220,"–",AY220)))</f>
        <v/>
      </c>
      <c r="N220" s="110"/>
      <c r="O220" s="140"/>
      <c r="P220" s="114"/>
      <c r="Q220" s="114"/>
      <c r="R220" s="114"/>
      <c r="S220" s="114"/>
      <c r="W220" s="15" t="s">
        <v>312</v>
      </c>
      <c r="X220" s="18"/>
      <c r="Y220" s="72"/>
      <c r="Z220" s="72"/>
      <c r="AA220" s="72"/>
      <c r="AB220" s="18"/>
      <c r="AC220" s="18"/>
      <c r="AD220" s="14" t="str">
        <f ca="1">IF(NOT(AJ220),"",IF(X220=$BE$45,VLOOKUP(AA220,INDIRECT(CONCATENATE("rank.",Y220,Z220)),2,FALSE),VLOOKUP(CONCATENATE(AB220,AC220),result.e,2,FALSE)))</f>
        <v/>
      </c>
      <c r="AE220" s="18"/>
      <c r="AF220" s="120" t="str">
        <f ca="1">IF(OR(AD220="",X220=$BE$45),"",VLOOKUP(AD220,INDIRECT(CONCATENATE("rankname.",AE220)),2,FALSE))</f>
        <v/>
      </c>
      <c r="AG220" s="14" t="str">
        <f ca="1">IF(AD220="","",IF(X220=$BE$45,AD220,IF(AF220&gt;AF221,AD221,AD220)))</f>
        <v/>
      </c>
      <c r="AH220" s="120">
        <f>MAX(AY218:AY225)</f>
        <v>0</v>
      </c>
      <c r="AJ220" s="21" t="b">
        <f>IF(X220=$BE$45,IF(OR(Y220="",Z220="",AA220=""),FALSE,VLOOKUP(CONCATENATE(Y220,Z220),$BD$59:$BE$63,2,FALSE)),IF(OR(AB220="",AC220="",AE220=""),FALSE,VLOOKUP(CONCATENATE(AB220,"e"),result.e,2,FALSE)))</f>
        <v>0</v>
      </c>
      <c r="AL220" s="18" t="s">
        <v>331</v>
      </c>
      <c r="AP220" s="115" t="b">
        <f>AND(AP219,AL220&lt;&gt;"",(COUNTIF(AP219:AP219,"IGAZ")-COUNTIF(AV219:AV219,"IGAZ"))*X224+MAX(AY218:AZ219)&lt;X223)</f>
        <v>0</v>
      </c>
      <c r="AQ220" s="116" t="str">
        <f>IF(NOT(AP220),"",IF(AL220="p",AG220,AG221))</f>
        <v/>
      </c>
      <c r="AR220" s="117" t="str">
        <f>IF(NOT(AP220),"",IF(AL220="p",AG221,AG220))</f>
        <v/>
      </c>
      <c r="AT220" s="115" t="b">
        <f t="shared" si="107"/>
        <v>0</v>
      </c>
      <c r="AU220" s="115" t="b">
        <f>AND(ASZTAB!$AJ$42,AT220,F220=H220)</f>
        <v>0</v>
      </c>
      <c r="AV220" s="115" t="b">
        <f t="shared" si="108"/>
        <v>0</v>
      </c>
      <c r="AW220" s="116" t="str">
        <f t="shared" si="109"/>
        <v/>
      </c>
      <c r="AX220" s="117" t="str">
        <f t="shared" si="110"/>
        <v/>
      </c>
      <c r="AY220" s="116" t="str">
        <f>IF(OR(AY219="",NOT(AV220)),"",IF(AG220=AW220,X224,0)+AY219)</f>
        <v/>
      </c>
      <c r="AZ220" s="116" t="str">
        <f>IF(OR(AZ219="",NOT(AV220)),"",IF(AG221=AW220,X224,0)+AZ219)</f>
        <v/>
      </c>
      <c r="BD220" s="142"/>
      <c r="BI220" s="118">
        <f t="shared" si="93"/>
        <v>42547</v>
      </c>
      <c r="BK220" s="99"/>
      <c r="BM220" s="119"/>
    </row>
    <row r="221" spans="1:66" ht="15" customHeight="1" x14ac:dyDescent="0.3">
      <c r="A221" s="864"/>
      <c r="B221" s="7"/>
      <c r="C221" s="106">
        <v>3</v>
      </c>
      <c r="D221" s="137"/>
      <c r="E221" s="107" t="str">
        <f t="shared" si="103"/>
        <v/>
      </c>
      <c r="F221" s="108"/>
      <c r="G221" s="64" t="str">
        <f t="shared" si="104"/>
        <v/>
      </c>
      <c r="H221" s="109"/>
      <c r="I221" s="110" t="str">
        <f t="shared" si="105"/>
        <v/>
      </c>
      <c r="J221" s="111"/>
      <c r="K221" s="112" t="str">
        <f t="shared" si="106"/>
        <v/>
      </c>
      <c r="L221" s="113"/>
      <c r="M221" s="153" t="str">
        <f t="shared" si="111"/>
        <v/>
      </c>
      <c r="N221" s="110"/>
      <c r="O221" s="140"/>
      <c r="P221" s="114"/>
      <c r="Q221" s="114"/>
      <c r="R221" s="114"/>
      <c r="S221" s="114"/>
      <c r="W221" s="15" t="s">
        <v>313</v>
      </c>
      <c r="X221" s="18"/>
      <c r="Y221" s="72"/>
      <c r="Z221" s="72"/>
      <c r="AA221" s="72"/>
      <c r="AB221" s="18"/>
      <c r="AC221" s="18"/>
      <c r="AD221" s="14" t="str">
        <f ca="1">IF(NOT(AJ221),"",IF(X221=$BE$45,VLOOKUP(AA221,INDIRECT(CONCATENATE("rank.",Y221,Z221)),2,FALSE),VLOOKUP(CONCATENATE(AB221,AC221),result.e,2,FALSE)))</f>
        <v/>
      </c>
      <c r="AE221" s="18"/>
      <c r="AF221" s="120" t="str">
        <f ca="1">IF(OR(AD221="",X221=$BE$45),"",VLOOKUP(AD221,INDIRECT(CONCATENATE("rankname.",AE221)),2,FALSE))</f>
        <v/>
      </c>
      <c r="AG221" s="14" t="str">
        <f ca="1">IF(AD221="","",IF(X221=$BE$45,AD221,IF(AF220&gt;AF221,AD220,AD221)))</f>
        <v/>
      </c>
      <c r="AH221" s="120">
        <f>MAX(AZ218:AZ225)</f>
        <v>0</v>
      </c>
      <c r="AJ221" s="21" t="b">
        <f>IF(X221=$BE$45,IF(OR(Y221="",Z221="",AA221=""),FALSE,VLOOKUP(CONCATENATE(Y221,Z221),$BD$59:$BE$63,2,FALSE)),IF(OR(AB221="",AC221="",AE221=""),FALSE,VLOOKUP(CONCATENATE(AB221,"e"),result.e,2,FALSE)))</f>
        <v>0</v>
      </c>
      <c r="AL221" s="18" t="s">
        <v>318</v>
      </c>
      <c r="AP221" s="115" t="b">
        <f>AND(AP220,AL221&lt;&gt;"",(COUNTIF(AP219:AP220,"IGAZ")-COUNTIF(AV219:AV220,"IGAZ"))*X224+MAX(AY218:AZ220)&lt;X223)</f>
        <v>0</v>
      </c>
      <c r="AQ221" s="116" t="str">
        <f>IF(NOT(AP221),"",IF(AL221="p",AG220,AG221))</f>
        <v/>
      </c>
      <c r="AR221" s="117" t="str">
        <f>IF(NOT(AP221),"",IF(AL221="p",AG221,AG220))</f>
        <v/>
      </c>
      <c r="AT221" s="115" t="b">
        <f t="shared" si="107"/>
        <v>0</v>
      </c>
      <c r="AU221" s="115" t="b">
        <f>AND(ASZTAB!$AJ$42,AT221,F221=H221)</f>
        <v>0</v>
      </c>
      <c r="AV221" s="115" t="b">
        <f t="shared" si="108"/>
        <v>0</v>
      </c>
      <c r="AW221" s="116" t="str">
        <f t="shared" si="109"/>
        <v/>
      </c>
      <c r="AX221" s="117" t="str">
        <f t="shared" si="110"/>
        <v/>
      </c>
      <c r="AY221" s="116" t="str">
        <f>IF(OR(AY220="",NOT(AV221)),"",IF(AG220=AW221,X224,0)+AY220)</f>
        <v/>
      </c>
      <c r="AZ221" s="116" t="str">
        <f>IF(OR(AZ220="",NOT(AV221)),"",IF(AG221=AW221,X224,0)+AZ220)</f>
        <v/>
      </c>
      <c r="BD221" s="142"/>
      <c r="BI221" s="118">
        <f t="shared" si="93"/>
        <v>42548</v>
      </c>
      <c r="BM221" s="119"/>
      <c r="BN221" s="119"/>
    </row>
    <row r="222" spans="1:66" ht="15" customHeight="1" x14ac:dyDescent="0.3">
      <c r="A222" s="864"/>
      <c r="B222" s="7"/>
      <c r="C222" s="106">
        <v>4</v>
      </c>
      <c r="D222" s="137"/>
      <c r="E222" s="107" t="str">
        <f t="shared" si="103"/>
        <v/>
      </c>
      <c r="F222" s="108"/>
      <c r="G222" s="64" t="str">
        <f t="shared" si="104"/>
        <v/>
      </c>
      <c r="H222" s="109"/>
      <c r="I222" s="110" t="str">
        <f t="shared" si="105"/>
        <v/>
      </c>
      <c r="J222" s="111"/>
      <c r="K222" s="112" t="str">
        <f t="shared" si="106"/>
        <v/>
      </c>
      <c r="L222" s="113"/>
      <c r="M222" s="153" t="str">
        <f t="shared" si="111"/>
        <v/>
      </c>
      <c r="N222" s="110"/>
      <c r="O222" s="140"/>
      <c r="P222" s="114"/>
      <c r="Q222" s="114"/>
      <c r="AL222" s="18" t="s">
        <v>331</v>
      </c>
      <c r="AP222" s="115" t="b">
        <f>AND(AP221,AL222&lt;&gt;"",(COUNTIF(AP219:AP221,"IGAZ")-COUNTIF(AV219:AV221,"IGAZ"))*X224+MAX(AY218:AZ221)&lt;X223)</f>
        <v>0</v>
      </c>
      <c r="AQ222" s="116" t="str">
        <f>IF(NOT(AP222),"",IF(AL222="p",AG220,AG221))</f>
        <v/>
      </c>
      <c r="AR222" s="117" t="str">
        <f>IF(NOT(AP222),"",IF(AL222="p",AG221,AG220))</f>
        <v/>
      </c>
      <c r="AT222" s="115" t="b">
        <f t="shared" si="107"/>
        <v>0</v>
      </c>
      <c r="AU222" s="115" t="b">
        <f>AND(ASZTAB!$AJ$42,AT222,F222=H222)</f>
        <v>0</v>
      </c>
      <c r="AV222" s="115" t="b">
        <f t="shared" si="108"/>
        <v>0</v>
      </c>
      <c r="AW222" s="116" t="str">
        <f t="shared" si="109"/>
        <v/>
      </c>
      <c r="AX222" s="117" t="str">
        <f t="shared" si="110"/>
        <v/>
      </c>
      <c r="AY222" s="116" t="str">
        <f>IF(OR(AY221="",NOT(AV222)),"",IF(AG220=AW222,X224,0)+AY221)</f>
        <v/>
      </c>
      <c r="AZ222" s="116" t="str">
        <f>IF(OR(AZ221="",NOT(AV222)),"",IF(AG221=AW222,X224,0)+AZ221)</f>
        <v/>
      </c>
      <c r="BD222" s="142"/>
      <c r="BI222" s="118">
        <f t="shared" si="93"/>
        <v>42549</v>
      </c>
      <c r="BM222" s="119"/>
    </row>
    <row r="223" spans="1:66" ht="15" customHeight="1" x14ac:dyDescent="0.3">
      <c r="A223" s="864"/>
      <c r="B223" s="121"/>
      <c r="C223" s="106">
        <v>5</v>
      </c>
      <c r="D223" s="137"/>
      <c r="E223" s="107" t="str">
        <f t="shared" si="103"/>
        <v/>
      </c>
      <c r="F223" s="108"/>
      <c r="G223" s="64" t="str">
        <f t="shared" si="104"/>
        <v/>
      </c>
      <c r="H223" s="109"/>
      <c r="I223" s="110" t="str">
        <f t="shared" si="105"/>
        <v/>
      </c>
      <c r="J223" s="111"/>
      <c r="K223" s="112" t="str">
        <f t="shared" si="106"/>
        <v/>
      </c>
      <c r="L223" s="113"/>
      <c r="M223" s="153" t="str">
        <f t="shared" si="111"/>
        <v/>
      </c>
      <c r="N223" s="110"/>
      <c r="O223" s="140"/>
      <c r="P223" s="114"/>
      <c r="Q223" s="114"/>
      <c r="R223" s="114"/>
      <c r="S223" s="114"/>
      <c r="W223" s="15" t="s">
        <v>315</v>
      </c>
      <c r="X223" s="18">
        <v>3</v>
      </c>
      <c r="AD223" s="15"/>
      <c r="AE223" s="15" t="s">
        <v>312</v>
      </c>
      <c r="AF223" s="15" t="str">
        <f>CONCATENATE(V217,"f")</f>
        <v>12f</v>
      </c>
      <c r="AG223" s="16" t="str">
        <f>IF(OR(NOT(AJ220),NOT(AJ221)),"",AD220)</f>
        <v/>
      </c>
      <c r="AH223" s="23" t="str">
        <f>IF(OR(NOT(AJ220),NOT(AJ221)),"",VLOOKUP(AG223,AG220:AH221,2,FALSE))</f>
        <v/>
      </c>
      <c r="AL223" s="18" t="s">
        <v>318</v>
      </c>
      <c r="AP223" s="115" t="b">
        <f>AND(AP222,AL223&lt;&gt;"",(COUNTIF(AP219:AP222,"IGAZ")-COUNTIF(AV219:AV222,"IGAZ"))*X224+MAX(AY218:AZ222)&lt;X223)</f>
        <v>0</v>
      </c>
      <c r="AQ223" s="116" t="str">
        <f>IF(NOT(AP223),"",IF(AL223="p",AG220,AG221))</f>
        <v/>
      </c>
      <c r="AR223" s="117" t="str">
        <f>IF(NOT(AP223),"",IF(AL223="p",AG221,AG220))</f>
        <v/>
      </c>
      <c r="AT223" s="115" t="b">
        <f t="shared" si="107"/>
        <v>0</v>
      </c>
      <c r="AU223" s="115" t="b">
        <f>AND(ASZTAB!$AJ$42,AT223,F223=H223)</f>
        <v>0</v>
      </c>
      <c r="AV223" s="115" t="b">
        <f t="shared" si="108"/>
        <v>0</v>
      </c>
      <c r="AW223" s="116" t="str">
        <f t="shared" si="109"/>
        <v/>
      </c>
      <c r="AX223" s="117" t="str">
        <f t="shared" si="110"/>
        <v/>
      </c>
      <c r="AY223" s="116" t="str">
        <f>IF(OR(AY222="",NOT(AV223)),"",IF(AG220=AW223,X224,0)+AY222)</f>
        <v/>
      </c>
      <c r="AZ223" s="116" t="str">
        <f>IF(OR(AZ222="",NOT(AV223)),"",IF(AG221=AW223,X224,0)+AZ222)</f>
        <v/>
      </c>
      <c r="BD223" s="142"/>
      <c r="BI223" s="118">
        <f t="shared" si="93"/>
        <v>42550</v>
      </c>
      <c r="BK223" s="119"/>
      <c r="BL223" s="119"/>
      <c r="BM223" s="119"/>
    </row>
    <row r="224" spans="1:66" ht="15" customHeight="1" x14ac:dyDescent="0.3">
      <c r="A224" s="864"/>
      <c r="B224" s="122"/>
      <c r="C224" s="106">
        <v>6</v>
      </c>
      <c r="D224" s="137"/>
      <c r="E224" s="107" t="str">
        <f t="shared" si="103"/>
        <v/>
      </c>
      <c r="F224" s="108"/>
      <c r="G224" s="64" t="str">
        <f t="shared" si="104"/>
        <v/>
      </c>
      <c r="H224" s="109"/>
      <c r="I224" s="110" t="str">
        <f t="shared" si="105"/>
        <v/>
      </c>
      <c r="J224" s="111"/>
      <c r="K224" s="112" t="str">
        <f t="shared" si="106"/>
        <v/>
      </c>
      <c r="L224" s="113"/>
      <c r="M224" s="8" t="str">
        <f t="shared" si="111"/>
        <v/>
      </c>
      <c r="N224" s="123"/>
      <c r="O224" s="141"/>
      <c r="W224" s="15" t="s">
        <v>327</v>
      </c>
      <c r="X224" s="18">
        <v>1</v>
      </c>
      <c r="AD224" s="15"/>
      <c r="AE224" s="15" t="s">
        <v>313</v>
      </c>
      <c r="AF224" s="15" t="str">
        <f>CONCATENATE(V217,"a")</f>
        <v>12a</v>
      </c>
      <c r="AG224" s="16" t="str">
        <f>IF(OR(NOT(AJ220),NOT(AJ221)),"",AD221)</f>
        <v/>
      </c>
      <c r="AH224" s="23" t="str">
        <f>IF(OR(NOT(AJ220),NOT(AJ221)),"",VLOOKUP(AG224,AG220:AH221,2,FALSE))</f>
        <v/>
      </c>
      <c r="AL224" s="18" t="s">
        <v>331</v>
      </c>
      <c r="AP224" s="115" t="b">
        <f>AND(AP223,AL224&lt;&gt;"",(COUNTIF(AP219:AP223,"IGAZ")-COUNTIF(AV219:AV223,"IGAZ"))*X224+MAX(AY218:AZ223)&lt;X223)</f>
        <v>0</v>
      </c>
      <c r="AQ224" s="116" t="str">
        <f>IF(NOT(AP224),"",IF(AL224="p",AG220,AG221))</f>
        <v/>
      </c>
      <c r="AR224" s="117" t="str">
        <f>IF(NOT(AP224),"",IF(AL224="p",AG221,AG220))</f>
        <v/>
      </c>
      <c r="AT224" s="115" t="b">
        <f t="shared" si="107"/>
        <v>0</v>
      </c>
      <c r="AU224" s="115" t="b">
        <f>AND(ASZTAB!$AJ$42,AT224,F224=H224)</f>
        <v>0</v>
      </c>
      <c r="AV224" s="115" t="b">
        <f t="shared" si="108"/>
        <v>0</v>
      </c>
      <c r="AW224" s="116" t="str">
        <f t="shared" si="109"/>
        <v/>
      </c>
      <c r="AX224" s="117" t="str">
        <f t="shared" si="110"/>
        <v/>
      </c>
      <c r="AY224" s="116" t="str">
        <f>IF(OR(AY223="",NOT(AV224)),"",IF(AG220=AW224,X224,0)+AY223)</f>
        <v/>
      </c>
      <c r="AZ224" s="116" t="str">
        <f>IF(OR(AZ223="",NOT(AV224)),"",IF(AG221=AW224,X224,0)+AZ223)</f>
        <v/>
      </c>
      <c r="BD224" s="142"/>
      <c r="BI224" s="118"/>
      <c r="BK224" s="119"/>
      <c r="BL224" s="119"/>
      <c r="BM224" s="119"/>
    </row>
    <row r="225" spans="1:66" ht="15" customHeight="1" x14ac:dyDescent="0.3">
      <c r="A225" s="864"/>
      <c r="B225" s="122"/>
      <c r="C225" s="106">
        <v>7</v>
      </c>
      <c r="D225" s="137"/>
      <c r="E225" s="107" t="str">
        <f t="shared" si="103"/>
        <v/>
      </c>
      <c r="F225" s="108"/>
      <c r="G225" s="64" t="str">
        <f t="shared" si="104"/>
        <v/>
      </c>
      <c r="H225" s="109"/>
      <c r="I225" s="110" t="str">
        <f t="shared" si="105"/>
        <v/>
      </c>
      <c r="J225" s="111"/>
      <c r="K225" s="112" t="str">
        <f t="shared" si="106"/>
        <v/>
      </c>
      <c r="L225" s="113"/>
      <c r="M225" s="8" t="str">
        <f t="shared" si="111"/>
        <v/>
      </c>
      <c r="N225" s="123"/>
      <c r="O225" s="141"/>
      <c r="AE225" s="15" t="s">
        <v>316</v>
      </c>
      <c r="AF225" s="15" t="str">
        <f>CONCATENATE(V217,"w")</f>
        <v>12w</v>
      </c>
      <c r="AG225" s="16" t="str">
        <f>IF(AND(AJ220,AJ221),IF(MAX(AY219:AY225)&gt;=X223,AG220,IF(MAX(AZ219:AZ225)&gt;=X223,AG221,"")),"")</f>
        <v/>
      </c>
      <c r="AL225" s="18" t="s">
        <v>318</v>
      </c>
      <c r="AP225" s="115" t="b">
        <f>AND(AP224,AL225&lt;&gt;"",(COUNTIF(AP219:AP224,"IGAZ")-COUNTIF(AV219:AV224,"IGAZ"))*X224+MAX(AY218:AZ224)&lt;X223)</f>
        <v>0</v>
      </c>
      <c r="AQ225" s="116" t="str">
        <f>IF(NOT(AP225),"",IF(AL225="p",AG220,AG221))</f>
        <v/>
      </c>
      <c r="AR225" s="117" t="str">
        <f>IF(NOT(AP225),"",IF(AL225="p",AG221,AG220))</f>
        <v/>
      </c>
      <c r="AT225" s="115" t="b">
        <f t="shared" si="107"/>
        <v>0</v>
      </c>
      <c r="AU225" s="115" t="b">
        <f>AND(ASZTAB!$AJ$42,AT225,F225=H225)</f>
        <v>0</v>
      </c>
      <c r="AV225" s="115" t="b">
        <f t="shared" si="108"/>
        <v>0</v>
      </c>
      <c r="AW225" s="116" t="str">
        <f t="shared" si="109"/>
        <v/>
      </c>
      <c r="AX225" s="117" t="str">
        <f t="shared" si="110"/>
        <v/>
      </c>
      <c r="AY225" s="116" t="str">
        <f>IF(OR(AY224="",NOT(AV225)),"",IF(AG220=AW225,X224,0)+AY224)</f>
        <v/>
      </c>
      <c r="AZ225" s="116" t="str">
        <f>IF(OR(AZ224="",NOT(AV225)),"",IF(AG221=AW225,X224,0)+AZ224)</f>
        <v/>
      </c>
      <c r="BD225" s="142"/>
      <c r="BI225" s="118"/>
      <c r="BK225" s="119"/>
      <c r="BL225" s="119"/>
      <c r="BM225" s="119"/>
      <c r="BN225" s="119"/>
    </row>
    <row r="226" spans="1:66" ht="15" customHeight="1" x14ac:dyDescent="0.3">
      <c r="A226" s="864"/>
      <c r="B226" s="122"/>
      <c r="C226" s="106"/>
      <c r="D226" s="123"/>
      <c r="E226" s="124"/>
      <c r="F226" s="125"/>
      <c r="G226" s="123"/>
      <c r="H226" s="114"/>
      <c r="I226" s="123"/>
      <c r="J226" s="125"/>
      <c r="K226" s="123"/>
      <c r="L226" s="114"/>
      <c r="M226" s="123"/>
      <c r="N226" s="123"/>
      <c r="O226" s="123"/>
      <c r="AE226" s="15" t="s">
        <v>317</v>
      </c>
      <c r="AF226" s="15" t="str">
        <f>CONCATENATE(V217,"l")</f>
        <v>12l</v>
      </c>
      <c r="AG226" s="16" t="str">
        <f ca="1">IF(AG225=AG220,AG221,IF(AG221=AG225,AG220,""))</f>
        <v/>
      </c>
      <c r="AL226" s="126" t="s">
        <v>330</v>
      </c>
      <c r="BD226" s="142"/>
      <c r="BI226" s="118"/>
      <c r="BK226" s="119"/>
      <c r="BL226" s="119"/>
      <c r="BM226" s="119"/>
      <c r="BN226" s="119"/>
    </row>
    <row r="227" spans="1:66" ht="15" customHeight="1" x14ac:dyDescent="0.3">
      <c r="A227" s="864"/>
      <c r="B227" s="122"/>
      <c r="C227" s="127" t="s">
        <v>463</v>
      </c>
      <c r="D227" s="123"/>
      <c r="E227" s="124"/>
      <c r="F227" s="125"/>
      <c r="G227" s="123"/>
      <c r="H227" s="114"/>
      <c r="I227" s="123"/>
      <c r="J227" s="125"/>
      <c r="K227" s="123"/>
      <c r="L227" s="114"/>
      <c r="M227" s="123"/>
      <c r="N227" s="123"/>
      <c r="O227" s="123"/>
      <c r="Y227" s="11" t="s">
        <v>294</v>
      </c>
      <c r="Z227" s="70" t="s">
        <v>311</v>
      </c>
      <c r="AA227" s="70" t="s">
        <v>153</v>
      </c>
      <c r="AB227" s="70" t="s">
        <v>153</v>
      </c>
      <c r="AE227" s="15" t="s">
        <v>287</v>
      </c>
      <c r="AF227" s="15" t="str">
        <f>CONCATENATE(V217,"e")</f>
        <v>12e</v>
      </c>
      <c r="AG227" s="21" t="b">
        <f ca="1">AND(AG225&lt;&gt;"",AG226&lt;&gt;"")</f>
        <v>0</v>
      </c>
      <c r="BD227" s="15"/>
      <c r="BI227" s="118"/>
      <c r="BK227" s="119"/>
      <c r="BL227" s="119"/>
      <c r="BM227" s="119"/>
      <c r="BN227" s="119"/>
    </row>
    <row r="228" spans="1:66" ht="15" customHeight="1" x14ac:dyDescent="0.3">
      <c r="A228" s="864"/>
      <c r="B228" s="122"/>
      <c r="C228" s="865"/>
      <c r="D228" s="865"/>
      <c r="E228" s="865"/>
      <c r="F228" s="865"/>
      <c r="G228" s="865"/>
      <c r="H228" s="865"/>
      <c r="I228" s="865"/>
      <c r="J228" s="865"/>
      <c r="K228" s="865"/>
      <c r="L228" s="865"/>
      <c r="M228" s="865"/>
      <c r="N228" s="865"/>
      <c r="O228" s="865"/>
      <c r="W228" s="15" t="s">
        <v>319</v>
      </c>
      <c r="X228" s="18" t="b">
        <v>0</v>
      </c>
      <c r="Y228" s="72" t="s">
        <v>289</v>
      </c>
      <c r="Z228" s="16" t="str">
        <f ca="1">IF(AND(AJ220,AJ221,X228,Y228&lt;&gt;""),CONCATENATE(VLOOKUP(CONCATENATE(AG220,AG221),INDIRECT(CONCATENATE("games.",Y228)),9,FALSE),VLOOKUP(CONCATENATE(AG220,AG221),INDIRECT(CONCATENATE("games.",Y228)),12,FALSE)),"")</f>
        <v/>
      </c>
      <c r="AA228" s="16" t="str">
        <f ca="1">IF(AND(AJ220,AJ221,X228,Y228&lt;&gt;""),VLOOKUP(CONCATENATE(AG220,AG221),INDIRECT(CONCATENATE("games.",Y228)),10,FALSE),"")</f>
        <v/>
      </c>
      <c r="AB228" s="54" t="str">
        <f ca="1">IF(AND(AJ220,AJ221,X228,Y228&lt;&gt;""),VLOOKUP(CONCATENATE(AG220,AG221),INDIRECT(CONCATENATE("games.",Y228)),13,FALSE),"")</f>
        <v/>
      </c>
      <c r="BD228" s="15"/>
      <c r="BI228" s="118"/>
      <c r="BK228" s="119"/>
      <c r="BL228" s="119"/>
      <c r="BM228" s="119"/>
      <c r="BN228" s="119"/>
    </row>
    <row r="229" spans="1:66" ht="15" customHeight="1" x14ac:dyDescent="0.3">
      <c r="A229" s="864"/>
      <c r="B229" s="122"/>
      <c r="C229" s="866"/>
      <c r="D229" s="866"/>
      <c r="E229" s="866"/>
      <c r="F229" s="866"/>
      <c r="G229" s="866"/>
      <c r="H229" s="866"/>
      <c r="I229" s="866"/>
      <c r="J229" s="866"/>
      <c r="K229" s="866"/>
      <c r="L229" s="866"/>
      <c r="M229" s="866"/>
      <c r="N229" s="866"/>
      <c r="O229" s="866"/>
      <c r="Z229" s="16" t="str">
        <f ca="1">IF(AND(AJ220,AJ221,X228,Y228&lt;&gt;""),CONCATENATE(VLOOKUP(CONCATENATE(AG221,AG220),INDIRECT(CONCATENATE("games.",Y228)),9,FALSE),VLOOKUP(CONCATENATE(AG221,AG220),INDIRECT(CONCATENATE("games.",Y228)),12,FALSE)),"")</f>
        <v/>
      </c>
      <c r="AA229" s="16" t="str">
        <f ca="1">IF(AND(AJ220,AJ221,X228,Y228&lt;&gt;""),VLOOKUP(CONCATENATE(AG221,AG220),INDIRECT(CONCATENATE("games.",Y228)),10,FALSE),"")</f>
        <v/>
      </c>
      <c r="AB229" s="54" t="str">
        <f ca="1">IF(AND(AJ220,AJ221,X228,Y228&lt;&gt;""),VLOOKUP(CONCATENATE(AG221,AG220),INDIRECT(CONCATENATE("games.",Y228)),13,FALSE),"")</f>
        <v/>
      </c>
      <c r="BD229" s="15"/>
      <c r="BI229" s="118"/>
      <c r="BK229" s="119"/>
      <c r="BL229" s="119"/>
      <c r="BM229" s="119"/>
      <c r="BN229" s="119"/>
    </row>
    <row r="230" spans="1:66" ht="15" customHeight="1" x14ac:dyDescent="0.3">
      <c r="A230" s="864"/>
      <c r="B230" s="122"/>
      <c r="C230" s="866"/>
      <c r="D230" s="866"/>
      <c r="E230" s="866"/>
      <c r="F230" s="866"/>
      <c r="G230" s="866"/>
      <c r="H230" s="866"/>
      <c r="I230" s="866"/>
      <c r="J230" s="866"/>
      <c r="K230" s="866"/>
      <c r="L230" s="866"/>
      <c r="M230" s="866"/>
      <c r="N230" s="866"/>
      <c r="O230" s="866"/>
      <c r="BD230" s="15"/>
      <c r="BI230" s="118"/>
      <c r="BK230" s="119"/>
      <c r="BL230" s="119"/>
      <c r="BM230" s="119"/>
      <c r="BN230" s="119"/>
    </row>
    <row r="231" spans="1:66" ht="15" customHeight="1" x14ac:dyDescent="0.3">
      <c r="A231" s="864"/>
      <c r="B231" s="122"/>
      <c r="C231" s="106"/>
      <c r="D231" s="123"/>
      <c r="E231" s="124"/>
      <c r="F231" s="125"/>
      <c r="G231" s="123"/>
      <c r="H231" s="114"/>
      <c r="I231" s="123"/>
      <c r="J231" s="125"/>
      <c r="K231" s="123"/>
      <c r="L231" s="114"/>
      <c r="M231" s="123"/>
      <c r="N231" s="123"/>
      <c r="O231" s="123"/>
      <c r="U231" s="10"/>
      <c r="V231" s="128"/>
      <c r="W231" s="129"/>
      <c r="X231" s="10"/>
      <c r="Y231" s="130"/>
      <c r="Z231" s="130"/>
      <c r="AA231" s="130"/>
      <c r="AB231" s="130"/>
      <c r="AC231" s="130"/>
      <c r="AD231" s="130"/>
      <c r="AE231" s="130"/>
      <c r="AF231" s="130"/>
      <c r="AG231" s="130"/>
      <c r="AH231" s="130"/>
      <c r="AI231" s="130"/>
      <c r="AJ231" s="130"/>
      <c r="AK231" s="130"/>
      <c r="AL231" s="130"/>
      <c r="AM231" s="10"/>
      <c r="AO231" s="131"/>
      <c r="AP231" s="131"/>
      <c r="AQ231" s="132"/>
      <c r="AR231" s="132"/>
      <c r="AS231" s="132"/>
      <c r="AT231" s="131"/>
      <c r="AU231" s="131"/>
      <c r="AV231" s="131"/>
      <c r="AW231" s="132"/>
      <c r="AX231" s="132"/>
      <c r="AY231" s="131"/>
      <c r="AZ231" s="131"/>
      <c r="BA231" s="131"/>
      <c r="BD231" s="15"/>
      <c r="BI231" s="118"/>
      <c r="BK231" s="119"/>
      <c r="BL231" s="119"/>
      <c r="BM231" s="119"/>
      <c r="BN231" s="119"/>
    </row>
    <row r="232" spans="1:66" ht="15" customHeight="1" x14ac:dyDescent="0.3">
      <c r="A232" s="864"/>
      <c r="B232" s="88"/>
      <c r="C232" s="89"/>
      <c r="D232" s="90"/>
      <c r="BI232" s="118"/>
      <c r="BM232" s="119"/>
    </row>
    <row r="233" spans="1:66" ht="15" customHeight="1" x14ac:dyDescent="0.3">
      <c r="A233" s="864"/>
      <c r="B233" s="147"/>
      <c r="C233" s="149">
        <f>V233</f>
        <v>13</v>
      </c>
      <c r="D233" s="150" t="str">
        <f>UPPER(W233)</f>
        <v/>
      </c>
      <c r="E233" s="151"/>
      <c r="F233" s="151"/>
      <c r="G233" s="151"/>
      <c r="H233" s="151"/>
      <c r="I233" s="151"/>
      <c r="J233" s="151"/>
      <c r="K233" s="151"/>
      <c r="L233" s="151"/>
      <c r="M233" s="138"/>
      <c r="N233" s="151"/>
      <c r="O233" s="161" t="str">
        <f ca="1">IF(NOT(AG243),"","A PÁRHARC GYŐZTESE: "&amp;UPPER(AG241))</f>
        <v/>
      </c>
      <c r="P233" s="152" t="str">
        <f>IF(NOT(Y241),"",CONCATENATE("A PÁRHARC GYŐZTESE: ",AH239," "))</f>
        <v/>
      </c>
      <c r="Q233" s="148" t="str">
        <f>IF(NOT(Z241),"",CONCATENATE("A PÁRHARC GYŐZTESE: ",AJ239," "))</f>
        <v/>
      </c>
      <c r="R233" s="148" t="str">
        <f>IF(NOT(AA241),"",CONCATENATE("A PÁRHARC GYŐZTESE: ",AK239," "))</f>
        <v/>
      </c>
      <c r="S233" s="148" t="str">
        <f>IF(NOT(AB241),"",CONCATENATE("A PÁRHARC GYŐZTESE: ",AL239," "))</f>
        <v/>
      </c>
      <c r="V233" s="21">
        <f>V217+1</f>
        <v>13</v>
      </c>
      <c r="W233" s="95"/>
      <c r="X233" s="96"/>
      <c r="Y233" s="96"/>
      <c r="Z233" s="96"/>
      <c r="AA233" s="96"/>
      <c r="AB233" s="96"/>
      <c r="AC233" s="96"/>
      <c r="AD233" s="96"/>
      <c r="AE233" s="96"/>
      <c r="AF233" s="96"/>
      <c r="AG233" s="96"/>
      <c r="AH233" s="96"/>
      <c r="AI233" s="96"/>
      <c r="AJ233" s="96"/>
      <c r="AK233" s="96"/>
      <c r="AL233" s="97"/>
      <c r="AY233" s="13" t="s">
        <v>326</v>
      </c>
      <c r="AZ233" s="13" t="s">
        <v>325</v>
      </c>
      <c r="BD233" s="142"/>
      <c r="BH233" s="98"/>
      <c r="BI233" s="118"/>
      <c r="BJ233" s="98"/>
      <c r="BK233" s="99"/>
      <c r="BL233" s="99"/>
      <c r="BM233" s="119"/>
    </row>
    <row r="234" spans="1:66" ht="11.25" customHeight="1" x14ac:dyDescent="0.3">
      <c r="A234" s="864"/>
      <c r="C234" s="101"/>
      <c r="D234" s="102"/>
      <c r="E234" s="103"/>
      <c r="F234" s="58"/>
      <c r="G234" s="104"/>
      <c r="H234" s="60"/>
      <c r="I234" s="146"/>
      <c r="J234" s="107"/>
      <c r="K234" s="160" t="str">
        <f>IF(OR(AU235,AU236,AU237,AU238,AU239,AU240,AU241),"BÜNTETŐK","")</f>
        <v/>
      </c>
      <c r="L234" s="110"/>
      <c r="M234" s="158" t="s">
        <v>286</v>
      </c>
      <c r="N234" s="159"/>
      <c r="O234" s="158" t="s">
        <v>285</v>
      </c>
      <c r="AP234" s="105" t="s">
        <v>328</v>
      </c>
      <c r="AQ234" s="12" t="s">
        <v>138</v>
      </c>
      <c r="AR234" s="12" t="s">
        <v>139</v>
      </c>
      <c r="AT234" s="105" t="s">
        <v>320</v>
      </c>
      <c r="AU234" s="105" t="s">
        <v>321</v>
      </c>
      <c r="AV234" s="105" t="s">
        <v>324</v>
      </c>
      <c r="AW234" s="12" t="s">
        <v>322</v>
      </c>
      <c r="AX234" s="12" t="s">
        <v>323</v>
      </c>
      <c r="AY234" s="116">
        <f>IF(X244,COUNTIF(Z244:Z245,AG236)*ASZTAB!$AJ$48+COUNTIF(AA244:AB245,AG236),0)</f>
        <v>0</v>
      </c>
      <c r="AZ234" s="116">
        <f>IF(X244,COUNTIF(Z244:Z245,AG237)*ASZTAB!$AJ$48+COUNTIF(AA244:AB245,AG237),0)</f>
        <v>0</v>
      </c>
      <c r="BD234" s="142"/>
      <c r="BH234" s="98"/>
      <c r="BI234" s="118"/>
      <c r="BJ234" s="98"/>
      <c r="BK234" s="99"/>
      <c r="BL234" s="99"/>
      <c r="BM234" s="119"/>
    </row>
    <row r="235" spans="1:66" ht="15" customHeight="1" x14ac:dyDescent="0.3">
      <c r="A235" s="864"/>
      <c r="B235" s="7"/>
      <c r="C235" s="106">
        <v>1</v>
      </c>
      <c r="D235" s="137"/>
      <c r="E235" s="107" t="str">
        <f t="shared" ref="E235:E241" si="112">IF(NOT($AP235),"",AQ235)</f>
        <v/>
      </c>
      <c r="F235" s="108"/>
      <c r="G235" s="64" t="str">
        <f t="shared" ref="G235:G241" si="113">IF(NOT($AP235),"","–")</f>
        <v/>
      </c>
      <c r="H235" s="109"/>
      <c r="I235" s="110" t="str">
        <f t="shared" ref="I235:I241" si="114">IF(NOT($AP235),"",AR235)</f>
        <v/>
      </c>
      <c r="J235" s="111"/>
      <c r="K235" s="112" t="str">
        <f t="shared" ref="K235:K241" si="115">IF(AU235,"–","")</f>
        <v/>
      </c>
      <c r="L235" s="113"/>
      <c r="M235" s="153" t="str">
        <f>IF(OR(AL235="",NOT(AV235)),"",IF(AL235="p",CONCATENATE(AY235,"–",AZ235),CONCATENATE(AZ235,"–",AY235)))</f>
        <v/>
      </c>
      <c r="N235" s="110"/>
      <c r="O235" s="139"/>
      <c r="P235" s="114"/>
      <c r="Q235" s="114"/>
      <c r="R235" s="114"/>
      <c r="S235" s="114"/>
      <c r="X235" s="11" t="s">
        <v>306</v>
      </c>
      <c r="Y235" s="11" t="s">
        <v>294</v>
      </c>
      <c r="Z235" s="70" t="s">
        <v>295</v>
      </c>
      <c r="AA235" s="70" t="s">
        <v>127</v>
      </c>
      <c r="AB235" s="70" t="s">
        <v>301</v>
      </c>
      <c r="AC235" s="70" t="s">
        <v>302</v>
      </c>
      <c r="AD235" s="70" t="s">
        <v>332</v>
      </c>
      <c r="AE235" s="70" t="s">
        <v>333</v>
      </c>
      <c r="AF235" s="70" t="s">
        <v>329</v>
      </c>
      <c r="AG235" s="70" t="s">
        <v>303</v>
      </c>
      <c r="AH235" s="70" t="s">
        <v>293</v>
      </c>
      <c r="AJ235" s="71" t="s">
        <v>314</v>
      </c>
      <c r="AL235" s="18" t="s">
        <v>318</v>
      </c>
      <c r="AP235" s="115" t="b">
        <f>AND(AJ236,AJ237,AL235&lt;&gt;"")</f>
        <v>0</v>
      </c>
      <c r="AQ235" s="116" t="str">
        <f>IF(NOT(AP235),"",IF(AL235="p",AG236,AG237))</f>
        <v/>
      </c>
      <c r="AR235" s="117" t="str">
        <f>IF(NOT(AP235),"",IF(AL235="p",AG237,AG236))</f>
        <v/>
      </c>
      <c r="AT235" s="115" t="b">
        <f t="shared" ref="AT235:AT241" si="116">AND(F235&lt;&gt;"",H235&lt;&gt;"",AP235)</f>
        <v>0</v>
      </c>
      <c r="AU235" s="115" t="b">
        <f>AND(ASZTAB!$AJ$42,AT235,F235=H235)</f>
        <v>0</v>
      </c>
      <c r="AV235" s="115" t="b">
        <f t="shared" ref="AV235:AV241" si="117">OR(AND(AT235,NOT(AU235),F235&lt;&gt;H235),AND(AT235,AU235,J235&lt;&gt;"",L235&lt;&gt;"",J235&lt;&gt;L235))</f>
        <v>0</v>
      </c>
      <c r="AW235" s="116" t="str">
        <f t="shared" ref="AW235:AW241" si="118">IF(NOT(AV235),"",IF(AU235,IF(F235+J235&gt;H235+L235,E235,I235),IF(F235&gt;H235,E235,I235)))</f>
        <v/>
      </c>
      <c r="AX235" s="117" t="str">
        <f t="shared" ref="AX235:AX241" si="119">IF(NOT(AV235),"",IF(AW235=E235,I235,IF(AW235=I235,E235,"")))</f>
        <v/>
      </c>
      <c r="AY235" s="116" t="str">
        <f>IF(NOT(AV235),"",IF(AG236=AW235,X240,0)+AY234)</f>
        <v/>
      </c>
      <c r="AZ235" s="116" t="str">
        <f>IF(NOT(AV235),"",IF(AG237=AW235,X240,0)+AZ234)</f>
        <v/>
      </c>
      <c r="BD235" s="142"/>
      <c r="BI235" s="118"/>
      <c r="BK235" s="99"/>
      <c r="BL235" s="119"/>
      <c r="BM235" s="119"/>
    </row>
    <row r="236" spans="1:66" ht="15" customHeight="1" x14ac:dyDescent="0.3">
      <c r="A236" s="864"/>
      <c r="B236" s="7"/>
      <c r="C236" s="106">
        <v>2</v>
      </c>
      <c r="D236" s="137"/>
      <c r="E236" s="107" t="str">
        <f t="shared" si="112"/>
        <v/>
      </c>
      <c r="F236" s="108"/>
      <c r="G236" s="64" t="str">
        <f t="shared" si="113"/>
        <v/>
      </c>
      <c r="H236" s="109"/>
      <c r="I236" s="110" t="str">
        <f t="shared" si="114"/>
        <v/>
      </c>
      <c r="J236" s="111"/>
      <c r="K236" s="112" t="str">
        <f t="shared" si="115"/>
        <v/>
      </c>
      <c r="L236" s="113"/>
      <c r="M236" s="153" t="str">
        <f t="shared" ref="M236:M241" si="120">IF(OR(AL236="",NOT(AV236)),"",IF(AL236="p",CONCATENATE(AY236,"–",AZ236),CONCATENATE(AZ236,"–",AY236)))</f>
        <v/>
      </c>
      <c r="N236" s="110"/>
      <c r="O236" s="140"/>
      <c r="P236" s="114"/>
      <c r="Q236" s="114"/>
      <c r="R236" s="114"/>
      <c r="S236" s="114"/>
      <c r="W236" s="15" t="s">
        <v>312</v>
      </c>
      <c r="X236" s="18"/>
      <c r="Y236" s="72"/>
      <c r="Z236" s="72"/>
      <c r="AA236" s="72"/>
      <c r="AB236" s="18"/>
      <c r="AC236" s="18"/>
      <c r="AD236" s="14" t="str">
        <f ca="1">IF(NOT(AJ236),"",IF(X236=$BE$45,VLOOKUP(AA236,INDIRECT(CONCATENATE("rank.",Y236,Z236)),2,FALSE),VLOOKUP(CONCATENATE(AB236,AC236),result.e,2,FALSE)))</f>
        <v/>
      </c>
      <c r="AE236" s="18"/>
      <c r="AF236" s="120" t="str">
        <f ca="1">IF(OR(AD236="",X236=$BE$45),"",VLOOKUP(AD236,INDIRECT(CONCATENATE("rankname.",AE236)),2,FALSE))</f>
        <v/>
      </c>
      <c r="AG236" s="14" t="str">
        <f ca="1">IF(AD236="","",IF(X236=$BE$45,AD236,IF(AF236&gt;AF237,AD237,AD236)))</f>
        <v/>
      </c>
      <c r="AH236" s="120">
        <f>MAX(AY234:AY241)</f>
        <v>0</v>
      </c>
      <c r="AJ236" s="21" t="b">
        <f>IF(X236=$BE$45,IF(OR(Y236="",Z236="",AA236=""),FALSE,VLOOKUP(CONCATENATE(Y236,Z236),$BD$59:$BE$63,2,FALSE)),IF(OR(AB236="",AC236="",AE236=""),FALSE,VLOOKUP(CONCATENATE(AB236,"e"),result.e,2,FALSE)))</f>
        <v>0</v>
      </c>
      <c r="AL236" s="18" t="s">
        <v>331</v>
      </c>
      <c r="AP236" s="115" t="b">
        <f>AND(AP235,AL236&lt;&gt;"",(COUNTIF(AP235:AP235,"IGAZ")-COUNTIF(AV235:AV235,"IGAZ"))*X240+MAX(AY234:AZ235)&lt;X239)</f>
        <v>0</v>
      </c>
      <c r="AQ236" s="116" t="str">
        <f>IF(NOT(AP236),"",IF(AL236="p",AG236,AG237))</f>
        <v/>
      </c>
      <c r="AR236" s="117" t="str">
        <f>IF(NOT(AP236),"",IF(AL236="p",AG237,AG236))</f>
        <v/>
      </c>
      <c r="AT236" s="115" t="b">
        <f t="shared" si="116"/>
        <v>0</v>
      </c>
      <c r="AU236" s="115" t="b">
        <f>AND(ASZTAB!$AJ$42,AT236,F236=H236)</f>
        <v>0</v>
      </c>
      <c r="AV236" s="115" t="b">
        <f t="shared" si="117"/>
        <v>0</v>
      </c>
      <c r="AW236" s="116" t="str">
        <f t="shared" si="118"/>
        <v/>
      </c>
      <c r="AX236" s="117" t="str">
        <f t="shared" si="119"/>
        <v/>
      </c>
      <c r="AY236" s="116" t="str">
        <f>IF(OR(AY235="",NOT(AV236)),"",IF(AG236=AW236,X240,0)+AY235)</f>
        <v/>
      </c>
      <c r="AZ236" s="116" t="str">
        <f>IF(OR(AZ235="",NOT(AV236)),"",IF(AG237=AW236,X240,0)+AZ235)</f>
        <v/>
      </c>
      <c r="BD236" s="142"/>
      <c r="BI236" s="118"/>
      <c r="BK236" s="99"/>
      <c r="BM236" s="119"/>
    </row>
    <row r="237" spans="1:66" ht="15" customHeight="1" x14ac:dyDescent="0.3">
      <c r="A237" s="864"/>
      <c r="B237" s="7"/>
      <c r="C237" s="106">
        <v>3</v>
      </c>
      <c r="D237" s="137"/>
      <c r="E237" s="107" t="str">
        <f t="shared" si="112"/>
        <v/>
      </c>
      <c r="F237" s="108"/>
      <c r="G237" s="64" t="str">
        <f t="shared" si="113"/>
        <v/>
      </c>
      <c r="H237" s="109"/>
      <c r="I237" s="110" t="str">
        <f t="shared" si="114"/>
        <v/>
      </c>
      <c r="J237" s="111"/>
      <c r="K237" s="112" t="str">
        <f t="shared" si="115"/>
        <v/>
      </c>
      <c r="L237" s="113"/>
      <c r="M237" s="153" t="str">
        <f t="shared" si="120"/>
        <v/>
      </c>
      <c r="N237" s="110"/>
      <c r="O237" s="140"/>
      <c r="P237" s="114"/>
      <c r="Q237" s="114"/>
      <c r="R237" s="114"/>
      <c r="S237" s="114"/>
      <c r="W237" s="15" t="s">
        <v>313</v>
      </c>
      <c r="X237" s="18"/>
      <c r="Y237" s="72"/>
      <c r="Z237" s="72"/>
      <c r="AA237" s="72"/>
      <c r="AB237" s="18"/>
      <c r="AC237" s="18"/>
      <c r="AD237" s="14" t="str">
        <f ca="1">IF(NOT(AJ237),"",IF(X237=$BE$45,VLOOKUP(AA237,INDIRECT(CONCATENATE("rank.",Y237,Z237)),2,FALSE),VLOOKUP(CONCATENATE(AB237,AC237),result.e,2,FALSE)))</f>
        <v/>
      </c>
      <c r="AE237" s="18"/>
      <c r="AF237" s="120" t="str">
        <f ca="1">IF(OR(AD237="",X237=$BE$45),"",VLOOKUP(AD237,INDIRECT(CONCATENATE("rankname.",AE237)),2,FALSE))</f>
        <v/>
      </c>
      <c r="AG237" s="14" t="str">
        <f ca="1">IF(AD237="","",IF(X237=$BE$45,AD237,IF(AF236&gt;AF237,AD236,AD237)))</f>
        <v/>
      </c>
      <c r="AH237" s="120">
        <f>MAX(AZ234:AZ241)</f>
        <v>0</v>
      </c>
      <c r="AJ237" s="21" t="b">
        <f>IF(X237=$BE$45,IF(OR(Y237="",Z237="",AA237=""),FALSE,VLOOKUP(CONCATENATE(Y237,Z237),$BD$59:$BE$63,2,FALSE)),IF(OR(AB237="",AC237="",AE237=""),FALSE,VLOOKUP(CONCATENATE(AB237,"e"),result.e,2,FALSE)))</f>
        <v>0</v>
      </c>
      <c r="AL237" s="18" t="s">
        <v>318</v>
      </c>
      <c r="AP237" s="115" t="b">
        <f>AND(AP236,AL237&lt;&gt;"",(COUNTIF(AP235:AP236,"IGAZ")-COUNTIF(AV235:AV236,"IGAZ"))*X240+MAX(AY234:AZ236)&lt;X239)</f>
        <v>0</v>
      </c>
      <c r="AQ237" s="116" t="str">
        <f>IF(NOT(AP237),"",IF(AL237="p",AG236,AG237))</f>
        <v/>
      </c>
      <c r="AR237" s="117" t="str">
        <f>IF(NOT(AP237),"",IF(AL237="p",AG237,AG236))</f>
        <v/>
      </c>
      <c r="AT237" s="115" t="b">
        <f t="shared" si="116"/>
        <v>0</v>
      </c>
      <c r="AU237" s="115" t="b">
        <f>AND(ASZTAB!$AJ$42,AT237,F237=H237)</f>
        <v>0</v>
      </c>
      <c r="AV237" s="115" t="b">
        <f t="shared" si="117"/>
        <v>0</v>
      </c>
      <c r="AW237" s="116" t="str">
        <f t="shared" si="118"/>
        <v/>
      </c>
      <c r="AX237" s="117" t="str">
        <f t="shared" si="119"/>
        <v/>
      </c>
      <c r="AY237" s="116" t="str">
        <f>IF(OR(AY236="",NOT(AV237)),"",IF(AG236=AW237,X240,0)+AY236)</f>
        <v/>
      </c>
      <c r="AZ237" s="116" t="str">
        <f>IF(OR(AZ236="",NOT(AV237)),"",IF(AG237=AW237,X240,0)+AZ236)</f>
        <v/>
      </c>
      <c r="BD237" s="142"/>
      <c r="BI237" s="118"/>
      <c r="BM237" s="119"/>
      <c r="BN237" s="119"/>
    </row>
    <row r="238" spans="1:66" ht="15" customHeight="1" x14ac:dyDescent="0.3">
      <c r="A238" s="864"/>
      <c r="B238" s="7"/>
      <c r="C238" s="106">
        <v>4</v>
      </c>
      <c r="D238" s="137"/>
      <c r="E238" s="107" t="str">
        <f t="shared" si="112"/>
        <v/>
      </c>
      <c r="F238" s="108"/>
      <c r="G238" s="64" t="str">
        <f t="shared" si="113"/>
        <v/>
      </c>
      <c r="H238" s="109"/>
      <c r="I238" s="110" t="str">
        <f t="shared" si="114"/>
        <v/>
      </c>
      <c r="J238" s="111"/>
      <c r="K238" s="112" t="str">
        <f t="shared" si="115"/>
        <v/>
      </c>
      <c r="L238" s="113"/>
      <c r="M238" s="153" t="str">
        <f t="shared" si="120"/>
        <v/>
      </c>
      <c r="N238" s="110"/>
      <c r="O238" s="140"/>
      <c r="P238" s="114"/>
      <c r="Q238" s="114"/>
      <c r="AL238" s="18" t="s">
        <v>331</v>
      </c>
      <c r="AP238" s="115" t="b">
        <f>AND(AP237,AL238&lt;&gt;"",(COUNTIF(AP235:AP237,"IGAZ")-COUNTIF(AV235:AV237,"IGAZ"))*X240+MAX(AY234:AZ237)&lt;X239)</f>
        <v>0</v>
      </c>
      <c r="AQ238" s="116" t="str">
        <f>IF(NOT(AP238),"",IF(AL238="p",AG236,AG237))</f>
        <v/>
      </c>
      <c r="AR238" s="117" t="str">
        <f>IF(NOT(AP238),"",IF(AL238="p",AG237,AG236))</f>
        <v/>
      </c>
      <c r="AT238" s="115" t="b">
        <f t="shared" si="116"/>
        <v>0</v>
      </c>
      <c r="AU238" s="115" t="b">
        <f>AND(ASZTAB!$AJ$42,AT238,F238=H238)</f>
        <v>0</v>
      </c>
      <c r="AV238" s="115" t="b">
        <f t="shared" si="117"/>
        <v>0</v>
      </c>
      <c r="AW238" s="116" t="str">
        <f t="shared" si="118"/>
        <v/>
      </c>
      <c r="AX238" s="117" t="str">
        <f t="shared" si="119"/>
        <v/>
      </c>
      <c r="AY238" s="116" t="str">
        <f>IF(OR(AY237="",NOT(AV238)),"",IF(AG236=AW238,X240,0)+AY237)</f>
        <v/>
      </c>
      <c r="AZ238" s="116" t="str">
        <f>IF(OR(AZ237="",NOT(AV238)),"",IF(AG237=AW238,X240,0)+AZ237)</f>
        <v/>
      </c>
      <c r="BD238" s="142"/>
      <c r="BI238" s="118"/>
      <c r="BM238" s="119"/>
    </row>
    <row r="239" spans="1:66" ht="15" customHeight="1" x14ac:dyDescent="0.3">
      <c r="A239" s="864"/>
      <c r="B239" s="121"/>
      <c r="C239" s="106">
        <v>5</v>
      </c>
      <c r="D239" s="137"/>
      <c r="E239" s="107" t="str">
        <f t="shared" si="112"/>
        <v/>
      </c>
      <c r="F239" s="108"/>
      <c r="G239" s="64" t="str">
        <f t="shared" si="113"/>
        <v/>
      </c>
      <c r="H239" s="109"/>
      <c r="I239" s="110" t="str">
        <f t="shared" si="114"/>
        <v/>
      </c>
      <c r="J239" s="111"/>
      <c r="K239" s="112" t="str">
        <f t="shared" si="115"/>
        <v/>
      </c>
      <c r="L239" s="113"/>
      <c r="M239" s="153" t="str">
        <f t="shared" si="120"/>
        <v/>
      </c>
      <c r="N239" s="110"/>
      <c r="O239" s="140"/>
      <c r="P239" s="114"/>
      <c r="Q239" s="114"/>
      <c r="R239" s="114"/>
      <c r="S239" s="114"/>
      <c r="W239" s="15" t="s">
        <v>315</v>
      </c>
      <c r="X239" s="18">
        <v>3</v>
      </c>
      <c r="AD239" s="15"/>
      <c r="AE239" s="15" t="s">
        <v>312</v>
      </c>
      <c r="AF239" s="15" t="str">
        <f>CONCATENATE(V233,"f")</f>
        <v>13f</v>
      </c>
      <c r="AG239" s="16" t="str">
        <f>IF(OR(NOT(AJ236),NOT(AJ237)),"",AD236)</f>
        <v/>
      </c>
      <c r="AH239" s="23" t="str">
        <f>IF(OR(NOT(AJ236),NOT(AJ237)),"",VLOOKUP(AG239,AG236:AH237,2,FALSE))</f>
        <v/>
      </c>
      <c r="AL239" s="18" t="s">
        <v>318</v>
      </c>
      <c r="AP239" s="115" t="b">
        <f>AND(AP238,AL239&lt;&gt;"",(COUNTIF(AP235:AP238,"IGAZ")-COUNTIF(AV235:AV238,"IGAZ"))*X240+MAX(AY234:AZ238)&lt;X239)</f>
        <v>0</v>
      </c>
      <c r="AQ239" s="116" t="str">
        <f>IF(NOT(AP239),"",IF(AL239="p",AG236,AG237))</f>
        <v/>
      </c>
      <c r="AR239" s="117" t="str">
        <f>IF(NOT(AP239),"",IF(AL239="p",AG237,AG236))</f>
        <v/>
      </c>
      <c r="AT239" s="115" t="b">
        <f t="shared" si="116"/>
        <v>0</v>
      </c>
      <c r="AU239" s="115" t="b">
        <f>AND(ASZTAB!$AJ$42,AT239,F239=H239)</f>
        <v>0</v>
      </c>
      <c r="AV239" s="115" t="b">
        <f t="shared" si="117"/>
        <v>0</v>
      </c>
      <c r="AW239" s="116" t="str">
        <f t="shared" si="118"/>
        <v/>
      </c>
      <c r="AX239" s="117" t="str">
        <f t="shared" si="119"/>
        <v/>
      </c>
      <c r="AY239" s="116" t="str">
        <f>IF(OR(AY238="",NOT(AV239)),"",IF(AG236=AW239,X240,0)+AY238)</f>
        <v/>
      </c>
      <c r="AZ239" s="116" t="str">
        <f>IF(OR(AZ238="",NOT(AV239)),"",IF(AG237=AW239,X240,0)+AZ238)</f>
        <v/>
      </c>
      <c r="BD239" s="142"/>
      <c r="BI239" s="118"/>
      <c r="BK239" s="119"/>
      <c r="BL239" s="119"/>
      <c r="BM239" s="119"/>
    </row>
    <row r="240" spans="1:66" ht="15" customHeight="1" x14ac:dyDescent="0.3">
      <c r="A240" s="864"/>
      <c r="B240" s="122"/>
      <c r="C240" s="106">
        <v>6</v>
      </c>
      <c r="D240" s="137"/>
      <c r="E240" s="107" t="str">
        <f t="shared" si="112"/>
        <v/>
      </c>
      <c r="F240" s="108"/>
      <c r="G240" s="64" t="str">
        <f t="shared" si="113"/>
        <v/>
      </c>
      <c r="H240" s="109"/>
      <c r="I240" s="110" t="str">
        <f t="shared" si="114"/>
        <v/>
      </c>
      <c r="J240" s="111"/>
      <c r="K240" s="112" t="str">
        <f t="shared" si="115"/>
        <v/>
      </c>
      <c r="L240" s="113"/>
      <c r="M240" s="8" t="str">
        <f t="shared" si="120"/>
        <v/>
      </c>
      <c r="N240" s="123"/>
      <c r="O240" s="141"/>
      <c r="W240" s="15" t="s">
        <v>327</v>
      </c>
      <c r="X240" s="18">
        <v>1</v>
      </c>
      <c r="AD240" s="15"/>
      <c r="AE240" s="15" t="s">
        <v>313</v>
      </c>
      <c r="AF240" s="15" t="str">
        <f>CONCATENATE(V233,"a")</f>
        <v>13a</v>
      </c>
      <c r="AG240" s="16" t="str">
        <f>IF(OR(NOT(AJ236),NOT(AJ237)),"",AD237)</f>
        <v/>
      </c>
      <c r="AH240" s="23" t="str">
        <f>IF(OR(NOT(AJ236),NOT(AJ237)),"",VLOOKUP(AG240,AG236:AH237,2,FALSE))</f>
        <v/>
      </c>
      <c r="AL240" s="18" t="s">
        <v>331</v>
      </c>
      <c r="AP240" s="115" t="b">
        <f>AND(AP239,AL240&lt;&gt;"",(COUNTIF(AP235:AP239,"IGAZ")-COUNTIF(AV235:AV239,"IGAZ"))*X240+MAX(AY234:AZ239)&lt;X239)</f>
        <v>0</v>
      </c>
      <c r="AQ240" s="116" t="str">
        <f>IF(NOT(AP240),"",IF(AL240="p",AG236,AG237))</f>
        <v/>
      </c>
      <c r="AR240" s="117" t="str">
        <f>IF(NOT(AP240),"",IF(AL240="p",AG237,AG236))</f>
        <v/>
      </c>
      <c r="AT240" s="115" t="b">
        <f t="shared" si="116"/>
        <v>0</v>
      </c>
      <c r="AU240" s="115" t="b">
        <f>AND(ASZTAB!$AJ$42,AT240,F240=H240)</f>
        <v>0</v>
      </c>
      <c r="AV240" s="115" t="b">
        <f t="shared" si="117"/>
        <v>0</v>
      </c>
      <c r="AW240" s="116" t="str">
        <f t="shared" si="118"/>
        <v/>
      </c>
      <c r="AX240" s="117" t="str">
        <f t="shared" si="119"/>
        <v/>
      </c>
      <c r="AY240" s="116" t="str">
        <f>IF(OR(AY239="",NOT(AV240)),"",IF(AG236=AW240,X240,0)+AY239)</f>
        <v/>
      </c>
      <c r="AZ240" s="116" t="str">
        <f>IF(OR(AZ239="",NOT(AV240)),"",IF(AG237=AW240,X240,0)+AZ239)</f>
        <v/>
      </c>
      <c r="BD240" s="142"/>
      <c r="BI240" s="118"/>
      <c r="BK240" s="119"/>
      <c r="BL240" s="119"/>
      <c r="BM240" s="119"/>
    </row>
    <row r="241" spans="1:66" ht="15" customHeight="1" x14ac:dyDescent="0.3">
      <c r="A241" s="864"/>
      <c r="B241" s="122"/>
      <c r="C241" s="106">
        <v>7</v>
      </c>
      <c r="D241" s="137"/>
      <c r="E241" s="107" t="str">
        <f t="shared" si="112"/>
        <v/>
      </c>
      <c r="F241" s="108"/>
      <c r="G241" s="64" t="str">
        <f t="shared" si="113"/>
        <v/>
      </c>
      <c r="H241" s="109"/>
      <c r="I241" s="110" t="str">
        <f t="shared" si="114"/>
        <v/>
      </c>
      <c r="J241" s="111"/>
      <c r="K241" s="112" t="str">
        <f t="shared" si="115"/>
        <v/>
      </c>
      <c r="L241" s="113"/>
      <c r="M241" s="8" t="str">
        <f t="shared" si="120"/>
        <v/>
      </c>
      <c r="N241" s="123"/>
      <c r="O241" s="141"/>
      <c r="AE241" s="15" t="s">
        <v>316</v>
      </c>
      <c r="AF241" s="15" t="str">
        <f>CONCATENATE(V233,"w")</f>
        <v>13w</v>
      </c>
      <c r="AG241" s="16" t="str">
        <f>IF(AND(AJ236,AJ237),IF(MAX(AY235:AY241)&gt;=X239,AG236,IF(MAX(AZ235:AZ241)&gt;=X239,AG237,"")),"")</f>
        <v/>
      </c>
      <c r="AL241" s="18" t="s">
        <v>318</v>
      </c>
      <c r="AP241" s="115" t="b">
        <f>AND(AP240,AL241&lt;&gt;"",(COUNTIF(AP235:AP240,"IGAZ")-COUNTIF(AV235:AV240,"IGAZ"))*X240+MAX(AY234:AZ240)&lt;X239)</f>
        <v>0</v>
      </c>
      <c r="AQ241" s="116" t="str">
        <f>IF(NOT(AP241),"",IF(AL241="p",AG236,AG237))</f>
        <v/>
      </c>
      <c r="AR241" s="117" t="str">
        <f>IF(NOT(AP241),"",IF(AL241="p",AG237,AG236))</f>
        <v/>
      </c>
      <c r="AT241" s="115" t="b">
        <f t="shared" si="116"/>
        <v>0</v>
      </c>
      <c r="AU241" s="115" t="b">
        <f>AND(ASZTAB!$AJ$42,AT241,F241=H241)</f>
        <v>0</v>
      </c>
      <c r="AV241" s="115" t="b">
        <f t="shared" si="117"/>
        <v>0</v>
      </c>
      <c r="AW241" s="116" t="str">
        <f t="shared" si="118"/>
        <v/>
      </c>
      <c r="AX241" s="117" t="str">
        <f t="shared" si="119"/>
        <v/>
      </c>
      <c r="AY241" s="116" t="str">
        <f>IF(OR(AY240="",NOT(AV241)),"",IF(AG236=AW241,X240,0)+AY240)</f>
        <v/>
      </c>
      <c r="AZ241" s="116" t="str">
        <f>IF(OR(AZ240="",NOT(AV241)),"",IF(AG237=AW241,X240,0)+AZ240)</f>
        <v/>
      </c>
      <c r="BD241" s="142"/>
      <c r="BI241" s="118"/>
      <c r="BK241" s="119"/>
      <c r="BL241" s="119"/>
      <c r="BM241" s="119"/>
      <c r="BN241" s="119"/>
    </row>
    <row r="242" spans="1:66" ht="15" customHeight="1" x14ac:dyDescent="0.3">
      <c r="A242" s="864"/>
      <c r="B242" s="122"/>
      <c r="C242" s="106"/>
      <c r="D242" s="123"/>
      <c r="E242" s="124"/>
      <c r="F242" s="125"/>
      <c r="G242" s="123"/>
      <c r="H242" s="114"/>
      <c r="I242" s="123"/>
      <c r="J242" s="125"/>
      <c r="K242" s="123"/>
      <c r="L242" s="114"/>
      <c r="M242" s="123"/>
      <c r="N242" s="123"/>
      <c r="O242" s="123"/>
      <c r="AE242" s="15" t="s">
        <v>317</v>
      </c>
      <c r="AF242" s="15" t="str">
        <f>CONCATENATE(V233,"l")</f>
        <v>13l</v>
      </c>
      <c r="AG242" s="16" t="str">
        <f ca="1">IF(AG241=AG236,AG237,IF(AG237=AG241,AG236,""))</f>
        <v/>
      </c>
      <c r="AL242" s="126" t="s">
        <v>330</v>
      </c>
      <c r="BD242" s="142"/>
      <c r="BI242" s="118"/>
      <c r="BK242" s="119"/>
      <c r="BL242" s="119"/>
      <c r="BM242" s="119"/>
      <c r="BN242" s="119"/>
    </row>
    <row r="243" spans="1:66" ht="15" customHeight="1" x14ac:dyDescent="0.3">
      <c r="A243" s="864"/>
      <c r="B243" s="122"/>
      <c r="C243" s="127" t="s">
        <v>463</v>
      </c>
      <c r="D243" s="123"/>
      <c r="E243" s="124"/>
      <c r="F243" s="125"/>
      <c r="G243" s="123"/>
      <c r="H243" s="114"/>
      <c r="I243" s="123"/>
      <c r="J243" s="125"/>
      <c r="K243" s="123"/>
      <c r="L243" s="114"/>
      <c r="M243" s="123"/>
      <c r="N243" s="123"/>
      <c r="O243" s="123"/>
      <c r="Y243" s="11" t="s">
        <v>294</v>
      </c>
      <c r="Z243" s="70" t="s">
        <v>311</v>
      </c>
      <c r="AA243" s="70" t="s">
        <v>153</v>
      </c>
      <c r="AB243" s="70" t="s">
        <v>153</v>
      </c>
      <c r="AE243" s="15" t="s">
        <v>287</v>
      </c>
      <c r="AF243" s="15" t="str">
        <f>CONCATENATE(V233,"e")</f>
        <v>13e</v>
      </c>
      <c r="AG243" s="21" t="b">
        <f ca="1">AND(AG241&lt;&gt;"",AG242&lt;&gt;"")</f>
        <v>0</v>
      </c>
      <c r="BD243" s="15"/>
      <c r="BI243" s="118"/>
      <c r="BK243" s="119"/>
      <c r="BL243" s="119"/>
      <c r="BM243" s="119"/>
      <c r="BN243" s="119"/>
    </row>
    <row r="244" spans="1:66" ht="15" customHeight="1" x14ac:dyDescent="0.3">
      <c r="A244" s="864"/>
      <c r="B244" s="122"/>
      <c r="C244" s="865"/>
      <c r="D244" s="865"/>
      <c r="E244" s="865"/>
      <c r="F244" s="865"/>
      <c r="G244" s="865"/>
      <c r="H244" s="865"/>
      <c r="I244" s="865"/>
      <c r="J244" s="865"/>
      <c r="K244" s="865"/>
      <c r="L244" s="865"/>
      <c r="M244" s="865"/>
      <c r="N244" s="865"/>
      <c r="O244" s="865"/>
      <c r="W244" s="15" t="s">
        <v>319</v>
      </c>
      <c r="X244" s="18" t="b">
        <v>0</v>
      </c>
      <c r="Y244" s="72" t="s">
        <v>289</v>
      </c>
      <c r="Z244" s="16" t="str">
        <f ca="1">IF(AND(AJ236,AJ237,X244,Y244&lt;&gt;""),CONCATENATE(VLOOKUP(CONCATENATE(AG236,AG237),INDIRECT(CONCATENATE("games.",Y244)),9,FALSE),VLOOKUP(CONCATENATE(AG236,AG237),INDIRECT(CONCATENATE("games.",Y244)),12,FALSE)),"")</f>
        <v/>
      </c>
      <c r="AA244" s="16" t="str">
        <f ca="1">IF(AND(AJ236,AJ237,X244,Y244&lt;&gt;""),VLOOKUP(CONCATENATE(AG236,AG237),INDIRECT(CONCATENATE("games.",Y244)),10,FALSE),"")</f>
        <v/>
      </c>
      <c r="AB244" s="54" t="str">
        <f ca="1">IF(AND(AJ236,AJ237,X244,Y244&lt;&gt;""),VLOOKUP(CONCATENATE(AG236,AG237),INDIRECT(CONCATENATE("games.",Y244)),13,FALSE),"")</f>
        <v/>
      </c>
      <c r="BD244" s="15"/>
      <c r="BI244" s="118"/>
      <c r="BK244" s="119"/>
      <c r="BL244" s="119"/>
      <c r="BM244" s="119"/>
      <c r="BN244" s="119"/>
    </row>
    <row r="245" spans="1:66" ht="15" customHeight="1" x14ac:dyDescent="0.3">
      <c r="A245" s="864"/>
      <c r="B245" s="122"/>
      <c r="C245" s="866"/>
      <c r="D245" s="866"/>
      <c r="E245" s="866"/>
      <c r="F245" s="866"/>
      <c r="G245" s="866"/>
      <c r="H245" s="866"/>
      <c r="I245" s="866"/>
      <c r="J245" s="866"/>
      <c r="K245" s="866"/>
      <c r="L245" s="866"/>
      <c r="M245" s="866"/>
      <c r="N245" s="866"/>
      <c r="O245" s="866"/>
      <c r="Z245" s="16" t="str">
        <f ca="1">IF(AND(AJ236,AJ237,X244,Y244&lt;&gt;""),CONCATENATE(VLOOKUP(CONCATENATE(AG237,AG236),INDIRECT(CONCATENATE("games.",Y244)),9,FALSE),VLOOKUP(CONCATENATE(AG237,AG236),INDIRECT(CONCATENATE("games.",Y244)),12,FALSE)),"")</f>
        <v/>
      </c>
      <c r="AA245" s="16" t="str">
        <f ca="1">IF(AND(AJ236,AJ237,X244,Y244&lt;&gt;""),VLOOKUP(CONCATENATE(AG237,AG236),INDIRECT(CONCATENATE("games.",Y244)),10,FALSE),"")</f>
        <v/>
      </c>
      <c r="AB245" s="54" t="str">
        <f ca="1">IF(AND(AJ236,AJ237,X244,Y244&lt;&gt;""),VLOOKUP(CONCATENATE(AG237,AG236),INDIRECT(CONCATENATE("games.",Y244)),13,FALSE),"")</f>
        <v/>
      </c>
      <c r="BD245" s="15"/>
      <c r="BI245" s="118"/>
      <c r="BK245" s="119"/>
      <c r="BL245" s="119"/>
      <c r="BM245" s="119"/>
      <c r="BN245" s="119"/>
    </row>
    <row r="246" spans="1:66" ht="15" customHeight="1" x14ac:dyDescent="0.3">
      <c r="A246" s="864"/>
      <c r="B246" s="122"/>
      <c r="C246" s="866"/>
      <c r="D246" s="866"/>
      <c r="E246" s="866"/>
      <c r="F246" s="866"/>
      <c r="G246" s="866"/>
      <c r="H246" s="866"/>
      <c r="I246" s="866"/>
      <c r="J246" s="866"/>
      <c r="K246" s="866"/>
      <c r="L246" s="866"/>
      <c r="M246" s="866"/>
      <c r="N246" s="866"/>
      <c r="O246" s="866"/>
      <c r="BD246" s="15"/>
      <c r="BI246" s="118"/>
      <c r="BK246" s="119"/>
      <c r="BL246" s="119"/>
      <c r="BM246" s="119"/>
      <c r="BN246" s="119"/>
    </row>
    <row r="247" spans="1:66" ht="15" customHeight="1" x14ac:dyDescent="0.3">
      <c r="A247" s="864"/>
      <c r="B247" s="122"/>
      <c r="C247" s="106"/>
      <c r="D247" s="123"/>
      <c r="E247" s="124"/>
      <c r="F247" s="125"/>
      <c r="G247" s="123"/>
      <c r="H247" s="114"/>
      <c r="I247" s="123"/>
      <c r="J247" s="125"/>
      <c r="K247" s="123"/>
      <c r="L247" s="114"/>
      <c r="M247" s="123"/>
      <c r="N247" s="123"/>
      <c r="O247" s="123"/>
      <c r="U247" s="10"/>
      <c r="V247" s="128"/>
      <c r="W247" s="129"/>
      <c r="X247" s="10"/>
      <c r="Y247" s="130"/>
      <c r="Z247" s="130"/>
      <c r="AA247" s="130"/>
      <c r="AB247" s="130"/>
      <c r="AC247" s="130"/>
      <c r="AD247" s="130"/>
      <c r="AE247" s="130"/>
      <c r="AF247" s="130"/>
      <c r="AG247" s="130"/>
      <c r="AH247" s="130"/>
      <c r="AI247" s="130"/>
      <c r="AJ247" s="130"/>
      <c r="AK247" s="130"/>
      <c r="AL247" s="130"/>
      <c r="AM247" s="10"/>
      <c r="AO247" s="131"/>
      <c r="AP247" s="131"/>
      <c r="AQ247" s="132"/>
      <c r="AR247" s="132"/>
      <c r="AS247" s="132"/>
      <c r="AT247" s="131"/>
      <c r="AU247" s="131"/>
      <c r="AV247" s="131"/>
      <c r="AW247" s="132"/>
      <c r="AX247" s="132"/>
      <c r="AY247" s="131"/>
      <c r="AZ247" s="131"/>
      <c r="BA247" s="131"/>
      <c r="BD247" s="15"/>
      <c r="BI247" s="118"/>
      <c r="BK247" s="119"/>
      <c r="BL247" s="119"/>
      <c r="BM247" s="119"/>
      <c r="BN247" s="119"/>
    </row>
    <row r="248" spans="1:66" ht="15" customHeight="1" x14ac:dyDescent="0.3">
      <c r="A248" s="864"/>
      <c r="B248" s="88"/>
      <c r="C248" s="89"/>
      <c r="D248" s="90"/>
      <c r="BI248" s="118"/>
      <c r="BM248" s="119"/>
    </row>
    <row r="249" spans="1:66" ht="15" customHeight="1" x14ac:dyDescent="0.3">
      <c r="A249" s="864"/>
      <c r="B249" s="147"/>
      <c r="C249" s="149">
        <f>V249</f>
        <v>14</v>
      </c>
      <c r="D249" s="150" t="str">
        <f>UPPER(W249)</f>
        <v/>
      </c>
      <c r="E249" s="151"/>
      <c r="F249" s="151"/>
      <c r="G249" s="151"/>
      <c r="H249" s="151"/>
      <c r="I249" s="151"/>
      <c r="J249" s="151"/>
      <c r="K249" s="151"/>
      <c r="L249" s="151"/>
      <c r="M249" s="138"/>
      <c r="N249" s="151"/>
      <c r="O249" s="161" t="str">
        <f ca="1">IF(NOT(AG259),"","A PÁRHARC GYŐZTESE: "&amp;UPPER(AG257))</f>
        <v/>
      </c>
      <c r="P249" s="152" t="str">
        <f>IF(NOT(Y257),"",CONCATENATE("A PÁRHARC GYŐZTESE: ",AH255," "))</f>
        <v/>
      </c>
      <c r="Q249" s="148" t="str">
        <f>IF(NOT(Z257),"",CONCATENATE("A PÁRHARC GYŐZTESE: ",AJ255," "))</f>
        <v/>
      </c>
      <c r="R249" s="148" t="str">
        <f>IF(NOT(AA257),"",CONCATENATE("A PÁRHARC GYŐZTESE: ",AK255," "))</f>
        <v/>
      </c>
      <c r="S249" s="148" t="str">
        <f>IF(NOT(AB257),"",CONCATENATE("A PÁRHARC GYŐZTESE: ",AL255," "))</f>
        <v/>
      </c>
      <c r="V249" s="21">
        <f>V233+1</f>
        <v>14</v>
      </c>
      <c r="W249" s="95"/>
      <c r="X249" s="96"/>
      <c r="Y249" s="96"/>
      <c r="Z249" s="96"/>
      <c r="AA249" s="96"/>
      <c r="AB249" s="96"/>
      <c r="AC249" s="96"/>
      <c r="AD249" s="96"/>
      <c r="AE249" s="96"/>
      <c r="AF249" s="96"/>
      <c r="AG249" s="96"/>
      <c r="AH249" s="96"/>
      <c r="AI249" s="96"/>
      <c r="AJ249" s="96"/>
      <c r="AK249" s="96"/>
      <c r="AL249" s="97"/>
      <c r="AY249" s="13" t="s">
        <v>326</v>
      </c>
      <c r="AZ249" s="13" t="s">
        <v>325</v>
      </c>
      <c r="BD249" s="142"/>
      <c r="BH249" s="98"/>
      <c r="BI249" s="118"/>
      <c r="BJ249" s="98"/>
      <c r="BK249" s="99"/>
      <c r="BL249" s="99"/>
      <c r="BM249" s="119"/>
    </row>
    <row r="250" spans="1:66" ht="11.25" customHeight="1" x14ac:dyDescent="0.3">
      <c r="A250" s="864"/>
      <c r="C250" s="101"/>
      <c r="D250" s="102"/>
      <c r="E250" s="103"/>
      <c r="F250" s="58"/>
      <c r="G250" s="104"/>
      <c r="H250" s="60"/>
      <c r="I250" s="146"/>
      <c r="J250" s="107"/>
      <c r="K250" s="160" t="str">
        <f>IF(OR(AU251,AU252,AU253,AU254,AU255,AU256,AU257),"BÜNTETŐK","")</f>
        <v/>
      </c>
      <c r="L250" s="110"/>
      <c r="M250" s="158" t="s">
        <v>286</v>
      </c>
      <c r="N250" s="159"/>
      <c r="O250" s="158" t="s">
        <v>285</v>
      </c>
      <c r="AP250" s="105" t="s">
        <v>328</v>
      </c>
      <c r="AQ250" s="12" t="s">
        <v>138</v>
      </c>
      <c r="AR250" s="12" t="s">
        <v>139</v>
      </c>
      <c r="AT250" s="105" t="s">
        <v>320</v>
      </c>
      <c r="AU250" s="105" t="s">
        <v>321</v>
      </c>
      <c r="AV250" s="105" t="s">
        <v>324</v>
      </c>
      <c r="AW250" s="12" t="s">
        <v>322</v>
      </c>
      <c r="AX250" s="12" t="s">
        <v>323</v>
      </c>
      <c r="AY250" s="116">
        <f>IF(X260,COUNTIF(Z260:Z261,AG252)*ASZTAB!$AJ$48+COUNTIF(AA260:AB261,AG252),0)</f>
        <v>0</v>
      </c>
      <c r="AZ250" s="116">
        <f>IF(X260,COUNTIF(Z260:Z261,AG253)*ASZTAB!$AJ$48+COUNTIF(AA260:AB261,AG253),0)</f>
        <v>0</v>
      </c>
      <c r="BD250" s="142"/>
      <c r="BH250" s="98"/>
      <c r="BI250" s="118"/>
      <c r="BJ250" s="98"/>
      <c r="BK250" s="99"/>
      <c r="BL250" s="99"/>
      <c r="BM250" s="119"/>
    </row>
    <row r="251" spans="1:66" ht="15" customHeight="1" x14ac:dyDescent="0.3">
      <c r="A251" s="864"/>
      <c r="B251" s="7"/>
      <c r="C251" s="106">
        <v>1</v>
      </c>
      <c r="D251" s="137"/>
      <c r="E251" s="107" t="str">
        <f t="shared" ref="E251:E257" si="121">IF(NOT($AP251),"",AQ251)</f>
        <v/>
      </c>
      <c r="F251" s="108"/>
      <c r="G251" s="64" t="str">
        <f t="shared" ref="G251:G257" si="122">IF(NOT($AP251),"","–")</f>
        <v/>
      </c>
      <c r="H251" s="109"/>
      <c r="I251" s="110" t="str">
        <f t="shared" ref="I251:I257" si="123">IF(NOT($AP251),"",AR251)</f>
        <v/>
      </c>
      <c r="J251" s="111"/>
      <c r="K251" s="112" t="str">
        <f t="shared" ref="K251:K257" si="124">IF(AU251,"–","")</f>
        <v/>
      </c>
      <c r="L251" s="113"/>
      <c r="M251" s="153" t="str">
        <f>IF(OR(AL251="",NOT(AV251)),"",IF(AL251="p",CONCATENATE(AY251,"–",AZ251),CONCATENATE(AZ251,"–",AY251)))</f>
        <v/>
      </c>
      <c r="N251" s="110"/>
      <c r="O251" s="139"/>
      <c r="P251" s="114"/>
      <c r="Q251" s="114"/>
      <c r="R251" s="114"/>
      <c r="S251" s="114"/>
      <c r="X251" s="11" t="s">
        <v>306</v>
      </c>
      <c r="Y251" s="11" t="s">
        <v>294</v>
      </c>
      <c r="Z251" s="70" t="s">
        <v>295</v>
      </c>
      <c r="AA251" s="70" t="s">
        <v>127</v>
      </c>
      <c r="AB251" s="70" t="s">
        <v>301</v>
      </c>
      <c r="AC251" s="70" t="s">
        <v>302</v>
      </c>
      <c r="AD251" s="70" t="s">
        <v>332</v>
      </c>
      <c r="AE251" s="70" t="s">
        <v>333</v>
      </c>
      <c r="AF251" s="70" t="s">
        <v>329</v>
      </c>
      <c r="AG251" s="70" t="s">
        <v>303</v>
      </c>
      <c r="AH251" s="70" t="s">
        <v>293</v>
      </c>
      <c r="AJ251" s="71" t="s">
        <v>314</v>
      </c>
      <c r="AL251" s="18" t="s">
        <v>318</v>
      </c>
      <c r="AP251" s="115" t="b">
        <f>AND(AJ252,AJ253,AL251&lt;&gt;"")</f>
        <v>0</v>
      </c>
      <c r="AQ251" s="116" t="str">
        <f>IF(NOT(AP251),"",IF(AL251="p",AG252,AG253))</f>
        <v/>
      </c>
      <c r="AR251" s="117" t="str">
        <f>IF(NOT(AP251),"",IF(AL251="p",AG253,AG252))</f>
        <v/>
      </c>
      <c r="AT251" s="115" t="b">
        <f t="shared" ref="AT251:AT257" si="125">AND(F251&lt;&gt;"",H251&lt;&gt;"",AP251)</f>
        <v>0</v>
      </c>
      <c r="AU251" s="115" t="b">
        <f>AND(ASZTAB!$AJ$42,AT251,F251=H251)</f>
        <v>0</v>
      </c>
      <c r="AV251" s="115" t="b">
        <f t="shared" ref="AV251:AV257" si="126">OR(AND(AT251,NOT(AU251),F251&lt;&gt;H251),AND(AT251,AU251,J251&lt;&gt;"",L251&lt;&gt;"",J251&lt;&gt;L251))</f>
        <v>0</v>
      </c>
      <c r="AW251" s="116" t="str">
        <f t="shared" ref="AW251:AW257" si="127">IF(NOT(AV251),"",IF(AU251,IF(F251+J251&gt;H251+L251,E251,I251),IF(F251&gt;H251,E251,I251)))</f>
        <v/>
      </c>
      <c r="AX251" s="117" t="str">
        <f t="shared" ref="AX251:AX257" si="128">IF(NOT(AV251),"",IF(AW251=E251,I251,IF(AW251=I251,E251,"")))</f>
        <v/>
      </c>
      <c r="AY251" s="116" t="str">
        <f>IF(NOT(AV251),"",IF(AG252=AW251,X256,0)+AY250)</f>
        <v/>
      </c>
      <c r="AZ251" s="116" t="str">
        <f>IF(NOT(AV251),"",IF(AG253=AW251,X256,0)+AZ250)</f>
        <v/>
      </c>
      <c r="BD251" s="142"/>
      <c r="BI251" s="118"/>
      <c r="BK251" s="99"/>
      <c r="BL251" s="119"/>
      <c r="BM251" s="119"/>
    </row>
    <row r="252" spans="1:66" ht="15" customHeight="1" x14ac:dyDescent="0.3">
      <c r="A252" s="864"/>
      <c r="B252" s="7"/>
      <c r="C252" s="106">
        <v>2</v>
      </c>
      <c r="D252" s="137"/>
      <c r="E252" s="107" t="str">
        <f t="shared" si="121"/>
        <v/>
      </c>
      <c r="F252" s="108"/>
      <c r="G252" s="64" t="str">
        <f t="shared" si="122"/>
        <v/>
      </c>
      <c r="H252" s="109"/>
      <c r="I252" s="110" t="str">
        <f t="shared" si="123"/>
        <v/>
      </c>
      <c r="J252" s="111"/>
      <c r="K252" s="112" t="str">
        <f t="shared" si="124"/>
        <v/>
      </c>
      <c r="L252" s="113"/>
      <c r="M252" s="153" t="str">
        <f t="shared" ref="M252:M257" si="129">IF(OR(AL252="",NOT(AV252)),"",IF(AL252="p",CONCATENATE(AY252,"–",AZ252),CONCATENATE(AZ252,"–",AY252)))</f>
        <v/>
      </c>
      <c r="N252" s="110"/>
      <c r="O252" s="140"/>
      <c r="P252" s="114"/>
      <c r="Q252" s="114"/>
      <c r="R252" s="114"/>
      <c r="S252" s="114"/>
      <c r="W252" s="15" t="s">
        <v>312</v>
      </c>
      <c r="X252" s="18"/>
      <c r="Y252" s="72"/>
      <c r="Z252" s="72"/>
      <c r="AA252" s="72"/>
      <c r="AB252" s="18"/>
      <c r="AC252" s="18"/>
      <c r="AD252" s="14" t="str">
        <f ca="1">IF(NOT(AJ252),"",IF(X252=$BE$45,VLOOKUP(AA252,INDIRECT(CONCATENATE("rank.",Y252,Z252)),2,FALSE),VLOOKUP(CONCATENATE(AB252,AC252),result.e,2,FALSE)))</f>
        <v/>
      </c>
      <c r="AE252" s="18"/>
      <c r="AF252" s="120" t="str">
        <f ca="1">IF(OR(AD252="",X252=$BE$45),"",VLOOKUP(AD252,INDIRECT(CONCATENATE("rankname.",AE252)),2,FALSE))</f>
        <v/>
      </c>
      <c r="AG252" s="14" t="str">
        <f ca="1">IF(AD252="","",IF(X252=$BE$45,AD252,IF(AF252&gt;AF253,AD253,AD252)))</f>
        <v/>
      </c>
      <c r="AH252" s="120">
        <f>MAX(AY250:AY257)</f>
        <v>0</v>
      </c>
      <c r="AJ252" s="21" t="b">
        <f>IF(X252=$BE$45,IF(OR(Y252="",Z252="",AA252=""),FALSE,VLOOKUP(CONCATENATE(Y252,Z252),$BD$59:$BE$63,2,FALSE)),IF(OR(AB252="",AC252="",AE252=""),FALSE,VLOOKUP(CONCATENATE(AB252,"e"),result.e,2,FALSE)))</f>
        <v>0</v>
      </c>
      <c r="AL252" s="18" t="s">
        <v>331</v>
      </c>
      <c r="AP252" s="115" t="b">
        <f>AND(AP251,AL252&lt;&gt;"",(COUNTIF(AP251:AP251,"IGAZ")-COUNTIF(AV251:AV251,"IGAZ"))*X256+MAX(AY250:AZ251)&lt;X255)</f>
        <v>0</v>
      </c>
      <c r="AQ252" s="116" t="str">
        <f>IF(NOT(AP252),"",IF(AL252="p",AG252,AG253))</f>
        <v/>
      </c>
      <c r="AR252" s="117" t="str">
        <f>IF(NOT(AP252),"",IF(AL252="p",AG253,AG252))</f>
        <v/>
      </c>
      <c r="AT252" s="115" t="b">
        <f t="shared" si="125"/>
        <v>0</v>
      </c>
      <c r="AU252" s="115" t="b">
        <f>AND(ASZTAB!$AJ$42,AT252,F252=H252)</f>
        <v>0</v>
      </c>
      <c r="AV252" s="115" t="b">
        <f t="shared" si="126"/>
        <v>0</v>
      </c>
      <c r="AW252" s="116" t="str">
        <f t="shared" si="127"/>
        <v/>
      </c>
      <c r="AX252" s="117" t="str">
        <f t="shared" si="128"/>
        <v/>
      </c>
      <c r="AY252" s="116" t="str">
        <f>IF(OR(AY251="",NOT(AV252)),"",IF(AG252=AW252,X256,0)+AY251)</f>
        <v/>
      </c>
      <c r="AZ252" s="116" t="str">
        <f>IF(OR(AZ251="",NOT(AV252)),"",IF(AG253=AW252,X256,0)+AZ251)</f>
        <v/>
      </c>
      <c r="BD252" s="142"/>
      <c r="BI252" s="118"/>
      <c r="BK252" s="99"/>
      <c r="BM252" s="119"/>
    </row>
    <row r="253" spans="1:66" ht="15" customHeight="1" x14ac:dyDescent="0.3">
      <c r="A253" s="864"/>
      <c r="B253" s="7"/>
      <c r="C253" s="106">
        <v>3</v>
      </c>
      <c r="D253" s="137"/>
      <c r="E253" s="107" t="str">
        <f t="shared" si="121"/>
        <v/>
      </c>
      <c r="F253" s="108"/>
      <c r="G253" s="64" t="str">
        <f t="shared" si="122"/>
        <v/>
      </c>
      <c r="H253" s="109"/>
      <c r="I253" s="110" t="str">
        <f t="shared" si="123"/>
        <v/>
      </c>
      <c r="J253" s="111"/>
      <c r="K253" s="112" t="str">
        <f t="shared" si="124"/>
        <v/>
      </c>
      <c r="L253" s="113"/>
      <c r="M253" s="153" t="str">
        <f t="shared" si="129"/>
        <v/>
      </c>
      <c r="N253" s="110"/>
      <c r="O253" s="140"/>
      <c r="P253" s="114"/>
      <c r="Q253" s="114"/>
      <c r="R253" s="114"/>
      <c r="S253" s="114"/>
      <c r="W253" s="15" t="s">
        <v>313</v>
      </c>
      <c r="X253" s="18"/>
      <c r="Y253" s="72"/>
      <c r="Z253" s="72"/>
      <c r="AA253" s="72"/>
      <c r="AB253" s="18"/>
      <c r="AC253" s="18"/>
      <c r="AD253" s="14" t="str">
        <f ca="1">IF(NOT(AJ253),"",IF(X253=$BE$45,VLOOKUP(AA253,INDIRECT(CONCATENATE("rank.",Y253,Z253)),2,FALSE),VLOOKUP(CONCATENATE(AB253,AC253),result.e,2,FALSE)))</f>
        <v/>
      </c>
      <c r="AE253" s="18"/>
      <c r="AF253" s="120" t="str">
        <f ca="1">IF(OR(AD253="",X253=$BE$45),"",VLOOKUP(AD253,INDIRECT(CONCATENATE("rankname.",AE253)),2,FALSE))</f>
        <v/>
      </c>
      <c r="AG253" s="14" t="str">
        <f ca="1">IF(AD253="","",IF(X253=$BE$45,AD253,IF(AF252&gt;AF253,AD252,AD253)))</f>
        <v/>
      </c>
      <c r="AH253" s="120">
        <f>MAX(AZ250:AZ257)</f>
        <v>0</v>
      </c>
      <c r="AJ253" s="21" t="b">
        <f>IF(X253=$BE$45,IF(OR(Y253="",Z253="",AA253=""),FALSE,VLOOKUP(CONCATENATE(Y253,Z253),$BD$59:$BE$63,2,FALSE)),IF(OR(AB253="",AC253="",AE253=""),FALSE,VLOOKUP(CONCATENATE(AB253,"e"),result.e,2,FALSE)))</f>
        <v>0</v>
      </c>
      <c r="AL253" s="18" t="s">
        <v>318</v>
      </c>
      <c r="AP253" s="115" t="b">
        <f>AND(AP252,AL253&lt;&gt;"",(COUNTIF(AP251:AP252,"IGAZ")-COUNTIF(AV251:AV252,"IGAZ"))*X256+MAX(AY250:AZ252)&lt;X255)</f>
        <v>0</v>
      </c>
      <c r="AQ253" s="116" t="str">
        <f>IF(NOT(AP253),"",IF(AL253="p",AG252,AG253))</f>
        <v/>
      </c>
      <c r="AR253" s="117" t="str">
        <f>IF(NOT(AP253),"",IF(AL253="p",AG253,AG252))</f>
        <v/>
      </c>
      <c r="AT253" s="115" t="b">
        <f t="shared" si="125"/>
        <v>0</v>
      </c>
      <c r="AU253" s="115" t="b">
        <f>AND(ASZTAB!$AJ$42,AT253,F253=H253)</f>
        <v>0</v>
      </c>
      <c r="AV253" s="115" t="b">
        <f t="shared" si="126"/>
        <v>0</v>
      </c>
      <c r="AW253" s="116" t="str">
        <f t="shared" si="127"/>
        <v/>
      </c>
      <c r="AX253" s="117" t="str">
        <f t="shared" si="128"/>
        <v/>
      </c>
      <c r="AY253" s="116" t="str">
        <f>IF(OR(AY252="",NOT(AV253)),"",IF(AG252=AW253,X256,0)+AY252)</f>
        <v/>
      </c>
      <c r="AZ253" s="116" t="str">
        <f>IF(OR(AZ252="",NOT(AV253)),"",IF(AG253=AW253,X256,0)+AZ252)</f>
        <v/>
      </c>
      <c r="BD253" s="142"/>
      <c r="BI253" s="118"/>
      <c r="BM253" s="119"/>
      <c r="BN253" s="119"/>
    </row>
    <row r="254" spans="1:66" ht="15" customHeight="1" x14ac:dyDescent="0.3">
      <c r="A254" s="864"/>
      <c r="B254" s="7"/>
      <c r="C254" s="106">
        <v>4</v>
      </c>
      <c r="D254" s="137"/>
      <c r="E254" s="107" t="str">
        <f t="shared" si="121"/>
        <v/>
      </c>
      <c r="F254" s="108"/>
      <c r="G254" s="64" t="str">
        <f t="shared" si="122"/>
        <v/>
      </c>
      <c r="H254" s="109"/>
      <c r="I254" s="110" t="str">
        <f t="shared" si="123"/>
        <v/>
      </c>
      <c r="J254" s="111"/>
      <c r="K254" s="112" t="str">
        <f t="shared" si="124"/>
        <v/>
      </c>
      <c r="L254" s="113"/>
      <c r="M254" s="153" t="str">
        <f t="shared" si="129"/>
        <v/>
      </c>
      <c r="N254" s="110"/>
      <c r="O254" s="140"/>
      <c r="P254" s="114"/>
      <c r="Q254" s="114"/>
      <c r="AL254" s="18" t="s">
        <v>331</v>
      </c>
      <c r="AP254" s="115" t="b">
        <f>AND(AP253,AL254&lt;&gt;"",(COUNTIF(AP251:AP253,"IGAZ")-COUNTIF(AV251:AV253,"IGAZ"))*X256+MAX(AY250:AZ253)&lt;X255)</f>
        <v>0</v>
      </c>
      <c r="AQ254" s="116" t="str">
        <f>IF(NOT(AP254),"",IF(AL254="p",AG252,AG253))</f>
        <v/>
      </c>
      <c r="AR254" s="117" t="str">
        <f>IF(NOT(AP254),"",IF(AL254="p",AG253,AG252))</f>
        <v/>
      </c>
      <c r="AT254" s="115" t="b">
        <f t="shared" si="125"/>
        <v>0</v>
      </c>
      <c r="AU254" s="115" t="b">
        <f>AND(ASZTAB!$AJ$42,AT254,F254=H254)</f>
        <v>0</v>
      </c>
      <c r="AV254" s="115" t="b">
        <f t="shared" si="126"/>
        <v>0</v>
      </c>
      <c r="AW254" s="116" t="str">
        <f t="shared" si="127"/>
        <v/>
      </c>
      <c r="AX254" s="117" t="str">
        <f t="shared" si="128"/>
        <v/>
      </c>
      <c r="AY254" s="116" t="str">
        <f>IF(OR(AY253="",NOT(AV254)),"",IF(AG252=AW254,X256,0)+AY253)</f>
        <v/>
      </c>
      <c r="AZ254" s="116" t="str">
        <f>IF(OR(AZ253="",NOT(AV254)),"",IF(AG253=AW254,X256,0)+AZ253)</f>
        <v/>
      </c>
      <c r="BD254" s="142"/>
      <c r="BI254" s="118"/>
      <c r="BM254" s="119"/>
    </row>
    <row r="255" spans="1:66" ht="15" customHeight="1" x14ac:dyDescent="0.3">
      <c r="A255" s="864"/>
      <c r="B255" s="121"/>
      <c r="C255" s="106">
        <v>5</v>
      </c>
      <c r="D255" s="137"/>
      <c r="E255" s="107" t="str">
        <f t="shared" si="121"/>
        <v/>
      </c>
      <c r="F255" s="108"/>
      <c r="G255" s="64" t="str">
        <f t="shared" si="122"/>
        <v/>
      </c>
      <c r="H255" s="109"/>
      <c r="I255" s="110" t="str">
        <f t="shared" si="123"/>
        <v/>
      </c>
      <c r="J255" s="111"/>
      <c r="K255" s="112" t="str">
        <f t="shared" si="124"/>
        <v/>
      </c>
      <c r="L255" s="113"/>
      <c r="M255" s="153" t="str">
        <f t="shared" si="129"/>
        <v/>
      </c>
      <c r="N255" s="110"/>
      <c r="O255" s="140"/>
      <c r="P255" s="114"/>
      <c r="Q255" s="114"/>
      <c r="R255" s="114"/>
      <c r="S255" s="114"/>
      <c r="W255" s="15" t="s">
        <v>315</v>
      </c>
      <c r="X255" s="18">
        <v>3</v>
      </c>
      <c r="AD255" s="15"/>
      <c r="AE255" s="15" t="s">
        <v>312</v>
      </c>
      <c r="AF255" s="15" t="str">
        <f>CONCATENATE(V249,"f")</f>
        <v>14f</v>
      </c>
      <c r="AG255" s="16" t="str">
        <f>IF(OR(NOT(AJ252),NOT(AJ253)),"",AD252)</f>
        <v/>
      </c>
      <c r="AH255" s="23" t="str">
        <f>IF(OR(NOT(AJ252),NOT(AJ253)),"",VLOOKUP(AG255,AG252:AH253,2,FALSE))</f>
        <v/>
      </c>
      <c r="AL255" s="18" t="s">
        <v>318</v>
      </c>
      <c r="AP255" s="115" t="b">
        <f>AND(AP254,AL255&lt;&gt;"",(COUNTIF(AP251:AP254,"IGAZ")-COUNTIF(AV251:AV254,"IGAZ"))*X256+MAX(AY250:AZ254)&lt;X255)</f>
        <v>0</v>
      </c>
      <c r="AQ255" s="116" t="str">
        <f>IF(NOT(AP255),"",IF(AL255="p",AG252,AG253))</f>
        <v/>
      </c>
      <c r="AR255" s="117" t="str">
        <f>IF(NOT(AP255),"",IF(AL255="p",AG253,AG252))</f>
        <v/>
      </c>
      <c r="AT255" s="115" t="b">
        <f t="shared" si="125"/>
        <v>0</v>
      </c>
      <c r="AU255" s="115" t="b">
        <f>AND(ASZTAB!$AJ$42,AT255,F255=H255)</f>
        <v>0</v>
      </c>
      <c r="AV255" s="115" t="b">
        <f t="shared" si="126"/>
        <v>0</v>
      </c>
      <c r="AW255" s="116" t="str">
        <f t="shared" si="127"/>
        <v/>
      </c>
      <c r="AX255" s="117" t="str">
        <f t="shared" si="128"/>
        <v/>
      </c>
      <c r="AY255" s="116" t="str">
        <f>IF(OR(AY254="",NOT(AV255)),"",IF(AG252=AW255,X256,0)+AY254)</f>
        <v/>
      </c>
      <c r="AZ255" s="116" t="str">
        <f>IF(OR(AZ254="",NOT(AV255)),"",IF(AG253=AW255,X256,0)+AZ254)</f>
        <v/>
      </c>
      <c r="BD255" s="142"/>
      <c r="BI255" s="118"/>
      <c r="BK255" s="119"/>
      <c r="BL255" s="119"/>
      <c r="BM255" s="119"/>
    </row>
    <row r="256" spans="1:66" ht="15" customHeight="1" x14ac:dyDescent="0.3">
      <c r="A256" s="864"/>
      <c r="B256" s="122"/>
      <c r="C256" s="106">
        <v>6</v>
      </c>
      <c r="D256" s="137"/>
      <c r="E256" s="107" t="str">
        <f t="shared" si="121"/>
        <v/>
      </c>
      <c r="F256" s="108"/>
      <c r="G256" s="64" t="str">
        <f t="shared" si="122"/>
        <v/>
      </c>
      <c r="H256" s="109"/>
      <c r="I256" s="110" t="str">
        <f t="shared" si="123"/>
        <v/>
      </c>
      <c r="J256" s="111"/>
      <c r="K256" s="112" t="str">
        <f t="shared" si="124"/>
        <v/>
      </c>
      <c r="L256" s="113"/>
      <c r="M256" s="8" t="str">
        <f t="shared" si="129"/>
        <v/>
      </c>
      <c r="N256" s="123"/>
      <c r="O256" s="141"/>
      <c r="W256" s="15" t="s">
        <v>327</v>
      </c>
      <c r="X256" s="18">
        <v>1</v>
      </c>
      <c r="AD256" s="15"/>
      <c r="AE256" s="15" t="s">
        <v>313</v>
      </c>
      <c r="AF256" s="15" t="str">
        <f>CONCATENATE(V249,"a")</f>
        <v>14a</v>
      </c>
      <c r="AG256" s="16" t="str">
        <f>IF(OR(NOT(AJ252),NOT(AJ253)),"",AD253)</f>
        <v/>
      </c>
      <c r="AH256" s="23" t="str">
        <f>IF(OR(NOT(AJ252),NOT(AJ253)),"",VLOOKUP(AG256,AG252:AH253,2,FALSE))</f>
        <v/>
      </c>
      <c r="AL256" s="18" t="s">
        <v>331</v>
      </c>
      <c r="AP256" s="115" t="b">
        <f>AND(AP255,AL256&lt;&gt;"",(COUNTIF(AP251:AP255,"IGAZ")-COUNTIF(AV251:AV255,"IGAZ"))*X256+MAX(AY250:AZ255)&lt;X255)</f>
        <v>0</v>
      </c>
      <c r="AQ256" s="116" t="str">
        <f>IF(NOT(AP256),"",IF(AL256="p",AG252,AG253))</f>
        <v/>
      </c>
      <c r="AR256" s="117" t="str">
        <f>IF(NOT(AP256),"",IF(AL256="p",AG253,AG252))</f>
        <v/>
      </c>
      <c r="AT256" s="115" t="b">
        <f t="shared" si="125"/>
        <v>0</v>
      </c>
      <c r="AU256" s="115" t="b">
        <f>AND(ASZTAB!$AJ$42,AT256,F256=H256)</f>
        <v>0</v>
      </c>
      <c r="AV256" s="115" t="b">
        <f t="shared" si="126"/>
        <v>0</v>
      </c>
      <c r="AW256" s="116" t="str">
        <f t="shared" si="127"/>
        <v/>
      </c>
      <c r="AX256" s="117" t="str">
        <f t="shared" si="128"/>
        <v/>
      </c>
      <c r="AY256" s="116" t="str">
        <f>IF(OR(AY255="",NOT(AV256)),"",IF(AG252=AW256,X256,0)+AY255)</f>
        <v/>
      </c>
      <c r="AZ256" s="116" t="str">
        <f>IF(OR(AZ255="",NOT(AV256)),"",IF(AG253=AW256,X256,0)+AZ255)</f>
        <v/>
      </c>
      <c r="BD256" s="142"/>
      <c r="BI256" s="118"/>
      <c r="BK256" s="119"/>
      <c r="BL256" s="119"/>
      <c r="BM256" s="119"/>
    </row>
    <row r="257" spans="1:66" ht="15" customHeight="1" x14ac:dyDescent="0.3">
      <c r="A257" s="864"/>
      <c r="B257" s="122"/>
      <c r="C257" s="106">
        <v>7</v>
      </c>
      <c r="D257" s="137"/>
      <c r="E257" s="107" t="str">
        <f t="shared" si="121"/>
        <v/>
      </c>
      <c r="F257" s="108"/>
      <c r="G257" s="64" t="str">
        <f t="shared" si="122"/>
        <v/>
      </c>
      <c r="H257" s="109"/>
      <c r="I257" s="110" t="str">
        <f t="shared" si="123"/>
        <v/>
      </c>
      <c r="J257" s="111"/>
      <c r="K257" s="112" t="str">
        <f t="shared" si="124"/>
        <v/>
      </c>
      <c r="L257" s="113"/>
      <c r="M257" s="8" t="str">
        <f t="shared" si="129"/>
        <v/>
      </c>
      <c r="N257" s="123"/>
      <c r="O257" s="141"/>
      <c r="AE257" s="15" t="s">
        <v>316</v>
      </c>
      <c r="AF257" s="15" t="str">
        <f>CONCATENATE(V249,"w")</f>
        <v>14w</v>
      </c>
      <c r="AG257" s="16" t="str">
        <f>IF(AND(AJ252,AJ253),IF(MAX(AY251:AY257)&gt;=X255,AG252,IF(MAX(AZ251:AZ257)&gt;=X255,AG253,"")),"")</f>
        <v/>
      </c>
      <c r="AL257" s="18" t="s">
        <v>318</v>
      </c>
      <c r="AP257" s="115" t="b">
        <f>AND(AP256,AL257&lt;&gt;"",(COUNTIF(AP251:AP256,"IGAZ")-COUNTIF(AV251:AV256,"IGAZ"))*X256+MAX(AY250:AZ256)&lt;X255)</f>
        <v>0</v>
      </c>
      <c r="AQ257" s="116" t="str">
        <f>IF(NOT(AP257),"",IF(AL257="p",AG252,AG253))</f>
        <v/>
      </c>
      <c r="AR257" s="117" t="str">
        <f>IF(NOT(AP257),"",IF(AL257="p",AG253,AG252))</f>
        <v/>
      </c>
      <c r="AT257" s="115" t="b">
        <f t="shared" si="125"/>
        <v>0</v>
      </c>
      <c r="AU257" s="115" t="b">
        <f>AND(ASZTAB!$AJ$42,AT257,F257=H257)</f>
        <v>0</v>
      </c>
      <c r="AV257" s="115" t="b">
        <f t="shared" si="126"/>
        <v>0</v>
      </c>
      <c r="AW257" s="116" t="str">
        <f t="shared" si="127"/>
        <v/>
      </c>
      <c r="AX257" s="117" t="str">
        <f t="shared" si="128"/>
        <v/>
      </c>
      <c r="AY257" s="116" t="str">
        <f>IF(OR(AY256="",NOT(AV257)),"",IF(AG252=AW257,X256,0)+AY256)</f>
        <v/>
      </c>
      <c r="AZ257" s="116" t="str">
        <f>IF(OR(AZ256="",NOT(AV257)),"",IF(AG253=AW257,X256,0)+AZ256)</f>
        <v/>
      </c>
      <c r="BD257" s="142"/>
      <c r="BI257" s="118"/>
      <c r="BK257" s="119"/>
      <c r="BL257" s="119"/>
      <c r="BM257" s="119"/>
      <c r="BN257" s="119"/>
    </row>
    <row r="258" spans="1:66" ht="15" customHeight="1" x14ac:dyDescent="0.3">
      <c r="A258" s="864"/>
      <c r="B258" s="122"/>
      <c r="C258" s="106"/>
      <c r="D258" s="123"/>
      <c r="E258" s="124"/>
      <c r="F258" s="125"/>
      <c r="G258" s="123"/>
      <c r="H258" s="114"/>
      <c r="I258" s="123"/>
      <c r="J258" s="125"/>
      <c r="K258" s="123"/>
      <c r="L258" s="114"/>
      <c r="M258" s="123"/>
      <c r="N258" s="123"/>
      <c r="O258" s="123"/>
      <c r="AE258" s="15" t="s">
        <v>317</v>
      </c>
      <c r="AF258" s="15" t="str">
        <f>CONCATENATE(V249,"l")</f>
        <v>14l</v>
      </c>
      <c r="AG258" s="16" t="str">
        <f ca="1">IF(AG257=AG252,AG253,IF(AG253=AG257,AG252,""))</f>
        <v/>
      </c>
      <c r="AL258" s="126" t="s">
        <v>330</v>
      </c>
      <c r="BD258" s="142"/>
      <c r="BI258" s="118"/>
      <c r="BK258" s="119"/>
      <c r="BL258" s="119"/>
      <c r="BM258" s="119"/>
      <c r="BN258" s="119"/>
    </row>
    <row r="259" spans="1:66" ht="15" customHeight="1" x14ac:dyDescent="0.3">
      <c r="A259" s="864"/>
      <c r="B259" s="122"/>
      <c r="C259" s="127" t="s">
        <v>463</v>
      </c>
      <c r="D259" s="123"/>
      <c r="E259" s="124"/>
      <c r="F259" s="125"/>
      <c r="G259" s="123"/>
      <c r="H259" s="114"/>
      <c r="I259" s="123"/>
      <c r="J259" s="125"/>
      <c r="K259" s="123"/>
      <c r="L259" s="114"/>
      <c r="M259" s="123"/>
      <c r="N259" s="123"/>
      <c r="O259" s="123"/>
      <c r="Y259" s="11" t="s">
        <v>294</v>
      </c>
      <c r="Z259" s="70" t="s">
        <v>311</v>
      </c>
      <c r="AA259" s="70" t="s">
        <v>153</v>
      </c>
      <c r="AB259" s="70" t="s">
        <v>153</v>
      </c>
      <c r="AE259" s="15" t="s">
        <v>287</v>
      </c>
      <c r="AF259" s="15" t="str">
        <f>CONCATENATE(V249,"e")</f>
        <v>14e</v>
      </c>
      <c r="AG259" s="21" t="b">
        <f ca="1">AND(AG257&lt;&gt;"",AG258&lt;&gt;"")</f>
        <v>0</v>
      </c>
      <c r="BD259" s="15"/>
      <c r="BI259" s="118"/>
      <c r="BK259" s="119"/>
      <c r="BL259" s="119"/>
      <c r="BM259" s="119"/>
      <c r="BN259" s="119"/>
    </row>
    <row r="260" spans="1:66" ht="15" customHeight="1" x14ac:dyDescent="0.3">
      <c r="A260" s="864"/>
      <c r="B260" s="122"/>
      <c r="C260" s="865"/>
      <c r="D260" s="865"/>
      <c r="E260" s="865"/>
      <c r="F260" s="865"/>
      <c r="G260" s="865"/>
      <c r="H260" s="865"/>
      <c r="I260" s="865"/>
      <c r="J260" s="865"/>
      <c r="K260" s="865"/>
      <c r="L260" s="865"/>
      <c r="M260" s="865"/>
      <c r="N260" s="865"/>
      <c r="O260" s="865"/>
      <c r="W260" s="15" t="s">
        <v>319</v>
      </c>
      <c r="X260" s="18" t="b">
        <v>0</v>
      </c>
      <c r="Y260" s="72" t="s">
        <v>289</v>
      </c>
      <c r="Z260" s="16" t="str">
        <f ca="1">IF(AND(AJ252,AJ253,X260,Y260&lt;&gt;""),CONCATENATE(VLOOKUP(CONCATENATE(AG252,AG253),INDIRECT(CONCATENATE("games.",Y260)),9,FALSE),VLOOKUP(CONCATENATE(AG252,AG253),INDIRECT(CONCATENATE("games.",Y260)),12,FALSE)),"")</f>
        <v/>
      </c>
      <c r="AA260" s="16" t="str">
        <f ca="1">IF(AND(AJ252,AJ253,X260,Y260&lt;&gt;""),VLOOKUP(CONCATENATE(AG252,AG253),INDIRECT(CONCATENATE("games.",Y260)),10,FALSE),"")</f>
        <v/>
      </c>
      <c r="AB260" s="54" t="str">
        <f ca="1">IF(AND(AJ252,AJ253,X260,Y260&lt;&gt;""),VLOOKUP(CONCATENATE(AG252,AG253),INDIRECT(CONCATENATE("games.",Y260)),13,FALSE),"")</f>
        <v/>
      </c>
      <c r="BD260" s="15"/>
      <c r="BI260" s="118"/>
      <c r="BK260" s="119"/>
      <c r="BL260" s="119"/>
      <c r="BM260" s="119"/>
      <c r="BN260" s="119"/>
    </row>
    <row r="261" spans="1:66" ht="15" customHeight="1" x14ac:dyDescent="0.3">
      <c r="A261" s="864"/>
      <c r="B261" s="122"/>
      <c r="C261" s="866"/>
      <c r="D261" s="866"/>
      <c r="E261" s="866"/>
      <c r="F261" s="866"/>
      <c r="G261" s="866"/>
      <c r="H261" s="866"/>
      <c r="I261" s="866"/>
      <c r="J261" s="866"/>
      <c r="K261" s="866"/>
      <c r="L261" s="866"/>
      <c r="M261" s="866"/>
      <c r="N261" s="866"/>
      <c r="O261" s="866"/>
      <c r="Z261" s="16" t="str">
        <f ca="1">IF(AND(AJ252,AJ253,X260,Y260&lt;&gt;""),CONCATENATE(VLOOKUP(CONCATENATE(AG253,AG252),INDIRECT(CONCATENATE("games.",Y260)),9,FALSE),VLOOKUP(CONCATENATE(AG253,AG252),INDIRECT(CONCATENATE("games.",Y260)),12,FALSE)),"")</f>
        <v/>
      </c>
      <c r="AA261" s="16" t="str">
        <f ca="1">IF(AND(AJ252,AJ253,X260,Y260&lt;&gt;""),VLOOKUP(CONCATENATE(AG253,AG252),INDIRECT(CONCATENATE("games.",Y260)),10,FALSE),"")</f>
        <v/>
      </c>
      <c r="AB261" s="54" t="str">
        <f ca="1">IF(AND(AJ252,AJ253,X260,Y260&lt;&gt;""),VLOOKUP(CONCATENATE(AG253,AG252),INDIRECT(CONCATENATE("games.",Y260)),13,FALSE),"")</f>
        <v/>
      </c>
      <c r="BD261" s="15"/>
      <c r="BI261" s="118"/>
      <c r="BK261" s="119"/>
      <c r="BL261" s="119"/>
      <c r="BM261" s="119"/>
      <c r="BN261" s="119"/>
    </row>
    <row r="262" spans="1:66" ht="15" customHeight="1" x14ac:dyDescent="0.3">
      <c r="A262" s="864"/>
      <c r="B262" s="122"/>
      <c r="C262" s="866"/>
      <c r="D262" s="866"/>
      <c r="E262" s="866"/>
      <c r="F262" s="866"/>
      <c r="G262" s="866"/>
      <c r="H262" s="866"/>
      <c r="I262" s="866"/>
      <c r="J262" s="866"/>
      <c r="K262" s="866"/>
      <c r="L262" s="866"/>
      <c r="M262" s="866"/>
      <c r="N262" s="866"/>
      <c r="O262" s="866"/>
      <c r="BD262" s="15"/>
      <c r="BI262" s="118"/>
      <c r="BK262" s="119"/>
      <c r="BL262" s="119"/>
      <c r="BM262" s="119"/>
      <c r="BN262" s="119"/>
    </row>
    <row r="263" spans="1:66" ht="15" customHeight="1" x14ac:dyDescent="0.3">
      <c r="A263" s="864"/>
      <c r="B263" s="122"/>
      <c r="C263" s="106"/>
      <c r="D263" s="123"/>
      <c r="E263" s="124"/>
      <c r="F263" s="125"/>
      <c r="G263" s="123"/>
      <c r="H263" s="114"/>
      <c r="I263" s="123"/>
      <c r="J263" s="125"/>
      <c r="K263" s="123"/>
      <c r="L263" s="114"/>
      <c r="M263" s="123"/>
      <c r="N263" s="123"/>
      <c r="O263" s="123"/>
      <c r="U263" s="10"/>
      <c r="V263" s="128"/>
      <c r="W263" s="129"/>
      <c r="X263" s="10"/>
      <c r="Y263" s="130"/>
      <c r="Z263" s="130"/>
      <c r="AA263" s="130"/>
      <c r="AB263" s="130"/>
      <c r="AC263" s="130"/>
      <c r="AD263" s="130"/>
      <c r="AE263" s="130"/>
      <c r="AF263" s="130"/>
      <c r="AG263" s="130"/>
      <c r="AH263" s="130"/>
      <c r="AI263" s="130"/>
      <c r="AJ263" s="130"/>
      <c r="AK263" s="130"/>
      <c r="AL263" s="130"/>
      <c r="AM263" s="10"/>
      <c r="AO263" s="131"/>
      <c r="AP263" s="131"/>
      <c r="AQ263" s="132"/>
      <c r="AR263" s="132"/>
      <c r="AS263" s="132"/>
      <c r="AT263" s="131"/>
      <c r="AU263" s="131"/>
      <c r="AV263" s="131"/>
      <c r="AW263" s="132"/>
      <c r="AX263" s="132"/>
      <c r="AY263" s="131"/>
      <c r="AZ263" s="131"/>
      <c r="BA263" s="131"/>
      <c r="BD263" s="15"/>
      <c r="BI263" s="118"/>
      <c r="BK263" s="119"/>
      <c r="BL263" s="119"/>
      <c r="BM263" s="119"/>
      <c r="BN263" s="119"/>
    </row>
    <row r="264" spans="1:66" ht="15" customHeight="1" x14ac:dyDescent="0.3">
      <c r="A264" s="864"/>
      <c r="B264" s="88"/>
      <c r="C264" s="89"/>
      <c r="D264" s="90"/>
      <c r="BI264" s="118"/>
      <c r="BM264" s="119"/>
    </row>
    <row r="265" spans="1:66" ht="15" customHeight="1" x14ac:dyDescent="0.3">
      <c r="A265" s="864"/>
      <c r="B265" s="147"/>
      <c r="C265" s="149">
        <f>V265</f>
        <v>15</v>
      </c>
      <c r="D265" s="150" t="str">
        <f>UPPER(W265)</f>
        <v/>
      </c>
      <c r="E265" s="151"/>
      <c r="F265" s="151"/>
      <c r="G265" s="151"/>
      <c r="H265" s="151"/>
      <c r="I265" s="151"/>
      <c r="J265" s="151"/>
      <c r="K265" s="151"/>
      <c r="L265" s="151"/>
      <c r="M265" s="138"/>
      <c r="N265" s="151"/>
      <c r="O265" s="161" t="str">
        <f ca="1">IF(NOT(AG275),"","A PÁRHARC GYŐZTESE: "&amp;UPPER(AG273))</f>
        <v/>
      </c>
      <c r="P265" s="152" t="str">
        <f>IF(NOT(Y273),"",CONCATENATE("A PÁRHARC GYŐZTESE: ",AH271," "))</f>
        <v/>
      </c>
      <c r="Q265" s="148" t="str">
        <f>IF(NOT(Z273),"",CONCATENATE("A PÁRHARC GYŐZTESE: ",AJ271," "))</f>
        <v/>
      </c>
      <c r="R265" s="148" t="str">
        <f>IF(NOT(AA273),"",CONCATENATE("A PÁRHARC GYŐZTESE: ",AK271," "))</f>
        <v/>
      </c>
      <c r="S265" s="148" t="str">
        <f>IF(NOT(AB273),"",CONCATENATE("A PÁRHARC GYŐZTESE: ",AL271," "))</f>
        <v/>
      </c>
      <c r="V265" s="21">
        <f>V249+1</f>
        <v>15</v>
      </c>
      <c r="W265" s="95"/>
      <c r="X265" s="96"/>
      <c r="Y265" s="96"/>
      <c r="Z265" s="96"/>
      <c r="AA265" s="96"/>
      <c r="AB265" s="96"/>
      <c r="AC265" s="96"/>
      <c r="AD265" s="96"/>
      <c r="AE265" s="96"/>
      <c r="AF265" s="96"/>
      <c r="AG265" s="96"/>
      <c r="AH265" s="96"/>
      <c r="AI265" s="96"/>
      <c r="AJ265" s="96"/>
      <c r="AK265" s="96"/>
      <c r="AL265" s="97"/>
      <c r="AY265" s="13" t="s">
        <v>326</v>
      </c>
      <c r="AZ265" s="13" t="s">
        <v>325</v>
      </c>
      <c r="BD265" s="142"/>
      <c r="BH265" s="98"/>
      <c r="BI265" s="118"/>
      <c r="BJ265" s="98"/>
      <c r="BK265" s="99"/>
      <c r="BL265" s="99"/>
      <c r="BM265" s="119"/>
    </row>
    <row r="266" spans="1:66" ht="11.25" customHeight="1" x14ac:dyDescent="0.3">
      <c r="A266" s="864"/>
      <c r="C266" s="101"/>
      <c r="D266" s="102"/>
      <c r="E266" s="103"/>
      <c r="F266" s="58"/>
      <c r="G266" s="104"/>
      <c r="H266" s="60"/>
      <c r="I266" s="146"/>
      <c r="J266" s="107"/>
      <c r="K266" s="160" t="str">
        <f>IF(OR(AU267,AU268,AU269,AU270,AU271,AU272,AU273),"BÜNTETŐK","")</f>
        <v/>
      </c>
      <c r="L266" s="110"/>
      <c r="M266" s="158" t="s">
        <v>286</v>
      </c>
      <c r="N266" s="159"/>
      <c r="O266" s="158" t="s">
        <v>285</v>
      </c>
      <c r="AP266" s="105" t="s">
        <v>328</v>
      </c>
      <c r="AQ266" s="12" t="s">
        <v>138</v>
      </c>
      <c r="AR266" s="12" t="s">
        <v>139</v>
      </c>
      <c r="AT266" s="105" t="s">
        <v>320</v>
      </c>
      <c r="AU266" s="105" t="s">
        <v>321</v>
      </c>
      <c r="AV266" s="105" t="s">
        <v>324</v>
      </c>
      <c r="AW266" s="12" t="s">
        <v>322</v>
      </c>
      <c r="AX266" s="12" t="s">
        <v>323</v>
      </c>
      <c r="AY266" s="116">
        <f>IF(X276,COUNTIF(Z276:Z277,AG268)*ASZTAB!$AJ$48+COUNTIF(AA276:AB277,AG268),0)</f>
        <v>0</v>
      </c>
      <c r="AZ266" s="116">
        <f>IF(X276,COUNTIF(Z276:Z277,AG269)*ASZTAB!$AJ$48+COUNTIF(AA276:AB277,AG269),0)</f>
        <v>0</v>
      </c>
      <c r="BD266" s="142"/>
      <c r="BH266" s="98"/>
      <c r="BI266" s="118"/>
      <c r="BJ266" s="98"/>
      <c r="BK266" s="99"/>
      <c r="BL266" s="99"/>
      <c r="BM266" s="119"/>
    </row>
    <row r="267" spans="1:66" ht="15" customHeight="1" x14ac:dyDescent="0.3">
      <c r="A267" s="864"/>
      <c r="B267" s="7"/>
      <c r="C267" s="106">
        <v>1</v>
      </c>
      <c r="D267" s="137"/>
      <c r="E267" s="107" t="str">
        <f t="shared" ref="E267:E273" si="130">IF(NOT($AP267),"",AQ267)</f>
        <v/>
      </c>
      <c r="F267" s="108"/>
      <c r="G267" s="64" t="str">
        <f t="shared" ref="G267:G273" si="131">IF(NOT($AP267),"","–")</f>
        <v/>
      </c>
      <c r="H267" s="109"/>
      <c r="I267" s="110" t="str">
        <f t="shared" ref="I267:I273" si="132">IF(NOT($AP267),"",AR267)</f>
        <v/>
      </c>
      <c r="J267" s="111"/>
      <c r="K267" s="112" t="str">
        <f t="shared" ref="K267:K273" si="133">IF(AU267,"–","")</f>
        <v/>
      </c>
      <c r="L267" s="113"/>
      <c r="M267" s="153" t="str">
        <f>IF(OR(AL267="",NOT(AV267)),"",IF(AL267="p",CONCATENATE(AY267,"–",AZ267),CONCATENATE(AZ267,"–",AY267)))</f>
        <v/>
      </c>
      <c r="N267" s="110"/>
      <c r="O267" s="139"/>
      <c r="P267" s="114"/>
      <c r="Q267" s="114"/>
      <c r="R267" s="114"/>
      <c r="S267" s="114"/>
      <c r="X267" s="11" t="s">
        <v>306</v>
      </c>
      <c r="Y267" s="11" t="s">
        <v>294</v>
      </c>
      <c r="Z267" s="70" t="s">
        <v>295</v>
      </c>
      <c r="AA267" s="70" t="s">
        <v>127</v>
      </c>
      <c r="AB267" s="70" t="s">
        <v>301</v>
      </c>
      <c r="AC267" s="70" t="s">
        <v>302</v>
      </c>
      <c r="AD267" s="70" t="s">
        <v>332</v>
      </c>
      <c r="AE267" s="70" t="s">
        <v>333</v>
      </c>
      <c r="AF267" s="70" t="s">
        <v>329</v>
      </c>
      <c r="AG267" s="70" t="s">
        <v>303</v>
      </c>
      <c r="AH267" s="70" t="s">
        <v>293</v>
      </c>
      <c r="AJ267" s="71" t="s">
        <v>314</v>
      </c>
      <c r="AL267" s="18" t="s">
        <v>318</v>
      </c>
      <c r="AP267" s="115" t="b">
        <f>AND(AJ268,AJ269,AL267&lt;&gt;"")</f>
        <v>0</v>
      </c>
      <c r="AQ267" s="116" t="str">
        <f>IF(NOT(AP267),"",IF(AL267="p",AG268,AG269))</f>
        <v/>
      </c>
      <c r="AR267" s="117" t="str">
        <f>IF(NOT(AP267),"",IF(AL267="p",AG269,AG268))</f>
        <v/>
      </c>
      <c r="AT267" s="115" t="b">
        <f t="shared" ref="AT267:AT273" si="134">AND(F267&lt;&gt;"",H267&lt;&gt;"",AP267)</f>
        <v>0</v>
      </c>
      <c r="AU267" s="115" t="b">
        <f>AND(ASZTAB!$AJ$42,AT267,F267=H267)</f>
        <v>0</v>
      </c>
      <c r="AV267" s="115" t="b">
        <f t="shared" ref="AV267:AV273" si="135">OR(AND(AT267,NOT(AU267),F267&lt;&gt;H267),AND(AT267,AU267,J267&lt;&gt;"",L267&lt;&gt;"",J267&lt;&gt;L267))</f>
        <v>0</v>
      </c>
      <c r="AW267" s="116" t="str">
        <f t="shared" ref="AW267:AW273" si="136">IF(NOT(AV267),"",IF(AU267,IF(F267+J267&gt;H267+L267,E267,I267),IF(F267&gt;H267,E267,I267)))</f>
        <v/>
      </c>
      <c r="AX267" s="117" t="str">
        <f t="shared" ref="AX267:AX273" si="137">IF(NOT(AV267),"",IF(AW267=E267,I267,IF(AW267=I267,E267,"")))</f>
        <v/>
      </c>
      <c r="AY267" s="116" t="str">
        <f>IF(NOT(AV267),"",IF(AG268=AW267,X272,0)+AY266)</f>
        <v/>
      </c>
      <c r="AZ267" s="116" t="str">
        <f>IF(NOT(AV267),"",IF(AG269=AW267,X272,0)+AZ266)</f>
        <v/>
      </c>
      <c r="BD267" s="142"/>
      <c r="BI267" s="118"/>
      <c r="BK267" s="99"/>
      <c r="BL267" s="119"/>
      <c r="BM267" s="119"/>
    </row>
    <row r="268" spans="1:66" ht="15" customHeight="1" x14ac:dyDescent="0.3">
      <c r="A268" s="864"/>
      <c r="B268" s="7"/>
      <c r="C268" s="106">
        <v>2</v>
      </c>
      <c r="D268" s="137"/>
      <c r="E268" s="107" t="str">
        <f t="shared" si="130"/>
        <v/>
      </c>
      <c r="F268" s="108"/>
      <c r="G268" s="64" t="str">
        <f t="shared" si="131"/>
        <v/>
      </c>
      <c r="H268" s="109"/>
      <c r="I268" s="110" t="str">
        <f t="shared" si="132"/>
        <v/>
      </c>
      <c r="J268" s="111"/>
      <c r="K268" s="112" t="str">
        <f t="shared" si="133"/>
        <v/>
      </c>
      <c r="L268" s="113"/>
      <c r="M268" s="153" t="str">
        <f t="shared" ref="M268:M273" si="138">IF(OR(AL268="",NOT(AV268)),"",IF(AL268="p",CONCATENATE(AY268,"–",AZ268),CONCATENATE(AZ268,"–",AY268)))</f>
        <v/>
      </c>
      <c r="N268" s="110"/>
      <c r="O268" s="140"/>
      <c r="P268" s="114"/>
      <c r="Q268" s="114"/>
      <c r="R268" s="114"/>
      <c r="S268" s="114"/>
      <c r="W268" s="15" t="s">
        <v>312</v>
      </c>
      <c r="X268" s="18"/>
      <c r="Y268" s="72"/>
      <c r="Z268" s="72"/>
      <c r="AA268" s="72"/>
      <c r="AB268" s="18"/>
      <c r="AC268" s="18"/>
      <c r="AD268" s="14" t="str">
        <f ca="1">IF(NOT(AJ268),"",IF(X268=$BE$45,VLOOKUP(AA268,INDIRECT(CONCATENATE("rank.",Y268,Z268)),2,FALSE),VLOOKUP(CONCATENATE(AB268,AC268),result.e,2,FALSE)))</f>
        <v/>
      </c>
      <c r="AE268" s="18"/>
      <c r="AF268" s="120" t="str">
        <f ca="1">IF(OR(AD268="",X268=$BE$45),"",VLOOKUP(AD268,INDIRECT(CONCATENATE("rankname.",AE268)),2,FALSE))</f>
        <v/>
      </c>
      <c r="AG268" s="14" t="str">
        <f ca="1">IF(AD268="","",IF(X268=$BE$45,AD268,IF(AF268&gt;AF269,AD269,AD268)))</f>
        <v/>
      </c>
      <c r="AH268" s="120">
        <f>MAX(AY266:AY273)</f>
        <v>0</v>
      </c>
      <c r="AJ268" s="21" t="b">
        <f>IF(X268=$BE$45,IF(OR(Y268="",Z268="",AA268=""),FALSE,VLOOKUP(CONCATENATE(Y268,Z268),$BD$59:$BE$63,2,FALSE)),IF(OR(AB268="",AC268="",AE268=""),FALSE,VLOOKUP(CONCATENATE(AB268,"e"),result.e,2,FALSE)))</f>
        <v>0</v>
      </c>
      <c r="AL268" s="18" t="s">
        <v>331</v>
      </c>
      <c r="AP268" s="115" t="b">
        <f>AND(AP267,AL268&lt;&gt;"",(COUNTIF(AP267:AP267,"IGAZ")-COUNTIF(AV267:AV267,"IGAZ"))*X272+MAX(AY266:AZ267)&lt;X271)</f>
        <v>0</v>
      </c>
      <c r="AQ268" s="116" t="str">
        <f>IF(NOT(AP268),"",IF(AL268="p",AG268,AG269))</f>
        <v/>
      </c>
      <c r="AR268" s="117" t="str">
        <f>IF(NOT(AP268),"",IF(AL268="p",AG269,AG268))</f>
        <v/>
      </c>
      <c r="AT268" s="115" t="b">
        <f t="shared" si="134"/>
        <v>0</v>
      </c>
      <c r="AU268" s="115" t="b">
        <f>AND(ASZTAB!$AJ$42,AT268,F268=H268)</f>
        <v>0</v>
      </c>
      <c r="AV268" s="115" t="b">
        <f t="shared" si="135"/>
        <v>0</v>
      </c>
      <c r="AW268" s="116" t="str">
        <f t="shared" si="136"/>
        <v/>
      </c>
      <c r="AX268" s="117" t="str">
        <f t="shared" si="137"/>
        <v/>
      </c>
      <c r="AY268" s="116" t="str">
        <f>IF(OR(AY267="",NOT(AV268)),"",IF(AG268=AW268,X272,0)+AY267)</f>
        <v/>
      </c>
      <c r="AZ268" s="116" t="str">
        <f>IF(OR(AZ267="",NOT(AV268)),"",IF(AG269=AW268,X272,0)+AZ267)</f>
        <v/>
      </c>
      <c r="BD268" s="142"/>
      <c r="BI268" s="118"/>
      <c r="BK268" s="99"/>
      <c r="BM268" s="119"/>
    </row>
    <row r="269" spans="1:66" ht="15" customHeight="1" x14ac:dyDescent="0.3">
      <c r="A269" s="864"/>
      <c r="B269" s="7"/>
      <c r="C269" s="106">
        <v>3</v>
      </c>
      <c r="D269" s="137"/>
      <c r="E269" s="107" t="str">
        <f t="shared" si="130"/>
        <v/>
      </c>
      <c r="F269" s="108"/>
      <c r="G269" s="64" t="str">
        <f t="shared" si="131"/>
        <v/>
      </c>
      <c r="H269" s="109"/>
      <c r="I269" s="110" t="str">
        <f t="shared" si="132"/>
        <v/>
      </c>
      <c r="J269" s="111"/>
      <c r="K269" s="112" t="str">
        <f t="shared" si="133"/>
        <v/>
      </c>
      <c r="L269" s="113"/>
      <c r="M269" s="153" t="str">
        <f t="shared" si="138"/>
        <v/>
      </c>
      <c r="N269" s="110"/>
      <c r="O269" s="140"/>
      <c r="P269" s="114"/>
      <c r="Q269" s="114"/>
      <c r="R269" s="114"/>
      <c r="S269" s="114"/>
      <c r="W269" s="15" t="s">
        <v>313</v>
      </c>
      <c r="X269" s="18"/>
      <c r="Y269" s="72"/>
      <c r="Z269" s="72"/>
      <c r="AA269" s="72"/>
      <c r="AB269" s="18"/>
      <c r="AC269" s="18"/>
      <c r="AD269" s="14" t="str">
        <f ca="1">IF(NOT(AJ269),"",IF(X269=$BE$45,VLOOKUP(AA269,INDIRECT(CONCATENATE("rank.",Y269,Z269)),2,FALSE),VLOOKUP(CONCATENATE(AB269,AC269),result.e,2,FALSE)))</f>
        <v/>
      </c>
      <c r="AE269" s="18"/>
      <c r="AF269" s="120" t="str">
        <f ca="1">IF(OR(AD269="",X269=$BE$45),"",VLOOKUP(AD269,INDIRECT(CONCATENATE("rankname.",AE269)),2,FALSE))</f>
        <v/>
      </c>
      <c r="AG269" s="14" t="str">
        <f ca="1">IF(AD269="","",IF(X269=$BE$45,AD269,IF(AF268&gt;AF269,AD268,AD269)))</f>
        <v/>
      </c>
      <c r="AH269" s="120">
        <f>MAX(AZ266:AZ273)</f>
        <v>0</v>
      </c>
      <c r="AJ269" s="21" t="b">
        <f>IF(X269=$BE$45,IF(OR(Y269="",Z269="",AA269=""),FALSE,VLOOKUP(CONCATENATE(Y269,Z269),$BD$59:$BE$63,2,FALSE)),IF(OR(AB269="",AC269="",AE269=""),FALSE,VLOOKUP(CONCATENATE(AB269,"e"),result.e,2,FALSE)))</f>
        <v>0</v>
      </c>
      <c r="AL269" s="18" t="s">
        <v>318</v>
      </c>
      <c r="AP269" s="115" t="b">
        <f>AND(AP268,AL269&lt;&gt;"",(COUNTIF(AP267:AP268,"IGAZ")-COUNTIF(AV267:AV268,"IGAZ"))*X272+MAX(AY266:AZ268)&lt;X271)</f>
        <v>0</v>
      </c>
      <c r="AQ269" s="116" t="str">
        <f>IF(NOT(AP269),"",IF(AL269="p",AG268,AG269))</f>
        <v/>
      </c>
      <c r="AR269" s="117" t="str">
        <f>IF(NOT(AP269),"",IF(AL269="p",AG269,AG268))</f>
        <v/>
      </c>
      <c r="AT269" s="115" t="b">
        <f t="shared" si="134"/>
        <v>0</v>
      </c>
      <c r="AU269" s="115" t="b">
        <f>AND(ASZTAB!$AJ$42,AT269,F269=H269)</f>
        <v>0</v>
      </c>
      <c r="AV269" s="115" t="b">
        <f t="shared" si="135"/>
        <v>0</v>
      </c>
      <c r="AW269" s="116" t="str">
        <f t="shared" si="136"/>
        <v/>
      </c>
      <c r="AX269" s="117" t="str">
        <f t="shared" si="137"/>
        <v/>
      </c>
      <c r="AY269" s="116" t="str">
        <f>IF(OR(AY268="",NOT(AV269)),"",IF(AG268=AW269,X272,0)+AY268)</f>
        <v/>
      </c>
      <c r="AZ269" s="116" t="str">
        <f>IF(OR(AZ268="",NOT(AV269)),"",IF(AG269=AW269,X272,0)+AZ268)</f>
        <v/>
      </c>
      <c r="BD269" s="142"/>
      <c r="BI269" s="118"/>
      <c r="BM269" s="119"/>
      <c r="BN269" s="119"/>
    </row>
    <row r="270" spans="1:66" ht="15" customHeight="1" x14ac:dyDescent="0.3">
      <c r="A270" s="864"/>
      <c r="B270" s="7"/>
      <c r="C270" s="106">
        <v>4</v>
      </c>
      <c r="D270" s="137"/>
      <c r="E270" s="107" t="str">
        <f t="shared" si="130"/>
        <v/>
      </c>
      <c r="F270" s="108"/>
      <c r="G270" s="64" t="str">
        <f t="shared" si="131"/>
        <v/>
      </c>
      <c r="H270" s="109"/>
      <c r="I270" s="110" t="str">
        <f t="shared" si="132"/>
        <v/>
      </c>
      <c r="J270" s="111"/>
      <c r="K270" s="112" t="str">
        <f t="shared" si="133"/>
        <v/>
      </c>
      <c r="L270" s="113"/>
      <c r="M270" s="153" t="str">
        <f t="shared" si="138"/>
        <v/>
      </c>
      <c r="N270" s="110"/>
      <c r="O270" s="140"/>
      <c r="P270" s="114"/>
      <c r="Q270" s="114"/>
      <c r="AL270" s="18" t="s">
        <v>331</v>
      </c>
      <c r="AP270" s="115" t="b">
        <f>AND(AP269,AL270&lt;&gt;"",(COUNTIF(AP267:AP269,"IGAZ")-COUNTIF(AV267:AV269,"IGAZ"))*X272+MAX(AY266:AZ269)&lt;X271)</f>
        <v>0</v>
      </c>
      <c r="AQ270" s="116" t="str">
        <f>IF(NOT(AP270),"",IF(AL270="p",AG268,AG269))</f>
        <v/>
      </c>
      <c r="AR270" s="117" t="str">
        <f>IF(NOT(AP270),"",IF(AL270="p",AG269,AG268))</f>
        <v/>
      </c>
      <c r="AT270" s="115" t="b">
        <f t="shared" si="134"/>
        <v>0</v>
      </c>
      <c r="AU270" s="115" t="b">
        <f>AND(ASZTAB!$AJ$42,AT270,F270=H270)</f>
        <v>0</v>
      </c>
      <c r="AV270" s="115" t="b">
        <f t="shared" si="135"/>
        <v>0</v>
      </c>
      <c r="AW270" s="116" t="str">
        <f t="shared" si="136"/>
        <v/>
      </c>
      <c r="AX270" s="117" t="str">
        <f t="shared" si="137"/>
        <v/>
      </c>
      <c r="AY270" s="116" t="str">
        <f>IF(OR(AY269="",NOT(AV270)),"",IF(AG268=AW270,X272,0)+AY269)</f>
        <v/>
      </c>
      <c r="AZ270" s="116" t="str">
        <f>IF(OR(AZ269="",NOT(AV270)),"",IF(AG269=AW270,X272,0)+AZ269)</f>
        <v/>
      </c>
      <c r="BD270" s="142"/>
      <c r="BI270" s="118"/>
      <c r="BM270" s="119"/>
    </row>
    <row r="271" spans="1:66" ht="15" customHeight="1" x14ac:dyDescent="0.3">
      <c r="A271" s="864"/>
      <c r="B271" s="121"/>
      <c r="C271" s="106">
        <v>5</v>
      </c>
      <c r="D271" s="137"/>
      <c r="E271" s="107" t="str">
        <f t="shared" si="130"/>
        <v/>
      </c>
      <c r="F271" s="108"/>
      <c r="G271" s="64" t="str">
        <f t="shared" si="131"/>
        <v/>
      </c>
      <c r="H271" s="109"/>
      <c r="I271" s="110" t="str">
        <f t="shared" si="132"/>
        <v/>
      </c>
      <c r="J271" s="111"/>
      <c r="K271" s="112" t="str">
        <f t="shared" si="133"/>
        <v/>
      </c>
      <c r="L271" s="113"/>
      <c r="M271" s="153" t="str">
        <f t="shared" si="138"/>
        <v/>
      </c>
      <c r="N271" s="110"/>
      <c r="O271" s="140"/>
      <c r="P271" s="114"/>
      <c r="Q271" s="114"/>
      <c r="R271" s="114"/>
      <c r="S271" s="114"/>
      <c r="W271" s="15" t="s">
        <v>315</v>
      </c>
      <c r="X271" s="18">
        <v>3</v>
      </c>
      <c r="AD271" s="15"/>
      <c r="AE271" s="15" t="s">
        <v>312</v>
      </c>
      <c r="AF271" s="15" t="str">
        <f>CONCATENATE(V265,"f")</f>
        <v>15f</v>
      </c>
      <c r="AG271" s="16" t="str">
        <f>IF(OR(NOT(AJ268),NOT(AJ269)),"",AD268)</f>
        <v/>
      </c>
      <c r="AH271" s="23" t="str">
        <f>IF(OR(NOT(AJ268),NOT(AJ269)),"",VLOOKUP(AG271,AG268:AH269,2,FALSE))</f>
        <v/>
      </c>
      <c r="AL271" s="18" t="s">
        <v>318</v>
      </c>
      <c r="AP271" s="115" t="b">
        <f>AND(AP270,AL271&lt;&gt;"",(COUNTIF(AP267:AP270,"IGAZ")-COUNTIF(AV267:AV270,"IGAZ"))*X272+MAX(AY266:AZ270)&lt;X271)</f>
        <v>0</v>
      </c>
      <c r="AQ271" s="116" t="str">
        <f>IF(NOT(AP271),"",IF(AL271="p",AG268,AG269))</f>
        <v/>
      </c>
      <c r="AR271" s="117" t="str">
        <f>IF(NOT(AP271),"",IF(AL271="p",AG269,AG268))</f>
        <v/>
      </c>
      <c r="AT271" s="115" t="b">
        <f t="shared" si="134"/>
        <v>0</v>
      </c>
      <c r="AU271" s="115" t="b">
        <f>AND(ASZTAB!$AJ$42,AT271,F271=H271)</f>
        <v>0</v>
      </c>
      <c r="AV271" s="115" t="b">
        <f t="shared" si="135"/>
        <v>0</v>
      </c>
      <c r="AW271" s="116" t="str">
        <f t="shared" si="136"/>
        <v/>
      </c>
      <c r="AX271" s="117" t="str">
        <f t="shared" si="137"/>
        <v/>
      </c>
      <c r="AY271" s="116" t="str">
        <f>IF(OR(AY270="",NOT(AV271)),"",IF(AG268=AW271,X272,0)+AY270)</f>
        <v/>
      </c>
      <c r="AZ271" s="116" t="str">
        <f>IF(OR(AZ270="",NOT(AV271)),"",IF(AG269=AW271,X272,0)+AZ270)</f>
        <v/>
      </c>
      <c r="BD271" s="142"/>
      <c r="BI271" s="118"/>
      <c r="BK271" s="119"/>
      <c r="BL271" s="119"/>
      <c r="BM271" s="119"/>
    </row>
    <row r="272" spans="1:66" ht="15" customHeight="1" x14ac:dyDescent="0.3">
      <c r="A272" s="864"/>
      <c r="B272" s="122"/>
      <c r="C272" s="106">
        <v>6</v>
      </c>
      <c r="D272" s="137"/>
      <c r="E272" s="107" t="str">
        <f t="shared" si="130"/>
        <v/>
      </c>
      <c r="F272" s="108"/>
      <c r="G272" s="64" t="str">
        <f t="shared" si="131"/>
        <v/>
      </c>
      <c r="H272" s="109"/>
      <c r="I272" s="110" t="str">
        <f t="shared" si="132"/>
        <v/>
      </c>
      <c r="J272" s="111"/>
      <c r="K272" s="112" t="str">
        <f t="shared" si="133"/>
        <v/>
      </c>
      <c r="L272" s="113"/>
      <c r="M272" s="8" t="str">
        <f t="shared" si="138"/>
        <v/>
      </c>
      <c r="N272" s="123"/>
      <c r="O272" s="141"/>
      <c r="W272" s="15" t="s">
        <v>327</v>
      </c>
      <c r="X272" s="18">
        <v>1</v>
      </c>
      <c r="AD272" s="15"/>
      <c r="AE272" s="15" t="s">
        <v>313</v>
      </c>
      <c r="AF272" s="15" t="str">
        <f>CONCATENATE(V265,"a")</f>
        <v>15a</v>
      </c>
      <c r="AG272" s="16" t="str">
        <f>IF(OR(NOT(AJ268),NOT(AJ269)),"",AD269)</f>
        <v/>
      </c>
      <c r="AH272" s="23" t="str">
        <f>IF(OR(NOT(AJ268),NOT(AJ269)),"",VLOOKUP(AG272,AG268:AH269,2,FALSE))</f>
        <v/>
      </c>
      <c r="AL272" s="18" t="s">
        <v>331</v>
      </c>
      <c r="AP272" s="115" t="b">
        <f>AND(AP271,AL272&lt;&gt;"",(COUNTIF(AP267:AP271,"IGAZ")-COUNTIF(AV267:AV271,"IGAZ"))*X272+MAX(AY266:AZ271)&lt;X271)</f>
        <v>0</v>
      </c>
      <c r="AQ272" s="116" t="str">
        <f>IF(NOT(AP272),"",IF(AL272="p",AG268,AG269))</f>
        <v/>
      </c>
      <c r="AR272" s="117" t="str">
        <f>IF(NOT(AP272),"",IF(AL272="p",AG269,AG268))</f>
        <v/>
      </c>
      <c r="AT272" s="115" t="b">
        <f t="shared" si="134"/>
        <v>0</v>
      </c>
      <c r="AU272" s="115" t="b">
        <f>AND(ASZTAB!$AJ$42,AT272,F272=H272)</f>
        <v>0</v>
      </c>
      <c r="AV272" s="115" t="b">
        <f t="shared" si="135"/>
        <v>0</v>
      </c>
      <c r="AW272" s="116" t="str">
        <f t="shared" si="136"/>
        <v/>
      </c>
      <c r="AX272" s="117" t="str">
        <f t="shared" si="137"/>
        <v/>
      </c>
      <c r="AY272" s="116" t="str">
        <f>IF(OR(AY271="",NOT(AV272)),"",IF(AG268=AW272,X272,0)+AY271)</f>
        <v/>
      </c>
      <c r="AZ272" s="116" t="str">
        <f>IF(OR(AZ271="",NOT(AV272)),"",IF(AG269=AW272,X272,0)+AZ271)</f>
        <v/>
      </c>
      <c r="BD272" s="142"/>
      <c r="BI272" s="118"/>
      <c r="BK272" s="119"/>
      <c r="BL272" s="119"/>
      <c r="BM272" s="119"/>
    </row>
    <row r="273" spans="1:66" ht="15" customHeight="1" x14ac:dyDescent="0.3">
      <c r="A273" s="864"/>
      <c r="B273" s="122"/>
      <c r="C273" s="106">
        <v>7</v>
      </c>
      <c r="D273" s="137"/>
      <c r="E273" s="107" t="str">
        <f t="shared" si="130"/>
        <v/>
      </c>
      <c r="F273" s="108"/>
      <c r="G273" s="64" t="str">
        <f t="shared" si="131"/>
        <v/>
      </c>
      <c r="H273" s="109"/>
      <c r="I273" s="110" t="str">
        <f t="shared" si="132"/>
        <v/>
      </c>
      <c r="J273" s="111"/>
      <c r="K273" s="112" t="str">
        <f t="shared" si="133"/>
        <v/>
      </c>
      <c r="L273" s="113"/>
      <c r="M273" s="8" t="str">
        <f t="shared" si="138"/>
        <v/>
      </c>
      <c r="N273" s="123"/>
      <c r="O273" s="141"/>
      <c r="AE273" s="15" t="s">
        <v>316</v>
      </c>
      <c r="AF273" s="15" t="str">
        <f>CONCATENATE(V265,"w")</f>
        <v>15w</v>
      </c>
      <c r="AG273" s="16" t="str">
        <f>IF(AND(AJ268,AJ269),IF(MAX(AY267:AY273)&gt;=X271,AG268,IF(MAX(AZ267:AZ273)&gt;=X271,AG269,"")),"")</f>
        <v/>
      </c>
      <c r="AL273" s="18" t="s">
        <v>318</v>
      </c>
      <c r="AP273" s="115" t="b">
        <f>AND(AP272,AL273&lt;&gt;"",(COUNTIF(AP267:AP272,"IGAZ")-COUNTIF(AV267:AV272,"IGAZ"))*X272+MAX(AY266:AZ272)&lt;X271)</f>
        <v>0</v>
      </c>
      <c r="AQ273" s="116" t="str">
        <f>IF(NOT(AP273),"",IF(AL273="p",AG268,AG269))</f>
        <v/>
      </c>
      <c r="AR273" s="117" t="str">
        <f>IF(NOT(AP273),"",IF(AL273="p",AG269,AG268))</f>
        <v/>
      </c>
      <c r="AT273" s="115" t="b">
        <f t="shared" si="134"/>
        <v>0</v>
      </c>
      <c r="AU273" s="115" t="b">
        <f>AND(ASZTAB!$AJ$42,AT273,F273=H273)</f>
        <v>0</v>
      </c>
      <c r="AV273" s="115" t="b">
        <f t="shared" si="135"/>
        <v>0</v>
      </c>
      <c r="AW273" s="116" t="str">
        <f t="shared" si="136"/>
        <v/>
      </c>
      <c r="AX273" s="117" t="str">
        <f t="shared" si="137"/>
        <v/>
      </c>
      <c r="AY273" s="116" t="str">
        <f>IF(OR(AY272="",NOT(AV273)),"",IF(AG268=AW273,X272,0)+AY272)</f>
        <v/>
      </c>
      <c r="AZ273" s="116" t="str">
        <f>IF(OR(AZ272="",NOT(AV273)),"",IF(AG269=AW273,X272,0)+AZ272)</f>
        <v/>
      </c>
      <c r="BD273" s="142"/>
      <c r="BI273" s="118"/>
      <c r="BK273" s="119"/>
      <c r="BL273" s="119"/>
      <c r="BM273" s="119"/>
      <c r="BN273" s="119"/>
    </row>
    <row r="274" spans="1:66" ht="15" customHeight="1" x14ac:dyDescent="0.3">
      <c r="A274" s="864"/>
      <c r="B274" s="122"/>
      <c r="C274" s="106"/>
      <c r="D274" s="123"/>
      <c r="E274" s="124"/>
      <c r="F274" s="125"/>
      <c r="G274" s="123"/>
      <c r="H274" s="114"/>
      <c r="I274" s="123"/>
      <c r="J274" s="125"/>
      <c r="K274" s="123"/>
      <c r="L274" s="114"/>
      <c r="M274" s="123"/>
      <c r="N274" s="123"/>
      <c r="O274" s="123"/>
      <c r="AE274" s="15" t="s">
        <v>317</v>
      </c>
      <c r="AF274" s="15" t="str">
        <f>CONCATENATE(V265,"l")</f>
        <v>15l</v>
      </c>
      <c r="AG274" s="16" t="str">
        <f ca="1">IF(AG273=AG268,AG269,IF(AG269=AG273,AG268,""))</f>
        <v/>
      </c>
      <c r="AL274" s="126" t="s">
        <v>330</v>
      </c>
      <c r="BD274" s="142"/>
      <c r="BI274" s="118"/>
      <c r="BK274" s="119"/>
      <c r="BL274" s="119"/>
      <c r="BM274" s="119"/>
      <c r="BN274" s="119"/>
    </row>
    <row r="275" spans="1:66" ht="15" customHeight="1" x14ac:dyDescent="0.3">
      <c r="A275" s="864"/>
      <c r="B275" s="122"/>
      <c r="C275" s="127" t="s">
        <v>463</v>
      </c>
      <c r="D275" s="123"/>
      <c r="E275" s="124"/>
      <c r="F275" s="125"/>
      <c r="G275" s="123"/>
      <c r="H275" s="114"/>
      <c r="I275" s="123"/>
      <c r="J275" s="125"/>
      <c r="K275" s="123"/>
      <c r="L275" s="114"/>
      <c r="M275" s="123"/>
      <c r="N275" s="123"/>
      <c r="O275" s="123"/>
      <c r="Y275" s="11" t="s">
        <v>294</v>
      </c>
      <c r="Z275" s="70" t="s">
        <v>311</v>
      </c>
      <c r="AA275" s="70" t="s">
        <v>153</v>
      </c>
      <c r="AB275" s="70" t="s">
        <v>153</v>
      </c>
      <c r="AE275" s="15" t="s">
        <v>287</v>
      </c>
      <c r="AF275" s="15" t="str">
        <f>CONCATENATE(V265,"e")</f>
        <v>15e</v>
      </c>
      <c r="AG275" s="21" t="b">
        <f ca="1">AND(AG273&lt;&gt;"",AG274&lt;&gt;"")</f>
        <v>0</v>
      </c>
      <c r="BD275" s="15"/>
      <c r="BI275" s="118"/>
      <c r="BK275" s="119"/>
      <c r="BL275" s="119"/>
      <c r="BM275" s="119"/>
      <c r="BN275" s="119"/>
    </row>
    <row r="276" spans="1:66" ht="15" customHeight="1" x14ac:dyDescent="0.3">
      <c r="A276" s="864"/>
      <c r="B276" s="122"/>
      <c r="C276" s="865"/>
      <c r="D276" s="865"/>
      <c r="E276" s="865"/>
      <c r="F276" s="865"/>
      <c r="G276" s="865"/>
      <c r="H276" s="865"/>
      <c r="I276" s="865"/>
      <c r="J276" s="865"/>
      <c r="K276" s="865"/>
      <c r="L276" s="865"/>
      <c r="M276" s="865"/>
      <c r="N276" s="865"/>
      <c r="O276" s="865"/>
      <c r="W276" s="15" t="s">
        <v>319</v>
      </c>
      <c r="X276" s="18" t="b">
        <v>0</v>
      </c>
      <c r="Y276" s="72" t="s">
        <v>289</v>
      </c>
      <c r="Z276" s="16" t="str">
        <f ca="1">IF(AND(AJ268,AJ269,X276,Y276&lt;&gt;""),CONCATENATE(VLOOKUP(CONCATENATE(AG268,AG269),INDIRECT(CONCATENATE("games.",Y276)),9,FALSE),VLOOKUP(CONCATENATE(AG268,AG269),INDIRECT(CONCATENATE("games.",Y276)),12,FALSE)),"")</f>
        <v/>
      </c>
      <c r="AA276" s="16" t="str">
        <f ca="1">IF(AND(AJ268,AJ269,X276,Y276&lt;&gt;""),VLOOKUP(CONCATENATE(AG268,AG269),INDIRECT(CONCATENATE("games.",Y276)),10,FALSE),"")</f>
        <v/>
      </c>
      <c r="AB276" s="54" t="str">
        <f ca="1">IF(AND(AJ268,AJ269,X276,Y276&lt;&gt;""),VLOOKUP(CONCATENATE(AG268,AG269),INDIRECT(CONCATENATE("games.",Y276)),13,FALSE),"")</f>
        <v/>
      </c>
      <c r="BD276" s="15"/>
      <c r="BI276" s="118"/>
      <c r="BK276" s="119"/>
      <c r="BL276" s="119"/>
      <c r="BM276" s="119"/>
      <c r="BN276" s="119"/>
    </row>
    <row r="277" spans="1:66" ht="15" customHeight="1" x14ac:dyDescent="0.3">
      <c r="A277" s="864"/>
      <c r="B277" s="122"/>
      <c r="C277" s="866"/>
      <c r="D277" s="866"/>
      <c r="E277" s="866"/>
      <c r="F277" s="866"/>
      <c r="G277" s="866"/>
      <c r="H277" s="866"/>
      <c r="I277" s="866"/>
      <c r="J277" s="866"/>
      <c r="K277" s="866"/>
      <c r="L277" s="866"/>
      <c r="M277" s="866"/>
      <c r="N277" s="866"/>
      <c r="O277" s="866"/>
      <c r="Z277" s="16" t="str">
        <f ca="1">IF(AND(AJ268,AJ269,X276,Y276&lt;&gt;""),CONCATENATE(VLOOKUP(CONCATENATE(AG269,AG268),INDIRECT(CONCATENATE("games.",Y276)),9,FALSE),VLOOKUP(CONCATENATE(AG269,AG268),INDIRECT(CONCATENATE("games.",Y276)),12,FALSE)),"")</f>
        <v/>
      </c>
      <c r="AA277" s="16" t="str">
        <f ca="1">IF(AND(AJ268,AJ269,X276,Y276&lt;&gt;""),VLOOKUP(CONCATENATE(AG269,AG268),INDIRECT(CONCATENATE("games.",Y276)),10,FALSE),"")</f>
        <v/>
      </c>
      <c r="AB277" s="54" t="str">
        <f ca="1">IF(AND(AJ268,AJ269,X276,Y276&lt;&gt;""),VLOOKUP(CONCATENATE(AG269,AG268),INDIRECT(CONCATENATE("games.",Y276)),13,FALSE),"")</f>
        <v/>
      </c>
      <c r="BD277" s="15"/>
      <c r="BI277" s="118"/>
      <c r="BK277" s="119"/>
      <c r="BL277" s="119"/>
      <c r="BM277" s="119"/>
      <c r="BN277" s="119"/>
    </row>
    <row r="278" spans="1:66" ht="15" customHeight="1" x14ac:dyDescent="0.3">
      <c r="A278" s="864"/>
      <c r="B278" s="122"/>
      <c r="C278" s="866"/>
      <c r="D278" s="866"/>
      <c r="E278" s="866"/>
      <c r="F278" s="866"/>
      <c r="G278" s="866"/>
      <c r="H278" s="866"/>
      <c r="I278" s="866"/>
      <c r="J278" s="866"/>
      <c r="K278" s="866"/>
      <c r="L278" s="866"/>
      <c r="M278" s="866"/>
      <c r="N278" s="866"/>
      <c r="O278" s="866"/>
      <c r="BD278" s="15"/>
      <c r="BI278" s="118"/>
      <c r="BK278" s="119"/>
      <c r="BL278" s="119"/>
      <c r="BM278" s="119"/>
      <c r="BN278" s="119"/>
    </row>
    <row r="279" spans="1:66" ht="15" customHeight="1" x14ac:dyDescent="0.3">
      <c r="A279" s="864"/>
      <c r="B279" s="122"/>
      <c r="C279" s="106"/>
      <c r="D279" s="123"/>
      <c r="E279" s="124"/>
      <c r="F279" s="125"/>
      <c r="G279" s="123"/>
      <c r="H279" s="114"/>
      <c r="I279" s="123"/>
      <c r="J279" s="125"/>
      <c r="K279" s="123"/>
      <c r="L279" s="114"/>
      <c r="M279" s="123"/>
      <c r="N279" s="123"/>
      <c r="O279" s="123"/>
      <c r="U279" s="10"/>
      <c r="V279" s="128"/>
      <c r="W279" s="129"/>
      <c r="X279" s="10"/>
      <c r="Y279" s="130"/>
      <c r="Z279" s="130"/>
      <c r="AA279" s="130"/>
      <c r="AB279" s="130"/>
      <c r="AC279" s="130"/>
      <c r="AD279" s="130"/>
      <c r="AE279" s="130"/>
      <c r="AF279" s="130"/>
      <c r="AG279" s="130"/>
      <c r="AH279" s="130"/>
      <c r="AI279" s="130"/>
      <c r="AJ279" s="130"/>
      <c r="AK279" s="130"/>
      <c r="AL279" s="130"/>
      <c r="AM279" s="10"/>
      <c r="AO279" s="131"/>
      <c r="AP279" s="131"/>
      <c r="AQ279" s="132"/>
      <c r="AR279" s="132"/>
      <c r="AS279" s="132"/>
      <c r="AT279" s="131"/>
      <c r="AU279" s="131"/>
      <c r="AV279" s="131"/>
      <c r="AW279" s="132"/>
      <c r="AX279" s="132"/>
      <c r="AY279" s="131"/>
      <c r="AZ279" s="131"/>
      <c r="BA279" s="131"/>
      <c r="BD279" s="15"/>
      <c r="BI279" s="118"/>
      <c r="BK279" s="119"/>
      <c r="BL279" s="119"/>
      <c r="BM279" s="119"/>
      <c r="BN279" s="119"/>
    </row>
    <row r="280" spans="1:66" ht="15" customHeight="1" x14ac:dyDescent="0.3">
      <c r="A280" s="864"/>
      <c r="B280" s="88"/>
      <c r="C280" s="89"/>
      <c r="D280" s="90"/>
      <c r="BI280" s="118"/>
      <c r="BM280" s="119"/>
    </row>
    <row r="281" spans="1:66" ht="15" customHeight="1" x14ac:dyDescent="0.3">
      <c r="A281" s="864"/>
      <c r="B281" s="147"/>
      <c r="C281" s="149">
        <f>V281</f>
        <v>16</v>
      </c>
      <c r="D281" s="150" t="str">
        <f>UPPER(W281)</f>
        <v/>
      </c>
      <c r="E281" s="151"/>
      <c r="F281" s="151"/>
      <c r="G281" s="151"/>
      <c r="H281" s="151"/>
      <c r="I281" s="151"/>
      <c r="J281" s="151"/>
      <c r="K281" s="151"/>
      <c r="L281" s="151"/>
      <c r="M281" s="138"/>
      <c r="N281" s="151"/>
      <c r="O281" s="161" t="str">
        <f ca="1">IF(NOT(AG291),"","A PÁRHARC GYŐZTESE: "&amp;UPPER(AG289))</f>
        <v/>
      </c>
      <c r="P281" s="152" t="str">
        <f>IF(NOT(Y289),"",CONCATENATE("A PÁRHARC GYŐZTESE: ",AH287," "))</f>
        <v/>
      </c>
      <c r="Q281" s="148" t="str">
        <f>IF(NOT(Z289),"",CONCATENATE("A PÁRHARC GYŐZTESE: ",AJ287," "))</f>
        <v/>
      </c>
      <c r="R281" s="148" t="str">
        <f>IF(NOT(AA289),"",CONCATENATE("A PÁRHARC GYŐZTESE: ",AK287," "))</f>
        <v/>
      </c>
      <c r="S281" s="148" t="str">
        <f>IF(NOT(AB289),"",CONCATENATE("A PÁRHARC GYŐZTESE: ",AL287," "))</f>
        <v/>
      </c>
      <c r="V281" s="21">
        <f>V265+1</f>
        <v>16</v>
      </c>
      <c r="W281" s="95"/>
      <c r="X281" s="96"/>
      <c r="Y281" s="96"/>
      <c r="Z281" s="96"/>
      <c r="AA281" s="96"/>
      <c r="AB281" s="96"/>
      <c r="AC281" s="96"/>
      <c r="AD281" s="96"/>
      <c r="AE281" s="96"/>
      <c r="AF281" s="96"/>
      <c r="AG281" s="96"/>
      <c r="AH281" s="96"/>
      <c r="AI281" s="96"/>
      <c r="AJ281" s="96"/>
      <c r="AK281" s="96"/>
      <c r="AL281" s="97"/>
      <c r="AY281" s="13" t="s">
        <v>326</v>
      </c>
      <c r="AZ281" s="13" t="s">
        <v>325</v>
      </c>
      <c r="BD281" s="142"/>
      <c r="BH281" s="98"/>
      <c r="BI281" s="118"/>
      <c r="BJ281" s="98"/>
      <c r="BK281" s="99"/>
      <c r="BL281" s="99"/>
      <c r="BM281" s="119"/>
    </row>
    <row r="282" spans="1:66" ht="11.25" customHeight="1" x14ac:dyDescent="0.3">
      <c r="A282" s="864"/>
      <c r="C282" s="101"/>
      <c r="D282" s="102"/>
      <c r="E282" s="103"/>
      <c r="F282" s="58"/>
      <c r="G282" s="104"/>
      <c r="H282" s="60"/>
      <c r="I282" s="146"/>
      <c r="J282" s="107"/>
      <c r="K282" s="160" t="str">
        <f>IF(OR(AU283,AU284,AU285,AU286,AU287,AU288,AU289),"BÜNTETŐK","")</f>
        <v/>
      </c>
      <c r="L282" s="110"/>
      <c r="M282" s="158" t="s">
        <v>286</v>
      </c>
      <c r="N282" s="159"/>
      <c r="O282" s="158" t="s">
        <v>285</v>
      </c>
      <c r="AP282" s="105" t="s">
        <v>328</v>
      </c>
      <c r="AQ282" s="12" t="s">
        <v>138</v>
      </c>
      <c r="AR282" s="12" t="s">
        <v>139</v>
      </c>
      <c r="AT282" s="105" t="s">
        <v>320</v>
      </c>
      <c r="AU282" s="105" t="s">
        <v>321</v>
      </c>
      <c r="AV282" s="105" t="s">
        <v>324</v>
      </c>
      <c r="AW282" s="12" t="s">
        <v>322</v>
      </c>
      <c r="AX282" s="12" t="s">
        <v>323</v>
      </c>
      <c r="AY282" s="116">
        <f>IF(X292,COUNTIF(Z292:Z293,AG284)*ASZTAB!$AJ$48+COUNTIF(AA292:AB293,AG284),0)</f>
        <v>0</v>
      </c>
      <c r="AZ282" s="116">
        <f>IF(X292,COUNTIF(Z292:Z293,AG285)*ASZTAB!$AJ$48+COUNTIF(AA292:AB293,AG285),0)</f>
        <v>0</v>
      </c>
      <c r="BD282" s="142"/>
      <c r="BH282" s="98"/>
      <c r="BI282" s="118"/>
      <c r="BJ282" s="98"/>
      <c r="BK282" s="99"/>
      <c r="BL282" s="99"/>
      <c r="BM282" s="119"/>
    </row>
    <row r="283" spans="1:66" ht="15" customHeight="1" x14ac:dyDescent="0.3">
      <c r="A283" s="864"/>
      <c r="B283" s="7"/>
      <c r="C283" s="106">
        <v>1</v>
      </c>
      <c r="D283" s="137"/>
      <c r="E283" s="107" t="str">
        <f t="shared" ref="E283:E289" si="139">IF(NOT($AP283),"",AQ283)</f>
        <v/>
      </c>
      <c r="F283" s="108"/>
      <c r="G283" s="64" t="str">
        <f t="shared" ref="G283:G289" si="140">IF(NOT($AP283),"","–")</f>
        <v/>
      </c>
      <c r="H283" s="109"/>
      <c r="I283" s="110" t="str">
        <f t="shared" ref="I283:I289" si="141">IF(NOT($AP283),"",AR283)</f>
        <v/>
      </c>
      <c r="J283" s="111"/>
      <c r="K283" s="112" t="str">
        <f t="shared" ref="K283:K289" si="142">IF(AU283,"–","")</f>
        <v/>
      </c>
      <c r="L283" s="113"/>
      <c r="M283" s="153" t="str">
        <f>IF(OR(AL283="",NOT(AV283)),"",IF(AL283="p",CONCATENATE(AY283,"–",AZ283),CONCATENATE(AZ283,"–",AY283)))</f>
        <v/>
      </c>
      <c r="N283" s="110"/>
      <c r="O283" s="139"/>
      <c r="P283" s="114"/>
      <c r="Q283" s="114"/>
      <c r="R283" s="114"/>
      <c r="S283" s="114"/>
      <c r="X283" s="11" t="s">
        <v>306</v>
      </c>
      <c r="Y283" s="11" t="s">
        <v>294</v>
      </c>
      <c r="Z283" s="70" t="s">
        <v>295</v>
      </c>
      <c r="AA283" s="70" t="s">
        <v>127</v>
      </c>
      <c r="AB283" s="70" t="s">
        <v>301</v>
      </c>
      <c r="AC283" s="70" t="s">
        <v>302</v>
      </c>
      <c r="AD283" s="70" t="s">
        <v>332</v>
      </c>
      <c r="AE283" s="70" t="s">
        <v>333</v>
      </c>
      <c r="AF283" s="70" t="s">
        <v>329</v>
      </c>
      <c r="AG283" s="70" t="s">
        <v>303</v>
      </c>
      <c r="AH283" s="70" t="s">
        <v>293</v>
      </c>
      <c r="AJ283" s="71" t="s">
        <v>314</v>
      </c>
      <c r="AL283" s="18" t="s">
        <v>318</v>
      </c>
      <c r="AP283" s="115" t="b">
        <f>AND(AJ284,AJ285,AL283&lt;&gt;"")</f>
        <v>0</v>
      </c>
      <c r="AQ283" s="116" t="str">
        <f>IF(NOT(AP283),"",IF(AL283="p",AG284,AG285))</f>
        <v/>
      </c>
      <c r="AR283" s="117" t="str">
        <f>IF(NOT(AP283),"",IF(AL283="p",AG285,AG284))</f>
        <v/>
      </c>
      <c r="AT283" s="115" t="b">
        <f t="shared" ref="AT283:AT289" si="143">AND(F283&lt;&gt;"",H283&lt;&gt;"",AP283)</f>
        <v>0</v>
      </c>
      <c r="AU283" s="115" t="b">
        <f>AND(ASZTAB!$AJ$42,AT283,F283=H283)</f>
        <v>0</v>
      </c>
      <c r="AV283" s="115" t="b">
        <f t="shared" ref="AV283:AV289" si="144">OR(AND(AT283,NOT(AU283),F283&lt;&gt;H283),AND(AT283,AU283,J283&lt;&gt;"",L283&lt;&gt;"",J283&lt;&gt;L283))</f>
        <v>0</v>
      </c>
      <c r="AW283" s="116" t="str">
        <f t="shared" ref="AW283:AW289" si="145">IF(NOT(AV283),"",IF(AU283,IF(F283+J283&gt;H283+L283,E283,I283),IF(F283&gt;H283,E283,I283)))</f>
        <v/>
      </c>
      <c r="AX283" s="117" t="str">
        <f t="shared" ref="AX283:AX289" si="146">IF(NOT(AV283),"",IF(AW283=E283,I283,IF(AW283=I283,E283,"")))</f>
        <v/>
      </c>
      <c r="AY283" s="116" t="str">
        <f>IF(NOT(AV283),"",IF(AG284=AW283,X288,0)+AY282)</f>
        <v/>
      </c>
      <c r="AZ283" s="116" t="str">
        <f>IF(NOT(AV283),"",IF(AG285=AW283,X288,0)+AZ282)</f>
        <v/>
      </c>
      <c r="BD283" s="142"/>
      <c r="BI283" s="118"/>
      <c r="BK283" s="99"/>
      <c r="BL283" s="119"/>
      <c r="BM283" s="119"/>
    </row>
    <row r="284" spans="1:66" ht="15" customHeight="1" x14ac:dyDescent="0.3">
      <c r="A284" s="864"/>
      <c r="B284" s="7"/>
      <c r="C284" s="106">
        <v>2</v>
      </c>
      <c r="D284" s="137"/>
      <c r="E284" s="107" t="str">
        <f t="shared" si="139"/>
        <v/>
      </c>
      <c r="F284" s="108"/>
      <c r="G284" s="64" t="str">
        <f t="shared" si="140"/>
        <v/>
      </c>
      <c r="H284" s="109"/>
      <c r="I284" s="110" t="str">
        <f t="shared" si="141"/>
        <v/>
      </c>
      <c r="J284" s="111"/>
      <c r="K284" s="112" t="str">
        <f t="shared" si="142"/>
        <v/>
      </c>
      <c r="L284" s="113"/>
      <c r="M284" s="153" t="str">
        <f t="shared" ref="M284:M289" si="147">IF(OR(AL284="",NOT(AV284)),"",IF(AL284="p",CONCATENATE(AY284,"–",AZ284),CONCATENATE(AZ284,"–",AY284)))</f>
        <v/>
      </c>
      <c r="N284" s="110"/>
      <c r="O284" s="140"/>
      <c r="P284" s="114"/>
      <c r="Q284" s="114"/>
      <c r="R284" s="114"/>
      <c r="S284" s="114"/>
      <c r="W284" s="15" t="s">
        <v>312</v>
      </c>
      <c r="X284" s="18"/>
      <c r="Y284" s="72"/>
      <c r="Z284" s="72"/>
      <c r="AA284" s="72"/>
      <c r="AB284" s="18"/>
      <c r="AC284" s="18"/>
      <c r="AD284" s="14" t="str">
        <f ca="1">IF(NOT(AJ284),"",IF(X284=$BE$45,VLOOKUP(AA284,INDIRECT(CONCATENATE("rank.",Y284,Z284)),2,FALSE),VLOOKUP(CONCATENATE(AB284,AC284),result.e,2,FALSE)))</f>
        <v/>
      </c>
      <c r="AE284" s="18"/>
      <c r="AF284" s="120" t="str">
        <f ca="1">IF(OR(AD284="",X284=$BE$45),"",VLOOKUP(AD284,INDIRECT(CONCATENATE("rankname.",AE284)),2,FALSE))</f>
        <v/>
      </c>
      <c r="AG284" s="14" t="str">
        <f ca="1">IF(AD284="","",IF(X284=$BE$45,AD284,IF(AF284&gt;AF285,AD285,AD284)))</f>
        <v/>
      </c>
      <c r="AH284" s="120">
        <f>MAX(AY282:AY289)</f>
        <v>0</v>
      </c>
      <c r="AJ284" s="21" t="b">
        <f>IF(X284=$BE$45,IF(OR(Y284="",Z284="",AA284=""),FALSE,VLOOKUP(CONCATENATE(Y284,Z284),$BD$59:$BE$63,2,FALSE)),IF(OR(AB284="",AC284="",AE284=""),FALSE,VLOOKUP(CONCATENATE(AB284,"e"),result.e,2,FALSE)))</f>
        <v>0</v>
      </c>
      <c r="AL284" s="18" t="s">
        <v>331</v>
      </c>
      <c r="AP284" s="115" t="b">
        <f>AND(AP283,AL284&lt;&gt;"",(COUNTIF(AP283:AP283,"IGAZ")-COUNTIF(AV283:AV283,"IGAZ"))*X288+MAX(AY282:AZ283)&lt;X287)</f>
        <v>0</v>
      </c>
      <c r="AQ284" s="116" t="str">
        <f>IF(NOT(AP284),"",IF(AL284="p",AG284,AG285))</f>
        <v/>
      </c>
      <c r="AR284" s="117" t="str">
        <f>IF(NOT(AP284),"",IF(AL284="p",AG285,AG284))</f>
        <v/>
      </c>
      <c r="AT284" s="115" t="b">
        <f t="shared" si="143"/>
        <v>0</v>
      </c>
      <c r="AU284" s="115" t="b">
        <f>AND(ASZTAB!$AJ$42,AT284,F284=H284)</f>
        <v>0</v>
      </c>
      <c r="AV284" s="115" t="b">
        <f t="shared" si="144"/>
        <v>0</v>
      </c>
      <c r="AW284" s="116" t="str">
        <f t="shared" si="145"/>
        <v/>
      </c>
      <c r="AX284" s="117" t="str">
        <f t="shared" si="146"/>
        <v/>
      </c>
      <c r="AY284" s="116" t="str">
        <f>IF(OR(AY283="",NOT(AV284)),"",IF(AG284=AW284,X288,0)+AY283)</f>
        <v/>
      </c>
      <c r="AZ284" s="116" t="str">
        <f>IF(OR(AZ283="",NOT(AV284)),"",IF(AG285=AW284,X288,0)+AZ283)</f>
        <v/>
      </c>
      <c r="BD284" s="142"/>
      <c r="BI284" s="118"/>
      <c r="BK284" s="99"/>
      <c r="BM284" s="119"/>
    </row>
    <row r="285" spans="1:66" ht="15" customHeight="1" x14ac:dyDescent="0.3">
      <c r="A285" s="864"/>
      <c r="B285" s="7"/>
      <c r="C285" s="106">
        <v>3</v>
      </c>
      <c r="D285" s="137"/>
      <c r="E285" s="107" t="str">
        <f t="shared" si="139"/>
        <v/>
      </c>
      <c r="F285" s="108"/>
      <c r="G285" s="64" t="str">
        <f t="shared" si="140"/>
        <v/>
      </c>
      <c r="H285" s="109"/>
      <c r="I285" s="110" t="str">
        <f t="shared" si="141"/>
        <v/>
      </c>
      <c r="J285" s="111"/>
      <c r="K285" s="112" t="str">
        <f t="shared" si="142"/>
        <v/>
      </c>
      <c r="L285" s="113"/>
      <c r="M285" s="153" t="str">
        <f t="shared" si="147"/>
        <v/>
      </c>
      <c r="N285" s="110"/>
      <c r="O285" s="140"/>
      <c r="P285" s="114"/>
      <c r="Q285" s="114"/>
      <c r="R285" s="114"/>
      <c r="S285" s="114"/>
      <c r="W285" s="15" t="s">
        <v>313</v>
      </c>
      <c r="X285" s="18"/>
      <c r="Y285" s="72"/>
      <c r="Z285" s="72"/>
      <c r="AA285" s="72"/>
      <c r="AB285" s="18"/>
      <c r="AC285" s="18"/>
      <c r="AD285" s="14" t="str">
        <f ca="1">IF(NOT(AJ285),"",IF(X285=$BE$45,VLOOKUP(AA285,INDIRECT(CONCATENATE("rank.",Y285,Z285)),2,FALSE),VLOOKUP(CONCATENATE(AB285,AC285),result.e,2,FALSE)))</f>
        <v/>
      </c>
      <c r="AE285" s="18"/>
      <c r="AF285" s="120" t="str">
        <f ca="1">IF(OR(AD285="",X285=$BE$45),"",VLOOKUP(AD285,INDIRECT(CONCATENATE("rankname.",AE285)),2,FALSE))</f>
        <v/>
      </c>
      <c r="AG285" s="14" t="str">
        <f ca="1">IF(AD285="","",IF(X285=$BE$45,AD285,IF(AF284&gt;AF285,AD284,AD285)))</f>
        <v/>
      </c>
      <c r="AH285" s="120">
        <f>MAX(AZ282:AZ289)</f>
        <v>0</v>
      </c>
      <c r="AJ285" s="21" t="b">
        <f>IF(X285=$BE$45,IF(OR(Y285="",Z285="",AA285=""),FALSE,VLOOKUP(CONCATENATE(Y285,Z285),$BD$59:$BE$63,2,FALSE)),IF(OR(AB285="",AC285="",AE285=""),FALSE,VLOOKUP(CONCATENATE(AB285,"e"),result.e,2,FALSE)))</f>
        <v>0</v>
      </c>
      <c r="AL285" s="18" t="s">
        <v>318</v>
      </c>
      <c r="AP285" s="115" t="b">
        <f>AND(AP284,AL285&lt;&gt;"",(COUNTIF(AP283:AP284,"IGAZ")-COUNTIF(AV283:AV284,"IGAZ"))*X288+MAX(AY282:AZ284)&lt;X287)</f>
        <v>0</v>
      </c>
      <c r="AQ285" s="116" t="str">
        <f>IF(NOT(AP285),"",IF(AL285="p",AG284,AG285))</f>
        <v/>
      </c>
      <c r="AR285" s="117" t="str">
        <f>IF(NOT(AP285),"",IF(AL285="p",AG285,AG284))</f>
        <v/>
      </c>
      <c r="AT285" s="115" t="b">
        <f t="shared" si="143"/>
        <v>0</v>
      </c>
      <c r="AU285" s="115" t="b">
        <f>AND(ASZTAB!$AJ$42,AT285,F285=H285)</f>
        <v>0</v>
      </c>
      <c r="AV285" s="115" t="b">
        <f t="shared" si="144"/>
        <v>0</v>
      </c>
      <c r="AW285" s="116" t="str">
        <f t="shared" si="145"/>
        <v/>
      </c>
      <c r="AX285" s="117" t="str">
        <f t="shared" si="146"/>
        <v/>
      </c>
      <c r="AY285" s="116" t="str">
        <f>IF(OR(AY284="",NOT(AV285)),"",IF(AG284=AW285,X288,0)+AY284)</f>
        <v/>
      </c>
      <c r="AZ285" s="116" t="str">
        <f>IF(OR(AZ284="",NOT(AV285)),"",IF(AG285=AW285,X288,0)+AZ284)</f>
        <v/>
      </c>
      <c r="BD285" s="142"/>
      <c r="BI285" s="118"/>
      <c r="BM285" s="119"/>
      <c r="BN285" s="119"/>
    </row>
    <row r="286" spans="1:66" ht="15" customHeight="1" x14ac:dyDescent="0.3">
      <c r="A286" s="864"/>
      <c r="B286" s="7"/>
      <c r="C286" s="106">
        <v>4</v>
      </c>
      <c r="D286" s="137"/>
      <c r="E286" s="107" t="str">
        <f t="shared" si="139"/>
        <v/>
      </c>
      <c r="F286" s="108"/>
      <c r="G286" s="64" t="str">
        <f t="shared" si="140"/>
        <v/>
      </c>
      <c r="H286" s="109"/>
      <c r="I286" s="110" t="str">
        <f t="shared" si="141"/>
        <v/>
      </c>
      <c r="J286" s="111"/>
      <c r="K286" s="112" t="str">
        <f t="shared" si="142"/>
        <v/>
      </c>
      <c r="L286" s="113"/>
      <c r="M286" s="153" t="str">
        <f t="shared" si="147"/>
        <v/>
      </c>
      <c r="N286" s="110"/>
      <c r="O286" s="140"/>
      <c r="P286" s="114"/>
      <c r="Q286" s="114"/>
      <c r="AL286" s="18" t="s">
        <v>331</v>
      </c>
      <c r="AP286" s="115" t="b">
        <f>AND(AP285,AL286&lt;&gt;"",(COUNTIF(AP283:AP285,"IGAZ")-COUNTIF(AV283:AV285,"IGAZ"))*X288+MAX(AY282:AZ285)&lt;X287)</f>
        <v>0</v>
      </c>
      <c r="AQ286" s="116" t="str">
        <f>IF(NOT(AP286),"",IF(AL286="p",AG284,AG285))</f>
        <v/>
      </c>
      <c r="AR286" s="117" t="str">
        <f>IF(NOT(AP286),"",IF(AL286="p",AG285,AG284))</f>
        <v/>
      </c>
      <c r="AT286" s="115" t="b">
        <f t="shared" si="143"/>
        <v>0</v>
      </c>
      <c r="AU286" s="115" t="b">
        <f>AND(ASZTAB!$AJ$42,AT286,F286=H286)</f>
        <v>0</v>
      </c>
      <c r="AV286" s="115" t="b">
        <f t="shared" si="144"/>
        <v>0</v>
      </c>
      <c r="AW286" s="116" t="str">
        <f t="shared" si="145"/>
        <v/>
      </c>
      <c r="AX286" s="117" t="str">
        <f t="shared" si="146"/>
        <v/>
      </c>
      <c r="AY286" s="116" t="str">
        <f>IF(OR(AY285="",NOT(AV286)),"",IF(AG284=AW286,X288,0)+AY285)</f>
        <v/>
      </c>
      <c r="AZ286" s="116" t="str">
        <f>IF(OR(AZ285="",NOT(AV286)),"",IF(AG285=AW286,X288,0)+AZ285)</f>
        <v/>
      </c>
      <c r="BD286" s="142"/>
      <c r="BI286" s="118"/>
      <c r="BM286" s="119"/>
    </row>
    <row r="287" spans="1:66" ht="15" customHeight="1" x14ac:dyDescent="0.3">
      <c r="A287" s="864"/>
      <c r="B287" s="121"/>
      <c r="C287" s="106">
        <v>5</v>
      </c>
      <c r="D287" s="137"/>
      <c r="E287" s="107" t="str">
        <f t="shared" si="139"/>
        <v/>
      </c>
      <c r="F287" s="108"/>
      <c r="G287" s="64" t="str">
        <f t="shared" si="140"/>
        <v/>
      </c>
      <c r="H287" s="109"/>
      <c r="I287" s="110" t="str">
        <f t="shared" si="141"/>
        <v/>
      </c>
      <c r="J287" s="111"/>
      <c r="K287" s="112" t="str">
        <f t="shared" si="142"/>
        <v/>
      </c>
      <c r="L287" s="113"/>
      <c r="M287" s="153" t="str">
        <f t="shared" si="147"/>
        <v/>
      </c>
      <c r="N287" s="110"/>
      <c r="O287" s="140"/>
      <c r="P287" s="114"/>
      <c r="Q287" s="114"/>
      <c r="R287" s="114"/>
      <c r="S287" s="114"/>
      <c r="W287" s="15" t="s">
        <v>315</v>
      </c>
      <c r="X287" s="18">
        <v>3</v>
      </c>
      <c r="AD287" s="15"/>
      <c r="AE287" s="15" t="s">
        <v>312</v>
      </c>
      <c r="AF287" s="15" t="str">
        <f>CONCATENATE(V281,"f")</f>
        <v>16f</v>
      </c>
      <c r="AG287" s="16" t="str">
        <f>IF(OR(NOT(AJ284),NOT(AJ285)),"",AD284)</f>
        <v/>
      </c>
      <c r="AH287" s="23" t="str">
        <f>IF(OR(NOT(AJ284),NOT(AJ285)),"",VLOOKUP(AG287,AG284:AH285,2,FALSE))</f>
        <v/>
      </c>
      <c r="AL287" s="18" t="s">
        <v>318</v>
      </c>
      <c r="AP287" s="115" t="b">
        <f>AND(AP286,AL287&lt;&gt;"",(COUNTIF(AP283:AP286,"IGAZ")-COUNTIF(AV283:AV286,"IGAZ"))*X288+MAX(AY282:AZ286)&lt;X287)</f>
        <v>0</v>
      </c>
      <c r="AQ287" s="116" t="str">
        <f>IF(NOT(AP287),"",IF(AL287="p",AG284,AG285))</f>
        <v/>
      </c>
      <c r="AR287" s="117" t="str">
        <f>IF(NOT(AP287),"",IF(AL287="p",AG285,AG284))</f>
        <v/>
      </c>
      <c r="AT287" s="115" t="b">
        <f t="shared" si="143"/>
        <v>0</v>
      </c>
      <c r="AU287" s="115" t="b">
        <f>AND(ASZTAB!$AJ$42,AT287,F287=H287)</f>
        <v>0</v>
      </c>
      <c r="AV287" s="115" t="b">
        <f t="shared" si="144"/>
        <v>0</v>
      </c>
      <c r="AW287" s="116" t="str">
        <f t="shared" si="145"/>
        <v/>
      </c>
      <c r="AX287" s="117" t="str">
        <f t="shared" si="146"/>
        <v/>
      </c>
      <c r="AY287" s="116" t="str">
        <f>IF(OR(AY286="",NOT(AV287)),"",IF(AG284=AW287,X288,0)+AY286)</f>
        <v/>
      </c>
      <c r="AZ287" s="116" t="str">
        <f>IF(OR(AZ286="",NOT(AV287)),"",IF(AG285=AW287,X288,0)+AZ286)</f>
        <v/>
      </c>
      <c r="BD287" s="142"/>
      <c r="BI287" s="118"/>
      <c r="BK287" s="119"/>
      <c r="BL287" s="119"/>
      <c r="BM287" s="119"/>
    </row>
    <row r="288" spans="1:66" ht="15" customHeight="1" x14ac:dyDescent="0.3">
      <c r="A288" s="864"/>
      <c r="B288" s="122"/>
      <c r="C288" s="106">
        <v>6</v>
      </c>
      <c r="D288" s="137"/>
      <c r="E288" s="107" t="str">
        <f t="shared" si="139"/>
        <v/>
      </c>
      <c r="F288" s="108"/>
      <c r="G288" s="64" t="str">
        <f t="shared" si="140"/>
        <v/>
      </c>
      <c r="H288" s="109"/>
      <c r="I288" s="110" t="str">
        <f t="shared" si="141"/>
        <v/>
      </c>
      <c r="J288" s="111"/>
      <c r="K288" s="112" t="str">
        <f t="shared" si="142"/>
        <v/>
      </c>
      <c r="L288" s="113"/>
      <c r="M288" s="8" t="str">
        <f t="shared" si="147"/>
        <v/>
      </c>
      <c r="N288" s="123"/>
      <c r="O288" s="141"/>
      <c r="W288" s="15" t="s">
        <v>327</v>
      </c>
      <c r="X288" s="18">
        <v>1</v>
      </c>
      <c r="AD288" s="15"/>
      <c r="AE288" s="15" t="s">
        <v>313</v>
      </c>
      <c r="AF288" s="15" t="str">
        <f>CONCATENATE(V281,"a")</f>
        <v>16a</v>
      </c>
      <c r="AG288" s="16" t="str">
        <f>IF(OR(NOT(AJ284),NOT(AJ285)),"",AD285)</f>
        <v/>
      </c>
      <c r="AH288" s="23" t="str">
        <f>IF(OR(NOT(AJ284),NOT(AJ285)),"",VLOOKUP(AG288,AG284:AH285,2,FALSE))</f>
        <v/>
      </c>
      <c r="AL288" s="18" t="s">
        <v>331</v>
      </c>
      <c r="AP288" s="115" t="b">
        <f>AND(AP287,AL288&lt;&gt;"",(COUNTIF(AP283:AP287,"IGAZ")-COUNTIF(AV283:AV287,"IGAZ"))*X288+MAX(AY282:AZ287)&lt;X287)</f>
        <v>0</v>
      </c>
      <c r="AQ288" s="116" t="str">
        <f>IF(NOT(AP288),"",IF(AL288="p",AG284,AG285))</f>
        <v/>
      </c>
      <c r="AR288" s="117" t="str">
        <f>IF(NOT(AP288),"",IF(AL288="p",AG285,AG284))</f>
        <v/>
      </c>
      <c r="AT288" s="115" t="b">
        <f t="shared" si="143"/>
        <v>0</v>
      </c>
      <c r="AU288" s="115" t="b">
        <f>AND(ASZTAB!$AJ$42,AT288,F288=H288)</f>
        <v>0</v>
      </c>
      <c r="AV288" s="115" t="b">
        <f t="shared" si="144"/>
        <v>0</v>
      </c>
      <c r="AW288" s="116" t="str">
        <f t="shared" si="145"/>
        <v/>
      </c>
      <c r="AX288" s="117" t="str">
        <f t="shared" si="146"/>
        <v/>
      </c>
      <c r="AY288" s="116" t="str">
        <f>IF(OR(AY287="",NOT(AV288)),"",IF(AG284=AW288,X288,0)+AY287)</f>
        <v/>
      </c>
      <c r="AZ288" s="116" t="str">
        <f>IF(OR(AZ287="",NOT(AV288)),"",IF(AG285=AW288,X288,0)+AZ287)</f>
        <v/>
      </c>
      <c r="BD288" s="142"/>
      <c r="BI288" s="118"/>
      <c r="BK288" s="119"/>
      <c r="BL288" s="119"/>
      <c r="BM288" s="119"/>
    </row>
    <row r="289" spans="1:66" ht="15" customHeight="1" x14ac:dyDescent="0.3">
      <c r="A289" s="864"/>
      <c r="B289" s="122"/>
      <c r="C289" s="106">
        <v>7</v>
      </c>
      <c r="D289" s="137"/>
      <c r="E289" s="107" t="str">
        <f t="shared" si="139"/>
        <v/>
      </c>
      <c r="F289" s="108"/>
      <c r="G289" s="64" t="str">
        <f t="shared" si="140"/>
        <v/>
      </c>
      <c r="H289" s="109"/>
      <c r="I289" s="110" t="str">
        <f t="shared" si="141"/>
        <v/>
      </c>
      <c r="J289" s="111"/>
      <c r="K289" s="112" t="str">
        <f t="shared" si="142"/>
        <v/>
      </c>
      <c r="L289" s="113"/>
      <c r="M289" s="8" t="str">
        <f t="shared" si="147"/>
        <v/>
      </c>
      <c r="N289" s="123"/>
      <c r="O289" s="141"/>
      <c r="AE289" s="15" t="s">
        <v>316</v>
      </c>
      <c r="AF289" s="15" t="str">
        <f>CONCATENATE(V281,"w")</f>
        <v>16w</v>
      </c>
      <c r="AG289" s="16" t="str">
        <f>IF(AND(AJ284,AJ285),IF(MAX(AY283:AY289)&gt;=X287,AG284,IF(MAX(AZ283:AZ289)&gt;=X287,AG285,"")),"")</f>
        <v/>
      </c>
      <c r="AL289" s="18" t="s">
        <v>318</v>
      </c>
      <c r="AP289" s="115" t="b">
        <f>AND(AP288,AL289&lt;&gt;"",(COUNTIF(AP283:AP288,"IGAZ")-COUNTIF(AV283:AV288,"IGAZ"))*X288+MAX(AY282:AZ288)&lt;X287)</f>
        <v>0</v>
      </c>
      <c r="AQ289" s="116" t="str">
        <f>IF(NOT(AP289),"",IF(AL289="p",AG284,AG285))</f>
        <v/>
      </c>
      <c r="AR289" s="117" t="str">
        <f>IF(NOT(AP289),"",IF(AL289="p",AG285,AG284))</f>
        <v/>
      </c>
      <c r="AT289" s="115" t="b">
        <f t="shared" si="143"/>
        <v>0</v>
      </c>
      <c r="AU289" s="115" t="b">
        <f>AND(ASZTAB!$AJ$42,AT289,F289=H289)</f>
        <v>0</v>
      </c>
      <c r="AV289" s="115" t="b">
        <f t="shared" si="144"/>
        <v>0</v>
      </c>
      <c r="AW289" s="116" t="str">
        <f t="shared" si="145"/>
        <v/>
      </c>
      <c r="AX289" s="117" t="str">
        <f t="shared" si="146"/>
        <v/>
      </c>
      <c r="AY289" s="116" t="str">
        <f>IF(OR(AY288="",NOT(AV289)),"",IF(AG284=AW289,X288,0)+AY288)</f>
        <v/>
      </c>
      <c r="AZ289" s="116" t="str">
        <f>IF(OR(AZ288="",NOT(AV289)),"",IF(AG285=AW289,X288,0)+AZ288)</f>
        <v/>
      </c>
      <c r="BD289" s="142"/>
      <c r="BI289" s="118"/>
      <c r="BK289" s="119"/>
      <c r="BL289" s="119"/>
      <c r="BM289" s="119"/>
      <c r="BN289" s="119"/>
    </row>
    <row r="290" spans="1:66" ht="15" customHeight="1" x14ac:dyDescent="0.3">
      <c r="A290" s="864"/>
      <c r="B290" s="122"/>
      <c r="C290" s="106"/>
      <c r="D290" s="123"/>
      <c r="E290" s="124"/>
      <c r="F290" s="125"/>
      <c r="G290" s="123"/>
      <c r="H290" s="114"/>
      <c r="I290" s="123"/>
      <c r="J290" s="125"/>
      <c r="K290" s="123"/>
      <c r="L290" s="114"/>
      <c r="M290" s="123"/>
      <c r="N290" s="123"/>
      <c r="O290" s="123"/>
      <c r="AE290" s="15" t="s">
        <v>317</v>
      </c>
      <c r="AF290" s="15" t="str">
        <f>CONCATENATE(V281,"l")</f>
        <v>16l</v>
      </c>
      <c r="AG290" s="16" t="str">
        <f ca="1">IF(AG289=AG284,AG285,IF(AG285=AG289,AG284,""))</f>
        <v/>
      </c>
      <c r="AL290" s="126" t="s">
        <v>330</v>
      </c>
      <c r="BD290" s="142"/>
      <c r="BI290" s="118"/>
      <c r="BK290" s="119"/>
      <c r="BL290" s="119"/>
      <c r="BM290" s="119"/>
      <c r="BN290" s="119"/>
    </row>
    <row r="291" spans="1:66" ht="15" customHeight="1" x14ac:dyDescent="0.3">
      <c r="A291" s="864"/>
      <c r="B291" s="122"/>
      <c r="C291" s="127" t="s">
        <v>463</v>
      </c>
      <c r="D291" s="123"/>
      <c r="E291" s="124"/>
      <c r="F291" s="125"/>
      <c r="G291" s="123"/>
      <c r="H291" s="114"/>
      <c r="I291" s="123"/>
      <c r="J291" s="125"/>
      <c r="K291" s="123"/>
      <c r="L291" s="114"/>
      <c r="M291" s="123"/>
      <c r="N291" s="123"/>
      <c r="O291" s="123"/>
      <c r="Y291" s="11" t="s">
        <v>294</v>
      </c>
      <c r="Z291" s="70" t="s">
        <v>311</v>
      </c>
      <c r="AA291" s="70" t="s">
        <v>153</v>
      </c>
      <c r="AB291" s="70" t="s">
        <v>153</v>
      </c>
      <c r="AE291" s="15" t="s">
        <v>287</v>
      </c>
      <c r="AF291" s="15" t="str">
        <f>CONCATENATE(V281,"e")</f>
        <v>16e</v>
      </c>
      <c r="AG291" s="21" t="b">
        <f ca="1">AND(AG289&lt;&gt;"",AG290&lt;&gt;"")</f>
        <v>0</v>
      </c>
      <c r="BD291" s="15"/>
      <c r="BI291" s="118"/>
      <c r="BK291" s="119"/>
      <c r="BL291" s="119"/>
      <c r="BM291" s="119"/>
      <c r="BN291" s="119"/>
    </row>
    <row r="292" spans="1:66" ht="15" customHeight="1" x14ac:dyDescent="0.3">
      <c r="A292" s="864"/>
      <c r="B292" s="122"/>
      <c r="C292" s="865"/>
      <c r="D292" s="865"/>
      <c r="E292" s="865"/>
      <c r="F292" s="865"/>
      <c r="G292" s="865"/>
      <c r="H292" s="865"/>
      <c r="I292" s="865"/>
      <c r="J292" s="865"/>
      <c r="K292" s="865"/>
      <c r="L292" s="865"/>
      <c r="M292" s="865"/>
      <c r="N292" s="865"/>
      <c r="O292" s="865"/>
      <c r="W292" s="15" t="s">
        <v>319</v>
      </c>
      <c r="X292" s="18" t="b">
        <v>0</v>
      </c>
      <c r="Y292" s="72" t="s">
        <v>289</v>
      </c>
      <c r="Z292" s="16" t="str">
        <f ca="1">IF(AND(AJ284,AJ285,X292,Y292&lt;&gt;""),CONCATENATE(VLOOKUP(CONCATENATE(AG284,AG285),INDIRECT(CONCATENATE("games.",Y292)),9,FALSE),VLOOKUP(CONCATENATE(AG284,AG285),INDIRECT(CONCATENATE("games.",Y292)),12,FALSE)),"")</f>
        <v/>
      </c>
      <c r="AA292" s="16" t="str">
        <f ca="1">IF(AND(AJ284,AJ285,X292,Y292&lt;&gt;""),VLOOKUP(CONCATENATE(AG284,AG285),INDIRECT(CONCATENATE("games.",Y292)),10,FALSE),"")</f>
        <v/>
      </c>
      <c r="AB292" s="54" t="str">
        <f ca="1">IF(AND(AJ284,AJ285,X292,Y292&lt;&gt;""),VLOOKUP(CONCATENATE(AG284,AG285),INDIRECT(CONCATENATE("games.",Y292)),13,FALSE),"")</f>
        <v/>
      </c>
      <c r="BD292" s="15"/>
      <c r="BI292" s="118"/>
      <c r="BK292" s="119"/>
      <c r="BL292" s="119"/>
      <c r="BM292" s="119"/>
      <c r="BN292" s="119"/>
    </row>
    <row r="293" spans="1:66" ht="15" customHeight="1" x14ac:dyDescent="0.3">
      <c r="A293" s="864"/>
      <c r="B293" s="122"/>
      <c r="C293" s="866"/>
      <c r="D293" s="866"/>
      <c r="E293" s="866"/>
      <c r="F293" s="866"/>
      <c r="G293" s="866"/>
      <c r="H293" s="866"/>
      <c r="I293" s="866"/>
      <c r="J293" s="866"/>
      <c r="K293" s="866"/>
      <c r="L293" s="866"/>
      <c r="M293" s="866"/>
      <c r="N293" s="866"/>
      <c r="O293" s="866"/>
      <c r="Z293" s="16" t="str">
        <f ca="1">IF(AND(AJ284,AJ285,X292,Y292&lt;&gt;""),CONCATENATE(VLOOKUP(CONCATENATE(AG285,AG284),INDIRECT(CONCATENATE("games.",Y292)),9,FALSE),VLOOKUP(CONCATENATE(AG285,AG284),INDIRECT(CONCATENATE("games.",Y292)),12,FALSE)),"")</f>
        <v/>
      </c>
      <c r="AA293" s="16" t="str">
        <f ca="1">IF(AND(AJ284,AJ285,X292,Y292&lt;&gt;""),VLOOKUP(CONCATENATE(AG285,AG284),INDIRECT(CONCATENATE("games.",Y292)),10,FALSE),"")</f>
        <v/>
      </c>
      <c r="AB293" s="54" t="str">
        <f ca="1">IF(AND(AJ284,AJ285,X292,Y292&lt;&gt;""),VLOOKUP(CONCATENATE(AG285,AG284),INDIRECT(CONCATENATE("games.",Y292)),13,FALSE),"")</f>
        <v/>
      </c>
      <c r="BD293" s="15"/>
      <c r="BI293" s="118"/>
      <c r="BK293" s="119"/>
      <c r="BL293" s="119"/>
      <c r="BM293" s="119"/>
      <c r="BN293" s="119"/>
    </row>
    <row r="294" spans="1:66" ht="15" customHeight="1" x14ac:dyDescent="0.3">
      <c r="A294" s="864"/>
      <c r="B294" s="122"/>
      <c r="C294" s="866"/>
      <c r="D294" s="866"/>
      <c r="E294" s="866"/>
      <c r="F294" s="866"/>
      <c r="G294" s="866"/>
      <c r="H294" s="866"/>
      <c r="I294" s="866"/>
      <c r="J294" s="866"/>
      <c r="K294" s="866"/>
      <c r="L294" s="866"/>
      <c r="M294" s="866"/>
      <c r="N294" s="866"/>
      <c r="O294" s="866"/>
      <c r="BD294" s="15"/>
      <c r="BI294" s="118"/>
      <c r="BK294" s="119"/>
      <c r="BL294" s="119"/>
      <c r="BM294" s="119"/>
      <c r="BN294" s="119"/>
    </row>
    <row r="295" spans="1:66" ht="15" customHeight="1" x14ac:dyDescent="0.3">
      <c r="A295" s="864"/>
      <c r="B295" s="122"/>
      <c r="C295" s="106"/>
      <c r="D295" s="123"/>
      <c r="E295" s="124"/>
      <c r="F295" s="125"/>
      <c r="G295" s="123"/>
      <c r="H295" s="114"/>
      <c r="I295" s="123"/>
      <c r="J295" s="125"/>
      <c r="K295" s="123"/>
      <c r="L295" s="114"/>
      <c r="M295" s="123"/>
      <c r="N295" s="123"/>
      <c r="O295" s="123"/>
      <c r="U295" s="10"/>
      <c r="V295" s="128"/>
      <c r="W295" s="129"/>
      <c r="X295" s="10"/>
      <c r="Y295" s="130"/>
      <c r="Z295" s="130"/>
      <c r="AA295" s="130"/>
      <c r="AB295" s="130"/>
      <c r="AC295" s="130"/>
      <c r="AD295" s="130"/>
      <c r="AE295" s="130"/>
      <c r="AF295" s="130"/>
      <c r="AG295" s="130"/>
      <c r="AH295" s="130"/>
      <c r="AI295" s="130"/>
      <c r="AJ295" s="130"/>
      <c r="AK295" s="130"/>
      <c r="AL295" s="130"/>
      <c r="AM295" s="10"/>
      <c r="AO295" s="131"/>
      <c r="AP295" s="131"/>
      <c r="AQ295" s="132"/>
      <c r="AR295" s="132"/>
      <c r="AS295" s="132"/>
      <c r="AT295" s="131"/>
      <c r="AU295" s="131"/>
      <c r="AV295" s="131"/>
      <c r="AW295" s="132"/>
      <c r="AX295" s="132"/>
      <c r="AY295" s="131"/>
      <c r="AZ295" s="131"/>
      <c r="BA295" s="131"/>
      <c r="BD295" s="15"/>
      <c r="BI295" s="118"/>
      <c r="BK295" s="119"/>
      <c r="BL295" s="119"/>
      <c r="BM295" s="119"/>
      <c r="BN295" s="119"/>
    </row>
    <row r="296" spans="1:66" ht="15" customHeight="1" x14ac:dyDescent="0.3">
      <c r="A296" s="864"/>
      <c r="B296" s="88"/>
      <c r="C296" s="89"/>
      <c r="D296" s="90"/>
      <c r="BI296" s="118"/>
      <c r="BM296" s="119"/>
    </row>
    <row r="297" spans="1:66" ht="15" customHeight="1" x14ac:dyDescent="0.3">
      <c r="A297" s="864"/>
      <c r="B297" s="147"/>
      <c r="C297" s="149">
        <f>V297</f>
        <v>17</v>
      </c>
      <c r="D297" s="150" t="str">
        <f>UPPER(W297)</f>
        <v/>
      </c>
      <c r="E297" s="151"/>
      <c r="F297" s="151"/>
      <c r="G297" s="151"/>
      <c r="H297" s="151"/>
      <c r="I297" s="151"/>
      <c r="J297" s="151"/>
      <c r="K297" s="151"/>
      <c r="L297" s="151"/>
      <c r="M297" s="138"/>
      <c r="N297" s="151"/>
      <c r="O297" s="161" t="str">
        <f ca="1">IF(NOT(AG307),"","A PÁRHARC GYŐZTESE: "&amp;UPPER(AG305))</f>
        <v/>
      </c>
      <c r="P297" s="152" t="str">
        <f>IF(NOT(Y305),"",CONCATENATE("A PÁRHARC GYŐZTESE: ",AH303," "))</f>
        <v/>
      </c>
      <c r="Q297" s="148" t="str">
        <f>IF(NOT(Z305),"",CONCATENATE("A PÁRHARC GYŐZTESE: ",AJ303," "))</f>
        <v/>
      </c>
      <c r="R297" s="148" t="str">
        <f>IF(NOT(AA305),"",CONCATENATE("A PÁRHARC GYŐZTESE: ",AK303," "))</f>
        <v/>
      </c>
      <c r="S297" s="148" t="str">
        <f>IF(NOT(AB305),"",CONCATENATE("A PÁRHARC GYŐZTESE: ",AL303," "))</f>
        <v/>
      </c>
      <c r="V297" s="21">
        <f>V281+1</f>
        <v>17</v>
      </c>
      <c r="W297" s="95"/>
      <c r="X297" s="96"/>
      <c r="Y297" s="96"/>
      <c r="Z297" s="96"/>
      <c r="AA297" s="96"/>
      <c r="AB297" s="96"/>
      <c r="AC297" s="96"/>
      <c r="AD297" s="96"/>
      <c r="AE297" s="96"/>
      <c r="AF297" s="96"/>
      <c r="AG297" s="96"/>
      <c r="AH297" s="96"/>
      <c r="AI297" s="96"/>
      <c r="AJ297" s="96"/>
      <c r="AK297" s="96"/>
      <c r="AL297" s="97"/>
      <c r="AY297" s="13" t="s">
        <v>326</v>
      </c>
      <c r="AZ297" s="13" t="s">
        <v>325</v>
      </c>
      <c r="BD297" s="142"/>
      <c r="BH297" s="98"/>
      <c r="BI297" s="118"/>
      <c r="BJ297" s="98"/>
      <c r="BK297" s="99"/>
      <c r="BL297" s="99"/>
      <c r="BM297" s="119"/>
    </row>
    <row r="298" spans="1:66" ht="11.25" customHeight="1" x14ac:dyDescent="0.3">
      <c r="A298" s="864"/>
      <c r="C298" s="101"/>
      <c r="D298" s="102"/>
      <c r="E298" s="103"/>
      <c r="F298" s="58"/>
      <c r="G298" s="104"/>
      <c r="H298" s="60"/>
      <c r="I298" s="146"/>
      <c r="J298" s="107"/>
      <c r="K298" s="160" t="str">
        <f>IF(OR(AU299,AU300,AU301,AU302,AU303,AU304,AU305),"BÜNTETŐK","")</f>
        <v/>
      </c>
      <c r="L298" s="110"/>
      <c r="M298" s="158" t="s">
        <v>286</v>
      </c>
      <c r="N298" s="159"/>
      <c r="O298" s="158" t="s">
        <v>285</v>
      </c>
      <c r="AP298" s="105" t="s">
        <v>328</v>
      </c>
      <c r="AQ298" s="12" t="s">
        <v>138</v>
      </c>
      <c r="AR298" s="12" t="s">
        <v>139</v>
      </c>
      <c r="AT298" s="105" t="s">
        <v>320</v>
      </c>
      <c r="AU298" s="105" t="s">
        <v>321</v>
      </c>
      <c r="AV298" s="105" t="s">
        <v>324</v>
      </c>
      <c r="AW298" s="12" t="s">
        <v>322</v>
      </c>
      <c r="AX298" s="12" t="s">
        <v>323</v>
      </c>
      <c r="AY298" s="116">
        <f>IF(X308,COUNTIF(Z308:Z309,AG300)*ASZTAB!$AJ$48+COUNTIF(AA308:AB309,AG300),0)</f>
        <v>0</v>
      </c>
      <c r="AZ298" s="116">
        <f>IF(X308,COUNTIF(Z308:Z309,AG301)*ASZTAB!$AJ$48+COUNTIF(AA308:AB309,AG301),0)</f>
        <v>0</v>
      </c>
      <c r="BD298" s="142"/>
      <c r="BH298" s="98"/>
      <c r="BI298" s="118"/>
      <c r="BJ298" s="98"/>
      <c r="BK298" s="99"/>
      <c r="BL298" s="99"/>
      <c r="BM298" s="119"/>
    </row>
    <row r="299" spans="1:66" ht="15" customHeight="1" x14ac:dyDescent="0.3">
      <c r="A299" s="864"/>
      <c r="B299" s="7"/>
      <c r="C299" s="106">
        <v>1</v>
      </c>
      <c r="D299" s="137"/>
      <c r="E299" s="107" t="str">
        <f t="shared" ref="E299:E305" si="148">IF(NOT($AP299),"",AQ299)</f>
        <v/>
      </c>
      <c r="F299" s="108"/>
      <c r="G299" s="64" t="str">
        <f t="shared" ref="G299:G305" si="149">IF(NOT($AP299),"","–")</f>
        <v/>
      </c>
      <c r="H299" s="109"/>
      <c r="I299" s="110" t="str">
        <f t="shared" ref="I299:I305" si="150">IF(NOT($AP299),"",AR299)</f>
        <v/>
      </c>
      <c r="J299" s="111"/>
      <c r="K299" s="112" t="str">
        <f t="shared" ref="K299:K305" si="151">IF(AU299,"–","")</f>
        <v/>
      </c>
      <c r="L299" s="113"/>
      <c r="M299" s="153" t="str">
        <f>IF(OR(AL299="",NOT(AV299)),"",IF(AL299="p",CONCATENATE(AY299,"–",AZ299),CONCATENATE(AZ299,"–",AY299)))</f>
        <v/>
      </c>
      <c r="N299" s="110"/>
      <c r="O299" s="139"/>
      <c r="P299" s="114"/>
      <c r="Q299" s="114"/>
      <c r="R299" s="114"/>
      <c r="S299" s="114"/>
      <c r="X299" s="11" t="s">
        <v>306</v>
      </c>
      <c r="Y299" s="11" t="s">
        <v>294</v>
      </c>
      <c r="Z299" s="70" t="s">
        <v>295</v>
      </c>
      <c r="AA299" s="70" t="s">
        <v>127</v>
      </c>
      <c r="AB299" s="70" t="s">
        <v>301</v>
      </c>
      <c r="AC299" s="70" t="s">
        <v>302</v>
      </c>
      <c r="AD299" s="70" t="s">
        <v>332</v>
      </c>
      <c r="AE299" s="70" t="s">
        <v>333</v>
      </c>
      <c r="AF299" s="70" t="s">
        <v>329</v>
      </c>
      <c r="AG299" s="70" t="s">
        <v>303</v>
      </c>
      <c r="AH299" s="70" t="s">
        <v>293</v>
      </c>
      <c r="AJ299" s="71" t="s">
        <v>314</v>
      </c>
      <c r="AL299" s="18" t="s">
        <v>318</v>
      </c>
      <c r="AP299" s="115" t="b">
        <f>AND(AJ300,AJ301,AL299&lt;&gt;"")</f>
        <v>0</v>
      </c>
      <c r="AQ299" s="116" t="str">
        <f>IF(NOT(AP299),"",IF(AL299="p",AG300,AG301))</f>
        <v/>
      </c>
      <c r="AR299" s="117" t="str">
        <f>IF(NOT(AP299),"",IF(AL299="p",AG301,AG300))</f>
        <v/>
      </c>
      <c r="AT299" s="115" t="b">
        <f t="shared" ref="AT299:AT305" si="152">AND(F299&lt;&gt;"",H299&lt;&gt;"",AP299)</f>
        <v>0</v>
      </c>
      <c r="AU299" s="115" t="b">
        <f>AND(ASZTAB!$AJ$42,AT299,F299=H299)</f>
        <v>0</v>
      </c>
      <c r="AV299" s="115" t="b">
        <f t="shared" ref="AV299:AV305" si="153">OR(AND(AT299,NOT(AU299),F299&lt;&gt;H299),AND(AT299,AU299,J299&lt;&gt;"",L299&lt;&gt;"",J299&lt;&gt;L299))</f>
        <v>0</v>
      </c>
      <c r="AW299" s="116" t="str">
        <f t="shared" ref="AW299:AW305" si="154">IF(NOT(AV299),"",IF(AU299,IF(F299+J299&gt;H299+L299,E299,I299),IF(F299&gt;H299,E299,I299)))</f>
        <v/>
      </c>
      <c r="AX299" s="117" t="str">
        <f t="shared" ref="AX299:AX305" si="155">IF(NOT(AV299),"",IF(AW299=E299,I299,IF(AW299=I299,E299,"")))</f>
        <v/>
      </c>
      <c r="AY299" s="116" t="str">
        <f>IF(NOT(AV299),"",IF(AG300=AW299,X304,0)+AY298)</f>
        <v/>
      </c>
      <c r="AZ299" s="116" t="str">
        <f>IF(NOT(AV299),"",IF(AG301=AW299,X304,0)+AZ298)</f>
        <v/>
      </c>
      <c r="BD299" s="142"/>
      <c r="BI299" s="118"/>
      <c r="BK299" s="99"/>
      <c r="BL299" s="119"/>
      <c r="BM299" s="119"/>
    </row>
    <row r="300" spans="1:66" ht="15" customHeight="1" x14ac:dyDescent="0.3">
      <c r="A300" s="864"/>
      <c r="B300" s="7"/>
      <c r="C300" s="106">
        <v>2</v>
      </c>
      <c r="D300" s="137"/>
      <c r="E300" s="107" t="str">
        <f t="shared" si="148"/>
        <v/>
      </c>
      <c r="F300" s="108"/>
      <c r="G300" s="64" t="str">
        <f t="shared" si="149"/>
        <v/>
      </c>
      <c r="H300" s="109"/>
      <c r="I300" s="110" t="str">
        <f t="shared" si="150"/>
        <v/>
      </c>
      <c r="J300" s="111"/>
      <c r="K300" s="112" t="str">
        <f t="shared" si="151"/>
        <v/>
      </c>
      <c r="L300" s="113"/>
      <c r="M300" s="153" t="str">
        <f t="shared" ref="M300:M305" si="156">IF(OR(AL300="",NOT(AV300)),"",IF(AL300="p",CONCATENATE(AY300,"–",AZ300),CONCATENATE(AZ300,"–",AY300)))</f>
        <v/>
      </c>
      <c r="N300" s="110"/>
      <c r="O300" s="140"/>
      <c r="P300" s="114"/>
      <c r="Q300" s="114"/>
      <c r="R300" s="114"/>
      <c r="S300" s="114"/>
      <c r="W300" s="15" t="s">
        <v>312</v>
      </c>
      <c r="X300" s="18"/>
      <c r="Y300" s="72"/>
      <c r="Z300" s="72"/>
      <c r="AA300" s="72"/>
      <c r="AB300" s="18"/>
      <c r="AC300" s="18"/>
      <c r="AD300" s="14" t="str">
        <f ca="1">IF(NOT(AJ300),"",IF(X300=$BE$45,VLOOKUP(AA300,INDIRECT(CONCATENATE("rank.",Y300,Z300)),2,FALSE),VLOOKUP(CONCATENATE(AB300,AC300),result.e,2,FALSE)))</f>
        <v/>
      </c>
      <c r="AE300" s="18"/>
      <c r="AF300" s="120" t="str">
        <f ca="1">IF(OR(AD300="",X300=$BE$45),"",VLOOKUP(AD300,INDIRECT(CONCATENATE("rankname.",AE300)),2,FALSE))</f>
        <v/>
      </c>
      <c r="AG300" s="14" t="str">
        <f ca="1">IF(AD300="","",IF(X300=$BE$45,AD300,IF(AF300&gt;AF301,AD301,AD300)))</f>
        <v/>
      </c>
      <c r="AH300" s="120">
        <f>MAX(AY298:AY305)</f>
        <v>0</v>
      </c>
      <c r="AJ300" s="21" t="b">
        <f>IF(X300=$BE$45,IF(OR(Y300="",Z300="",AA300=""),FALSE,VLOOKUP(CONCATENATE(Y300,Z300),$BD$59:$BE$63,2,FALSE)),IF(OR(AB300="",AC300="",AE300=""),FALSE,VLOOKUP(CONCATENATE(AB300,"e"),result.e,2,FALSE)))</f>
        <v>0</v>
      </c>
      <c r="AL300" s="18" t="s">
        <v>331</v>
      </c>
      <c r="AP300" s="115" t="b">
        <f>AND(AP299,AL300&lt;&gt;"",(COUNTIF(AP299:AP299,"IGAZ")-COUNTIF(AV299:AV299,"IGAZ"))*X304+MAX(AY298:AZ299)&lt;X303)</f>
        <v>0</v>
      </c>
      <c r="AQ300" s="116" t="str">
        <f>IF(NOT(AP300),"",IF(AL300="p",AG300,AG301))</f>
        <v/>
      </c>
      <c r="AR300" s="117" t="str">
        <f>IF(NOT(AP300),"",IF(AL300="p",AG301,AG300))</f>
        <v/>
      </c>
      <c r="AT300" s="115" t="b">
        <f t="shared" si="152"/>
        <v>0</v>
      </c>
      <c r="AU300" s="115" t="b">
        <f>AND(ASZTAB!$AJ$42,AT300,F300=H300)</f>
        <v>0</v>
      </c>
      <c r="AV300" s="115" t="b">
        <f t="shared" si="153"/>
        <v>0</v>
      </c>
      <c r="AW300" s="116" t="str">
        <f t="shared" si="154"/>
        <v/>
      </c>
      <c r="AX300" s="117" t="str">
        <f t="shared" si="155"/>
        <v/>
      </c>
      <c r="AY300" s="116" t="str">
        <f>IF(OR(AY299="",NOT(AV300)),"",IF(AG300=AW300,X304,0)+AY299)</f>
        <v/>
      </c>
      <c r="AZ300" s="116" t="str">
        <f>IF(OR(AZ299="",NOT(AV300)),"",IF(AG301=AW300,X304,0)+AZ299)</f>
        <v/>
      </c>
      <c r="BD300" s="142"/>
      <c r="BI300" s="118"/>
      <c r="BK300" s="99"/>
      <c r="BM300" s="119"/>
    </row>
    <row r="301" spans="1:66" ht="15" customHeight="1" x14ac:dyDescent="0.3">
      <c r="A301" s="864"/>
      <c r="B301" s="7"/>
      <c r="C301" s="106">
        <v>3</v>
      </c>
      <c r="D301" s="137"/>
      <c r="E301" s="107" t="str">
        <f t="shared" si="148"/>
        <v/>
      </c>
      <c r="F301" s="108"/>
      <c r="G301" s="64" t="str">
        <f t="shared" si="149"/>
        <v/>
      </c>
      <c r="H301" s="109"/>
      <c r="I301" s="110" t="str">
        <f t="shared" si="150"/>
        <v/>
      </c>
      <c r="J301" s="111"/>
      <c r="K301" s="112" t="str">
        <f t="shared" si="151"/>
        <v/>
      </c>
      <c r="L301" s="113"/>
      <c r="M301" s="153" t="str">
        <f t="shared" si="156"/>
        <v/>
      </c>
      <c r="N301" s="110"/>
      <c r="O301" s="140"/>
      <c r="P301" s="114"/>
      <c r="Q301" s="114"/>
      <c r="R301" s="114"/>
      <c r="S301" s="114"/>
      <c r="W301" s="15" t="s">
        <v>313</v>
      </c>
      <c r="X301" s="18"/>
      <c r="Y301" s="72"/>
      <c r="Z301" s="72"/>
      <c r="AA301" s="72"/>
      <c r="AB301" s="18"/>
      <c r="AC301" s="18"/>
      <c r="AD301" s="14" t="str">
        <f ca="1">IF(NOT(AJ301),"",IF(X301=$BE$45,VLOOKUP(AA301,INDIRECT(CONCATENATE("rank.",Y301,Z301)),2,FALSE),VLOOKUP(CONCATENATE(AB301,AC301),result.e,2,FALSE)))</f>
        <v/>
      </c>
      <c r="AE301" s="18"/>
      <c r="AF301" s="120" t="str">
        <f ca="1">IF(OR(AD301="",X301=$BE$45),"",VLOOKUP(AD301,INDIRECT(CONCATENATE("rankname.",AE301)),2,FALSE))</f>
        <v/>
      </c>
      <c r="AG301" s="14" t="str">
        <f ca="1">IF(AD301="","",IF(X301=$BE$45,AD301,IF(AF300&gt;AF301,AD300,AD301)))</f>
        <v/>
      </c>
      <c r="AH301" s="120">
        <f>MAX(AZ298:AZ305)</f>
        <v>0</v>
      </c>
      <c r="AJ301" s="21" t="b">
        <f>IF(X301=$BE$45,IF(OR(Y301="",Z301="",AA301=""),FALSE,VLOOKUP(CONCATENATE(Y301,Z301),$BD$59:$BE$63,2,FALSE)),IF(OR(AB301="",AC301="",AE301=""),FALSE,VLOOKUP(CONCATENATE(AB301,"e"),result.e,2,FALSE)))</f>
        <v>0</v>
      </c>
      <c r="AL301" s="18" t="s">
        <v>318</v>
      </c>
      <c r="AP301" s="115" t="b">
        <f>AND(AP300,AL301&lt;&gt;"",(COUNTIF(AP299:AP300,"IGAZ")-COUNTIF(AV299:AV300,"IGAZ"))*X304+MAX(AY298:AZ300)&lt;X303)</f>
        <v>0</v>
      </c>
      <c r="AQ301" s="116" t="str">
        <f>IF(NOT(AP301),"",IF(AL301="p",AG300,AG301))</f>
        <v/>
      </c>
      <c r="AR301" s="117" t="str">
        <f>IF(NOT(AP301),"",IF(AL301="p",AG301,AG300))</f>
        <v/>
      </c>
      <c r="AT301" s="115" t="b">
        <f t="shared" si="152"/>
        <v>0</v>
      </c>
      <c r="AU301" s="115" t="b">
        <f>AND(ASZTAB!$AJ$42,AT301,F301=H301)</f>
        <v>0</v>
      </c>
      <c r="AV301" s="115" t="b">
        <f t="shared" si="153"/>
        <v>0</v>
      </c>
      <c r="AW301" s="116" t="str">
        <f t="shared" si="154"/>
        <v/>
      </c>
      <c r="AX301" s="117" t="str">
        <f t="shared" si="155"/>
        <v/>
      </c>
      <c r="AY301" s="116" t="str">
        <f>IF(OR(AY300="",NOT(AV301)),"",IF(AG300=AW301,X304,0)+AY300)</f>
        <v/>
      </c>
      <c r="AZ301" s="116" t="str">
        <f>IF(OR(AZ300="",NOT(AV301)),"",IF(AG301=AW301,X304,0)+AZ300)</f>
        <v/>
      </c>
      <c r="BD301" s="142"/>
      <c r="BI301" s="118"/>
      <c r="BM301" s="119"/>
      <c r="BN301" s="119"/>
    </row>
    <row r="302" spans="1:66" ht="15" customHeight="1" x14ac:dyDescent="0.3">
      <c r="A302" s="864"/>
      <c r="B302" s="7"/>
      <c r="C302" s="106">
        <v>4</v>
      </c>
      <c r="D302" s="137"/>
      <c r="E302" s="107" t="str">
        <f t="shared" si="148"/>
        <v/>
      </c>
      <c r="F302" s="108"/>
      <c r="G302" s="64" t="str">
        <f t="shared" si="149"/>
        <v/>
      </c>
      <c r="H302" s="109"/>
      <c r="I302" s="110" t="str">
        <f t="shared" si="150"/>
        <v/>
      </c>
      <c r="J302" s="111"/>
      <c r="K302" s="112" t="str">
        <f t="shared" si="151"/>
        <v/>
      </c>
      <c r="L302" s="113"/>
      <c r="M302" s="153" t="str">
        <f t="shared" si="156"/>
        <v/>
      </c>
      <c r="N302" s="110"/>
      <c r="O302" s="140"/>
      <c r="P302" s="114"/>
      <c r="Q302" s="114"/>
      <c r="AL302" s="18" t="s">
        <v>331</v>
      </c>
      <c r="AP302" s="115" t="b">
        <f>AND(AP301,AL302&lt;&gt;"",(COUNTIF(AP299:AP301,"IGAZ")-COUNTIF(AV299:AV301,"IGAZ"))*X304+MAX(AY298:AZ301)&lt;X303)</f>
        <v>0</v>
      </c>
      <c r="AQ302" s="116" t="str">
        <f>IF(NOT(AP302),"",IF(AL302="p",AG300,AG301))</f>
        <v/>
      </c>
      <c r="AR302" s="117" t="str">
        <f>IF(NOT(AP302),"",IF(AL302="p",AG301,AG300))</f>
        <v/>
      </c>
      <c r="AT302" s="115" t="b">
        <f t="shared" si="152"/>
        <v>0</v>
      </c>
      <c r="AU302" s="115" t="b">
        <f>AND(ASZTAB!$AJ$42,AT302,F302=H302)</f>
        <v>0</v>
      </c>
      <c r="AV302" s="115" t="b">
        <f t="shared" si="153"/>
        <v>0</v>
      </c>
      <c r="AW302" s="116" t="str">
        <f t="shared" si="154"/>
        <v/>
      </c>
      <c r="AX302" s="117" t="str">
        <f t="shared" si="155"/>
        <v/>
      </c>
      <c r="AY302" s="116" t="str">
        <f>IF(OR(AY301="",NOT(AV302)),"",IF(AG300=AW302,X304,0)+AY301)</f>
        <v/>
      </c>
      <c r="AZ302" s="116" t="str">
        <f>IF(OR(AZ301="",NOT(AV302)),"",IF(AG301=AW302,X304,0)+AZ301)</f>
        <v/>
      </c>
      <c r="BD302" s="142"/>
      <c r="BI302" s="118"/>
      <c r="BM302" s="119"/>
    </row>
    <row r="303" spans="1:66" ht="15" customHeight="1" x14ac:dyDescent="0.3">
      <c r="A303" s="864"/>
      <c r="B303" s="121"/>
      <c r="C303" s="106">
        <v>5</v>
      </c>
      <c r="D303" s="137"/>
      <c r="E303" s="107" t="str">
        <f t="shared" si="148"/>
        <v/>
      </c>
      <c r="F303" s="108"/>
      <c r="G303" s="64" t="str">
        <f t="shared" si="149"/>
        <v/>
      </c>
      <c r="H303" s="109"/>
      <c r="I303" s="110" t="str">
        <f t="shared" si="150"/>
        <v/>
      </c>
      <c r="J303" s="111"/>
      <c r="K303" s="112" t="str">
        <f t="shared" si="151"/>
        <v/>
      </c>
      <c r="L303" s="113"/>
      <c r="M303" s="153" t="str">
        <f t="shared" si="156"/>
        <v/>
      </c>
      <c r="N303" s="110"/>
      <c r="O303" s="140"/>
      <c r="P303" s="114"/>
      <c r="Q303" s="114"/>
      <c r="R303" s="114"/>
      <c r="S303" s="114"/>
      <c r="W303" s="15" t="s">
        <v>315</v>
      </c>
      <c r="X303" s="18">
        <v>3</v>
      </c>
      <c r="AD303" s="15"/>
      <c r="AE303" s="15" t="s">
        <v>312</v>
      </c>
      <c r="AF303" s="15" t="str">
        <f>CONCATENATE(V297,"f")</f>
        <v>17f</v>
      </c>
      <c r="AG303" s="16" t="str">
        <f>IF(OR(NOT(AJ300),NOT(AJ301)),"",AD300)</f>
        <v/>
      </c>
      <c r="AH303" s="23" t="str">
        <f>IF(OR(NOT(AJ300),NOT(AJ301)),"",VLOOKUP(AG303,AG300:AH301,2,FALSE))</f>
        <v/>
      </c>
      <c r="AL303" s="18" t="s">
        <v>318</v>
      </c>
      <c r="AP303" s="115" t="b">
        <f>AND(AP302,AL303&lt;&gt;"",(COUNTIF(AP299:AP302,"IGAZ")-COUNTIF(AV299:AV302,"IGAZ"))*X304+MAX(AY298:AZ302)&lt;X303)</f>
        <v>0</v>
      </c>
      <c r="AQ303" s="116" t="str">
        <f>IF(NOT(AP303),"",IF(AL303="p",AG300,AG301))</f>
        <v/>
      </c>
      <c r="AR303" s="117" t="str">
        <f>IF(NOT(AP303),"",IF(AL303="p",AG301,AG300))</f>
        <v/>
      </c>
      <c r="AT303" s="115" t="b">
        <f t="shared" si="152"/>
        <v>0</v>
      </c>
      <c r="AU303" s="115" t="b">
        <f>AND(ASZTAB!$AJ$42,AT303,F303=H303)</f>
        <v>0</v>
      </c>
      <c r="AV303" s="115" t="b">
        <f t="shared" si="153"/>
        <v>0</v>
      </c>
      <c r="AW303" s="116" t="str">
        <f t="shared" si="154"/>
        <v/>
      </c>
      <c r="AX303" s="117" t="str">
        <f t="shared" si="155"/>
        <v/>
      </c>
      <c r="AY303" s="116" t="str">
        <f>IF(OR(AY302="",NOT(AV303)),"",IF(AG300=AW303,X304,0)+AY302)</f>
        <v/>
      </c>
      <c r="AZ303" s="116" t="str">
        <f>IF(OR(AZ302="",NOT(AV303)),"",IF(AG301=AW303,X304,0)+AZ302)</f>
        <v/>
      </c>
      <c r="BD303" s="142"/>
      <c r="BI303" s="118"/>
      <c r="BK303" s="119"/>
      <c r="BL303" s="119"/>
      <c r="BM303" s="119"/>
    </row>
    <row r="304" spans="1:66" ht="15" customHeight="1" x14ac:dyDescent="0.3">
      <c r="A304" s="864"/>
      <c r="B304" s="122"/>
      <c r="C304" s="106">
        <v>6</v>
      </c>
      <c r="D304" s="137"/>
      <c r="E304" s="107" t="str">
        <f t="shared" si="148"/>
        <v/>
      </c>
      <c r="F304" s="108"/>
      <c r="G304" s="64" t="str">
        <f t="shared" si="149"/>
        <v/>
      </c>
      <c r="H304" s="109"/>
      <c r="I304" s="110" t="str">
        <f t="shared" si="150"/>
        <v/>
      </c>
      <c r="J304" s="111"/>
      <c r="K304" s="112" t="str">
        <f t="shared" si="151"/>
        <v/>
      </c>
      <c r="L304" s="113"/>
      <c r="M304" s="8" t="str">
        <f t="shared" si="156"/>
        <v/>
      </c>
      <c r="N304" s="123"/>
      <c r="O304" s="141"/>
      <c r="W304" s="15" t="s">
        <v>327</v>
      </c>
      <c r="X304" s="18">
        <v>1</v>
      </c>
      <c r="AD304" s="15"/>
      <c r="AE304" s="15" t="s">
        <v>313</v>
      </c>
      <c r="AF304" s="15" t="str">
        <f>CONCATENATE(V297,"a")</f>
        <v>17a</v>
      </c>
      <c r="AG304" s="16" t="str">
        <f>IF(OR(NOT(AJ300),NOT(AJ301)),"",AD301)</f>
        <v/>
      </c>
      <c r="AH304" s="23" t="str">
        <f>IF(OR(NOT(AJ300),NOT(AJ301)),"",VLOOKUP(AG304,AG300:AH301,2,FALSE))</f>
        <v/>
      </c>
      <c r="AL304" s="18" t="s">
        <v>331</v>
      </c>
      <c r="AP304" s="115" t="b">
        <f>AND(AP303,AL304&lt;&gt;"",(COUNTIF(AP299:AP303,"IGAZ")-COUNTIF(AV299:AV303,"IGAZ"))*X304+MAX(AY298:AZ303)&lt;X303)</f>
        <v>0</v>
      </c>
      <c r="AQ304" s="116" t="str">
        <f>IF(NOT(AP304),"",IF(AL304="p",AG300,AG301))</f>
        <v/>
      </c>
      <c r="AR304" s="117" t="str">
        <f>IF(NOT(AP304),"",IF(AL304="p",AG301,AG300))</f>
        <v/>
      </c>
      <c r="AT304" s="115" t="b">
        <f t="shared" si="152"/>
        <v>0</v>
      </c>
      <c r="AU304" s="115" t="b">
        <f>AND(ASZTAB!$AJ$42,AT304,F304=H304)</f>
        <v>0</v>
      </c>
      <c r="AV304" s="115" t="b">
        <f t="shared" si="153"/>
        <v>0</v>
      </c>
      <c r="AW304" s="116" t="str">
        <f t="shared" si="154"/>
        <v/>
      </c>
      <c r="AX304" s="117" t="str">
        <f t="shared" si="155"/>
        <v/>
      </c>
      <c r="AY304" s="116" t="str">
        <f>IF(OR(AY303="",NOT(AV304)),"",IF(AG300=AW304,X304,0)+AY303)</f>
        <v/>
      </c>
      <c r="AZ304" s="116" t="str">
        <f>IF(OR(AZ303="",NOT(AV304)),"",IF(AG301=AW304,X304,0)+AZ303)</f>
        <v/>
      </c>
      <c r="BD304" s="142"/>
      <c r="BI304" s="118"/>
      <c r="BK304" s="119"/>
      <c r="BL304" s="119"/>
      <c r="BM304" s="119"/>
    </row>
    <row r="305" spans="1:66" ht="15" customHeight="1" x14ac:dyDescent="0.3">
      <c r="A305" s="864"/>
      <c r="B305" s="122"/>
      <c r="C305" s="106">
        <v>7</v>
      </c>
      <c r="D305" s="137"/>
      <c r="E305" s="107" t="str">
        <f t="shared" si="148"/>
        <v/>
      </c>
      <c r="F305" s="108"/>
      <c r="G305" s="64" t="str">
        <f t="shared" si="149"/>
        <v/>
      </c>
      <c r="H305" s="109"/>
      <c r="I305" s="110" t="str">
        <f t="shared" si="150"/>
        <v/>
      </c>
      <c r="J305" s="111"/>
      <c r="K305" s="112" t="str">
        <f t="shared" si="151"/>
        <v/>
      </c>
      <c r="L305" s="113"/>
      <c r="M305" s="8" t="str">
        <f t="shared" si="156"/>
        <v/>
      </c>
      <c r="N305" s="123"/>
      <c r="O305" s="141"/>
      <c r="AE305" s="15" t="s">
        <v>316</v>
      </c>
      <c r="AF305" s="15" t="str">
        <f>CONCATENATE(V297,"w")</f>
        <v>17w</v>
      </c>
      <c r="AG305" s="16" t="str">
        <f>IF(AND(AJ300,AJ301),IF(MAX(AY299:AY305)&gt;=X303,AG300,IF(MAX(AZ299:AZ305)&gt;=X303,AG301,"")),"")</f>
        <v/>
      </c>
      <c r="AL305" s="18" t="s">
        <v>318</v>
      </c>
      <c r="AP305" s="115" t="b">
        <f>AND(AP304,AL305&lt;&gt;"",(COUNTIF(AP299:AP304,"IGAZ")-COUNTIF(AV299:AV304,"IGAZ"))*X304+MAX(AY298:AZ304)&lt;X303)</f>
        <v>0</v>
      </c>
      <c r="AQ305" s="116" t="str">
        <f>IF(NOT(AP305),"",IF(AL305="p",AG300,AG301))</f>
        <v/>
      </c>
      <c r="AR305" s="117" t="str">
        <f>IF(NOT(AP305),"",IF(AL305="p",AG301,AG300))</f>
        <v/>
      </c>
      <c r="AT305" s="115" t="b">
        <f t="shared" si="152"/>
        <v>0</v>
      </c>
      <c r="AU305" s="115" t="b">
        <f>AND(ASZTAB!$AJ$42,AT305,F305=H305)</f>
        <v>0</v>
      </c>
      <c r="AV305" s="115" t="b">
        <f t="shared" si="153"/>
        <v>0</v>
      </c>
      <c r="AW305" s="116" t="str">
        <f t="shared" si="154"/>
        <v/>
      </c>
      <c r="AX305" s="117" t="str">
        <f t="shared" si="155"/>
        <v/>
      </c>
      <c r="AY305" s="116" t="str">
        <f>IF(OR(AY304="",NOT(AV305)),"",IF(AG300=AW305,X304,0)+AY304)</f>
        <v/>
      </c>
      <c r="AZ305" s="116" t="str">
        <f>IF(OR(AZ304="",NOT(AV305)),"",IF(AG301=AW305,X304,0)+AZ304)</f>
        <v/>
      </c>
      <c r="BD305" s="142"/>
      <c r="BI305" s="118"/>
      <c r="BK305" s="119"/>
      <c r="BL305" s="119"/>
      <c r="BM305" s="119"/>
      <c r="BN305" s="119"/>
    </row>
    <row r="306" spans="1:66" ht="15" customHeight="1" x14ac:dyDescent="0.3">
      <c r="A306" s="864"/>
      <c r="B306" s="122"/>
      <c r="C306" s="106"/>
      <c r="D306" s="123"/>
      <c r="E306" s="124"/>
      <c r="F306" s="125"/>
      <c r="G306" s="123"/>
      <c r="H306" s="114"/>
      <c r="I306" s="123"/>
      <c r="J306" s="125"/>
      <c r="K306" s="123"/>
      <c r="L306" s="114"/>
      <c r="M306" s="123"/>
      <c r="N306" s="123"/>
      <c r="O306" s="123"/>
      <c r="AE306" s="15" t="s">
        <v>317</v>
      </c>
      <c r="AF306" s="15" t="str">
        <f>CONCATENATE(V297,"l")</f>
        <v>17l</v>
      </c>
      <c r="AG306" s="16" t="str">
        <f ca="1">IF(AG305=AG300,AG301,IF(AG301=AG305,AG300,""))</f>
        <v/>
      </c>
      <c r="AL306" s="126" t="s">
        <v>330</v>
      </c>
      <c r="BD306" s="142"/>
      <c r="BI306" s="118"/>
      <c r="BK306" s="119"/>
      <c r="BL306" s="119"/>
      <c r="BM306" s="119"/>
      <c r="BN306" s="119"/>
    </row>
    <row r="307" spans="1:66" ht="15" customHeight="1" x14ac:dyDescent="0.3">
      <c r="A307" s="864"/>
      <c r="B307" s="122"/>
      <c r="C307" s="127" t="s">
        <v>463</v>
      </c>
      <c r="D307" s="123"/>
      <c r="E307" s="124"/>
      <c r="F307" s="125"/>
      <c r="G307" s="123"/>
      <c r="H307" s="114"/>
      <c r="I307" s="123"/>
      <c r="J307" s="125"/>
      <c r="K307" s="123"/>
      <c r="L307" s="114"/>
      <c r="M307" s="123"/>
      <c r="N307" s="123"/>
      <c r="O307" s="123"/>
      <c r="Y307" s="11" t="s">
        <v>294</v>
      </c>
      <c r="Z307" s="70" t="s">
        <v>311</v>
      </c>
      <c r="AA307" s="70" t="s">
        <v>153</v>
      </c>
      <c r="AB307" s="70" t="s">
        <v>153</v>
      </c>
      <c r="AE307" s="15" t="s">
        <v>287</v>
      </c>
      <c r="AF307" s="15" t="str">
        <f>CONCATENATE(V297,"e")</f>
        <v>17e</v>
      </c>
      <c r="AG307" s="21" t="b">
        <f ca="1">AND(AG305&lt;&gt;"",AG306&lt;&gt;"")</f>
        <v>0</v>
      </c>
      <c r="BD307" s="15"/>
      <c r="BI307" s="118"/>
      <c r="BK307" s="119"/>
      <c r="BL307" s="119"/>
      <c r="BM307" s="119"/>
      <c r="BN307" s="119"/>
    </row>
    <row r="308" spans="1:66" ht="15" customHeight="1" x14ac:dyDescent="0.3">
      <c r="A308" s="864"/>
      <c r="B308" s="122"/>
      <c r="C308" s="865"/>
      <c r="D308" s="865"/>
      <c r="E308" s="865"/>
      <c r="F308" s="865"/>
      <c r="G308" s="865"/>
      <c r="H308" s="865"/>
      <c r="I308" s="865"/>
      <c r="J308" s="865"/>
      <c r="K308" s="865"/>
      <c r="L308" s="865"/>
      <c r="M308" s="865"/>
      <c r="N308" s="865"/>
      <c r="O308" s="865"/>
      <c r="W308" s="15" t="s">
        <v>319</v>
      </c>
      <c r="X308" s="18" t="b">
        <v>0</v>
      </c>
      <c r="Y308" s="72" t="s">
        <v>289</v>
      </c>
      <c r="Z308" s="16" t="str">
        <f ca="1">IF(AND(AJ300,AJ301,X308,Y308&lt;&gt;""),CONCATENATE(VLOOKUP(CONCATENATE(AG300,AG301),INDIRECT(CONCATENATE("games.",Y308)),9,FALSE),VLOOKUP(CONCATENATE(AG300,AG301),INDIRECT(CONCATENATE("games.",Y308)),12,FALSE)),"")</f>
        <v/>
      </c>
      <c r="AA308" s="16" t="str">
        <f ca="1">IF(AND(AJ300,AJ301,X308,Y308&lt;&gt;""),VLOOKUP(CONCATENATE(AG300,AG301),INDIRECT(CONCATENATE("games.",Y308)),10,FALSE),"")</f>
        <v/>
      </c>
      <c r="AB308" s="54" t="str">
        <f ca="1">IF(AND(AJ300,AJ301,X308,Y308&lt;&gt;""),VLOOKUP(CONCATENATE(AG300,AG301),INDIRECT(CONCATENATE("games.",Y308)),13,FALSE),"")</f>
        <v/>
      </c>
      <c r="BD308" s="15"/>
      <c r="BI308" s="118"/>
      <c r="BK308" s="119"/>
      <c r="BL308" s="119"/>
      <c r="BM308" s="119"/>
      <c r="BN308" s="119"/>
    </row>
    <row r="309" spans="1:66" ht="15" customHeight="1" x14ac:dyDescent="0.3">
      <c r="A309" s="864"/>
      <c r="B309" s="122"/>
      <c r="C309" s="866"/>
      <c r="D309" s="866"/>
      <c r="E309" s="866"/>
      <c r="F309" s="866"/>
      <c r="G309" s="866"/>
      <c r="H309" s="866"/>
      <c r="I309" s="866"/>
      <c r="J309" s="866"/>
      <c r="K309" s="866"/>
      <c r="L309" s="866"/>
      <c r="M309" s="866"/>
      <c r="N309" s="866"/>
      <c r="O309" s="866"/>
      <c r="Z309" s="16" t="str">
        <f ca="1">IF(AND(AJ300,AJ301,X308,Y308&lt;&gt;""),CONCATENATE(VLOOKUP(CONCATENATE(AG301,AG300),INDIRECT(CONCATENATE("games.",Y308)),9,FALSE),VLOOKUP(CONCATENATE(AG301,AG300),INDIRECT(CONCATENATE("games.",Y308)),12,FALSE)),"")</f>
        <v/>
      </c>
      <c r="AA309" s="16" t="str">
        <f ca="1">IF(AND(AJ300,AJ301,X308,Y308&lt;&gt;""),VLOOKUP(CONCATENATE(AG301,AG300),INDIRECT(CONCATENATE("games.",Y308)),10,FALSE),"")</f>
        <v/>
      </c>
      <c r="AB309" s="54" t="str">
        <f ca="1">IF(AND(AJ300,AJ301,X308,Y308&lt;&gt;""),VLOOKUP(CONCATENATE(AG301,AG300),INDIRECT(CONCATENATE("games.",Y308)),13,FALSE),"")</f>
        <v/>
      </c>
      <c r="BD309" s="15"/>
      <c r="BI309" s="118"/>
      <c r="BK309" s="119"/>
      <c r="BL309" s="119"/>
      <c r="BM309" s="119"/>
      <c r="BN309" s="119"/>
    </row>
    <row r="310" spans="1:66" ht="15" customHeight="1" x14ac:dyDescent="0.3">
      <c r="A310" s="864"/>
      <c r="B310" s="122"/>
      <c r="C310" s="866"/>
      <c r="D310" s="866"/>
      <c r="E310" s="866"/>
      <c r="F310" s="866"/>
      <c r="G310" s="866"/>
      <c r="H310" s="866"/>
      <c r="I310" s="866"/>
      <c r="J310" s="866"/>
      <c r="K310" s="866"/>
      <c r="L310" s="866"/>
      <c r="M310" s="866"/>
      <c r="N310" s="866"/>
      <c r="O310" s="866"/>
      <c r="BD310" s="15"/>
      <c r="BI310" s="118"/>
      <c r="BK310" s="119"/>
      <c r="BL310" s="119"/>
      <c r="BM310" s="119"/>
      <c r="BN310" s="119"/>
    </row>
    <row r="311" spans="1:66" ht="15" customHeight="1" x14ac:dyDescent="0.3">
      <c r="A311" s="864"/>
      <c r="B311" s="122"/>
      <c r="C311" s="106"/>
      <c r="D311" s="123"/>
      <c r="E311" s="124"/>
      <c r="F311" s="125"/>
      <c r="G311" s="123"/>
      <c r="H311" s="114"/>
      <c r="I311" s="123"/>
      <c r="J311" s="125"/>
      <c r="K311" s="123"/>
      <c r="L311" s="114"/>
      <c r="M311" s="123"/>
      <c r="N311" s="123"/>
      <c r="O311" s="123"/>
      <c r="U311" s="10"/>
      <c r="V311" s="128"/>
      <c r="W311" s="129"/>
      <c r="X311" s="10"/>
      <c r="Y311" s="130"/>
      <c r="Z311" s="130"/>
      <c r="AA311" s="130"/>
      <c r="AB311" s="130"/>
      <c r="AC311" s="130"/>
      <c r="AD311" s="130"/>
      <c r="AE311" s="130"/>
      <c r="AF311" s="130"/>
      <c r="AG311" s="130"/>
      <c r="AH311" s="130"/>
      <c r="AI311" s="130"/>
      <c r="AJ311" s="130"/>
      <c r="AK311" s="130"/>
      <c r="AL311" s="130"/>
      <c r="AM311" s="10"/>
      <c r="AO311" s="131"/>
      <c r="AP311" s="131"/>
      <c r="AQ311" s="132"/>
      <c r="AR311" s="132"/>
      <c r="AS311" s="132"/>
      <c r="AT311" s="131"/>
      <c r="AU311" s="131"/>
      <c r="AV311" s="131"/>
      <c r="AW311" s="132"/>
      <c r="AX311" s="132"/>
      <c r="AY311" s="131"/>
      <c r="AZ311" s="131"/>
      <c r="BA311" s="131"/>
      <c r="BD311" s="15"/>
      <c r="BI311" s="118"/>
      <c r="BK311" s="119"/>
      <c r="BL311" s="119"/>
      <c r="BM311" s="119"/>
      <c r="BN311" s="119"/>
    </row>
    <row r="312" spans="1:66" ht="15" customHeight="1" x14ac:dyDescent="0.3">
      <c r="A312" s="864"/>
      <c r="B312" s="88"/>
      <c r="C312" s="89"/>
      <c r="D312" s="90"/>
      <c r="BI312" s="118"/>
      <c r="BM312" s="119"/>
    </row>
    <row r="313" spans="1:66" ht="15" customHeight="1" x14ac:dyDescent="0.3">
      <c r="A313" s="864"/>
      <c r="B313" s="147"/>
      <c r="C313" s="149">
        <f>V313</f>
        <v>18</v>
      </c>
      <c r="D313" s="150" t="str">
        <f>UPPER(W313)</f>
        <v/>
      </c>
      <c r="E313" s="151"/>
      <c r="F313" s="151"/>
      <c r="G313" s="151"/>
      <c r="H313" s="151"/>
      <c r="I313" s="151"/>
      <c r="J313" s="151"/>
      <c r="K313" s="151"/>
      <c r="L313" s="151"/>
      <c r="M313" s="138"/>
      <c r="N313" s="151"/>
      <c r="O313" s="161" t="str">
        <f ca="1">IF(NOT(AG323),"","A PÁRHARC GYŐZTESE: "&amp;UPPER(AG321))</f>
        <v/>
      </c>
      <c r="P313" s="152" t="str">
        <f>IF(NOT(Y321),"",CONCATENATE("A PÁRHARC GYŐZTESE: ",AH319," "))</f>
        <v/>
      </c>
      <c r="Q313" s="148" t="str">
        <f>IF(NOT(Z321),"",CONCATENATE("A PÁRHARC GYŐZTESE: ",AJ319," "))</f>
        <v/>
      </c>
      <c r="R313" s="148" t="str">
        <f>IF(NOT(AA321),"",CONCATENATE("A PÁRHARC GYŐZTESE: ",AK319," "))</f>
        <v/>
      </c>
      <c r="S313" s="148" t="str">
        <f>IF(NOT(AB321),"",CONCATENATE("A PÁRHARC GYŐZTESE: ",AL319," "))</f>
        <v/>
      </c>
      <c r="V313" s="21">
        <f>V297+1</f>
        <v>18</v>
      </c>
      <c r="W313" s="95"/>
      <c r="X313" s="96"/>
      <c r="Y313" s="96"/>
      <c r="Z313" s="96"/>
      <c r="AA313" s="96"/>
      <c r="AB313" s="96"/>
      <c r="AC313" s="96"/>
      <c r="AD313" s="96"/>
      <c r="AE313" s="96"/>
      <c r="AF313" s="96"/>
      <c r="AG313" s="96"/>
      <c r="AH313" s="96"/>
      <c r="AI313" s="96"/>
      <c r="AJ313" s="96"/>
      <c r="AK313" s="96"/>
      <c r="AL313" s="97"/>
      <c r="AY313" s="13" t="s">
        <v>326</v>
      </c>
      <c r="AZ313" s="13" t="s">
        <v>325</v>
      </c>
      <c r="BD313" s="142"/>
      <c r="BH313" s="98"/>
      <c r="BI313" s="118"/>
      <c r="BJ313" s="98"/>
      <c r="BK313" s="99"/>
      <c r="BL313" s="99"/>
      <c r="BM313" s="119"/>
    </row>
    <row r="314" spans="1:66" ht="11.25" customHeight="1" x14ac:dyDescent="0.3">
      <c r="A314" s="864"/>
      <c r="C314" s="101"/>
      <c r="D314" s="102"/>
      <c r="E314" s="103"/>
      <c r="F314" s="58"/>
      <c r="G314" s="104"/>
      <c r="H314" s="60"/>
      <c r="I314" s="146"/>
      <c r="J314" s="107"/>
      <c r="K314" s="160" t="str">
        <f>IF(OR(AU315,AU316,AU317,AU318,AU319,AU320,AU321),"BÜNTETŐK","")</f>
        <v/>
      </c>
      <c r="L314" s="110"/>
      <c r="M314" s="158" t="s">
        <v>286</v>
      </c>
      <c r="N314" s="159"/>
      <c r="O314" s="158" t="s">
        <v>285</v>
      </c>
      <c r="AP314" s="105" t="s">
        <v>328</v>
      </c>
      <c r="AQ314" s="12" t="s">
        <v>138</v>
      </c>
      <c r="AR314" s="12" t="s">
        <v>139</v>
      </c>
      <c r="AT314" s="105" t="s">
        <v>320</v>
      </c>
      <c r="AU314" s="105" t="s">
        <v>321</v>
      </c>
      <c r="AV314" s="105" t="s">
        <v>324</v>
      </c>
      <c r="AW314" s="12" t="s">
        <v>322</v>
      </c>
      <c r="AX314" s="12" t="s">
        <v>323</v>
      </c>
      <c r="AY314" s="116">
        <f>IF(X324,COUNTIF(Z324:Z325,AG316)*ASZTAB!$AJ$48+COUNTIF(AA324:AB325,AG316),0)</f>
        <v>0</v>
      </c>
      <c r="AZ314" s="116">
        <f>IF(X324,COUNTIF(Z324:Z325,AG317)*ASZTAB!$AJ$48+COUNTIF(AA324:AB325,AG317),0)</f>
        <v>0</v>
      </c>
      <c r="BD314" s="142"/>
      <c r="BH314" s="98"/>
      <c r="BI314" s="118"/>
      <c r="BJ314" s="98"/>
      <c r="BK314" s="99"/>
      <c r="BL314" s="99"/>
      <c r="BM314" s="119"/>
    </row>
    <row r="315" spans="1:66" ht="15" customHeight="1" x14ac:dyDescent="0.3">
      <c r="A315" s="864"/>
      <c r="B315" s="7"/>
      <c r="C315" s="106">
        <v>1</v>
      </c>
      <c r="D315" s="137"/>
      <c r="E315" s="107" t="str">
        <f t="shared" ref="E315:E321" si="157">IF(NOT($AP315),"",AQ315)</f>
        <v/>
      </c>
      <c r="F315" s="108"/>
      <c r="G315" s="64" t="str">
        <f t="shared" ref="G315:G321" si="158">IF(NOT($AP315),"","–")</f>
        <v/>
      </c>
      <c r="H315" s="109"/>
      <c r="I315" s="110" t="str">
        <f t="shared" ref="I315:I321" si="159">IF(NOT($AP315),"",AR315)</f>
        <v/>
      </c>
      <c r="J315" s="111"/>
      <c r="K315" s="112" t="str">
        <f t="shared" ref="K315:K321" si="160">IF(AU315,"–","")</f>
        <v/>
      </c>
      <c r="L315" s="113"/>
      <c r="M315" s="153" t="str">
        <f>IF(OR(AL315="",NOT(AV315)),"",IF(AL315="p",CONCATENATE(AY315,"–",AZ315),CONCATENATE(AZ315,"–",AY315)))</f>
        <v/>
      </c>
      <c r="N315" s="110"/>
      <c r="O315" s="139"/>
      <c r="P315" s="114"/>
      <c r="Q315" s="114"/>
      <c r="R315" s="114"/>
      <c r="S315" s="114"/>
      <c r="X315" s="11" t="s">
        <v>306</v>
      </c>
      <c r="Y315" s="11" t="s">
        <v>294</v>
      </c>
      <c r="Z315" s="70" t="s">
        <v>295</v>
      </c>
      <c r="AA315" s="70" t="s">
        <v>127</v>
      </c>
      <c r="AB315" s="70" t="s">
        <v>301</v>
      </c>
      <c r="AC315" s="70" t="s">
        <v>302</v>
      </c>
      <c r="AD315" s="70" t="s">
        <v>332</v>
      </c>
      <c r="AE315" s="70" t="s">
        <v>333</v>
      </c>
      <c r="AF315" s="70" t="s">
        <v>329</v>
      </c>
      <c r="AG315" s="70" t="s">
        <v>303</v>
      </c>
      <c r="AH315" s="70" t="s">
        <v>293</v>
      </c>
      <c r="AJ315" s="71" t="s">
        <v>314</v>
      </c>
      <c r="AL315" s="18" t="s">
        <v>318</v>
      </c>
      <c r="AP315" s="115" t="b">
        <f>AND(AJ316,AJ317,AL315&lt;&gt;"")</f>
        <v>0</v>
      </c>
      <c r="AQ315" s="116" t="str">
        <f>IF(NOT(AP315),"",IF(AL315="p",AG316,AG317))</f>
        <v/>
      </c>
      <c r="AR315" s="117" t="str">
        <f>IF(NOT(AP315),"",IF(AL315="p",AG317,AG316))</f>
        <v/>
      </c>
      <c r="AT315" s="115" t="b">
        <f t="shared" ref="AT315:AT321" si="161">AND(F315&lt;&gt;"",H315&lt;&gt;"",AP315)</f>
        <v>0</v>
      </c>
      <c r="AU315" s="115" t="b">
        <f>AND(ASZTAB!$AJ$42,AT315,F315=H315)</f>
        <v>0</v>
      </c>
      <c r="AV315" s="115" t="b">
        <f t="shared" ref="AV315:AV321" si="162">OR(AND(AT315,NOT(AU315),F315&lt;&gt;H315),AND(AT315,AU315,J315&lt;&gt;"",L315&lt;&gt;"",J315&lt;&gt;L315))</f>
        <v>0</v>
      </c>
      <c r="AW315" s="116" t="str">
        <f t="shared" ref="AW315:AW321" si="163">IF(NOT(AV315),"",IF(AU315,IF(F315+J315&gt;H315+L315,E315,I315),IF(F315&gt;H315,E315,I315)))</f>
        <v/>
      </c>
      <c r="AX315" s="117" t="str">
        <f t="shared" ref="AX315:AX321" si="164">IF(NOT(AV315),"",IF(AW315=E315,I315,IF(AW315=I315,E315,"")))</f>
        <v/>
      </c>
      <c r="AY315" s="116" t="str">
        <f>IF(NOT(AV315),"",IF(AG316=AW315,X320,0)+AY314)</f>
        <v/>
      </c>
      <c r="AZ315" s="116" t="str">
        <f>IF(NOT(AV315),"",IF(AG317=AW315,X320,0)+AZ314)</f>
        <v/>
      </c>
      <c r="BD315" s="142"/>
      <c r="BI315" s="118"/>
      <c r="BK315" s="99"/>
      <c r="BL315" s="119"/>
      <c r="BM315" s="119"/>
    </row>
    <row r="316" spans="1:66" ht="15" customHeight="1" x14ac:dyDescent="0.3">
      <c r="A316" s="864"/>
      <c r="B316" s="7"/>
      <c r="C316" s="106">
        <v>2</v>
      </c>
      <c r="D316" s="137"/>
      <c r="E316" s="107" t="str">
        <f t="shared" si="157"/>
        <v/>
      </c>
      <c r="F316" s="108"/>
      <c r="G316" s="64" t="str">
        <f t="shared" si="158"/>
        <v/>
      </c>
      <c r="H316" s="109"/>
      <c r="I316" s="110" t="str">
        <f t="shared" si="159"/>
        <v/>
      </c>
      <c r="J316" s="111"/>
      <c r="K316" s="112" t="str">
        <f t="shared" si="160"/>
        <v/>
      </c>
      <c r="L316" s="113"/>
      <c r="M316" s="153" t="str">
        <f t="shared" ref="M316:M321" si="165">IF(OR(AL316="",NOT(AV316)),"",IF(AL316="p",CONCATENATE(AY316,"–",AZ316),CONCATENATE(AZ316,"–",AY316)))</f>
        <v/>
      </c>
      <c r="N316" s="110"/>
      <c r="O316" s="140"/>
      <c r="P316" s="114"/>
      <c r="Q316" s="114"/>
      <c r="R316" s="114"/>
      <c r="S316" s="114"/>
      <c r="W316" s="15" t="s">
        <v>312</v>
      </c>
      <c r="X316" s="18"/>
      <c r="Y316" s="72"/>
      <c r="Z316" s="72"/>
      <c r="AA316" s="72"/>
      <c r="AB316" s="18"/>
      <c r="AC316" s="18"/>
      <c r="AD316" s="14" t="str">
        <f ca="1">IF(NOT(AJ316),"",IF(X316=$BE$45,VLOOKUP(AA316,INDIRECT(CONCATENATE("rank.",Y316,Z316)),2,FALSE),VLOOKUP(CONCATENATE(AB316,AC316),result.e,2,FALSE)))</f>
        <v/>
      </c>
      <c r="AE316" s="18"/>
      <c r="AF316" s="120" t="str">
        <f ca="1">IF(OR(AD316="",X316=$BE$45),"",VLOOKUP(AD316,INDIRECT(CONCATENATE("rankname.",AE316)),2,FALSE))</f>
        <v/>
      </c>
      <c r="AG316" s="14" t="str">
        <f ca="1">IF(AD316="","",IF(X316=$BE$45,AD316,IF(AF316&gt;AF317,AD317,AD316)))</f>
        <v/>
      </c>
      <c r="AH316" s="120">
        <f>MAX(AY314:AY321)</f>
        <v>0</v>
      </c>
      <c r="AJ316" s="21" t="b">
        <f>IF(X316=$BE$45,IF(OR(Y316="",Z316="",AA316=""),FALSE,VLOOKUP(CONCATENATE(Y316,Z316),$BD$59:$BE$63,2,FALSE)),IF(OR(AB316="",AC316="",AE316=""),FALSE,VLOOKUP(CONCATENATE(AB316,"e"),result.e,2,FALSE)))</f>
        <v>0</v>
      </c>
      <c r="AL316" s="18" t="s">
        <v>331</v>
      </c>
      <c r="AP316" s="115" t="b">
        <f>AND(AP315,AL316&lt;&gt;"",(COUNTIF(AP315:AP315,"IGAZ")-COUNTIF(AV315:AV315,"IGAZ"))*X320+MAX(AY314:AZ315)&lt;X319)</f>
        <v>0</v>
      </c>
      <c r="AQ316" s="116" t="str">
        <f>IF(NOT(AP316),"",IF(AL316="p",AG316,AG317))</f>
        <v/>
      </c>
      <c r="AR316" s="117" t="str">
        <f>IF(NOT(AP316),"",IF(AL316="p",AG317,AG316))</f>
        <v/>
      </c>
      <c r="AT316" s="115" t="b">
        <f t="shared" si="161"/>
        <v>0</v>
      </c>
      <c r="AU316" s="115" t="b">
        <f>AND(ASZTAB!$AJ$42,AT316,F316=H316)</f>
        <v>0</v>
      </c>
      <c r="AV316" s="115" t="b">
        <f t="shared" si="162"/>
        <v>0</v>
      </c>
      <c r="AW316" s="116" t="str">
        <f t="shared" si="163"/>
        <v/>
      </c>
      <c r="AX316" s="117" t="str">
        <f t="shared" si="164"/>
        <v/>
      </c>
      <c r="AY316" s="116" t="str">
        <f>IF(OR(AY315="",NOT(AV316)),"",IF(AG316=AW316,X320,0)+AY315)</f>
        <v/>
      </c>
      <c r="AZ316" s="116" t="str">
        <f>IF(OR(AZ315="",NOT(AV316)),"",IF(AG317=AW316,X320,0)+AZ315)</f>
        <v/>
      </c>
      <c r="BD316" s="142"/>
      <c r="BI316" s="118"/>
      <c r="BK316" s="99"/>
      <c r="BM316" s="119"/>
    </row>
    <row r="317" spans="1:66" ht="15" customHeight="1" x14ac:dyDescent="0.3">
      <c r="A317" s="864"/>
      <c r="B317" s="7"/>
      <c r="C317" s="106">
        <v>3</v>
      </c>
      <c r="D317" s="137"/>
      <c r="E317" s="107" t="str">
        <f t="shared" si="157"/>
        <v/>
      </c>
      <c r="F317" s="108"/>
      <c r="G317" s="64" t="str">
        <f t="shared" si="158"/>
        <v/>
      </c>
      <c r="H317" s="109"/>
      <c r="I317" s="110" t="str">
        <f t="shared" si="159"/>
        <v/>
      </c>
      <c r="J317" s="111"/>
      <c r="K317" s="112" t="str">
        <f t="shared" si="160"/>
        <v/>
      </c>
      <c r="L317" s="113"/>
      <c r="M317" s="153" t="str">
        <f t="shared" si="165"/>
        <v/>
      </c>
      <c r="N317" s="110"/>
      <c r="O317" s="140"/>
      <c r="P317" s="114"/>
      <c r="Q317" s="114"/>
      <c r="R317" s="114"/>
      <c r="S317" s="114"/>
      <c r="W317" s="15" t="s">
        <v>313</v>
      </c>
      <c r="X317" s="18"/>
      <c r="Y317" s="72"/>
      <c r="Z317" s="72"/>
      <c r="AA317" s="72"/>
      <c r="AB317" s="18"/>
      <c r="AC317" s="18"/>
      <c r="AD317" s="14" t="str">
        <f ca="1">IF(NOT(AJ317),"",IF(X317=$BE$45,VLOOKUP(AA317,INDIRECT(CONCATENATE("rank.",Y317,Z317)),2,FALSE),VLOOKUP(CONCATENATE(AB317,AC317),result.e,2,FALSE)))</f>
        <v/>
      </c>
      <c r="AE317" s="18"/>
      <c r="AF317" s="120" t="str">
        <f ca="1">IF(OR(AD317="",X317=$BE$45),"",VLOOKUP(AD317,INDIRECT(CONCATENATE("rankname.",AE317)),2,FALSE))</f>
        <v/>
      </c>
      <c r="AG317" s="14" t="str">
        <f ca="1">IF(AD317="","",IF(X317=$BE$45,AD317,IF(AF316&gt;AF317,AD316,AD317)))</f>
        <v/>
      </c>
      <c r="AH317" s="120">
        <f>MAX(AZ314:AZ321)</f>
        <v>0</v>
      </c>
      <c r="AJ317" s="21" t="b">
        <f>IF(X317=$BE$45,IF(OR(Y317="",Z317="",AA317=""),FALSE,VLOOKUP(CONCATENATE(Y317,Z317),$BD$59:$BE$63,2,FALSE)),IF(OR(AB317="",AC317="",AE317=""),FALSE,VLOOKUP(CONCATENATE(AB317,"e"),result.e,2,FALSE)))</f>
        <v>0</v>
      </c>
      <c r="AL317" s="18" t="s">
        <v>318</v>
      </c>
      <c r="AP317" s="115" t="b">
        <f>AND(AP316,AL317&lt;&gt;"",(COUNTIF(AP315:AP316,"IGAZ")-COUNTIF(AV315:AV316,"IGAZ"))*X320+MAX(AY314:AZ316)&lt;X319)</f>
        <v>0</v>
      </c>
      <c r="AQ317" s="116" t="str">
        <f>IF(NOT(AP317),"",IF(AL317="p",AG316,AG317))</f>
        <v/>
      </c>
      <c r="AR317" s="117" t="str">
        <f>IF(NOT(AP317),"",IF(AL317="p",AG317,AG316))</f>
        <v/>
      </c>
      <c r="AT317" s="115" t="b">
        <f t="shared" si="161"/>
        <v>0</v>
      </c>
      <c r="AU317" s="115" t="b">
        <f>AND(ASZTAB!$AJ$42,AT317,F317=H317)</f>
        <v>0</v>
      </c>
      <c r="AV317" s="115" t="b">
        <f t="shared" si="162"/>
        <v>0</v>
      </c>
      <c r="AW317" s="116" t="str">
        <f t="shared" si="163"/>
        <v/>
      </c>
      <c r="AX317" s="117" t="str">
        <f t="shared" si="164"/>
        <v/>
      </c>
      <c r="AY317" s="116" t="str">
        <f>IF(OR(AY316="",NOT(AV317)),"",IF(AG316=AW317,X320,0)+AY316)</f>
        <v/>
      </c>
      <c r="AZ317" s="116" t="str">
        <f>IF(OR(AZ316="",NOT(AV317)),"",IF(AG317=AW317,X320,0)+AZ316)</f>
        <v/>
      </c>
      <c r="BD317" s="142"/>
      <c r="BI317" s="118"/>
      <c r="BM317" s="119"/>
      <c r="BN317" s="119"/>
    </row>
    <row r="318" spans="1:66" ht="15" customHeight="1" x14ac:dyDescent="0.3">
      <c r="A318" s="864"/>
      <c r="B318" s="7"/>
      <c r="C318" s="106">
        <v>4</v>
      </c>
      <c r="D318" s="137"/>
      <c r="E318" s="107" t="str">
        <f t="shared" si="157"/>
        <v/>
      </c>
      <c r="F318" s="108"/>
      <c r="G318" s="64" t="str">
        <f t="shared" si="158"/>
        <v/>
      </c>
      <c r="H318" s="109"/>
      <c r="I318" s="110" t="str">
        <f t="shared" si="159"/>
        <v/>
      </c>
      <c r="J318" s="111"/>
      <c r="K318" s="112" t="str">
        <f t="shared" si="160"/>
        <v/>
      </c>
      <c r="L318" s="113"/>
      <c r="M318" s="153" t="str">
        <f t="shared" si="165"/>
        <v/>
      </c>
      <c r="N318" s="110"/>
      <c r="O318" s="140"/>
      <c r="P318" s="114"/>
      <c r="Q318" s="114"/>
      <c r="AL318" s="18" t="s">
        <v>331</v>
      </c>
      <c r="AP318" s="115" t="b">
        <f>AND(AP317,AL318&lt;&gt;"",(COUNTIF(AP315:AP317,"IGAZ")-COUNTIF(AV315:AV317,"IGAZ"))*X320+MAX(AY314:AZ317)&lt;X319)</f>
        <v>0</v>
      </c>
      <c r="AQ318" s="116" t="str">
        <f>IF(NOT(AP318),"",IF(AL318="p",AG316,AG317))</f>
        <v/>
      </c>
      <c r="AR318" s="117" t="str">
        <f>IF(NOT(AP318),"",IF(AL318="p",AG317,AG316))</f>
        <v/>
      </c>
      <c r="AT318" s="115" t="b">
        <f t="shared" si="161"/>
        <v>0</v>
      </c>
      <c r="AU318" s="115" t="b">
        <f>AND(ASZTAB!$AJ$42,AT318,F318=H318)</f>
        <v>0</v>
      </c>
      <c r="AV318" s="115" t="b">
        <f t="shared" si="162"/>
        <v>0</v>
      </c>
      <c r="AW318" s="116" t="str">
        <f t="shared" si="163"/>
        <v/>
      </c>
      <c r="AX318" s="117" t="str">
        <f t="shared" si="164"/>
        <v/>
      </c>
      <c r="AY318" s="116" t="str">
        <f>IF(OR(AY317="",NOT(AV318)),"",IF(AG316=AW318,X320,0)+AY317)</f>
        <v/>
      </c>
      <c r="AZ318" s="116" t="str">
        <f>IF(OR(AZ317="",NOT(AV318)),"",IF(AG317=AW318,X320,0)+AZ317)</f>
        <v/>
      </c>
      <c r="BD318" s="142"/>
      <c r="BI318" s="118"/>
      <c r="BM318" s="119"/>
    </row>
    <row r="319" spans="1:66" ht="15" customHeight="1" x14ac:dyDescent="0.3">
      <c r="A319" s="864"/>
      <c r="B319" s="121"/>
      <c r="C319" s="106">
        <v>5</v>
      </c>
      <c r="D319" s="137"/>
      <c r="E319" s="107" t="str">
        <f t="shared" si="157"/>
        <v/>
      </c>
      <c r="F319" s="108"/>
      <c r="G319" s="64" t="str">
        <f t="shared" si="158"/>
        <v/>
      </c>
      <c r="H319" s="109"/>
      <c r="I319" s="110" t="str">
        <f t="shared" si="159"/>
        <v/>
      </c>
      <c r="J319" s="111"/>
      <c r="K319" s="112" t="str">
        <f t="shared" si="160"/>
        <v/>
      </c>
      <c r="L319" s="113"/>
      <c r="M319" s="153" t="str">
        <f t="shared" si="165"/>
        <v/>
      </c>
      <c r="N319" s="110"/>
      <c r="O319" s="140"/>
      <c r="P319" s="114"/>
      <c r="Q319" s="114"/>
      <c r="R319" s="114"/>
      <c r="S319" s="114"/>
      <c r="W319" s="15" t="s">
        <v>315</v>
      </c>
      <c r="X319" s="18">
        <v>3</v>
      </c>
      <c r="AD319" s="15"/>
      <c r="AE319" s="15" t="s">
        <v>312</v>
      </c>
      <c r="AF319" s="15" t="str">
        <f>CONCATENATE(V313,"f")</f>
        <v>18f</v>
      </c>
      <c r="AG319" s="16" t="str">
        <f>IF(OR(NOT(AJ316),NOT(AJ317)),"",AD316)</f>
        <v/>
      </c>
      <c r="AH319" s="23" t="str">
        <f>IF(OR(NOT(AJ316),NOT(AJ317)),"",VLOOKUP(AG319,AG316:AH317,2,FALSE))</f>
        <v/>
      </c>
      <c r="AL319" s="18" t="s">
        <v>318</v>
      </c>
      <c r="AP319" s="115" t="b">
        <f>AND(AP318,AL319&lt;&gt;"",(COUNTIF(AP315:AP318,"IGAZ")-COUNTIF(AV315:AV318,"IGAZ"))*X320+MAX(AY314:AZ318)&lt;X319)</f>
        <v>0</v>
      </c>
      <c r="AQ319" s="116" t="str">
        <f>IF(NOT(AP319),"",IF(AL319="p",AG316,AG317))</f>
        <v/>
      </c>
      <c r="AR319" s="117" t="str">
        <f>IF(NOT(AP319),"",IF(AL319="p",AG317,AG316))</f>
        <v/>
      </c>
      <c r="AT319" s="115" t="b">
        <f t="shared" si="161"/>
        <v>0</v>
      </c>
      <c r="AU319" s="115" t="b">
        <f>AND(ASZTAB!$AJ$42,AT319,F319=H319)</f>
        <v>0</v>
      </c>
      <c r="AV319" s="115" t="b">
        <f t="shared" si="162"/>
        <v>0</v>
      </c>
      <c r="AW319" s="116" t="str">
        <f t="shared" si="163"/>
        <v/>
      </c>
      <c r="AX319" s="117" t="str">
        <f t="shared" si="164"/>
        <v/>
      </c>
      <c r="AY319" s="116" t="str">
        <f>IF(OR(AY318="",NOT(AV319)),"",IF(AG316=AW319,X320,0)+AY318)</f>
        <v/>
      </c>
      <c r="AZ319" s="116" t="str">
        <f>IF(OR(AZ318="",NOT(AV319)),"",IF(AG317=AW319,X320,0)+AZ318)</f>
        <v/>
      </c>
      <c r="BD319" s="142"/>
      <c r="BI319" s="118"/>
      <c r="BK319" s="119"/>
      <c r="BL319" s="119"/>
      <c r="BM319" s="119"/>
    </row>
    <row r="320" spans="1:66" ht="15" customHeight="1" x14ac:dyDescent="0.3">
      <c r="A320" s="864"/>
      <c r="B320" s="122"/>
      <c r="C320" s="106">
        <v>6</v>
      </c>
      <c r="D320" s="137"/>
      <c r="E320" s="107" t="str">
        <f t="shared" si="157"/>
        <v/>
      </c>
      <c r="F320" s="108"/>
      <c r="G320" s="64" t="str">
        <f t="shared" si="158"/>
        <v/>
      </c>
      <c r="H320" s="109"/>
      <c r="I320" s="110" t="str">
        <f t="shared" si="159"/>
        <v/>
      </c>
      <c r="J320" s="111"/>
      <c r="K320" s="112" t="str">
        <f t="shared" si="160"/>
        <v/>
      </c>
      <c r="L320" s="113"/>
      <c r="M320" s="8" t="str">
        <f t="shared" si="165"/>
        <v/>
      </c>
      <c r="N320" s="123"/>
      <c r="O320" s="141"/>
      <c r="W320" s="15" t="s">
        <v>327</v>
      </c>
      <c r="X320" s="18">
        <v>1</v>
      </c>
      <c r="AD320" s="15"/>
      <c r="AE320" s="15" t="s">
        <v>313</v>
      </c>
      <c r="AF320" s="15" t="str">
        <f>CONCATENATE(V313,"a")</f>
        <v>18a</v>
      </c>
      <c r="AG320" s="16" t="str">
        <f>IF(OR(NOT(AJ316),NOT(AJ317)),"",AD317)</f>
        <v/>
      </c>
      <c r="AH320" s="23" t="str">
        <f>IF(OR(NOT(AJ316),NOT(AJ317)),"",VLOOKUP(AG320,AG316:AH317,2,FALSE))</f>
        <v/>
      </c>
      <c r="AL320" s="18" t="s">
        <v>331</v>
      </c>
      <c r="AP320" s="115" t="b">
        <f>AND(AP319,AL320&lt;&gt;"",(COUNTIF(AP315:AP319,"IGAZ")-COUNTIF(AV315:AV319,"IGAZ"))*X320+MAX(AY314:AZ319)&lt;X319)</f>
        <v>0</v>
      </c>
      <c r="AQ320" s="116" t="str">
        <f>IF(NOT(AP320),"",IF(AL320="p",AG316,AG317))</f>
        <v/>
      </c>
      <c r="AR320" s="117" t="str">
        <f>IF(NOT(AP320),"",IF(AL320="p",AG317,AG316))</f>
        <v/>
      </c>
      <c r="AT320" s="115" t="b">
        <f t="shared" si="161"/>
        <v>0</v>
      </c>
      <c r="AU320" s="115" t="b">
        <f>AND(ASZTAB!$AJ$42,AT320,F320=H320)</f>
        <v>0</v>
      </c>
      <c r="AV320" s="115" t="b">
        <f t="shared" si="162"/>
        <v>0</v>
      </c>
      <c r="AW320" s="116" t="str">
        <f t="shared" si="163"/>
        <v/>
      </c>
      <c r="AX320" s="117" t="str">
        <f t="shared" si="164"/>
        <v/>
      </c>
      <c r="AY320" s="116" t="str">
        <f>IF(OR(AY319="",NOT(AV320)),"",IF(AG316=AW320,X320,0)+AY319)</f>
        <v/>
      </c>
      <c r="AZ320" s="116" t="str">
        <f>IF(OR(AZ319="",NOT(AV320)),"",IF(AG317=AW320,X320,0)+AZ319)</f>
        <v/>
      </c>
      <c r="BD320" s="142"/>
      <c r="BI320" s="118"/>
      <c r="BK320" s="119"/>
      <c r="BL320" s="119"/>
      <c r="BM320" s="119"/>
    </row>
    <row r="321" spans="1:66" ht="15" customHeight="1" x14ac:dyDescent="0.3">
      <c r="A321" s="864"/>
      <c r="B321" s="122"/>
      <c r="C321" s="106">
        <v>7</v>
      </c>
      <c r="D321" s="137"/>
      <c r="E321" s="107" t="str">
        <f t="shared" si="157"/>
        <v/>
      </c>
      <c r="F321" s="108"/>
      <c r="G321" s="64" t="str">
        <f t="shared" si="158"/>
        <v/>
      </c>
      <c r="H321" s="109"/>
      <c r="I321" s="110" t="str">
        <f t="shared" si="159"/>
        <v/>
      </c>
      <c r="J321" s="111"/>
      <c r="K321" s="112" t="str">
        <f t="shared" si="160"/>
        <v/>
      </c>
      <c r="L321" s="113"/>
      <c r="M321" s="8" t="str">
        <f t="shared" si="165"/>
        <v/>
      </c>
      <c r="N321" s="123"/>
      <c r="O321" s="141"/>
      <c r="AE321" s="15" t="s">
        <v>316</v>
      </c>
      <c r="AF321" s="15" t="str">
        <f>CONCATENATE(V313,"w")</f>
        <v>18w</v>
      </c>
      <c r="AG321" s="16" t="str">
        <f>IF(AND(AJ316,AJ317),IF(MAX(AY315:AY321)&gt;=X319,AG316,IF(MAX(AZ315:AZ321)&gt;=X319,AG317,"")),"")</f>
        <v/>
      </c>
      <c r="AL321" s="18" t="s">
        <v>318</v>
      </c>
      <c r="AP321" s="115" t="b">
        <f>AND(AP320,AL321&lt;&gt;"",(COUNTIF(AP315:AP320,"IGAZ")-COUNTIF(AV315:AV320,"IGAZ"))*X320+MAX(AY314:AZ320)&lt;X319)</f>
        <v>0</v>
      </c>
      <c r="AQ321" s="116" t="str">
        <f>IF(NOT(AP321),"",IF(AL321="p",AG316,AG317))</f>
        <v/>
      </c>
      <c r="AR321" s="117" t="str">
        <f>IF(NOT(AP321),"",IF(AL321="p",AG317,AG316))</f>
        <v/>
      </c>
      <c r="AT321" s="115" t="b">
        <f t="shared" si="161"/>
        <v>0</v>
      </c>
      <c r="AU321" s="115" t="b">
        <f>AND(ASZTAB!$AJ$42,AT321,F321=H321)</f>
        <v>0</v>
      </c>
      <c r="AV321" s="115" t="b">
        <f t="shared" si="162"/>
        <v>0</v>
      </c>
      <c r="AW321" s="116" t="str">
        <f t="shared" si="163"/>
        <v/>
      </c>
      <c r="AX321" s="117" t="str">
        <f t="shared" si="164"/>
        <v/>
      </c>
      <c r="AY321" s="116" t="str">
        <f>IF(OR(AY320="",NOT(AV321)),"",IF(AG316=AW321,X320,0)+AY320)</f>
        <v/>
      </c>
      <c r="AZ321" s="116" t="str">
        <f>IF(OR(AZ320="",NOT(AV321)),"",IF(AG317=AW321,X320,0)+AZ320)</f>
        <v/>
      </c>
      <c r="BD321" s="142"/>
      <c r="BI321" s="118"/>
      <c r="BK321" s="119"/>
      <c r="BL321" s="119"/>
      <c r="BM321" s="119"/>
      <c r="BN321" s="119"/>
    </row>
    <row r="322" spans="1:66" ht="15" customHeight="1" x14ac:dyDescent="0.3">
      <c r="A322" s="864"/>
      <c r="B322" s="122"/>
      <c r="C322" s="106"/>
      <c r="D322" s="123"/>
      <c r="E322" s="124"/>
      <c r="F322" s="125"/>
      <c r="G322" s="123"/>
      <c r="H322" s="114"/>
      <c r="I322" s="123"/>
      <c r="J322" s="125"/>
      <c r="K322" s="123"/>
      <c r="L322" s="114"/>
      <c r="M322" s="123"/>
      <c r="N322" s="123"/>
      <c r="O322" s="123"/>
      <c r="AE322" s="15" t="s">
        <v>317</v>
      </c>
      <c r="AF322" s="15" t="str">
        <f>CONCATENATE(V313,"l")</f>
        <v>18l</v>
      </c>
      <c r="AG322" s="16" t="str">
        <f ca="1">IF(AG321=AG316,AG317,IF(AG317=AG321,AG316,""))</f>
        <v/>
      </c>
      <c r="AL322" s="126" t="s">
        <v>330</v>
      </c>
      <c r="BD322" s="142"/>
      <c r="BI322" s="118"/>
      <c r="BK322" s="119"/>
      <c r="BL322" s="119"/>
      <c r="BM322" s="119"/>
      <c r="BN322" s="119"/>
    </row>
    <row r="323" spans="1:66" ht="15" customHeight="1" x14ac:dyDescent="0.3">
      <c r="A323" s="864"/>
      <c r="B323" s="122"/>
      <c r="C323" s="127" t="s">
        <v>463</v>
      </c>
      <c r="D323" s="123"/>
      <c r="E323" s="124"/>
      <c r="F323" s="125"/>
      <c r="G323" s="123"/>
      <c r="H323" s="114"/>
      <c r="I323" s="123"/>
      <c r="J323" s="125"/>
      <c r="K323" s="123"/>
      <c r="L323" s="114"/>
      <c r="M323" s="123"/>
      <c r="N323" s="123"/>
      <c r="O323" s="123"/>
      <c r="Y323" s="11" t="s">
        <v>294</v>
      </c>
      <c r="Z323" s="70" t="s">
        <v>311</v>
      </c>
      <c r="AA323" s="70" t="s">
        <v>153</v>
      </c>
      <c r="AB323" s="70" t="s">
        <v>153</v>
      </c>
      <c r="AE323" s="15" t="s">
        <v>287</v>
      </c>
      <c r="AF323" s="15" t="str">
        <f>CONCATENATE(V313,"e")</f>
        <v>18e</v>
      </c>
      <c r="AG323" s="21" t="b">
        <f ca="1">AND(AG321&lt;&gt;"",AG322&lt;&gt;"")</f>
        <v>0</v>
      </c>
      <c r="BD323" s="15"/>
      <c r="BI323" s="118"/>
      <c r="BK323" s="119"/>
      <c r="BL323" s="119"/>
      <c r="BM323" s="119"/>
      <c r="BN323" s="119"/>
    </row>
    <row r="324" spans="1:66" ht="15" customHeight="1" x14ac:dyDescent="0.3">
      <c r="A324" s="864"/>
      <c r="B324" s="122"/>
      <c r="C324" s="865"/>
      <c r="D324" s="865"/>
      <c r="E324" s="865"/>
      <c r="F324" s="865"/>
      <c r="G324" s="865"/>
      <c r="H324" s="865"/>
      <c r="I324" s="865"/>
      <c r="J324" s="865"/>
      <c r="K324" s="865"/>
      <c r="L324" s="865"/>
      <c r="M324" s="865"/>
      <c r="N324" s="865"/>
      <c r="O324" s="865"/>
      <c r="W324" s="15" t="s">
        <v>319</v>
      </c>
      <c r="X324" s="18" t="b">
        <v>0</v>
      </c>
      <c r="Y324" s="72" t="s">
        <v>289</v>
      </c>
      <c r="Z324" s="16" t="str">
        <f ca="1">IF(AND(AJ316,AJ317,X324,Y324&lt;&gt;""),CONCATENATE(VLOOKUP(CONCATENATE(AG316,AG317),INDIRECT(CONCATENATE("games.",Y324)),9,FALSE),VLOOKUP(CONCATENATE(AG316,AG317),INDIRECT(CONCATENATE("games.",Y324)),12,FALSE)),"")</f>
        <v/>
      </c>
      <c r="AA324" s="16" t="str">
        <f ca="1">IF(AND(AJ316,AJ317,X324,Y324&lt;&gt;""),VLOOKUP(CONCATENATE(AG316,AG317),INDIRECT(CONCATENATE("games.",Y324)),10,FALSE),"")</f>
        <v/>
      </c>
      <c r="AB324" s="54" t="str">
        <f ca="1">IF(AND(AJ316,AJ317,X324,Y324&lt;&gt;""),VLOOKUP(CONCATENATE(AG316,AG317),INDIRECT(CONCATENATE("games.",Y324)),13,FALSE),"")</f>
        <v/>
      </c>
      <c r="BD324" s="15"/>
      <c r="BI324" s="118"/>
      <c r="BK324" s="119"/>
      <c r="BL324" s="119"/>
      <c r="BM324" s="119"/>
      <c r="BN324" s="119"/>
    </row>
    <row r="325" spans="1:66" ht="15" customHeight="1" x14ac:dyDescent="0.3">
      <c r="A325" s="864"/>
      <c r="B325" s="122"/>
      <c r="C325" s="866"/>
      <c r="D325" s="866"/>
      <c r="E325" s="866"/>
      <c r="F325" s="866"/>
      <c r="G325" s="866"/>
      <c r="H325" s="866"/>
      <c r="I325" s="866"/>
      <c r="J325" s="866"/>
      <c r="K325" s="866"/>
      <c r="L325" s="866"/>
      <c r="M325" s="866"/>
      <c r="N325" s="866"/>
      <c r="O325" s="866"/>
      <c r="Z325" s="16" t="str">
        <f ca="1">IF(AND(AJ316,AJ317,X324,Y324&lt;&gt;""),CONCATENATE(VLOOKUP(CONCATENATE(AG317,AG316),INDIRECT(CONCATENATE("games.",Y324)),9,FALSE),VLOOKUP(CONCATENATE(AG317,AG316),INDIRECT(CONCATENATE("games.",Y324)),12,FALSE)),"")</f>
        <v/>
      </c>
      <c r="AA325" s="16" t="str">
        <f ca="1">IF(AND(AJ316,AJ317,X324,Y324&lt;&gt;""),VLOOKUP(CONCATENATE(AG317,AG316),INDIRECT(CONCATENATE("games.",Y324)),10,FALSE),"")</f>
        <v/>
      </c>
      <c r="AB325" s="54" t="str">
        <f ca="1">IF(AND(AJ316,AJ317,X324,Y324&lt;&gt;""),VLOOKUP(CONCATENATE(AG317,AG316),INDIRECT(CONCATENATE("games.",Y324)),13,FALSE),"")</f>
        <v/>
      </c>
      <c r="BD325" s="15"/>
      <c r="BI325" s="118"/>
      <c r="BK325" s="119"/>
      <c r="BL325" s="119"/>
      <c r="BM325" s="119"/>
      <c r="BN325" s="119"/>
    </row>
    <row r="326" spans="1:66" ht="15" customHeight="1" x14ac:dyDescent="0.3">
      <c r="A326" s="864"/>
      <c r="B326" s="122"/>
      <c r="C326" s="866"/>
      <c r="D326" s="866"/>
      <c r="E326" s="866"/>
      <c r="F326" s="866"/>
      <c r="G326" s="866"/>
      <c r="H326" s="866"/>
      <c r="I326" s="866"/>
      <c r="J326" s="866"/>
      <c r="K326" s="866"/>
      <c r="L326" s="866"/>
      <c r="M326" s="866"/>
      <c r="N326" s="866"/>
      <c r="O326" s="866"/>
      <c r="BD326" s="15"/>
      <c r="BI326" s="118"/>
      <c r="BK326" s="119"/>
      <c r="BL326" s="119"/>
      <c r="BM326" s="119"/>
      <c r="BN326" s="119"/>
    </row>
    <row r="327" spans="1:66" ht="15" customHeight="1" x14ac:dyDescent="0.3">
      <c r="A327" s="864"/>
      <c r="B327" s="122"/>
      <c r="C327" s="106"/>
      <c r="D327" s="123"/>
      <c r="E327" s="124"/>
      <c r="F327" s="125"/>
      <c r="G327" s="123"/>
      <c r="H327" s="114"/>
      <c r="I327" s="123"/>
      <c r="J327" s="125"/>
      <c r="K327" s="123"/>
      <c r="L327" s="114"/>
      <c r="M327" s="123"/>
      <c r="N327" s="123"/>
      <c r="O327" s="123"/>
      <c r="U327" s="10"/>
      <c r="V327" s="128"/>
      <c r="W327" s="129"/>
      <c r="X327" s="10"/>
      <c r="Y327" s="130"/>
      <c r="Z327" s="130"/>
      <c r="AA327" s="130"/>
      <c r="AB327" s="130"/>
      <c r="AC327" s="130"/>
      <c r="AD327" s="130"/>
      <c r="AE327" s="130"/>
      <c r="AF327" s="130"/>
      <c r="AG327" s="130"/>
      <c r="AH327" s="130"/>
      <c r="AI327" s="130"/>
      <c r="AJ327" s="130"/>
      <c r="AK327" s="130"/>
      <c r="AL327" s="130"/>
      <c r="AM327" s="10"/>
      <c r="AO327" s="131"/>
      <c r="AP327" s="131"/>
      <c r="AQ327" s="132"/>
      <c r="AR327" s="132"/>
      <c r="AS327" s="132"/>
      <c r="AT327" s="131"/>
      <c r="AU327" s="131"/>
      <c r="AV327" s="131"/>
      <c r="AW327" s="132"/>
      <c r="AX327" s="132"/>
      <c r="AY327" s="131"/>
      <c r="AZ327" s="131"/>
      <c r="BA327" s="131"/>
      <c r="BD327" s="15"/>
      <c r="BI327" s="118"/>
      <c r="BK327" s="119"/>
      <c r="BL327" s="119"/>
      <c r="BM327" s="119"/>
      <c r="BN327" s="119"/>
    </row>
    <row r="328" spans="1:66" ht="15" customHeight="1" x14ac:dyDescent="0.3">
      <c r="A328" s="864"/>
      <c r="B328" s="88"/>
      <c r="C328" s="89"/>
      <c r="D328" s="90"/>
      <c r="BI328" s="118"/>
      <c r="BM328" s="119"/>
    </row>
    <row r="329" spans="1:66" ht="15" customHeight="1" x14ac:dyDescent="0.3">
      <c r="A329" s="864"/>
      <c r="B329" s="147"/>
      <c r="C329" s="149">
        <f>V329</f>
        <v>19</v>
      </c>
      <c r="D329" s="150" t="str">
        <f>UPPER(W329)</f>
        <v/>
      </c>
      <c r="E329" s="151"/>
      <c r="F329" s="151"/>
      <c r="G329" s="151"/>
      <c r="H329" s="151"/>
      <c r="I329" s="151"/>
      <c r="J329" s="151"/>
      <c r="K329" s="151"/>
      <c r="L329" s="151"/>
      <c r="M329" s="138"/>
      <c r="N329" s="151"/>
      <c r="O329" s="161" t="str">
        <f ca="1">IF(NOT(AG339),"","A PÁRHARC GYŐZTESE: "&amp;UPPER(AG337))</f>
        <v/>
      </c>
      <c r="P329" s="152" t="str">
        <f>IF(NOT(Y337),"",CONCATENATE("A PÁRHARC GYŐZTESE: ",AH335," "))</f>
        <v/>
      </c>
      <c r="Q329" s="148" t="str">
        <f>IF(NOT(Z337),"",CONCATENATE("A PÁRHARC GYŐZTESE: ",AJ335," "))</f>
        <v/>
      </c>
      <c r="R329" s="148" t="str">
        <f>IF(NOT(AA337),"",CONCATENATE("A PÁRHARC GYŐZTESE: ",AK335," "))</f>
        <v/>
      </c>
      <c r="S329" s="148" t="str">
        <f>IF(NOT(AB337),"",CONCATENATE("A PÁRHARC GYŐZTESE: ",AL335," "))</f>
        <v/>
      </c>
      <c r="V329" s="21">
        <f>V313+1</f>
        <v>19</v>
      </c>
      <c r="W329" s="95"/>
      <c r="X329" s="96"/>
      <c r="Y329" s="96"/>
      <c r="Z329" s="96"/>
      <c r="AA329" s="96"/>
      <c r="AB329" s="96"/>
      <c r="AC329" s="96"/>
      <c r="AD329" s="96"/>
      <c r="AE329" s="96"/>
      <c r="AF329" s="96"/>
      <c r="AG329" s="96"/>
      <c r="AH329" s="96"/>
      <c r="AI329" s="96"/>
      <c r="AJ329" s="96"/>
      <c r="AK329" s="96"/>
      <c r="AL329" s="97"/>
      <c r="AY329" s="13" t="s">
        <v>326</v>
      </c>
      <c r="AZ329" s="13" t="s">
        <v>325</v>
      </c>
      <c r="BD329" s="142"/>
      <c r="BH329" s="98"/>
      <c r="BI329" s="118"/>
      <c r="BJ329" s="98"/>
      <c r="BK329" s="99"/>
      <c r="BL329" s="99"/>
      <c r="BM329" s="119"/>
    </row>
    <row r="330" spans="1:66" ht="11.25" customHeight="1" x14ac:dyDescent="0.3">
      <c r="A330" s="864"/>
      <c r="C330" s="101"/>
      <c r="D330" s="102"/>
      <c r="E330" s="103"/>
      <c r="F330" s="58"/>
      <c r="G330" s="104"/>
      <c r="H330" s="60"/>
      <c r="I330" s="146"/>
      <c r="J330" s="107"/>
      <c r="K330" s="160" t="str">
        <f>IF(OR(AU331,AU332,AU333,AU334,AU335,AU336,AU337),"BÜNTETŐK","")</f>
        <v/>
      </c>
      <c r="L330" s="110"/>
      <c r="M330" s="158" t="s">
        <v>286</v>
      </c>
      <c r="N330" s="159"/>
      <c r="O330" s="158" t="s">
        <v>285</v>
      </c>
      <c r="AP330" s="105" t="s">
        <v>328</v>
      </c>
      <c r="AQ330" s="12" t="s">
        <v>138</v>
      </c>
      <c r="AR330" s="12" t="s">
        <v>139</v>
      </c>
      <c r="AT330" s="105" t="s">
        <v>320</v>
      </c>
      <c r="AU330" s="105" t="s">
        <v>321</v>
      </c>
      <c r="AV330" s="105" t="s">
        <v>324</v>
      </c>
      <c r="AW330" s="12" t="s">
        <v>322</v>
      </c>
      <c r="AX330" s="12" t="s">
        <v>323</v>
      </c>
      <c r="AY330" s="116">
        <f>IF(X340,COUNTIF(Z340:Z341,AG332)*ASZTAB!$AJ$48+COUNTIF(AA340:AB341,AG332),0)</f>
        <v>0</v>
      </c>
      <c r="AZ330" s="116">
        <f>IF(X340,COUNTIF(Z340:Z341,AG333)*ASZTAB!$AJ$48+COUNTIF(AA340:AB341,AG333),0)</f>
        <v>0</v>
      </c>
      <c r="BD330" s="142"/>
      <c r="BH330" s="98"/>
      <c r="BI330" s="118"/>
      <c r="BJ330" s="98"/>
      <c r="BK330" s="99"/>
      <c r="BL330" s="99"/>
      <c r="BM330" s="119"/>
    </row>
    <row r="331" spans="1:66" ht="15" customHeight="1" x14ac:dyDescent="0.3">
      <c r="A331" s="864"/>
      <c r="B331" s="7"/>
      <c r="C331" s="106">
        <v>1</v>
      </c>
      <c r="D331" s="137"/>
      <c r="E331" s="107" t="str">
        <f t="shared" ref="E331:E337" si="166">IF(NOT($AP331),"",AQ331)</f>
        <v/>
      </c>
      <c r="F331" s="108"/>
      <c r="G331" s="64" t="str">
        <f t="shared" ref="G331:G337" si="167">IF(NOT($AP331),"","–")</f>
        <v/>
      </c>
      <c r="H331" s="109"/>
      <c r="I331" s="110" t="str">
        <f t="shared" ref="I331:I337" si="168">IF(NOT($AP331),"",AR331)</f>
        <v/>
      </c>
      <c r="J331" s="111"/>
      <c r="K331" s="112" t="str">
        <f t="shared" ref="K331:K337" si="169">IF(AU331,"–","")</f>
        <v/>
      </c>
      <c r="L331" s="113"/>
      <c r="M331" s="153" t="str">
        <f>IF(OR(AL331="",NOT(AV331)),"",IF(AL331="p",CONCATENATE(AY331,"–",AZ331),CONCATENATE(AZ331,"–",AY331)))</f>
        <v/>
      </c>
      <c r="N331" s="110"/>
      <c r="O331" s="139"/>
      <c r="P331" s="114"/>
      <c r="Q331" s="114"/>
      <c r="R331" s="114"/>
      <c r="S331" s="114"/>
      <c r="X331" s="11" t="s">
        <v>306</v>
      </c>
      <c r="Y331" s="11" t="s">
        <v>294</v>
      </c>
      <c r="Z331" s="70" t="s">
        <v>295</v>
      </c>
      <c r="AA331" s="70" t="s">
        <v>127</v>
      </c>
      <c r="AB331" s="70" t="s">
        <v>301</v>
      </c>
      <c r="AC331" s="70" t="s">
        <v>302</v>
      </c>
      <c r="AD331" s="70" t="s">
        <v>332</v>
      </c>
      <c r="AE331" s="70" t="s">
        <v>333</v>
      </c>
      <c r="AF331" s="70" t="s">
        <v>329</v>
      </c>
      <c r="AG331" s="70" t="s">
        <v>303</v>
      </c>
      <c r="AH331" s="70" t="s">
        <v>293</v>
      </c>
      <c r="AJ331" s="71" t="s">
        <v>314</v>
      </c>
      <c r="AL331" s="18" t="s">
        <v>318</v>
      </c>
      <c r="AP331" s="115" t="b">
        <f>AND(AJ332,AJ333,AL331&lt;&gt;"")</f>
        <v>0</v>
      </c>
      <c r="AQ331" s="116" t="str">
        <f>IF(NOT(AP331),"",IF(AL331="p",AG332,AG333))</f>
        <v/>
      </c>
      <c r="AR331" s="117" t="str">
        <f>IF(NOT(AP331),"",IF(AL331="p",AG333,AG332))</f>
        <v/>
      </c>
      <c r="AT331" s="115" t="b">
        <f t="shared" ref="AT331:AT337" si="170">AND(F331&lt;&gt;"",H331&lt;&gt;"",AP331)</f>
        <v>0</v>
      </c>
      <c r="AU331" s="115" t="b">
        <f>AND(ASZTAB!$AJ$42,AT331,F331=H331)</f>
        <v>0</v>
      </c>
      <c r="AV331" s="115" t="b">
        <f t="shared" ref="AV331:AV337" si="171">OR(AND(AT331,NOT(AU331),F331&lt;&gt;H331),AND(AT331,AU331,J331&lt;&gt;"",L331&lt;&gt;"",J331&lt;&gt;L331))</f>
        <v>0</v>
      </c>
      <c r="AW331" s="116" t="str">
        <f t="shared" ref="AW331:AW337" si="172">IF(NOT(AV331),"",IF(AU331,IF(F331+J331&gt;H331+L331,E331,I331),IF(F331&gt;H331,E331,I331)))</f>
        <v/>
      </c>
      <c r="AX331" s="117" t="str">
        <f t="shared" ref="AX331:AX337" si="173">IF(NOT(AV331),"",IF(AW331=E331,I331,IF(AW331=I331,E331,"")))</f>
        <v/>
      </c>
      <c r="AY331" s="116" t="str">
        <f>IF(NOT(AV331),"",IF(AG332=AW331,X336,0)+AY330)</f>
        <v/>
      </c>
      <c r="AZ331" s="116" t="str">
        <f>IF(NOT(AV331),"",IF(AG333=AW331,X336,0)+AZ330)</f>
        <v/>
      </c>
      <c r="BD331" s="142"/>
      <c r="BI331" s="118"/>
      <c r="BK331" s="99"/>
      <c r="BL331" s="119"/>
      <c r="BM331" s="119"/>
    </row>
    <row r="332" spans="1:66" ht="15" customHeight="1" x14ac:dyDescent="0.3">
      <c r="A332" s="864"/>
      <c r="B332" s="7"/>
      <c r="C332" s="106">
        <v>2</v>
      </c>
      <c r="D332" s="137"/>
      <c r="E332" s="107" t="str">
        <f t="shared" si="166"/>
        <v/>
      </c>
      <c r="F332" s="108"/>
      <c r="G332" s="64" t="str">
        <f t="shared" si="167"/>
        <v/>
      </c>
      <c r="H332" s="109"/>
      <c r="I332" s="110" t="str">
        <f t="shared" si="168"/>
        <v/>
      </c>
      <c r="J332" s="111"/>
      <c r="K332" s="112" t="str">
        <f t="shared" si="169"/>
        <v/>
      </c>
      <c r="L332" s="113"/>
      <c r="M332" s="153" t="str">
        <f t="shared" ref="M332:M337" si="174">IF(OR(AL332="",NOT(AV332)),"",IF(AL332="p",CONCATENATE(AY332,"–",AZ332),CONCATENATE(AZ332,"–",AY332)))</f>
        <v/>
      </c>
      <c r="N332" s="110"/>
      <c r="O332" s="140"/>
      <c r="P332" s="114"/>
      <c r="Q332" s="114"/>
      <c r="R332" s="114"/>
      <c r="S332" s="114"/>
      <c r="W332" s="15" t="s">
        <v>312</v>
      </c>
      <c r="X332" s="18"/>
      <c r="Y332" s="72"/>
      <c r="Z332" s="72"/>
      <c r="AA332" s="72"/>
      <c r="AB332" s="18"/>
      <c r="AC332" s="18"/>
      <c r="AD332" s="14" t="str">
        <f ca="1">IF(NOT(AJ332),"",IF(X332=$BE$45,VLOOKUP(AA332,INDIRECT(CONCATENATE("rank.",Y332,Z332)),2,FALSE),VLOOKUP(CONCATENATE(AB332,AC332),result.e,2,FALSE)))</f>
        <v/>
      </c>
      <c r="AE332" s="18"/>
      <c r="AF332" s="120" t="str">
        <f ca="1">IF(OR(AD332="",X332=$BE$45),"",VLOOKUP(AD332,INDIRECT(CONCATENATE("rankname.",AE332)),2,FALSE))</f>
        <v/>
      </c>
      <c r="AG332" s="14" t="str">
        <f ca="1">IF(AD332="","",IF(X332=$BE$45,AD332,IF(AF332&gt;AF333,AD333,AD332)))</f>
        <v/>
      </c>
      <c r="AH332" s="120">
        <f>MAX(AY330:AY337)</f>
        <v>0</v>
      </c>
      <c r="AJ332" s="21" t="b">
        <f>IF(X332=$BE$45,IF(OR(Y332="",Z332="",AA332=""),FALSE,VLOOKUP(CONCATENATE(Y332,Z332),$BD$59:$BE$63,2,FALSE)),IF(OR(AB332="",AC332="",AE332=""),FALSE,VLOOKUP(CONCATENATE(AB332,"e"),result.e,2,FALSE)))</f>
        <v>0</v>
      </c>
      <c r="AL332" s="18" t="s">
        <v>331</v>
      </c>
      <c r="AP332" s="115" t="b">
        <f>AND(AP331,AL332&lt;&gt;"",(COUNTIF(AP331:AP331,"IGAZ")-COUNTIF(AV331:AV331,"IGAZ"))*X336+MAX(AY330:AZ331)&lt;X335)</f>
        <v>0</v>
      </c>
      <c r="AQ332" s="116" t="str">
        <f>IF(NOT(AP332),"",IF(AL332="p",AG332,AG333))</f>
        <v/>
      </c>
      <c r="AR332" s="117" t="str">
        <f>IF(NOT(AP332),"",IF(AL332="p",AG333,AG332))</f>
        <v/>
      </c>
      <c r="AT332" s="115" t="b">
        <f t="shared" si="170"/>
        <v>0</v>
      </c>
      <c r="AU332" s="115" t="b">
        <f>AND(ASZTAB!$AJ$42,AT332,F332=H332)</f>
        <v>0</v>
      </c>
      <c r="AV332" s="115" t="b">
        <f t="shared" si="171"/>
        <v>0</v>
      </c>
      <c r="AW332" s="116" t="str">
        <f t="shared" si="172"/>
        <v/>
      </c>
      <c r="AX332" s="117" t="str">
        <f t="shared" si="173"/>
        <v/>
      </c>
      <c r="AY332" s="116" t="str">
        <f>IF(OR(AY331="",NOT(AV332)),"",IF(AG332=AW332,X336,0)+AY331)</f>
        <v/>
      </c>
      <c r="AZ332" s="116" t="str">
        <f>IF(OR(AZ331="",NOT(AV332)),"",IF(AG333=AW332,X336,0)+AZ331)</f>
        <v/>
      </c>
      <c r="BD332" s="142"/>
      <c r="BI332" s="118"/>
      <c r="BK332" s="99"/>
      <c r="BM332" s="119"/>
    </row>
    <row r="333" spans="1:66" ht="15" customHeight="1" x14ac:dyDescent="0.3">
      <c r="A333" s="864"/>
      <c r="B333" s="7"/>
      <c r="C333" s="106">
        <v>3</v>
      </c>
      <c r="D333" s="137"/>
      <c r="E333" s="107" t="str">
        <f t="shared" si="166"/>
        <v/>
      </c>
      <c r="F333" s="108"/>
      <c r="G333" s="64" t="str">
        <f t="shared" si="167"/>
        <v/>
      </c>
      <c r="H333" s="109"/>
      <c r="I333" s="110" t="str">
        <f t="shared" si="168"/>
        <v/>
      </c>
      <c r="J333" s="111"/>
      <c r="K333" s="112" t="str">
        <f t="shared" si="169"/>
        <v/>
      </c>
      <c r="L333" s="113"/>
      <c r="M333" s="153" t="str">
        <f t="shared" si="174"/>
        <v/>
      </c>
      <c r="N333" s="110"/>
      <c r="O333" s="140"/>
      <c r="P333" s="114"/>
      <c r="Q333" s="114"/>
      <c r="R333" s="114"/>
      <c r="S333" s="114"/>
      <c r="W333" s="15" t="s">
        <v>313</v>
      </c>
      <c r="X333" s="18"/>
      <c r="Y333" s="72"/>
      <c r="Z333" s="72"/>
      <c r="AA333" s="72"/>
      <c r="AB333" s="18"/>
      <c r="AC333" s="18"/>
      <c r="AD333" s="14" t="str">
        <f ca="1">IF(NOT(AJ333),"",IF(X333=$BE$45,VLOOKUP(AA333,INDIRECT(CONCATENATE("rank.",Y333,Z333)),2,FALSE),VLOOKUP(CONCATENATE(AB333,AC333),result.e,2,FALSE)))</f>
        <v/>
      </c>
      <c r="AE333" s="18"/>
      <c r="AF333" s="120" t="str">
        <f ca="1">IF(OR(AD333="",X333=$BE$45),"",VLOOKUP(AD333,INDIRECT(CONCATENATE("rankname.",AE333)),2,FALSE))</f>
        <v/>
      </c>
      <c r="AG333" s="14" t="str">
        <f ca="1">IF(AD333="","",IF(X333=$BE$45,AD333,IF(AF332&gt;AF333,AD332,AD333)))</f>
        <v/>
      </c>
      <c r="AH333" s="120">
        <f>MAX(AZ330:AZ337)</f>
        <v>0</v>
      </c>
      <c r="AJ333" s="21" t="b">
        <f>IF(X333=$BE$45,IF(OR(Y333="",Z333="",AA333=""),FALSE,VLOOKUP(CONCATENATE(Y333,Z333),$BD$59:$BE$63,2,FALSE)),IF(OR(AB333="",AC333="",AE333=""),FALSE,VLOOKUP(CONCATENATE(AB333,"e"),result.e,2,FALSE)))</f>
        <v>0</v>
      </c>
      <c r="AL333" s="18" t="s">
        <v>318</v>
      </c>
      <c r="AP333" s="115" t="b">
        <f>AND(AP332,AL333&lt;&gt;"",(COUNTIF(AP331:AP332,"IGAZ")-COUNTIF(AV331:AV332,"IGAZ"))*X336+MAX(AY330:AZ332)&lt;X335)</f>
        <v>0</v>
      </c>
      <c r="AQ333" s="116" t="str">
        <f>IF(NOT(AP333),"",IF(AL333="p",AG332,AG333))</f>
        <v/>
      </c>
      <c r="AR333" s="117" t="str">
        <f>IF(NOT(AP333),"",IF(AL333="p",AG333,AG332))</f>
        <v/>
      </c>
      <c r="AT333" s="115" t="b">
        <f t="shared" si="170"/>
        <v>0</v>
      </c>
      <c r="AU333" s="115" t="b">
        <f>AND(ASZTAB!$AJ$42,AT333,F333=H333)</f>
        <v>0</v>
      </c>
      <c r="AV333" s="115" t="b">
        <f t="shared" si="171"/>
        <v>0</v>
      </c>
      <c r="AW333" s="116" t="str">
        <f t="shared" si="172"/>
        <v/>
      </c>
      <c r="AX333" s="117" t="str">
        <f t="shared" si="173"/>
        <v/>
      </c>
      <c r="AY333" s="116" t="str">
        <f>IF(OR(AY332="",NOT(AV333)),"",IF(AG332=AW333,X336,0)+AY332)</f>
        <v/>
      </c>
      <c r="AZ333" s="116" t="str">
        <f>IF(OR(AZ332="",NOT(AV333)),"",IF(AG333=AW333,X336,0)+AZ332)</f>
        <v/>
      </c>
      <c r="BD333" s="142"/>
      <c r="BI333" s="118"/>
      <c r="BM333" s="119"/>
      <c r="BN333" s="119"/>
    </row>
    <row r="334" spans="1:66" ht="15" customHeight="1" x14ac:dyDescent="0.3">
      <c r="A334" s="864"/>
      <c r="B334" s="7"/>
      <c r="C334" s="106">
        <v>4</v>
      </c>
      <c r="D334" s="137"/>
      <c r="E334" s="107" t="str">
        <f t="shared" si="166"/>
        <v/>
      </c>
      <c r="F334" s="108"/>
      <c r="G334" s="64" t="str">
        <f t="shared" si="167"/>
        <v/>
      </c>
      <c r="H334" s="109"/>
      <c r="I334" s="110" t="str">
        <f t="shared" si="168"/>
        <v/>
      </c>
      <c r="J334" s="111"/>
      <c r="K334" s="112" t="str">
        <f t="shared" si="169"/>
        <v/>
      </c>
      <c r="L334" s="113"/>
      <c r="M334" s="153" t="str">
        <f t="shared" si="174"/>
        <v/>
      </c>
      <c r="N334" s="110"/>
      <c r="O334" s="140"/>
      <c r="P334" s="114"/>
      <c r="Q334" s="114"/>
      <c r="AL334" s="18" t="s">
        <v>331</v>
      </c>
      <c r="AP334" s="115" t="b">
        <f>AND(AP333,AL334&lt;&gt;"",(COUNTIF(AP331:AP333,"IGAZ")-COUNTIF(AV331:AV333,"IGAZ"))*X336+MAX(AY330:AZ333)&lt;X335)</f>
        <v>0</v>
      </c>
      <c r="AQ334" s="116" t="str">
        <f>IF(NOT(AP334),"",IF(AL334="p",AG332,AG333))</f>
        <v/>
      </c>
      <c r="AR334" s="117" t="str">
        <f>IF(NOT(AP334),"",IF(AL334="p",AG333,AG332))</f>
        <v/>
      </c>
      <c r="AT334" s="115" t="b">
        <f t="shared" si="170"/>
        <v>0</v>
      </c>
      <c r="AU334" s="115" t="b">
        <f>AND(ASZTAB!$AJ$42,AT334,F334=H334)</f>
        <v>0</v>
      </c>
      <c r="AV334" s="115" t="b">
        <f t="shared" si="171"/>
        <v>0</v>
      </c>
      <c r="AW334" s="116" t="str">
        <f t="shared" si="172"/>
        <v/>
      </c>
      <c r="AX334" s="117" t="str">
        <f t="shared" si="173"/>
        <v/>
      </c>
      <c r="AY334" s="116" t="str">
        <f>IF(OR(AY333="",NOT(AV334)),"",IF(AG332=AW334,X336,0)+AY333)</f>
        <v/>
      </c>
      <c r="AZ334" s="116" t="str">
        <f>IF(OR(AZ333="",NOT(AV334)),"",IF(AG333=AW334,X336,0)+AZ333)</f>
        <v/>
      </c>
      <c r="BD334" s="142"/>
      <c r="BI334" s="118"/>
      <c r="BM334" s="119"/>
    </row>
    <row r="335" spans="1:66" ht="15" customHeight="1" x14ac:dyDescent="0.3">
      <c r="A335" s="864"/>
      <c r="B335" s="121"/>
      <c r="C335" s="106">
        <v>5</v>
      </c>
      <c r="D335" s="137"/>
      <c r="E335" s="107" t="str">
        <f t="shared" si="166"/>
        <v/>
      </c>
      <c r="F335" s="108"/>
      <c r="G335" s="64" t="str">
        <f t="shared" si="167"/>
        <v/>
      </c>
      <c r="H335" s="109"/>
      <c r="I335" s="110" t="str">
        <f t="shared" si="168"/>
        <v/>
      </c>
      <c r="J335" s="111"/>
      <c r="K335" s="112" t="str">
        <f t="shared" si="169"/>
        <v/>
      </c>
      <c r="L335" s="113"/>
      <c r="M335" s="153" t="str">
        <f t="shared" si="174"/>
        <v/>
      </c>
      <c r="N335" s="110"/>
      <c r="O335" s="140"/>
      <c r="P335" s="114"/>
      <c r="Q335" s="114"/>
      <c r="R335" s="114"/>
      <c r="S335" s="114"/>
      <c r="W335" s="15" t="s">
        <v>315</v>
      </c>
      <c r="X335" s="18">
        <v>3</v>
      </c>
      <c r="AD335" s="15"/>
      <c r="AE335" s="15" t="s">
        <v>312</v>
      </c>
      <c r="AF335" s="15" t="str">
        <f>CONCATENATE(V329,"f")</f>
        <v>19f</v>
      </c>
      <c r="AG335" s="16" t="str">
        <f>IF(OR(NOT(AJ332),NOT(AJ333)),"",AD332)</f>
        <v/>
      </c>
      <c r="AH335" s="23" t="str">
        <f>IF(OR(NOT(AJ332),NOT(AJ333)),"",VLOOKUP(AG335,AG332:AH333,2,FALSE))</f>
        <v/>
      </c>
      <c r="AL335" s="18" t="s">
        <v>318</v>
      </c>
      <c r="AP335" s="115" t="b">
        <f>AND(AP334,AL335&lt;&gt;"",(COUNTIF(AP331:AP334,"IGAZ")-COUNTIF(AV331:AV334,"IGAZ"))*X336+MAX(AY330:AZ334)&lt;X335)</f>
        <v>0</v>
      </c>
      <c r="AQ335" s="116" t="str">
        <f>IF(NOT(AP335),"",IF(AL335="p",AG332,AG333))</f>
        <v/>
      </c>
      <c r="AR335" s="117" t="str">
        <f>IF(NOT(AP335),"",IF(AL335="p",AG333,AG332))</f>
        <v/>
      </c>
      <c r="AT335" s="115" t="b">
        <f t="shared" si="170"/>
        <v>0</v>
      </c>
      <c r="AU335" s="115" t="b">
        <f>AND(ASZTAB!$AJ$42,AT335,F335=H335)</f>
        <v>0</v>
      </c>
      <c r="AV335" s="115" t="b">
        <f t="shared" si="171"/>
        <v>0</v>
      </c>
      <c r="AW335" s="116" t="str">
        <f t="shared" si="172"/>
        <v/>
      </c>
      <c r="AX335" s="117" t="str">
        <f t="shared" si="173"/>
        <v/>
      </c>
      <c r="AY335" s="116" t="str">
        <f>IF(OR(AY334="",NOT(AV335)),"",IF(AG332=AW335,X336,0)+AY334)</f>
        <v/>
      </c>
      <c r="AZ335" s="116" t="str">
        <f>IF(OR(AZ334="",NOT(AV335)),"",IF(AG333=AW335,X336,0)+AZ334)</f>
        <v/>
      </c>
      <c r="BD335" s="142"/>
      <c r="BI335" s="118"/>
      <c r="BK335" s="119"/>
      <c r="BL335" s="119"/>
      <c r="BM335" s="119"/>
    </row>
    <row r="336" spans="1:66" ht="15" customHeight="1" x14ac:dyDescent="0.3">
      <c r="A336" s="864"/>
      <c r="B336" s="122"/>
      <c r="C336" s="106">
        <v>6</v>
      </c>
      <c r="D336" s="137"/>
      <c r="E336" s="107" t="str">
        <f t="shared" si="166"/>
        <v/>
      </c>
      <c r="F336" s="108"/>
      <c r="G336" s="64" t="str">
        <f t="shared" si="167"/>
        <v/>
      </c>
      <c r="H336" s="109"/>
      <c r="I336" s="110" t="str">
        <f t="shared" si="168"/>
        <v/>
      </c>
      <c r="J336" s="111"/>
      <c r="K336" s="112" t="str">
        <f t="shared" si="169"/>
        <v/>
      </c>
      <c r="L336" s="113"/>
      <c r="M336" s="8" t="str">
        <f t="shared" si="174"/>
        <v/>
      </c>
      <c r="N336" s="123"/>
      <c r="O336" s="141"/>
      <c r="W336" s="15" t="s">
        <v>327</v>
      </c>
      <c r="X336" s="18">
        <v>1</v>
      </c>
      <c r="AD336" s="15"/>
      <c r="AE336" s="15" t="s">
        <v>313</v>
      </c>
      <c r="AF336" s="15" t="str">
        <f>CONCATENATE(V329,"a")</f>
        <v>19a</v>
      </c>
      <c r="AG336" s="16" t="str">
        <f>IF(OR(NOT(AJ332),NOT(AJ333)),"",AD333)</f>
        <v/>
      </c>
      <c r="AH336" s="23" t="str">
        <f>IF(OR(NOT(AJ332),NOT(AJ333)),"",VLOOKUP(AG336,AG332:AH333,2,FALSE))</f>
        <v/>
      </c>
      <c r="AL336" s="18" t="s">
        <v>331</v>
      </c>
      <c r="AP336" s="115" t="b">
        <f>AND(AP335,AL336&lt;&gt;"",(COUNTIF(AP331:AP335,"IGAZ")-COUNTIF(AV331:AV335,"IGAZ"))*X336+MAX(AY330:AZ335)&lt;X335)</f>
        <v>0</v>
      </c>
      <c r="AQ336" s="116" t="str">
        <f>IF(NOT(AP336),"",IF(AL336="p",AG332,AG333))</f>
        <v/>
      </c>
      <c r="AR336" s="117" t="str">
        <f>IF(NOT(AP336),"",IF(AL336="p",AG333,AG332))</f>
        <v/>
      </c>
      <c r="AT336" s="115" t="b">
        <f t="shared" si="170"/>
        <v>0</v>
      </c>
      <c r="AU336" s="115" t="b">
        <f>AND(ASZTAB!$AJ$42,AT336,F336=H336)</f>
        <v>0</v>
      </c>
      <c r="AV336" s="115" t="b">
        <f t="shared" si="171"/>
        <v>0</v>
      </c>
      <c r="AW336" s="116" t="str">
        <f t="shared" si="172"/>
        <v/>
      </c>
      <c r="AX336" s="117" t="str">
        <f t="shared" si="173"/>
        <v/>
      </c>
      <c r="AY336" s="116" t="str">
        <f>IF(OR(AY335="",NOT(AV336)),"",IF(AG332=AW336,X336,0)+AY335)</f>
        <v/>
      </c>
      <c r="AZ336" s="116" t="str">
        <f>IF(OR(AZ335="",NOT(AV336)),"",IF(AG333=AW336,X336,0)+AZ335)</f>
        <v/>
      </c>
      <c r="BD336" s="142"/>
      <c r="BI336" s="118"/>
      <c r="BK336" s="119"/>
      <c r="BL336" s="119"/>
      <c r="BM336" s="119"/>
    </row>
    <row r="337" spans="1:66" ht="15" customHeight="1" x14ac:dyDescent="0.3">
      <c r="A337" s="864"/>
      <c r="B337" s="122"/>
      <c r="C337" s="106">
        <v>7</v>
      </c>
      <c r="D337" s="137"/>
      <c r="E337" s="107" t="str">
        <f t="shared" si="166"/>
        <v/>
      </c>
      <c r="F337" s="108"/>
      <c r="G337" s="64" t="str">
        <f t="shared" si="167"/>
        <v/>
      </c>
      <c r="H337" s="109"/>
      <c r="I337" s="110" t="str">
        <f t="shared" si="168"/>
        <v/>
      </c>
      <c r="J337" s="111"/>
      <c r="K337" s="112" t="str">
        <f t="shared" si="169"/>
        <v/>
      </c>
      <c r="L337" s="113"/>
      <c r="M337" s="8" t="str">
        <f t="shared" si="174"/>
        <v/>
      </c>
      <c r="N337" s="123"/>
      <c r="O337" s="141"/>
      <c r="AE337" s="15" t="s">
        <v>316</v>
      </c>
      <c r="AF337" s="15" t="str">
        <f>CONCATENATE(V329,"w")</f>
        <v>19w</v>
      </c>
      <c r="AG337" s="16" t="str">
        <f>IF(AND(AJ332,AJ333),IF(MAX(AY331:AY337)&gt;=X335,AG332,IF(MAX(AZ331:AZ337)&gt;=X335,AG333,"")),"")</f>
        <v/>
      </c>
      <c r="AL337" s="18" t="s">
        <v>318</v>
      </c>
      <c r="AP337" s="115" t="b">
        <f>AND(AP336,AL337&lt;&gt;"",(COUNTIF(AP331:AP336,"IGAZ")-COUNTIF(AV331:AV336,"IGAZ"))*X336+MAX(AY330:AZ336)&lt;X335)</f>
        <v>0</v>
      </c>
      <c r="AQ337" s="116" t="str">
        <f>IF(NOT(AP337),"",IF(AL337="p",AG332,AG333))</f>
        <v/>
      </c>
      <c r="AR337" s="117" t="str">
        <f>IF(NOT(AP337),"",IF(AL337="p",AG333,AG332))</f>
        <v/>
      </c>
      <c r="AT337" s="115" t="b">
        <f t="shared" si="170"/>
        <v>0</v>
      </c>
      <c r="AU337" s="115" t="b">
        <f>AND(ASZTAB!$AJ$42,AT337,F337=H337)</f>
        <v>0</v>
      </c>
      <c r="AV337" s="115" t="b">
        <f t="shared" si="171"/>
        <v>0</v>
      </c>
      <c r="AW337" s="116" t="str">
        <f t="shared" si="172"/>
        <v/>
      </c>
      <c r="AX337" s="117" t="str">
        <f t="shared" si="173"/>
        <v/>
      </c>
      <c r="AY337" s="116" t="str">
        <f>IF(OR(AY336="",NOT(AV337)),"",IF(AG332=AW337,X336,0)+AY336)</f>
        <v/>
      </c>
      <c r="AZ337" s="116" t="str">
        <f>IF(OR(AZ336="",NOT(AV337)),"",IF(AG333=AW337,X336,0)+AZ336)</f>
        <v/>
      </c>
      <c r="BD337" s="142"/>
      <c r="BI337" s="118"/>
      <c r="BK337" s="119"/>
      <c r="BL337" s="119"/>
      <c r="BM337" s="119"/>
      <c r="BN337" s="119"/>
    </row>
    <row r="338" spans="1:66" ht="15" customHeight="1" x14ac:dyDescent="0.3">
      <c r="A338" s="864"/>
      <c r="B338" s="122"/>
      <c r="C338" s="106"/>
      <c r="D338" s="123"/>
      <c r="E338" s="124"/>
      <c r="F338" s="125"/>
      <c r="G338" s="123"/>
      <c r="H338" s="114"/>
      <c r="I338" s="123"/>
      <c r="J338" s="125"/>
      <c r="K338" s="123"/>
      <c r="L338" s="114"/>
      <c r="M338" s="123"/>
      <c r="N338" s="123"/>
      <c r="O338" s="123"/>
      <c r="AE338" s="15" t="s">
        <v>317</v>
      </c>
      <c r="AF338" s="15" t="str">
        <f>CONCATENATE(V329,"l")</f>
        <v>19l</v>
      </c>
      <c r="AG338" s="16" t="str">
        <f ca="1">IF(AG337=AG332,AG333,IF(AG333=AG337,AG332,""))</f>
        <v/>
      </c>
      <c r="AL338" s="126" t="s">
        <v>330</v>
      </c>
      <c r="BD338" s="142"/>
      <c r="BI338" s="118"/>
      <c r="BK338" s="119"/>
      <c r="BL338" s="119"/>
      <c r="BM338" s="119"/>
      <c r="BN338" s="119"/>
    </row>
    <row r="339" spans="1:66" ht="15" customHeight="1" x14ac:dyDescent="0.3">
      <c r="A339" s="864"/>
      <c r="B339" s="122"/>
      <c r="C339" s="127" t="s">
        <v>463</v>
      </c>
      <c r="D339" s="123"/>
      <c r="E339" s="124"/>
      <c r="F339" s="125"/>
      <c r="G339" s="123"/>
      <c r="H339" s="114"/>
      <c r="I339" s="123"/>
      <c r="J339" s="125"/>
      <c r="K339" s="123"/>
      <c r="L339" s="114"/>
      <c r="M339" s="123"/>
      <c r="N339" s="123"/>
      <c r="O339" s="123"/>
      <c r="Y339" s="11" t="s">
        <v>294</v>
      </c>
      <c r="Z339" s="70" t="s">
        <v>311</v>
      </c>
      <c r="AA339" s="70" t="s">
        <v>153</v>
      </c>
      <c r="AB339" s="70" t="s">
        <v>153</v>
      </c>
      <c r="AE339" s="15" t="s">
        <v>287</v>
      </c>
      <c r="AF339" s="15" t="str">
        <f>CONCATENATE(V329,"e")</f>
        <v>19e</v>
      </c>
      <c r="AG339" s="21" t="b">
        <f ca="1">AND(AG337&lt;&gt;"",AG338&lt;&gt;"")</f>
        <v>0</v>
      </c>
      <c r="BD339" s="15"/>
      <c r="BI339" s="118"/>
      <c r="BK339" s="119"/>
      <c r="BL339" s="119"/>
      <c r="BM339" s="119"/>
      <c r="BN339" s="119"/>
    </row>
    <row r="340" spans="1:66" ht="15" customHeight="1" x14ac:dyDescent="0.3">
      <c r="A340" s="864"/>
      <c r="B340" s="122"/>
      <c r="C340" s="865"/>
      <c r="D340" s="865"/>
      <c r="E340" s="865"/>
      <c r="F340" s="865"/>
      <c r="G340" s="865"/>
      <c r="H340" s="865"/>
      <c r="I340" s="865"/>
      <c r="J340" s="865"/>
      <c r="K340" s="865"/>
      <c r="L340" s="865"/>
      <c r="M340" s="865"/>
      <c r="N340" s="865"/>
      <c r="O340" s="865"/>
      <c r="W340" s="15" t="s">
        <v>319</v>
      </c>
      <c r="X340" s="18" t="b">
        <v>0</v>
      </c>
      <c r="Y340" s="72" t="s">
        <v>289</v>
      </c>
      <c r="Z340" s="16" t="str">
        <f ca="1">IF(AND(AJ332,AJ333,X340,Y340&lt;&gt;""),CONCATENATE(VLOOKUP(CONCATENATE(AG332,AG333),INDIRECT(CONCATENATE("games.",Y340)),9,FALSE),VLOOKUP(CONCATENATE(AG332,AG333),INDIRECT(CONCATENATE("games.",Y340)),12,FALSE)),"")</f>
        <v/>
      </c>
      <c r="AA340" s="16" t="str">
        <f ca="1">IF(AND(AJ332,AJ333,X340,Y340&lt;&gt;""),VLOOKUP(CONCATENATE(AG332,AG333),INDIRECT(CONCATENATE("games.",Y340)),10,FALSE),"")</f>
        <v/>
      </c>
      <c r="AB340" s="54" t="str">
        <f ca="1">IF(AND(AJ332,AJ333,X340,Y340&lt;&gt;""),VLOOKUP(CONCATENATE(AG332,AG333),INDIRECT(CONCATENATE("games.",Y340)),13,FALSE),"")</f>
        <v/>
      </c>
      <c r="BD340" s="15"/>
      <c r="BI340" s="118"/>
      <c r="BK340" s="119"/>
      <c r="BL340" s="119"/>
      <c r="BM340" s="119"/>
      <c r="BN340" s="119"/>
    </row>
    <row r="341" spans="1:66" ht="15" customHeight="1" x14ac:dyDescent="0.3">
      <c r="A341" s="864"/>
      <c r="B341" s="122"/>
      <c r="C341" s="866"/>
      <c r="D341" s="866"/>
      <c r="E341" s="866"/>
      <c r="F341" s="866"/>
      <c r="G341" s="866"/>
      <c r="H341" s="866"/>
      <c r="I341" s="866"/>
      <c r="J341" s="866"/>
      <c r="K341" s="866"/>
      <c r="L341" s="866"/>
      <c r="M341" s="866"/>
      <c r="N341" s="866"/>
      <c r="O341" s="866"/>
      <c r="Z341" s="16" t="str">
        <f ca="1">IF(AND(AJ332,AJ333,X340,Y340&lt;&gt;""),CONCATENATE(VLOOKUP(CONCATENATE(AG333,AG332),INDIRECT(CONCATENATE("games.",Y340)),9,FALSE),VLOOKUP(CONCATENATE(AG333,AG332),INDIRECT(CONCATENATE("games.",Y340)),12,FALSE)),"")</f>
        <v/>
      </c>
      <c r="AA341" s="16" t="str">
        <f ca="1">IF(AND(AJ332,AJ333,X340,Y340&lt;&gt;""),VLOOKUP(CONCATENATE(AG333,AG332),INDIRECT(CONCATENATE("games.",Y340)),10,FALSE),"")</f>
        <v/>
      </c>
      <c r="AB341" s="54" t="str">
        <f ca="1">IF(AND(AJ332,AJ333,X340,Y340&lt;&gt;""),VLOOKUP(CONCATENATE(AG333,AG332),INDIRECT(CONCATENATE("games.",Y340)),13,FALSE),"")</f>
        <v/>
      </c>
      <c r="BD341" s="15"/>
      <c r="BI341" s="118"/>
      <c r="BK341" s="119"/>
      <c r="BL341" s="119"/>
      <c r="BM341" s="119"/>
      <c r="BN341" s="119"/>
    </row>
    <row r="342" spans="1:66" ht="15" customHeight="1" x14ac:dyDescent="0.3">
      <c r="A342" s="864"/>
      <c r="B342" s="122"/>
      <c r="C342" s="866"/>
      <c r="D342" s="866"/>
      <c r="E342" s="866"/>
      <c r="F342" s="866"/>
      <c r="G342" s="866"/>
      <c r="H342" s="866"/>
      <c r="I342" s="866"/>
      <c r="J342" s="866"/>
      <c r="K342" s="866"/>
      <c r="L342" s="866"/>
      <c r="M342" s="866"/>
      <c r="N342" s="866"/>
      <c r="O342" s="866"/>
      <c r="BD342" s="15"/>
      <c r="BI342" s="118"/>
      <c r="BK342" s="119"/>
      <c r="BL342" s="119"/>
      <c r="BM342" s="119"/>
      <c r="BN342" s="119"/>
    </row>
    <row r="343" spans="1:66" ht="15" customHeight="1" x14ac:dyDescent="0.3">
      <c r="A343" s="864"/>
      <c r="B343" s="122"/>
      <c r="C343" s="106"/>
      <c r="D343" s="123"/>
      <c r="E343" s="124"/>
      <c r="F343" s="125"/>
      <c r="G343" s="123"/>
      <c r="H343" s="114"/>
      <c r="I343" s="123"/>
      <c r="J343" s="125"/>
      <c r="K343" s="123"/>
      <c r="L343" s="114"/>
      <c r="M343" s="123"/>
      <c r="N343" s="123"/>
      <c r="O343" s="123"/>
      <c r="U343" s="10"/>
      <c r="V343" s="128"/>
      <c r="W343" s="129"/>
      <c r="X343" s="10"/>
      <c r="Y343" s="130"/>
      <c r="Z343" s="130"/>
      <c r="AA343" s="130"/>
      <c r="AB343" s="130"/>
      <c r="AC343" s="130"/>
      <c r="AD343" s="130"/>
      <c r="AE343" s="130"/>
      <c r="AF343" s="130"/>
      <c r="AG343" s="130"/>
      <c r="AH343" s="130"/>
      <c r="AI343" s="130"/>
      <c r="AJ343" s="130"/>
      <c r="AK343" s="130"/>
      <c r="AL343" s="130"/>
      <c r="AM343" s="10"/>
      <c r="AO343" s="131"/>
      <c r="AP343" s="131"/>
      <c r="AQ343" s="132"/>
      <c r="AR343" s="132"/>
      <c r="AS343" s="132"/>
      <c r="AT343" s="131"/>
      <c r="AU343" s="131"/>
      <c r="AV343" s="131"/>
      <c r="AW343" s="132"/>
      <c r="AX343" s="132"/>
      <c r="AY343" s="131"/>
      <c r="AZ343" s="131"/>
      <c r="BA343" s="131"/>
      <c r="BD343" s="15"/>
      <c r="BI343" s="118"/>
      <c r="BK343" s="119"/>
      <c r="BL343" s="119"/>
      <c r="BM343" s="119"/>
      <c r="BN343" s="119"/>
    </row>
    <row r="344" spans="1:66" ht="15" customHeight="1" x14ac:dyDescent="0.3">
      <c r="A344" s="864"/>
      <c r="B344" s="88"/>
      <c r="C344" s="89"/>
      <c r="D344" s="90"/>
      <c r="BI344" s="118"/>
      <c r="BM344" s="119"/>
    </row>
    <row r="345" spans="1:66" ht="15" customHeight="1" x14ac:dyDescent="0.3">
      <c r="A345" s="864"/>
      <c r="B345" s="147"/>
      <c r="C345" s="149">
        <f>V345</f>
        <v>20</v>
      </c>
      <c r="D345" s="150" t="str">
        <f>UPPER(W345)</f>
        <v/>
      </c>
      <c r="E345" s="151"/>
      <c r="F345" s="151"/>
      <c r="G345" s="151"/>
      <c r="H345" s="151"/>
      <c r="I345" s="151"/>
      <c r="J345" s="151"/>
      <c r="K345" s="151"/>
      <c r="L345" s="151"/>
      <c r="M345" s="138"/>
      <c r="N345" s="151"/>
      <c r="O345" s="161" t="str">
        <f ca="1">IF(NOT(AG355),"","A PÁRHARC GYŐZTESE: "&amp;UPPER(AG353))</f>
        <v/>
      </c>
      <c r="P345" s="152" t="str">
        <f>IF(NOT(Y353),"",CONCATENATE("A PÁRHARC GYŐZTESE: ",AH351," "))</f>
        <v/>
      </c>
      <c r="Q345" s="148" t="str">
        <f>IF(NOT(Z353),"",CONCATENATE("A PÁRHARC GYŐZTESE: ",AJ351," "))</f>
        <v/>
      </c>
      <c r="R345" s="148" t="str">
        <f>IF(NOT(AA353),"",CONCATENATE("A PÁRHARC GYŐZTESE: ",AK351," "))</f>
        <v/>
      </c>
      <c r="S345" s="148" t="str">
        <f>IF(NOT(AB353),"",CONCATENATE("A PÁRHARC GYŐZTESE: ",AL351," "))</f>
        <v/>
      </c>
      <c r="V345" s="21">
        <f>V329+1</f>
        <v>20</v>
      </c>
      <c r="W345" s="95"/>
      <c r="X345" s="96"/>
      <c r="Y345" s="96"/>
      <c r="Z345" s="96"/>
      <c r="AA345" s="96"/>
      <c r="AB345" s="96"/>
      <c r="AC345" s="96"/>
      <c r="AD345" s="96"/>
      <c r="AE345" s="96"/>
      <c r="AF345" s="96"/>
      <c r="AG345" s="96"/>
      <c r="AH345" s="96"/>
      <c r="AI345" s="96"/>
      <c r="AJ345" s="96"/>
      <c r="AK345" s="96"/>
      <c r="AL345" s="97"/>
      <c r="AY345" s="13" t="s">
        <v>326</v>
      </c>
      <c r="AZ345" s="13" t="s">
        <v>325</v>
      </c>
      <c r="BD345" s="142"/>
      <c r="BH345" s="98"/>
      <c r="BI345" s="118"/>
      <c r="BJ345" s="98"/>
      <c r="BK345" s="99"/>
      <c r="BL345" s="99"/>
      <c r="BM345" s="119"/>
    </row>
    <row r="346" spans="1:66" ht="11.25" customHeight="1" x14ac:dyDescent="0.3">
      <c r="A346" s="864"/>
      <c r="C346" s="101"/>
      <c r="D346" s="102"/>
      <c r="E346" s="103"/>
      <c r="F346" s="58"/>
      <c r="G346" s="104"/>
      <c r="H346" s="60"/>
      <c r="I346" s="146"/>
      <c r="J346" s="107"/>
      <c r="K346" s="160" t="str">
        <f>IF(OR(AU347,AU348,AU349,AU350,AU351,AU352,AU353),"BÜNTETŐK","")</f>
        <v/>
      </c>
      <c r="L346" s="110"/>
      <c r="M346" s="158" t="s">
        <v>286</v>
      </c>
      <c r="N346" s="159"/>
      <c r="O346" s="158" t="s">
        <v>285</v>
      </c>
      <c r="AP346" s="105" t="s">
        <v>328</v>
      </c>
      <c r="AQ346" s="12" t="s">
        <v>138</v>
      </c>
      <c r="AR346" s="12" t="s">
        <v>139</v>
      </c>
      <c r="AT346" s="105" t="s">
        <v>320</v>
      </c>
      <c r="AU346" s="105" t="s">
        <v>321</v>
      </c>
      <c r="AV346" s="105" t="s">
        <v>324</v>
      </c>
      <c r="AW346" s="12" t="s">
        <v>322</v>
      </c>
      <c r="AX346" s="12" t="s">
        <v>323</v>
      </c>
      <c r="AY346" s="116">
        <f>IF(X356,COUNTIF(Z356:Z357,AG348)*ASZTAB!$AJ$48+COUNTIF(AA356:AB357,AG348),0)</f>
        <v>0</v>
      </c>
      <c r="AZ346" s="116">
        <f>IF(X356,COUNTIF(Z356:Z357,AG349)*ASZTAB!$AJ$48+COUNTIF(AA356:AB357,AG349),0)</f>
        <v>0</v>
      </c>
      <c r="BD346" s="142"/>
      <c r="BH346" s="98"/>
      <c r="BI346" s="118"/>
      <c r="BJ346" s="98"/>
      <c r="BK346" s="99"/>
      <c r="BL346" s="99"/>
      <c r="BM346" s="119"/>
    </row>
    <row r="347" spans="1:66" ht="15" customHeight="1" x14ac:dyDescent="0.3">
      <c r="A347" s="864"/>
      <c r="B347" s="7"/>
      <c r="C347" s="106">
        <v>1</v>
      </c>
      <c r="D347" s="137"/>
      <c r="E347" s="107" t="str">
        <f t="shared" ref="E347:E353" si="175">IF(NOT($AP347),"",AQ347)</f>
        <v/>
      </c>
      <c r="F347" s="108"/>
      <c r="G347" s="64" t="str">
        <f t="shared" ref="G347:G353" si="176">IF(NOT($AP347),"","–")</f>
        <v/>
      </c>
      <c r="H347" s="109"/>
      <c r="I347" s="110" t="str">
        <f t="shared" ref="I347:I353" si="177">IF(NOT($AP347),"",AR347)</f>
        <v/>
      </c>
      <c r="J347" s="111"/>
      <c r="K347" s="112" t="str">
        <f t="shared" ref="K347:K353" si="178">IF(AU347,"–","")</f>
        <v/>
      </c>
      <c r="L347" s="113"/>
      <c r="M347" s="153" t="str">
        <f>IF(OR(AL347="",NOT(AV347)),"",IF(AL347="p",CONCATENATE(AY347,"–",AZ347),CONCATENATE(AZ347,"–",AY347)))</f>
        <v/>
      </c>
      <c r="N347" s="110"/>
      <c r="O347" s="139"/>
      <c r="P347" s="114"/>
      <c r="Q347" s="114"/>
      <c r="R347" s="114"/>
      <c r="S347" s="114"/>
      <c r="X347" s="11" t="s">
        <v>306</v>
      </c>
      <c r="Y347" s="11" t="s">
        <v>294</v>
      </c>
      <c r="Z347" s="70" t="s">
        <v>295</v>
      </c>
      <c r="AA347" s="70" t="s">
        <v>127</v>
      </c>
      <c r="AB347" s="70" t="s">
        <v>301</v>
      </c>
      <c r="AC347" s="70" t="s">
        <v>302</v>
      </c>
      <c r="AD347" s="70" t="s">
        <v>332</v>
      </c>
      <c r="AE347" s="70" t="s">
        <v>333</v>
      </c>
      <c r="AF347" s="70" t="s">
        <v>329</v>
      </c>
      <c r="AG347" s="70" t="s">
        <v>303</v>
      </c>
      <c r="AH347" s="70" t="s">
        <v>293</v>
      </c>
      <c r="AJ347" s="71" t="s">
        <v>314</v>
      </c>
      <c r="AL347" s="18" t="s">
        <v>318</v>
      </c>
      <c r="AP347" s="115" t="b">
        <f>AND(AJ348,AJ349,AL347&lt;&gt;"")</f>
        <v>0</v>
      </c>
      <c r="AQ347" s="116" t="str">
        <f>IF(NOT(AP347),"",IF(AL347="p",AG348,AG349))</f>
        <v/>
      </c>
      <c r="AR347" s="117" t="str">
        <f>IF(NOT(AP347),"",IF(AL347="p",AG349,AG348))</f>
        <v/>
      </c>
      <c r="AT347" s="115" t="b">
        <f t="shared" ref="AT347:AT353" si="179">AND(F347&lt;&gt;"",H347&lt;&gt;"",AP347)</f>
        <v>0</v>
      </c>
      <c r="AU347" s="115" t="b">
        <f>AND(ASZTAB!$AJ$42,AT347,F347=H347)</f>
        <v>0</v>
      </c>
      <c r="AV347" s="115" t="b">
        <f t="shared" ref="AV347:AV353" si="180">OR(AND(AT347,NOT(AU347),F347&lt;&gt;H347),AND(AT347,AU347,J347&lt;&gt;"",L347&lt;&gt;"",J347&lt;&gt;L347))</f>
        <v>0</v>
      </c>
      <c r="AW347" s="116" t="str">
        <f t="shared" ref="AW347:AW353" si="181">IF(NOT(AV347),"",IF(AU347,IF(F347+J347&gt;H347+L347,E347,I347),IF(F347&gt;H347,E347,I347)))</f>
        <v/>
      </c>
      <c r="AX347" s="117" t="str">
        <f t="shared" ref="AX347:AX353" si="182">IF(NOT(AV347),"",IF(AW347=E347,I347,IF(AW347=I347,E347,"")))</f>
        <v/>
      </c>
      <c r="AY347" s="116" t="str">
        <f>IF(NOT(AV347),"",IF(AG348=AW347,X352,0)+AY346)</f>
        <v/>
      </c>
      <c r="AZ347" s="116" t="str">
        <f>IF(NOT(AV347),"",IF(AG349=AW347,X352,0)+AZ346)</f>
        <v/>
      </c>
      <c r="BD347" s="142"/>
      <c r="BI347" s="118"/>
      <c r="BK347" s="99"/>
      <c r="BL347" s="119"/>
      <c r="BM347" s="119"/>
    </row>
    <row r="348" spans="1:66" ht="15" customHeight="1" x14ac:dyDescent="0.3">
      <c r="A348" s="864"/>
      <c r="B348" s="7"/>
      <c r="C348" s="106">
        <v>2</v>
      </c>
      <c r="D348" s="137"/>
      <c r="E348" s="107" t="str">
        <f t="shared" si="175"/>
        <v/>
      </c>
      <c r="F348" s="108"/>
      <c r="G348" s="64" t="str">
        <f t="shared" si="176"/>
        <v/>
      </c>
      <c r="H348" s="109"/>
      <c r="I348" s="110" t="str">
        <f t="shared" si="177"/>
        <v/>
      </c>
      <c r="J348" s="111"/>
      <c r="K348" s="112" t="str">
        <f t="shared" si="178"/>
        <v/>
      </c>
      <c r="L348" s="113"/>
      <c r="M348" s="153" t="str">
        <f t="shared" ref="M348:M353" si="183">IF(OR(AL348="",NOT(AV348)),"",IF(AL348="p",CONCATENATE(AY348,"–",AZ348),CONCATENATE(AZ348,"–",AY348)))</f>
        <v/>
      </c>
      <c r="N348" s="110"/>
      <c r="O348" s="140"/>
      <c r="P348" s="114"/>
      <c r="Q348" s="114"/>
      <c r="R348" s="114"/>
      <c r="S348" s="114"/>
      <c r="W348" s="15" t="s">
        <v>312</v>
      </c>
      <c r="X348" s="18"/>
      <c r="Y348" s="72"/>
      <c r="Z348" s="72"/>
      <c r="AA348" s="72"/>
      <c r="AB348" s="18"/>
      <c r="AC348" s="18"/>
      <c r="AD348" s="14" t="str">
        <f ca="1">IF(NOT(AJ348),"",IF(X348=$BE$45,VLOOKUP(AA348,INDIRECT(CONCATENATE("rank.",Y348,Z348)),2,FALSE),VLOOKUP(CONCATENATE(AB348,AC348),result.e,2,FALSE)))</f>
        <v/>
      </c>
      <c r="AE348" s="18"/>
      <c r="AF348" s="120" t="str">
        <f ca="1">IF(OR(AD348="",X348=$BE$45),"",VLOOKUP(AD348,INDIRECT(CONCATENATE("rankname.",AE348)),2,FALSE))</f>
        <v/>
      </c>
      <c r="AG348" s="14" t="str">
        <f ca="1">IF(AD348="","",IF(X348=$BE$45,AD348,IF(AF348&gt;AF349,AD349,AD348)))</f>
        <v/>
      </c>
      <c r="AH348" s="120">
        <f>MAX(AY346:AY353)</f>
        <v>0</v>
      </c>
      <c r="AJ348" s="21" t="b">
        <f>IF(X348=$BE$45,IF(OR(Y348="",Z348="",AA348=""),FALSE,VLOOKUP(CONCATENATE(Y348,Z348),$BD$59:$BE$63,2,FALSE)),IF(OR(AB348="",AC348="",AE348=""),FALSE,VLOOKUP(CONCATENATE(AB348,"e"),result.e,2,FALSE)))</f>
        <v>0</v>
      </c>
      <c r="AL348" s="18" t="s">
        <v>331</v>
      </c>
      <c r="AP348" s="115" t="b">
        <f>AND(AP347,AL348&lt;&gt;"",(COUNTIF(AP347:AP347,"IGAZ")-COUNTIF(AV347:AV347,"IGAZ"))*X352+MAX(AY346:AZ347)&lt;X351)</f>
        <v>0</v>
      </c>
      <c r="AQ348" s="116" t="str">
        <f>IF(NOT(AP348),"",IF(AL348="p",AG348,AG349))</f>
        <v/>
      </c>
      <c r="AR348" s="117" t="str">
        <f>IF(NOT(AP348),"",IF(AL348="p",AG349,AG348))</f>
        <v/>
      </c>
      <c r="AT348" s="115" t="b">
        <f t="shared" si="179"/>
        <v>0</v>
      </c>
      <c r="AU348" s="115" t="b">
        <f>AND(ASZTAB!$AJ$42,AT348,F348=H348)</f>
        <v>0</v>
      </c>
      <c r="AV348" s="115" t="b">
        <f t="shared" si="180"/>
        <v>0</v>
      </c>
      <c r="AW348" s="116" t="str">
        <f t="shared" si="181"/>
        <v/>
      </c>
      <c r="AX348" s="117" t="str">
        <f t="shared" si="182"/>
        <v/>
      </c>
      <c r="AY348" s="116" t="str">
        <f>IF(OR(AY347="",NOT(AV348)),"",IF(AG348=AW348,X352,0)+AY347)</f>
        <v/>
      </c>
      <c r="AZ348" s="116" t="str">
        <f>IF(OR(AZ347="",NOT(AV348)),"",IF(AG349=AW348,X352,0)+AZ347)</f>
        <v/>
      </c>
      <c r="BD348" s="142"/>
      <c r="BI348" s="118"/>
      <c r="BK348" s="99"/>
      <c r="BM348" s="119"/>
    </row>
    <row r="349" spans="1:66" ht="15" customHeight="1" x14ac:dyDescent="0.3">
      <c r="A349" s="864"/>
      <c r="B349" s="7"/>
      <c r="C349" s="106">
        <v>3</v>
      </c>
      <c r="D349" s="137"/>
      <c r="E349" s="107" t="str">
        <f t="shared" si="175"/>
        <v/>
      </c>
      <c r="F349" s="108"/>
      <c r="G349" s="64" t="str">
        <f t="shared" si="176"/>
        <v/>
      </c>
      <c r="H349" s="109"/>
      <c r="I349" s="110" t="str">
        <f t="shared" si="177"/>
        <v/>
      </c>
      <c r="J349" s="111"/>
      <c r="K349" s="112" t="str">
        <f t="shared" si="178"/>
        <v/>
      </c>
      <c r="L349" s="113"/>
      <c r="M349" s="153" t="str">
        <f t="shared" si="183"/>
        <v/>
      </c>
      <c r="N349" s="110"/>
      <c r="O349" s="140"/>
      <c r="P349" s="114"/>
      <c r="Q349" s="114"/>
      <c r="R349" s="114"/>
      <c r="S349" s="114"/>
      <c r="W349" s="15" t="s">
        <v>313</v>
      </c>
      <c r="X349" s="18"/>
      <c r="Y349" s="72"/>
      <c r="Z349" s="72"/>
      <c r="AA349" s="72"/>
      <c r="AB349" s="18"/>
      <c r="AC349" s="18"/>
      <c r="AD349" s="14" t="str">
        <f ca="1">IF(NOT(AJ349),"",IF(X349=$BE$45,VLOOKUP(AA349,INDIRECT(CONCATENATE("rank.",Y349,Z349)),2,FALSE),VLOOKUP(CONCATENATE(AB349,AC349),result.e,2,FALSE)))</f>
        <v/>
      </c>
      <c r="AE349" s="18"/>
      <c r="AF349" s="120" t="str">
        <f ca="1">IF(OR(AD349="",X349=$BE$45),"",VLOOKUP(AD349,INDIRECT(CONCATENATE("rankname.",AE349)),2,FALSE))</f>
        <v/>
      </c>
      <c r="AG349" s="14" t="str">
        <f ca="1">IF(AD349="","",IF(X349=$BE$45,AD349,IF(AF348&gt;AF349,AD348,AD349)))</f>
        <v/>
      </c>
      <c r="AH349" s="120">
        <f>MAX(AZ346:AZ353)</f>
        <v>0</v>
      </c>
      <c r="AJ349" s="21" t="b">
        <f>IF(X349=$BE$45,IF(OR(Y349="",Z349="",AA349=""),FALSE,VLOOKUP(CONCATENATE(Y349,Z349),$BD$59:$BE$63,2,FALSE)),IF(OR(AB349="",AC349="",AE349=""),FALSE,VLOOKUP(CONCATENATE(AB349,"e"),result.e,2,FALSE)))</f>
        <v>0</v>
      </c>
      <c r="AL349" s="18" t="s">
        <v>318</v>
      </c>
      <c r="AP349" s="115" t="b">
        <f>AND(AP348,AL349&lt;&gt;"",(COUNTIF(AP347:AP348,"IGAZ")-COUNTIF(AV347:AV348,"IGAZ"))*X352+MAX(AY346:AZ348)&lt;X351)</f>
        <v>0</v>
      </c>
      <c r="AQ349" s="116" t="str">
        <f>IF(NOT(AP349),"",IF(AL349="p",AG348,AG349))</f>
        <v/>
      </c>
      <c r="AR349" s="117" t="str">
        <f>IF(NOT(AP349),"",IF(AL349="p",AG349,AG348))</f>
        <v/>
      </c>
      <c r="AT349" s="115" t="b">
        <f t="shared" si="179"/>
        <v>0</v>
      </c>
      <c r="AU349" s="115" t="b">
        <f>AND(ASZTAB!$AJ$42,AT349,F349=H349)</f>
        <v>0</v>
      </c>
      <c r="AV349" s="115" t="b">
        <f t="shared" si="180"/>
        <v>0</v>
      </c>
      <c r="AW349" s="116" t="str">
        <f t="shared" si="181"/>
        <v/>
      </c>
      <c r="AX349" s="117" t="str">
        <f t="shared" si="182"/>
        <v/>
      </c>
      <c r="AY349" s="116" t="str">
        <f>IF(OR(AY348="",NOT(AV349)),"",IF(AG348=AW349,X352,0)+AY348)</f>
        <v/>
      </c>
      <c r="AZ349" s="116" t="str">
        <f>IF(OR(AZ348="",NOT(AV349)),"",IF(AG349=AW349,X352,0)+AZ348)</f>
        <v/>
      </c>
      <c r="BD349" s="142"/>
      <c r="BI349" s="118"/>
      <c r="BM349" s="119"/>
      <c r="BN349" s="119"/>
    </row>
    <row r="350" spans="1:66" ht="15" customHeight="1" x14ac:dyDescent="0.3">
      <c r="A350" s="864"/>
      <c r="B350" s="7"/>
      <c r="C350" s="106">
        <v>4</v>
      </c>
      <c r="D350" s="137"/>
      <c r="E350" s="107" t="str">
        <f t="shared" si="175"/>
        <v/>
      </c>
      <c r="F350" s="108"/>
      <c r="G350" s="64" t="str">
        <f t="shared" si="176"/>
        <v/>
      </c>
      <c r="H350" s="109"/>
      <c r="I350" s="110" t="str">
        <f t="shared" si="177"/>
        <v/>
      </c>
      <c r="J350" s="111"/>
      <c r="K350" s="112" t="str">
        <f t="shared" si="178"/>
        <v/>
      </c>
      <c r="L350" s="113"/>
      <c r="M350" s="153" t="str">
        <f t="shared" si="183"/>
        <v/>
      </c>
      <c r="N350" s="110"/>
      <c r="O350" s="140"/>
      <c r="P350" s="114"/>
      <c r="Q350" s="114"/>
      <c r="AL350" s="18" t="s">
        <v>331</v>
      </c>
      <c r="AP350" s="115" t="b">
        <f>AND(AP349,AL350&lt;&gt;"",(COUNTIF(AP347:AP349,"IGAZ")-COUNTIF(AV347:AV349,"IGAZ"))*X352+MAX(AY346:AZ349)&lt;X351)</f>
        <v>0</v>
      </c>
      <c r="AQ350" s="116" t="str">
        <f>IF(NOT(AP350),"",IF(AL350="p",AG348,AG349))</f>
        <v/>
      </c>
      <c r="AR350" s="117" t="str">
        <f>IF(NOT(AP350),"",IF(AL350="p",AG349,AG348))</f>
        <v/>
      </c>
      <c r="AT350" s="115" t="b">
        <f t="shared" si="179"/>
        <v>0</v>
      </c>
      <c r="AU350" s="115" t="b">
        <f>AND(ASZTAB!$AJ$42,AT350,F350=H350)</f>
        <v>0</v>
      </c>
      <c r="AV350" s="115" t="b">
        <f t="shared" si="180"/>
        <v>0</v>
      </c>
      <c r="AW350" s="116" t="str">
        <f t="shared" si="181"/>
        <v/>
      </c>
      <c r="AX350" s="117" t="str">
        <f t="shared" si="182"/>
        <v/>
      </c>
      <c r="AY350" s="116" t="str">
        <f>IF(OR(AY349="",NOT(AV350)),"",IF(AG348=AW350,X352,0)+AY349)</f>
        <v/>
      </c>
      <c r="AZ350" s="116" t="str">
        <f>IF(OR(AZ349="",NOT(AV350)),"",IF(AG349=AW350,X352,0)+AZ349)</f>
        <v/>
      </c>
      <c r="BD350" s="142"/>
      <c r="BI350" s="118"/>
      <c r="BM350" s="119"/>
    </row>
    <row r="351" spans="1:66" ht="15" customHeight="1" x14ac:dyDescent="0.3">
      <c r="A351" s="864"/>
      <c r="B351" s="121"/>
      <c r="C351" s="106">
        <v>5</v>
      </c>
      <c r="D351" s="137"/>
      <c r="E351" s="107" t="str">
        <f t="shared" si="175"/>
        <v/>
      </c>
      <c r="F351" s="108"/>
      <c r="G351" s="64" t="str">
        <f t="shared" si="176"/>
        <v/>
      </c>
      <c r="H351" s="109"/>
      <c r="I351" s="110" t="str">
        <f t="shared" si="177"/>
        <v/>
      </c>
      <c r="J351" s="111"/>
      <c r="K351" s="112" t="str">
        <f t="shared" si="178"/>
        <v/>
      </c>
      <c r="L351" s="113"/>
      <c r="M351" s="153" t="str">
        <f t="shared" si="183"/>
        <v/>
      </c>
      <c r="N351" s="110"/>
      <c r="O351" s="140"/>
      <c r="P351" s="114"/>
      <c r="Q351" s="114"/>
      <c r="R351" s="114"/>
      <c r="S351" s="114"/>
      <c r="W351" s="15" t="s">
        <v>315</v>
      </c>
      <c r="X351" s="18">
        <v>3</v>
      </c>
      <c r="AD351" s="15"/>
      <c r="AE351" s="15" t="s">
        <v>312</v>
      </c>
      <c r="AF351" s="15" t="str">
        <f>CONCATENATE(V345,"f")</f>
        <v>20f</v>
      </c>
      <c r="AG351" s="16" t="str">
        <f>IF(OR(NOT(AJ348),NOT(AJ349)),"",AD348)</f>
        <v/>
      </c>
      <c r="AH351" s="23" t="str">
        <f>IF(OR(NOT(AJ348),NOT(AJ349)),"",VLOOKUP(AG351,AG348:AH349,2,FALSE))</f>
        <v/>
      </c>
      <c r="AL351" s="18" t="s">
        <v>318</v>
      </c>
      <c r="AP351" s="115" t="b">
        <f>AND(AP350,AL351&lt;&gt;"",(COUNTIF(AP347:AP350,"IGAZ")-COUNTIF(AV347:AV350,"IGAZ"))*X352+MAX(AY346:AZ350)&lt;X351)</f>
        <v>0</v>
      </c>
      <c r="AQ351" s="116" t="str">
        <f>IF(NOT(AP351),"",IF(AL351="p",AG348,AG349))</f>
        <v/>
      </c>
      <c r="AR351" s="117" t="str">
        <f>IF(NOT(AP351),"",IF(AL351="p",AG349,AG348))</f>
        <v/>
      </c>
      <c r="AT351" s="115" t="b">
        <f t="shared" si="179"/>
        <v>0</v>
      </c>
      <c r="AU351" s="115" t="b">
        <f>AND(ASZTAB!$AJ$42,AT351,F351=H351)</f>
        <v>0</v>
      </c>
      <c r="AV351" s="115" t="b">
        <f t="shared" si="180"/>
        <v>0</v>
      </c>
      <c r="AW351" s="116" t="str">
        <f t="shared" si="181"/>
        <v/>
      </c>
      <c r="AX351" s="117" t="str">
        <f t="shared" si="182"/>
        <v/>
      </c>
      <c r="AY351" s="116" t="str">
        <f>IF(OR(AY350="",NOT(AV351)),"",IF(AG348=AW351,X352,0)+AY350)</f>
        <v/>
      </c>
      <c r="AZ351" s="116" t="str">
        <f>IF(OR(AZ350="",NOT(AV351)),"",IF(AG349=AW351,X352,0)+AZ350)</f>
        <v/>
      </c>
      <c r="BD351" s="142"/>
      <c r="BI351" s="118"/>
      <c r="BK351" s="119"/>
      <c r="BL351" s="119"/>
      <c r="BM351" s="119"/>
    </row>
    <row r="352" spans="1:66" ht="15" customHeight="1" x14ac:dyDescent="0.3">
      <c r="A352" s="864"/>
      <c r="B352" s="122"/>
      <c r="C352" s="106">
        <v>6</v>
      </c>
      <c r="D352" s="137"/>
      <c r="E352" s="107" t="str">
        <f t="shared" si="175"/>
        <v/>
      </c>
      <c r="F352" s="108"/>
      <c r="G352" s="64" t="str">
        <f t="shared" si="176"/>
        <v/>
      </c>
      <c r="H352" s="109"/>
      <c r="I352" s="110" t="str">
        <f t="shared" si="177"/>
        <v/>
      </c>
      <c r="J352" s="111"/>
      <c r="K352" s="112" t="str">
        <f t="shared" si="178"/>
        <v/>
      </c>
      <c r="L352" s="113"/>
      <c r="M352" s="8" t="str">
        <f t="shared" si="183"/>
        <v/>
      </c>
      <c r="N352" s="123"/>
      <c r="O352" s="141"/>
      <c r="W352" s="15" t="s">
        <v>327</v>
      </c>
      <c r="X352" s="18">
        <v>1</v>
      </c>
      <c r="AD352" s="15"/>
      <c r="AE352" s="15" t="s">
        <v>313</v>
      </c>
      <c r="AF352" s="15" t="str">
        <f>CONCATENATE(V345,"a")</f>
        <v>20a</v>
      </c>
      <c r="AG352" s="16" t="str">
        <f>IF(OR(NOT(AJ348),NOT(AJ349)),"",AD349)</f>
        <v/>
      </c>
      <c r="AH352" s="23" t="str">
        <f>IF(OR(NOT(AJ348),NOT(AJ349)),"",VLOOKUP(AG352,AG348:AH349,2,FALSE))</f>
        <v/>
      </c>
      <c r="AL352" s="18" t="s">
        <v>331</v>
      </c>
      <c r="AP352" s="115" t="b">
        <f>AND(AP351,AL352&lt;&gt;"",(COUNTIF(AP347:AP351,"IGAZ")-COUNTIF(AV347:AV351,"IGAZ"))*X352+MAX(AY346:AZ351)&lt;X351)</f>
        <v>0</v>
      </c>
      <c r="AQ352" s="116" t="str">
        <f>IF(NOT(AP352),"",IF(AL352="p",AG348,AG349))</f>
        <v/>
      </c>
      <c r="AR352" s="117" t="str">
        <f>IF(NOT(AP352),"",IF(AL352="p",AG349,AG348))</f>
        <v/>
      </c>
      <c r="AT352" s="115" t="b">
        <f t="shared" si="179"/>
        <v>0</v>
      </c>
      <c r="AU352" s="115" t="b">
        <f>AND(ASZTAB!$AJ$42,AT352,F352=H352)</f>
        <v>0</v>
      </c>
      <c r="AV352" s="115" t="b">
        <f t="shared" si="180"/>
        <v>0</v>
      </c>
      <c r="AW352" s="116" t="str">
        <f t="shared" si="181"/>
        <v/>
      </c>
      <c r="AX352" s="117" t="str">
        <f t="shared" si="182"/>
        <v/>
      </c>
      <c r="AY352" s="116" t="str">
        <f>IF(OR(AY351="",NOT(AV352)),"",IF(AG348=AW352,X352,0)+AY351)</f>
        <v/>
      </c>
      <c r="AZ352" s="116" t="str">
        <f>IF(OR(AZ351="",NOT(AV352)),"",IF(AG349=AW352,X352,0)+AZ351)</f>
        <v/>
      </c>
      <c r="BD352" s="142"/>
      <c r="BI352" s="118"/>
      <c r="BK352" s="119"/>
      <c r="BL352" s="119"/>
      <c r="BM352" s="119"/>
    </row>
    <row r="353" spans="1:66" ht="15" customHeight="1" x14ac:dyDescent="0.3">
      <c r="A353" s="864"/>
      <c r="B353" s="122"/>
      <c r="C353" s="106">
        <v>7</v>
      </c>
      <c r="D353" s="137"/>
      <c r="E353" s="107" t="str">
        <f t="shared" si="175"/>
        <v/>
      </c>
      <c r="F353" s="108"/>
      <c r="G353" s="64" t="str">
        <f t="shared" si="176"/>
        <v/>
      </c>
      <c r="H353" s="109"/>
      <c r="I353" s="110" t="str">
        <f t="shared" si="177"/>
        <v/>
      </c>
      <c r="J353" s="111"/>
      <c r="K353" s="112" t="str">
        <f t="shared" si="178"/>
        <v/>
      </c>
      <c r="L353" s="113"/>
      <c r="M353" s="8" t="str">
        <f t="shared" si="183"/>
        <v/>
      </c>
      <c r="N353" s="123"/>
      <c r="O353" s="141"/>
      <c r="AE353" s="15" t="s">
        <v>316</v>
      </c>
      <c r="AF353" s="15" t="str">
        <f>CONCATENATE(V345,"w")</f>
        <v>20w</v>
      </c>
      <c r="AG353" s="16" t="str">
        <f>IF(AND(AJ348,AJ349),IF(MAX(AY347:AY353)&gt;=X351,AG348,IF(MAX(AZ347:AZ353)&gt;=X351,AG349,"")),"")</f>
        <v/>
      </c>
      <c r="AL353" s="18" t="s">
        <v>318</v>
      </c>
      <c r="AP353" s="115" t="b">
        <f>AND(AP352,AL353&lt;&gt;"",(COUNTIF(AP347:AP352,"IGAZ")-COUNTIF(AV347:AV352,"IGAZ"))*X352+MAX(AY346:AZ352)&lt;X351)</f>
        <v>0</v>
      </c>
      <c r="AQ353" s="116" t="str">
        <f>IF(NOT(AP353),"",IF(AL353="p",AG348,AG349))</f>
        <v/>
      </c>
      <c r="AR353" s="117" t="str">
        <f>IF(NOT(AP353),"",IF(AL353="p",AG349,AG348))</f>
        <v/>
      </c>
      <c r="AT353" s="115" t="b">
        <f t="shared" si="179"/>
        <v>0</v>
      </c>
      <c r="AU353" s="115" t="b">
        <f>AND(ASZTAB!$AJ$42,AT353,F353=H353)</f>
        <v>0</v>
      </c>
      <c r="AV353" s="115" t="b">
        <f t="shared" si="180"/>
        <v>0</v>
      </c>
      <c r="AW353" s="116" t="str">
        <f t="shared" si="181"/>
        <v/>
      </c>
      <c r="AX353" s="117" t="str">
        <f t="shared" si="182"/>
        <v/>
      </c>
      <c r="AY353" s="116" t="str">
        <f>IF(OR(AY352="",NOT(AV353)),"",IF(AG348=AW353,X352,0)+AY352)</f>
        <v/>
      </c>
      <c r="AZ353" s="116" t="str">
        <f>IF(OR(AZ352="",NOT(AV353)),"",IF(AG349=AW353,X352,0)+AZ352)</f>
        <v/>
      </c>
      <c r="BD353" s="142"/>
      <c r="BI353" s="118"/>
      <c r="BK353" s="119"/>
      <c r="BL353" s="119"/>
      <c r="BM353" s="119"/>
      <c r="BN353" s="119"/>
    </row>
    <row r="354" spans="1:66" ht="15" customHeight="1" x14ac:dyDescent="0.3">
      <c r="A354" s="864"/>
      <c r="B354" s="122"/>
      <c r="C354" s="106"/>
      <c r="D354" s="123"/>
      <c r="E354" s="124"/>
      <c r="F354" s="125"/>
      <c r="G354" s="123"/>
      <c r="H354" s="114"/>
      <c r="I354" s="123"/>
      <c r="J354" s="125"/>
      <c r="K354" s="123"/>
      <c r="L354" s="114"/>
      <c r="M354" s="123"/>
      <c r="N354" s="123"/>
      <c r="O354" s="123"/>
      <c r="AE354" s="15" t="s">
        <v>317</v>
      </c>
      <c r="AF354" s="15" t="str">
        <f>CONCATENATE(V345,"l")</f>
        <v>20l</v>
      </c>
      <c r="AG354" s="16" t="str">
        <f ca="1">IF(AG353=AG348,AG349,IF(AG349=AG353,AG348,""))</f>
        <v/>
      </c>
      <c r="AL354" s="126" t="s">
        <v>330</v>
      </c>
      <c r="BD354" s="142"/>
      <c r="BI354" s="118"/>
      <c r="BK354" s="119"/>
      <c r="BL354" s="119"/>
      <c r="BM354" s="119"/>
      <c r="BN354" s="119"/>
    </row>
    <row r="355" spans="1:66" ht="15" customHeight="1" x14ac:dyDescent="0.3">
      <c r="A355" s="864"/>
      <c r="B355" s="122"/>
      <c r="C355" s="127" t="s">
        <v>463</v>
      </c>
      <c r="D355" s="123"/>
      <c r="E355" s="124"/>
      <c r="F355" s="125"/>
      <c r="G355" s="123"/>
      <c r="H355" s="114"/>
      <c r="I355" s="123"/>
      <c r="J355" s="125"/>
      <c r="K355" s="123"/>
      <c r="L355" s="114"/>
      <c r="M355" s="123"/>
      <c r="N355" s="123"/>
      <c r="O355" s="123"/>
      <c r="Y355" s="11" t="s">
        <v>294</v>
      </c>
      <c r="Z355" s="70" t="s">
        <v>311</v>
      </c>
      <c r="AA355" s="70" t="s">
        <v>153</v>
      </c>
      <c r="AB355" s="70" t="s">
        <v>153</v>
      </c>
      <c r="AE355" s="15" t="s">
        <v>287</v>
      </c>
      <c r="AF355" s="15" t="str">
        <f>CONCATENATE(V345,"e")</f>
        <v>20e</v>
      </c>
      <c r="AG355" s="21" t="b">
        <f ca="1">AND(AG353&lt;&gt;"",AG354&lt;&gt;"")</f>
        <v>0</v>
      </c>
      <c r="BD355" s="15"/>
      <c r="BI355" s="118"/>
      <c r="BK355" s="119"/>
      <c r="BL355" s="119"/>
      <c r="BM355" s="119"/>
      <c r="BN355" s="119"/>
    </row>
    <row r="356" spans="1:66" ht="15" customHeight="1" x14ac:dyDescent="0.3">
      <c r="A356" s="864"/>
      <c r="B356" s="122"/>
      <c r="C356" s="865"/>
      <c r="D356" s="865"/>
      <c r="E356" s="865"/>
      <c r="F356" s="865"/>
      <c r="G356" s="865"/>
      <c r="H356" s="865"/>
      <c r="I356" s="865"/>
      <c r="J356" s="865"/>
      <c r="K356" s="865"/>
      <c r="L356" s="865"/>
      <c r="M356" s="865"/>
      <c r="N356" s="865"/>
      <c r="O356" s="865"/>
      <c r="W356" s="15" t="s">
        <v>319</v>
      </c>
      <c r="X356" s="18" t="b">
        <v>0</v>
      </c>
      <c r="Y356" s="72" t="s">
        <v>289</v>
      </c>
      <c r="Z356" s="16" t="str">
        <f ca="1">IF(AND(AJ348,AJ349,X356,Y356&lt;&gt;""),CONCATENATE(VLOOKUP(CONCATENATE(AG348,AG349),INDIRECT(CONCATENATE("games.",Y356)),9,FALSE),VLOOKUP(CONCATENATE(AG348,AG349),INDIRECT(CONCATENATE("games.",Y356)),12,FALSE)),"")</f>
        <v/>
      </c>
      <c r="AA356" s="16" t="str">
        <f ca="1">IF(AND(AJ348,AJ349,X356,Y356&lt;&gt;""),VLOOKUP(CONCATENATE(AG348,AG349),INDIRECT(CONCATENATE("games.",Y356)),10,FALSE),"")</f>
        <v/>
      </c>
      <c r="AB356" s="54" t="str">
        <f ca="1">IF(AND(AJ348,AJ349,X356,Y356&lt;&gt;""),VLOOKUP(CONCATENATE(AG348,AG349),INDIRECT(CONCATENATE("games.",Y356)),13,FALSE),"")</f>
        <v/>
      </c>
      <c r="BD356" s="15"/>
      <c r="BI356" s="118"/>
      <c r="BK356" s="119"/>
      <c r="BL356" s="119"/>
      <c r="BM356" s="119"/>
      <c r="BN356" s="119"/>
    </row>
    <row r="357" spans="1:66" ht="15" customHeight="1" x14ac:dyDescent="0.3">
      <c r="A357" s="864"/>
      <c r="B357" s="122"/>
      <c r="C357" s="866"/>
      <c r="D357" s="866"/>
      <c r="E357" s="866"/>
      <c r="F357" s="866"/>
      <c r="G357" s="866"/>
      <c r="H357" s="866"/>
      <c r="I357" s="866"/>
      <c r="J357" s="866"/>
      <c r="K357" s="866"/>
      <c r="L357" s="866"/>
      <c r="M357" s="866"/>
      <c r="N357" s="866"/>
      <c r="O357" s="866"/>
      <c r="Z357" s="16" t="str">
        <f ca="1">IF(AND(AJ348,AJ349,X356,Y356&lt;&gt;""),CONCATENATE(VLOOKUP(CONCATENATE(AG349,AG348),INDIRECT(CONCATENATE("games.",Y356)),9,FALSE),VLOOKUP(CONCATENATE(AG349,AG348),INDIRECT(CONCATENATE("games.",Y356)),12,FALSE)),"")</f>
        <v/>
      </c>
      <c r="AA357" s="16" t="str">
        <f ca="1">IF(AND(AJ348,AJ349,X356,Y356&lt;&gt;""),VLOOKUP(CONCATENATE(AG349,AG348),INDIRECT(CONCATENATE("games.",Y356)),10,FALSE),"")</f>
        <v/>
      </c>
      <c r="AB357" s="54" t="str">
        <f ca="1">IF(AND(AJ348,AJ349,X356,Y356&lt;&gt;""),VLOOKUP(CONCATENATE(AG349,AG348),INDIRECT(CONCATENATE("games.",Y356)),13,FALSE),"")</f>
        <v/>
      </c>
      <c r="BD357" s="15"/>
      <c r="BI357" s="118"/>
      <c r="BK357" s="119"/>
      <c r="BL357" s="119"/>
      <c r="BM357" s="119"/>
      <c r="BN357" s="119"/>
    </row>
    <row r="358" spans="1:66" ht="15" customHeight="1" x14ac:dyDescent="0.3">
      <c r="A358" s="864"/>
      <c r="B358" s="122"/>
      <c r="C358" s="866"/>
      <c r="D358" s="866"/>
      <c r="E358" s="866"/>
      <c r="F358" s="866"/>
      <c r="G358" s="866"/>
      <c r="H358" s="866"/>
      <c r="I358" s="866"/>
      <c r="J358" s="866"/>
      <c r="K358" s="866"/>
      <c r="L358" s="866"/>
      <c r="M358" s="866"/>
      <c r="N358" s="866"/>
      <c r="O358" s="866"/>
      <c r="BD358" s="15"/>
      <c r="BI358" s="118"/>
      <c r="BK358" s="119"/>
      <c r="BL358" s="119"/>
      <c r="BM358" s="119"/>
      <c r="BN358" s="119"/>
    </row>
    <row r="359" spans="1:66" ht="15" customHeight="1" x14ac:dyDescent="0.3">
      <c r="A359" s="864"/>
      <c r="B359" s="122"/>
      <c r="C359" s="106"/>
      <c r="D359" s="123"/>
      <c r="E359" s="124"/>
      <c r="F359" s="125"/>
      <c r="G359" s="123"/>
      <c r="H359" s="114"/>
      <c r="I359" s="123"/>
      <c r="J359" s="125"/>
      <c r="K359" s="123"/>
      <c r="L359" s="114"/>
      <c r="M359" s="123"/>
      <c r="N359" s="123"/>
      <c r="O359" s="123"/>
      <c r="U359" s="10"/>
      <c r="V359" s="128"/>
      <c r="W359" s="129"/>
      <c r="X359" s="10"/>
      <c r="Y359" s="130"/>
      <c r="Z359" s="130"/>
      <c r="AA359" s="130"/>
      <c r="AB359" s="130"/>
      <c r="AC359" s="130"/>
      <c r="AD359" s="130"/>
      <c r="AE359" s="130"/>
      <c r="AF359" s="130"/>
      <c r="AG359" s="130"/>
      <c r="AH359" s="130"/>
      <c r="AI359" s="130"/>
      <c r="AJ359" s="130"/>
      <c r="AK359" s="130"/>
      <c r="AL359" s="130"/>
      <c r="AM359" s="10"/>
      <c r="AO359" s="131"/>
      <c r="AP359" s="131"/>
      <c r="AQ359" s="132"/>
      <c r="AR359" s="132"/>
      <c r="AS359" s="132"/>
      <c r="AT359" s="131"/>
      <c r="AU359" s="131"/>
      <c r="AV359" s="131"/>
      <c r="AW359" s="132"/>
      <c r="AX359" s="132"/>
      <c r="AY359" s="131"/>
      <c r="AZ359" s="131"/>
      <c r="BA359" s="131"/>
      <c r="BD359" s="15"/>
      <c r="BI359" s="118"/>
      <c r="BK359" s="119"/>
      <c r="BL359" s="119"/>
      <c r="BM359" s="119"/>
      <c r="BN359" s="119"/>
    </row>
    <row r="360" spans="1:66" ht="15" customHeight="1" x14ac:dyDescent="0.3">
      <c r="A360" s="864"/>
      <c r="B360" s="88"/>
      <c r="C360" s="89"/>
      <c r="D360" s="90"/>
      <c r="BI360" s="118"/>
      <c r="BM360" s="119"/>
    </row>
    <row r="361" spans="1:66" ht="15" customHeight="1" x14ac:dyDescent="0.3">
      <c r="A361" s="864"/>
      <c r="B361" s="147"/>
      <c r="C361" s="149">
        <f>V361</f>
        <v>21</v>
      </c>
      <c r="D361" s="150" t="str">
        <f>UPPER(W361)</f>
        <v/>
      </c>
      <c r="E361" s="151"/>
      <c r="F361" s="151"/>
      <c r="G361" s="151"/>
      <c r="H361" s="151"/>
      <c r="I361" s="151"/>
      <c r="J361" s="151"/>
      <c r="K361" s="151"/>
      <c r="L361" s="151"/>
      <c r="M361" s="138"/>
      <c r="N361" s="151"/>
      <c r="O361" s="161" t="str">
        <f ca="1">IF(NOT(AG371),"","A PÁRHARC GYŐZTESE: "&amp;UPPER(AG369))</f>
        <v/>
      </c>
      <c r="P361" s="152" t="str">
        <f>IF(NOT(Y369),"",CONCATENATE("A PÁRHARC GYŐZTESE: ",AH367," "))</f>
        <v/>
      </c>
      <c r="Q361" s="148" t="str">
        <f>IF(NOT(Z369),"",CONCATENATE("A PÁRHARC GYŐZTESE: ",AJ367," "))</f>
        <v/>
      </c>
      <c r="R361" s="148" t="str">
        <f>IF(NOT(AA369),"",CONCATENATE("A PÁRHARC GYŐZTESE: ",AK367," "))</f>
        <v/>
      </c>
      <c r="S361" s="148" t="str">
        <f>IF(NOT(AB369),"",CONCATENATE("A PÁRHARC GYŐZTESE: ",AL367," "))</f>
        <v/>
      </c>
      <c r="V361" s="21">
        <f>V345+1</f>
        <v>21</v>
      </c>
      <c r="W361" s="95"/>
      <c r="X361" s="96"/>
      <c r="Y361" s="96"/>
      <c r="Z361" s="96"/>
      <c r="AA361" s="96"/>
      <c r="AB361" s="96"/>
      <c r="AC361" s="96"/>
      <c r="AD361" s="96"/>
      <c r="AE361" s="96"/>
      <c r="AF361" s="96"/>
      <c r="AG361" s="96"/>
      <c r="AH361" s="96"/>
      <c r="AI361" s="96"/>
      <c r="AJ361" s="96"/>
      <c r="AK361" s="96"/>
      <c r="AL361" s="97"/>
      <c r="AY361" s="13" t="s">
        <v>326</v>
      </c>
      <c r="AZ361" s="13" t="s">
        <v>325</v>
      </c>
      <c r="BD361" s="142"/>
      <c r="BH361" s="98"/>
      <c r="BI361" s="118"/>
      <c r="BJ361" s="98"/>
      <c r="BK361" s="99"/>
      <c r="BL361" s="99"/>
      <c r="BM361" s="119"/>
    </row>
    <row r="362" spans="1:66" ht="11.25" customHeight="1" x14ac:dyDescent="0.3">
      <c r="A362" s="864"/>
      <c r="C362" s="101"/>
      <c r="D362" s="102"/>
      <c r="E362" s="103"/>
      <c r="F362" s="58"/>
      <c r="G362" s="104"/>
      <c r="H362" s="60"/>
      <c r="I362" s="146"/>
      <c r="J362" s="107"/>
      <c r="K362" s="160" t="str">
        <f>IF(OR(AU363,AU364,AU365,AU366,AU367,AU368,AU369),"BÜNTETŐK","")</f>
        <v/>
      </c>
      <c r="L362" s="110"/>
      <c r="M362" s="158" t="s">
        <v>286</v>
      </c>
      <c r="N362" s="159"/>
      <c r="O362" s="158" t="s">
        <v>285</v>
      </c>
      <c r="AP362" s="105" t="s">
        <v>328</v>
      </c>
      <c r="AQ362" s="12" t="s">
        <v>138</v>
      </c>
      <c r="AR362" s="12" t="s">
        <v>139</v>
      </c>
      <c r="AT362" s="105" t="s">
        <v>320</v>
      </c>
      <c r="AU362" s="105" t="s">
        <v>321</v>
      </c>
      <c r="AV362" s="105" t="s">
        <v>324</v>
      </c>
      <c r="AW362" s="12" t="s">
        <v>322</v>
      </c>
      <c r="AX362" s="12" t="s">
        <v>323</v>
      </c>
      <c r="AY362" s="116">
        <f>IF(X372,COUNTIF(Z372:Z373,AG364)*ASZTAB!$AJ$48+COUNTIF(AA372:AB373,AG364),0)</f>
        <v>0</v>
      </c>
      <c r="AZ362" s="116">
        <f>IF(X372,COUNTIF(Z372:Z373,AG365)*ASZTAB!$AJ$48+COUNTIF(AA372:AB373,AG365),0)</f>
        <v>0</v>
      </c>
      <c r="BD362" s="142"/>
      <c r="BH362" s="98"/>
      <c r="BI362" s="118"/>
      <c r="BJ362" s="98"/>
      <c r="BK362" s="99"/>
      <c r="BL362" s="99"/>
      <c r="BM362" s="119"/>
    </row>
    <row r="363" spans="1:66" ht="15" customHeight="1" x14ac:dyDescent="0.3">
      <c r="A363" s="864"/>
      <c r="B363" s="7"/>
      <c r="C363" s="106">
        <v>1</v>
      </c>
      <c r="D363" s="137"/>
      <c r="E363" s="107" t="str">
        <f t="shared" ref="E363:E369" si="184">IF(NOT($AP363),"",AQ363)</f>
        <v/>
      </c>
      <c r="F363" s="108"/>
      <c r="G363" s="64" t="str">
        <f t="shared" ref="G363:G369" si="185">IF(NOT($AP363),"","–")</f>
        <v/>
      </c>
      <c r="H363" s="109"/>
      <c r="I363" s="110" t="str">
        <f t="shared" ref="I363:I369" si="186">IF(NOT($AP363),"",AR363)</f>
        <v/>
      </c>
      <c r="J363" s="111"/>
      <c r="K363" s="112" t="str">
        <f t="shared" ref="K363:K369" si="187">IF(AU363,"–","")</f>
        <v/>
      </c>
      <c r="L363" s="113"/>
      <c r="M363" s="153" t="str">
        <f>IF(OR(AL363="",NOT(AV363)),"",IF(AL363="p",CONCATENATE(AY363,"–",AZ363),CONCATENATE(AZ363,"–",AY363)))</f>
        <v/>
      </c>
      <c r="N363" s="110"/>
      <c r="O363" s="139"/>
      <c r="P363" s="114"/>
      <c r="Q363" s="114"/>
      <c r="R363" s="114"/>
      <c r="S363" s="114"/>
      <c r="X363" s="11" t="s">
        <v>306</v>
      </c>
      <c r="Y363" s="11" t="s">
        <v>294</v>
      </c>
      <c r="Z363" s="70" t="s">
        <v>295</v>
      </c>
      <c r="AA363" s="70" t="s">
        <v>127</v>
      </c>
      <c r="AB363" s="70" t="s">
        <v>301</v>
      </c>
      <c r="AC363" s="70" t="s">
        <v>302</v>
      </c>
      <c r="AD363" s="70" t="s">
        <v>332</v>
      </c>
      <c r="AE363" s="70" t="s">
        <v>333</v>
      </c>
      <c r="AF363" s="70" t="s">
        <v>329</v>
      </c>
      <c r="AG363" s="70" t="s">
        <v>303</v>
      </c>
      <c r="AH363" s="70" t="s">
        <v>293</v>
      </c>
      <c r="AJ363" s="71" t="s">
        <v>314</v>
      </c>
      <c r="AL363" s="18" t="s">
        <v>318</v>
      </c>
      <c r="AP363" s="115" t="b">
        <f>AND(AJ364,AJ365,AL363&lt;&gt;"")</f>
        <v>0</v>
      </c>
      <c r="AQ363" s="116" t="str">
        <f>IF(NOT(AP363),"",IF(AL363="p",AG364,AG365))</f>
        <v/>
      </c>
      <c r="AR363" s="117" t="str">
        <f>IF(NOT(AP363),"",IF(AL363="p",AG365,AG364))</f>
        <v/>
      </c>
      <c r="AT363" s="115" t="b">
        <f t="shared" ref="AT363:AT369" si="188">AND(F363&lt;&gt;"",H363&lt;&gt;"",AP363)</f>
        <v>0</v>
      </c>
      <c r="AU363" s="115" t="b">
        <f>AND(ASZTAB!$AJ$42,AT363,F363=H363)</f>
        <v>0</v>
      </c>
      <c r="AV363" s="115" t="b">
        <f t="shared" ref="AV363:AV369" si="189">OR(AND(AT363,NOT(AU363),F363&lt;&gt;H363),AND(AT363,AU363,J363&lt;&gt;"",L363&lt;&gt;"",J363&lt;&gt;L363))</f>
        <v>0</v>
      </c>
      <c r="AW363" s="116" t="str">
        <f t="shared" ref="AW363:AW369" si="190">IF(NOT(AV363),"",IF(AU363,IF(F363+J363&gt;H363+L363,E363,I363),IF(F363&gt;H363,E363,I363)))</f>
        <v/>
      </c>
      <c r="AX363" s="117" t="str">
        <f t="shared" ref="AX363:AX369" si="191">IF(NOT(AV363),"",IF(AW363=E363,I363,IF(AW363=I363,E363,"")))</f>
        <v/>
      </c>
      <c r="AY363" s="116" t="str">
        <f>IF(NOT(AV363),"",IF(AG364=AW363,X368,0)+AY362)</f>
        <v/>
      </c>
      <c r="AZ363" s="116" t="str">
        <f>IF(NOT(AV363),"",IF(AG365=AW363,X368,0)+AZ362)</f>
        <v/>
      </c>
      <c r="BD363" s="142"/>
      <c r="BI363" s="118"/>
      <c r="BK363" s="99"/>
      <c r="BL363" s="119"/>
      <c r="BM363" s="119"/>
    </row>
    <row r="364" spans="1:66" ht="15" customHeight="1" x14ac:dyDescent="0.3">
      <c r="A364" s="864"/>
      <c r="B364" s="7"/>
      <c r="C364" s="106">
        <v>2</v>
      </c>
      <c r="D364" s="137"/>
      <c r="E364" s="107" t="str">
        <f t="shared" si="184"/>
        <v/>
      </c>
      <c r="F364" s="108"/>
      <c r="G364" s="64" t="str">
        <f t="shared" si="185"/>
        <v/>
      </c>
      <c r="H364" s="109"/>
      <c r="I364" s="110" t="str">
        <f t="shared" si="186"/>
        <v/>
      </c>
      <c r="J364" s="111"/>
      <c r="K364" s="112" t="str">
        <f t="shared" si="187"/>
        <v/>
      </c>
      <c r="L364" s="113"/>
      <c r="M364" s="153" t="str">
        <f t="shared" ref="M364:M369" si="192">IF(OR(AL364="",NOT(AV364)),"",IF(AL364="p",CONCATENATE(AY364,"–",AZ364),CONCATENATE(AZ364,"–",AY364)))</f>
        <v/>
      </c>
      <c r="N364" s="110"/>
      <c r="O364" s="140"/>
      <c r="P364" s="114"/>
      <c r="Q364" s="114"/>
      <c r="R364" s="114"/>
      <c r="S364" s="114"/>
      <c r="W364" s="15" t="s">
        <v>312</v>
      </c>
      <c r="X364" s="18"/>
      <c r="Y364" s="72"/>
      <c r="Z364" s="72"/>
      <c r="AA364" s="72"/>
      <c r="AB364" s="18"/>
      <c r="AC364" s="18"/>
      <c r="AD364" s="14" t="str">
        <f ca="1">IF(NOT(AJ364),"",IF(X364=$BE$45,VLOOKUP(AA364,INDIRECT(CONCATENATE("rank.",Y364,Z364)),2,FALSE),VLOOKUP(CONCATENATE(AB364,AC364),result.e,2,FALSE)))</f>
        <v/>
      </c>
      <c r="AE364" s="18"/>
      <c r="AF364" s="120" t="str">
        <f ca="1">IF(OR(AD364="",X364=$BE$45),"",VLOOKUP(AD364,INDIRECT(CONCATENATE("rankname.",AE364)),2,FALSE))</f>
        <v/>
      </c>
      <c r="AG364" s="14" t="str">
        <f ca="1">IF(AD364="","",IF(X364=$BE$45,AD364,IF(AF364&gt;AF365,AD365,AD364)))</f>
        <v/>
      </c>
      <c r="AH364" s="120">
        <f>MAX(AY362:AY369)</f>
        <v>0</v>
      </c>
      <c r="AJ364" s="21" t="b">
        <f>IF(X364=$BE$45,IF(OR(Y364="",Z364="",AA364=""),FALSE,VLOOKUP(CONCATENATE(Y364,Z364),$BD$59:$BE$63,2,FALSE)),IF(OR(AB364="",AC364="",AE364=""),FALSE,VLOOKUP(CONCATENATE(AB364,"e"),result.e,2,FALSE)))</f>
        <v>0</v>
      </c>
      <c r="AL364" s="18" t="s">
        <v>331</v>
      </c>
      <c r="AP364" s="115" t="b">
        <f>AND(AP363,AL364&lt;&gt;"",(COUNTIF(AP363:AP363,"IGAZ")-COUNTIF(AV363:AV363,"IGAZ"))*X368+MAX(AY362:AZ363)&lt;X367)</f>
        <v>0</v>
      </c>
      <c r="AQ364" s="116" t="str">
        <f>IF(NOT(AP364),"",IF(AL364="p",AG364,AG365))</f>
        <v/>
      </c>
      <c r="AR364" s="117" t="str">
        <f>IF(NOT(AP364),"",IF(AL364="p",AG365,AG364))</f>
        <v/>
      </c>
      <c r="AT364" s="115" t="b">
        <f t="shared" si="188"/>
        <v>0</v>
      </c>
      <c r="AU364" s="115" t="b">
        <f>AND(ASZTAB!$AJ$42,AT364,F364=H364)</f>
        <v>0</v>
      </c>
      <c r="AV364" s="115" t="b">
        <f t="shared" si="189"/>
        <v>0</v>
      </c>
      <c r="AW364" s="116" t="str">
        <f t="shared" si="190"/>
        <v/>
      </c>
      <c r="AX364" s="117" t="str">
        <f t="shared" si="191"/>
        <v/>
      </c>
      <c r="AY364" s="116" t="str">
        <f>IF(OR(AY363="",NOT(AV364)),"",IF(AG364=AW364,X368,0)+AY363)</f>
        <v/>
      </c>
      <c r="AZ364" s="116" t="str">
        <f>IF(OR(AZ363="",NOT(AV364)),"",IF(AG365=AW364,X368,0)+AZ363)</f>
        <v/>
      </c>
      <c r="BD364" s="142"/>
      <c r="BI364" s="118"/>
      <c r="BK364" s="99"/>
      <c r="BM364" s="119"/>
    </row>
    <row r="365" spans="1:66" ht="15" customHeight="1" x14ac:dyDescent="0.3">
      <c r="A365" s="864"/>
      <c r="B365" s="7"/>
      <c r="C365" s="106">
        <v>3</v>
      </c>
      <c r="D365" s="137"/>
      <c r="E365" s="107" t="str">
        <f t="shared" si="184"/>
        <v/>
      </c>
      <c r="F365" s="108"/>
      <c r="G365" s="64" t="str">
        <f t="shared" si="185"/>
        <v/>
      </c>
      <c r="H365" s="109"/>
      <c r="I365" s="110" t="str">
        <f t="shared" si="186"/>
        <v/>
      </c>
      <c r="J365" s="111"/>
      <c r="K365" s="112" t="str">
        <f t="shared" si="187"/>
        <v/>
      </c>
      <c r="L365" s="113"/>
      <c r="M365" s="153" t="str">
        <f t="shared" si="192"/>
        <v/>
      </c>
      <c r="N365" s="110"/>
      <c r="O365" s="140"/>
      <c r="P365" s="114"/>
      <c r="Q365" s="114"/>
      <c r="R365" s="114"/>
      <c r="S365" s="114"/>
      <c r="W365" s="15" t="s">
        <v>313</v>
      </c>
      <c r="X365" s="18"/>
      <c r="Y365" s="72"/>
      <c r="Z365" s="72"/>
      <c r="AA365" s="72"/>
      <c r="AB365" s="18"/>
      <c r="AC365" s="18"/>
      <c r="AD365" s="14" t="str">
        <f ca="1">IF(NOT(AJ365),"",IF(X365=$BE$45,VLOOKUP(AA365,INDIRECT(CONCATENATE("rank.",Y365,Z365)),2,FALSE),VLOOKUP(CONCATENATE(AB365,AC365),result.e,2,FALSE)))</f>
        <v/>
      </c>
      <c r="AE365" s="18"/>
      <c r="AF365" s="120" t="str">
        <f ca="1">IF(OR(AD365="",X365=$BE$45),"",VLOOKUP(AD365,INDIRECT(CONCATENATE("rankname.",AE365)),2,FALSE))</f>
        <v/>
      </c>
      <c r="AG365" s="14" t="str">
        <f ca="1">IF(AD365="","",IF(X365=$BE$45,AD365,IF(AF364&gt;AF365,AD364,AD365)))</f>
        <v/>
      </c>
      <c r="AH365" s="120">
        <f>MAX(AZ362:AZ369)</f>
        <v>0</v>
      </c>
      <c r="AJ365" s="21" t="b">
        <f>IF(X365=$BE$45,IF(OR(Y365="",Z365="",AA365=""),FALSE,VLOOKUP(CONCATENATE(Y365,Z365),$BD$59:$BE$63,2,FALSE)),IF(OR(AB365="",AC365="",AE365=""),FALSE,VLOOKUP(CONCATENATE(AB365,"e"),result.e,2,FALSE)))</f>
        <v>0</v>
      </c>
      <c r="AL365" s="18" t="s">
        <v>318</v>
      </c>
      <c r="AP365" s="115" t="b">
        <f>AND(AP364,AL365&lt;&gt;"",(COUNTIF(AP363:AP364,"IGAZ")-COUNTIF(AV363:AV364,"IGAZ"))*X368+MAX(AY362:AZ364)&lt;X367)</f>
        <v>0</v>
      </c>
      <c r="AQ365" s="116" t="str">
        <f>IF(NOT(AP365),"",IF(AL365="p",AG364,AG365))</f>
        <v/>
      </c>
      <c r="AR365" s="117" t="str">
        <f>IF(NOT(AP365),"",IF(AL365="p",AG365,AG364))</f>
        <v/>
      </c>
      <c r="AT365" s="115" t="b">
        <f t="shared" si="188"/>
        <v>0</v>
      </c>
      <c r="AU365" s="115" t="b">
        <f>AND(ASZTAB!$AJ$42,AT365,F365=H365)</f>
        <v>0</v>
      </c>
      <c r="AV365" s="115" t="b">
        <f t="shared" si="189"/>
        <v>0</v>
      </c>
      <c r="AW365" s="116" t="str">
        <f t="shared" si="190"/>
        <v/>
      </c>
      <c r="AX365" s="117" t="str">
        <f t="shared" si="191"/>
        <v/>
      </c>
      <c r="AY365" s="116" t="str">
        <f>IF(OR(AY364="",NOT(AV365)),"",IF(AG364=AW365,X368,0)+AY364)</f>
        <v/>
      </c>
      <c r="AZ365" s="116" t="str">
        <f>IF(OR(AZ364="",NOT(AV365)),"",IF(AG365=AW365,X368,0)+AZ364)</f>
        <v/>
      </c>
      <c r="BD365" s="142"/>
      <c r="BI365" s="118"/>
      <c r="BM365" s="119"/>
      <c r="BN365" s="119"/>
    </row>
    <row r="366" spans="1:66" ht="15" customHeight="1" x14ac:dyDescent="0.3">
      <c r="A366" s="864"/>
      <c r="B366" s="7"/>
      <c r="C366" s="106">
        <v>4</v>
      </c>
      <c r="D366" s="137"/>
      <c r="E366" s="107" t="str">
        <f t="shared" si="184"/>
        <v/>
      </c>
      <c r="F366" s="108"/>
      <c r="G366" s="64" t="str">
        <f t="shared" si="185"/>
        <v/>
      </c>
      <c r="H366" s="109"/>
      <c r="I366" s="110" t="str">
        <f t="shared" si="186"/>
        <v/>
      </c>
      <c r="J366" s="111"/>
      <c r="K366" s="112" t="str">
        <f t="shared" si="187"/>
        <v/>
      </c>
      <c r="L366" s="113"/>
      <c r="M366" s="153" t="str">
        <f t="shared" si="192"/>
        <v/>
      </c>
      <c r="N366" s="110"/>
      <c r="O366" s="140"/>
      <c r="P366" s="114"/>
      <c r="Q366" s="114"/>
      <c r="AL366" s="18" t="s">
        <v>331</v>
      </c>
      <c r="AP366" s="115" t="b">
        <f>AND(AP365,AL366&lt;&gt;"",(COUNTIF(AP363:AP365,"IGAZ")-COUNTIF(AV363:AV365,"IGAZ"))*X368+MAX(AY362:AZ365)&lt;X367)</f>
        <v>0</v>
      </c>
      <c r="AQ366" s="116" t="str">
        <f>IF(NOT(AP366),"",IF(AL366="p",AG364,AG365))</f>
        <v/>
      </c>
      <c r="AR366" s="117" t="str">
        <f>IF(NOT(AP366),"",IF(AL366="p",AG365,AG364))</f>
        <v/>
      </c>
      <c r="AT366" s="115" t="b">
        <f t="shared" si="188"/>
        <v>0</v>
      </c>
      <c r="AU366" s="115" t="b">
        <f>AND(ASZTAB!$AJ$42,AT366,F366=H366)</f>
        <v>0</v>
      </c>
      <c r="AV366" s="115" t="b">
        <f t="shared" si="189"/>
        <v>0</v>
      </c>
      <c r="AW366" s="116" t="str">
        <f t="shared" si="190"/>
        <v/>
      </c>
      <c r="AX366" s="117" t="str">
        <f t="shared" si="191"/>
        <v/>
      </c>
      <c r="AY366" s="116" t="str">
        <f>IF(OR(AY365="",NOT(AV366)),"",IF(AG364=AW366,X368,0)+AY365)</f>
        <v/>
      </c>
      <c r="AZ366" s="116" t="str">
        <f>IF(OR(AZ365="",NOT(AV366)),"",IF(AG365=AW366,X368,0)+AZ365)</f>
        <v/>
      </c>
      <c r="BD366" s="142"/>
      <c r="BI366" s="118"/>
      <c r="BM366" s="119"/>
    </row>
    <row r="367" spans="1:66" ht="15" customHeight="1" x14ac:dyDescent="0.3">
      <c r="A367" s="864"/>
      <c r="B367" s="121"/>
      <c r="C367" s="106">
        <v>5</v>
      </c>
      <c r="D367" s="137"/>
      <c r="E367" s="107" t="str">
        <f t="shared" si="184"/>
        <v/>
      </c>
      <c r="F367" s="108"/>
      <c r="G367" s="64" t="str">
        <f t="shared" si="185"/>
        <v/>
      </c>
      <c r="H367" s="109"/>
      <c r="I367" s="110" t="str">
        <f t="shared" si="186"/>
        <v/>
      </c>
      <c r="J367" s="111"/>
      <c r="K367" s="112" t="str">
        <f t="shared" si="187"/>
        <v/>
      </c>
      <c r="L367" s="113"/>
      <c r="M367" s="153" t="str">
        <f t="shared" si="192"/>
        <v/>
      </c>
      <c r="N367" s="110"/>
      <c r="O367" s="140"/>
      <c r="P367" s="114"/>
      <c r="Q367" s="114"/>
      <c r="R367" s="114"/>
      <c r="S367" s="114"/>
      <c r="W367" s="15" t="s">
        <v>315</v>
      </c>
      <c r="X367" s="18">
        <v>3</v>
      </c>
      <c r="AD367" s="15"/>
      <c r="AE367" s="15" t="s">
        <v>312</v>
      </c>
      <c r="AF367" s="15" t="str">
        <f>CONCATENATE(V361,"f")</f>
        <v>21f</v>
      </c>
      <c r="AG367" s="16" t="str">
        <f>IF(OR(NOT(AJ364),NOT(AJ365)),"",AD364)</f>
        <v/>
      </c>
      <c r="AH367" s="23" t="str">
        <f>IF(OR(NOT(AJ364),NOT(AJ365)),"",VLOOKUP(AG367,AG364:AH365,2,FALSE))</f>
        <v/>
      </c>
      <c r="AL367" s="18" t="s">
        <v>318</v>
      </c>
      <c r="AP367" s="115" t="b">
        <f>AND(AP366,AL367&lt;&gt;"",(COUNTIF(AP363:AP366,"IGAZ")-COUNTIF(AV363:AV366,"IGAZ"))*X368+MAX(AY362:AZ366)&lt;X367)</f>
        <v>0</v>
      </c>
      <c r="AQ367" s="116" t="str">
        <f>IF(NOT(AP367),"",IF(AL367="p",AG364,AG365))</f>
        <v/>
      </c>
      <c r="AR367" s="117" t="str">
        <f>IF(NOT(AP367),"",IF(AL367="p",AG365,AG364))</f>
        <v/>
      </c>
      <c r="AT367" s="115" t="b">
        <f t="shared" si="188"/>
        <v>0</v>
      </c>
      <c r="AU367" s="115" t="b">
        <f>AND(ASZTAB!$AJ$42,AT367,F367=H367)</f>
        <v>0</v>
      </c>
      <c r="AV367" s="115" t="b">
        <f t="shared" si="189"/>
        <v>0</v>
      </c>
      <c r="AW367" s="116" t="str">
        <f t="shared" si="190"/>
        <v/>
      </c>
      <c r="AX367" s="117" t="str">
        <f t="shared" si="191"/>
        <v/>
      </c>
      <c r="AY367" s="116" t="str">
        <f>IF(OR(AY366="",NOT(AV367)),"",IF(AG364=AW367,X368,0)+AY366)</f>
        <v/>
      </c>
      <c r="AZ367" s="116" t="str">
        <f>IF(OR(AZ366="",NOT(AV367)),"",IF(AG365=AW367,X368,0)+AZ366)</f>
        <v/>
      </c>
      <c r="BD367" s="142"/>
      <c r="BI367" s="118"/>
      <c r="BK367" s="119"/>
      <c r="BL367" s="119"/>
      <c r="BM367" s="119"/>
    </row>
    <row r="368" spans="1:66" ht="15" customHeight="1" x14ac:dyDescent="0.3">
      <c r="A368" s="864"/>
      <c r="B368" s="122"/>
      <c r="C368" s="106">
        <v>6</v>
      </c>
      <c r="D368" s="137"/>
      <c r="E368" s="107" t="str">
        <f t="shared" si="184"/>
        <v/>
      </c>
      <c r="F368" s="108"/>
      <c r="G368" s="64" t="str">
        <f t="shared" si="185"/>
        <v/>
      </c>
      <c r="H368" s="109"/>
      <c r="I368" s="110" t="str">
        <f t="shared" si="186"/>
        <v/>
      </c>
      <c r="J368" s="111"/>
      <c r="K368" s="112" t="str">
        <f t="shared" si="187"/>
        <v/>
      </c>
      <c r="L368" s="113"/>
      <c r="M368" s="8" t="str">
        <f t="shared" si="192"/>
        <v/>
      </c>
      <c r="N368" s="123"/>
      <c r="O368" s="141"/>
      <c r="W368" s="15" t="s">
        <v>327</v>
      </c>
      <c r="X368" s="18">
        <v>1</v>
      </c>
      <c r="AD368" s="15"/>
      <c r="AE368" s="15" t="s">
        <v>313</v>
      </c>
      <c r="AF368" s="15" t="str">
        <f>CONCATENATE(V361,"a")</f>
        <v>21a</v>
      </c>
      <c r="AG368" s="16" t="str">
        <f>IF(OR(NOT(AJ364),NOT(AJ365)),"",AD365)</f>
        <v/>
      </c>
      <c r="AH368" s="23" t="str">
        <f>IF(OR(NOT(AJ364),NOT(AJ365)),"",VLOOKUP(AG368,AG364:AH365,2,FALSE))</f>
        <v/>
      </c>
      <c r="AL368" s="18" t="s">
        <v>331</v>
      </c>
      <c r="AP368" s="115" t="b">
        <f>AND(AP367,AL368&lt;&gt;"",(COUNTIF(AP363:AP367,"IGAZ")-COUNTIF(AV363:AV367,"IGAZ"))*X368+MAX(AY362:AZ367)&lt;X367)</f>
        <v>0</v>
      </c>
      <c r="AQ368" s="116" t="str">
        <f>IF(NOT(AP368),"",IF(AL368="p",AG364,AG365))</f>
        <v/>
      </c>
      <c r="AR368" s="117" t="str">
        <f>IF(NOT(AP368),"",IF(AL368="p",AG365,AG364))</f>
        <v/>
      </c>
      <c r="AT368" s="115" t="b">
        <f t="shared" si="188"/>
        <v>0</v>
      </c>
      <c r="AU368" s="115" t="b">
        <f>AND(ASZTAB!$AJ$42,AT368,F368=H368)</f>
        <v>0</v>
      </c>
      <c r="AV368" s="115" t="b">
        <f t="shared" si="189"/>
        <v>0</v>
      </c>
      <c r="AW368" s="116" t="str">
        <f t="shared" si="190"/>
        <v/>
      </c>
      <c r="AX368" s="117" t="str">
        <f t="shared" si="191"/>
        <v/>
      </c>
      <c r="AY368" s="116" t="str">
        <f>IF(OR(AY367="",NOT(AV368)),"",IF(AG364=AW368,X368,0)+AY367)</f>
        <v/>
      </c>
      <c r="AZ368" s="116" t="str">
        <f>IF(OR(AZ367="",NOT(AV368)),"",IF(AG365=AW368,X368,0)+AZ367)</f>
        <v/>
      </c>
      <c r="BD368" s="142"/>
      <c r="BI368" s="118"/>
      <c r="BK368" s="119"/>
      <c r="BL368" s="119"/>
      <c r="BM368" s="119"/>
    </row>
    <row r="369" spans="1:66" ht="15" customHeight="1" x14ac:dyDescent="0.3">
      <c r="A369" s="864"/>
      <c r="B369" s="122"/>
      <c r="C369" s="106">
        <v>7</v>
      </c>
      <c r="D369" s="137"/>
      <c r="E369" s="107" t="str">
        <f t="shared" si="184"/>
        <v/>
      </c>
      <c r="F369" s="108"/>
      <c r="G369" s="64" t="str">
        <f t="shared" si="185"/>
        <v/>
      </c>
      <c r="H369" s="109"/>
      <c r="I369" s="110" t="str">
        <f t="shared" si="186"/>
        <v/>
      </c>
      <c r="J369" s="111"/>
      <c r="K369" s="112" t="str">
        <f t="shared" si="187"/>
        <v/>
      </c>
      <c r="L369" s="113"/>
      <c r="M369" s="8" t="str">
        <f t="shared" si="192"/>
        <v/>
      </c>
      <c r="N369" s="123"/>
      <c r="O369" s="141"/>
      <c r="AE369" s="15" t="s">
        <v>316</v>
      </c>
      <c r="AF369" s="15" t="str">
        <f>CONCATENATE(V361,"w")</f>
        <v>21w</v>
      </c>
      <c r="AG369" s="16" t="str">
        <f>IF(AND(AJ364,AJ365),IF(MAX(AY363:AY369)&gt;=X367,AG364,IF(MAX(AZ363:AZ369)&gt;=X367,AG365,"")),"")</f>
        <v/>
      </c>
      <c r="AL369" s="18" t="s">
        <v>318</v>
      </c>
      <c r="AP369" s="115" t="b">
        <f>AND(AP368,AL369&lt;&gt;"",(COUNTIF(AP363:AP368,"IGAZ")-COUNTIF(AV363:AV368,"IGAZ"))*X368+MAX(AY362:AZ368)&lt;X367)</f>
        <v>0</v>
      </c>
      <c r="AQ369" s="116" t="str">
        <f>IF(NOT(AP369),"",IF(AL369="p",AG364,AG365))</f>
        <v/>
      </c>
      <c r="AR369" s="117" t="str">
        <f>IF(NOT(AP369),"",IF(AL369="p",AG365,AG364))</f>
        <v/>
      </c>
      <c r="AT369" s="115" t="b">
        <f t="shared" si="188"/>
        <v>0</v>
      </c>
      <c r="AU369" s="115" t="b">
        <f>AND(ASZTAB!$AJ$42,AT369,F369=H369)</f>
        <v>0</v>
      </c>
      <c r="AV369" s="115" t="b">
        <f t="shared" si="189"/>
        <v>0</v>
      </c>
      <c r="AW369" s="116" t="str">
        <f t="shared" si="190"/>
        <v/>
      </c>
      <c r="AX369" s="117" t="str">
        <f t="shared" si="191"/>
        <v/>
      </c>
      <c r="AY369" s="116" t="str">
        <f>IF(OR(AY368="",NOT(AV369)),"",IF(AG364=AW369,X368,0)+AY368)</f>
        <v/>
      </c>
      <c r="AZ369" s="116" t="str">
        <f>IF(OR(AZ368="",NOT(AV369)),"",IF(AG365=AW369,X368,0)+AZ368)</f>
        <v/>
      </c>
      <c r="BD369" s="142"/>
      <c r="BI369" s="118"/>
      <c r="BK369" s="119"/>
      <c r="BL369" s="119"/>
      <c r="BM369" s="119"/>
      <c r="BN369" s="119"/>
    </row>
    <row r="370" spans="1:66" ht="15" customHeight="1" x14ac:dyDescent="0.3">
      <c r="A370" s="864"/>
      <c r="B370" s="122"/>
      <c r="C370" s="106"/>
      <c r="D370" s="123"/>
      <c r="E370" s="124"/>
      <c r="F370" s="125"/>
      <c r="G370" s="123"/>
      <c r="H370" s="114"/>
      <c r="I370" s="123"/>
      <c r="J370" s="125"/>
      <c r="K370" s="123"/>
      <c r="L370" s="114"/>
      <c r="M370" s="123"/>
      <c r="N370" s="123"/>
      <c r="O370" s="123"/>
      <c r="AE370" s="15" t="s">
        <v>317</v>
      </c>
      <c r="AF370" s="15" t="str">
        <f>CONCATENATE(V361,"l")</f>
        <v>21l</v>
      </c>
      <c r="AG370" s="16" t="str">
        <f ca="1">IF(AG369=AG364,AG365,IF(AG365=AG369,AG364,""))</f>
        <v/>
      </c>
      <c r="AL370" s="126" t="s">
        <v>330</v>
      </c>
      <c r="BD370" s="142"/>
      <c r="BI370" s="118"/>
      <c r="BK370" s="119"/>
      <c r="BL370" s="119"/>
      <c r="BM370" s="119"/>
      <c r="BN370" s="119"/>
    </row>
    <row r="371" spans="1:66" ht="15" customHeight="1" x14ac:dyDescent="0.3">
      <c r="A371" s="864"/>
      <c r="B371" s="122"/>
      <c r="C371" s="127" t="s">
        <v>463</v>
      </c>
      <c r="D371" s="123"/>
      <c r="E371" s="124"/>
      <c r="F371" s="125"/>
      <c r="G371" s="123"/>
      <c r="H371" s="114"/>
      <c r="I371" s="123"/>
      <c r="J371" s="125"/>
      <c r="K371" s="123"/>
      <c r="L371" s="114"/>
      <c r="M371" s="123"/>
      <c r="N371" s="123"/>
      <c r="O371" s="123"/>
      <c r="Y371" s="11" t="s">
        <v>294</v>
      </c>
      <c r="Z371" s="70" t="s">
        <v>311</v>
      </c>
      <c r="AA371" s="70" t="s">
        <v>153</v>
      </c>
      <c r="AB371" s="70" t="s">
        <v>153</v>
      </c>
      <c r="AE371" s="15" t="s">
        <v>287</v>
      </c>
      <c r="AF371" s="15" t="str">
        <f>CONCATENATE(V361,"e")</f>
        <v>21e</v>
      </c>
      <c r="AG371" s="21" t="b">
        <f ca="1">AND(AG369&lt;&gt;"",AG370&lt;&gt;"")</f>
        <v>0</v>
      </c>
      <c r="BD371" s="15"/>
      <c r="BI371" s="118"/>
      <c r="BK371" s="119"/>
      <c r="BL371" s="119"/>
      <c r="BM371" s="119"/>
      <c r="BN371" s="119"/>
    </row>
    <row r="372" spans="1:66" ht="15" customHeight="1" x14ac:dyDescent="0.3">
      <c r="A372" s="864"/>
      <c r="B372" s="122"/>
      <c r="C372" s="865"/>
      <c r="D372" s="865"/>
      <c r="E372" s="865"/>
      <c r="F372" s="865"/>
      <c r="G372" s="865"/>
      <c r="H372" s="865"/>
      <c r="I372" s="865"/>
      <c r="J372" s="865"/>
      <c r="K372" s="865"/>
      <c r="L372" s="865"/>
      <c r="M372" s="865"/>
      <c r="N372" s="865"/>
      <c r="O372" s="865"/>
      <c r="W372" s="15" t="s">
        <v>319</v>
      </c>
      <c r="X372" s="18" t="b">
        <v>0</v>
      </c>
      <c r="Y372" s="72" t="s">
        <v>289</v>
      </c>
      <c r="Z372" s="16" t="str">
        <f ca="1">IF(AND(AJ364,AJ365,X372,Y372&lt;&gt;""),CONCATENATE(VLOOKUP(CONCATENATE(AG364,AG365),INDIRECT(CONCATENATE("games.",Y372)),9,FALSE),VLOOKUP(CONCATENATE(AG364,AG365),INDIRECT(CONCATENATE("games.",Y372)),12,FALSE)),"")</f>
        <v/>
      </c>
      <c r="AA372" s="16" t="str">
        <f ca="1">IF(AND(AJ364,AJ365,X372,Y372&lt;&gt;""),VLOOKUP(CONCATENATE(AG364,AG365),INDIRECT(CONCATENATE("games.",Y372)),10,FALSE),"")</f>
        <v/>
      </c>
      <c r="AB372" s="54" t="str">
        <f ca="1">IF(AND(AJ364,AJ365,X372,Y372&lt;&gt;""),VLOOKUP(CONCATENATE(AG364,AG365),INDIRECT(CONCATENATE("games.",Y372)),13,FALSE),"")</f>
        <v/>
      </c>
      <c r="BD372" s="15"/>
      <c r="BI372" s="118"/>
      <c r="BK372" s="119"/>
      <c r="BL372" s="119"/>
      <c r="BM372" s="119"/>
      <c r="BN372" s="119"/>
    </row>
    <row r="373" spans="1:66" ht="15" customHeight="1" x14ac:dyDescent="0.3">
      <c r="A373" s="864"/>
      <c r="B373" s="122"/>
      <c r="C373" s="866"/>
      <c r="D373" s="866"/>
      <c r="E373" s="866"/>
      <c r="F373" s="866"/>
      <c r="G373" s="866"/>
      <c r="H373" s="866"/>
      <c r="I373" s="866"/>
      <c r="J373" s="866"/>
      <c r="K373" s="866"/>
      <c r="L373" s="866"/>
      <c r="M373" s="866"/>
      <c r="N373" s="866"/>
      <c r="O373" s="866"/>
      <c r="Z373" s="16" t="str">
        <f ca="1">IF(AND(AJ364,AJ365,X372,Y372&lt;&gt;""),CONCATENATE(VLOOKUP(CONCATENATE(AG365,AG364),INDIRECT(CONCATENATE("games.",Y372)),9,FALSE),VLOOKUP(CONCATENATE(AG365,AG364),INDIRECT(CONCATENATE("games.",Y372)),12,FALSE)),"")</f>
        <v/>
      </c>
      <c r="AA373" s="16" t="str">
        <f ca="1">IF(AND(AJ364,AJ365,X372,Y372&lt;&gt;""),VLOOKUP(CONCATENATE(AG365,AG364),INDIRECT(CONCATENATE("games.",Y372)),10,FALSE),"")</f>
        <v/>
      </c>
      <c r="AB373" s="54" t="str">
        <f ca="1">IF(AND(AJ364,AJ365,X372,Y372&lt;&gt;""),VLOOKUP(CONCATENATE(AG365,AG364),INDIRECT(CONCATENATE("games.",Y372)),13,FALSE),"")</f>
        <v/>
      </c>
      <c r="BD373" s="15"/>
      <c r="BI373" s="118"/>
      <c r="BK373" s="119"/>
      <c r="BL373" s="119"/>
      <c r="BM373" s="119"/>
      <c r="BN373" s="119"/>
    </row>
    <row r="374" spans="1:66" ht="15" customHeight="1" x14ac:dyDescent="0.3">
      <c r="A374" s="864"/>
      <c r="B374" s="122"/>
      <c r="C374" s="866"/>
      <c r="D374" s="866"/>
      <c r="E374" s="866"/>
      <c r="F374" s="866"/>
      <c r="G374" s="866"/>
      <c r="H374" s="866"/>
      <c r="I374" s="866"/>
      <c r="J374" s="866"/>
      <c r="K374" s="866"/>
      <c r="L374" s="866"/>
      <c r="M374" s="866"/>
      <c r="N374" s="866"/>
      <c r="O374" s="866"/>
      <c r="BD374" s="15"/>
      <c r="BI374" s="118"/>
      <c r="BK374" s="119"/>
      <c r="BL374" s="119"/>
      <c r="BM374" s="119"/>
      <c r="BN374" s="119"/>
    </row>
    <row r="375" spans="1:66" ht="15" customHeight="1" x14ac:dyDescent="0.3">
      <c r="A375" s="864"/>
      <c r="B375" s="122"/>
      <c r="C375" s="106"/>
      <c r="D375" s="123"/>
      <c r="E375" s="124"/>
      <c r="F375" s="125"/>
      <c r="G375" s="123"/>
      <c r="H375" s="114"/>
      <c r="I375" s="123"/>
      <c r="J375" s="125"/>
      <c r="K375" s="123"/>
      <c r="L375" s="114"/>
      <c r="M375" s="123"/>
      <c r="N375" s="123"/>
      <c r="O375" s="123"/>
      <c r="U375" s="10"/>
      <c r="V375" s="128"/>
      <c r="W375" s="129"/>
      <c r="X375" s="10"/>
      <c r="Y375" s="130"/>
      <c r="Z375" s="130"/>
      <c r="AA375" s="130"/>
      <c r="AB375" s="130"/>
      <c r="AC375" s="130"/>
      <c r="AD375" s="130"/>
      <c r="AE375" s="130"/>
      <c r="AF375" s="130"/>
      <c r="AG375" s="130"/>
      <c r="AH375" s="130"/>
      <c r="AI375" s="130"/>
      <c r="AJ375" s="130"/>
      <c r="AK375" s="130"/>
      <c r="AL375" s="130"/>
      <c r="AM375" s="10"/>
      <c r="AO375" s="131"/>
      <c r="AP375" s="131"/>
      <c r="AQ375" s="132"/>
      <c r="AR375" s="132"/>
      <c r="AS375" s="132"/>
      <c r="AT375" s="131"/>
      <c r="AU375" s="131"/>
      <c r="AV375" s="131"/>
      <c r="AW375" s="132"/>
      <c r="AX375" s="132"/>
      <c r="AY375" s="131"/>
      <c r="AZ375" s="131"/>
      <c r="BA375" s="131"/>
      <c r="BD375" s="15"/>
      <c r="BI375" s="118"/>
      <c r="BK375" s="119"/>
      <c r="BL375" s="119"/>
      <c r="BM375" s="119"/>
      <c r="BN375" s="119"/>
    </row>
    <row r="376" spans="1:66" ht="15" customHeight="1" x14ac:dyDescent="0.3">
      <c r="A376" s="864"/>
      <c r="B376" s="88"/>
      <c r="C376" s="89"/>
      <c r="D376" s="90"/>
      <c r="BI376" s="118"/>
      <c r="BM376" s="119"/>
    </row>
    <row r="377" spans="1:66" ht="15" customHeight="1" x14ac:dyDescent="0.3">
      <c r="A377" s="864"/>
      <c r="B377" s="147"/>
      <c r="C377" s="149">
        <f>V377</f>
        <v>22</v>
      </c>
      <c r="D377" s="150" t="str">
        <f>UPPER(W377)</f>
        <v/>
      </c>
      <c r="E377" s="151"/>
      <c r="F377" s="151"/>
      <c r="G377" s="151"/>
      <c r="H377" s="151"/>
      <c r="I377" s="151"/>
      <c r="J377" s="151"/>
      <c r="K377" s="151"/>
      <c r="L377" s="151"/>
      <c r="M377" s="138"/>
      <c r="N377" s="151"/>
      <c r="O377" s="161" t="str">
        <f ca="1">IF(NOT(AG387),"","A PÁRHARC GYŐZTESE: "&amp;UPPER(AG385))</f>
        <v/>
      </c>
      <c r="P377" s="152" t="str">
        <f>IF(NOT(Y385),"",CONCATENATE("A PÁRHARC GYŐZTESE: ",AH383," "))</f>
        <v/>
      </c>
      <c r="Q377" s="148" t="str">
        <f>IF(NOT(Z385),"",CONCATENATE("A PÁRHARC GYŐZTESE: ",AJ383," "))</f>
        <v/>
      </c>
      <c r="R377" s="148" t="str">
        <f>IF(NOT(AA385),"",CONCATENATE("A PÁRHARC GYŐZTESE: ",AK383," "))</f>
        <v/>
      </c>
      <c r="S377" s="148" t="str">
        <f>IF(NOT(AB385),"",CONCATENATE("A PÁRHARC GYŐZTESE: ",AL383," "))</f>
        <v/>
      </c>
      <c r="V377" s="21">
        <f>V361+1</f>
        <v>22</v>
      </c>
      <c r="W377" s="95"/>
      <c r="X377" s="96"/>
      <c r="Y377" s="96"/>
      <c r="Z377" s="96"/>
      <c r="AA377" s="96"/>
      <c r="AB377" s="96"/>
      <c r="AC377" s="96"/>
      <c r="AD377" s="96"/>
      <c r="AE377" s="96"/>
      <c r="AF377" s="96"/>
      <c r="AG377" s="96"/>
      <c r="AH377" s="96"/>
      <c r="AI377" s="96"/>
      <c r="AJ377" s="96"/>
      <c r="AK377" s="96"/>
      <c r="AL377" s="97"/>
      <c r="AY377" s="13" t="s">
        <v>326</v>
      </c>
      <c r="AZ377" s="13" t="s">
        <v>325</v>
      </c>
      <c r="BD377" s="142"/>
      <c r="BH377" s="98"/>
      <c r="BI377" s="118"/>
      <c r="BJ377" s="98"/>
      <c r="BK377" s="99"/>
      <c r="BL377" s="99"/>
      <c r="BM377" s="119"/>
    </row>
    <row r="378" spans="1:66" ht="11.25" customHeight="1" x14ac:dyDescent="0.3">
      <c r="A378" s="864"/>
      <c r="C378" s="101"/>
      <c r="D378" s="102"/>
      <c r="E378" s="103"/>
      <c r="F378" s="58"/>
      <c r="G378" s="104"/>
      <c r="H378" s="60"/>
      <c r="I378" s="146"/>
      <c r="J378" s="107"/>
      <c r="K378" s="160" t="str">
        <f>IF(OR(AU379,AU380,AU381,AU382,AU383,AU384,AU385),"BÜNTETŐK","")</f>
        <v/>
      </c>
      <c r="L378" s="110"/>
      <c r="M378" s="158" t="s">
        <v>286</v>
      </c>
      <c r="N378" s="159"/>
      <c r="O378" s="158" t="s">
        <v>285</v>
      </c>
      <c r="AP378" s="105" t="s">
        <v>328</v>
      </c>
      <c r="AQ378" s="12" t="s">
        <v>138</v>
      </c>
      <c r="AR378" s="12" t="s">
        <v>139</v>
      </c>
      <c r="AT378" s="105" t="s">
        <v>320</v>
      </c>
      <c r="AU378" s="105" t="s">
        <v>321</v>
      </c>
      <c r="AV378" s="105" t="s">
        <v>324</v>
      </c>
      <c r="AW378" s="12" t="s">
        <v>322</v>
      </c>
      <c r="AX378" s="12" t="s">
        <v>323</v>
      </c>
      <c r="AY378" s="116">
        <f>IF(X388,COUNTIF(Z388:Z389,AG380)*ASZTAB!$AJ$48+COUNTIF(AA388:AB389,AG380),0)</f>
        <v>0</v>
      </c>
      <c r="AZ378" s="116">
        <f>IF(X388,COUNTIF(Z388:Z389,AG381)*ASZTAB!$AJ$48+COUNTIF(AA388:AB389,AG381),0)</f>
        <v>0</v>
      </c>
      <c r="BD378" s="142"/>
      <c r="BH378" s="98"/>
      <c r="BI378" s="118"/>
      <c r="BJ378" s="98"/>
      <c r="BK378" s="99"/>
      <c r="BL378" s="99"/>
      <c r="BM378" s="119"/>
    </row>
    <row r="379" spans="1:66" ht="15" customHeight="1" x14ac:dyDescent="0.3">
      <c r="A379" s="864"/>
      <c r="B379" s="7"/>
      <c r="C379" s="106">
        <v>1</v>
      </c>
      <c r="D379" s="137"/>
      <c r="E379" s="107" t="str">
        <f t="shared" ref="E379:E385" si="193">IF(NOT($AP379),"",AQ379)</f>
        <v/>
      </c>
      <c r="F379" s="108"/>
      <c r="G379" s="64" t="str">
        <f t="shared" ref="G379:G385" si="194">IF(NOT($AP379),"","–")</f>
        <v/>
      </c>
      <c r="H379" s="109"/>
      <c r="I379" s="110" t="str">
        <f t="shared" ref="I379:I385" si="195">IF(NOT($AP379),"",AR379)</f>
        <v/>
      </c>
      <c r="J379" s="111"/>
      <c r="K379" s="112" t="str">
        <f t="shared" ref="K379:K385" si="196">IF(AU379,"–","")</f>
        <v/>
      </c>
      <c r="L379" s="113"/>
      <c r="M379" s="153" t="str">
        <f>IF(OR(AL379="",NOT(AV379)),"",IF(AL379="p",CONCATENATE(AY379,"–",AZ379),CONCATENATE(AZ379,"–",AY379)))</f>
        <v/>
      </c>
      <c r="N379" s="110"/>
      <c r="O379" s="139"/>
      <c r="P379" s="114"/>
      <c r="Q379" s="114"/>
      <c r="R379" s="114"/>
      <c r="S379" s="114"/>
      <c r="X379" s="11" t="s">
        <v>306</v>
      </c>
      <c r="Y379" s="11" t="s">
        <v>294</v>
      </c>
      <c r="Z379" s="70" t="s">
        <v>295</v>
      </c>
      <c r="AA379" s="70" t="s">
        <v>127</v>
      </c>
      <c r="AB379" s="70" t="s">
        <v>301</v>
      </c>
      <c r="AC379" s="70" t="s">
        <v>302</v>
      </c>
      <c r="AD379" s="70" t="s">
        <v>332</v>
      </c>
      <c r="AE379" s="70" t="s">
        <v>333</v>
      </c>
      <c r="AF379" s="70" t="s">
        <v>329</v>
      </c>
      <c r="AG379" s="70" t="s">
        <v>303</v>
      </c>
      <c r="AH379" s="70" t="s">
        <v>293</v>
      </c>
      <c r="AJ379" s="71" t="s">
        <v>314</v>
      </c>
      <c r="AL379" s="18" t="s">
        <v>318</v>
      </c>
      <c r="AP379" s="115" t="b">
        <f>AND(AJ380,AJ381,AL379&lt;&gt;"")</f>
        <v>0</v>
      </c>
      <c r="AQ379" s="116" t="str">
        <f>IF(NOT(AP379),"",IF(AL379="p",AG380,AG381))</f>
        <v/>
      </c>
      <c r="AR379" s="117" t="str">
        <f>IF(NOT(AP379),"",IF(AL379="p",AG381,AG380))</f>
        <v/>
      </c>
      <c r="AT379" s="115" t="b">
        <f t="shared" ref="AT379:AT385" si="197">AND(F379&lt;&gt;"",H379&lt;&gt;"",AP379)</f>
        <v>0</v>
      </c>
      <c r="AU379" s="115" t="b">
        <f>AND(ASZTAB!$AJ$42,AT379,F379=H379)</f>
        <v>0</v>
      </c>
      <c r="AV379" s="115" t="b">
        <f t="shared" ref="AV379:AV385" si="198">OR(AND(AT379,NOT(AU379),F379&lt;&gt;H379),AND(AT379,AU379,J379&lt;&gt;"",L379&lt;&gt;"",J379&lt;&gt;L379))</f>
        <v>0</v>
      </c>
      <c r="AW379" s="116" t="str">
        <f t="shared" ref="AW379:AW385" si="199">IF(NOT(AV379),"",IF(AU379,IF(F379+J379&gt;H379+L379,E379,I379),IF(F379&gt;H379,E379,I379)))</f>
        <v/>
      </c>
      <c r="AX379" s="117" t="str">
        <f t="shared" ref="AX379:AX385" si="200">IF(NOT(AV379),"",IF(AW379=E379,I379,IF(AW379=I379,E379,"")))</f>
        <v/>
      </c>
      <c r="AY379" s="116" t="str">
        <f>IF(NOT(AV379),"",IF(AG380=AW379,X384,0)+AY378)</f>
        <v/>
      </c>
      <c r="AZ379" s="116" t="str">
        <f>IF(NOT(AV379),"",IF(AG381=AW379,X384,0)+AZ378)</f>
        <v/>
      </c>
      <c r="BD379" s="142"/>
      <c r="BI379" s="118"/>
      <c r="BK379" s="99"/>
      <c r="BL379" s="119"/>
      <c r="BM379" s="119"/>
    </row>
    <row r="380" spans="1:66" ht="15" customHeight="1" x14ac:dyDescent="0.3">
      <c r="A380" s="864"/>
      <c r="B380" s="7"/>
      <c r="C380" s="106">
        <v>2</v>
      </c>
      <c r="D380" s="137"/>
      <c r="E380" s="107" t="str">
        <f t="shared" si="193"/>
        <v/>
      </c>
      <c r="F380" s="108"/>
      <c r="G380" s="64" t="str">
        <f t="shared" si="194"/>
        <v/>
      </c>
      <c r="H380" s="109"/>
      <c r="I380" s="110" t="str">
        <f t="shared" si="195"/>
        <v/>
      </c>
      <c r="J380" s="111"/>
      <c r="K380" s="112" t="str">
        <f t="shared" si="196"/>
        <v/>
      </c>
      <c r="L380" s="113"/>
      <c r="M380" s="153" t="str">
        <f t="shared" ref="M380:M385" si="201">IF(OR(AL380="",NOT(AV380)),"",IF(AL380="p",CONCATENATE(AY380,"–",AZ380),CONCATENATE(AZ380,"–",AY380)))</f>
        <v/>
      </c>
      <c r="N380" s="110"/>
      <c r="O380" s="140"/>
      <c r="P380" s="114"/>
      <c r="Q380" s="114"/>
      <c r="R380" s="114"/>
      <c r="S380" s="114"/>
      <c r="W380" s="15" t="s">
        <v>312</v>
      </c>
      <c r="X380" s="18"/>
      <c r="Y380" s="72"/>
      <c r="Z380" s="72"/>
      <c r="AA380" s="72"/>
      <c r="AB380" s="18"/>
      <c r="AC380" s="18"/>
      <c r="AD380" s="14" t="str">
        <f ca="1">IF(NOT(AJ380),"",IF(X380=$BE$45,VLOOKUP(AA380,INDIRECT(CONCATENATE("rank.",Y380,Z380)),2,FALSE),VLOOKUP(CONCATENATE(AB380,AC380),result.e,2,FALSE)))</f>
        <v/>
      </c>
      <c r="AE380" s="18"/>
      <c r="AF380" s="120" t="str">
        <f ca="1">IF(OR(AD380="",X380=$BE$45),"",VLOOKUP(AD380,INDIRECT(CONCATENATE("rankname.",AE380)),2,FALSE))</f>
        <v/>
      </c>
      <c r="AG380" s="14" t="str">
        <f ca="1">IF(AD380="","",IF(X380=$BE$45,AD380,IF(AF380&gt;AF381,AD381,AD380)))</f>
        <v/>
      </c>
      <c r="AH380" s="120">
        <f>MAX(AY378:AY385)</f>
        <v>0</v>
      </c>
      <c r="AJ380" s="21" t="b">
        <f>IF(X380=$BE$45,IF(OR(Y380="",Z380="",AA380=""),FALSE,VLOOKUP(CONCATENATE(Y380,Z380),$BD$59:$BE$63,2,FALSE)),IF(OR(AB380="",AC380="",AE380=""),FALSE,VLOOKUP(CONCATENATE(AB380,"e"),result.e,2,FALSE)))</f>
        <v>0</v>
      </c>
      <c r="AL380" s="18" t="s">
        <v>331</v>
      </c>
      <c r="AP380" s="115" t="b">
        <f>AND(AP379,AL380&lt;&gt;"",(COUNTIF(AP379:AP379,"IGAZ")-COUNTIF(AV379:AV379,"IGAZ"))*X384+MAX(AY378:AZ379)&lt;X383)</f>
        <v>0</v>
      </c>
      <c r="AQ380" s="116" t="str">
        <f>IF(NOT(AP380),"",IF(AL380="p",AG380,AG381))</f>
        <v/>
      </c>
      <c r="AR380" s="117" t="str">
        <f>IF(NOT(AP380),"",IF(AL380="p",AG381,AG380))</f>
        <v/>
      </c>
      <c r="AT380" s="115" t="b">
        <f t="shared" si="197"/>
        <v>0</v>
      </c>
      <c r="AU380" s="115" t="b">
        <f>AND(ASZTAB!$AJ$42,AT380,F380=H380)</f>
        <v>0</v>
      </c>
      <c r="AV380" s="115" t="b">
        <f t="shared" si="198"/>
        <v>0</v>
      </c>
      <c r="AW380" s="116" t="str">
        <f t="shared" si="199"/>
        <v/>
      </c>
      <c r="AX380" s="117" t="str">
        <f t="shared" si="200"/>
        <v/>
      </c>
      <c r="AY380" s="116" t="str">
        <f>IF(OR(AY379="",NOT(AV380)),"",IF(AG380=AW380,X384,0)+AY379)</f>
        <v/>
      </c>
      <c r="AZ380" s="116" t="str">
        <f>IF(OR(AZ379="",NOT(AV380)),"",IF(AG381=AW380,X384,0)+AZ379)</f>
        <v/>
      </c>
      <c r="BD380" s="142"/>
      <c r="BI380" s="118"/>
      <c r="BK380" s="99"/>
      <c r="BM380" s="119"/>
    </row>
    <row r="381" spans="1:66" ht="15" customHeight="1" x14ac:dyDescent="0.3">
      <c r="A381" s="864"/>
      <c r="B381" s="7"/>
      <c r="C381" s="106">
        <v>3</v>
      </c>
      <c r="D381" s="137"/>
      <c r="E381" s="107" t="str">
        <f t="shared" si="193"/>
        <v/>
      </c>
      <c r="F381" s="108"/>
      <c r="G381" s="64" t="str">
        <f t="shared" si="194"/>
        <v/>
      </c>
      <c r="H381" s="109"/>
      <c r="I381" s="110" t="str">
        <f t="shared" si="195"/>
        <v/>
      </c>
      <c r="J381" s="111"/>
      <c r="K381" s="112" t="str">
        <f t="shared" si="196"/>
        <v/>
      </c>
      <c r="L381" s="113"/>
      <c r="M381" s="153" t="str">
        <f t="shared" si="201"/>
        <v/>
      </c>
      <c r="N381" s="110"/>
      <c r="O381" s="140"/>
      <c r="P381" s="114"/>
      <c r="Q381" s="114"/>
      <c r="R381" s="114"/>
      <c r="S381" s="114"/>
      <c r="W381" s="15" t="s">
        <v>313</v>
      </c>
      <c r="X381" s="18"/>
      <c r="Y381" s="72"/>
      <c r="Z381" s="72"/>
      <c r="AA381" s="72"/>
      <c r="AB381" s="18"/>
      <c r="AC381" s="18"/>
      <c r="AD381" s="14" t="str">
        <f ca="1">IF(NOT(AJ381),"",IF(X381=$BE$45,VLOOKUP(AA381,INDIRECT(CONCATENATE("rank.",Y381,Z381)),2,FALSE),VLOOKUP(CONCATENATE(AB381,AC381),result.e,2,FALSE)))</f>
        <v/>
      </c>
      <c r="AE381" s="18"/>
      <c r="AF381" s="120" t="str">
        <f ca="1">IF(OR(AD381="",X381=$BE$45),"",VLOOKUP(AD381,INDIRECT(CONCATENATE("rankname.",AE381)),2,FALSE))</f>
        <v/>
      </c>
      <c r="AG381" s="14" t="str">
        <f ca="1">IF(AD381="","",IF(X381=$BE$45,AD381,IF(AF380&gt;AF381,AD380,AD381)))</f>
        <v/>
      </c>
      <c r="AH381" s="120">
        <f>MAX(AZ378:AZ385)</f>
        <v>0</v>
      </c>
      <c r="AJ381" s="21" t="b">
        <f>IF(X381=$BE$45,IF(OR(Y381="",Z381="",AA381=""),FALSE,VLOOKUP(CONCATENATE(Y381,Z381),$BD$59:$BE$63,2,FALSE)),IF(OR(AB381="",AC381="",AE381=""),FALSE,VLOOKUP(CONCATENATE(AB381,"e"),result.e,2,FALSE)))</f>
        <v>0</v>
      </c>
      <c r="AL381" s="18" t="s">
        <v>318</v>
      </c>
      <c r="AP381" s="115" t="b">
        <f>AND(AP380,AL381&lt;&gt;"",(COUNTIF(AP379:AP380,"IGAZ")-COUNTIF(AV379:AV380,"IGAZ"))*X384+MAX(AY378:AZ380)&lt;X383)</f>
        <v>0</v>
      </c>
      <c r="AQ381" s="116" t="str">
        <f>IF(NOT(AP381),"",IF(AL381="p",AG380,AG381))</f>
        <v/>
      </c>
      <c r="AR381" s="117" t="str">
        <f>IF(NOT(AP381),"",IF(AL381="p",AG381,AG380))</f>
        <v/>
      </c>
      <c r="AT381" s="115" t="b">
        <f t="shared" si="197"/>
        <v>0</v>
      </c>
      <c r="AU381" s="115" t="b">
        <f>AND(ASZTAB!$AJ$42,AT381,F381=H381)</f>
        <v>0</v>
      </c>
      <c r="AV381" s="115" t="b">
        <f t="shared" si="198"/>
        <v>0</v>
      </c>
      <c r="AW381" s="116" t="str">
        <f t="shared" si="199"/>
        <v/>
      </c>
      <c r="AX381" s="117" t="str">
        <f t="shared" si="200"/>
        <v/>
      </c>
      <c r="AY381" s="116" t="str">
        <f>IF(OR(AY380="",NOT(AV381)),"",IF(AG380=AW381,X384,0)+AY380)</f>
        <v/>
      </c>
      <c r="AZ381" s="116" t="str">
        <f>IF(OR(AZ380="",NOT(AV381)),"",IF(AG381=AW381,X384,0)+AZ380)</f>
        <v/>
      </c>
      <c r="BD381" s="142"/>
      <c r="BI381" s="118"/>
      <c r="BM381" s="119"/>
      <c r="BN381" s="119"/>
    </row>
    <row r="382" spans="1:66" ht="15" customHeight="1" x14ac:dyDescent="0.3">
      <c r="A382" s="864"/>
      <c r="B382" s="7"/>
      <c r="C382" s="106">
        <v>4</v>
      </c>
      <c r="D382" s="137"/>
      <c r="E382" s="107" t="str">
        <f t="shared" si="193"/>
        <v/>
      </c>
      <c r="F382" s="108"/>
      <c r="G382" s="64" t="str">
        <f t="shared" si="194"/>
        <v/>
      </c>
      <c r="H382" s="109"/>
      <c r="I382" s="110" t="str">
        <f t="shared" si="195"/>
        <v/>
      </c>
      <c r="J382" s="111"/>
      <c r="K382" s="112" t="str">
        <f t="shared" si="196"/>
        <v/>
      </c>
      <c r="L382" s="113"/>
      <c r="M382" s="153" t="str">
        <f t="shared" si="201"/>
        <v/>
      </c>
      <c r="N382" s="110"/>
      <c r="O382" s="140"/>
      <c r="P382" s="114"/>
      <c r="Q382" s="114"/>
      <c r="AL382" s="18" t="s">
        <v>331</v>
      </c>
      <c r="AP382" s="115" t="b">
        <f>AND(AP381,AL382&lt;&gt;"",(COUNTIF(AP379:AP381,"IGAZ")-COUNTIF(AV379:AV381,"IGAZ"))*X384+MAX(AY378:AZ381)&lt;X383)</f>
        <v>0</v>
      </c>
      <c r="AQ382" s="116" t="str">
        <f>IF(NOT(AP382),"",IF(AL382="p",AG380,AG381))</f>
        <v/>
      </c>
      <c r="AR382" s="117" t="str">
        <f>IF(NOT(AP382),"",IF(AL382="p",AG381,AG380))</f>
        <v/>
      </c>
      <c r="AT382" s="115" t="b">
        <f t="shared" si="197"/>
        <v>0</v>
      </c>
      <c r="AU382" s="115" t="b">
        <f>AND(ASZTAB!$AJ$42,AT382,F382=H382)</f>
        <v>0</v>
      </c>
      <c r="AV382" s="115" t="b">
        <f t="shared" si="198"/>
        <v>0</v>
      </c>
      <c r="AW382" s="116" t="str">
        <f t="shared" si="199"/>
        <v/>
      </c>
      <c r="AX382" s="117" t="str">
        <f t="shared" si="200"/>
        <v/>
      </c>
      <c r="AY382" s="116" t="str">
        <f>IF(OR(AY381="",NOT(AV382)),"",IF(AG380=AW382,X384,0)+AY381)</f>
        <v/>
      </c>
      <c r="AZ382" s="116" t="str">
        <f>IF(OR(AZ381="",NOT(AV382)),"",IF(AG381=AW382,X384,0)+AZ381)</f>
        <v/>
      </c>
      <c r="BD382" s="142"/>
      <c r="BI382" s="118"/>
      <c r="BM382" s="119"/>
    </row>
    <row r="383" spans="1:66" ht="15" customHeight="1" x14ac:dyDescent="0.3">
      <c r="A383" s="864"/>
      <c r="B383" s="121"/>
      <c r="C383" s="106">
        <v>5</v>
      </c>
      <c r="D383" s="137"/>
      <c r="E383" s="107" t="str">
        <f t="shared" si="193"/>
        <v/>
      </c>
      <c r="F383" s="108"/>
      <c r="G383" s="64" t="str">
        <f t="shared" si="194"/>
        <v/>
      </c>
      <c r="H383" s="109"/>
      <c r="I383" s="110" t="str">
        <f t="shared" si="195"/>
        <v/>
      </c>
      <c r="J383" s="111"/>
      <c r="K383" s="112" t="str">
        <f t="shared" si="196"/>
        <v/>
      </c>
      <c r="L383" s="113"/>
      <c r="M383" s="153" t="str">
        <f t="shared" si="201"/>
        <v/>
      </c>
      <c r="N383" s="110"/>
      <c r="O383" s="140"/>
      <c r="P383" s="114"/>
      <c r="Q383" s="114"/>
      <c r="R383" s="114"/>
      <c r="S383" s="114"/>
      <c r="W383" s="15" t="s">
        <v>315</v>
      </c>
      <c r="X383" s="18">
        <v>3</v>
      </c>
      <c r="AD383" s="15"/>
      <c r="AE383" s="15" t="s">
        <v>312</v>
      </c>
      <c r="AF383" s="15" t="str">
        <f>CONCATENATE(V377,"f")</f>
        <v>22f</v>
      </c>
      <c r="AG383" s="16" t="str">
        <f>IF(OR(NOT(AJ380),NOT(AJ381)),"",AD380)</f>
        <v/>
      </c>
      <c r="AH383" s="23" t="str">
        <f>IF(OR(NOT(AJ380),NOT(AJ381)),"",VLOOKUP(AG383,AG380:AH381,2,FALSE))</f>
        <v/>
      </c>
      <c r="AL383" s="18" t="s">
        <v>318</v>
      </c>
      <c r="AP383" s="115" t="b">
        <f>AND(AP382,AL383&lt;&gt;"",(COUNTIF(AP379:AP382,"IGAZ")-COUNTIF(AV379:AV382,"IGAZ"))*X384+MAX(AY378:AZ382)&lt;X383)</f>
        <v>0</v>
      </c>
      <c r="AQ383" s="116" t="str">
        <f>IF(NOT(AP383),"",IF(AL383="p",AG380,AG381))</f>
        <v/>
      </c>
      <c r="AR383" s="117" t="str">
        <f>IF(NOT(AP383),"",IF(AL383="p",AG381,AG380))</f>
        <v/>
      </c>
      <c r="AT383" s="115" t="b">
        <f t="shared" si="197"/>
        <v>0</v>
      </c>
      <c r="AU383" s="115" t="b">
        <f>AND(ASZTAB!$AJ$42,AT383,F383=H383)</f>
        <v>0</v>
      </c>
      <c r="AV383" s="115" t="b">
        <f t="shared" si="198"/>
        <v>0</v>
      </c>
      <c r="AW383" s="116" t="str">
        <f t="shared" si="199"/>
        <v/>
      </c>
      <c r="AX383" s="117" t="str">
        <f t="shared" si="200"/>
        <v/>
      </c>
      <c r="AY383" s="116" t="str">
        <f>IF(OR(AY382="",NOT(AV383)),"",IF(AG380=AW383,X384,0)+AY382)</f>
        <v/>
      </c>
      <c r="AZ383" s="116" t="str">
        <f>IF(OR(AZ382="",NOT(AV383)),"",IF(AG381=AW383,X384,0)+AZ382)</f>
        <v/>
      </c>
      <c r="BD383" s="142"/>
      <c r="BI383" s="118"/>
      <c r="BK383" s="119"/>
      <c r="BL383" s="119"/>
      <c r="BM383" s="119"/>
    </row>
    <row r="384" spans="1:66" ht="15" customHeight="1" x14ac:dyDescent="0.3">
      <c r="A384" s="864"/>
      <c r="B384" s="122"/>
      <c r="C384" s="106">
        <v>6</v>
      </c>
      <c r="D384" s="137"/>
      <c r="E384" s="107" t="str">
        <f t="shared" si="193"/>
        <v/>
      </c>
      <c r="F384" s="108"/>
      <c r="G384" s="64" t="str">
        <f t="shared" si="194"/>
        <v/>
      </c>
      <c r="H384" s="109"/>
      <c r="I384" s="110" t="str">
        <f t="shared" si="195"/>
        <v/>
      </c>
      <c r="J384" s="111"/>
      <c r="K384" s="112" t="str">
        <f t="shared" si="196"/>
        <v/>
      </c>
      <c r="L384" s="113"/>
      <c r="M384" s="8" t="str">
        <f t="shared" si="201"/>
        <v/>
      </c>
      <c r="N384" s="123"/>
      <c r="O384" s="141"/>
      <c r="W384" s="15" t="s">
        <v>327</v>
      </c>
      <c r="X384" s="18">
        <v>1</v>
      </c>
      <c r="AD384" s="15"/>
      <c r="AE384" s="15" t="s">
        <v>313</v>
      </c>
      <c r="AF384" s="15" t="str">
        <f>CONCATENATE(V377,"a")</f>
        <v>22a</v>
      </c>
      <c r="AG384" s="16" t="str">
        <f>IF(OR(NOT(AJ380),NOT(AJ381)),"",AD381)</f>
        <v/>
      </c>
      <c r="AH384" s="23" t="str">
        <f>IF(OR(NOT(AJ380),NOT(AJ381)),"",VLOOKUP(AG384,AG380:AH381,2,FALSE))</f>
        <v/>
      </c>
      <c r="AL384" s="18" t="s">
        <v>331</v>
      </c>
      <c r="AP384" s="115" t="b">
        <f>AND(AP383,AL384&lt;&gt;"",(COUNTIF(AP379:AP383,"IGAZ")-COUNTIF(AV379:AV383,"IGAZ"))*X384+MAX(AY378:AZ383)&lt;X383)</f>
        <v>0</v>
      </c>
      <c r="AQ384" s="116" t="str">
        <f>IF(NOT(AP384),"",IF(AL384="p",AG380,AG381))</f>
        <v/>
      </c>
      <c r="AR384" s="117" t="str">
        <f>IF(NOT(AP384),"",IF(AL384="p",AG381,AG380))</f>
        <v/>
      </c>
      <c r="AT384" s="115" t="b">
        <f t="shared" si="197"/>
        <v>0</v>
      </c>
      <c r="AU384" s="115" t="b">
        <f>AND(ASZTAB!$AJ$42,AT384,F384=H384)</f>
        <v>0</v>
      </c>
      <c r="AV384" s="115" t="b">
        <f t="shared" si="198"/>
        <v>0</v>
      </c>
      <c r="AW384" s="116" t="str">
        <f t="shared" si="199"/>
        <v/>
      </c>
      <c r="AX384" s="117" t="str">
        <f t="shared" si="200"/>
        <v/>
      </c>
      <c r="AY384" s="116" t="str">
        <f>IF(OR(AY383="",NOT(AV384)),"",IF(AG380=AW384,X384,0)+AY383)</f>
        <v/>
      </c>
      <c r="AZ384" s="116" t="str">
        <f>IF(OR(AZ383="",NOT(AV384)),"",IF(AG381=AW384,X384,0)+AZ383)</f>
        <v/>
      </c>
      <c r="BD384" s="142"/>
      <c r="BI384" s="118"/>
      <c r="BK384" s="119"/>
      <c r="BL384" s="119"/>
      <c r="BM384" s="119"/>
    </row>
    <row r="385" spans="1:66" ht="15" customHeight="1" x14ac:dyDescent="0.3">
      <c r="A385" s="864"/>
      <c r="B385" s="122"/>
      <c r="C385" s="106">
        <v>7</v>
      </c>
      <c r="D385" s="137"/>
      <c r="E385" s="107" t="str">
        <f t="shared" si="193"/>
        <v/>
      </c>
      <c r="F385" s="108"/>
      <c r="G385" s="64" t="str">
        <f t="shared" si="194"/>
        <v/>
      </c>
      <c r="H385" s="109"/>
      <c r="I385" s="110" t="str">
        <f t="shared" si="195"/>
        <v/>
      </c>
      <c r="J385" s="111"/>
      <c r="K385" s="112" t="str">
        <f t="shared" si="196"/>
        <v/>
      </c>
      <c r="L385" s="113"/>
      <c r="M385" s="8" t="str">
        <f t="shared" si="201"/>
        <v/>
      </c>
      <c r="N385" s="123"/>
      <c r="O385" s="141"/>
      <c r="AE385" s="15" t="s">
        <v>316</v>
      </c>
      <c r="AF385" s="15" t="str">
        <f>CONCATENATE(V377,"w")</f>
        <v>22w</v>
      </c>
      <c r="AG385" s="16" t="str">
        <f>IF(AND(AJ380,AJ381),IF(MAX(AY379:AY385)&gt;=X383,AG380,IF(MAX(AZ379:AZ385)&gt;=X383,AG381,"")),"")</f>
        <v/>
      </c>
      <c r="AL385" s="18" t="s">
        <v>318</v>
      </c>
      <c r="AP385" s="115" t="b">
        <f>AND(AP384,AL385&lt;&gt;"",(COUNTIF(AP379:AP384,"IGAZ")-COUNTIF(AV379:AV384,"IGAZ"))*X384+MAX(AY378:AZ384)&lt;X383)</f>
        <v>0</v>
      </c>
      <c r="AQ385" s="116" t="str">
        <f>IF(NOT(AP385),"",IF(AL385="p",AG380,AG381))</f>
        <v/>
      </c>
      <c r="AR385" s="117" t="str">
        <f>IF(NOT(AP385),"",IF(AL385="p",AG381,AG380))</f>
        <v/>
      </c>
      <c r="AT385" s="115" t="b">
        <f t="shared" si="197"/>
        <v>0</v>
      </c>
      <c r="AU385" s="115" t="b">
        <f>AND(ASZTAB!$AJ$42,AT385,F385=H385)</f>
        <v>0</v>
      </c>
      <c r="AV385" s="115" t="b">
        <f t="shared" si="198"/>
        <v>0</v>
      </c>
      <c r="AW385" s="116" t="str">
        <f t="shared" si="199"/>
        <v/>
      </c>
      <c r="AX385" s="117" t="str">
        <f t="shared" si="200"/>
        <v/>
      </c>
      <c r="AY385" s="116" t="str">
        <f>IF(OR(AY384="",NOT(AV385)),"",IF(AG380=AW385,X384,0)+AY384)</f>
        <v/>
      </c>
      <c r="AZ385" s="116" t="str">
        <f>IF(OR(AZ384="",NOT(AV385)),"",IF(AG381=AW385,X384,0)+AZ384)</f>
        <v/>
      </c>
      <c r="BD385" s="142"/>
      <c r="BI385" s="118"/>
      <c r="BK385" s="119"/>
      <c r="BL385" s="119"/>
      <c r="BM385" s="119"/>
      <c r="BN385" s="119"/>
    </row>
    <row r="386" spans="1:66" ht="15" customHeight="1" x14ac:dyDescent="0.3">
      <c r="A386" s="864"/>
      <c r="B386" s="122"/>
      <c r="C386" s="106"/>
      <c r="D386" s="123"/>
      <c r="E386" s="124"/>
      <c r="F386" s="125"/>
      <c r="G386" s="123"/>
      <c r="H386" s="114"/>
      <c r="I386" s="123"/>
      <c r="J386" s="125"/>
      <c r="K386" s="123"/>
      <c r="L386" s="114"/>
      <c r="M386" s="123"/>
      <c r="N386" s="123"/>
      <c r="O386" s="123"/>
      <c r="AE386" s="15" t="s">
        <v>317</v>
      </c>
      <c r="AF386" s="15" t="str">
        <f>CONCATENATE(V377,"l")</f>
        <v>22l</v>
      </c>
      <c r="AG386" s="16" t="str">
        <f ca="1">IF(AG385=AG380,AG381,IF(AG381=AG385,AG380,""))</f>
        <v/>
      </c>
      <c r="AL386" s="126" t="s">
        <v>330</v>
      </c>
      <c r="BD386" s="142"/>
      <c r="BI386" s="118"/>
      <c r="BK386" s="119"/>
      <c r="BL386" s="119"/>
      <c r="BM386" s="119"/>
      <c r="BN386" s="119"/>
    </row>
    <row r="387" spans="1:66" ht="15" customHeight="1" x14ac:dyDescent="0.3">
      <c r="A387" s="864"/>
      <c r="B387" s="122"/>
      <c r="C387" s="127" t="s">
        <v>463</v>
      </c>
      <c r="D387" s="123"/>
      <c r="E387" s="124"/>
      <c r="F387" s="125"/>
      <c r="G387" s="123"/>
      <c r="H387" s="114"/>
      <c r="I387" s="123"/>
      <c r="J387" s="125"/>
      <c r="K387" s="123"/>
      <c r="L387" s="114"/>
      <c r="M387" s="123"/>
      <c r="N387" s="123"/>
      <c r="O387" s="123"/>
      <c r="Y387" s="11" t="s">
        <v>294</v>
      </c>
      <c r="Z387" s="70" t="s">
        <v>311</v>
      </c>
      <c r="AA387" s="70" t="s">
        <v>153</v>
      </c>
      <c r="AB387" s="70" t="s">
        <v>153</v>
      </c>
      <c r="AE387" s="15" t="s">
        <v>287</v>
      </c>
      <c r="AF387" s="15" t="str">
        <f>CONCATENATE(V377,"e")</f>
        <v>22e</v>
      </c>
      <c r="AG387" s="21" t="b">
        <f ca="1">AND(AG385&lt;&gt;"",AG386&lt;&gt;"")</f>
        <v>0</v>
      </c>
      <c r="BD387" s="15"/>
      <c r="BI387" s="118"/>
      <c r="BK387" s="119"/>
      <c r="BL387" s="119"/>
      <c r="BM387" s="119"/>
      <c r="BN387" s="119"/>
    </row>
    <row r="388" spans="1:66" ht="15" customHeight="1" x14ac:dyDescent="0.3">
      <c r="A388" s="864"/>
      <c r="B388" s="122"/>
      <c r="C388" s="865"/>
      <c r="D388" s="865"/>
      <c r="E388" s="865"/>
      <c r="F388" s="865"/>
      <c r="G388" s="865"/>
      <c r="H388" s="865"/>
      <c r="I388" s="865"/>
      <c r="J388" s="865"/>
      <c r="K388" s="865"/>
      <c r="L388" s="865"/>
      <c r="M388" s="865"/>
      <c r="N388" s="865"/>
      <c r="O388" s="865"/>
      <c r="W388" s="15" t="s">
        <v>319</v>
      </c>
      <c r="X388" s="18" t="b">
        <v>0</v>
      </c>
      <c r="Y388" s="72" t="s">
        <v>289</v>
      </c>
      <c r="Z388" s="16" t="str">
        <f ca="1">IF(AND(AJ380,AJ381,X388,Y388&lt;&gt;""),CONCATENATE(VLOOKUP(CONCATENATE(AG380,AG381),INDIRECT(CONCATENATE("games.",Y388)),9,FALSE),VLOOKUP(CONCATENATE(AG380,AG381),INDIRECT(CONCATENATE("games.",Y388)),12,FALSE)),"")</f>
        <v/>
      </c>
      <c r="AA388" s="16" t="str">
        <f ca="1">IF(AND(AJ380,AJ381,X388,Y388&lt;&gt;""),VLOOKUP(CONCATENATE(AG380,AG381),INDIRECT(CONCATENATE("games.",Y388)),10,FALSE),"")</f>
        <v/>
      </c>
      <c r="AB388" s="54" t="str">
        <f ca="1">IF(AND(AJ380,AJ381,X388,Y388&lt;&gt;""),VLOOKUP(CONCATENATE(AG380,AG381),INDIRECT(CONCATENATE("games.",Y388)),13,FALSE),"")</f>
        <v/>
      </c>
      <c r="BD388" s="15"/>
      <c r="BI388" s="118"/>
      <c r="BK388" s="119"/>
      <c r="BL388" s="119"/>
      <c r="BM388" s="119"/>
      <c r="BN388" s="119"/>
    </row>
    <row r="389" spans="1:66" ht="15" customHeight="1" x14ac:dyDescent="0.3">
      <c r="A389" s="864"/>
      <c r="B389" s="122"/>
      <c r="C389" s="866"/>
      <c r="D389" s="866"/>
      <c r="E389" s="866"/>
      <c r="F389" s="866"/>
      <c r="G389" s="866"/>
      <c r="H389" s="866"/>
      <c r="I389" s="866"/>
      <c r="J389" s="866"/>
      <c r="K389" s="866"/>
      <c r="L389" s="866"/>
      <c r="M389" s="866"/>
      <c r="N389" s="866"/>
      <c r="O389" s="866"/>
      <c r="Z389" s="16" t="str">
        <f ca="1">IF(AND(AJ380,AJ381,X388,Y388&lt;&gt;""),CONCATENATE(VLOOKUP(CONCATENATE(AG381,AG380),INDIRECT(CONCATENATE("games.",Y388)),9,FALSE),VLOOKUP(CONCATENATE(AG381,AG380),INDIRECT(CONCATENATE("games.",Y388)),12,FALSE)),"")</f>
        <v/>
      </c>
      <c r="AA389" s="16" t="str">
        <f ca="1">IF(AND(AJ380,AJ381,X388,Y388&lt;&gt;""),VLOOKUP(CONCATENATE(AG381,AG380),INDIRECT(CONCATENATE("games.",Y388)),10,FALSE),"")</f>
        <v/>
      </c>
      <c r="AB389" s="54" t="str">
        <f ca="1">IF(AND(AJ380,AJ381,X388,Y388&lt;&gt;""),VLOOKUP(CONCATENATE(AG381,AG380),INDIRECT(CONCATENATE("games.",Y388)),13,FALSE),"")</f>
        <v/>
      </c>
      <c r="BD389" s="15"/>
      <c r="BI389" s="118"/>
      <c r="BK389" s="119"/>
      <c r="BL389" s="119"/>
      <c r="BM389" s="119"/>
      <c r="BN389" s="119"/>
    </row>
    <row r="390" spans="1:66" ht="15" customHeight="1" x14ac:dyDescent="0.3">
      <c r="A390" s="864"/>
      <c r="B390" s="122"/>
      <c r="C390" s="866"/>
      <c r="D390" s="866"/>
      <c r="E390" s="866"/>
      <c r="F390" s="866"/>
      <c r="G390" s="866"/>
      <c r="H390" s="866"/>
      <c r="I390" s="866"/>
      <c r="J390" s="866"/>
      <c r="K390" s="866"/>
      <c r="L390" s="866"/>
      <c r="M390" s="866"/>
      <c r="N390" s="866"/>
      <c r="O390" s="866"/>
      <c r="BD390" s="15"/>
      <c r="BI390" s="118"/>
      <c r="BK390" s="119"/>
      <c r="BL390" s="119"/>
      <c r="BM390" s="119"/>
      <c r="BN390" s="119"/>
    </row>
    <row r="391" spans="1:66" ht="15" customHeight="1" x14ac:dyDescent="0.3">
      <c r="A391" s="864"/>
      <c r="B391" s="122"/>
      <c r="C391" s="106"/>
      <c r="D391" s="123"/>
      <c r="E391" s="124"/>
      <c r="F391" s="125"/>
      <c r="G391" s="123"/>
      <c r="H391" s="114"/>
      <c r="I391" s="123"/>
      <c r="J391" s="125"/>
      <c r="K391" s="123"/>
      <c r="L391" s="114"/>
      <c r="M391" s="123"/>
      <c r="N391" s="123"/>
      <c r="O391" s="123"/>
      <c r="U391" s="10"/>
      <c r="V391" s="128"/>
      <c r="W391" s="129"/>
      <c r="X391" s="10"/>
      <c r="Y391" s="130"/>
      <c r="Z391" s="130"/>
      <c r="AA391" s="130"/>
      <c r="AB391" s="130"/>
      <c r="AC391" s="130"/>
      <c r="AD391" s="130"/>
      <c r="AE391" s="130"/>
      <c r="AF391" s="130"/>
      <c r="AG391" s="130"/>
      <c r="AH391" s="130"/>
      <c r="AI391" s="130"/>
      <c r="AJ391" s="130"/>
      <c r="AK391" s="130"/>
      <c r="AL391" s="130"/>
      <c r="AM391" s="10"/>
      <c r="AO391" s="131"/>
      <c r="AP391" s="131"/>
      <c r="AQ391" s="132"/>
      <c r="AR391" s="132"/>
      <c r="AS391" s="132"/>
      <c r="AT391" s="131"/>
      <c r="AU391" s="131"/>
      <c r="AV391" s="131"/>
      <c r="AW391" s="132"/>
      <c r="AX391" s="132"/>
      <c r="AY391" s="131"/>
      <c r="AZ391" s="131"/>
      <c r="BA391" s="131"/>
      <c r="BD391" s="15"/>
      <c r="BI391" s="118"/>
      <c r="BK391" s="119"/>
      <c r="BL391" s="119"/>
      <c r="BM391" s="119"/>
      <c r="BN391" s="119"/>
    </row>
    <row r="392" spans="1:66" ht="15" customHeight="1" x14ac:dyDescent="0.3">
      <c r="A392" s="864"/>
      <c r="B392" s="88"/>
      <c r="C392" s="89"/>
      <c r="D392" s="90"/>
      <c r="BI392" s="118"/>
      <c r="BM392" s="119"/>
    </row>
    <row r="393" spans="1:66" ht="15" customHeight="1" x14ac:dyDescent="0.3">
      <c r="A393" s="864"/>
      <c r="B393" s="147"/>
      <c r="C393" s="149">
        <f>V393</f>
        <v>23</v>
      </c>
      <c r="D393" s="150" t="str">
        <f>UPPER(W393)</f>
        <v/>
      </c>
      <c r="E393" s="151"/>
      <c r="F393" s="151"/>
      <c r="G393" s="151"/>
      <c r="H393" s="151"/>
      <c r="I393" s="151"/>
      <c r="J393" s="151"/>
      <c r="K393" s="151"/>
      <c r="L393" s="151"/>
      <c r="M393" s="138"/>
      <c r="N393" s="151"/>
      <c r="O393" s="161" t="str">
        <f ca="1">IF(NOT(AG403),"","A PÁRHARC GYŐZTESE: "&amp;UPPER(AG401))</f>
        <v/>
      </c>
      <c r="P393" s="152" t="str">
        <f>IF(NOT(Y401),"",CONCATENATE("A PÁRHARC GYŐZTESE: ",AH399," "))</f>
        <v/>
      </c>
      <c r="Q393" s="148" t="str">
        <f>IF(NOT(Z401),"",CONCATENATE("A PÁRHARC GYŐZTESE: ",AJ399," "))</f>
        <v/>
      </c>
      <c r="R393" s="148" t="str">
        <f>IF(NOT(AA401),"",CONCATENATE("A PÁRHARC GYŐZTESE: ",AK399," "))</f>
        <v/>
      </c>
      <c r="S393" s="148" t="str">
        <f>IF(NOT(AB401),"",CONCATENATE("A PÁRHARC GYŐZTESE: ",AL399," "))</f>
        <v/>
      </c>
      <c r="V393" s="21">
        <f>V377+1</f>
        <v>23</v>
      </c>
      <c r="W393" s="95"/>
      <c r="X393" s="96"/>
      <c r="Y393" s="96"/>
      <c r="Z393" s="96"/>
      <c r="AA393" s="96"/>
      <c r="AB393" s="96"/>
      <c r="AC393" s="96"/>
      <c r="AD393" s="96"/>
      <c r="AE393" s="96"/>
      <c r="AF393" s="96"/>
      <c r="AG393" s="96"/>
      <c r="AH393" s="96"/>
      <c r="AI393" s="96"/>
      <c r="AJ393" s="96"/>
      <c r="AK393" s="96"/>
      <c r="AL393" s="97"/>
      <c r="AY393" s="13" t="s">
        <v>326</v>
      </c>
      <c r="AZ393" s="13" t="s">
        <v>325</v>
      </c>
      <c r="BD393" s="142"/>
      <c r="BH393" s="98"/>
      <c r="BI393" s="118"/>
      <c r="BJ393" s="98"/>
      <c r="BK393" s="99"/>
      <c r="BL393" s="99"/>
      <c r="BM393" s="119"/>
    </row>
    <row r="394" spans="1:66" ht="11.25" customHeight="1" x14ac:dyDescent="0.3">
      <c r="A394" s="864"/>
      <c r="C394" s="101"/>
      <c r="D394" s="102"/>
      <c r="E394" s="103"/>
      <c r="F394" s="58"/>
      <c r="G394" s="104"/>
      <c r="H394" s="60"/>
      <c r="I394" s="146"/>
      <c r="J394" s="107"/>
      <c r="K394" s="160" t="str">
        <f>IF(OR(AU395,AU396,AU397,AU398,AU399,AU400,AU401),"BÜNTETŐK","")</f>
        <v/>
      </c>
      <c r="L394" s="110"/>
      <c r="M394" s="158" t="s">
        <v>286</v>
      </c>
      <c r="N394" s="159"/>
      <c r="O394" s="158" t="s">
        <v>285</v>
      </c>
      <c r="AP394" s="105" t="s">
        <v>328</v>
      </c>
      <c r="AQ394" s="12" t="s">
        <v>138</v>
      </c>
      <c r="AR394" s="12" t="s">
        <v>139</v>
      </c>
      <c r="AT394" s="105" t="s">
        <v>320</v>
      </c>
      <c r="AU394" s="105" t="s">
        <v>321</v>
      </c>
      <c r="AV394" s="105" t="s">
        <v>324</v>
      </c>
      <c r="AW394" s="12" t="s">
        <v>322</v>
      </c>
      <c r="AX394" s="12" t="s">
        <v>323</v>
      </c>
      <c r="AY394" s="116">
        <f>IF(X404,COUNTIF(Z404:Z405,AG396)*ASZTAB!$AJ$48+COUNTIF(AA404:AB405,AG396),0)</f>
        <v>0</v>
      </c>
      <c r="AZ394" s="116">
        <f>IF(X404,COUNTIF(Z404:Z405,AG397)*ASZTAB!$AJ$48+COUNTIF(AA404:AB405,AG397),0)</f>
        <v>0</v>
      </c>
      <c r="BD394" s="142"/>
      <c r="BH394" s="98"/>
      <c r="BI394" s="118"/>
      <c r="BJ394" s="98"/>
      <c r="BK394" s="99"/>
      <c r="BL394" s="99"/>
      <c r="BM394" s="119"/>
    </row>
    <row r="395" spans="1:66" ht="15" customHeight="1" x14ac:dyDescent="0.3">
      <c r="A395" s="864"/>
      <c r="B395" s="7"/>
      <c r="C395" s="106">
        <v>1</v>
      </c>
      <c r="D395" s="137"/>
      <c r="E395" s="107" t="str">
        <f t="shared" ref="E395:E401" si="202">IF(NOT($AP395),"",AQ395)</f>
        <v/>
      </c>
      <c r="F395" s="108"/>
      <c r="G395" s="64" t="str">
        <f t="shared" ref="G395:G401" si="203">IF(NOT($AP395),"","–")</f>
        <v/>
      </c>
      <c r="H395" s="109"/>
      <c r="I395" s="110" t="str">
        <f t="shared" ref="I395:I401" si="204">IF(NOT($AP395),"",AR395)</f>
        <v/>
      </c>
      <c r="J395" s="111"/>
      <c r="K395" s="112" t="str">
        <f t="shared" ref="K395:K401" si="205">IF(AU395,"–","")</f>
        <v/>
      </c>
      <c r="L395" s="113"/>
      <c r="M395" s="153" t="str">
        <f>IF(OR(AL395="",NOT(AV395)),"",IF(AL395="p",CONCATENATE(AY395,"–",AZ395),CONCATENATE(AZ395,"–",AY395)))</f>
        <v/>
      </c>
      <c r="N395" s="110"/>
      <c r="O395" s="139"/>
      <c r="P395" s="114"/>
      <c r="Q395" s="114"/>
      <c r="R395" s="114"/>
      <c r="S395" s="114"/>
      <c r="X395" s="11" t="s">
        <v>306</v>
      </c>
      <c r="Y395" s="11" t="s">
        <v>294</v>
      </c>
      <c r="Z395" s="70" t="s">
        <v>295</v>
      </c>
      <c r="AA395" s="70" t="s">
        <v>127</v>
      </c>
      <c r="AB395" s="70" t="s">
        <v>301</v>
      </c>
      <c r="AC395" s="70" t="s">
        <v>302</v>
      </c>
      <c r="AD395" s="70" t="s">
        <v>332</v>
      </c>
      <c r="AE395" s="70" t="s">
        <v>333</v>
      </c>
      <c r="AF395" s="70" t="s">
        <v>329</v>
      </c>
      <c r="AG395" s="70" t="s">
        <v>303</v>
      </c>
      <c r="AH395" s="70" t="s">
        <v>293</v>
      </c>
      <c r="AJ395" s="71" t="s">
        <v>314</v>
      </c>
      <c r="AL395" s="18" t="s">
        <v>318</v>
      </c>
      <c r="AP395" s="115" t="b">
        <f>AND(AJ396,AJ397,AL395&lt;&gt;"")</f>
        <v>0</v>
      </c>
      <c r="AQ395" s="116" t="str">
        <f>IF(NOT(AP395),"",IF(AL395="p",AG396,AG397))</f>
        <v/>
      </c>
      <c r="AR395" s="117" t="str">
        <f>IF(NOT(AP395),"",IF(AL395="p",AG397,AG396))</f>
        <v/>
      </c>
      <c r="AT395" s="115" t="b">
        <f t="shared" ref="AT395:AT401" si="206">AND(F395&lt;&gt;"",H395&lt;&gt;"",AP395)</f>
        <v>0</v>
      </c>
      <c r="AU395" s="115" t="b">
        <f>AND(ASZTAB!$AJ$42,AT395,F395=H395)</f>
        <v>0</v>
      </c>
      <c r="AV395" s="115" t="b">
        <f t="shared" ref="AV395:AV401" si="207">OR(AND(AT395,NOT(AU395),F395&lt;&gt;H395),AND(AT395,AU395,J395&lt;&gt;"",L395&lt;&gt;"",J395&lt;&gt;L395))</f>
        <v>0</v>
      </c>
      <c r="AW395" s="116" t="str">
        <f t="shared" ref="AW395:AW401" si="208">IF(NOT(AV395),"",IF(AU395,IF(F395+J395&gt;H395+L395,E395,I395),IF(F395&gt;H395,E395,I395)))</f>
        <v/>
      </c>
      <c r="AX395" s="117" t="str">
        <f t="shared" ref="AX395:AX401" si="209">IF(NOT(AV395),"",IF(AW395=E395,I395,IF(AW395=I395,E395,"")))</f>
        <v/>
      </c>
      <c r="AY395" s="116" t="str">
        <f>IF(NOT(AV395),"",IF(AG396=AW395,X400,0)+AY394)</f>
        <v/>
      </c>
      <c r="AZ395" s="116" t="str">
        <f>IF(NOT(AV395),"",IF(AG397=AW395,X400,0)+AZ394)</f>
        <v/>
      </c>
      <c r="BD395" s="142"/>
      <c r="BI395" s="118"/>
      <c r="BK395" s="99"/>
      <c r="BL395" s="119"/>
      <c r="BM395" s="119"/>
    </row>
    <row r="396" spans="1:66" ht="15" customHeight="1" x14ac:dyDescent="0.3">
      <c r="A396" s="864"/>
      <c r="B396" s="7"/>
      <c r="C396" s="106">
        <v>2</v>
      </c>
      <c r="D396" s="137"/>
      <c r="E396" s="107" t="str">
        <f t="shared" si="202"/>
        <v/>
      </c>
      <c r="F396" s="108"/>
      <c r="G396" s="64" t="str">
        <f t="shared" si="203"/>
        <v/>
      </c>
      <c r="H396" s="109"/>
      <c r="I396" s="110" t="str">
        <f t="shared" si="204"/>
        <v/>
      </c>
      <c r="J396" s="111"/>
      <c r="K396" s="112" t="str">
        <f t="shared" si="205"/>
        <v/>
      </c>
      <c r="L396" s="113"/>
      <c r="M396" s="153" t="str">
        <f t="shared" ref="M396:M401" si="210">IF(OR(AL396="",NOT(AV396)),"",IF(AL396="p",CONCATENATE(AY396,"–",AZ396),CONCATENATE(AZ396,"–",AY396)))</f>
        <v/>
      </c>
      <c r="N396" s="110"/>
      <c r="O396" s="140"/>
      <c r="P396" s="114"/>
      <c r="Q396" s="114"/>
      <c r="R396" s="114"/>
      <c r="S396" s="114"/>
      <c r="W396" s="15" t="s">
        <v>312</v>
      </c>
      <c r="X396" s="18"/>
      <c r="Y396" s="72"/>
      <c r="Z396" s="72"/>
      <c r="AA396" s="72"/>
      <c r="AB396" s="18"/>
      <c r="AC396" s="18"/>
      <c r="AD396" s="14" t="str">
        <f ca="1">IF(NOT(AJ396),"",IF(X396=$BE$45,VLOOKUP(AA396,INDIRECT(CONCATENATE("rank.",Y396,Z396)),2,FALSE),VLOOKUP(CONCATENATE(AB396,AC396),result.e,2,FALSE)))</f>
        <v/>
      </c>
      <c r="AE396" s="18"/>
      <c r="AF396" s="120" t="str">
        <f ca="1">IF(OR(AD396="",X396=$BE$45),"",VLOOKUP(AD396,INDIRECT(CONCATENATE("rankname.",AE396)),2,FALSE))</f>
        <v/>
      </c>
      <c r="AG396" s="14" t="str">
        <f ca="1">IF(AD396="","",IF(X396=$BE$45,AD396,IF(AF396&gt;AF397,AD397,AD396)))</f>
        <v/>
      </c>
      <c r="AH396" s="120">
        <f>MAX(AY394:AY401)</f>
        <v>0</v>
      </c>
      <c r="AJ396" s="21" t="b">
        <f>IF(X396=$BE$45,IF(OR(Y396="",Z396="",AA396=""),FALSE,VLOOKUP(CONCATENATE(Y396,Z396),$BD$59:$BE$63,2,FALSE)),IF(OR(AB396="",AC396="",AE396=""),FALSE,VLOOKUP(CONCATENATE(AB396,"e"),result.e,2,FALSE)))</f>
        <v>0</v>
      </c>
      <c r="AL396" s="18" t="s">
        <v>331</v>
      </c>
      <c r="AP396" s="115" t="b">
        <f>AND(AP395,AL396&lt;&gt;"",(COUNTIF(AP395:AP395,"IGAZ")-COUNTIF(AV395:AV395,"IGAZ"))*X400+MAX(AY394:AZ395)&lt;X399)</f>
        <v>0</v>
      </c>
      <c r="AQ396" s="116" t="str">
        <f>IF(NOT(AP396),"",IF(AL396="p",AG396,AG397))</f>
        <v/>
      </c>
      <c r="AR396" s="117" t="str">
        <f>IF(NOT(AP396),"",IF(AL396="p",AG397,AG396))</f>
        <v/>
      </c>
      <c r="AT396" s="115" t="b">
        <f t="shared" si="206"/>
        <v>0</v>
      </c>
      <c r="AU396" s="115" t="b">
        <f>AND(ASZTAB!$AJ$42,AT396,F396=H396)</f>
        <v>0</v>
      </c>
      <c r="AV396" s="115" t="b">
        <f t="shared" si="207"/>
        <v>0</v>
      </c>
      <c r="AW396" s="116" t="str">
        <f t="shared" si="208"/>
        <v/>
      </c>
      <c r="AX396" s="117" t="str">
        <f t="shared" si="209"/>
        <v/>
      </c>
      <c r="AY396" s="116" t="str">
        <f>IF(OR(AY395="",NOT(AV396)),"",IF(AG396=AW396,X400,0)+AY395)</f>
        <v/>
      </c>
      <c r="AZ396" s="116" t="str">
        <f>IF(OR(AZ395="",NOT(AV396)),"",IF(AG397=AW396,X400,0)+AZ395)</f>
        <v/>
      </c>
      <c r="BD396" s="142"/>
      <c r="BI396" s="118"/>
      <c r="BK396" s="99"/>
      <c r="BM396" s="119"/>
    </row>
    <row r="397" spans="1:66" ht="15" customHeight="1" x14ac:dyDescent="0.3">
      <c r="A397" s="864"/>
      <c r="B397" s="7"/>
      <c r="C397" s="106">
        <v>3</v>
      </c>
      <c r="D397" s="137"/>
      <c r="E397" s="107" t="str">
        <f t="shared" si="202"/>
        <v/>
      </c>
      <c r="F397" s="108"/>
      <c r="G397" s="64" t="str">
        <f t="shared" si="203"/>
        <v/>
      </c>
      <c r="H397" s="109"/>
      <c r="I397" s="110" t="str">
        <f t="shared" si="204"/>
        <v/>
      </c>
      <c r="J397" s="111"/>
      <c r="K397" s="112" t="str">
        <f t="shared" si="205"/>
        <v/>
      </c>
      <c r="L397" s="113"/>
      <c r="M397" s="153" t="str">
        <f t="shared" si="210"/>
        <v/>
      </c>
      <c r="N397" s="110"/>
      <c r="O397" s="140"/>
      <c r="P397" s="114"/>
      <c r="Q397" s="114"/>
      <c r="R397" s="114"/>
      <c r="S397" s="114"/>
      <c r="W397" s="15" t="s">
        <v>313</v>
      </c>
      <c r="X397" s="18"/>
      <c r="Y397" s="72"/>
      <c r="Z397" s="72"/>
      <c r="AA397" s="72"/>
      <c r="AB397" s="18"/>
      <c r="AC397" s="18"/>
      <c r="AD397" s="14" t="str">
        <f ca="1">IF(NOT(AJ397),"",IF(X397=$BE$45,VLOOKUP(AA397,INDIRECT(CONCATENATE("rank.",Y397,Z397)),2,FALSE),VLOOKUP(CONCATENATE(AB397,AC397),result.e,2,FALSE)))</f>
        <v/>
      </c>
      <c r="AE397" s="18"/>
      <c r="AF397" s="120" t="str">
        <f ca="1">IF(OR(AD397="",X397=$BE$45),"",VLOOKUP(AD397,INDIRECT(CONCATENATE("rankname.",AE397)),2,FALSE))</f>
        <v/>
      </c>
      <c r="AG397" s="14" t="str">
        <f ca="1">IF(AD397="","",IF(X397=$BE$45,AD397,IF(AF396&gt;AF397,AD396,AD397)))</f>
        <v/>
      </c>
      <c r="AH397" s="120">
        <f>MAX(AZ394:AZ401)</f>
        <v>0</v>
      </c>
      <c r="AJ397" s="21" t="b">
        <f>IF(X397=$BE$45,IF(OR(Y397="",Z397="",AA397=""),FALSE,VLOOKUP(CONCATENATE(Y397,Z397),$BD$59:$BE$63,2,FALSE)),IF(OR(AB397="",AC397="",AE397=""),FALSE,VLOOKUP(CONCATENATE(AB397,"e"),result.e,2,FALSE)))</f>
        <v>0</v>
      </c>
      <c r="AL397" s="18" t="s">
        <v>318</v>
      </c>
      <c r="AP397" s="115" t="b">
        <f>AND(AP396,AL397&lt;&gt;"",(COUNTIF(AP395:AP396,"IGAZ")-COUNTIF(AV395:AV396,"IGAZ"))*X400+MAX(AY394:AZ396)&lt;X399)</f>
        <v>0</v>
      </c>
      <c r="AQ397" s="116" t="str">
        <f>IF(NOT(AP397),"",IF(AL397="p",AG396,AG397))</f>
        <v/>
      </c>
      <c r="AR397" s="117" t="str">
        <f>IF(NOT(AP397),"",IF(AL397="p",AG397,AG396))</f>
        <v/>
      </c>
      <c r="AT397" s="115" t="b">
        <f t="shared" si="206"/>
        <v>0</v>
      </c>
      <c r="AU397" s="115" t="b">
        <f>AND(ASZTAB!$AJ$42,AT397,F397=H397)</f>
        <v>0</v>
      </c>
      <c r="AV397" s="115" t="b">
        <f t="shared" si="207"/>
        <v>0</v>
      </c>
      <c r="AW397" s="116" t="str">
        <f t="shared" si="208"/>
        <v/>
      </c>
      <c r="AX397" s="117" t="str">
        <f t="shared" si="209"/>
        <v/>
      </c>
      <c r="AY397" s="116" t="str">
        <f>IF(OR(AY396="",NOT(AV397)),"",IF(AG396=AW397,X400,0)+AY396)</f>
        <v/>
      </c>
      <c r="AZ397" s="116" t="str">
        <f>IF(OR(AZ396="",NOT(AV397)),"",IF(AG397=AW397,X400,0)+AZ396)</f>
        <v/>
      </c>
      <c r="BD397" s="142"/>
      <c r="BI397" s="118"/>
      <c r="BM397" s="119"/>
      <c r="BN397" s="119"/>
    </row>
    <row r="398" spans="1:66" ht="15" customHeight="1" x14ac:dyDescent="0.3">
      <c r="A398" s="864"/>
      <c r="B398" s="7"/>
      <c r="C398" s="106">
        <v>4</v>
      </c>
      <c r="D398" s="137"/>
      <c r="E398" s="107" t="str">
        <f t="shared" si="202"/>
        <v/>
      </c>
      <c r="F398" s="108"/>
      <c r="G398" s="64" t="str">
        <f t="shared" si="203"/>
        <v/>
      </c>
      <c r="H398" s="109"/>
      <c r="I398" s="110" t="str">
        <f t="shared" si="204"/>
        <v/>
      </c>
      <c r="J398" s="111"/>
      <c r="K398" s="112" t="str">
        <f t="shared" si="205"/>
        <v/>
      </c>
      <c r="L398" s="113"/>
      <c r="M398" s="153" t="str">
        <f t="shared" si="210"/>
        <v/>
      </c>
      <c r="N398" s="110"/>
      <c r="O398" s="140"/>
      <c r="P398" s="114"/>
      <c r="Q398" s="114"/>
      <c r="AL398" s="18" t="s">
        <v>331</v>
      </c>
      <c r="AP398" s="115" t="b">
        <f>AND(AP397,AL398&lt;&gt;"",(COUNTIF(AP395:AP397,"IGAZ")-COUNTIF(AV395:AV397,"IGAZ"))*X400+MAX(AY394:AZ397)&lt;X399)</f>
        <v>0</v>
      </c>
      <c r="AQ398" s="116" t="str">
        <f>IF(NOT(AP398),"",IF(AL398="p",AG396,AG397))</f>
        <v/>
      </c>
      <c r="AR398" s="117" t="str">
        <f>IF(NOT(AP398),"",IF(AL398="p",AG397,AG396))</f>
        <v/>
      </c>
      <c r="AT398" s="115" t="b">
        <f t="shared" si="206"/>
        <v>0</v>
      </c>
      <c r="AU398" s="115" t="b">
        <f>AND(ASZTAB!$AJ$42,AT398,F398=H398)</f>
        <v>0</v>
      </c>
      <c r="AV398" s="115" t="b">
        <f t="shared" si="207"/>
        <v>0</v>
      </c>
      <c r="AW398" s="116" t="str">
        <f t="shared" si="208"/>
        <v/>
      </c>
      <c r="AX398" s="117" t="str">
        <f t="shared" si="209"/>
        <v/>
      </c>
      <c r="AY398" s="116" t="str">
        <f>IF(OR(AY397="",NOT(AV398)),"",IF(AG396=AW398,X400,0)+AY397)</f>
        <v/>
      </c>
      <c r="AZ398" s="116" t="str">
        <f>IF(OR(AZ397="",NOT(AV398)),"",IF(AG397=AW398,X400,0)+AZ397)</f>
        <v/>
      </c>
      <c r="BD398" s="142"/>
      <c r="BI398" s="118"/>
      <c r="BM398" s="119"/>
    </row>
    <row r="399" spans="1:66" ht="15" customHeight="1" x14ac:dyDescent="0.3">
      <c r="A399" s="864"/>
      <c r="B399" s="121"/>
      <c r="C399" s="106">
        <v>5</v>
      </c>
      <c r="D399" s="137"/>
      <c r="E399" s="107" t="str">
        <f t="shared" si="202"/>
        <v/>
      </c>
      <c r="F399" s="108"/>
      <c r="G399" s="64" t="str">
        <f t="shared" si="203"/>
        <v/>
      </c>
      <c r="H399" s="109"/>
      <c r="I399" s="110" t="str">
        <f t="shared" si="204"/>
        <v/>
      </c>
      <c r="J399" s="111"/>
      <c r="K399" s="112" t="str">
        <f t="shared" si="205"/>
        <v/>
      </c>
      <c r="L399" s="113"/>
      <c r="M399" s="153" t="str">
        <f t="shared" si="210"/>
        <v/>
      </c>
      <c r="N399" s="110"/>
      <c r="O399" s="140"/>
      <c r="P399" s="114"/>
      <c r="Q399" s="114"/>
      <c r="R399" s="114"/>
      <c r="S399" s="114"/>
      <c r="W399" s="15" t="s">
        <v>315</v>
      </c>
      <c r="X399" s="18">
        <v>3</v>
      </c>
      <c r="AD399" s="15"/>
      <c r="AE399" s="15" t="s">
        <v>312</v>
      </c>
      <c r="AF399" s="15" t="str">
        <f>CONCATENATE(V393,"f")</f>
        <v>23f</v>
      </c>
      <c r="AG399" s="16" t="str">
        <f>IF(OR(NOT(AJ396),NOT(AJ397)),"",AD396)</f>
        <v/>
      </c>
      <c r="AH399" s="23" t="str">
        <f>IF(OR(NOT(AJ396),NOT(AJ397)),"",VLOOKUP(AG399,AG396:AH397,2,FALSE))</f>
        <v/>
      </c>
      <c r="AL399" s="18" t="s">
        <v>318</v>
      </c>
      <c r="AP399" s="115" t="b">
        <f>AND(AP398,AL399&lt;&gt;"",(COUNTIF(AP395:AP398,"IGAZ")-COUNTIF(AV395:AV398,"IGAZ"))*X400+MAX(AY394:AZ398)&lt;X399)</f>
        <v>0</v>
      </c>
      <c r="AQ399" s="116" t="str">
        <f>IF(NOT(AP399),"",IF(AL399="p",AG396,AG397))</f>
        <v/>
      </c>
      <c r="AR399" s="117" t="str">
        <f>IF(NOT(AP399),"",IF(AL399="p",AG397,AG396))</f>
        <v/>
      </c>
      <c r="AT399" s="115" t="b">
        <f t="shared" si="206"/>
        <v>0</v>
      </c>
      <c r="AU399" s="115" t="b">
        <f>AND(ASZTAB!$AJ$42,AT399,F399=H399)</f>
        <v>0</v>
      </c>
      <c r="AV399" s="115" t="b">
        <f t="shared" si="207"/>
        <v>0</v>
      </c>
      <c r="AW399" s="116" t="str">
        <f t="shared" si="208"/>
        <v/>
      </c>
      <c r="AX399" s="117" t="str">
        <f t="shared" si="209"/>
        <v/>
      </c>
      <c r="AY399" s="116" t="str">
        <f>IF(OR(AY398="",NOT(AV399)),"",IF(AG396=AW399,X400,0)+AY398)</f>
        <v/>
      </c>
      <c r="AZ399" s="116" t="str">
        <f>IF(OR(AZ398="",NOT(AV399)),"",IF(AG397=AW399,X400,0)+AZ398)</f>
        <v/>
      </c>
      <c r="BD399" s="142"/>
      <c r="BI399" s="118"/>
      <c r="BK399" s="119"/>
      <c r="BL399" s="119"/>
      <c r="BM399" s="119"/>
    </row>
    <row r="400" spans="1:66" ht="15" customHeight="1" x14ac:dyDescent="0.3">
      <c r="A400" s="864"/>
      <c r="B400" s="122"/>
      <c r="C400" s="106">
        <v>6</v>
      </c>
      <c r="D400" s="137"/>
      <c r="E400" s="107" t="str">
        <f t="shared" si="202"/>
        <v/>
      </c>
      <c r="F400" s="108"/>
      <c r="G400" s="64" t="str">
        <f t="shared" si="203"/>
        <v/>
      </c>
      <c r="H400" s="109"/>
      <c r="I400" s="110" t="str">
        <f t="shared" si="204"/>
        <v/>
      </c>
      <c r="J400" s="111"/>
      <c r="K400" s="112" t="str">
        <f t="shared" si="205"/>
        <v/>
      </c>
      <c r="L400" s="113"/>
      <c r="M400" s="8" t="str">
        <f t="shared" si="210"/>
        <v/>
      </c>
      <c r="N400" s="123"/>
      <c r="O400" s="141"/>
      <c r="W400" s="15" t="s">
        <v>327</v>
      </c>
      <c r="X400" s="18">
        <v>1</v>
      </c>
      <c r="AD400" s="15"/>
      <c r="AE400" s="15" t="s">
        <v>313</v>
      </c>
      <c r="AF400" s="15" t="str">
        <f>CONCATENATE(V393,"a")</f>
        <v>23a</v>
      </c>
      <c r="AG400" s="16" t="str">
        <f>IF(OR(NOT(AJ396),NOT(AJ397)),"",AD397)</f>
        <v/>
      </c>
      <c r="AH400" s="23" t="str">
        <f>IF(OR(NOT(AJ396),NOT(AJ397)),"",VLOOKUP(AG400,AG396:AH397,2,FALSE))</f>
        <v/>
      </c>
      <c r="AL400" s="18" t="s">
        <v>331</v>
      </c>
      <c r="AP400" s="115" t="b">
        <f>AND(AP399,AL400&lt;&gt;"",(COUNTIF(AP395:AP399,"IGAZ")-COUNTIF(AV395:AV399,"IGAZ"))*X400+MAX(AY394:AZ399)&lt;X399)</f>
        <v>0</v>
      </c>
      <c r="AQ400" s="116" t="str">
        <f>IF(NOT(AP400),"",IF(AL400="p",AG396,AG397))</f>
        <v/>
      </c>
      <c r="AR400" s="117" t="str">
        <f>IF(NOT(AP400),"",IF(AL400="p",AG397,AG396))</f>
        <v/>
      </c>
      <c r="AT400" s="115" t="b">
        <f t="shared" si="206"/>
        <v>0</v>
      </c>
      <c r="AU400" s="115" t="b">
        <f>AND(ASZTAB!$AJ$42,AT400,F400=H400)</f>
        <v>0</v>
      </c>
      <c r="AV400" s="115" t="b">
        <f t="shared" si="207"/>
        <v>0</v>
      </c>
      <c r="AW400" s="116" t="str">
        <f t="shared" si="208"/>
        <v/>
      </c>
      <c r="AX400" s="117" t="str">
        <f t="shared" si="209"/>
        <v/>
      </c>
      <c r="AY400" s="116" t="str">
        <f>IF(OR(AY399="",NOT(AV400)),"",IF(AG396=AW400,X400,0)+AY399)</f>
        <v/>
      </c>
      <c r="AZ400" s="116" t="str">
        <f>IF(OR(AZ399="",NOT(AV400)),"",IF(AG397=AW400,X400,0)+AZ399)</f>
        <v/>
      </c>
      <c r="BD400" s="142"/>
      <c r="BI400" s="118"/>
      <c r="BK400" s="119"/>
      <c r="BL400" s="119"/>
      <c r="BM400" s="119"/>
    </row>
    <row r="401" spans="1:66" ht="15" customHeight="1" x14ac:dyDescent="0.3">
      <c r="A401" s="864"/>
      <c r="B401" s="122"/>
      <c r="C401" s="106">
        <v>7</v>
      </c>
      <c r="D401" s="137"/>
      <c r="E401" s="107" t="str">
        <f t="shared" si="202"/>
        <v/>
      </c>
      <c r="F401" s="108"/>
      <c r="G401" s="64" t="str">
        <f t="shared" si="203"/>
        <v/>
      </c>
      <c r="H401" s="109"/>
      <c r="I401" s="110" t="str">
        <f t="shared" si="204"/>
        <v/>
      </c>
      <c r="J401" s="111"/>
      <c r="K401" s="112" t="str">
        <f t="shared" si="205"/>
        <v/>
      </c>
      <c r="L401" s="113"/>
      <c r="M401" s="8" t="str">
        <f t="shared" si="210"/>
        <v/>
      </c>
      <c r="N401" s="123"/>
      <c r="O401" s="141"/>
      <c r="AE401" s="15" t="s">
        <v>316</v>
      </c>
      <c r="AF401" s="15" t="str">
        <f>CONCATENATE(V393,"w")</f>
        <v>23w</v>
      </c>
      <c r="AG401" s="16" t="str">
        <f>IF(AND(AJ396,AJ397),IF(MAX(AY395:AY401)&gt;=X399,AG396,IF(MAX(AZ395:AZ401)&gt;=X399,AG397,"")),"")</f>
        <v/>
      </c>
      <c r="AL401" s="18" t="s">
        <v>318</v>
      </c>
      <c r="AP401" s="115" t="b">
        <f>AND(AP400,AL401&lt;&gt;"",(COUNTIF(AP395:AP400,"IGAZ")-COUNTIF(AV395:AV400,"IGAZ"))*X400+MAX(AY394:AZ400)&lt;X399)</f>
        <v>0</v>
      </c>
      <c r="AQ401" s="116" t="str">
        <f>IF(NOT(AP401),"",IF(AL401="p",AG396,AG397))</f>
        <v/>
      </c>
      <c r="AR401" s="117" t="str">
        <f>IF(NOT(AP401),"",IF(AL401="p",AG397,AG396))</f>
        <v/>
      </c>
      <c r="AT401" s="115" t="b">
        <f t="shared" si="206"/>
        <v>0</v>
      </c>
      <c r="AU401" s="115" t="b">
        <f>AND(ASZTAB!$AJ$42,AT401,F401=H401)</f>
        <v>0</v>
      </c>
      <c r="AV401" s="115" t="b">
        <f t="shared" si="207"/>
        <v>0</v>
      </c>
      <c r="AW401" s="116" t="str">
        <f t="shared" si="208"/>
        <v/>
      </c>
      <c r="AX401" s="117" t="str">
        <f t="shared" si="209"/>
        <v/>
      </c>
      <c r="AY401" s="116" t="str">
        <f>IF(OR(AY400="",NOT(AV401)),"",IF(AG396=AW401,X400,0)+AY400)</f>
        <v/>
      </c>
      <c r="AZ401" s="116" t="str">
        <f>IF(OR(AZ400="",NOT(AV401)),"",IF(AG397=AW401,X400,0)+AZ400)</f>
        <v/>
      </c>
      <c r="BD401" s="142"/>
      <c r="BI401" s="118"/>
      <c r="BK401" s="119"/>
      <c r="BL401" s="119"/>
      <c r="BM401" s="119"/>
      <c r="BN401" s="119"/>
    </row>
    <row r="402" spans="1:66" ht="15" customHeight="1" x14ac:dyDescent="0.3">
      <c r="A402" s="864"/>
      <c r="B402" s="122"/>
      <c r="C402" s="106"/>
      <c r="D402" s="123"/>
      <c r="E402" s="124"/>
      <c r="F402" s="125"/>
      <c r="G402" s="123"/>
      <c r="H402" s="114"/>
      <c r="I402" s="123"/>
      <c r="J402" s="125"/>
      <c r="K402" s="123"/>
      <c r="L402" s="114"/>
      <c r="M402" s="123"/>
      <c r="N402" s="123"/>
      <c r="O402" s="123"/>
      <c r="AE402" s="15" t="s">
        <v>317</v>
      </c>
      <c r="AF402" s="15" t="str">
        <f>CONCATENATE(V393,"l")</f>
        <v>23l</v>
      </c>
      <c r="AG402" s="16" t="str">
        <f ca="1">IF(AG401=AG396,AG397,IF(AG397=AG401,AG396,""))</f>
        <v/>
      </c>
      <c r="AL402" s="126" t="s">
        <v>330</v>
      </c>
      <c r="BD402" s="142"/>
      <c r="BI402" s="118"/>
      <c r="BK402" s="119"/>
      <c r="BL402" s="119"/>
      <c r="BM402" s="119"/>
      <c r="BN402" s="119"/>
    </row>
    <row r="403" spans="1:66" ht="15" customHeight="1" x14ac:dyDescent="0.3">
      <c r="A403" s="864"/>
      <c r="B403" s="122"/>
      <c r="C403" s="127" t="s">
        <v>463</v>
      </c>
      <c r="D403" s="123"/>
      <c r="E403" s="124"/>
      <c r="F403" s="125"/>
      <c r="G403" s="123"/>
      <c r="H403" s="114"/>
      <c r="I403" s="123"/>
      <c r="J403" s="125"/>
      <c r="K403" s="123"/>
      <c r="L403" s="114"/>
      <c r="M403" s="123"/>
      <c r="N403" s="123"/>
      <c r="O403" s="123"/>
      <c r="Y403" s="11" t="s">
        <v>294</v>
      </c>
      <c r="Z403" s="70" t="s">
        <v>311</v>
      </c>
      <c r="AA403" s="70" t="s">
        <v>153</v>
      </c>
      <c r="AB403" s="70" t="s">
        <v>153</v>
      </c>
      <c r="AE403" s="15" t="s">
        <v>287</v>
      </c>
      <c r="AF403" s="15" t="str">
        <f>CONCATENATE(V393,"e")</f>
        <v>23e</v>
      </c>
      <c r="AG403" s="21" t="b">
        <f ca="1">AND(AG401&lt;&gt;"",AG402&lt;&gt;"")</f>
        <v>0</v>
      </c>
      <c r="BD403" s="15"/>
      <c r="BI403" s="118"/>
      <c r="BK403" s="119"/>
      <c r="BL403" s="119"/>
      <c r="BM403" s="119"/>
      <c r="BN403" s="119"/>
    </row>
    <row r="404" spans="1:66" ht="15" customHeight="1" x14ac:dyDescent="0.3">
      <c r="A404" s="864"/>
      <c r="B404" s="122"/>
      <c r="C404" s="865"/>
      <c r="D404" s="865"/>
      <c r="E404" s="865"/>
      <c r="F404" s="865"/>
      <c r="G404" s="865"/>
      <c r="H404" s="865"/>
      <c r="I404" s="865"/>
      <c r="J404" s="865"/>
      <c r="K404" s="865"/>
      <c r="L404" s="865"/>
      <c r="M404" s="865"/>
      <c r="N404" s="865"/>
      <c r="O404" s="865"/>
      <c r="W404" s="15" t="s">
        <v>319</v>
      </c>
      <c r="X404" s="18" t="b">
        <v>0</v>
      </c>
      <c r="Y404" s="72" t="s">
        <v>289</v>
      </c>
      <c r="Z404" s="16" t="str">
        <f ca="1">IF(AND(AJ396,AJ397,X404,Y404&lt;&gt;""),CONCATENATE(VLOOKUP(CONCATENATE(AG396,AG397),INDIRECT(CONCATENATE("games.",Y404)),9,FALSE),VLOOKUP(CONCATENATE(AG396,AG397),INDIRECT(CONCATENATE("games.",Y404)),12,FALSE)),"")</f>
        <v/>
      </c>
      <c r="AA404" s="16" t="str">
        <f ca="1">IF(AND(AJ396,AJ397,X404,Y404&lt;&gt;""),VLOOKUP(CONCATENATE(AG396,AG397),INDIRECT(CONCATENATE("games.",Y404)),10,FALSE),"")</f>
        <v/>
      </c>
      <c r="AB404" s="54" t="str">
        <f ca="1">IF(AND(AJ396,AJ397,X404,Y404&lt;&gt;""),VLOOKUP(CONCATENATE(AG396,AG397),INDIRECT(CONCATENATE("games.",Y404)),13,FALSE),"")</f>
        <v/>
      </c>
      <c r="BD404" s="15"/>
      <c r="BI404" s="118"/>
      <c r="BK404" s="119"/>
      <c r="BL404" s="119"/>
      <c r="BM404" s="119"/>
      <c r="BN404" s="119"/>
    </row>
    <row r="405" spans="1:66" ht="15" customHeight="1" x14ac:dyDescent="0.3">
      <c r="A405" s="864"/>
      <c r="B405" s="122"/>
      <c r="C405" s="866"/>
      <c r="D405" s="866"/>
      <c r="E405" s="866"/>
      <c r="F405" s="866"/>
      <c r="G405" s="866"/>
      <c r="H405" s="866"/>
      <c r="I405" s="866"/>
      <c r="J405" s="866"/>
      <c r="K405" s="866"/>
      <c r="L405" s="866"/>
      <c r="M405" s="866"/>
      <c r="N405" s="866"/>
      <c r="O405" s="866"/>
      <c r="Z405" s="16" t="str">
        <f ca="1">IF(AND(AJ396,AJ397,X404,Y404&lt;&gt;""),CONCATENATE(VLOOKUP(CONCATENATE(AG397,AG396),INDIRECT(CONCATENATE("games.",Y404)),9,FALSE),VLOOKUP(CONCATENATE(AG397,AG396),INDIRECT(CONCATENATE("games.",Y404)),12,FALSE)),"")</f>
        <v/>
      </c>
      <c r="AA405" s="16" t="str">
        <f ca="1">IF(AND(AJ396,AJ397,X404,Y404&lt;&gt;""),VLOOKUP(CONCATENATE(AG397,AG396),INDIRECT(CONCATENATE("games.",Y404)),10,FALSE),"")</f>
        <v/>
      </c>
      <c r="AB405" s="54" t="str">
        <f ca="1">IF(AND(AJ396,AJ397,X404,Y404&lt;&gt;""),VLOOKUP(CONCATENATE(AG397,AG396),INDIRECT(CONCATENATE("games.",Y404)),13,FALSE),"")</f>
        <v/>
      </c>
      <c r="BD405" s="15"/>
      <c r="BI405" s="118"/>
      <c r="BK405" s="119"/>
      <c r="BL405" s="119"/>
      <c r="BM405" s="119"/>
      <c r="BN405" s="119"/>
    </row>
    <row r="406" spans="1:66" ht="15" customHeight="1" x14ac:dyDescent="0.3">
      <c r="A406" s="864"/>
      <c r="B406" s="122"/>
      <c r="C406" s="866"/>
      <c r="D406" s="866"/>
      <c r="E406" s="866"/>
      <c r="F406" s="866"/>
      <c r="G406" s="866"/>
      <c r="H406" s="866"/>
      <c r="I406" s="866"/>
      <c r="J406" s="866"/>
      <c r="K406" s="866"/>
      <c r="L406" s="866"/>
      <c r="M406" s="866"/>
      <c r="N406" s="866"/>
      <c r="O406" s="866"/>
      <c r="BD406" s="15"/>
      <c r="BI406" s="118"/>
      <c r="BK406" s="119"/>
      <c r="BL406" s="119"/>
      <c r="BM406" s="119"/>
      <c r="BN406" s="119"/>
    </row>
    <row r="407" spans="1:66" ht="15" customHeight="1" x14ac:dyDescent="0.3">
      <c r="A407" s="864"/>
      <c r="B407" s="122"/>
      <c r="C407" s="106"/>
      <c r="D407" s="123"/>
      <c r="E407" s="124"/>
      <c r="F407" s="125"/>
      <c r="G407" s="123"/>
      <c r="H407" s="114"/>
      <c r="I407" s="123"/>
      <c r="J407" s="125"/>
      <c r="K407" s="123"/>
      <c r="L407" s="114"/>
      <c r="M407" s="123"/>
      <c r="N407" s="123"/>
      <c r="O407" s="123"/>
      <c r="U407" s="10"/>
      <c r="V407" s="128"/>
      <c r="W407" s="129"/>
      <c r="X407" s="10"/>
      <c r="Y407" s="130"/>
      <c r="Z407" s="130"/>
      <c r="AA407" s="130"/>
      <c r="AB407" s="130"/>
      <c r="AC407" s="130"/>
      <c r="AD407" s="130"/>
      <c r="AE407" s="130"/>
      <c r="AF407" s="130"/>
      <c r="AG407" s="130"/>
      <c r="AH407" s="130"/>
      <c r="AI407" s="130"/>
      <c r="AJ407" s="130"/>
      <c r="AK407" s="130"/>
      <c r="AL407" s="130"/>
      <c r="AM407" s="10"/>
      <c r="AO407" s="131"/>
      <c r="AP407" s="131"/>
      <c r="AQ407" s="132"/>
      <c r="AR407" s="132"/>
      <c r="AS407" s="132"/>
      <c r="AT407" s="131"/>
      <c r="AU407" s="131"/>
      <c r="AV407" s="131"/>
      <c r="AW407" s="132"/>
      <c r="AX407" s="132"/>
      <c r="AY407" s="131"/>
      <c r="AZ407" s="131"/>
      <c r="BA407" s="131"/>
      <c r="BD407" s="15"/>
      <c r="BI407" s="118"/>
      <c r="BK407" s="119"/>
      <c r="BL407" s="119"/>
      <c r="BM407" s="119"/>
      <c r="BN407" s="119"/>
    </row>
    <row r="408" spans="1:66" ht="15" customHeight="1" x14ac:dyDescent="0.3">
      <c r="A408" s="864"/>
      <c r="B408" s="88"/>
      <c r="C408" s="89"/>
      <c r="D408" s="90"/>
      <c r="BI408" s="118"/>
      <c r="BM408" s="119"/>
    </row>
    <row r="409" spans="1:66" ht="15" customHeight="1" x14ac:dyDescent="0.3">
      <c r="A409" s="864"/>
      <c r="B409" s="147"/>
      <c r="C409" s="149">
        <f>V409</f>
        <v>24</v>
      </c>
      <c r="D409" s="150" t="str">
        <f>UPPER(W409)</f>
        <v/>
      </c>
      <c r="E409" s="151"/>
      <c r="F409" s="151"/>
      <c r="G409" s="151"/>
      <c r="H409" s="151"/>
      <c r="I409" s="151"/>
      <c r="J409" s="151"/>
      <c r="K409" s="151"/>
      <c r="L409" s="151"/>
      <c r="M409" s="138"/>
      <c r="N409" s="151"/>
      <c r="O409" s="161" t="str">
        <f ca="1">IF(NOT(AG419),"","A PÁRHARC GYŐZTESE: "&amp;UPPER(AG417))</f>
        <v/>
      </c>
      <c r="P409" s="152" t="str">
        <f>IF(NOT(Y417),"",CONCATENATE("A PÁRHARC GYŐZTESE: ",AH415," "))</f>
        <v/>
      </c>
      <c r="Q409" s="148" t="str">
        <f>IF(NOT(Z417),"",CONCATENATE("A PÁRHARC GYŐZTESE: ",AJ415," "))</f>
        <v/>
      </c>
      <c r="R409" s="148" t="str">
        <f>IF(NOT(AA417),"",CONCATENATE("A PÁRHARC GYŐZTESE: ",AK415," "))</f>
        <v/>
      </c>
      <c r="S409" s="148" t="str">
        <f>IF(NOT(AB417),"",CONCATENATE("A PÁRHARC GYŐZTESE: ",AL415," "))</f>
        <v/>
      </c>
      <c r="V409" s="21">
        <f>V393+1</f>
        <v>24</v>
      </c>
      <c r="W409" s="95"/>
      <c r="X409" s="96"/>
      <c r="Y409" s="96"/>
      <c r="Z409" s="96"/>
      <c r="AA409" s="96"/>
      <c r="AB409" s="96"/>
      <c r="AC409" s="96"/>
      <c r="AD409" s="96"/>
      <c r="AE409" s="96"/>
      <c r="AF409" s="96"/>
      <c r="AG409" s="96"/>
      <c r="AH409" s="96"/>
      <c r="AI409" s="96"/>
      <c r="AJ409" s="96"/>
      <c r="AK409" s="96"/>
      <c r="AL409" s="97"/>
      <c r="AY409" s="13" t="s">
        <v>326</v>
      </c>
      <c r="AZ409" s="13" t="s">
        <v>325</v>
      </c>
      <c r="BD409" s="142"/>
      <c r="BH409" s="98"/>
      <c r="BI409" s="118"/>
      <c r="BJ409" s="98"/>
      <c r="BK409" s="99"/>
      <c r="BL409" s="99"/>
      <c r="BM409" s="119"/>
    </row>
    <row r="410" spans="1:66" ht="11.25" customHeight="1" x14ac:dyDescent="0.3">
      <c r="A410" s="864"/>
      <c r="C410" s="101"/>
      <c r="D410" s="102"/>
      <c r="E410" s="103"/>
      <c r="F410" s="58"/>
      <c r="G410" s="104"/>
      <c r="H410" s="60"/>
      <c r="I410" s="146"/>
      <c r="J410" s="107"/>
      <c r="K410" s="160" t="str">
        <f>IF(OR(AU411,AU412,AU413,AU414,AU415,AU416,AU417),"BÜNTETŐK","")</f>
        <v/>
      </c>
      <c r="L410" s="110"/>
      <c r="M410" s="158" t="s">
        <v>286</v>
      </c>
      <c r="N410" s="159"/>
      <c r="O410" s="158" t="s">
        <v>285</v>
      </c>
      <c r="AP410" s="105" t="s">
        <v>328</v>
      </c>
      <c r="AQ410" s="12" t="s">
        <v>138</v>
      </c>
      <c r="AR410" s="12" t="s">
        <v>139</v>
      </c>
      <c r="AT410" s="105" t="s">
        <v>320</v>
      </c>
      <c r="AU410" s="105" t="s">
        <v>321</v>
      </c>
      <c r="AV410" s="105" t="s">
        <v>324</v>
      </c>
      <c r="AW410" s="12" t="s">
        <v>322</v>
      </c>
      <c r="AX410" s="12" t="s">
        <v>323</v>
      </c>
      <c r="AY410" s="116">
        <f>IF(X420,COUNTIF(Z420:Z421,AG412)*ASZTAB!$AJ$48+COUNTIF(AA420:AB421,AG412),0)</f>
        <v>0</v>
      </c>
      <c r="AZ410" s="116">
        <f>IF(X420,COUNTIF(Z420:Z421,AG413)*ASZTAB!$AJ$48+COUNTIF(AA420:AB421,AG413),0)</f>
        <v>0</v>
      </c>
      <c r="BD410" s="142"/>
      <c r="BH410" s="98"/>
      <c r="BI410" s="118"/>
      <c r="BJ410" s="98"/>
      <c r="BK410" s="99"/>
      <c r="BL410" s="99"/>
      <c r="BM410" s="119"/>
    </row>
    <row r="411" spans="1:66" ht="15" customHeight="1" x14ac:dyDescent="0.3">
      <c r="A411" s="864"/>
      <c r="B411" s="7"/>
      <c r="C411" s="106">
        <v>1</v>
      </c>
      <c r="D411" s="137"/>
      <c r="E411" s="107" t="str">
        <f t="shared" ref="E411:E417" si="211">IF(NOT($AP411),"",AQ411)</f>
        <v/>
      </c>
      <c r="F411" s="108"/>
      <c r="G411" s="64" t="str">
        <f t="shared" ref="G411:G417" si="212">IF(NOT($AP411),"","–")</f>
        <v/>
      </c>
      <c r="H411" s="109"/>
      <c r="I411" s="110" t="str">
        <f t="shared" ref="I411:I417" si="213">IF(NOT($AP411),"",AR411)</f>
        <v/>
      </c>
      <c r="J411" s="111"/>
      <c r="K411" s="112" t="str">
        <f t="shared" ref="K411:K417" si="214">IF(AU411,"–","")</f>
        <v/>
      </c>
      <c r="L411" s="113"/>
      <c r="M411" s="153" t="str">
        <f>IF(OR(AL411="",NOT(AV411)),"",IF(AL411="p",CONCATENATE(AY411,"–",AZ411),CONCATENATE(AZ411,"–",AY411)))</f>
        <v/>
      </c>
      <c r="N411" s="110"/>
      <c r="O411" s="139"/>
      <c r="P411" s="114"/>
      <c r="Q411" s="114"/>
      <c r="R411" s="114"/>
      <c r="S411" s="114"/>
      <c r="X411" s="11" t="s">
        <v>306</v>
      </c>
      <c r="Y411" s="11" t="s">
        <v>294</v>
      </c>
      <c r="Z411" s="70" t="s">
        <v>295</v>
      </c>
      <c r="AA411" s="70" t="s">
        <v>127</v>
      </c>
      <c r="AB411" s="70" t="s">
        <v>301</v>
      </c>
      <c r="AC411" s="70" t="s">
        <v>302</v>
      </c>
      <c r="AD411" s="70" t="s">
        <v>332</v>
      </c>
      <c r="AE411" s="70" t="s">
        <v>333</v>
      </c>
      <c r="AF411" s="70" t="s">
        <v>329</v>
      </c>
      <c r="AG411" s="70" t="s">
        <v>303</v>
      </c>
      <c r="AH411" s="70" t="s">
        <v>293</v>
      </c>
      <c r="AJ411" s="71" t="s">
        <v>314</v>
      </c>
      <c r="AL411" s="18" t="s">
        <v>318</v>
      </c>
      <c r="AP411" s="115" t="b">
        <f>AND(AJ412,AJ413,AL411&lt;&gt;"")</f>
        <v>0</v>
      </c>
      <c r="AQ411" s="116" t="str">
        <f>IF(NOT(AP411),"",IF(AL411="p",AG412,AG413))</f>
        <v/>
      </c>
      <c r="AR411" s="117" t="str">
        <f>IF(NOT(AP411),"",IF(AL411="p",AG413,AG412))</f>
        <v/>
      </c>
      <c r="AT411" s="115" t="b">
        <f t="shared" ref="AT411:AT417" si="215">AND(F411&lt;&gt;"",H411&lt;&gt;"",AP411)</f>
        <v>0</v>
      </c>
      <c r="AU411" s="115" t="b">
        <f>AND(ASZTAB!$AJ$42,AT411,F411=H411)</f>
        <v>0</v>
      </c>
      <c r="AV411" s="115" t="b">
        <f t="shared" ref="AV411:AV417" si="216">OR(AND(AT411,NOT(AU411),F411&lt;&gt;H411),AND(AT411,AU411,J411&lt;&gt;"",L411&lt;&gt;"",J411&lt;&gt;L411))</f>
        <v>0</v>
      </c>
      <c r="AW411" s="116" t="str">
        <f t="shared" ref="AW411:AW417" si="217">IF(NOT(AV411),"",IF(AU411,IF(F411+J411&gt;H411+L411,E411,I411),IF(F411&gt;H411,E411,I411)))</f>
        <v/>
      </c>
      <c r="AX411" s="117" t="str">
        <f t="shared" ref="AX411:AX417" si="218">IF(NOT(AV411),"",IF(AW411=E411,I411,IF(AW411=I411,E411,"")))</f>
        <v/>
      </c>
      <c r="AY411" s="116" t="str">
        <f>IF(NOT(AV411),"",IF(AG412=AW411,X416,0)+AY410)</f>
        <v/>
      </c>
      <c r="AZ411" s="116" t="str">
        <f>IF(NOT(AV411),"",IF(AG413=AW411,X416,0)+AZ410)</f>
        <v/>
      </c>
      <c r="BD411" s="142"/>
      <c r="BI411" s="118"/>
      <c r="BK411" s="99"/>
      <c r="BL411" s="119"/>
      <c r="BM411" s="119"/>
    </row>
    <row r="412" spans="1:66" ht="15" customHeight="1" x14ac:dyDescent="0.3">
      <c r="A412" s="864"/>
      <c r="B412" s="7"/>
      <c r="C412" s="106">
        <v>2</v>
      </c>
      <c r="D412" s="137"/>
      <c r="E412" s="107" t="str">
        <f t="shared" si="211"/>
        <v/>
      </c>
      <c r="F412" s="108"/>
      <c r="G412" s="64" t="str">
        <f t="shared" si="212"/>
        <v/>
      </c>
      <c r="H412" s="109"/>
      <c r="I412" s="110" t="str">
        <f t="shared" si="213"/>
        <v/>
      </c>
      <c r="J412" s="111"/>
      <c r="K412" s="112" t="str">
        <f t="shared" si="214"/>
        <v/>
      </c>
      <c r="L412" s="113"/>
      <c r="M412" s="153" t="str">
        <f t="shared" ref="M412:M417" si="219">IF(OR(AL412="",NOT(AV412)),"",IF(AL412="p",CONCATENATE(AY412,"–",AZ412),CONCATENATE(AZ412,"–",AY412)))</f>
        <v/>
      </c>
      <c r="N412" s="110"/>
      <c r="O412" s="140"/>
      <c r="P412" s="114"/>
      <c r="Q412" s="114"/>
      <c r="R412" s="114"/>
      <c r="S412" s="114"/>
      <c r="W412" s="15" t="s">
        <v>312</v>
      </c>
      <c r="X412" s="18"/>
      <c r="Y412" s="72"/>
      <c r="Z412" s="72"/>
      <c r="AA412" s="72"/>
      <c r="AB412" s="18"/>
      <c r="AC412" s="18"/>
      <c r="AD412" s="14" t="str">
        <f ca="1">IF(NOT(AJ412),"",IF(X412=$BE$45,VLOOKUP(AA412,INDIRECT(CONCATENATE("rank.",Y412,Z412)),2,FALSE),VLOOKUP(CONCATENATE(AB412,AC412),result.e,2,FALSE)))</f>
        <v/>
      </c>
      <c r="AE412" s="18"/>
      <c r="AF412" s="120" t="str">
        <f ca="1">IF(OR(AD412="",X412=$BE$45),"",VLOOKUP(AD412,INDIRECT(CONCATENATE("rankname.",AE412)),2,FALSE))</f>
        <v/>
      </c>
      <c r="AG412" s="14" t="str">
        <f ca="1">IF(AD412="","",IF(X412=$BE$45,AD412,IF(AF412&gt;AF413,AD413,AD412)))</f>
        <v/>
      </c>
      <c r="AH412" s="120">
        <f>MAX(AY410:AY417)</f>
        <v>0</v>
      </c>
      <c r="AJ412" s="21" t="b">
        <f>IF(X412=$BE$45,IF(OR(Y412="",Z412="",AA412=""),FALSE,VLOOKUP(CONCATENATE(Y412,Z412),$BD$59:$BE$63,2,FALSE)),IF(OR(AB412="",AC412="",AE412=""),FALSE,VLOOKUP(CONCATENATE(AB412,"e"),result.e,2,FALSE)))</f>
        <v>0</v>
      </c>
      <c r="AL412" s="18" t="s">
        <v>331</v>
      </c>
      <c r="AP412" s="115" t="b">
        <f>AND(AP411,AL412&lt;&gt;"",(COUNTIF(AP411:AP411,"IGAZ")-COUNTIF(AV411:AV411,"IGAZ"))*X416+MAX(AY410:AZ411)&lt;X415)</f>
        <v>0</v>
      </c>
      <c r="AQ412" s="116" t="str">
        <f>IF(NOT(AP412),"",IF(AL412="p",AG412,AG413))</f>
        <v/>
      </c>
      <c r="AR412" s="117" t="str">
        <f>IF(NOT(AP412),"",IF(AL412="p",AG413,AG412))</f>
        <v/>
      </c>
      <c r="AT412" s="115" t="b">
        <f t="shared" si="215"/>
        <v>0</v>
      </c>
      <c r="AU412" s="115" t="b">
        <f>AND(ASZTAB!$AJ$42,AT412,F412=H412)</f>
        <v>0</v>
      </c>
      <c r="AV412" s="115" t="b">
        <f t="shared" si="216"/>
        <v>0</v>
      </c>
      <c r="AW412" s="116" t="str">
        <f t="shared" si="217"/>
        <v/>
      </c>
      <c r="AX412" s="117" t="str">
        <f t="shared" si="218"/>
        <v/>
      </c>
      <c r="AY412" s="116" t="str">
        <f>IF(OR(AY411="",NOT(AV412)),"",IF(AG412=AW412,X416,0)+AY411)</f>
        <v/>
      </c>
      <c r="AZ412" s="116" t="str">
        <f>IF(OR(AZ411="",NOT(AV412)),"",IF(AG413=AW412,X416,0)+AZ411)</f>
        <v/>
      </c>
      <c r="BD412" s="142"/>
      <c r="BI412" s="118"/>
      <c r="BK412" s="99"/>
      <c r="BM412" s="119"/>
    </row>
    <row r="413" spans="1:66" ht="15" customHeight="1" x14ac:dyDescent="0.3">
      <c r="A413" s="864"/>
      <c r="B413" s="7"/>
      <c r="C413" s="106">
        <v>3</v>
      </c>
      <c r="D413" s="137"/>
      <c r="E413" s="107" t="str">
        <f t="shared" si="211"/>
        <v/>
      </c>
      <c r="F413" s="108"/>
      <c r="G413" s="64" t="str">
        <f t="shared" si="212"/>
        <v/>
      </c>
      <c r="H413" s="109"/>
      <c r="I413" s="110" t="str">
        <f t="shared" si="213"/>
        <v/>
      </c>
      <c r="J413" s="111"/>
      <c r="K413" s="112" t="str">
        <f t="shared" si="214"/>
        <v/>
      </c>
      <c r="L413" s="113"/>
      <c r="M413" s="153" t="str">
        <f t="shared" si="219"/>
        <v/>
      </c>
      <c r="N413" s="110"/>
      <c r="O413" s="140"/>
      <c r="P413" s="114"/>
      <c r="Q413" s="114"/>
      <c r="R413" s="114"/>
      <c r="S413" s="114"/>
      <c r="W413" s="15" t="s">
        <v>313</v>
      </c>
      <c r="X413" s="18"/>
      <c r="Y413" s="72"/>
      <c r="Z413" s="72"/>
      <c r="AA413" s="72"/>
      <c r="AB413" s="18"/>
      <c r="AC413" s="18"/>
      <c r="AD413" s="14" t="str">
        <f ca="1">IF(NOT(AJ413),"",IF(X413=$BE$45,VLOOKUP(AA413,INDIRECT(CONCATENATE("rank.",Y413,Z413)),2,FALSE),VLOOKUP(CONCATENATE(AB413,AC413),result.e,2,FALSE)))</f>
        <v/>
      </c>
      <c r="AE413" s="18"/>
      <c r="AF413" s="120" t="str">
        <f ca="1">IF(OR(AD413="",X413=$BE$45),"",VLOOKUP(AD413,INDIRECT(CONCATENATE("rankname.",AE413)),2,FALSE))</f>
        <v/>
      </c>
      <c r="AG413" s="14" t="str">
        <f ca="1">IF(AD413="","",IF(X413=$BE$45,AD413,IF(AF412&gt;AF413,AD412,AD413)))</f>
        <v/>
      </c>
      <c r="AH413" s="120">
        <f>MAX(AZ410:AZ417)</f>
        <v>0</v>
      </c>
      <c r="AJ413" s="21" t="b">
        <f>IF(X413=$BE$45,IF(OR(Y413="",Z413="",AA413=""),FALSE,VLOOKUP(CONCATENATE(Y413,Z413),$BD$59:$BE$63,2,FALSE)),IF(OR(AB413="",AC413="",AE413=""),FALSE,VLOOKUP(CONCATENATE(AB413,"e"),result.e,2,FALSE)))</f>
        <v>0</v>
      </c>
      <c r="AL413" s="18" t="s">
        <v>318</v>
      </c>
      <c r="AP413" s="115" t="b">
        <f>AND(AP412,AL413&lt;&gt;"",(COUNTIF(AP411:AP412,"IGAZ")-COUNTIF(AV411:AV412,"IGAZ"))*X416+MAX(AY410:AZ412)&lt;X415)</f>
        <v>0</v>
      </c>
      <c r="AQ413" s="116" t="str">
        <f>IF(NOT(AP413),"",IF(AL413="p",AG412,AG413))</f>
        <v/>
      </c>
      <c r="AR413" s="117" t="str">
        <f>IF(NOT(AP413),"",IF(AL413="p",AG413,AG412))</f>
        <v/>
      </c>
      <c r="AT413" s="115" t="b">
        <f t="shared" si="215"/>
        <v>0</v>
      </c>
      <c r="AU413" s="115" t="b">
        <f>AND(ASZTAB!$AJ$42,AT413,F413=H413)</f>
        <v>0</v>
      </c>
      <c r="AV413" s="115" t="b">
        <f t="shared" si="216"/>
        <v>0</v>
      </c>
      <c r="AW413" s="116" t="str">
        <f t="shared" si="217"/>
        <v/>
      </c>
      <c r="AX413" s="117" t="str">
        <f t="shared" si="218"/>
        <v/>
      </c>
      <c r="AY413" s="116" t="str">
        <f>IF(OR(AY412="",NOT(AV413)),"",IF(AG412=AW413,X416,0)+AY412)</f>
        <v/>
      </c>
      <c r="AZ413" s="116" t="str">
        <f>IF(OR(AZ412="",NOT(AV413)),"",IF(AG413=AW413,X416,0)+AZ412)</f>
        <v/>
      </c>
      <c r="BD413" s="142"/>
      <c r="BI413" s="118"/>
      <c r="BM413" s="119"/>
      <c r="BN413" s="119"/>
    </row>
    <row r="414" spans="1:66" ht="15" customHeight="1" x14ac:dyDescent="0.3">
      <c r="A414" s="864"/>
      <c r="B414" s="7"/>
      <c r="C414" s="106">
        <v>4</v>
      </c>
      <c r="D414" s="137"/>
      <c r="E414" s="107" t="str">
        <f t="shared" si="211"/>
        <v/>
      </c>
      <c r="F414" s="108"/>
      <c r="G414" s="64" t="str">
        <f t="shared" si="212"/>
        <v/>
      </c>
      <c r="H414" s="109"/>
      <c r="I414" s="110" t="str">
        <f t="shared" si="213"/>
        <v/>
      </c>
      <c r="J414" s="111"/>
      <c r="K414" s="112" t="str">
        <f t="shared" si="214"/>
        <v/>
      </c>
      <c r="L414" s="113"/>
      <c r="M414" s="153" t="str">
        <f t="shared" si="219"/>
        <v/>
      </c>
      <c r="N414" s="110"/>
      <c r="O414" s="140"/>
      <c r="P414" s="114"/>
      <c r="Q414" s="114"/>
      <c r="AL414" s="18" t="s">
        <v>331</v>
      </c>
      <c r="AP414" s="115" t="b">
        <f>AND(AP413,AL414&lt;&gt;"",(COUNTIF(AP411:AP413,"IGAZ")-COUNTIF(AV411:AV413,"IGAZ"))*X416+MAX(AY410:AZ413)&lt;X415)</f>
        <v>0</v>
      </c>
      <c r="AQ414" s="116" t="str">
        <f>IF(NOT(AP414),"",IF(AL414="p",AG412,AG413))</f>
        <v/>
      </c>
      <c r="AR414" s="117" t="str">
        <f>IF(NOT(AP414),"",IF(AL414="p",AG413,AG412))</f>
        <v/>
      </c>
      <c r="AT414" s="115" t="b">
        <f t="shared" si="215"/>
        <v>0</v>
      </c>
      <c r="AU414" s="115" t="b">
        <f>AND(ASZTAB!$AJ$42,AT414,F414=H414)</f>
        <v>0</v>
      </c>
      <c r="AV414" s="115" t="b">
        <f t="shared" si="216"/>
        <v>0</v>
      </c>
      <c r="AW414" s="116" t="str">
        <f t="shared" si="217"/>
        <v/>
      </c>
      <c r="AX414" s="117" t="str">
        <f t="shared" si="218"/>
        <v/>
      </c>
      <c r="AY414" s="116" t="str">
        <f>IF(OR(AY413="",NOT(AV414)),"",IF(AG412=AW414,X416,0)+AY413)</f>
        <v/>
      </c>
      <c r="AZ414" s="116" t="str">
        <f>IF(OR(AZ413="",NOT(AV414)),"",IF(AG413=AW414,X416,0)+AZ413)</f>
        <v/>
      </c>
      <c r="BD414" s="142"/>
      <c r="BI414" s="118"/>
      <c r="BM414" s="119"/>
    </row>
    <row r="415" spans="1:66" ht="15" customHeight="1" x14ac:dyDescent="0.3">
      <c r="A415" s="864"/>
      <c r="B415" s="121"/>
      <c r="C415" s="106">
        <v>5</v>
      </c>
      <c r="D415" s="137"/>
      <c r="E415" s="107" t="str">
        <f t="shared" si="211"/>
        <v/>
      </c>
      <c r="F415" s="108"/>
      <c r="G415" s="64" t="str">
        <f t="shared" si="212"/>
        <v/>
      </c>
      <c r="H415" s="109"/>
      <c r="I415" s="110" t="str">
        <f t="shared" si="213"/>
        <v/>
      </c>
      <c r="J415" s="111"/>
      <c r="K415" s="112" t="str">
        <f t="shared" si="214"/>
        <v/>
      </c>
      <c r="L415" s="113"/>
      <c r="M415" s="153" t="str">
        <f t="shared" si="219"/>
        <v/>
      </c>
      <c r="N415" s="110"/>
      <c r="O415" s="140"/>
      <c r="P415" s="114"/>
      <c r="Q415" s="114"/>
      <c r="R415" s="114"/>
      <c r="S415" s="114"/>
      <c r="W415" s="15" t="s">
        <v>315</v>
      </c>
      <c r="X415" s="18">
        <v>3</v>
      </c>
      <c r="AD415" s="15"/>
      <c r="AE415" s="15" t="s">
        <v>312</v>
      </c>
      <c r="AF415" s="15" t="str">
        <f>CONCATENATE(V409,"f")</f>
        <v>24f</v>
      </c>
      <c r="AG415" s="16" t="str">
        <f>IF(OR(NOT(AJ412),NOT(AJ413)),"",AD412)</f>
        <v/>
      </c>
      <c r="AH415" s="23" t="str">
        <f>IF(OR(NOT(AJ412),NOT(AJ413)),"",VLOOKUP(AG415,AG412:AH413,2,FALSE))</f>
        <v/>
      </c>
      <c r="AL415" s="18" t="s">
        <v>318</v>
      </c>
      <c r="AP415" s="115" t="b">
        <f>AND(AP414,AL415&lt;&gt;"",(COUNTIF(AP411:AP414,"IGAZ")-COUNTIF(AV411:AV414,"IGAZ"))*X416+MAX(AY410:AZ414)&lt;X415)</f>
        <v>0</v>
      </c>
      <c r="AQ415" s="116" t="str">
        <f>IF(NOT(AP415),"",IF(AL415="p",AG412,AG413))</f>
        <v/>
      </c>
      <c r="AR415" s="117" t="str">
        <f>IF(NOT(AP415),"",IF(AL415="p",AG413,AG412))</f>
        <v/>
      </c>
      <c r="AT415" s="115" t="b">
        <f t="shared" si="215"/>
        <v>0</v>
      </c>
      <c r="AU415" s="115" t="b">
        <f>AND(ASZTAB!$AJ$42,AT415,F415=H415)</f>
        <v>0</v>
      </c>
      <c r="AV415" s="115" t="b">
        <f t="shared" si="216"/>
        <v>0</v>
      </c>
      <c r="AW415" s="116" t="str">
        <f t="shared" si="217"/>
        <v/>
      </c>
      <c r="AX415" s="117" t="str">
        <f t="shared" si="218"/>
        <v/>
      </c>
      <c r="AY415" s="116" t="str">
        <f>IF(OR(AY414="",NOT(AV415)),"",IF(AG412=AW415,X416,0)+AY414)</f>
        <v/>
      </c>
      <c r="AZ415" s="116" t="str">
        <f>IF(OR(AZ414="",NOT(AV415)),"",IF(AG413=AW415,X416,0)+AZ414)</f>
        <v/>
      </c>
      <c r="BD415" s="142"/>
      <c r="BI415" s="118"/>
      <c r="BK415" s="119"/>
      <c r="BL415" s="119"/>
      <c r="BM415" s="119"/>
    </row>
    <row r="416" spans="1:66" ht="15" customHeight="1" x14ac:dyDescent="0.3">
      <c r="A416" s="864"/>
      <c r="B416" s="122"/>
      <c r="C416" s="106">
        <v>6</v>
      </c>
      <c r="D416" s="137"/>
      <c r="E416" s="107" t="str">
        <f t="shared" si="211"/>
        <v/>
      </c>
      <c r="F416" s="108"/>
      <c r="G416" s="64" t="str">
        <f t="shared" si="212"/>
        <v/>
      </c>
      <c r="H416" s="109"/>
      <c r="I416" s="110" t="str">
        <f t="shared" si="213"/>
        <v/>
      </c>
      <c r="J416" s="111"/>
      <c r="K416" s="112" t="str">
        <f t="shared" si="214"/>
        <v/>
      </c>
      <c r="L416" s="113"/>
      <c r="M416" s="8" t="str">
        <f t="shared" si="219"/>
        <v/>
      </c>
      <c r="N416" s="123"/>
      <c r="O416" s="141"/>
      <c r="W416" s="15" t="s">
        <v>327</v>
      </c>
      <c r="X416" s="18">
        <v>1</v>
      </c>
      <c r="AD416" s="15"/>
      <c r="AE416" s="15" t="s">
        <v>313</v>
      </c>
      <c r="AF416" s="15" t="str">
        <f>CONCATENATE(V409,"a")</f>
        <v>24a</v>
      </c>
      <c r="AG416" s="16" t="str">
        <f>IF(OR(NOT(AJ412),NOT(AJ413)),"",AD413)</f>
        <v/>
      </c>
      <c r="AH416" s="23" t="str">
        <f>IF(OR(NOT(AJ412),NOT(AJ413)),"",VLOOKUP(AG416,AG412:AH413,2,FALSE))</f>
        <v/>
      </c>
      <c r="AL416" s="18" t="s">
        <v>331</v>
      </c>
      <c r="AP416" s="115" t="b">
        <f>AND(AP415,AL416&lt;&gt;"",(COUNTIF(AP411:AP415,"IGAZ")-COUNTIF(AV411:AV415,"IGAZ"))*X416+MAX(AY410:AZ415)&lt;X415)</f>
        <v>0</v>
      </c>
      <c r="AQ416" s="116" t="str">
        <f>IF(NOT(AP416),"",IF(AL416="p",AG412,AG413))</f>
        <v/>
      </c>
      <c r="AR416" s="117" t="str">
        <f>IF(NOT(AP416),"",IF(AL416="p",AG413,AG412))</f>
        <v/>
      </c>
      <c r="AT416" s="115" t="b">
        <f t="shared" si="215"/>
        <v>0</v>
      </c>
      <c r="AU416" s="115" t="b">
        <f>AND(ASZTAB!$AJ$42,AT416,F416=H416)</f>
        <v>0</v>
      </c>
      <c r="AV416" s="115" t="b">
        <f t="shared" si="216"/>
        <v>0</v>
      </c>
      <c r="AW416" s="116" t="str">
        <f t="shared" si="217"/>
        <v/>
      </c>
      <c r="AX416" s="117" t="str">
        <f t="shared" si="218"/>
        <v/>
      </c>
      <c r="AY416" s="116" t="str">
        <f>IF(OR(AY415="",NOT(AV416)),"",IF(AG412=AW416,X416,0)+AY415)</f>
        <v/>
      </c>
      <c r="AZ416" s="116" t="str">
        <f>IF(OR(AZ415="",NOT(AV416)),"",IF(AG413=AW416,X416,0)+AZ415)</f>
        <v/>
      </c>
      <c r="BD416" s="142"/>
      <c r="BI416" s="118"/>
      <c r="BK416" s="119"/>
      <c r="BL416" s="119"/>
      <c r="BM416" s="119"/>
    </row>
    <row r="417" spans="1:66" ht="15" customHeight="1" x14ac:dyDescent="0.3">
      <c r="A417" s="864"/>
      <c r="B417" s="122"/>
      <c r="C417" s="106">
        <v>7</v>
      </c>
      <c r="D417" s="137"/>
      <c r="E417" s="107" t="str">
        <f t="shared" si="211"/>
        <v/>
      </c>
      <c r="F417" s="108"/>
      <c r="G417" s="64" t="str">
        <f t="shared" si="212"/>
        <v/>
      </c>
      <c r="H417" s="109"/>
      <c r="I417" s="110" t="str">
        <f t="shared" si="213"/>
        <v/>
      </c>
      <c r="J417" s="111"/>
      <c r="K417" s="112" t="str">
        <f t="shared" si="214"/>
        <v/>
      </c>
      <c r="L417" s="113"/>
      <c r="M417" s="8" t="str">
        <f t="shared" si="219"/>
        <v/>
      </c>
      <c r="N417" s="123"/>
      <c r="O417" s="141"/>
      <c r="AE417" s="15" t="s">
        <v>316</v>
      </c>
      <c r="AF417" s="15" t="str">
        <f>CONCATENATE(V409,"w")</f>
        <v>24w</v>
      </c>
      <c r="AG417" s="16" t="str">
        <f>IF(AND(AJ412,AJ413),IF(MAX(AY411:AY417)&gt;=X415,AG412,IF(MAX(AZ411:AZ417)&gt;=X415,AG413,"")),"")</f>
        <v/>
      </c>
      <c r="AL417" s="18" t="s">
        <v>318</v>
      </c>
      <c r="AP417" s="115" t="b">
        <f>AND(AP416,AL417&lt;&gt;"",(COUNTIF(AP411:AP416,"IGAZ")-COUNTIF(AV411:AV416,"IGAZ"))*X416+MAX(AY410:AZ416)&lt;X415)</f>
        <v>0</v>
      </c>
      <c r="AQ417" s="116" t="str">
        <f>IF(NOT(AP417),"",IF(AL417="p",AG412,AG413))</f>
        <v/>
      </c>
      <c r="AR417" s="117" t="str">
        <f>IF(NOT(AP417),"",IF(AL417="p",AG413,AG412))</f>
        <v/>
      </c>
      <c r="AT417" s="115" t="b">
        <f t="shared" si="215"/>
        <v>0</v>
      </c>
      <c r="AU417" s="115" t="b">
        <f>AND(ASZTAB!$AJ$42,AT417,F417=H417)</f>
        <v>0</v>
      </c>
      <c r="AV417" s="115" t="b">
        <f t="shared" si="216"/>
        <v>0</v>
      </c>
      <c r="AW417" s="116" t="str">
        <f t="shared" si="217"/>
        <v/>
      </c>
      <c r="AX417" s="117" t="str">
        <f t="shared" si="218"/>
        <v/>
      </c>
      <c r="AY417" s="116" t="str">
        <f>IF(OR(AY416="",NOT(AV417)),"",IF(AG412=AW417,X416,0)+AY416)</f>
        <v/>
      </c>
      <c r="AZ417" s="116" t="str">
        <f>IF(OR(AZ416="",NOT(AV417)),"",IF(AG413=AW417,X416,0)+AZ416)</f>
        <v/>
      </c>
      <c r="BD417" s="142"/>
      <c r="BI417" s="118"/>
      <c r="BK417" s="119"/>
      <c r="BL417" s="119"/>
      <c r="BM417" s="119"/>
      <c r="BN417" s="119"/>
    </row>
    <row r="418" spans="1:66" ht="15" customHeight="1" x14ac:dyDescent="0.3">
      <c r="A418" s="864"/>
      <c r="B418" s="122"/>
      <c r="C418" s="106"/>
      <c r="D418" s="123"/>
      <c r="E418" s="124"/>
      <c r="F418" s="125"/>
      <c r="G418" s="123"/>
      <c r="H418" s="114"/>
      <c r="I418" s="123"/>
      <c r="J418" s="125"/>
      <c r="K418" s="123"/>
      <c r="L418" s="114"/>
      <c r="M418" s="123"/>
      <c r="N418" s="123"/>
      <c r="O418" s="123"/>
      <c r="AE418" s="15" t="s">
        <v>317</v>
      </c>
      <c r="AF418" s="15" t="str">
        <f>CONCATENATE(V409,"l")</f>
        <v>24l</v>
      </c>
      <c r="AG418" s="16" t="str">
        <f ca="1">IF(AG417=AG412,AG413,IF(AG413=AG417,AG412,""))</f>
        <v/>
      </c>
      <c r="AL418" s="126" t="s">
        <v>330</v>
      </c>
      <c r="BD418" s="142"/>
      <c r="BI418" s="118"/>
      <c r="BK418" s="119"/>
      <c r="BL418" s="119"/>
      <c r="BM418" s="119"/>
      <c r="BN418" s="119"/>
    </row>
    <row r="419" spans="1:66" ht="15" customHeight="1" x14ac:dyDescent="0.3">
      <c r="A419" s="864"/>
      <c r="B419" s="122"/>
      <c r="C419" s="127" t="s">
        <v>463</v>
      </c>
      <c r="D419" s="123"/>
      <c r="E419" s="124"/>
      <c r="F419" s="125"/>
      <c r="G419" s="123"/>
      <c r="H419" s="114"/>
      <c r="I419" s="123"/>
      <c r="J419" s="125"/>
      <c r="K419" s="123"/>
      <c r="L419" s="114"/>
      <c r="M419" s="123"/>
      <c r="N419" s="123"/>
      <c r="O419" s="123"/>
      <c r="Y419" s="11" t="s">
        <v>294</v>
      </c>
      <c r="Z419" s="70" t="s">
        <v>311</v>
      </c>
      <c r="AA419" s="70" t="s">
        <v>153</v>
      </c>
      <c r="AB419" s="70" t="s">
        <v>153</v>
      </c>
      <c r="AE419" s="15" t="s">
        <v>287</v>
      </c>
      <c r="AF419" s="15" t="str">
        <f>CONCATENATE(V409,"e")</f>
        <v>24e</v>
      </c>
      <c r="AG419" s="21" t="b">
        <f ca="1">AND(AG417&lt;&gt;"",AG418&lt;&gt;"")</f>
        <v>0</v>
      </c>
      <c r="BD419" s="15"/>
      <c r="BI419" s="118"/>
      <c r="BK419" s="119"/>
      <c r="BL419" s="119"/>
      <c r="BM419" s="119"/>
      <c r="BN419" s="119"/>
    </row>
    <row r="420" spans="1:66" ht="15" customHeight="1" x14ac:dyDescent="0.3">
      <c r="A420" s="864"/>
      <c r="B420" s="122"/>
      <c r="C420" s="865"/>
      <c r="D420" s="865"/>
      <c r="E420" s="865"/>
      <c r="F420" s="865"/>
      <c r="G420" s="865"/>
      <c r="H420" s="865"/>
      <c r="I420" s="865"/>
      <c r="J420" s="865"/>
      <c r="K420" s="865"/>
      <c r="L420" s="865"/>
      <c r="M420" s="865"/>
      <c r="N420" s="865"/>
      <c r="O420" s="865"/>
      <c r="W420" s="15" t="s">
        <v>319</v>
      </c>
      <c r="X420" s="18" t="b">
        <v>0</v>
      </c>
      <c r="Y420" s="72" t="s">
        <v>289</v>
      </c>
      <c r="Z420" s="16" t="str">
        <f ca="1">IF(AND(AJ412,AJ413,X420,Y420&lt;&gt;""),CONCATENATE(VLOOKUP(CONCATENATE(AG412,AG413),INDIRECT(CONCATENATE("games.",Y420)),9,FALSE),VLOOKUP(CONCATENATE(AG412,AG413),INDIRECT(CONCATENATE("games.",Y420)),12,FALSE)),"")</f>
        <v/>
      </c>
      <c r="AA420" s="16" t="str">
        <f ca="1">IF(AND(AJ412,AJ413,X420,Y420&lt;&gt;""),VLOOKUP(CONCATENATE(AG412,AG413),INDIRECT(CONCATENATE("games.",Y420)),10,FALSE),"")</f>
        <v/>
      </c>
      <c r="AB420" s="54" t="str">
        <f ca="1">IF(AND(AJ412,AJ413,X420,Y420&lt;&gt;""),VLOOKUP(CONCATENATE(AG412,AG413),INDIRECT(CONCATENATE("games.",Y420)),13,FALSE),"")</f>
        <v/>
      </c>
      <c r="BD420" s="15"/>
      <c r="BI420" s="118"/>
      <c r="BK420" s="119"/>
      <c r="BL420" s="119"/>
      <c r="BM420" s="119"/>
      <c r="BN420" s="119"/>
    </row>
    <row r="421" spans="1:66" ht="15" customHeight="1" x14ac:dyDescent="0.3">
      <c r="A421" s="864"/>
      <c r="B421" s="122"/>
      <c r="C421" s="866"/>
      <c r="D421" s="866"/>
      <c r="E421" s="866"/>
      <c r="F421" s="866"/>
      <c r="G421" s="866"/>
      <c r="H421" s="866"/>
      <c r="I421" s="866"/>
      <c r="J421" s="866"/>
      <c r="K421" s="866"/>
      <c r="L421" s="866"/>
      <c r="M421" s="866"/>
      <c r="N421" s="866"/>
      <c r="O421" s="866"/>
      <c r="Z421" s="16" t="str">
        <f ca="1">IF(AND(AJ412,AJ413,X420,Y420&lt;&gt;""),CONCATENATE(VLOOKUP(CONCATENATE(AG413,AG412),INDIRECT(CONCATENATE("games.",Y420)),9,FALSE),VLOOKUP(CONCATENATE(AG413,AG412),INDIRECT(CONCATENATE("games.",Y420)),12,FALSE)),"")</f>
        <v/>
      </c>
      <c r="AA421" s="16" t="str">
        <f ca="1">IF(AND(AJ412,AJ413,X420,Y420&lt;&gt;""),VLOOKUP(CONCATENATE(AG413,AG412),INDIRECT(CONCATENATE("games.",Y420)),10,FALSE),"")</f>
        <v/>
      </c>
      <c r="AB421" s="54" t="str">
        <f ca="1">IF(AND(AJ412,AJ413,X420,Y420&lt;&gt;""),VLOOKUP(CONCATENATE(AG413,AG412),INDIRECT(CONCATENATE("games.",Y420)),13,FALSE),"")</f>
        <v/>
      </c>
      <c r="BD421" s="15"/>
      <c r="BI421" s="118"/>
      <c r="BK421" s="119"/>
      <c r="BL421" s="119"/>
      <c r="BM421" s="119"/>
      <c r="BN421" s="119"/>
    </row>
    <row r="422" spans="1:66" ht="15" customHeight="1" x14ac:dyDescent="0.3">
      <c r="A422" s="864"/>
      <c r="B422" s="122"/>
      <c r="C422" s="866"/>
      <c r="D422" s="866"/>
      <c r="E422" s="866"/>
      <c r="F422" s="866"/>
      <c r="G422" s="866"/>
      <c r="H422" s="866"/>
      <c r="I422" s="866"/>
      <c r="J422" s="866"/>
      <c r="K422" s="866"/>
      <c r="L422" s="866"/>
      <c r="M422" s="866"/>
      <c r="N422" s="866"/>
      <c r="O422" s="866"/>
      <c r="BD422" s="15"/>
      <c r="BI422" s="118"/>
      <c r="BK422" s="119"/>
      <c r="BL422" s="119"/>
      <c r="BM422" s="119"/>
      <c r="BN422" s="119"/>
    </row>
    <row r="423" spans="1:66" ht="15" customHeight="1" x14ac:dyDescent="0.3">
      <c r="A423" s="864"/>
      <c r="B423" s="122"/>
      <c r="C423" s="106"/>
      <c r="D423" s="123"/>
      <c r="E423" s="124"/>
      <c r="F423" s="125"/>
      <c r="G423" s="123"/>
      <c r="H423" s="114"/>
      <c r="I423" s="123"/>
      <c r="J423" s="125"/>
      <c r="K423" s="123"/>
      <c r="L423" s="114"/>
      <c r="M423" s="123"/>
      <c r="N423" s="123"/>
      <c r="O423" s="123"/>
      <c r="U423" s="10"/>
      <c r="V423" s="128"/>
      <c r="W423" s="129"/>
      <c r="X423" s="10"/>
      <c r="Y423" s="130"/>
      <c r="Z423" s="130"/>
      <c r="AA423" s="130"/>
      <c r="AB423" s="130"/>
      <c r="AC423" s="130"/>
      <c r="AD423" s="130"/>
      <c r="AE423" s="130"/>
      <c r="AF423" s="130"/>
      <c r="AG423" s="130"/>
      <c r="AH423" s="130"/>
      <c r="AI423" s="130"/>
      <c r="AJ423" s="130"/>
      <c r="AK423" s="130"/>
      <c r="AL423" s="130"/>
      <c r="AM423" s="10"/>
      <c r="AO423" s="131"/>
      <c r="AP423" s="131"/>
      <c r="AQ423" s="132"/>
      <c r="AR423" s="132"/>
      <c r="AS423" s="132"/>
      <c r="AT423" s="131"/>
      <c r="AU423" s="131"/>
      <c r="AV423" s="131"/>
      <c r="AW423" s="132"/>
      <c r="AX423" s="132"/>
      <c r="AY423" s="131"/>
      <c r="AZ423" s="131"/>
      <c r="BA423" s="131"/>
      <c r="BD423" s="15"/>
      <c r="BI423" s="118"/>
      <c r="BK423" s="119"/>
      <c r="BL423" s="119"/>
      <c r="BM423" s="119"/>
      <c r="BN423" s="119"/>
    </row>
  </sheetData>
  <sheetProtection password="CE76" sheet="1" objects="1" scenarios="1" selectLockedCells="1" selectUnlockedCells="1"/>
  <mergeCells count="96">
    <mergeCell ref="A408:A423"/>
    <mergeCell ref="C420:O420"/>
    <mergeCell ref="C421:O421"/>
    <mergeCell ref="C422:O422"/>
    <mergeCell ref="A392:A407"/>
    <mergeCell ref="C404:O404"/>
    <mergeCell ref="C405:O405"/>
    <mergeCell ref="C406:O406"/>
    <mergeCell ref="A376:A391"/>
    <mergeCell ref="C388:O388"/>
    <mergeCell ref="C389:O389"/>
    <mergeCell ref="C390:O390"/>
    <mergeCell ref="A360:A375"/>
    <mergeCell ref="C372:O372"/>
    <mergeCell ref="C373:O373"/>
    <mergeCell ref="C374:O374"/>
    <mergeCell ref="A344:A359"/>
    <mergeCell ref="C356:O356"/>
    <mergeCell ref="C357:O357"/>
    <mergeCell ref="C358:O358"/>
    <mergeCell ref="A328:A343"/>
    <mergeCell ref="C340:O340"/>
    <mergeCell ref="C341:O341"/>
    <mergeCell ref="C342:O342"/>
    <mergeCell ref="A312:A327"/>
    <mergeCell ref="C324:O324"/>
    <mergeCell ref="C325:O325"/>
    <mergeCell ref="C326:O326"/>
    <mergeCell ref="A296:A311"/>
    <mergeCell ref="C308:O308"/>
    <mergeCell ref="C309:O309"/>
    <mergeCell ref="C310:O310"/>
    <mergeCell ref="A280:A295"/>
    <mergeCell ref="C292:O292"/>
    <mergeCell ref="C293:O293"/>
    <mergeCell ref="C294:O294"/>
    <mergeCell ref="A264:A279"/>
    <mergeCell ref="C276:O276"/>
    <mergeCell ref="C277:O277"/>
    <mergeCell ref="C278:O278"/>
    <mergeCell ref="A248:A263"/>
    <mergeCell ref="C260:O260"/>
    <mergeCell ref="C261:O261"/>
    <mergeCell ref="C262:O262"/>
    <mergeCell ref="A232:A247"/>
    <mergeCell ref="C244:O244"/>
    <mergeCell ref="C245:O245"/>
    <mergeCell ref="C246:O246"/>
    <mergeCell ref="A216:A231"/>
    <mergeCell ref="C228:O228"/>
    <mergeCell ref="C229:O229"/>
    <mergeCell ref="C230:O230"/>
    <mergeCell ref="A200:A215"/>
    <mergeCell ref="C212:O212"/>
    <mergeCell ref="C213:O213"/>
    <mergeCell ref="C214:O214"/>
    <mergeCell ref="A184:A199"/>
    <mergeCell ref="C196:O196"/>
    <mergeCell ref="C197:O197"/>
    <mergeCell ref="C198:O198"/>
    <mergeCell ref="A168:A183"/>
    <mergeCell ref="C180:O180"/>
    <mergeCell ref="C181:O181"/>
    <mergeCell ref="C182:O182"/>
    <mergeCell ref="A152:A167"/>
    <mergeCell ref="C164:O164"/>
    <mergeCell ref="C165:O165"/>
    <mergeCell ref="C166:O166"/>
    <mergeCell ref="A136:A151"/>
    <mergeCell ref="C148:O148"/>
    <mergeCell ref="C149:O149"/>
    <mergeCell ref="C150:O150"/>
    <mergeCell ref="A120:A135"/>
    <mergeCell ref="C132:O132"/>
    <mergeCell ref="C133:O133"/>
    <mergeCell ref="C134:O134"/>
    <mergeCell ref="A104:A119"/>
    <mergeCell ref="C116:O116"/>
    <mergeCell ref="C117:O117"/>
    <mergeCell ref="C118:O118"/>
    <mergeCell ref="A88:A103"/>
    <mergeCell ref="C100:O100"/>
    <mergeCell ref="C101:O101"/>
    <mergeCell ref="C102:O102"/>
    <mergeCell ref="A72:A87"/>
    <mergeCell ref="C84:O84"/>
    <mergeCell ref="C85:O85"/>
    <mergeCell ref="C86:O86"/>
    <mergeCell ref="A56:A71"/>
    <mergeCell ref="C68:O68"/>
    <mergeCell ref="C69:O69"/>
    <mergeCell ref="C70:O70"/>
    <mergeCell ref="A40:A55"/>
    <mergeCell ref="C52:O52"/>
    <mergeCell ref="C53:O53"/>
    <mergeCell ref="C54:O54"/>
  </mergeCells>
  <phoneticPr fontId="3" type="noConversion"/>
  <conditionalFormatting sqref="AB44:AC45 AE44:AE45 AE76:AE77 AE60:AE61 AB76:AC77 AB60:AC61 AE92:AE93 AE108:AE109 AE124:AE125 AE140:AE141 AE156:AE157 AE172:AE173 AE380:AE381 AE188:AE189 AE204:AE205 AE220:AE221 AE236:AE237 AE252:AE253 AE268:AE269 AE284:AE285 AE300:AE301 AE316:AE317 AE332:AE333 AE348:AE349 AE364:AE365 AB380:AC381 AE396:AE397 AB92:AC93 AB108:AC109 AB124:AC125 AB140:AC141 AB156:AC157 AB172:AC173 AB396:AC397 AB188:AC189 AB204:AC205 AB220:AC221 AB236:AC237 AB252:AC253 AB268:AC269 AB284:AC285 AB300:AC301 AB316:AC317 AB332:AC333 AB348:AC349 AB364:AC365 AE412:AE413 AB412:AC413">
    <cfRule type="expression" dxfId="48" priority="1" stopIfTrue="1">
      <formula>$X44=$BE$45</formula>
    </cfRule>
  </conditionalFormatting>
  <conditionalFormatting sqref="Y44:AA45 X47:X48 X63:X64 X79:X80 Y60:AA61 Y76:AA77 X95:X96 X111:X112 X127:X128 X143:X144 X159:X160 X175:X176 X383:X384 X191:X192 X207:X208 X223:X224 X239:X240 X255:X256 X271:X272 X287:X288 X303:X304 X319:X320 X335:X336 X351:X352 X367:X368 Y380:AA381 X399:X400 Y92:AA93 Y108:AA109 Y124:AA125 Y140:AA141 Y156:AA157 Y172:AA173 Y396:AA397 Y188:AA189 Y204:AA205 Y220:AA221 Y236:AA237 Y252:AA253 Y268:AA269 Y284:AA285 Y300:AA301 Y316:AA317 Y332:AA333 Y348:AA349 Y364:AA365 X415:X416 Y412:AA413">
    <cfRule type="expression" dxfId="47" priority="2" stopIfTrue="1">
      <formula>$X44=$BE$46</formula>
    </cfRule>
  </conditionalFormatting>
  <conditionalFormatting sqref="M43:M49 M59:M65 M75:M81 M91:M97 M107:M113 M123:M129 M139:M145 M155:M161 M171:M177 M395:M401 M187:M193 M203:M209 M219:M225 M235:M241 M251:M257 M267:M273 M283:M289 M299:M305 M315:M321 M331:M337 M347:M353 M363:M369 M379:M385 M411:M417">
    <cfRule type="expression" dxfId="46" priority="3" stopIfTrue="1">
      <formula>M44&lt;&gt;""</formula>
    </cfRule>
  </conditionalFormatting>
  <conditionalFormatting sqref="E43:E49 I43:I49 E59:E65 I59:I65 E75:E81 I75:I81 E91:E97 E107:E113 E123:E129 E139:E145 E155:E161 E171:E177 E379:E385 E187:E193 E203:E209 E219:E225 E235:E241 E251:E257 E267:E273 E283:E289 E299:E305 E315:E321 E331:E337 E347:E353 E363:E369 I379:I385 E395:E401 I91:I97 I107:I113 I123:I129 I139:I145 I155:I161 I171:I177 I395:I401 I187:I193 I203:I209 I219:I225 I235:I241 I251:I257 I267:I273 I283:I289 I299:I305 I315:I321 I331:I337 I347:I353 I363:I369 E411:E417 I411:I417">
    <cfRule type="expression" dxfId="45" priority="4" stopIfTrue="1">
      <formula>AND($D43&lt;=TODAY(),NOT($AV43),$AP43)</formula>
    </cfRule>
    <cfRule type="cellIs" dxfId="44" priority="5" stopIfTrue="1" operator="equal">
      <formula>$AW43</formula>
    </cfRule>
  </conditionalFormatting>
  <conditionalFormatting sqref="G43:G49 G59:G65 G75:G81 G91:G97 G107:G113 G123:G129 G139:G145 G155:G161 G171:G177 G395:G401 G187:G193 G203:G209 G219:G225 G235:G241 G251:G257 G267:G273 G283:G289 G299:G305 G315:G321 G331:G337 G347:G353 G363:G369 G379:G385 G411:G417">
    <cfRule type="expression" dxfId="43" priority="6" stopIfTrue="1">
      <formula>AND($D43&lt;=TODAY(),NOT($AV43),$AP43)</formula>
    </cfRule>
  </conditionalFormatting>
  <conditionalFormatting sqref="F43:F49 H43:H49 F59:F65 H59:H65 F75:F81 H75:H81 F91:F97 F107:F113 F123:F129 F139:F145 F155:F161 F171:F177 F379:F385 F187:F193 F203:F209 F219:F225 F235:F241 F251:F257 F267:F273 F283:F289 F299:F305 F315:F321 F331:F337 F347:F353 F363:F369 H379:H385 F395:F401 H91:H97 H107:H113 H123:H129 H139:H145 H155:H161 H171:H177 H395:H401 H187:H193 H203:H209 H219:H225 H235:H241 H251:H257 H267:H273 H283:H289 H299:H305 H315:H321 H331:H337 H347:H353 H363:H369 F411:F417 H411:H417">
    <cfRule type="expression" dxfId="42" priority="7" stopIfTrue="1">
      <formula>AND($D43&lt;=TODAY(),NOT($AV43),$AP43)</formula>
    </cfRule>
  </conditionalFormatting>
  <dataValidations count="13">
    <dataValidation type="list" allowBlank="1" showInputMessage="1" showErrorMessage="1" sqref="Y52 AE380:AE381 AE396:AE397 Y396:Y397 AE364:AE365 AE348:AE349 AE332:AE333 AE316:AE317 AE300:AE301 AE284:AE285 AE268:AE269 AE252:AE253 AE236:AE237 AE220:AE221 AE204:AE205 AE188:AE189 AE44:AE45 AE172:AE173 AE156:AE157 AE140:AE141 AE124:AE125 AE108:AE109 AE92:AE93 AE76:AE77 AE60:AE61 Y380:Y381 Y348:Y349 Y332:Y333 Y316:Y317 Y300:Y301 Y284:Y285 Y268:Y269 Y252:Y253 Y236:Y237 Y220:Y221 Y204:Y205 Y188:Y189 Y364:Y365 Y172:Y173 Y156:Y157 Y140:Y141 Y124:Y125 Y108:Y109 Y92:Y93 Y76:Y77 Y60:Y61 Y388 Y372 Y356 Y340 Y324 Y308 Y292 Y276 Y260 Y244 Y228 Y212 Y196 Y44:Y45 Y180 Y164 Y148 Y132 Y116 Y100 Y84 Y68 Y404 AE412:AE413 Y412:Y413 Y420">
      <formula1>$BE$42:$BE$43</formula1>
    </dataValidation>
    <dataValidation type="list" allowBlank="1" showInputMessage="1" showErrorMessage="1" sqref="X52 X404 X356 X340 X324 X308 X292 X276 X260 X244 X228 X212 X196 X372 X180 X164 X148 X132 X116 X100 X84 X68 X388 X420">
      <formula1>$BE$54:$BE$55</formula1>
    </dataValidation>
    <dataValidation type="list" allowBlank="1" showInputMessage="1" showErrorMessage="1" sqref="X44:X45 X396:X397 X348:X349 X332:X333 X316:X317 X300:X301 X284:X285 X268:X269 X252:X253 X236:X237 X220:X221 X204:X205 X188:X189 X364:X365 X172:X173 X156:X157 X140:X141 X124:X125 X108:X109 X92:X93 X76:X77 X60:X61 X380:X381 X412:X413">
      <formula1>$BE$45:$BE$46</formula1>
    </dataValidation>
    <dataValidation type="whole" allowBlank="1" showInputMessage="1" showErrorMessage="1" sqref="AB44:AB45 AB380:AB381 AB364:AB365 AB60:AB61 AB76:AB77 AB92:AB93 AB108:AB109 AB124:AB125 AB140:AB141 AB156:AB157 AB172:AB173 AB396:AB397 AB188:AB189 AB204:AB205 AB220:AB221 AB236:AB237 AB252:AB253 AB268:AB269 AB284:AB285 AB300:AB301 AB316:AB317 AB332:AB333 AB348:AB349 AB412:AB413">
      <formula1>1</formula1>
      <formula2>24</formula2>
    </dataValidation>
    <dataValidation type="list" allowBlank="1" showInputMessage="1" showErrorMessage="1" sqref="AC348:AC349 AC396:AC397 AC332:AC333 AC316:AC317 AC300:AC301 AC284:AC285 AC268:AC269 AC252:AC253 AC236:AC237 AC220:AC221 AC204:AC205 AC188:AC189 AC364:AC365 AC172:AC173 AC156:AC157 AC140:AC141 AC124:AC125 AC108:AC109 AC92:AC93 AC76:AC77 AC60:AC61 AC380:AC381 AC44:AC45 AC412:AC413">
      <formula1>$BE$48:$BE$49</formula1>
    </dataValidation>
    <dataValidation type="whole" allowBlank="1" showInputMessage="1" showErrorMessage="1" sqref="AA44:AA45 AA380:AA381 AA364:AA365 AA60:AA61 AA76:AA77 AA92:AA93 AA108:AA109 AA124:AA125 AA140:AA141 AA156:AA157 AA172:AA173 AA396:AA397 AA188:AA189 AA204:AA205 AA220:AA221 AA236:AA237 AA252:AA253 AA268:AA269 AA284:AA285 AA300:AA301 AA316:AA317 AA332:AA333 AA348:AA349 AA412:AA413">
      <formula1>1</formula1>
      <formula2>20</formula2>
    </dataValidation>
    <dataValidation type="whole" allowBlank="1" showInputMessage="1" showErrorMessage="1" sqref="X384 X368 X352 X336 X48 X64 X80 X96 X112 X128 X144 X160 X176 X400 X192 X208 X224 X240 X256 X272 X288 X304 X320 X416">
      <formula1>1</formula1>
      <formula2>8</formula2>
    </dataValidation>
    <dataValidation type="list" allowBlank="1" showInputMessage="1" showErrorMessage="1" sqref="AL43:AL49 AL395:AL401 AL347:AL353 AL331:AL337 AL315:AL321 AL299:AL305 AL283:AL289 AL267:AL273 AL251:AL257 AL235:AL241 AL219:AL225 AL203:AL209 AL187:AL193 AL363:AL369 AL171:AL177 AL155:AL161 AL139:AL145 AL123:AL129 AL107:AL113 AL91:AL97 AL75:AL81 AL59:AL65 AL379:AL385 AL411:AL417">
      <formula1>$BE$51:$BE$52</formula1>
    </dataValidation>
    <dataValidation type="list" allowBlank="1" showInputMessage="1" showErrorMessage="1" sqref="D43:D49 D395:D401 D379:D385 D363:D369 D347:D353 D331:D337 D315:D321 D299:D305 D283:D289 D267:D273 D251:D257 D235:D241 D219:D225 D203:D209 D187:D193 D59:D65 D171:D177 D155:D161 D139:D145 D123:D129 D107:D113 D91:D97 D75:D81 D411:D417">
      <formula1>INDIRECT($BI$42)</formula1>
    </dataValidation>
    <dataValidation type="whole" allowBlank="1" showInputMessage="1" showErrorMessage="1" sqref="F43:F49 H395:H401 H379:H385 H363:H369 H347:H353 H331:H337 H315:H321 H299:H305 H283:H289 H267:H273 H251:H257 H235:H241 H219:H225 H203:H209 H187:H193 F59:F65 H171:H177 H155:H161 H139:H145 H123:H129 H107:H113 H91:H97 H75:H81 F395:F401 F379:F385 F363:F369 F347:F353 F331:F337 F315:F321 F299:F305 F283:F289 F267:F273 F251:F257 F235:F241 F219:F225 F203:F209 F187:F193 H43:H49 F171:F177 F155:F161 F139:F145 F123:F129 F107:F113 F91:F97 F75:F81 H59:H65 H411:H417 F411:F417">
      <formula1>0</formula1>
      <formula2>IF(OR($BM$42,$BM$44),60,IF($BM$43,200,20))</formula2>
    </dataValidation>
    <dataValidation type="whole" allowBlank="1" showInputMessage="1" showErrorMessage="1" sqref="J43:J49 L395:L401 L379:L385 L363:L369 L347:L353 L331:L337 L315:L321 L299:L305 L283:L289 L267:L273 L251:L257 L235:L241 L219:L225 L203:L209 L187:L193 J59:J65 L171:L177 L155:L161 L139:L145 L123:L129 L107:L113 L91:L97 L75:L81 J395:J401 J379:J385 J363:J369 J347:J353 J331:J337 J315:J321 J299:J305 J283:J289 J267:J273 J251:J257 J235:J241 J219:J225 J203:J209 J187:J193 L43:L49 J171:J177 J155:J161 J139:J145 J123:J129 J107:J113 J91:J97 J75:J81 L59:L65 L411:L417 J411:J417">
      <formula1>0</formula1>
      <formula2>30</formula2>
    </dataValidation>
    <dataValidation type="whole" allowBlank="1" showInputMessage="1" showErrorMessage="1" sqref="Z44:Z45 Z60:Z61 Z76:Z77 Z92:Z93 Z108:Z109 Z124:Z125 Z140:Z141 Z156:Z157 Z172:Z173 Z396:Z397 Z188:Z189 Z204:Z205 Z220:Z221 Z236:Z237 Z252:Z253 Z268:Z269 Z284:Z285 Z300:Z301 Z316:Z317 Z332:Z333 Z348:Z349 Z364:Z365 Z380:Z381 Z412:Z413">
      <formula1>1</formula1>
      <formula2>3</formula2>
    </dataValidation>
    <dataValidation type="whole" allowBlank="1" showInputMessage="1" showErrorMessage="1" sqref="X47 X63 X79 X95 X111 X127 X143 X159 X175 X399 X191 X207 X223 X239 X255 X271 X287 X303 X319 X335 X351 X367 X383 X415">
      <formula1>1</formula1>
      <formula2>10</formula2>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8">
    <pageSetUpPr autoPageBreaks="0"/>
  </sheetPr>
  <dimension ref="A1:S99"/>
  <sheetViews>
    <sheetView showRowColHeaders="0" topLeftCell="W1" zoomScaleNormal="100" workbookViewId="0">
      <pane ySplit="39" topLeftCell="A40" activePane="bottomLeft" state="frozen"/>
      <selection pane="bottomLeft" activeCell="W100" sqref="W100"/>
    </sheetView>
  </sheetViews>
  <sheetFormatPr defaultColWidth="9.140625" defaultRowHeight="11.25" customHeight="1" x14ac:dyDescent="0.2"/>
  <cols>
    <col min="1" max="1" width="1.7109375" style="76" hidden="1" customWidth="1"/>
    <col min="2" max="2" width="3.42578125" style="77" hidden="1" customWidth="1"/>
    <col min="3" max="3" width="25.7109375" style="78" hidden="1" customWidth="1"/>
    <col min="4" max="4" width="4.28515625" style="78" hidden="1" customWidth="1"/>
    <col min="5" max="5" width="4.28515625" style="77" hidden="1" customWidth="1"/>
    <col min="6" max="6" width="4.28515625" style="79" hidden="1" customWidth="1"/>
    <col min="7" max="7" width="25.7109375" style="78" hidden="1" customWidth="1"/>
    <col min="8" max="8" width="4.28515625" style="78" hidden="1" customWidth="1"/>
    <col min="9" max="9" width="4.28515625" style="79" hidden="1" customWidth="1"/>
    <col min="10" max="10" width="4.28515625" style="78" hidden="1" customWidth="1"/>
    <col min="11" max="11" width="25.7109375" style="78" hidden="1" customWidth="1"/>
    <col min="12" max="14" width="4.28515625" style="79" hidden="1" customWidth="1"/>
    <col min="15" max="15" width="25.7109375" style="79" hidden="1" customWidth="1"/>
    <col min="16" max="17" width="4.28515625" style="79" hidden="1" customWidth="1"/>
    <col min="18" max="18" width="1.7109375" style="80" hidden="1" customWidth="1"/>
    <col min="19" max="19" width="1.85546875" style="80" hidden="1" customWidth="1"/>
    <col min="20" max="22" width="0" style="81" hidden="1" customWidth="1"/>
    <col min="23" max="16384" width="9.140625" style="81"/>
  </cols>
  <sheetData>
    <row r="1" spans="4:6" s="24" customFormat="1" ht="1.5" hidden="1" customHeight="1" x14ac:dyDescent="0.3">
      <c r="D1" s="25"/>
      <c r="E1" s="25"/>
      <c r="F1" s="25"/>
    </row>
    <row r="2" spans="4:6" s="24" customFormat="1" ht="0.75" hidden="1" customHeight="1" x14ac:dyDescent="0.3">
      <c r="D2" s="26"/>
      <c r="E2" s="27"/>
      <c r="F2" s="27"/>
    </row>
    <row r="3" spans="4:6" s="24" customFormat="1" ht="1.5" hidden="1" customHeight="1" x14ac:dyDescent="0.3">
      <c r="D3" s="28"/>
      <c r="E3" s="29"/>
      <c r="F3" s="30"/>
    </row>
    <row r="4" spans="4:6" s="24" customFormat="1" ht="0.75" hidden="1" customHeight="1" x14ac:dyDescent="0.3">
      <c r="D4" s="28"/>
      <c r="E4" s="29"/>
      <c r="F4" s="30"/>
    </row>
    <row r="5" spans="4:6" s="24" customFormat="1" ht="1.5" hidden="1" customHeight="1" x14ac:dyDescent="0.3">
      <c r="D5" s="28"/>
      <c r="E5" s="29"/>
      <c r="F5" s="30"/>
    </row>
    <row r="6" spans="4:6" s="24" customFormat="1" ht="0.75" hidden="1" customHeight="1" x14ac:dyDescent="0.3">
      <c r="D6" s="28"/>
      <c r="E6" s="29"/>
      <c r="F6" s="30"/>
    </row>
    <row r="7" spans="4:6" s="24" customFormat="1" ht="1.5" hidden="1" customHeight="1" x14ac:dyDescent="0.3">
      <c r="D7" s="28"/>
      <c r="E7" s="29"/>
      <c r="F7" s="30"/>
    </row>
    <row r="8" spans="4:6" s="24" customFormat="1" ht="0.75" hidden="1" customHeight="1" x14ac:dyDescent="0.3">
      <c r="D8" s="28"/>
      <c r="E8" s="29"/>
      <c r="F8" s="30"/>
    </row>
    <row r="9" spans="4:6" s="24" customFormat="1" ht="1.5" hidden="1" customHeight="1" x14ac:dyDescent="0.3">
      <c r="D9" s="28"/>
      <c r="E9" s="29"/>
      <c r="F9" s="30"/>
    </row>
    <row r="10" spans="4:6" s="24" customFormat="1" ht="0.75" hidden="1" customHeight="1" x14ac:dyDescent="0.3">
      <c r="D10" s="28"/>
      <c r="E10" s="29"/>
      <c r="F10" s="30"/>
    </row>
    <row r="11" spans="4:6" s="24" customFormat="1" ht="1.5" hidden="1" customHeight="1" x14ac:dyDescent="0.3">
      <c r="D11" s="28"/>
      <c r="E11" s="29"/>
      <c r="F11" s="30"/>
    </row>
    <row r="12" spans="4:6" s="24" customFormat="1" ht="0.75" hidden="1" customHeight="1" x14ac:dyDescent="0.3">
      <c r="D12" s="28"/>
      <c r="E12" s="29"/>
      <c r="F12" s="30"/>
    </row>
    <row r="13" spans="4:6" s="24" customFormat="1" ht="1.5" hidden="1" customHeight="1" x14ac:dyDescent="0.3">
      <c r="D13" s="28"/>
      <c r="E13" s="29"/>
      <c r="F13" s="30"/>
    </row>
    <row r="14" spans="4:6" s="24" customFormat="1" ht="0.75" hidden="1" customHeight="1" x14ac:dyDescent="0.3">
      <c r="D14" s="28"/>
      <c r="E14" s="29"/>
      <c r="F14" s="30"/>
    </row>
    <row r="15" spans="4:6" s="24" customFormat="1" ht="1.5" hidden="1" customHeight="1" x14ac:dyDescent="0.3">
      <c r="D15" s="28"/>
      <c r="E15" s="29"/>
      <c r="F15" s="30"/>
    </row>
    <row r="16" spans="4:6" s="24" customFormat="1" ht="0.75" hidden="1" customHeight="1" x14ac:dyDescent="0.3">
      <c r="D16" s="28"/>
      <c r="E16" s="29"/>
      <c r="F16" s="30"/>
    </row>
    <row r="17" spans="4:6" s="24" customFormat="1" ht="1.5" hidden="1" customHeight="1" x14ac:dyDescent="0.3">
      <c r="D17" s="28"/>
      <c r="E17" s="29"/>
      <c r="F17" s="30"/>
    </row>
    <row r="18" spans="4:6" s="24" customFormat="1" ht="0.75" hidden="1" customHeight="1" x14ac:dyDescent="0.3">
      <c r="D18" s="28"/>
      <c r="E18" s="29"/>
      <c r="F18" s="30"/>
    </row>
    <row r="19" spans="4:6" s="24" customFormat="1" ht="1.5" hidden="1" customHeight="1" x14ac:dyDescent="0.3">
      <c r="D19" s="28"/>
      <c r="E19" s="29"/>
      <c r="F19" s="30"/>
    </row>
    <row r="20" spans="4:6" s="24" customFormat="1" ht="0.75" hidden="1" customHeight="1" x14ac:dyDescent="0.3">
      <c r="D20" s="28"/>
      <c r="E20" s="29"/>
      <c r="F20" s="30"/>
    </row>
    <row r="21" spans="4:6" s="24" customFormat="1" ht="1.5" hidden="1" customHeight="1" x14ac:dyDescent="0.3">
      <c r="D21" s="28"/>
      <c r="E21" s="29"/>
      <c r="F21" s="30"/>
    </row>
    <row r="22" spans="4:6" s="24" customFormat="1" ht="0.75" hidden="1" customHeight="1" x14ac:dyDescent="0.3">
      <c r="D22" s="28"/>
      <c r="E22" s="29"/>
      <c r="F22" s="30"/>
    </row>
    <row r="23" spans="4:6" s="24" customFormat="1" ht="1.5" hidden="1" customHeight="1" x14ac:dyDescent="0.3">
      <c r="D23" s="28"/>
      <c r="E23" s="29"/>
      <c r="F23" s="30"/>
    </row>
    <row r="24" spans="4:6" s="24" customFormat="1" ht="0.75" hidden="1" customHeight="1" x14ac:dyDescent="0.3">
      <c r="D24" s="28"/>
      <c r="E24" s="29"/>
      <c r="F24" s="30"/>
    </row>
    <row r="25" spans="4:6" s="24" customFormat="1" ht="1.5" hidden="1" customHeight="1" x14ac:dyDescent="0.3">
      <c r="D25" s="28"/>
      <c r="E25" s="29"/>
      <c r="F25" s="30"/>
    </row>
    <row r="26" spans="4:6" s="24" customFormat="1" ht="0.75" hidden="1" customHeight="1" x14ac:dyDescent="0.3">
      <c r="D26" s="28"/>
      <c r="E26" s="29"/>
      <c r="F26" s="30"/>
    </row>
    <row r="27" spans="4:6" s="24" customFormat="1" ht="1.5" hidden="1" customHeight="1" x14ac:dyDescent="0.3">
      <c r="D27" s="28"/>
      <c r="E27" s="29"/>
      <c r="F27" s="30"/>
    </row>
    <row r="28" spans="4:6" s="24" customFormat="1" ht="0.75" hidden="1" customHeight="1" x14ac:dyDescent="0.3">
      <c r="D28" s="28"/>
      <c r="E28" s="29"/>
      <c r="F28" s="30"/>
    </row>
    <row r="29" spans="4:6" s="24" customFormat="1" ht="1.5" hidden="1" customHeight="1" x14ac:dyDescent="0.3">
      <c r="D29" s="28"/>
      <c r="E29" s="29"/>
      <c r="F29" s="30"/>
    </row>
    <row r="30" spans="4:6" s="24" customFormat="1" ht="0.75" hidden="1" customHeight="1" x14ac:dyDescent="0.3">
      <c r="D30" s="28"/>
      <c r="E30" s="29"/>
      <c r="F30" s="30"/>
    </row>
    <row r="31" spans="4:6" s="24" customFormat="1" ht="1.5" hidden="1" customHeight="1" x14ac:dyDescent="0.3">
      <c r="D31" s="28"/>
      <c r="E31" s="29"/>
      <c r="F31" s="30"/>
    </row>
    <row r="32" spans="4:6" s="24" customFormat="1" ht="0.75" hidden="1" customHeight="1" x14ac:dyDescent="0.3">
      <c r="D32" s="28"/>
      <c r="E32" s="29"/>
      <c r="F32" s="30"/>
    </row>
    <row r="33" spans="1:19" s="24" customFormat="1" ht="1.5" hidden="1" customHeight="1" x14ac:dyDescent="0.3">
      <c r="D33" s="28"/>
      <c r="E33" s="29"/>
      <c r="F33" s="30"/>
    </row>
    <row r="34" spans="1:19" s="24" customFormat="1" ht="0.75" hidden="1" customHeight="1" x14ac:dyDescent="0.3">
      <c r="D34" s="28"/>
      <c r="E34" s="29"/>
      <c r="F34" s="30"/>
    </row>
    <row r="35" spans="1:19" s="24" customFormat="1" ht="1.5" hidden="1" customHeight="1" x14ac:dyDescent="0.3">
      <c r="D35" s="28"/>
      <c r="E35" s="29"/>
      <c r="F35" s="30"/>
    </row>
    <row r="36" spans="1:19" s="24" customFormat="1" ht="0.75" hidden="1" customHeight="1" x14ac:dyDescent="0.3">
      <c r="D36" s="28"/>
      <c r="E36" s="29"/>
      <c r="F36" s="30"/>
    </row>
    <row r="37" spans="1:19" s="24" customFormat="1" ht="1.5" hidden="1" customHeight="1" x14ac:dyDescent="0.3">
      <c r="D37" s="28"/>
      <c r="E37" s="29"/>
      <c r="F37" s="30"/>
    </row>
    <row r="38" spans="1:19" s="24" customFormat="1" ht="0.75" hidden="1" customHeight="1" x14ac:dyDescent="0.3">
      <c r="D38" s="28"/>
      <c r="E38" s="29"/>
      <c r="F38" s="30"/>
    </row>
    <row r="39" spans="1:19" s="1" customFormat="1" ht="12" hidden="1" customHeight="1" x14ac:dyDescent="0.3">
      <c r="B39" s="31" t="s">
        <v>458</v>
      </c>
      <c r="C39" s="2"/>
      <c r="D39" s="3"/>
      <c r="E39" s="4"/>
      <c r="F39" s="5"/>
    </row>
    <row r="40" spans="1:19" ht="16.5" hidden="1" customHeight="1" x14ac:dyDescent="0.2"/>
    <row r="41" spans="1:19" s="68" customFormat="1" ht="16.5" hidden="1" customHeight="1" x14ac:dyDescent="0.3">
      <c r="A41" s="76"/>
      <c r="B41" s="122"/>
      <c r="C41" s="155" t="s">
        <v>435</v>
      </c>
      <c r="D41" s="155"/>
      <c r="E41" s="124"/>
      <c r="F41" s="124"/>
      <c r="G41" s="155" t="s">
        <v>336</v>
      </c>
      <c r="H41" s="155"/>
      <c r="I41" s="124"/>
      <c r="K41" s="155" t="s">
        <v>340</v>
      </c>
      <c r="L41" s="155"/>
      <c r="M41" s="124"/>
      <c r="N41" s="124"/>
      <c r="O41" s="124"/>
      <c r="P41" s="124"/>
      <c r="Q41" s="124"/>
      <c r="R41" s="136"/>
      <c r="S41" s="136"/>
    </row>
    <row r="42" spans="1:19" ht="16.5" hidden="1" customHeight="1" x14ac:dyDescent="0.2"/>
    <row r="43" spans="1:19" ht="16.5" hidden="1" customHeight="1" x14ac:dyDescent="0.2">
      <c r="C43" s="82" t="str">
        <f ca="1">IF(E43="","",VLOOKUP(CONCATENATE(E43,"f"),result.e,2,FALSE))</f>
        <v>BBK</v>
      </c>
      <c r="D43" s="83">
        <f ca="1">IF(E43="","",VLOOKUP(CONCATENATE(E43,"f"),result.e,3,FALSE))</f>
        <v>0</v>
      </c>
      <c r="E43" s="84">
        <v>1</v>
      </c>
    </row>
    <row r="44" spans="1:19" ht="16.5" hidden="1" customHeight="1" x14ac:dyDescent="0.2">
      <c r="C44" s="85" t="str">
        <f ca="1">IF(E44="","",VLOOKUP(CONCATENATE(E44,"a"),result.e,2,FALSE))</f>
        <v>Zrínyigyöngye</v>
      </c>
      <c r="D44" s="86">
        <f ca="1">IF(E44="","",VLOOKUP(CONCATENATE(E44,"a"),result.e,3,FALSE))</f>
        <v>0</v>
      </c>
      <c r="E44" s="87">
        <f>IF(E43="","",E43)</f>
        <v>1</v>
      </c>
    </row>
    <row r="45" spans="1:19" ht="16.5" hidden="1" customHeight="1" x14ac:dyDescent="0.2">
      <c r="G45" s="82" t="str">
        <f ca="1">IF(I45="","",VLOOKUP(CONCATENATE(I45,"f"),result.e,2,FALSE))</f>
        <v/>
      </c>
      <c r="H45" s="83" t="str">
        <f ca="1">IF(I45="","",VLOOKUP(CONCATENATE(I45,"f"),result.e,3,FALSE))</f>
        <v/>
      </c>
      <c r="I45" s="84">
        <v>5</v>
      </c>
      <c r="K45" s="82" t="str">
        <f ca="1">IF(M45="","",VLOOKUP(CONCATENATE(M45,"f"),result.e,2,FALSE))</f>
        <v/>
      </c>
      <c r="L45" s="83" t="str">
        <f ca="1">IF(M45="","",VLOOKUP(CONCATENATE(M45,"f"),result.e,3,FALSE))</f>
        <v/>
      </c>
      <c r="M45" s="84">
        <v>6</v>
      </c>
    </row>
    <row r="46" spans="1:19" ht="16.5" hidden="1" customHeight="1" x14ac:dyDescent="0.2">
      <c r="C46" s="81"/>
      <c r="D46" s="81"/>
      <c r="E46" s="81"/>
      <c r="G46" s="85" t="str">
        <f ca="1">IF(I46="","",VLOOKUP(CONCATENATE(I46,"a"),result.e,2,FALSE))</f>
        <v/>
      </c>
      <c r="H46" s="86" t="str">
        <f ca="1">IF(I46="","",VLOOKUP(CONCATENATE(I46,"a"),result.e,3,FALSE))</f>
        <v/>
      </c>
      <c r="I46" s="87">
        <f>IF(I45="","",I45)</f>
        <v>5</v>
      </c>
      <c r="K46" s="85" t="str">
        <f ca="1">IF(M46="","",VLOOKUP(CONCATENATE(M46,"a"),result.e,2,FALSE))</f>
        <v/>
      </c>
      <c r="L46" s="86" t="str">
        <f ca="1">IF(M46="","",VLOOKUP(CONCATENATE(M46,"a"),result.e,3,FALSE))</f>
        <v/>
      </c>
      <c r="M46" s="87">
        <f>IF(M45="","",M45)</f>
        <v>6</v>
      </c>
    </row>
    <row r="47" spans="1:19" ht="16.5" hidden="1" customHeight="1" x14ac:dyDescent="0.2">
      <c r="C47" s="82" t="str">
        <f ca="1">IF(E47="","",VLOOKUP(CONCATENATE(E47,"f"),result.e,2,FALSE))</f>
        <v>K&amp;H</v>
      </c>
      <c r="D47" s="83">
        <f ca="1">IF(E47="","",VLOOKUP(CONCATENATE(E47,"f"),result.e,3,FALSE))</f>
        <v>0</v>
      </c>
      <c r="E47" s="84">
        <v>2</v>
      </c>
    </row>
    <row r="48" spans="1:19" ht="16.5" hidden="1" customHeight="1" x14ac:dyDescent="0.2">
      <c r="C48" s="85" t="str">
        <f ca="1">IF(E48="","",VLOOKUP(CONCATENATE(E48,"a"),result.e,2,FALSE))</f>
        <v>BHD</v>
      </c>
      <c r="D48" s="86">
        <f ca="1">IF(E48="","",VLOOKUP(CONCATENATE(E48,"a"),result.e,3,FALSE))</f>
        <v>0</v>
      </c>
      <c r="E48" s="87">
        <f>IF(E47="","",E47)</f>
        <v>2</v>
      </c>
    </row>
    <row r="49" spans="1:19" ht="16.5" hidden="1" customHeight="1" x14ac:dyDescent="0.2"/>
    <row r="50" spans="1:19" ht="16.5" hidden="1" customHeight="1" x14ac:dyDescent="0.2"/>
    <row r="51" spans="1:19" ht="16.5" hidden="1" customHeight="1" x14ac:dyDescent="0.2"/>
    <row r="52" spans="1:19" ht="16.5" hidden="1" customHeight="1" x14ac:dyDescent="0.2"/>
    <row r="53" spans="1:19" s="68" customFormat="1" ht="16.5" hidden="1" customHeight="1" x14ac:dyDescent="0.3">
      <c r="A53" s="76"/>
      <c r="B53" s="122"/>
      <c r="C53" s="155" t="s">
        <v>341</v>
      </c>
      <c r="D53" s="155"/>
      <c r="E53" s="124"/>
      <c r="F53" s="124"/>
      <c r="G53" s="155" t="s">
        <v>342</v>
      </c>
      <c r="H53" s="155"/>
      <c r="I53" s="124"/>
      <c r="K53" s="155" t="s">
        <v>343</v>
      </c>
      <c r="L53" s="155"/>
      <c r="M53" s="124"/>
      <c r="N53" s="124"/>
      <c r="O53" s="124"/>
      <c r="P53" s="124"/>
      <c r="Q53" s="124"/>
      <c r="R53" s="136"/>
      <c r="S53" s="136"/>
    </row>
    <row r="54" spans="1:19" ht="16.5" hidden="1" customHeight="1" x14ac:dyDescent="0.2"/>
    <row r="55" spans="1:19" ht="16.5" hidden="1" customHeight="1" x14ac:dyDescent="0.2">
      <c r="C55" s="82" t="str">
        <f ca="1">IF(E55="","",VLOOKUP(CONCATENATE(E55,"f"),result.e,2,FALSE))</f>
        <v/>
      </c>
      <c r="D55" s="83" t="str">
        <f ca="1">IF(E55="","",VLOOKUP(CONCATENATE(E55,"f"),result.e,3,FALSE))</f>
        <v/>
      </c>
      <c r="E55" s="84">
        <v>3</v>
      </c>
    </row>
    <row r="56" spans="1:19" ht="16.5" hidden="1" customHeight="1" x14ac:dyDescent="0.2">
      <c r="C56" s="85" t="str">
        <f ca="1">IF(E56="","",VLOOKUP(CONCATENATE(E56,"a"),result.e,2,FALSE))</f>
        <v/>
      </c>
      <c r="D56" s="86" t="str">
        <f ca="1">IF(E56="","",VLOOKUP(CONCATENATE(E56,"a"),result.e,3,FALSE))</f>
        <v/>
      </c>
      <c r="E56" s="87">
        <f>IF(E55="","",E55)</f>
        <v>3</v>
      </c>
    </row>
    <row r="57" spans="1:19" ht="16.5" hidden="1" customHeight="1" x14ac:dyDescent="0.2">
      <c r="G57" s="82" t="str">
        <f ca="1">IF(I57="","",VLOOKUP(CONCATENATE(I57,"f"),result.e,2,FALSE))</f>
        <v/>
      </c>
      <c r="H57" s="83" t="str">
        <f ca="1">IF(I57="","",VLOOKUP(CONCATENATE(I57,"f"),result.e,3,FALSE))</f>
        <v/>
      </c>
      <c r="I57" s="84">
        <v>7</v>
      </c>
      <c r="K57" s="82" t="str">
        <f ca="1">IF(M57="","",VLOOKUP(CONCATENATE(M57,"f"),result.e,2,FALSE))</f>
        <v/>
      </c>
      <c r="L57" s="83" t="str">
        <f ca="1">IF(M57="","",VLOOKUP(CONCATENATE(M57,"f"),result.e,3,FALSE))</f>
        <v/>
      </c>
      <c r="M57" s="84">
        <v>8</v>
      </c>
    </row>
    <row r="58" spans="1:19" ht="16.5" hidden="1" customHeight="1" x14ac:dyDescent="0.2">
      <c r="C58" s="81"/>
      <c r="D58" s="81"/>
      <c r="E58" s="81"/>
      <c r="G58" s="85" t="str">
        <f ca="1">IF(I58="","",VLOOKUP(CONCATENATE(I58,"a"),result.e,2,FALSE))</f>
        <v/>
      </c>
      <c r="H58" s="86" t="str">
        <f ca="1">IF(I58="","",VLOOKUP(CONCATENATE(I58,"a"),result.e,3,FALSE))</f>
        <v/>
      </c>
      <c r="I58" s="87">
        <f>IF(I57="","",I57)</f>
        <v>7</v>
      </c>
      <c r="K58" s="85" t="str">
        <f ca="1">IF(M58="","",VLOOKUP(CONCATENATE(M58,"a"),result.e,2,FALSE))</f>
        <v/>
      </c>
      <c r="L58" s="86" t="str">
        <f ca="1">IF(M58="","",VLOOKUP(CONCATENATE(M58,"a"),result.e,3,FALSE))</f>
        <v/>
      </c>
      <c r="M58" s="87">
        <f>IF(M57="","",M57)</f>
        <v>8</v>
      </c>
    </row>
    <row r="59" spans="1:19" ht="16.5" hidden="1" customHeight="1" x14ac:dyDescent="0.2">
      <c r="C59" s="82" t="str">
        <f ca="1">IF(E59="","",VLOOKUP(CONCATENATE(E59,"f"),result.e,2,FALSE))</f>
        <v/>
      </c>
      <c r="D59" s="83" t="str">
        <f ca="1">IF(E59="","",VLOOKUP(CONCATENATE(E59,"f"),result.e,3,FALSE))</f>
        <v/>
      </c>
      <c r="E59" s="84">
        <v>4</v>
      </c>
    </row>
    <row r="60" spans="1:19" ht="16.5" hidden="1" customHeight="1" x14ac:dyDescent="0.2">
      <c r="C60" s="85" t="str">
        <f ca="1">IF(E60="","",VLOOKUP(CONCATENATE(E60,"a"),result.e,2,FALSE))</f>
        <v/>
      </c>
      <c r="D60" s="86" t="str">
        <f ca="1">IF(E60="","",VLOOKUP(CONCATENATE(E60,"a"),result.e,3,FALSE))</f>
        <v/>
      </c>
      <c r="E60" s="87">
        <f>IF(E59="","",E59)</f>
        <v>4</v>
      </c>
    </row>
    <row r="61" spans="1:19" ht="16.5" hidden="1" customHeight="1" x14ac:dyDescent="0.2"/>
    <row r="62" spans="1:19" ht="16.5" hidden="1" customHeight="1" x14ac:dyDescent="0.2"/>
    <row r="63" spans="1:19" ht="16.5" hidden="1" customHeight="1" x14ac:dyDescent="0.2"/>
    <row r="64" spans="1:19" ht="16.5" hidden="1" customHeight="1" x14ac:dyDescent="0.2"/>
    <row r="65" ht="16.5" hidden="1" customHeight="1" x14ac:dyDescent="0.2"/>
    <row r="66" ht="16.5" hidden="1" customHeight="1" x14ac:dyDescent="0.2"/>
    <row r="67" ht="16.5" hidden="1" customHeight="1" x14ac:dyDescent="0.2"/>
    <row r="68" ht="16.5" hidden="1" customHeight="1" x14ac:dyDescent="0.2"/>
    <row r="69" ht="16.5" hidden="1" customHeight="1" x14ac:dyDescent="0.2"/>
    <row r="70" ht="16.5" hidden="1" customHeight="1" x14ac:dyDescent="0.2"/>
    <row r="71" ht="16.5" hidden="1" customHeight="1" x14ac:dyDescent="0.2"/>
    <row r="72" ht="16.5" hidden="1" customHeight="1" x14ac:dyDescent="0.2"/>
    <row r="73" ht="16.5" hidden="1" customHeight="1" x14ac:dyDescent="0.2"/>
    <row r="74" ht="16.5" hidden="1" customHeight="1" x14ac:dyDescent="0.2"/>
    <row r="75" ht="16.5" hidden="1" customHeight="1" x14ac:dyDescent="0.2"/>
    <row r="76" ht="16.5" hidden="1" customHeight="1" x14ac:dyDescent="0.2"/>
    <row r="77" ht="16.5" hidden="1" customHeight="1" x14ac:dyDescent="0.2"/>
    <row r="78" ht="16.5" hidden="1" customHeight="1" x14ac:dyDescent="0.2"/>
    <row r="79" ht="16.5" hidden="1" customHeight="1" x14ac:dyDescent="0.2"/>
    <row r="80" ht="16.5" hidden="1" customHeight="1" x14ac:dyDescent="0.2"/>
    <row r="81" ht="16.5" hidden="1" customHeight="1" x14ac:dyDescent="0.2"/>
    <row r="82" ht="16.5" hidden="1" customHeight="1" x14ac:dyDescent="0.2"/>
    <row r="83" ht="16.5" hidden="1" customHeight="1" x14ac:dyDescent="0.2"/>
    <row r="84" ht="16.5" hidden="1" customHeight="1" x14ac:dyDescent="0.2"/>
    <row r="85" ht="16.5" hidden="1" customHeight="1" x14ac:dyDescent="0.2"/>
    <row r="86" ht="16.5" hidden="1" customHeight="1" x14ac:dyDescent="0.2"/>
    <row r="87" ht="16.5" hidden="1" customHeight="1" x14ac:dyDescent="0.2"/>
    <row r="88" ht="16.5" hidden="1" customHeight="1" x14ac:dyDescent="0.2"/>
    <row r="89" ht="16.5" hidden="1" customHeight="1" x14ac:dyDescent="0.2"/>
    <row r="90" ht="16.5" hidden="1" customHeight="1" x14ac:dyDescent="0.2"/>
    <row r="91" ht="16.5" hidden="1" customHeight="1" x14ac:dyDescent="0.2"/>
    <row r="92" ht="16.5" hidden="1" customHeight="1" x14ac:dyDescent="0.2"/>
    <row r="93" ht="16.5" hidden="1" customHeight="1" x14ac:dyDescent="0.2"/>
    <row r="94" ht="16.5" hidden="1" customHeight="1" x14ac:dyDescent="0.2"/>
    <row r="95" ht="11.25" hidden="1" customHeight="1" x14ac:dyDescent="0.2"/>
    <row r="96" ht="11.25" hidden="1" customHeight="1" x14ac:dyDescent="0.2"/>
    <row r="97" ht="11.25" hidden="1" customHeight="1" x14ac:dyDescent="0.2"/>
    <row r="98" ht="11.25" hidden="1" customHeight="1" x14ac:dyDescent="0.2"/>
    <row r="99" ht="11.25" hidden="1" customHeight="1" x14ac:dyDescent="0.2"/>
  </sheetData>
  <sheetProtection sheet="1" objects="1" scenarios="1" selectLockedCells="1" selectUnlockedCells="1"/>
  <phoneticPr fontId="3" type="noConversion"/>
  <conditionalFormatting sqref="C43:C44 C47:C48 G45:G46 K45:K46 C55:C56 C59:C60 G57:G58 K57:K58">
    <cfRule type="expression" dxfId="41" priority="1" stopIfTrue="1">
      <formula>C43=VLOOKUP(CONCATENATE(E43,"w"),result.e,2,FALSE)</formula>
    </cfRule>
  </conditionalFormatting>
  <conditionalFormatting sqref="D43:D44 D47:D48 H45:H46 L45:L46 D55:D56 D59:D60 H57:H58 L57:L58">
    <cfRule type="expression" dxfId="40" priority="2" stopIfTrue="1">
      <formula>C43=VLOOKUP(CONCATENATE(E43,"w"),result.e,2,FALSE)</formula>
    </cfRule>
  </conditionalFormatting>
  <dataValidations count="1">
    <dataValidation type="whole" allowBlank="1" showInputMessage="1" showErrorMessage="1" sqref="E47 I45 E43 M45 E59 I57 E55 M57">
      <formula1>1</formula1>
      <formula2>24</formula2>
    </dataValidation>
  </dataValidations>
  <pageMargins left="0.31496062992125984" right="0.31496062992125984" top="0.51181102362204722" bottom="0.51181102362204722"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9">
    <pageSetUpPr autoPageBreaks="0"/>
  </sheetPr>
  <dimension ref="A1:AT99"/>
  <sheetViews>
    <sheetView showRowColHeaders="0" topLeftCell="AU1" zoomScaleNormal="100" workbookViewId="0">
      <pane ySplit="39" topLeftCell="A40" activePane="bottomLeft" state="frozen"/>
      <selection pane="bottomLeft" activeCell="AU100" sqref="AU100"/>
    </sheetView>
  </sheetViews>
  <sheetFormatPr defaultColWidth="9.140625" defaultRowHeight="11.25" customHeight="1" x14ac:dyDescent="0.3"/>
  <cols>
    <col min="1" max="1" width="1.7109375" style="61" hidden="1" customWidth="1"/>
    <col min="2" max="2" width="5.7109375" style="62" hidden="1" customWidth="1"/>
    <col min="3" max="3" width="6.42578125" style="63" hidden="1" customWidth="1"/>
    <col min="4" max="4" width="37.140625" style="64" hidden="1" customWidth="1"/>
    <col min="5" max="6" width="3.85546875" style="64" hidden="1" customWidth="1"/>
    <col min="7" max="7" width="80.7109375" style="64" hidden="1" customWidth="1"/>
    <col min="8" max="8" width="4.5703125" style="64" hidden="1" customWidth="1"/>
    <col min="9" max="9" width="7" style="64" hidden="1" customWidth="1"/>
    <col min="10" max="10" width="7" style="65" hidden="1" customWidth="1"/>
    <col min="11" max="11" width="3.42578125" style="66" hidden="1" customWidth="1"/>
    <col min="12" max="12" width="3.5703125" style="6" hidden="1" customWidth="1"/>
    <col min="13" max="13" width="8.85546875" style="6" hidden="1" customWidth="1"/>
    <col min="14" max="19" width="3.5703125" style="6" hidden="1" customWidth="1"/>
    <col min="20" max="20" width="9.28515625" style="6" hidden="1" customWidth="1"/>
    <col min="21" max="21" width="23.85546875" style="6" hidden="1" customWidth="1"/>
    <col min="22" max="22" width="3.5703125" style="6" hidden="1" customWidth="1"/>
    <col min="23" max="23" width="3.42578125" style="66" hidden="1" customWidth="1"/>
    <col min="24" max="24" width="3" style="6" hidden="1" customWidth="1"/>
    <col min="25" max="25" width="14.7109375" style="6" hidden="1" customWidth="1"/>
    <col min="26" max="26" width="10.28515625" style="6" hidden="1" customWidth="1"/>
    <col min="27" max="27" width="3" style="6" hidden="1" customWidth="1"/>
    <col min="28" max="28" width="3.42578125" style="67" hidden="1" customWidth="1"/>
    <col min="29" max="29" width="3.5703125" style="6" hidden="1" customWidth="1"/>
    <col min="30" max="30" width="8.85546875" style="6" hidden="1" customWidth="1"/>
    <col min="31" max="36" width="3.5703125" style="6" hidden="1" customWidth="1"/>
    <col min="37" max="37" width="9.28515625" style="6" hidden="1" customWidth="1"/>
    <col min="38" max="38" width="3.5703125" style="6" hidden="1" customWidth="1"/>
    <col min="39" max="39" width="23.85546875" style="6" hidden="1" customWidth="1"/>
    <col min="40" max="45" width="3.5703125" style="6" hidden="1" customWidth="1"/>
    <col min="46" max="46" width="3.42578125" style="66" hidden="1" customWidth="1"/>
    <col min="47" max="16384" width="9.140625" style="68"/>
  </cols>
  <sheetData>
    <row r="1" spans="4:6" s="24" customFormat="1" ht="1.5" hidden="1" customHeight="1" x14ac:dyDescent="0.3">
      <c r="D1" s="25"/>
      <c r="E1" s="25"/>
      <c r="F1" s="25"/>
    </row>
    <row r="2" spans="4:6" s="24" customFormat="1" ht="0.75" hidden="1" customHeight="1" x14ac:dyDescent="0.3">
      <c r="D2" s="26"/>
      <c r="E2" s="27"/>
      <c r="F2" s="27"/>
    </row>
    <row r="3" spans="4:6" s="24" customFormat="1" ht="1.5" hidden="1" customHeight="1" x14ac:dyDescent="0.3">
      <c r="D3" s="28"/>
      <c r="E3" s="29"/>
      <c r="F3" s="30"/>
    </row>
    <row r="4" spans="4:6" s="24" customFormat="1" ht="0.75" hidden="1" customHeight="1" x14ac:dyDescent="0.3">
      <c r="D4" s="28"/>
      <c r="E4" s="29"/>
      <c r="F4" s="30"/>
    </row>
    <row r="5" spans="4:6" s="24" customFormat="1" ht="1.5" hidden="1" customHeight="1" x14ac:dyDescent="0.3">
      <c r="D5" s="28"/>
      <c r="E5" s="29"/>
      <c r="F5" s="30"/>
    </row>
    <row r="6" spans="4:6" s="24" customFormat="1" ht="0.75" hidden="1" customHeight="1" x14ac:dyDescent="0.3">
      <c r="D6" s="28"/>
      <c r="E6" s="29"/>
      <c r="F6" s="30"/>
    </row>
    <row r="7" spans="4:6" s="24" customFormat="1" ht="1.5" hidden="1" customHeight="1" x14ac:dyDescent="0.3">
      <c r="D7" s="28"/>
      <c r="E7" s="29"/>
      <c r="F7" s="30"/>
    </row>
    <row r="8" spans="4:6" s="24" customFormat="1" ht="0.75" hidden="1" customHeight="1" x14ac:dyDescent="0.3">
      <c r="D8" s="28"/>
      <c r="E8" s="29"/>
      <c r="F8" s="30"/>
    </row>
    <row r="9" spans="4:6" s="24" customFormat="1" ht="1.5" hidden="1" customHeight="1" x14ac:dyDescent="0.3">
      <c r="D9" s="28"/>
      <c r="E9" s="29"/>
      <c r="F9" s="30"/>
    </row>
    <row r="10" spans="4:6" s="24" customFormat="1" ht="0.75" hidden="1" customHeight="1" x14ac:dyDescent="0.3">
      <c r="D10" s="28"/>
      <c r="E10" s="29"/>
      <c r="F10" s="30"/>
    </row>
    <row r="11" spans="4:6" s="24" customFormat="1" ht="1.5" hidden="1" customHeight="1" x14ac:dyDescent="0.3">
      <c r="D11" s="28"/>
      <c r="E11" s="29"/>
      <c r="F11" s="30"/>
    </row>
    <row r="12" spans="4:6" s="24" customFormat="1" ht="0.75" hidden="1" customHeight="1" x14ac:dyDescent="0.3">
      <c r="D12" s="28"/>
      <c r="E12" s="29"/>
      <c r="F12" s="30"/>
    </row>
    <row r="13" spans="4:6" s="24" customFormat="1" ht="1.5" hidden="1" customHeight="1" x14ac:dyDescent="0.3">
      <c r="D13" s="28"/>
      <c r="E13" s="29"/>
      <c r="F13" s="30"/>
    </row>
    <row r="14" spans="4:6" s="24" customFormat="1" ht="0.75" hidden="1" customHeight="1" x14ac:dyDescent="0.3">
      <c r="D14" s="28"/>
      <c r="E14" s="29"/>
      <c r="F14" s="30"/>
    </row>
    <row r="15" spans="4:6" s="24" customFormat="1" ht="1.5" hidden="1" customHeight="1" x14ac:dyDescent="0.3">
      <c r="D15" s="28"/>
      <c r="E15" s="29"/>
      <c r="F15" s="30"/>
    </row>
    <row r="16" spans="4:6" s="24" customFormat="1" ht="0.75" hidden="1" customHeight="1" x14ac:dyDescent="0.3">
      <c r="D16" s="28"/>
      <c r="E16" s="29"/>
      <c r="F16" s="30"/>
    </row>
    <row r="17" spans="4:6" s="24" customFormat="1" ht="1.5" hidden="1" customHeight="1" x14ac:dyDescent="0.3">
      <c r="D17" s="28"/>
      <c r="E17" s="29"/>
      <c r="F17" s="30"/>
    </row>
    <row r="18" spans="4:6" s="24" customFormat="1" ht="0.75" hidden="1" customHeight="1" x14ac:dyDescent="0.3">
      <c r="D18" s="28"/>
      <c r="E18" s="29"/>
      <c r="F18" s="30"/>
    </row>
    <row r="19" spans="4:6" s="24" customFormat="1" ht="1.5" hidden="1" customHeight="1" x14ac:dyDescent="0.3">
      <c r="D19" s="28"/>
      <c r="E19" s="29"/>
      <c r="F19" s="30"/>
    </row>
    <row r="20" spans="4:6" s="24" customFormat="1" ht="0.75" hidden="1" customHeight="1" x14ac:dyDescent="0.3">
      <c r="D20" s="28"/>
      <c r="E20" s="29"/>
      <c r="F20" s="30"/>
    </row>
    <row r="21" spans="4:6" s="24" customFormat="1" ht="1.5" hidden="1" customHeight="1" x14ac:dyDescent="0.3">
      <c r="D21" s="28"/>
      <c r="E21" s="29"/>
      <c r="F21" s="30"/>
    </row>
    <row r="22" spans="4:6" s="24" customFormat="1" ht="0.75" hidden="1" customHeight="1" x14ac:dyDescent="0.3">
      <c r="D22" s="28"/>
      <c r="E22" s="29"/>
      <c r="F22" s="30"/>
    </row>
    <row r="23" spans="4:6" s="24" customFormat="1" ht="1.5" hidden="1" customHeight="1" x14ac:dyDescent="0.3">
      <c r="D23" s="28"/>
      <c r="E23" s="29"/>
      <c r="F23" s="30"/>
    </row>
    <row r="24" spans="4:6" s="24" customFormat="1" ht="0.75" hidden="1" customHeight="1" x14ac:dyDescent="0.3">
      <c r="D24" s="28"/>
      <c r="E24" s="29"/>
      <c r="F24" s="30"/>
    </row>
    <row r="25" spans="4:6" s="24" customFormat="1" ht="1.5" hidden="1" customHeight="1" x14ac:dyDescent="0.3">
      <c r="D25" s="28"/>
      <c r="E25" s="29"/>
      <c r="F25" s="30"/>
    </row>
    <row r="26" spans="4:6" s="24" customFormat="1" ht="0.75" hidden="1" customHeight="1" x14ac:dyDescent="0.3">
      <c r="D26" s="28"/>
      <c r="E26" s="29"/>
      <c r="F26" s="30"/>
    </row>
    <row r="27" spans="4:6" s="24" customFormat="1" ht="1.5" hidden="1" customHeight="1" x14ac:dyDescent="0.3">
      <c r="D27" s="28"/>
      <c r="E27" s="29"/>
      <c r="F27" s="30"/>
    </row>
    <row r="28" spans="4:6" s="24" customFormat="1" ht="0.75" hidden="1" customHeight="1" x14ac:dyDescent="0.3">
      <c r="D28" s="28"/>
      <c r="E28" s="29"/>
      <c r="F28" s="30"/>
    </row>
    <row r="29" spans="4:6" s="24" customFormat="1" ht="1.5" hidden="1" customHeight="1" x14ac:dyDescent="0.3">
      <c r="D29" s="28"/>
      <c r="E29" s="29"/>
      <c r="F29" s="30"/>
    </row>
    <row r="30" spans="4:6" s="24" customFormat="1" ht="0.75" hidden="1" customHeight="1" x14ac:dyDescent="0.3">
      <c r="D30" s="28"/>
      <c r="E30" s="29"/>
      <c r="F30" s="30"/>
    </row>
    <row r="31" spans="4:6" s="24" customFormat="1" ht="1.5" hidden="1" customHeight="1" x14ac:dyDescent="0.3">
      <c r="D31" s="28"/>
      <c r="E31" s="29"/>
      <c r="F31" s="30"/>
    </row>
    <row r="32" spans="4:6" s="24" customFormat="1" ht="0.75" hidden="1" customHeight="1" x14ac:dyDescent="0.3">
      <c r="D32" s="28"/>
      <c r="E32" s="29"/>
      <c r="F32" s="30"/>
    </row>
    <row r="33" spans="2:44" s="24" customFormat="1" ht="1.5" hidden="1" customHeight="1" x14ac:dyDescent="0.3">
      <c r="D33" s="28"/>
      <c r="E33" s="29"/>
      <c r="F33" s="30"/>
    </row>
    <row r="34" spans="2:44" s="24" customFormat="1" ht="0.75" hidden="1" customHeight="1" x14ac:dyDescent="0.3">
      <c r="D34" s="28"/>
      <c r="E34" s="29"/>
      <c r="F34" s="30"/>
    </row>
    <row r="35" spans="2:44" s="24" customFormat="1" ht="1.5" hidden="1" customHeight="1" x14ac:dyDescent="0.3">
      <c r="D35" s="28"/>
      <c r="E35" s="29"/>
      <c r="F35" s="30"/>
    </row>
    <row r="36" spans="2:44" s="24" customFormat="1" ht="0.75" hidden="1" customHeight="1" x14ac:dyDescent="0.3">
      <c r="D36" s="28"/>
      <c r="E36" s="29"/>
      <c r="F36" s="30"/>
    </row>
    <row r="37" spans="2:44" s="24" customFormat="1" ht="1.5" hidden="1" customHeight="1" x14ac:dyDescent="0.3">
      <c r="D37" s="28"/>
      <c r="E37" s="29"/>
      <c r="F37" s="30"/>
    </row>
    <row r="38" spans="2:44" s="24" customFormat="1" ht="0.75" hidden="1" customHeight="1" x14ac:dyDescent="0.3">
      <c r="D38" s="28"/>
      <c r="E38" s="29"/>
      <c r="F38" s="30"/>
    </row>
    <row r="39" spans="2:44" s="1" customFormat="1" ht="12" hidden="1" customHeight="1" x14ac:dyDescent="0.3">
      <c r="B39" s="31" t="s">
        <v>454</v>
      </c>
      <c r="C39" s="2"/>
      <c r="D39" s="3"/>
      <c r="E39" s="4"/>
      <c r="F39" s="5"/>
    </row>
    <row r="40" spans="2:44" ht="9" hidden="1" customHeight="1" x14ac:dyDescent="0.3"/>
    <row r="41" spans="2:44" ht="16.5" hidden="1" customHeight="1" x14ac:dyDescent="0.3">
      <c r="G41" s="69" t="s">
        <v>352</v>
      </c>
      <c r="M41" s="11" t="s">
        <v>306</v>
      </c>
      <c r="N41" s="11" t="s">
        <v>294</v>
      </c>
      <c r="O41" s="70" t="s">
        <v>295</v>
      </c>
      <c r="P41" s="70" t="s">
        <v>127</v>
      </c>
      <c r="Q41" s="70" t="s">
        <v>301</v>
      </c>
      <c r="R41" s="70" t="s">
        <v>302</v>
      </c>
      <c r="T41" s="71" t="s">
        <v>344</v>
      </c>
      <c r="U41" s="70" t="s">
        <v>303</v>
      </c>
      <c r="Y41" s="9" t="s">
        <v>290</v>
      </c>
      <c r="Z41" s="10"/>
      <c r="AD41" s="11" t="s">
        <v>306</v>
      </c>
      <c r="AE41" s="11" t="s">
        <v>294</v>
      </c>
      <c r="AF41" s="70" t="s">
        <v>295</v>
      </c>
      <c r="AG41" s="70" t="s">
        <v>127</v>
      </c>
      <c r="AH41" s="70" t="s">
        <v>301</v>
      </c>
      <c r="AI41" s="70" t="s">
        <v>302</v>
      </c>
      <c r="AK41" s="71" t="s">
        <v>344</v>
      </c>
      <c r="AL41" s="70" t="s">
        <v>127</v>
      </c>
      <c r="AM41" s="70" t="s">
        <v>303</v>
      </c>
      <c r="AN41" s="11" t="s">
        <v>294</v>
      </c>
      <c r="AO41" s="70" t="s">
        <v>356</v>
      </c>
      <c r="AR41" s="70" t="s">
        <v>303</v>
      </c>
    </row>
    <row r="42" spans="2:44" ht="16.5" hidden="1" customHeight="1" x14ac:dyDescent="0.3">
      <c r="C42" s="162">
        <v>1</v>
      </c>
      <c r="D42" s="163" t="str">
        <f ca="1">IF(U42="","",U42)</f>
        <v/>
      </c>
      <c r="G42" s="139"/>
      <c r="M42" s="18" t="s">
        <v>308</v>
      </c>
      <c r="N42" s="72"/>
      <c r="O42" s="72"/>
      <c r="P42" s="72"/>
      <c r="Q42" s="18">
        <v>5</v>
      </c>
      <c r="R42" s="18" t="s">
        <v>311</v>
      </c>
      <c r="T42" s="21" t="b">
        <f t="shared" ref="T42:T61" ca="1" si="0">IF(M42=$Z$46,IF(OR(N42="",O42="",P42=""),FALSE,VLOOKUP(CONCATENATE(N42,O42),$Y$57:$Z$62,2,FALSE)),IF(OR(Q42="",R42=""),FALSE,VLOOKUP(CONCATENATE(Q42,"e"),result.e,2,FALSE)))</f>
        <v>0</v>
      </c>
      <c r="U42" s="14" t="str">
        <f t="shared" ref="U42:U61" ca="1" si="1">IF(NOT(T42),"",IF(M42=$Z$46,VLOOKUP(P42,INDIRECT(CONCATENATE("rank.",N42,O42)),2,FALSE),VLOOKUP(CONCATENATE(Q42,R42),result.e,2,FALSE)))</f>
        <v/>
      </c>
      <c r="Y42" s="15" t="s">
        <v>292</v>
      </c>
      <c r="Z42" s="23" t="s">
        <v>289</v>
      </c>
      <c r="AD42" s="18"/>
      <c r="AE42" s="72"/>
      <c r="AF42" s="72"/>
      <c r="AG42" s="72"/>
      <c r="AH42" s="18"/>
      <c r="AI42" s="18"/>
      <c r="AK42" s="21" t="b">
        <f t="shared" ref="AK42:AK51" si="2">IF(AD42=$Z$46,IF(OR(AE42="",AF42="",AG42=""),FALSE,VLOOKUP(CONCATENATE(AE42,AF42),$Y$57:$Z$61,2,FALSE)),IF(OR(AH42="",AI42=""),FALSE,VLOOKUP(CONCATENATE(AH42,"e"),result.e,2,FALSE)))</f>
        <v>0</v>
      </c>
      <c r="AL42" s="23">
        <f ca="1">IF(OR(NOT(AK42),AN42=""),-50,-1*VLOOKUP(AM42,INDIRECT(CONCATENATE("rankname.",AN42)),2,FALSE))</f>
        <v>-50</v>
      </c>
      <c r="AM42" s="14" t="str">
        <f t="shared" ref="AM42:AM51" ca="1" si="3">IF(NOT(AK42),"",IF(AD42=$Z$46,VLOOKUP(AG42,INDIRECT(CONCATENATE("rank.",AE42,AF42)),2,FALSE),VLOOKUP(CONCATENATE(AH42,AI42),result.e,2,FALSE)))</f>
        <v/>
      </c>
      <c r="AN42" s="72"/>
      <c r="AO42" s="23">
        <f ca="1">LARGE($AL$42:$AL$51,AQ42)</f>
        <v>-50</v>
      </c>
      <c r="AQ42" s="6">
        <v>1</v>
      </c>
      <c r="AR42" s="54" t="str">
        <f ca="1">VLOOKUP(AO42,$AL$42:$AM$51,2,FALSE)</f>
        <v/>
      </c>
    </row>
    <row r="43" spans="2:44" ht="16.5" hidden="1" customHeight="1" x14ac:dyDescent="0.3">
      <c r="C43" s="63">
        <f>C42+1</f>
        <v>2</v>
      </c>
      <c r="D43" s="73" t="str">
        <f t="shared" ref="D43:D61" ca="1" si="4">IF(U43="","",U43)</f>
        <v/>
      </c>
      <c r="G43" s="140"/>
      <c r="M43" s="18" t="s">
        <v>308</v>
      </c>
      <c r="N43" s="72"/>
      <c r="O43" s="72"/>
      <c r="P43" s="72"/>
      <c r="Q43" s="18">
        <v>5</v>
      </c>
      <c r="R43" s="18" t="s">
        <v>154</v>
      </c>
      <c r="T43" s="21" t="b">
        <f t="shared" ca="1" si="0"/>
        <v>0</v>
      </c>
      <c r="U43" s="14" t="str">
        <f t="shared" ca="1" si="1"/>
        <v/>
      </c>
      <c r="Y43" s="15" t="s">
        <v>291</v>
      </c>
      <c r="Z43" s="23" t="s">
        <v>288</v>
      </c>
      <c r="AD43" s="18"/>
      <c r="AE43" s="72"/>
      <c r="AF43" s="72"/>
      <c r="AG43" s="72"/>
      <c r="AH43" s="18"/>
      <c r="AI43" s="18"/>
      <c r="AK43" s="21" t="b">
        <f t="shared" si="2"/>
        <v>0</v>
      </c>
      <c r="AL43" s="23">
        <f t="shared" ref="AL43:AL51" ca="1" si="5">IF(OR(NOT(AK43),AN43=""),-50,-1*VLOOKUP(AM43,INDIRECT(CONCATENATE("rankname.",AN43)),2,FALSE))</f>
        <v>-50</v>
      </c>
      <c r="AM43" s="14" t="str">
        <f t="shared" ca="1" si="3"/>
        <v/>
      </c>
      <c r="AN43" s="72"/>
      <c r="AO43" s="23">
        <f t="shared" ref="AO43:AO51" ca="1" si="6">LARGE($AL$42:$AL$51,AQ43)</f>
        <v>-50</v>
      </c>
      <c r="AQ43" s="6">
        <v>2</v>
      </c>
      <c r="AR43" s="54" t="str">
        <f t="shared" ref="AR43:AR51" ca="1" si="7">VLOOKUP(AO43,$AL$42:$AM$51,2,FALSE)</f>
        <v/>
      </c>
    </row>
    <row r="44" spans="2:44" ht="16.5" hidden="1" customHeight="1" x14ac:dyDescent="0.3">
      <c r="C44" s="63">
        <f t="shared" ref="C44:C61" si="8">C43+1</f>
        <v>3</v>
      </c>
      <c r="D44" s="73" t="str">
        <f t="shared" ca="1" si="4"/>
        <v/>
      </c>
      <c r="G44" s="140"/>
      <c r="M44" s="18" t="s">
        <v>308</v>
      </c>
      <c r="N44" s="72"/>
      <c r="O44" s="72"/>
      <c r="P44" s="72"/>
      <c r="Q44" s="18">
        <v>6</v>
      </c>
      <c r="R44" s="18" t="s">
        <v>311</v>
      </c>
      <c r="T44" s="21" t="b">
        <f t="shared" ca="1" si="0"/>
        <v>0</v>
      </c>
      <c r="U44" s="14" t="str">
        <f t="shared" ca="1" si="1"/>
        <v/>
      </c>
      <c r="Y44" s="15" t="s">
        <v>357</v>
      </c>
      <c r="Z44" s="23" t="s">
        <v>358</v>
      </c>
      <c r="AD44" s="18"/>
      <c r="AE44" s="72"/>
      <c r="AF44" s="72"/>
      <c r="AG44" s="72"/>
      <c r="AH44" s="18"/>
      <c r="AI44" s="18"/>
      <c r="AK44" s="21" t="b">
        <f t="shared" si="2"/>
        <v>0</v>
      </c>
      <c r="AL44" s="23">
        <f t="shared" ca="1" si="5"/>
        <v>-50</v>
      </c>
      <c r="AM44" s="14" t="str">
        <f t="shared" ca="1" si="3"/>
        <v/>
      </c>
      <c r="AN44" s="72"/>
      <c r="AO44" s="23">
        <f t="shared" ca="1" si="6"/>
        <v>-50</v>
      </c>
      <c r="AQ44" s="6">
        <v>3</v>
      </c>
      <c r="AR44" s="54" t="str">
        <f t="shared" ca="1" si="7"/>
        <v/>
      </c>
    </row>
    <row r="45" spans="2:44" ht="16.5" hidden="1" customHeight="1" x14ac:dyDescent="0.3">
      <c r="C45" s="63">
        <f t="shared" si="8"/>
        <v>4</v>
      </c>
      <c r="D45" s="73" t="str">
        <f t="shared" ca="1" si="4"/>
        <v/>
      </c>
      <c r="G45" s="140"/>
      <c r="M45" s="18" t="s">
        <v>308</v>
      </c>
      <c r="N45" s="72"/>
      <c r="O45" s="72"/>
      <c r="P45" s="72"/>
      <c r="Q45" s="18">
        <v>6</v>
      </c>
      <c r="R45" s="18" t="s">
        <v>154</v>
      </c>
      <c r="T45" s="21" t="b">
        <f t="shared" ca="1" si="0"/>
        <v>0</v>
      </c>
      <c r="U45" s="14" t="str">
        <f t="shared" ca="1" si="1"/>
        <v/>
      </c>
      <c r="AD45" s="18"/>
      <c r="AE45" s="72"/>
      <c r="AF45" s="72"/>
      <c r="AG45" s="72"/>
      <c r="AH45" s="18"/>
      <c r="AI45" s="18"/>
      <c r="AK45" s="21" t="b">
        <f t="shared" si="2"/>
        <v>0</v>
      </c>
      <c r="AL45" s="23">
        <f t="shared" ca="1" si="5"/>
        <v>-50</v>
      </c>
      <c r="AM45" s="14" t="str">
        <f t="shared" ca="1" si="3"/>
        <v/>
      </c>
      <c r="AN45" s="72"/>
      <c r="AO45" s="23">
        <f t="shared" ca="1" si="6"/>
        <v>-50</v>
      </c>
      <c r="AQ45" s="6">
        <v>4</v>
      </c>
      <c r="AR45" s="54" t="str">
        <f t="shared" ca="1" si="7"/>
        <v/>
      </c>
    </row>
    <row r="46" spans="2:44" ht="16.5" hidden="1" customHeight="1" x14ac:dyDescent="0.3">
      <c r="C46" s="63">
        <f t="shared" si="8"/>
        <v>5</v>
      </c>
      <c r="D46" s="73" t="str">
        <f t="shared" ca="1" si="4"/>
        <v/>
      </c>
      <c r="G46" s="140"/>
      <c r="M46" s="18" t="s">
        <v>307</v>
      </c>
      <c r="N46" s="72" t="s">
        <v>358</v>
      </c>
      <c r="O46" s="72">
        <v>1</v>
      </c>
      <c r="P46" s="72">
        <v>1</v>
      </c>
      <c r="Q46" s="18"/>
      <c r="R46" s="18"/>
      <c r="T46" s="21" t="b">
        <f t="shared" si="0"/>
        <v>0</v>
      </c>
      <c r="U46" s="14" t="str">
        <f t="shared" ca="1" si="1"/>
        <v/>
      </c>
      <c r="Y46" s="15" t="s">
        <v>304</v>
      </c>
      <c r="Z46" s="23" t="s">
        <v>307</v>
      </c>
      <c r="AD46" s="18"/>
      <c r="AE46" s="72"/>
      <c r="AF46" s="72"/>
      <c r="AG46" s="72"/>
      <c r="AH46" s="18"/>
      <c r="AI46" s="18"/>
      <c r="AK46" s="21" t="b">
        <f t="shared" si="2"/>
        <v>0</v>
      </c>
      <c r="AL46" s="23">
        <f t="shared" ca="1" si="5"/>
        <v>-50</v>
      </c>
      <c r="AM46" s="14" t="str">
        <f t="shared" ca="1" si="3"/>
        <v/>
      </c>
      <c r="AN46" s="72"/>
      <c r="AO46" s="23">
        <f t="shared" ca="1" si="6"/>
        <v>-50</v>
      </c>
      <c r="AQ46" s="6">
        <v>5</v>
      </c>
      <c r="AR46" s="54" t="str">
        <f t="shared" ca="1" si="7"/>
        <v/>
      </c>
    </row>
    <row r="47" spans="2:44" ht="16.5" hidden="1" customHeight="1" x14ac:dyDescent="0.3">
      <c r="C47" s="63">
        <f t="shared" si="8"/>
        <v>6</v>
      </c>
      <c r="D47" s="73" t="str">
        <f t="shared" ca="1" si="4"/>
        <v/>
      </c>
      <c r="G47" s="140"/>
      <c r="M47" s="18" t="s">
        <v>307</v>
      </c>
      <c r="N47" s="72" t="s">
        <v>358</v>
      </c>
      <c r="O47" s="72">
        <v>1</v>
      </c>
      <c r="P47" s="72">
        <v>2</v>
      </c>
      <c r="Q47" s="18"/>
      <c r="R47" s="18"/>
      <c r="T47" s="21" t="b">
        <f t="shared" si="0"/>
        <v>0</v>
      </c>
      <c r="U47" s="14" t="str">
        <f t="shared" ca="1" si="1"/>
        <v/>
      </c>
      <c r="Y47" s="15" t="s">
        <v>305</v>
      </c>
      <c r="Z47" s="23" t="s">
        <v>308</v>
      </c>
      <c r="AD47" s="18"/>
      <c r="AE47" s="72"/>
      <c r="AF47" s="72"/>
      <c r="AG47" s="72"/>
      <c r="AH47" s="18"/>
      <c r="AI47" s="18"/>
      <c r="AK47" s="21" t="b">
        <f t="shared" si="2"/>
        <v>0</v>
      </c>
      <c r="AL47" s="23">
        <f t="shared" ca="1" si="5"/>
        <v>-50</v>
      </c>
      <c r="AM47" s="14" t="str">
        <f t="shared" ca="1" si="3"/>
        <v/>
      </c>
      <c r="AN47" s="72"/>
      <c r="AO47" s="23">
        <f t="shared" ca="1" si="6"/>
        <v>-50</v>
      </c>
      <c r="AQ47" s="6">
        <v>6</v>
      </c>
      <c r="AR47" s="54" t="str">
        <f t="shared" ca="1" si="7"/>
        <v/>
      </c>
    </row>
    <row r="48" spans="2:44" ht="16.5" hidden="1" customHeight="1" x14ac:dyDescent="0.3">
      <c r="C48" s="63">
        <f t="shared" si="8"/>
        <v>7</v>
      </c>
      <c r="D48" s="73" t="str">
        <f t="shared" ca="1" si="4"/>
        <v/>
      </c>
      <c r="G48" s="140"/>
      <c r="M48" s="18" t="s">
        <v>307</v>
      </c>
      <c r="N48" s="72" t="s">
        <v>358</v>
      </c>
      <c r="O48" s="72">
        <v>1</v>
      </c>
      <c r="P48" s="72">
        <v>3</v>
      </c>
      <c r="Q48" s="18"/>
      <c r="R48" s="18"/>
      <c r="T48" s="21" t="b">
        <f t="shared" si="0"/>
        <v>0</v>
      </c>
      <c r="U48" s="14" t="str">
        <f t="shared" ca="1" si="1"/>
        <v/>
      </c>
      <c r="AD48" s="18"/>
      <c r="AE48" s="72"/>
      <c r="AF48" s="72"/>
      <c r="AG48" s="72"/>
      <c r="AH48" s="18"/>
      <c r="AI48" s="18"/>
      <c r="AK48" s="21" t="b">
        <f t="shared" si="2"/>
        <v>0</v>
      </c>
      <c r="AL48" s="23">
        <f t="shared" ca="1" si="5"/>
        <v>-50</v>
      </c>
      <c r="AM48" s="14" t="str">
        <f t="shared" ca="1" si="3"/>
        <v/>
      </c>
      <c r="AN48" s="72"/>
      <c r="AO48" s="23">
        <f t="shared" ca="1" si="6"/>
        <v>-50</v>
      </c>
      <c r="AQ48" s="6">
        <v>7</v>
      </c>
      <c r="AR48" s="54" t="str">
        <f t="shared" ca="1" si="7"/>
        <v/>
      </c>
    </row>
    <row r="49" spans="3:44" ht="16.5" hidden="1" customHeight="1" x14ac:dyDescent="0.3">
      <c r="C49" s="63">
        <f t="shared" si="8"/>
        <v>8</v>
      </c>
      <c r="D49" s="73" t="str">
        <f t="shared" ca="1" si="4"/>
        <v/>
      </c>
      <c r="G49" s="140"/>
      <c r="M49" s="18" t="s">
        <v>307</v>
      </c>
      <c r="N49" s="72" t="s">
        <v>358</v>
      </c>
      <c r="O49" s="72">
        <v>1</v>
      </c>
      <c r="P49" s="72">
        <v>4</v>
      </c>
      <c r="Q49" s="18"/>
      <c r="R49" s="18"/>
      <c r="T49" s="21" t="b">
        <f t="shared" si="0"/>
        <v>0</v>
      </c>
      <c r="U49" s="14" t="str">
        <f t="shared" ca="1" si="1"/>
        <v/>
      </c>
      <c r="Y49" s="15" t="s">
        <v>309</v>
      </c>
      <c r="Z49" s="23" t="s">
        <v>311</v>
      </c>
      <c r="AD49" s="18"/>
      <c r="AE49" s="72"/>
      <c r="AF49" s="72"/>
      <c r="AG49" s="72"/>
      <c r="AH49" s="18"/>
      <c r="AI49" s="18"/>
      <c r="AK49" s="21" t="b">
        <f t="shared" si="2"/>
        <v>0</v>
      </c>
      <c r="AL49" s="23">
        <f t="shared" ca="1" si="5"/>
        <v>-50</v>
      </c>
      <c r="AM49" s="14" t="str">
        <f t="shared" ca="1" si="3"/>
        <v/>
      </c>
      <c r="AN49" s="72"/>
      <c r="AO49" s="23">
        <f t="shared" ca="1" si="6"/>
        <v>-50</v>
      </c>
      <c r="AQ49" s="6">
        <v>8</v>
      </c>
      <c r="AR49" s="54" t="str">
        <f t="shared" ca="1" si="7"/>
        <v/>
      </c>
    </row>
    <row r="50" spans="3:44" ht="16.5" hidden="1" customHeight="1" x14ac:dyDescent="0.3">
      <c r="C50" s="63">
        <f t="shared" si="8"/>
        <v>9</v>
      </c>
      <c r="D50" s="73" t="str">
        <f t="shared" ca="1" si="4"/>
        <v>Vakana</v>
      </c>
      <c r="G50" s="140"/>
      <c r="M50" s="18" t="s">
        <v>307</v>
      </c>
      <c r="N50" s="72" t="s">
        <v>288</v>
      </c>
      <c r="O50" s="72">
        <v>2</v>
      </c>
      <c r="P50" s="72">
        <v>1</v>
      </c>
      <c r="Q50" s="18"/>
      <c r="R50" s="18"/>
      <c r="T50" s="21" t="b">
        <f t="shared" ca="1" si="0"/>
        <v>1</v>
      </c>
      <c r="U50" s="14" t="str">
        <f t="shared" ca="1" si="1"/>
        <v>Vakana</v>
      </c>
      <c r="Y50" s="15" t="s">
        <v>310</v>
      </c>
      <c r="Z50" s="23" t="s">
        <v>154</v>
      </c>
      <c r="AD50" s="18"/>
      <c r="AE50" s="72"/>
      <c r="AF50" s="72"/>
      <c r="AG50" s="72"/>
      <c r="AH50" s="18"/>
      <c r="AI50" s="18"/>
      <c r="AK50" s="21" t="b">
        <f t="shared" si="2"/>
        <v>0</v>
      </c>
      <c r="AL50" s="23">
        <f t="shared" ca="1" si="5"/>
        <v>-50</v>
      </c>
      <c r="AM50" s="14" t="str">
        <f t="shared" ca="1" si="3"/>
        <v/>
      </c>
      <c r="AN50" s="72"/>
      <c r="AO50" s="23">
        <f t="shared" ca="1" si="6"/>
        <v>-50</v>
      </c>
      <c r="AQ50" s="6">
        <v>9</v>
      </c>
      <c r="AR50" s="54" t="str">
        <f t="shared" ca="1" si="7"/>
        <v/>
      </c>
    </row>
    <row r="51" spans="3:44" ht="16.5" hidden="1" customHeight="1" x14ac:dyDescent="0.3">
      <c r="C51" s="63">
        <f t="shared" si="8"/>
        <v>10</v>
      </c>
      <c r="D51" s="73" t="str">
        <f t="shared" ca="1" si="4"/>
        <v>Bakafogó-Honvéd-Sashegy SE</v>
      </c>
      <c r="G51" s="140"/>
      <c r="M51" s="18" t="s">
        <v>307</v>
      </c>
      <c r="N51" s="72" t="s">
        <v>288</v>
      </c>
      <c r="O51" s="72">
        <v>2</v>
      </c>
      <c r="P51" s="72">
        <v>2</v>
      </c>
      <c r="Q51" s="18"/>
      <c r="R51" s="18"/>
      <c r="T51" s="21" t="b">
        <f t="shared" ca="1" si="0"/>
        <v>1</v>
      </c>
      <c r="U51" s="14" t="str">
        <f t="shared" ca="1" si="1"/>
        <v>Bakafogó-Honvéd-Sashegy SE</v>
      </c>
      <c r="AD51" s="18"/>
      <c r="AE51" s="72"/>
      <c r="AF51" s="72"/>
      <c r="AG51" s="72"/>
      <c r="AH51" s="18"/>
      <c r="AI51" s="18"/>
      <c r="AK51" s="21" t="b">
        <f t="shared" si="2"/>
        <v>0</v>
      </c>
      <c r="AL51" s="23">
        <f t="shared" ca="1" si="5"/>
        <v>-50</v>
      </c>
      <c r="AM51" s="14" t="str">
        <f t="shared" ca="1" si="3"/>
        <v/>
      </c>
      <c r="AN51" s="72"/>
      <c r="AO51" s="23">
        <f t="shared" ca="1" si="6"/>
        <v>-50</v>
      </c>
      <c r="AQ51" s="6">
        <v>10</v>
      </c>
      <c r="AR51" s="54" t="str">
        <f t="shared" ca="1" si="7"/>
        <v/>
      </c>
    </row>
    <row r="52" spans="3:44" ht="16.5" hidden="1" customHeight="1" x14ac:dyDescent="0.3">
      <c r="C52" s="63">
        <f t="shared" si="8"/>
        <v>11</v>
      </c>
      <c r="D52" s="73" t="str">
        <f t="shared" ca="1" si="4"/>
        <v>Bőrdíszmű</v>
      </c>
      <c r="G52" s="140"/>
      <c r="M52" s="18" t="s">
        <v>307</v>
      </c>
      <c r="N52" s="72" t="s">
        <v>288</v>
      </c>
      <c r="O52" s="72">
        <v>2</v>
      </c>
      <c r="P52" s="72">
        <v>3</v>
      </c>
      <c r="Q52" s="18"/>
      <c r="R52" s="18"/>
      <c r="T52" s="21" t="b">
        <f t="shared" ca="1" si="0"/>
        <v>1</v>
      </c>
      <c r="U52" s="14" t="str">
        <f t="shared" ca="1" si="1"/>
        <v>Bőrdíszmű</v>
      </c>
      <c r="Z52" s="14" t="b">
        <v>1</v>
      </c>
    </row>
    <row r="53" spans="3:44" ht="16.5" hidden="1" customHeight="1" x14ac:dyDescent="0.3">
      <c r="C53" s="63">
        <f t="shared" si="8"/>
        <v>12</v>
      </c>
      <c r="D53" s="73" t="str">
        <f t="shared" ca="1" si="4"/>
        <v>Carbonász</v>
      </c>
      <c r="G53" s="140"/>
      <c r="M53" s="18" t="s">
        <v>307</v>
      </c>
      <c r="N53" s="72" t="s">
        <v>288</v>
      </c>
      <c r="O53" s="72">
        <v>2</v>
      </c>
      <c r="P53" s="72">
        <v>4</v>
      </c>
      <c r="Q53" s="18"/>
      <c r="R53" s="18"/>
      <c r="T53" s="21" t="b">
        <f t="shared" ca="1" si="0"/>
        <v>1</v>
      </c>
      <c r="U53" s="14" t="str">
        <f t="shared" ca="1" si="1"/>
        <v>Carbonász</v>
      </c>
      <c r="Z53" s="14" t="b">
        <v>0</v>
      </c>
    </row>
    <row r="54" spans="3:44" ht="16.5" hidden="1" customHeight="1" x14ac:dyDescent="0.3">
      <c r="C54" s="63">
        <f t="shared" si="8"/>
        <v>13</v>
      </c>
      <c r="D54" s="73" t="str">
        <f t="shared" ca="1" si="4"/>
        <v>Royal Guard's</v>
      </c>
      <c r="G54" s="140"/>
      <c r="M54" s="18" t="s">
        <v>307</v>
      </c>
      <c r="N54" s="72" t="s">
        <v>288</v>
      </c>
      <c r="O54" s="72">
        <v>2</v>
      </c>
      <c r="P54" s="72">
        <v>5</v>
      </c>
      <c r="Q54" s="18"/>
      <c r="R54" s="18"/>
      <c r="T54" s="21" t="b">
        <f t="shared" ca="1" si="0"/>
        <v>1</v>
      </c>
      <c r="U54" s="14" t="str">
        <f t="shared" ca="1" si="1"/>
        <v>Royal Guard's</v>
      </c>
    </row>
    <row r="55" spans="3:44" ht="16.5" hidden="1" customHeight="1" x14ac:dyDescent="0.3">
      <c r="C55" s="74">
        <f t="shared" si="8"/>
        <v>14</v>
      </c>
      <c r="D55" s="75">
        <f t="shared" ca="1" si="4"/>
        <v>0</v>
      </c>
      <c r="G55" s="140"/>
      <c r="M55" s="18" t="s">
        <v>307</v>
      </c>
      <c r="N55" s="72" t="s">
        <v>288</v>
      </c>
      <c r="O55" s="72">
        <v>2</v>
      </c>
      <c r="P55" s="72">
        <v>6</v>
      </c>
      <c r="Q55" s="18"/>
      <c r="R55" s="18"/>
      <c r="T55" s="21" t="b">
        <f t="shared" ca="1" si="0"/>
        <v>1</v>
      </c>
      <c r="U55" s="14">
        <f t="shared" ca="1" si="1"/>
        <v>0</v>
      </c>
    </row>
    <row r="56" spans="3:44" ht="16.5" hidden="1" customHeight="1" x14ac:dyDescent="0.3">
      <c r="C56" s="63">
        <f t="shared" si="8"/>
        <v>15</v>
      </c>
      <c r="D56" s="73">
        <f t="shared" ca="1" si="4"/>
        <v>0</v>
      </c>
      <c r="G56" s="140"/>
      <c r="M56" s="18" t="s">
        <v>307</v>
      </c>
      <c r="N56" s="72" t="s">
        <v>288</v>
      </c>
      <c r="O56" s="72">
        <v>2</v>
      </c>
      <c r="P56" s="72">
        <v>7</v>
      </c>
      <c r="Q56" s="18"/>
      <c r="R56" s="18"/>
      <c r="T56" s="21" t="b">
        <f t="shared" ca="1" si="0"/>
        <v>1</v>
      </c>
      <c r="U56" s="14">
        <f t="shared" ca="1" si="1"/>
        <v>0</v>
      </c>
      <c r="Y56" s="9" t="s">
        <v>296</v>
      </c>
      <c r="Z56" s="10"/>
    </row>
    <row r="57" spans="3:44" ht="16.5" hidden="1" customHeight="1" x14ac:dyDescent="0.3">
      <c r="C57" s="63">
        <f t="shared" si="8"/>
        <v>16</v>
      </c>
      <c r="D57" s="73">
        <f t="shared" ca="1" si="4"/>
        <v>0</v>
      </c>
      <c r="G57" s="140"/>
      <c r="M57" s="18" t="s">
        <v>307</v>
      </c>
      <c r="N57" s="72" t="s">
        <v>288</v>
      </c>
      <c r="O57" s="72">
        <v>2</v>
      </c>
      <c r="P57" s="72">
        <v>8</v>
      </c>
      <c r="Q57" s="18"/>
      <c r="R57" s="18"/>
      <c r="T57" s="21" t="b">
        <f t="shared" ca="1" si="0"/>
        <v>1</v>
      </c>
      <c r="U57" s="14">
        <f t="shared" ca="1" si="1"/>
        <v>0</v>
      </c>
      <c r="Y57" s="15" t="s">
        <v>297</v>
      </c>
      <c r="Z57" s="21" t="b">
        <f ca="1">ASZTAB!$AJ$69</f>
        <v>1</v>
      </c>
    </row>
    <row r="58" spans="3:44" ht="16.5" hidden="1" customHeight="1" x14ac:dyDescent="0.3">
      <c r="C58" s="63">
        <f t="shared" si="8"/>
        <v>17</v>
      </c>
      <c r="D58" s="73" t="str">
        <f t="shared" ca="1" si="4"/>
        <v/>
      </c>
      <c r="G58" s="140"/>
      <c r="M58" s="18"/>
      <c r="N58" s="72"/>
      <c r="O58" s="72"/>
      <c r="P58" s="72"/>
      <c r="Q58" s="18"/>
      <c r="R58" s="18"/>
      <c r="T58" s="21" t="b">
        <f t="shared" si="0"/>
        <v>0</v>
      </c>
      <c r="U58" s="14" t="str">
        <f t="shared" ca="1" si="1"/>
        <v/>
      </c>
      <c r="Y58" s="15" t="s">
        <v>298</v>
      </c>
      <c r="Z58" s="21" t="b">
        <f>ASZTAB!$AJ$75</f>
        <v>0</v>
      </c>
    </row>
    <row r="59" spans="3:44" ht="16.5" hidden="1" customHeight="1" x14ac:dyDescent="0.3">
      <c r="C59" s="63">
        <f t="shared" si="8"/>
        <v>18</v>
      </c>
      <c r="D59" s="73" t="str">
        <f t="shared" ca="1" si="4"/>
        <v/>
      </c>
      <c r="G59" s="140"/>
      <c r="M59" s="18"/>
      <c r="N59" s="72"/>
      <c r="O59" s="72"/>
      <c r="P59" s="72"/>
      <c r="Q59" s="18"/>
      <c r="R59" s="18"/>
      <c r="T59" s="21" t="b">
        <f t="shared" si="0"/>
        <v>0</v>
      </c>
      <c r="U59" s="14" t="str">
        <f t="shared" ca="1" si="1"/>
        <v/>
      </c>
      <c r="Y59" s="15" t="s">
        <v>299</v>
      </c>
      <c r="Z59" s="21" t="b">
        <f ca="1">RTAB!$AD$73</f>
        <v>0</v>
      </c>
    </row>
    <row r="60" spans="3:44" ht="16.5" hidden="1" customHeight="1" x14ac:dyDescent="0.3">
      <c r="C60" s="63">
        <f t="shared" si="8"/>
        <v>19</v>
      </c>
      <c r="D60" s="73" t="str">
        <f t="shared" ca="1" si="4"/>
        <v/>
      </c>
      <c r="G60" s="140"/>
      <c r="M60" s="18"/>
      <c r="N60" s="72"/>
      <c r="O60" s="72"/>
      <c r="P60" s="72"/>
      <c r="Q60" s="18"/>
      <c r="R60" s="18"/>
      <c r="T60" s="21" t="b">
        <f t="shared" si="0"/>
        <v>0</v>
      </c>
      <c r="U60" s="14" t="str">
        <f t="shared" ca="1" si="1"/>
        <v/>
      </c>
      <c r="Y60" s="15" t="s">
        <v>300</v>
      </c>
      <c r="Z60" s="21" t="b">
        <f ca="1">RTAB!$AD$79</f>
        <v>1</v>
      </c>
    </row>
    <row r="61" spans="3:44" ht="16.5" hidden="1" customHeight="1" x14ac:dyDescent="0.3">
      <c r="C61" s="63">
        <f t="shared" si="8"/>
        <v>20</v>
      </c>
      <c r="D61" s="73" t="str">
        <f t="shared" ca="1" si="4"/>
        <v/>
      </c>
      <c r="G61" s="140"/>
      <c r="M61" s="18"/>
      <c r="N61" s="72"/>
      <c r="O61" s="72"/>
      <c r="P61" s="72"/>
      <c r="Q61" s="18"/>
      <c r="R61" s="18"/>
      <c r="T61" s="21" t="b">
        <f t="shared" si="0"/>
        <v>0</v>
      </c>
      <c r="U61" s="14" t="str">
        <f t="shared" ca="1" si="1"/>
        <v/>
      </c>
      <c r="Y61" s="15" t="s">
        <v>373</v>
      </c>
      <c r="Z61" s="21" t="b">
        <f>RTAB!$AD$85</f>
        <v>0</v>
      </c>
    </row>
    <row r="62" spans="3:44" ht="16.5" hidden="1" customHeight="1" x14ac:dyDescent="0.3">
      <c r="G62" s="140"/>
      <c r="Y62" s="15" t="s">
        <v>359</v>
      </c>
      <c r="Z62" s="21" t="b">
        <f>AND(COUNTIF(AK42:AK51,TRUE)&gt;0,COUNTIF(AK42:AK51,TRUE)=10-COUNTIF(AD42:AD51,""))</f>
        <v>0</v>
      </c>
    </row>
    <row r="63" spans="3:44" ht="16.5" hidden="1" customHeight="1" x14ac:dyDescent="0.3">
      <c r="G63" s="140"/>
      <c r="Y63" s="15"/>
    </row>
    <row r="64" spans="3:44" ht="16.5" hidden="1" customHeight="1" x14ac:dyDescent="0.3">
      <c r="G64" s="140"/>
      <c r="Y64" s="15"/>
    </row>
    <row r="65" spans="7:25" ht="16.5" hidden="1" customHeight="1" x14ac:dyDescent="0.3">
      <c r="G65" s="140"/>
      <c r="Y65" s="15"/>
    </row>
    <row r="66" spans="7:25" ht="16.5" hidden="1" customHeight="1" x14ac:dyDescent="0.3">
      <c r="G66" s="140"/>
      <c r="Y66" s="15"/>
    </row>
    <row r="67" spans="7:25" ht="16.5" hidden="1" customHeight="1" x14ac:dyDescent="0.3">
      <c r="G67" s="140"/>
      <c r="Y67" s="15"/>
    </row>
    <row r="68" spans="7:25" ht="16.5" hidden="1" customHeight="1" x14ac:dyDescent="0.3">
      <c r="G68" s="140"/>
      <c r="Y68" s="15"/>
    </row>
    <row r="69" spans="7:25" ht="16.5" hidden="1" customHeight="1" x14ac:dyDescent="0.3">
      <c r="G69" s="140"/>
      <c r="Y69" s="15"/>
    </row>
    <row r="70" spans="7:25" ht="16.5" hidden="1" customHeight="1" x14ac:dyDescent="0.3">
      <c r="Y70" s="15"/>
    </row>
    <row r="71" spans="7:25" ht="16.5" hidden="1" customHeight="1" x14ac:dyDescent="0.3">
      <c r="Y71" s="15"/>
    </row>
    <row r="72" spans="7:25" ht="16.5" hidden="1" customHeight="1" x14ac:dyDescent="0.3">
      <c r="Y72" s="15"/>
    </row>
    <row r="73" spans="7:25" ht="15" hidden="1" x14ac:dyDescent="0.3">
      <c r="Y73" s="15"/>
    </row>
    <row r="74" spans="7:25" ht="11.25" hidden="1" customHeight="1" x14ac:dyDescent="0.3"/>
    <row r="75" spans="7:25" ht="11.25" hidden="1" customHeight="1" x14ac:dyDescent="0.3"/>
    <row r="76" spans="7:25" ht="11.25" hidden="1" customHeight="1" x14ac:dyDescent="0.3"/>
    <row r="77" spans="7:25" ht="11.25" hidden="1" customHeight="1" x14ac:dyDescent="0.3"/>
    <row r="78" spans="7:25" ht="11.25" hidden="1" customHeight="1" x14ac:dyDescent="0.3"/>
    <row r="79" spans="7:25" ht="11.25" hidden="1" customHeight="1" x14ac:dyDescent="0.3"/>
    <row r="80" spans="7:25" ht="11.25" hidden="1" customHeight="1" x14ac:dyDescent="0.3"/>
    <row r="81" ht="11.25" hidden="1" customHeight="1" x14ac:dyDescent="0.3"/>
    <row r="82" ht="11.25" hidden="1" customHeight="1" x14ac:dyDescent="0.3"/>
    <row r="83" ht="11.25" hidden="1" customHeight="1" x14ac:dyDescent="0.3"/>
    <row r="84" ht="11.25" hidden="1" customHeight="1" x14ac:dyDescent="0.3"/>
    <row r="85" ht="11.25" hidden="1" customHeight="1" x14ac:dyDescent="0.3"/>
    <row r="86" ht="11.25" hidden="1" customHeight="1" x14ac:dyDescent="0.3"/>
    <row r="87" ht="11.25" hidden="1" customHeight="1" x14ac:dyDescent="0.3"/>
    <row r="88" ht="11.25" hidden="1" customHeight="1" x14ac:dyDescent="0.3"/>
    <row r="89" ht="11.25" hidden="1" customHeight="1" x14ac:dyDescent="0.3"/>
    <row r="90" ht="11.25" hidden="1" customHeight="1" x14ac:dyDescent="0.3"/>
    <row r="91" ht="11.25" hidden="1" customHeight="1" x14ac:dyDescent="0.3"/>
    <row r="92" ht="11.25" hidden="1" customHeight="1" x14ac:dyDescent="0.3"/>
    <row r="93" ht="11.25" hidden="1" customHeight="1" x14ac:dyDescent="0.3"/>
    <row r="94" ht="11.25" hidden="1" customHeight="1" x14ac:dyDescent="0.3"/>
    <row r="95" ht="11.25" hidden="1" customHeight="1" x14ac:dyDescent="0.3"/>
    <row r="96" ht="11.25" hidden="1" customHeight="1" x14ac:dyDescent="0.3"/>
    <row r="97" ht="11.25" hidden="1" customHeight="1" x14ac:dyDescent="0.3"/>
    <row r="98" ht="11.25" hidden="1" customHeight="1" x14ac:dyDescent="0.3"/>
    <row r="99" ht="11.25" hidden="1" customHeight="1" x14ac:dyDescent="0.3"/>
  </sheetData>
  <sheetProtection password="CE76" sheet="1" objects="1" scenarios="1" selectLockedCells="1" selectUnlockedCells="1"/>
  <phoneticPr fontId="3" type="noConversion"/>
  <conditionalFormatting sqref="AE42:AG51">
    <cfRule type="expression" dxfId="39" priority="1" stopIfTrue="1">
      <formula>$AD42=$Z$47</formula>
    </cfRule>
  </conditionalFormatting>
  <conditionalFormatting sqref="AH42:AI51">
    <cfRule type="expression" dxfId="38" priority="2" stopIfTrue="1">
      <formula>$AD42=$Z$46</formula>
    </cfRule>
  </conditionalFormatting>
  <conditionalFormatting sqref="N42:P61">
    <cfRule type="expression" dxfId="37" priority="3" stopIfTrue="1">
      <formula>$M42=$Z$47</formula>
    </cfRule>
  </conditionalFormatting>
  <conditionalFormatting sqref="Q42:R61">
    <cfRule type="expression" dxfId="36" priority="4" stopIfTrue="1">
      <formula>$M42=$Z$46</formula>
    </cfRule>
  </conditionalFormatting>
  <dataValidations count="7">
    <dataValidation type="whole" allowBlank="1" showInputMessage="1" showErrorMessage="1" sqref="AG42:AG51 P42:P61">
      <formula1>1</formula1>
      <formula2>20</formula2>
    </dataValidation>
    <dataValidation type="list" allowBlank="1" showInputMessage="1" showErrorMessage="1" sqref="AI42:AI51 R42:R61">
      <formula1>$Z$49:$Z$50</formula1>
    </dataValidation>
    <dataValidation type="whole" allowBlank="1" showInputMessage="1" showErrorMessage="1" sqref="AH42:AH51 Q42:Q61">
      <formula1>1</formula1>
      <formula2>24</formula2>
    </dataValidation>
    <dataValidation type="whole" allowBlank="1" showInputMessage="1" showErrorMessage="1" sqref="AF42:AF51 O42:O61">
      <formula1>1</formula1>
      <formula2>3</formula2>
    </dataValidation>
    <dataValidation type="list" allowBlank="1" showInputMessage="1" showErrorMessage="1" sqref="AD42:AD51 M42:M61">
      <formula1>$Z$46:$Z$47</formula1>
    </dataValidation>
    <dataValidation type="list" allowBlank="1" showInputMessage="1" showErrorMessage="1" sqref="AE42:AE51 AN42:AN51">
      <formula1>$Z$42:$Z$43</formula1>
    </dataValidation>
    <dataValidation type="list" allowBlank="1" showInputMessage="1" showErrorMessage="1" sqref="N42:N61">
      <formula1>$Z$42:$Z$44</formula1>
    </dataValidation>
  </dataValidations>
  <pageMargins left="0.31496062992125984" right="0.31496062992125984" top="0.51181102362204722" bottom="0.51181102362204722"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0">
    <pageSetUpPr autoPageBreaks="0"/>
  </sheetPr>
  <dimension ref="A1:AU99"/>
  <sheetViews>
    <sheetView showRowColHeaders="0" topLeftCell="AV1" zoomScaleNormal="100" workbookViewId="0">
      <pane ySplit="39" topLeftCell="A40" activePane="bottomLeft" state="frozen"/>
      <selection pane="bottomLeft" activeCell="AV100" sqref="AV100"/>
    </sheetView>
  </sheetViews>
  <sheetFormatPr defaultColWidth="9.140625" defaultRowHeight="13.5" x14ac:dyDescent="0.2"/>
  <cols>
    <col min="1" max="1" width="1.7109375" style="32" hidden="1" customWidth="1"/>
    <col min="2" max="2" width="3.7109375" style="33" hidden="1" customWidth="1"/>
    <col min="3" max="3" width="27.140625" style="17" hidden="1" customWidth="1"/>
    <col min="4" max="4" width="10.7109375" style="17" hidden="1" customWidth="1"/>
    <col min="5" max="5" width="27.140625" style="17" hidden="1" customWidth="1"/>
    <col min="6" max="6" width="4.28515625" style="17" hidden="1" customWidth="1"/>
    <col min="7" max="7" width="27.140625" style="17" hidden="1" customWidth="1"/>
    <col min="8" max="8" width="10.7109375" style="17" hidden="1" customWidth="1"/>
    <col min="9" max="9" width="27.140625" style="17" hidden="1" customWidth="1"/>
    <col min="10" max="10" width="4.28515625" style="33" hidden="1" customWidth="1"/>
    <col min="11" max="11" width="4" style="35" hidden="1" customWidth="1"/>
    <col min="12" max="12" width="3.7109375" style="36" hidden="1" customWidth="1"/>
    <col min="13" max="14" width="4.140625" style="36" hidden="1" customWidth="1"/>
    <col min="15" max="15" width="4.85546875" style="36" hidden="1" customWidth="1"/>
    <col min="16" max="16" width="4" style="35" hidden="1" customWidth="1"/>
    <col min="17" max="17" width="4.28515625" style="36" hidden="1" customWidth="1"/>
    <col min="18" max="18" width="15.28515625" style="37" hidden="1" customWidth="1"/>
    <col min="19" max="19" width="4.85546875" style="38" hidden="1" customWidth="1"/>
    <col min="20" max="20" width="3.85546875" style="37" hidden="1" customWidth="1"/>
    <col min="21" max="22" width="9.7109375" style="39" hidden="1" customWidth="1"/>
    <col min="23" max="24" width="3.85546875" style="40" hidden="1" customWidth="1"/>
    <col min="25" max="25" width="7" style="40" hidden="1" customWidth="1"/>
    <col min="26" max="26" width="3.7109375" style="40" hidden="1" customWidth="1"/>
    <col min="27" max="28" width="3.85546875" style="40" hidden="1" customWidth="1"/>
    <col min="29" max="29" width="15.28515625" style="37" hidden="1" customWidth="1"/>
    <col min="30" max="30" width="4.85546875" style="38" hidden="1" customWidth="1"/>
    <col min="31" max="31" width="3.85546875" style="37" hidden="1" customWidth="1"/>
    <col min="32" max="33" width="9.7109375" style="39" hidden="1" customWidth="1"/>
    <col min="34" max="35" width="3.85546875" style="40" hidden="1" customWidth="1"/>
    <col min="36" max="36" width="7" style="40" hidden="1" customWidth="1"/>
    <col min="37" max="37" width="3.7109375" style="40" hidden="1" customWidth="1"/>
    <col min="38" max="38" width="3.85546875" style="40" hidden="1" customWidth="1"/>
    <col min="39" max="39" width="4.85546875" style="36" hidden="1" customWidth="1"/>
    <col min="40" max="40" width="4" style="35" hidden="1" customWidth="1"/>
    <col min="41" max="41" width="4.28515625" style="36" hidden="1" customWidth="1"/>
    <col min="42" max="42" width="5.140625" style="36" hidden="1" customWidth="1"/>
    <col min="43" max="43" width="0" style="36" hidden="1" customWidth="1"/>
    <col min="44" max="44" width="7.28515625" style="36" hidden="1" customWidth="1"/>
    <col min="45" max="45" width="15.28515625" style="41" hidden="1" customWidth="1"/>
    <col min="46" max="46" width="4.28515625" style="36" hidden="1" customWidth="1"/>
    <col min="47" max="47" width="4" style="35" hidden="1" customWidth="1"/>
    <col min="48" max="16384" width="9.140625" style="33"/>
  </cols>
  <sheetData>
    <row r="1" spans="4:6" s="24" customFormat="1" ht="1.5" hidden="1" customHeight="1" x14ac:dyDescent="0.3">
      <c r="D1" s="25"/>
      <c r="E1" s="25"/>
      <c r="F1" s="25"/>
    </row>
    <row r="2" spans="4:6" s="24" customFormat="1" ht="0.75" hidden="1" customHeight="1" x14ac:dyDescent="0.3">
      <c r="D2" s="26"/>
      <c r="E2" s="27"/>
      <c r="F2" s="27"/>
    </row>
    <row r="3" spans="4:6" s="24" customFormat="1" ht="1.5" hidden="1" customHeight="1" x14ac:dyDescent="0.3">
      <c r="D3" s="28"/>
      <c r="E3" s="29"/>
      <c r="F3" s="30"/>
    </row>
    <row r="4" spans="4:6" s="24" customFormat="1" ht="0.75" hidden="1" customHeight="1" x14ac:dyDescent="0.3">
      <c r="D4" s="28"/>
      <c r="E4" s="29"/>
      <c r="F4" s="30"/>
    </row>
    <row r="5" spans="4:6" s="24" customFormat="1" ht="1.5" hidden="1" customHeight="1" x14ac:dyDescent="0.3">
      <c r="D5" s="28"/>
      <c r="E5" s="29"/>
      <c r="F5" s="30"/>
    </row>
    <row r="6" spans="4:6" s="24" customFormat="1" ht="0.75" hidden="1" customHeight="1" x14ac:dyDescent="0.3">
      <c r="D6" s="28"/>
      <c r="E6" s="29"/>
      <c r="F6" s="30"/>
    </row>
    <row r="7" spans="4:6" s="24" customFormat="1" ht="1.5" hidden="1" customHeight="1" x14ac:dyDescent="0.3">
      <c r="D7" s="28"/>
      <c r="E7" s="29"/>
      <c r="F7" s="30"/>
    </row>
    <row r="8" spans="4:6" s="24" customFormat="1" ht="0.75" hidden="1" customHeight="1" x14ac:dyDescent="0.3">
      <c r="D8" s="28"/>
      <c r="E8" s="29"/>
      <c r="F8" s="30"/>
    </row>
    <row r="9" spans="4:6" s="24" customFormat="1" ht="1.5" hidden="1" customHeight="1" x14ac:dyDescent="0.3">
      <c r="D9" s="28"/>
      <c r="E9" s="29"/>
      <c r="F9" s="30"/>
    </row>
    <row r="10" spans="4:6" s="24" customFormat="1" ht="0.75" hidden="1" customHeight="1" x14ac:dyDescent="0.3">
      <c r="D10" s="28"/>
      <c r="E10" s="29"/>
      <c r="F10" s="30"/>
    </row>
    <row r="11" spans="4:6" s="24" customFormat="1" ht="1.5" hidden="1" customHeight="1" x14ac:dyDescent="0.3">
      <c r="D11" s="28"/>
      <c r="E11" s="29"/>
      <c r="F11" s="30"/>
    </row>
    <row r="12" spans="4:6" s="24" customFormat="1" ht="0.75" hidden="1" customHeight="1" x14ac:dyDescent="0.3">
      <c r="D12" s="28"/>
      <c r="E12" s="29"/>
      <c r="F12" s="30"/>
    </row>
    <row r="13" spans="4:6" s="24" customFormat="1" ht="1.5" hidden="1" customHeight="1" x14ac:dyDescent="0.3">
      <c r="D13" s="28"/>
      <c r="E13" s="29"/>
      <c r="F13" s="30"/>
    </row>
    <row r="14" spans="4:6" s="24" customFormat="1" ht="0.75" hidden="1" customHeight="1" x14ac:dyDescent="0.3">
      <c r="D14" s="28"/>
      <c r="E14" s="29"/>
      <c r="F14" s="30"/>
    </row>
    <row r="15" spans="4:6" s="24" customFormat="1" ht="1.5" hidden="1" customHeight="1" x14ac:dyDescent="0.3">
      <c r="D15" s="28"/>
      <c r="E15" s="29"/>
      <c r="F15" s="30"/>
    </row>
    <row r="16" spans="4:6" s="24" customFormat="1" ht="0.75" hidden="1" customHeight="1" x14ac:dyDescent="0.3">
      <c r="D16" s="28"/>
      <c r="E16" s="29"/>
      <c r="F16" s="30"/>
    </row>
    <row r="17" spans="4:6" s="24" customFormat="1" ht="1.5" hidden="1" customHeight="1" x14ac:dyDescent="0.3">
      <c r="D17" s="28"/>
      <c r="E17" s="29"/>
      <c r="F17" s="30"/>
    </row>
    <row r="18" spans="4:6" s="24" customFormat="1" ht="0.75" hidden="1" customHeight="1" x14ac:dyDescent="0.3">
      <c r="D18" s="28"/>
      <c r="E18" s="29"/>
      <c r="F18" s="30"/>
    </row>
    <row r="19" spans="4:6" s="24" customFormat="1" ht="1.5" hidden="1" customHeight="1" x14ac:dyDescent="0.3">
      <c r="D19" s="28"/>
      <c r="E19" s="29"/>
      <c r="F19" s="30"/>
    </row>
    <row r="20" spans="4:6" s="24" customFormat="1" ht="0.75" hidden="1" customHeight="1" x14ac:dyDescent="0.3">
      <c r="D20" s="28"/>
      <c r="E20" s="29"/>
      <c r="F20" s="30"/>
    </row>
    <row r="21" spans="4:6" s="24" customFormat="1" ht="1.5" hidden="1" customHeight="1" x14ac:dyDescent="0.3">
      <c r="D21" s="28"/>
      <c r="E21" s="29"/>
      <c r="F21" s="30"/>
    </row>
    <row r="22" spans="4:6" s="24" customFormat="1" ht="0.75" hidden="1" customHeight="1" x14ac:dyDescent="0.3">
      <c r="D22" s="28"/>
      <c r="E22" s="29"/>
      <c r="F22" s="30"/>
    </row>
    <row r="23" spans="4:6" s="24" customFormat="1" ht="1.5" hidden="1" customHeight="1" x14ac:dyDescent="0.3">
      <c r="D23" s="28"/>
      <c r="E23" s="29"/>
      <c r="F23" s="30"/>
    </row>
    <row r="24" spans="4:6" s="24" customFormat="1" ht="0.75" hidden="1" customHeight="1" x14ac:dyDescent="0.3">
      <c r="D24" s="28"/>
      <c r="E24" s="29"/>
      <c r="F24" s="30"/>
    </row>
    <row r="25" spans="4:6" s="24" customFormat="1" ht="1.5" hidden="1" customHeight="1" x14ac:dyDescent="0.3">
      <c r="D25" s="28"/>
      <c r="E25" s="29"/>
      <c r="F25" s="30"/>
    </row>
    <row r="26" spans="4:6" s="24" customFormat="1" ht="0.75" hidden="1" customHeight="1" x14ac:dyDescent="0.3">
      <c r="D26" s="28"/>
      <c r="E26" s="29"/>
      <c r="F26" s="30"/>
    </row>
    <row r="27" spans="4:6" s="24" customFormat="1" ht="1.5" hidden="1" customHeight="1" x14ac:dyDescent="0.3">
      <c r="D27" s="28"/>
      <c r="E27" s="29"/>
      <c r="F27" s="30"/>
    </row>
    <row r="28" spans="4:6" s="24" customFormat="1" ht="0.75" hidden="1" customHeight="1" x14ac:dyDescent="0.3">
      <c r="D28" s="28"/>
      <c r="E28" s="29"/>
      <c r="F28" s="30"/>
    </row>
    <row r="29" spans="4:6" s="24" customFormat="1" ht="1.5" hidden="1" customHeight="1" x14ac:dyDescent="0.3">
      <c r="D29" s="28"/>
      <c r="E29" s="29"/>
      <c r="F29" s="30"/>
    </row>
    <row r="30" spans="4:6" s="24" customFormat="1" ht="0.75" hidden="1" customHeight="1" x14ac:dyDescent="0.3">
      <c r="D30" s="28"/>
      <c r="E30" s="29"/>
      <c r="F30" s="30"/>
    </row>
    <row r="31" spans="4:6" s="24" customFormat="1" ht="1.5" hidden="1" customHeight="1" x14ac:dyDescent="0.3">
      <c r="D31" s="28"/>
      <c r="E31" s="29"/>
      <c r="F31" s="30"/>
    </row>
    <row r="32" spans="4:6" s="24" customFormat="1" ht="0.75" hidden="1" customHeight="1" x14ac:dyDescent="0.3">
      <c r="D32" s="28"/>
      <c r="E32" s="29"/>
      <c r="F32" s="30"/>
    </row>
    <row r="33" spans="2:45" s="24" customFormat="1" ht="1.5" hidden="1" customHeight="1" x14ac:dyDescent="0.3">
      <c r="D33" s="28"/>
      <c r="E33" s="29"/>
      <c r="F33" s="30"/>
    </row>
    <row r="34" spans="2:45" s="24" customFormat="1" ht="0.75" hidden="1" customHeight="1" x14ac:dyDescent="0.3">
      <c r="D34" s="28"/>
      <c r="E34" s="29"/>
      <c r="F34" s="30"/>
    </row>
    <row r="35" spans="2:45" s="24" customFormat="1" ht="1.5" hidden="1" customHeight="1" x14ac:dyDescent="0.3">
      <c r="D35" s="28"/>
      <c r="E35" s="29"/>
      <c r="F35" s="30"/>
    </row>
    <row r="36" spans="2:45" s="24" customFormat="1" ht="0.75" hidden="1" customHeight="1" x14ac:dyDescent="0.3">
      <c r="D36" s="28"/>
      <c r="E36" s="29"/>
      <c r="F36" s="30"/>
    </row>
    <row r="37" spans="2:45" s="24" customFormat="1" ht="1.5" hidden="1" customHeight="1" x14ac:dyDescent="0.3">
      <c r="D37" s="28"/>
      <c r="E37" s="29"/>
      <c r="F37" s="30"/>
    </row>
    <row r="38" spans="2:45" s="24" customFormat="1" ht="0.75" hidden="1" customHeight="1" x14ac:dyDescent="0.3">
      <c r="D38" s="28"/>
      <c r="E38" s="29"/>
      <c r="F38" s="30"/>
    </row>
    <row r="39" spans="2:45" s="1" customFormat="1" ht="12" hidden="1" customHeight="1" x14ac:dyDescent="0.3">
      <c r="B39" s="31" t="s">
        <v>453</v>
      </c>
      <c r="C39" s="2"/>
      <c r="D39" s="3"/>
      <c r="E39" s="4"/>
      <c r="F39" s="5"/>
    </row>
    <row r="40" spans="2:45" ht="15" hidden="1" customHeight="1" x14ac:dyDescent="0.25">
      <c r="C40" s="34"/>
    </row>
    <row r="41" spans="2:45" ht="17.25" hidden="1" customHeight="1" x14ac:dyDescent="0.2">
      <c r="C41" s="42" t="s">
        <v>384</v>
      </c>
      <c r="G41" s="156" t="s">
        <v>465</v>
      </c>
    </row>
    <row r="42" spans="2:45" ht="3.75" hidden="1" customHeight="1" x14ac:dyDescent="0.2">
      <c r="D42" s="43"/>
      <c r="G42" s="157"/>
    </row>
    <row r="43" spans="2:45" ht="18.75" hidden="1" customHeight="1" x14ac:dyDescent="0.2">
      <c r="C43" s="44" t="s">
        <v>231</v>
      </c>
      <c r="D43" s="45" t="e">
        <f ca="1">VLOOKUP(C43,ASZTAB!$AN$42:$AQ$103,2,FALSE)</f>
        <v>#N/A</v>
      </c>
      <c r="E43" s="43"/>
      <c r="F43" s="43"/>
      <c r="G43" s="156" t="s">
        <v>466</v>
      </c>
      <c r="M43" s="20">
        <v>1</v>
      </c>
      <c r="N43" s="20">
        <v>1</v>
      </c>
      <c r="R43" s="46" t="s">
        <v>385</v>
      </c>
      <c r="S43" s="46" t="s">
        <v>137</v>
      </c>
      <c r="T43" s="46" t="s">
        <v>144</v>
      </c>
      <c r="U43" s="46" t="s">
        <v>138</v>
      </c>
      <c r="V43" s="46" t="s">
        <v>139</v>
      </c>
      <c r="W43" s="46" t="s">
        <v>135</v>
      </c>
      <c r="X43" s="46" t="s">
        <v>136</v>
      </c>
      <c r="Y43" s="46" t="s">
        <v>386</v>
      </c>
      <c r="Z43" s="47" t="s">
        <v>387</v>
      </c>
      <c r="AA43" s="46"/>
      <c r="AD43" s="46" t="s">
        <v>137</v>
      </c>
      <c r="AE43" s="46" t="s">
        <v>144</v>
      </c>
      <c r="AF43" s="46" t="s">
        <v>138</v>
      </c>
      <c r="AG43" s="46" t="s">
        <v>139</v>
      </c>
      <c r="AH43" s="46" t="s">
        <v>135</v>
      </c>
      <c r="AI43" s="46" t="s">
        <v>136</v>
      </c>
      <c r="AJ43" s="46" t="s">
        <v>386</v>
      </c>
      <c r="AK43" s="47" t="s">
        <v>387</v>
      </c>
      <c r="AL43" s="46"/>
    </row>
    <row r="44" spans="2:45" ht="16.5" hidden="1" customHeight="1" x14ac:dyDescent="0.2">
      <c r="C44" s="48"/>
      <c r="D44" s="43"/>
      <c r="E44" s="43"/>
      <c r="F44" s="43"/>
      <c r="G44" s="43"/>
      <c r="H44" s="43"/>
      <c r="I44" s="43"/>
    </row>
    <row r="45" spans="2:45" ht="16.5" hidden="1" customHeight="1" x14ac:dyDescent="0.2">
      <c r="C45" s="49" t="e">
        <f t="shared" ref="C45:C63" si="0">IF(M45="","",IF(U45=$C$43,U45,CONCATENATE("(",Z45,".) ",U45)))</f>
        <v>#N/A</v>
      </c>
      <c r="D45" s="50" t="e">
        <f t="shared" ref="D45:D63" si="1">IF(M45="","",IF($N$43=1,CONCATENATE(W45,"–",X45),IF($N$43=2,CONCATENATE(T45,". ford."),Y45)))</f>
        <v>#N/A</v>
      </c>
      <c r="E45" s="51" t="e">
        <f>IF(M45="","",IF(OR(V45=$C$43,V45="szabadnapos"),V45,CONCATENATE(V45," (",AA45,".)")))</f>
        <v>#N/A</v>
      </c>
      <c r="F45" s="43"/>
      <c r="G45" s="49" t="e">
        <f t="shared" ref="G45:G63" si="2">IF(N45="","",IF(AF45=$C$43,AF45,CONCATENATE("(",AK45,".) ",AF45)))</f>
        <v>#N/A</v>
      </c>
      <c r="H45" s="50" t="e">
        <f t="shared" ref="H45:H63" si="3">IF(N45="","",IF($N$43=1,CONCATENATE(AH45,"–",AI45),IF($N$43=2,CONCATENATE(AE45,". ford."),AJ45)))</f>
        <v>#N/A</v>
      </c>
      <c r="I45" s="51" t="e">
        <f>IF(N45="","",IF(OR(AG45=$C$43,AG45="szabadnapos "),AG45,CONCATENATE(AG45," (",AL45,".)")))</f>
        <v>#N/A</v>
      </c>
      <c r="M45" s="18">
        <v>1</v>
      </c>
      <c r="N45" s="18">
        <v>20</v>
      </c>
      <c r="R45" s="19" t="e">
        <f t="shared" ref="R45:R63" si="4">IF(M45="","",VLOOKUP(M45,$AR$45:$AS$82,2,FALSE))</f>
        <v>#N/A</v>
      </c>
      <c r="S45" s="52" t="e">
        <f t="shared" ref="S45:S63" si="5">VLOOKUP($R45,games.a,2,FALSE)</f>
        <v>#N/A</v>
      </c>
      <c r="T45" s="53" t="e">
        <f t="shared" ref="T45:T63" si="6">VLOOKUP($R45,games.a,3,FALSE)</f>
        <v>#N/A</v>
      </c>
      <c r="U45" s="19" t="e">
        <f t="shared" ref="U45:U63" si="7">VLOOKUP($R45,games.a,4,FALSE)</f>
        <v>#N/A</v>
      </c>
      <c r="V45" s="19" t="e">
        <f t="shared" ref="V45:V63" si="8">VLOOKUP($R45,games.a,5,FALSE)</f>
        <v>#N/A</v>
      </c>
      <c r="W45" s="53" t="e">
        <f t="shared" ref="W45:W63" si="9">IF(V45="szabadnapos","",VLOOKUP($R45,games.a,6,FALSE))</f>
        <v>#N/A</v>
      </c>
      <c r="X45" s="53" t="e">
        <f t="shared" ref="X45:X63" si="10">IF(V45="szabadnapos","",VLOOKUP($R45,games.a,7,FALSE))</f>
        <v>#N/A</v>
      </c>
      <c r="Y45" s="53" t="e">
        <f t="shared" ref="Y45:Y63" si="11">VLOOKUP($R45,games.a,15,FALSE)</f>
        <v>#N/A</v>
      </c>
      <c r="Z45" s="53" t="e">
        <f>VLOOKUP(U45,ASZTAB!$AN$42:$AQ$103,2,FALSE)</f>
        <v>#N/A</v>
      </c>
      <c r="AA45" s="53" t="e">
        <f>VLOOKUP(V45,ASZTAB!$AN$42:$AQ$103,2,FALSE)</f>
        <v>#N/A</v>
      </c>
      <c r="AC45" s="19" t="e">
        <f t="shared" ref="AC45:AC63" si="12">IF(N45="","",VLOOKUP(N45,$AR$45:$AS$82,2,FALSE))</f>
        <v>#N/A</v>
      </c>
      <c r="AD45" s="52" t="e">
        <f t="shared" ref="AD45:AD63" si="13">VLOOKUP($AC45,games.a,2,FALSE)</f>
        <v>#N/A</v>
      </c>
      <c r="AE45" s="53" t="e">
        <f t="shared" ref="AE45:AE63" si="14">VLOOKUP($AC45,games.a,3,FALSE)</f>
        <v>#N/A</v>
      </c>
      <c r="AF45" s="19" t="e">
        <f t="shared" ref="AF45:AF63" si="15">VLOOKUP($AC45,games.a,4,FALSE)</f>
        <v>#N/A</v>
      </c>
      <c r="AG45" s="19" t="e">
        <f t="shared" ref="AG45:AG63" si="16">VLOOKUP($AC45,games.a,5,FALSE)</f>
        <v>#N/A</v>
      </c>
      <c r="AH45" s="53" t="e">
        <f t="shared" ref="AH45:AH63" si="17">IF(AG45="szabadnapos ","",VLOOKUP($AC45,games.a,6,FALSE))</f>
        <v>#N/A</v>
      </c>
      <c r="AI45" s="53" t="e">
        <f t="shared" ref="AI45:AI63" si="18">IF(AG45="szabadnapos ","",VLOOKUP($AC45,games.a,7,FALSE))</f>
        <v>#N/A</v>
      </c>
      <c r="AJ45" s="53" t="e">
        <f t="shared" ref="AJ45:AJ63" si="19">VLOOKUP($AC45,games.a,15,FALSE)</f>
        <v>#N/A</v>
      </c>
      <c r="AK45" s="53" t="e">
        <f>VLOOKUP(AF45,ASZTAB!$AN$42:$AQ$103,2,FALSE)</f>
        <v>#N/A</v>
      </c>
      <c r="AL45" s="53" t="e">
        <f>VLOOKUP(AG45,ASZTAB!$AN$42:$AQ$103,2,FALSE)</f>
        <v>#N/A</v>
      </c>
      <c r="AP45" s="23">
        <v>1</v>
      </c>
      <c r="AQ45" s="23" t="e">
        <f t="shared" ref="AQ45:AQ82" si="20">IF(AS45="","",VLOOKUP(AS45,games.a,15,FALSE))</f>
        <v>#N/A</v>
      </c>
      <c r="AR45" s="23" t="e">
        <f>IF(AS45="","",IF($M$43=1,AP45,RANK(AQ45,$AQ$45:$AQ$82,1)))</f>
        <v>#N/A</v>
      </c>
      <c r="AS45" s="54" t="e">
        <f t="shared" ref="AS45:AS82" si="21">IF(COUNTIF($M$45:$N$63,AP45)=0,"",VLOOKUP(AP45,gamesfav,2,FALSE))</f>
        <v>#N/A</v>
      </c>
    </row>
    <row r="46" spans="2:45" ht="16.5" hidden="1" customHeight="1" x14ac:dyDescent="0.2">
      <c r="C46" s="55" t="e">
        <f t="shared" si="0"/>
        <v>#N/A</v>
      </c>
      <c r="D46" s="56" t="e">
        <f t="shared" si="1"/>
        <v>#N/A</v>
      </c>
      <c r="E46" s="57" t="e">
        <f t="shared" ref="E46:E63" si="22">IF(M46="","",IF(OR(V46=$C$43,V46="szabadnapos"),V46,CONCATENATE(V46," (",AA46,".)")))</f>
        <v>#N/A</v>
      </c>
      <c r="F46" s="43"/>
      <c r="G46" s="55" t="e">
        <f t="shared" si="2"/>
        <v>#N/A</v>
      </c>
      <c r="H46" s="56" t="e">
        <f t="shared" si="3"/>
        <v>#N/A</v>
      </c>
      <c r="I46" s="57" t="e">
        <f t="shared" ref="I46:I63" si="23">IF(N46="","",IF(OR(AG46=$C$43,AG46="szabadnapos "),AG46,CONCATENATE(AG46," (",AL46,".)")))</f>
        <v>#N/A</v>
      </c>
      <c r="M46" s="18">
        <v>2</v>
      </c>
      <c r="N46" s="18">
        <v>21</v>
      </c>
      <c r="R46" s="19" t="e">
        <f t="shared" si="4"/>
        <v>#N/A</v>
      </c>
      <c r="S46" s="52" t="e">
        <f t="shared" si="5"/>
        <v>#N/A</v>
      </c>
      <c r="T46" s="53" t="e">
        <f t="shared" si="6"/>
        <v>#N/A</v>
      </c>
      <c r="U46" s="19" t="e">
        <f t="shared" si="7"/>
        <v>#N/A</v>
      </c>
      <c r="V46" s="19" t="e">
        <f t="shared" si="8"/>
        <v>#N/A</v>
      </c>
      <c r="W46" s="53" t="e">
        <f t="shared" si="9"/>
        <v>#N/A</v>
      </c>
      <c r="X46" s="53" t="e">
        <f t="shared" si="10"/>
        <v>#N/A</v>
      </c>
      <c r="Y46" s="53" t="e">
        <f t="shared" si="11"/>
        <v>#N/A</v>
      </c>
      <c r="Z46" s="53" t="e">
        <f>VLOOKUP(U46,ASZTAB!$AN$42:$AQ$103,2,FALSE)</f>
        <v>#N/A</v>
      </c>
      <c r="AA46" s="53" t="e">
        <f>VLOOKUP(V46,ASZTAB!$AN$42:$AQ$103,2,FALSE)</f>
        <v>#N/A</v>
      </c>
      <c r="AC46" s="19" t="e">
        <f t="shared" si="12"/>
        <v>#N/A</v>
      </c>
      <c r="AD46" s="52" t="e">
        <f t="shared" si="13"/>
        <v>#N/A</v>
      </c>
      <c r="AE46" s="53" t="e">
        <f t="shared" si="14"/>
        <v>#N/A</v>
      </c>
      <c r="AF46" s="19" t="e">
        <f t="shared" si="15"/>
        <v>#N/A</v>
      </c>
      <c r="AG46" s="19" t="e">
        <f t="shared" si="16"/>
        <v>#N/A</v>
      </c>
      <c r="AH46" s="53" t="e">
        <f t="shared" si="17"/>
        <v>#N/A</v>
      </c>
      <c r="AI46" s="53" t="e">
        <f t="shared" si="18"/>
        <v>#N/A</v>
      </c>
      <c r="AJ46" s="53" t="e">
        <f t="shared" si="19"/>
        <v>#N/A</v>
      </c>
      <c r="AK46" s="53" t="e">
        <f>VLOOKUP(AF46,ASZTAB!$AN$42:$AQ$103,2,FALSE)</f>
        <v>#N/A</v>
      </c>
      <c r="AL46" s="53" t="e">
        <f>VLOOKUP(AG46,ASZTAB!$AN$42:$AQ$103,2,FALSE)</f>
        <v>#N/A</v>
      </c>
      <c r="AP46" s="23">
        <v>2</v>
      </c>
      <c r="AQ46" s="23" t="e">
        <f t="shared" si="20"/>
        <v>#N/A</v>
      </c>
      <c r="AR46" s="23" t="e">
        <f t="shared" ref="AR46:AR82" si="24">IF(AS46="","",IF($M$43=1,AP46,RANK(AQ46,$AQ$45:$AQ$82,1)))</f>
        <v>#N/A</v>
      </c>
      <c r="AS46" s="54" t="e">
        <f t="shared" si="21"/>
        <v>#N/A</v>
      </c>
    </row>
    <row r="47" spans="2:45" ht="16.5" hidden="1" customHeight="1" x14ac:dyDescent="0.2">
      <c r="C47" s="55" t="e">
        <f t="shared" si="0"/>
        <v>#N/A</v>
      </c>
      <c r="D47" s="56" t="e">
        <f t="shared" si="1"/>
        <v>#N/A</v>
      </c>
      <c r="E47" s="57" t="e">
        <f t="shared" si="22"/>
        <v>#N/A</v>
      </c>
      <c r="F47" s="43"/>
      <c r="G47" s="55" t="e">
        <f t="shared" si="2"/>
        <v>#N/A</v>
      </c>
      <c r="H47" s="56" t="e">
        <f t="shared" si="3"/>
        <v>#N/A</v>
      </c>
      <c r="I47" s="57" t="e">
        <f t="shared" si="23"/>
        <v>#N/A</v>
      </c>
      <c r="M47" s="18">
        <v>3</v>
      </c>
      <c r="N47" s="18">
        <v>22</v>
      </c>
      <c r="R47" s="19" t="e">
        <f t="shared" si="4"/>
        <v>#N/A</v>
      </c>
      <c r="S47" s="52" t="e">
        <f t="shared" si="5"/>
        <v>#N/A</v>
      </c>
      <c r="T47" s="53" t="e">
        <f t="shared" si="6"/>
        <v>#N/A</v>
      </c>
      <c r="U47" s="19" t="e">
        <f t="shared" si="7"/>
        <v>#N/A</v>
      </c>
      <c r="V47" s="19" t="e">
        <f t="shared" si="8"/>
        <v>#N/A</v>
      </c>
      <c r="W47" s="53" t="e">
        <f t="shared" si="9"/>
        <v>#N/A</v>
      </c>
      <c r="X47" s="53" t="e">
        <f t="shared" si="10"/>
        <v>#N/A</v>
      </c>
      <c r="Y47" s="53" t="e">
        <f t="shared" si="11"/>
        <v>#N/A</v>
      </c>
      <c r="Z47" s="53" t="e">
        <f>VLOOKUP(U47,ASZTAB!$AN$42:$AQ$103,2,FALSE)</f>
        <v>#N/A</v>
      </c>
      <c r="AA47" s="53" t="e">
        <f>VLOOKUP(V47,ASZTAB!$AN$42:$AQ$103,2,FALSE)</f>
        <v>#N/A</v>
      </c>
      <c r="AC47" s="19" t="e">
        <f t="shared" si="12"/>
        <v>#N/A</v>
      </c>
      <c r="AD47" s="52" t="e">
        <f t="shared" si="13"/>
        <v>#N/A</v>
      </c>
      <c r="AE47" s="53" t="e">
        <f t="shared" si="14"/>
        <v>#N/A</v>
      </c>
      <c r="AF47" s="19" t="e">
        <f t="shared" si="15"/>
        <v>#N/A</v>
      </c>
      <c r="AG47" s="19" t="e">
        <f t="shared" si="16"/>
        <v>#N/A</v>
      </c>
      <c r="AH47" s="53" t="e">
        <f t="shared" si="17"/>
        <v>#N/A</v>
      </c>
      <c r="AI47" s="53" t="e">
        <f t="shared" si="18"/>
        <v>#N/A</v>
      </c>
      <c r="AJ47" s="53" t="e">
        <f t="shared" si="19"/>
        <v>#N/A</v>
      </c>
      <c r="AK47" s="53" t="e">
        <f>VLOOKUP(AF47,ASZTAB!$AN$42:$AQ$103,2,FALSE)</f>
        <v>#N/A</v>
      </c>
      <c r="AL47" s="53" t="e">
        <f>VLOOKUP(AG47,ASZTAB!$AN$42:$AQ$103,2,FALSE)</f>
        <v>#N/A</v>
      </c>
      <c r="AP47" s="23">
        <v>3</v>
      </c>
      <c r="AQ47" s="23" t="e">
        <f t="shared" si="20"/>
        <v>#N/A</v>
      </c>
      <c r="AR47" s="23" t="e">
        <f t="shared" si="24"/>
        <v>#N/A</v>
      </c>
      <c r="AS47" s="54" t="e">
        <f t="shared" si="21"/>
        <v>#N/A</v>
      </c>
    </row>
    <row r="48" spans="2:45" ht="16.5" hidden="1" customHeight="1" x14ac:dyDescent="0.2">
      <c r="C48" s="55" t="e">
        <f t="shared" si="0"/>
        <v>#N/A</v>
      </c>
      <c r="D48" s="56" t="e">
        <f t="shared" si="1"/>
        <v>#N/A</v>
      </c>
      <c r="E48" s="57" t="e">
        <f t="shared" si="22"/>
        <v>#N/A</v>
      </c>
      <c r="F48" s="43"/>
      <c r="G48" s="55" t="e">
        <f t="shared" si="2"/>
        <v>#N/A</v>
      </c>
      <c r="H48" s="56" t="e">
        <f t="shared" si="3"/>
        <v>#N/A</v>
      </c>
      <c r="I48" s="57" t="e">
        <f t="shared" si="23"/>
        <v>#N/A</v>
      </c>
      <c r="M48" s="18">
        <v>4</v>
      </c>
      <c r="N48" s="18">
        <v>23</v>
      </c>
      <c r="R48" s="19" t="e">
        <f t="shared" si="4"/>
        <v>#N/A</v>
      </c>
      <c r="S48" s="52" t="e">
        <f t="shared" si="5"/>
        <v>#N/A</v>
      </c>
      <c r="T48" s="53" t="e">
        <f t="shared" si="6"/>
        <v>#N/A</v>
      </c>
      <c r="U48" s="19" t="e">
        <f t="shared" si="7"/>
        <v>#N/A</v>
      </c>
      <c r="V48" s="19" t="e">
        <f t="shared" si="8"/>
        <v>#N/A</v>
      </c>
      <c r="W48" s="53" t="e">
        <f t="shared" si="9"/>
        <v>#N/A</v>
      </c>
      <c r="X48" s="53" t="e">
        <f t="shared" si="10"/>
        <v>#N/A</v>
      </c>
      <c r="Y48" s="53" t="e">
        <f t="shared" si="11"/>
        <v>#N/A</v>
      </c>
      <c r="Z48" s="53" t="e">
        <f>VLOOKUP(U48,ASZTAB!$AN$42:$AQ$103,2,FALSE)</f>
        <v>#N/A</v>
      </c>
      <c r="AA48" s="53" t="e">
        <f>VLOOKUP(V48,ASZTAB!$AN$42:$AQ$103,2,FALSE)</f>
        <v>#N/A</v>
      </c>
      <c r="AC48" s="19" t="e">
        <f t="shared" si="12"/>
        <v>#N/A</v>
      </c>
      <c r="AD48" s="52" t="e">
        <f t="shared" si="13"/>
        <v>#N/A</v>
      </c>
      <c r="AE48" s="53" t="e">
        <f t="shared" si="14"/>
        <v>#N/A</v>
      </c>
      <c r="AF48" s="19" t="e">
        <f t="shared" si="15"/>
        <v>#N/A</v>
      </c>
      <c r="AG48" s="19" t="e">
        <f t="shared" si="16"/>
        <v>#N/A</v>
      </c>
      <c r="AH48" s="53" t="e">
        <f t="shared" si="17"/>
        <v>#N/A</v>
      </c>
      <c r="AI48" s="53" t="e">
        <f t="shared" si="18"/>
        <v>#N/A</v>
      </c>
      <c r="AJ48" s="53" t="e">
        <f t="shared" si="19"/>
        <v>#N/A</v>
      </c>
      <c r="AK48" s="53" t="e">
        <f>VLOOKUP(AF48,ASZTAB!$AN$42:$AQ$103,2,FALSE)</f>
        <v>#N/A</v>
      </c>
      <c r="AL48" s="53" t="e">
        <f>VLOOKUP(AG48,ASZTAB!$AN$42:$AQ$103,2,FALSE)</f>
        <v>#N/A</v>
      </c>
      <c r="AP48" s="23">
        <v>4</v>
      </c>
      <c r="AQ48" s="23" t="e">
        <f t="shared" si="20"/>
        <v>#N/A</v>
      </c>
      <c r="AR48" s="23" t="e">
        <f t="shared" si="24"/>
        <v>#N/A</v>
      </c>
      <c r="AS48" s="54" t="e">
        <f t="shared" si="21"/>
        <v>#N/A</v>
      </c>
    </row>
    <row r="49" spans="3:45" ht="16.5" hidden="1" customHeight="1" x14ac:dyDescent="0.2">
      <c r="C49" s="55" t="e">
        <f t="shared" si="0"/>
        <v>#N/A</v>
      </c>
      <c r="D49" s="56" t="e">
        <f t="shared" si="1"/>
        <v>#N/A</v>
      </c>
      <c r="E49" s="57" t="e">
        <f t="shared" si="22"/>
        <v>#N/A</v>
      </c>
      <c r="F49" s="43"/>
      <c r="G49" s="55" t="e">
        <f t="shared" si="2"/>
        <v>#N/A</v>
      </c>
      <c r="H49" s="56" t="e">
        <f t="shared" si="3"/>
        <v>#N/A</v>
      </c>
      <c r="I49" s="57" t="e">
        <f t="shared" si="23"/>
        <v>#N/A</v>
      </c>
      <c r="M49" s="18">
        <v>5</v>
      </c>
      <c r="N49" s="18">
        <v>24</v>
      </c>
      <c r="R49" s="19" t="e">
        <f t="shared" si="4"/>
        <v>#N/A</v>
      </c>
      <c r="S49" s="52" t="e">
        <f t="shared" si="5"/>
        <v>#N/A</v>
      </c>
      <c r="T49" s="53" t="e">
        <f t="shared" si="6"/>
        <v>#N/A</v>
      </c>
      <c r="U49" s="19" t="e">
        <f t="shared" si="7"/>
        <v>#N/A</v>
      </c>
      <c r="V49" s="19" t="e">
        <f t="shared" si="8"/>
        <v>#N/A</v>
      </c>
      <c r="W49" s="53" t="e">
        <f t="shared" si="9"/>
        <v>#N/A</v>
      </c>
      <c r="X49" s="53" t="e">
        <f t="shared" si="10"/>
        <v>#N/A</v>
      </c>
      <c r="Y49" s="53" t="e">
        <f t="shared" si="11"/>
        <v>#N/A</v>
      </c>
      <c r="Z49" s="53" t="e">
        <f>VLOOKUP(U49,ASZTAB!$AN$42:$AQ$103,2,FALSE)</f>
        <v>#N/A</v>
      </c>
      <c r="AA49" s="53" t="e">
        <f>VLOOKUP(V49,ASZTAB!$AN$42:$AQ$103,2,FALSE)</f>
        <v>#N/A</v>
      </c>
      <c r="AC49" s="19" t="e">
        <f t="shared" si="12"/>
        <v>#N/A</v>
      </c>
      <c r="AD49" s="52" t="e">
        <f t="shared" si="13"/>
        <v>#N/A</v>
      </c>
      <c r="AE49" s="53" t="e">
        <f t="shared" si="14"/>
        <v>#N/A</v>
      </c>
      <c r="AF49" s="19" t="e">
        <f t="shared" si="15"/>
        <v>#N/A</v>
      </c>
      <c r="AG49" s="19" t="e">
        <f t="shared" si="16"/>
        <v>#N/A</v>
      </c>
      <c r="AH49" s="53" t="e">
        <f t="shared" si="17"/>
        <v>#N/A</v>
      </c>
      <c r="AI49" s="53" t="e">
        <f t="shared" si="18"/>
        <v>#N/A</v>
      </c>
      <c r="AJ49" s="53" t="e">
        <f t="shared" si="19"/>
        <v>#N/A</v>
      </c>
      <c r="AK49" s="53" t="e">
        <f>VLOOKUP(AF49,ASZTAB!$AN$42:$AQ$103,2,FALSE)</f>
        <v>#N/A</v>
      </c>
      <c r="AL49" s="53" t="e">
        <f>VLOOKUP(AG49,ASZTAB!$AN$42:$AQ$103,2,FALSE)</f>
        <v>#N/A</v>
      </c>
      <c r="AP49" s="23">
        <v>5</v>
      </c>
      <c r="AQ49" s="23" t="e">
        <f t="shared" si="20"/>
        <v>#N/A</v>
      </c>
      <c r="AR49" s="23" t="e">
        <f t="shared" si="24"/>
        <v>#N/A</v>
      </c>
      <c r="AS49" s="54" t="e">
        <f t="shared" si="21"/>
        <v>#N/A</v>
      </c>
    </row>
    <row r="50" spans="3:45" ht="16.5" hidden="1" customHeight="1" x14ac:dyDescent="0.2">
      <c r="C50" s="55" t="e">
        <f t="shared" si="0"/>
        <v>#N/A</v>
      </c>
      <c r="D50" s="56" t="e">
        <f t="shared" si="1"/>
        <v>#N/A</v>
      </c>
      <c r="E50" s="57" t="e">
        <f t="shared" si="22"/>
        <v>#N/A</v>
      </c>
      <c r="F50" s="43"/>
      <c r="G50" s="55" t="e">
        <f t="shared" si="2"/>
        <v>#N/A</v>
      </c>
      <c r="H50" s="56" t="e">
        <f t="shared" si="3"/>
        <v>#N/A</v>
      </c>
      <c r="I50" s="57" t="e">
        <f t="shared" si="23"/>
        <v>#N/A</v>
      </c>
      <c r="M50" s="18">
        <v>6</v>
      </c>
      <c r="N50" s="18">
        <v>25</v>
      </c>
      <c r="R50" s="19" t="e">
        <f t="shared" si="4"/>
        <v>#N/A</v>
      </c>
      <c r="S50" s="52" t="e">
        <f t="shared" si="5"/>
        <v>#N/A</v>
      </c>
      <c r="T50" s="53" t="e">
        <f t="shared" si="6"/>
        <v>#N/A</v>
      </c>
      <c r="U50" s="19" t="e">
        <f t="shared" si="7"/>
        <v>#N/A</v>
      </c>
      <c r="V50" s="19" t="e">
        <f t="shared" si="8"/>
        <v>#N/A</v>
      </c>
      <c r="W50" s="53" t="e">
        <f t="shared" si="9"/>
        <v>#N/A</v>
      </c>
      <c r="X50" s="53" t="e">
        <f t="shared" si="10"/>
        <v>#N/A</v>
      </c>
      <c r="Y50" s="53" t="e">
        <f t="shared" si="11"/>
        <v>#N/A</v>
      </c>
      <c r="Z50" s="53" t="e">
        <f>VLOOKUP(U50,ASZTAB!$AN$42:$AQ$103,2,FALSE)</f>
        <v>#N/A</v>
      </c>
      <c r="AA50" s="53" t="e">
        <f>VLOOKUP(V50,ASZTAB!$AN$42:$AQ$103,2,FALSE)</f>
        <v>#N/A</v>
      </c>
      <c r="AC50" s="19" t="e">
        <f t="shared" si="12"/>
        <v>#N/A</v>
      </c>
      <c r="AD50" s="52" t="e">
        <f t="shared" si="13"/>
        <v>#N/A</v>
      </c>
      <c r="AE50" s="53" t="e">
        <f t="shared" si="14"/>
        <v>#N/A</v>
      </c>
      <c r="AF50" s="19" t="e">
        <f t="shared" si="15"/>
        <v>#N/A</v>
      </c>
      <c r="AG50" s="19" t="e">
        <f t="shared" si="16"/>
        <v>#N/A</v>
      </c>
      <c r="AH50" s="53" t="e">
        <f t="shared" si="17"/>
        <v>#N/A</v>
      </c>
      <c r="AI50" s="53" t="e">
        <f t="shared" si="18"/>
        <v>#N/A</v>
      </c>
      <c r="AJ50" s="53" t="e">
        <f t="shared" si="19"/>
        <v>#N/A</v>
      </c>
      <c r="AK50" s="53" t="e">
        <f>VLOOKUP(AF50,ASZTAB!$AN$42:$AQ$103,2,FALSE)</f>
        <v>#N/A</v>
      </c>
      <c r="AL50" s="53" t="e">
        <f>VLOOKUP(AG50,ASZTAB!$AN$42:$AQ$103,2,FALSE)</f>
        <v>#N/A</v>
      </c>
      <c r="AP50" s="23">
        <v>6</v>
      </c>
      <c r="AQ50" s="23" t="e">
        <f t="shared" si="20"/>
        <v>#N/A</v>
      </c>
      <c r="AR50" s="23" t="e">
        <f t="shared" si="24"/>
        <v>#N/A</v>
      </c>
      <c r="AS50" s="54" t="e">
        <f t="shared" si="21"/>
        <v>#N/A</v>
      </c>
    </row>
    <row r="51" spans="3:45" ht="16.5" hidden="1" customHeight="1" x14ac:dyDescent="0.2">
      <c r="C51" s="55" t="e">
        <f t="shared" si="0"/>
        <v>#N/A</v>
      </c>
      <c r="D51" s="56" t="e">
        <f t="shared" si="1"/>
        <v>#N/A</v>
      </c>
      <c r="E51" s="57" t="e">
        <f t="shared" si="22"/>
        <v>#N/A</v>
      </c>
      <c r="F51" s="43"/>
      <c r="G51" s="55" t="e">
        <f t="shared" si="2"/>
        <v>#N/A</v>
      </c>
      <c r="H51" s="56" t="e">
        <f t="shared" si="3"/>
        <v>#N/A</v>
      </c>
      <c r="I51" s="57" t="e">
        <f t="shared" si="23"/>
        <v>#N/A</v>
      </c>
      <c r="M51" s="18">
        <v>7</v>
      </c>
      <c r="N51" s="18">
        <v>26</v>
      </c>
      <c r="R51" s="19" t="e">
        <f t="shared" si="4"/>
        <v>#N/A</v>
      </c>
      <c r="S51" s="52" t="e">
        <f t="shared" si="5"/>
        <v>#N/A</v>
      </c>
      <c r="T51" s="53" t="e">
        <f t="shared" si="6"/>
        <v>#N/A</v>
      </c>
      <c r="U51" s="19" t="e">
        <f t="shared" si="7"/>
        <v>#N/A</v>
      </c>
      <c r="V51" s="19" t="e">
        <f t="shared" si="8"/>
        <v>#N/A</v>
      </c>
      <c r="W51" s="53" t="e">
        <f t="shared" si="9"/>
        <v>#N/A</v>
      </c>
      <c r="X51" s="53" t="e">
        <f t="shared" si="10"/>
        <v>#N/A</v>
      </c>
      <c r="Y51" s="53" t="e">
        <f t="shared" si="11"/>
        <v>#N/A</v>
      </c>
      <c r="Z51" s="53" t="e">
        <f>VLOOKUP(U51,ASZTAB!$AN$42:$AQ$103,2,FALSE)</f>
        <v>#N/A</v>
      </c>
      <c r="AA51" s="53" t="e">
        <f>VLOOKUP(V51,ASZTAB!$AN$42:$AQ$103,2,FALSE)</f>
        <v>#N/A</v>
      </c>
      <c r="AC51" s="19" t="e">
        <f t="shared" si="12"/>
        <v>#N/A</v>
      </c>
      <c r="AD51" s="52" t="e">
        <f t="shared" si="13"/>
        <v>#N/A</v>
      </c>
      <c r="AE51" s="53" t="e">
        <f t="shared" si="14"/>
        <v>#N/A</v>
      </c>
      <c r="AF51" s="19" t="e">
        <f t="shared" si="15"/>
        <v>#N/A</v>
      </c>
      <c r="AG51" s="19" t="e">
        <f t="shared" si="16"/>
        <v>#N/A</v>
      </c>
      <c r="AH51" s="53" t="e">
        <f t="shared" si="17"/>
        <v>#N/A</v>
      </c>
      <c r="AI51" s="53" t="e">
        <f t="shared" si="18"/>
        <v>#N/A</v>
      </c>
      <c r="AJ51" s="53" t="e">
        <f t="shared" si="19"/>
        <v>#N/A</v>
      </c>
      <c r="AK51" s="53" t="e">
        <f>VLOOKUP(AF51,ASZTAB!$AN$42:$AQ$103,2,FALSE)</f>
        <v>#N/A</v>
      </c>
      <c r="AL51" s="53" t="e">
        <f>VLOOKUP(AG51,ASZTAB!$AN$42:$AQ$103,2,FALSE)</f>
        <v>#N/A</v>
      </c>
      <c r="AP51" s="23">
        <v>7</v>
      </c>
      <c r="AQ51" s="23" t="e">
        <f t="shared" si="20"/>
        <v>#N/A</v>
      </c>
      <c r="AR51" s="23" t="e">
        <f t="shared" si="24"/>
        <v>#N/A</v>
      </c>
      <c r="AS51" s="54" t="e">
        <f t="shared" si="21"/>
        <v>#N/A</v>
      </c>
    </row>
    <row r="52" spans="3:45" ht="16.5" hidden="1" customHeight="1" x14ac:dyDescent="0.2">
      <c r="C52" s="55" t="e">
        <f t="shared" si="0"/>
        <v>#N/A</v>
      </c>
      <c r="D52" s="56" t="e">
        <f t="shared" si="1"/>
        <v>#N/A</v>
      </c>
      <c r="E52" s="57" t="e">
        <f t="shared" si="22"/>
        <v>#N/A</v>
      </c>
      <c r="F52" s="43"/>
      <c r="G52" s="55" t="e">
        <f t="shared" si="2"/>
        <v>#N/A</v>
      </c>
      <c r="H52" s="56" t="e">
        <f t="shared" si="3"/>
        <v>#N/A</v>
      </c>
      <c r="I52" s="57" t="e">
        <f t="shared" si="23"/>
        <v>#N/A</v>
      </c>
      <c r="M52" s="18">
        <v>8</v>
      </c>
      <c r="N52" s="18">
        <v>27</v>
      </c>
      <c r="R52" s="19" t="e">
        <f t="shared" si="4"/>
        <v>#N/A</v>
      </c>
      <c r="S52" s="52" t="e">
        <f t="shared" si="5"/>
        <v>#N/A</v>
      </c>
      <c r="T52" s="53" t="e">
        <f t="shared" si="6"/>
        <v>#N/A</v>
      </c>
      <c r="U52" s="19" t="e">
        <f t="shared" si="7"/>
        <v>#N/A</v>
      </c>
      <c r="V52" s="19" t="e">
        <f t="shared" si="8"/>
        <v>#N/A</v>
      </c>
      <c r="W52" s="53" t="e">
        <f t="shared" si="9"/>
        <v>#N/A</v>
      </c>
      <c r="X52" s="53" t="e">
        <f t="shared" si="10"/>
        <v>#N/A</v>
      </c>
      <c r="Y52" s="53" t="e">
        <f t="shared" si="11"/>
        <v>#N/A</v>
      </c>
      <c r="Z52" s="53" t="e">
        <f>VLOOKUP(U52,ASZTAB!$AN$42:$AQ$103,2,FALSE)</f>
        <v>#N/A</v>
      </c>
      <c r="AA52" s="53" t="e">
        <f>VLOOKUP(V52,ASZTAB!$AN$42:$AQ$103,2,FALSE)</f>
        <v>#N/A</v>
      </c>
      <c r="AC52" s="19" t="e">
        <f t="shared" si="12"/>
        <v>#N/A</v>
      </c>
      <c r="AD52" s="52" t="e">
        <f t="shared" si="13"/>
        <v>#N/A</v>
      </c>
      <c r="AE52" s="53" t="e">
        <f t="shared" si="14"/>
        <v>#N/A</v>
      </c>
      <c r="AF52" s="19" t="e">
        <f t="shared" si="15"/>
        <v>#N/A</v>
      </c>
      <c r="AG52" s="19" t="e">
        <f t="shared" si="16"/>
        <v>#N/A</v>
      </c>
      <c r="AH52" s="53" t="e">
        <f t="shared" si="17"/>
        <v>#N/A</v>
      </c>
      <c r="AI52" s="53" t="e">
        <f t="shared" si="18"/>
        <v>#N/A</v>
      </c>
      <c r="AJ52" s="53" t="e">
        <f t="shared" si="19"/>
        <v>#N/A</v>
      </c>
      <c r="AK52" s="53" t="e">
        <f>VLOOKUP(AF52,ASZTAB!$AN$42:$AQ$103,2,FALSE)</f>
        <v>#N/A</v>
      </c>
      <c r="AL52" s="53" t="e">
        <f>VLOOKUP(AG52,ASZTAB!$AN$42:$AQ$103,2,FALSE)</f>
        <v>#N/A</v>
      </c>
      <c r="AP52" s="23">
        <v>8</v>
      </c>
      <c r="AQ52" s="23" t="e">
        <f t="shared" si="20"/>
        <v>#N/A</v>
      </c>
      <c r="AR52" s="23" t="e">
        <f t="shared" si="24"/>
        <v>#N/A</v>
      </c>
      <c r="AS52" s="54" t="e">
        <f t="shared" si="21"/>
        <v>#N/A</v>
      </c>
    </row>
    <row r="53" spans="3:45" ht="16.5" hidden="1" customHeight="1" x14ac:dyDescent="0.2">
      <c r="C53" s="55" t="e">
        <f t="shared" si="0"/>
        <v>#N/A</v>
      </c>
      <c r="D53" s="56" t="e">
        <f t="shared" si="1"/>
        <v>#N/A</v>
      </c>
      <c r="E53" s="57" t="e">
        <f t="shared" si="22"/>
        <v>#N/A</v>
      </c>
      <c r="F53" s="43"/>
      <c r="G53" s="55" t="e">
        <f t="shared" si="2"/>
        <v>#N/A</v>
      </c>
      <c r="H53" s="56" t="e">
        <f t="shared" si="3"/>
        <v>#N/A</v>
      </c>
      <c r="I53" s="57" t="e">
        <f t="shared" si="23"/>
        <v>#N/A</v>
      </c>
      <c r="M53" s="18">
        <v>9</v>
      </c>
      <c r="N53" s="18">
        <v>28</v>
      </c>
      <c r="R53" s="19" t="e">
        <f t="shared" si="4"/>
        <v>#N/A</v>
      </c>
      <c r="S53" s="52" t="e">
        <f t="shared" si="5"/>
        <v>#N/A</v>
      </c>
      <c r="T53" s="53" t="e">
        <f t="shared" si="6"/>
        <v>#N/A</v>
      </c>
      <c r="U53" s="19" t="e">
        <f t="shared" si="7"/>
        <v>#N/A</v>
      </c>
      <c r="V53" s="19" t="e">
        <f t="shared" si="8"/>
        <v>#N/A</v>
      </c>
      <c r="W53" s="53" t="e">
        <f t="shared" si="9"/>
        <v>#N/A</v>
      </c>
      <c r="X53" s="53" t="e">
        <f t="shared" si="10"/>
        <v>#N/A</v>
      </c>
      <c r="Y53" s="53" t="e">
        <f t="shared" si="11"/>
        <v>#N/A</v>
      </c>
      <c r="Z53" s="53" t="e">
        <f>VLOOKUP(U53,ASZTAB!$AN$42:$AQ$103,2,FALSE)</f>
        <v>#N/A</v>
      </c>
      <c r="AA53" s="53" t="e">
        <f>VLOOKUP(V53,ASZTAB!$AN$42:$AQ$103,2,FALSE)</f>
        <v>#N/A</v>
      </c>
      <c r="AC53" s="19" t="e">
        <f t="shared" si="12"/>
        <v>#N/A</v>
      </c>
      <c r="AD53" s="52" t="e">
        <f t="shared" si="13"/>
        <v>#N/A</v>
      </c>
      <c r="AE53" s="53" t="e">
        <f t="shared" si="14"/>
        <v>#N/A</v>
      </c>
      <c r="AF53" s="19" t="e">
        <f t="shared" si="15"/>
        <v>#N/A</v>
      </c>
      <c r="AG53" s="19" t="e">
        <f t="shared" si="16"/>
        <v>#N/A</v>
      </c>
      <c r="AH53" s="53" t="e">
        <f t="shared" si="17"/>
        <v>#N/A</v>
      </c>
      <c r="AI53" s="53" t="e">
        <f t="shared" si="18"/>
        <v>#N/A</v>
      </c>
      <c r="AJ53" s="53" t="e">
        <f t="shared" si="19"/>
        <v>#N/A</v>
      </c>
      <c r="AK53" s="53" t="e">
        <f>VLOOKUP(AF53,ASZTAB!$AN$42:$AQ$103,2,FALSE)</f>
        <v>#N/A</v>
      </c>
      <c r="AL53" s="53" t="e">
        <f>VLOOKUP(AG53,ASZTAB!$AN$42:$AQ$103,2,FALSE)</f>
        <v>#N/A</v>
      </c>
      <c r="AP53" s="23">
        <v>9</v>
      </c>
      <c r="AQ53" s="23" t="e">
        <f t="shared" si="20"/>
        <v>#N/A</v>
      </c>
      <c r="AR53" s="23" t="e">
        <f t="shared" si="24"/>
        <v>#N/A</v>
      </c>
      <c r="AS53" s="54" t="e">
        <f t="shared" si="21"/>
        <v>#N/A</v>
      </c>
    </row>
    <row r="54" spans="3:45" ht="16.5" hidden="1" customHeight="1" x14ac:dyDescent="0.2">
      <c r="C54" s="55" t="e">
        <f t="shared" si="0"/>
        <v>#N/A</v>
      </c>
      <c r="D54" s="56" t="e">
        <f t="shared" si="1"/>
        <v>#N/A</v>
      </c>
      <c r="E54" s="57" t="e">
        <f t="shared" si="22"/>
        <v>#N/A</v>
      </c>
      <c r="F54" s="43"/>
      <c r="G54" s="55" t="e">
        <f t="shared" si="2"/>
        <v>#N/A</v>
      </c>
      <c r="H54" s="56" t="e">
        <f t="shared" si="3"/>
        <v>#N/A</v>
      </c>
      <c r="I54" s="57" t="e">
        <f t="shared" si="23"/>
        <v>#N/A</v>
      </c>
      <c r="M54" s="18">
        <v>10</v>
      </c>
      <c r="N54" s="18">
        <v>29</v>
      </c>
      <c r="R54" s="19" t="e">
        <f t="shared" si="4"/>
        <v>#N/A</v>
      </c>
      <c r="S54" s="52" t="e">
        <f t="shared" si="5"/>
        <v>#N/A</v>
      </c>
      <c r="T54" s="53" t="e">
        <f t="shared" si="6"/>
        <v>#N/A</v>
      </c>
      <c r="U54" s="19" t="e">
        <f t="shared" si="7"/>
        <v>#N/A</v>
      </c>
      <c r="V54" s="19" t="e">
        <f t="shared" si="8"/>
        <v>#N/A</v>
      </c>
      <c r="W54" s="53" t="e">
        <f t="shared" si="9"/>
        <v>#N/A</v>
      </c>
      <c r="X54" s="53" t="e">
        <f t="shared" si="10"/>
        <v>#N/A</v>
      </c>
      <c r="Y54" s="53" t="e">
        <f t="shared" si="11"/>
        <v>#N/A</v>
      </c>
      <c r="Z54" s="53" t="e">
        <f>VLOOKUP(U54,ASZTAB!$AN$42:$AQ$103,2,FALSE)</f>
        <v>#N/A</v>
      </c>
      <c r="AA54" s="53" t="e">
        <f>VLOOKUP(V54,ASZTAB!$AN$42:$AQ$103,2,FALSE)</f>
        <v>#N/A</v>
      </c>
      <c r="AC54" s="19" t="e">
        <f t="shared" si="12"/>
        <v>#N/A</v>
      </c>
      <c r="AD54" s="52" t="e">
        <f t="shared" si="13"/>
        <v>#N/A</v>
      </c>
      <c r="AE54" s="53" t="e">
        <f t="shared" si="14"/>
        <v>#N/A</v>
      </c>
      <c r="AF54" s="19" t="e">
        <f t="shared" si="15"/>
        <v>#N/A</v>
      </c>
      <c r="AG54" s="19" t="e">
        <f t="shared" si="16"/>
        <v>#N/A</v>
      </c>
      <c r="AH54" s="53" t="e">
        <f t="shared" si="17"/>
        <v>#N/A</v>
      </c>
      <c r="AI54" s="53" t="e">
        <f t="shared" si="18"/>
        <v>#N/A</v>
      </c>
      <c r="AJ54" s="53" t="e">
        <f t="shared" si="19"/>
        <v>#N/A</v>
      </c>
      <c r="AK54" s="53" t="e">
        <f>VLOOKUP(AF54,ASZTAB!$AN$42:$AQ$103,2,FALSE)</f>
        <v>#N/A</v>
      </c>
      <c r="AL54" s="53" t="e">
        <f>VLOOKUP(AG54,ASZTAB!$AN$42:$AQ$103,2,FALSE)</f>
        <v>#N/A</v>
      </c>
      <c r="AP54" s="23">
        <v>10</v>
      </c>
      <c r="AQ54" s="23" t="e">
        <f t="shared" si="20"/>
        <v>#N/A</v>
      </c>
      <c r="AR54" s="23" t="e">
        <f t="shared" si="24"/>
        <v>#N/A</v>
      </c>
      <c r="AS54" s="54" t="e">
        <f t="shared" si="21"/>
        <v>#N/A</v>
      </c>
    </row>
    <row r="55" spans="3:45" ht="16.5" hidden="1" customHeight="1" x14ac:dyDescent="0.2">
      <c r="C55" s="55" t="e">
        <f t="shared" si="0"/>
        <v>#N/A</v>
      </c>
      <c r="D55" s="56" t="e">
        <f t="shared" si="1"/>
        <v>#N/A</v>
      </c>
      <c r="E55" s="57" t="e">
        <f t="shared" si="22"/>
        <v>#N/A</v>
      </c>
      <c r="F55" s="43"/>
      <c r="G55" s="55" t="e">
        <f t="shared" si="2"/>
        <v>#N/A</v>
      </c>
      <c r="H55" s="56" t="e">
        <f t="shared" si="3"/>
        <v>#N/A</v>
      </c>
      <c r="I55" s="57" t="e">
        <f t="shared" si="23"/>
        <v>#N/A</v>
      </c>
      <c r="M55" s="18">
        <v>11</v>
      </c>
      <c r="N55" s="18">
        <v>30</v>
      </c>
      <c r="R55" s="19" t="e">
        <f t="shared" si="4"/>
        <v>#N/A</v>
      </c>
      <c r="S55" s="52" t="e">
        <f t="shared" si="5"/>
        <v>#N/A</v>
      </c>
      <c r="T55" s="53" t="e">
        <f t="shared" si="6"/>
        <v>#N/A</v>
      </c>
      <c r="U55" s="19" t="e">
        <f t="shared" si="7"/>
        <v>#N/A</v>
      </c>
      <c r="V55" s="19" t="e">
        <f t="shared" si="8"/>
        <v>#N/A</v>
      </c>
      <c r="W55" s="53" t="e">
        <f t="shared" si="9"/>
        <v>#N/A</v>
      </c>
      <c r="X55" s="53" t="e">
        <f t="shared" si="10"/>
        <v>#N/A</v>
      </c>
      <c r="Y55" s="53" t="e">
        <f t="shared" si="11"/>
        <v>#N/A</v>
      </c>
      <c r="Z55" s="53" t="e">
        <f>VLOOKUP(U55,ASZTAB!$AN$42:$AQ$103,2,FALSE)</f>
        <v>#N/A</v>
      </c>
      <c r="AA55" s="53" t="e">
        <f>VLOOKUP(V55,ASZTAB!$AN$42:$AQ$103,2,FALSE)</f>
        <v>#N/A</v>
      </c>
      <c r="AC55" s="19" t="e">
        <f t="shared" si="12"/>
        <v>#N/A</v>
      </c>
      <c r="AD55" s="52" t="e">
        <f t="shared" si="13"/>
        <v>#N/A</v>
      </c>
      <c r="AE55" s="53" t="e">
        <f t="shared" si="14"/>
        <v>#N/A</v>
      </c>
      <c r="AF55" s="19" t="e">
        <f t="shared" si="15"/>
        <v>#N/A</v>
      </c>
      <c r="AG55" s="19" t="e">
        <f t="shared" si="16"/>
        <v>#N/A</v>
      </c>
      <c r="AH55" s="53" t="e">
        <f t="shared" si="17"/>
        <v>#N/A</v>
      </c>
      <c r="AI55" s="53" t="e">
        <f t="shared" si="18"/>
        <v>#N/A</v>
      </c>
      <c r="AJ55" s="53" t="e">
        <f t="shared" si="19"/>
        <v>#N/A</v>
      </c>
      <c r="AK55" s="53" t="e">
        <f>VLOOKUP(AF55,ASZTAB!$AN$42:$AQ$103,2,FALSE)</f>
        <v>#N/A</v>
      </c>
      <c r="AL55" s="53" t="e">
        <f>VLOOKUP(AG55,ASZTAB!$AN$42:$AQ$103,2,FALSE)</f>
        <v>#N/A</v>
      </c>
      <c r="AP55" s="23">
        <v>11</v>
      </c>
      <c r="AQ55" s="23" t="e">
        <f t="shared" si="20"/>
        <v>#N/A</v>
      </c>
      <c r="AR55" s="23" t="e">
        <f t="shared" si="24"/>
        <v>#N/A</v>
      </c>
      <c r="AS55" s="54" t="e">
        <f t="shared" si="21"/>
        <v>#N/A</v>
      </c>
    </row>
    <row r="56" spans="3:45" ht="16.5" hidden="1" customHeight="1" x14ac:dyDescent="0.2">
      <c r="C56" s="55" t="e">
        <f t="shared" si="0"/>
        <v>#N/A</v>
      </c>
      <c r="D56" s="56" t="e">
        <f t="shared" si="1"/>
        <v>#N/A</v>
      </c>
      <c r="E56" s="57" t="e">
        <f t="shared" si="22"/>
        <v>#N/A</v>
      </c>
      <c r="F56" s="43"/>
      <c r="G56" s="55" t="e">
        <f t="shared" si="2"/>
        <v>#N/A</v>
      </c>
      <c r="H56" s="56" t="e">
        <f t="shared" si="3"/>
        <v>#N/A</v>
      </c>
      <c r="I56" s="57" t="e">
        <f t="shared" si="23"/>
        <v>#N/A</v>
      </c>
      <c r="M56" s="18">
        <v>12</v>
      </c>
      <c r="N56" s="18">
        <v>31</v>
      </c>
      <c r="R56" s="19" t="e">
        <f t="shared" si="4"/>
        <v>#N/A</v>
      </c>
      <c r="S56" s="52" t="e">
        <f t="shared" si="5"/>
        <v>#N/A</v>
      </c>
      <c r="T56" s="53" t="e">
        <f t="shared" si="6"/>
        <v>#N/A</v>
      </c>
      <c r="U56" s="19" t="e">
        <f t="shared" si="7"/>
        <v>#N/A</v>
      </c>
      <c r="V56" s="19" t="e">
        <f t="shared" si="8"/>
        <v>#N/A</v>
      </c>
      <c r="W56" s="53" t="e">
        <f t="shared" si="9"/>
        <v>#N/A</v>
      </c>
      <c r="X56" s="53" t="e">
        <f t="shared" si="10"/>
        <v>#N/A</v>
      </c>
      <c r="Y56" s="53" t="e">
        <f t="shared" si="11"/>
        <v>#N/A</v>
      </c>
      <c r="Z56" s="53" t="e">
        <f>VLOOKUP(U56,ASZTAB!$AN$42:$AQ$103,2,FALSE)</f>
        <v>#N/A</v>
      </c>
      <c r="AA56" s="53" t="e">
        <f>VLOOKUP(V56,ASZTAB!$AN$42:$AQ$103,2,FALSE)</f>
        <v>#N/A</v>
      </c>
      <c r="AC56" s="19" t="e">
        <f t="shared" si="12"/>
        <v>#N/A</v>
      </c>
      <c r="AD56" s="52" t="e">
        <f t="shared" si="13"/>
        <v>#N/A</v>
      </c>
      <c r="AE56" s="53" t="e">
        <f t="shared" si="14"/>
        <v>#N/A</v>
      </c>
      <c r="AF56" s="19" t="e">
        <f t="shared" si="15"/>
        <v>#N/A</v>
      </c>
      <c r="AG56" s="19" t="e">
        <f t="shared" si="16"/>
        <v>#N/A</v>
      </c>
      <c r="AH56" s="53" t="e">
        <f t="shared" si="17"/>
        <v>#N/A</v>
      </c>
      <c r="AI56" s="53" t="e">
        <f t="shared" si="18"/>
        <v>#N/A</v>
      </c>
      <c r="AJ56" s="53" t="e">
        <f t="shared" si="19"/>
        <v>#N/A</v>
      </c>
      <c r="AK56" s="53" t="e">
        <f>VLOOKUP(AF56,ASZTAB!$AN$42:$AQ$103,2,FALSE)</f>
        <v>#N/A</v>
      </c>
      <c r="AL56" s="53" t="e">
        <f>VLOOKUP(AG56,ASZTAB!$AN$42:$AQ$103,2,FALSE)</f>
        <v>#N/A</v>
      </c>
      <c r="AP56" s="23">
        <v>12</v>
      </c>
      <c r="AQ56" s="23" t="e">
        <f t="shared" si="20"/>
        <v>#N/A</v>
      </c>
      <c r="AR56" s="23" t="e">
        <f t="shared" si="24"/>
        <v>#N/A</v>
      </c>
      <c r="AS56" s="54" t="e">
        <f t="shared" si="21"/>
        <v>#N/A</v>
      </c>
    </row>
    <row r="57" spans="3:45" ht="16.5" hidden="1" customHeight="1" x14ac:dyDescent="0.2">
      <c r="C57" s="55" t="e">
        <f t="shared" si="0"/>
        <v>#N/A</v>
      </c>
      <c r="D57" s="56" t="e">
        <f t="shared" si="1"/>
        <v>#N/A</v>
      </c>
      <c r="E57" s="57" t="e">
        <f t="shared" si="22"/>
        <v>#N/A</v>
      </c>
      <c r="F57" s="43"/>
      <c r="G57" s="55" t="e">
        <f t="shared" si="2"/>
        <v>#N/A</v>
      </c>
      <c r="H57" s="56" t="e">
        <f t="shared" si="3"/>
        <v>#N/A</v>
      </c>
      <c r="I57" s="57" t="e">
        <f t="shared" si="23"/>
        <v>#N/A</v>
      </c>
      <c r="M57" s="18">
        <v>13</v>
      </c>
      <c r="N57" s="18">
        <v>32</v>
      </c>
      <c r="R57" s="19" t="e">
        <f t="shared" si="4"/>
        <v>#N/A</v>
      </c>
      <c r="S57" s="52" t="e">
        <f t="shared" si="5"/>
        <v>#N/A</v>
      </c>
      <c r="T57" s="53" t="e">
        <f t="shared" si="6"/>
        <v>#N/A</v>
      </c>
      <c r="U57" s="19" t="e">
        <f t="shared" si="7"/>
        <v>#N/A</v>
      </c>
      <c r="V57" s="19" t="e">
        <f t="shared" si="8"/>
        <v>#N/A</v>
      </c>
      <c r="W57" s="53" t="e">
        <f t="shared" si="9"/>
        <v>#N/A</v>
      </c>
      <c r="X57" s="53" t="e">
        <f t="shared" si="10"/>
        <v>#N/A</v>
      </c>
      <c r="Y57" s="53" t="e">
        <f t="shared" si="11"/>
        <v>#N/A</v>
      </c>
      <c r="Z57" s="53" t="e">
        <f>VLOOKUP(U57,ASZTAB!$AN$42:$AQ$103,2,FALSE)</f>
        <v>#N/A</v>
      </c>
      <c r="AA57" s="53" t="e">
        <f>VLOOKUP(V57,ASZTAB!$AN$42:$AQ$103,2,FALSE)</f>
        <v>#N/A</v>
      </c>
      <c r="AC57" s="19" t="e">
        <f t="shared" si="12"/>
        <v>#N/A</v>
      </c>
      <c r="AD57" s="52" t="e">
        <f t="shared" si="13"/>
        <v>#N/A</v>
      </c>
      <c r="AE57" s="53" t="e">
        <f t="shared" si="14"/>
        <v>#N/A</v>
      </c>
      <c r="AF57" s="19" t="e">
        <f t="shared" si="15"/>
        <v>#N/A</v>
      </c>
      <c r="AG57" s="19" t="e">
        <f t="shared" si="16"/>
        <v>#N/A</v>
      </c>
      <c r="AH57" s="53" t="e">
        <f t="shared" si="17"/>
        <v>#N/A</v>
      </c>
      <c r="AI57" s="53" t="e">
        <f t="shared" si="18"/>
        <v>#N/A</v>
      </c>
      <c r="AJ57" s="53" t="e">
        <f t="shared" si="19"/>
        <v>#N/A</v>
      </c>
      <c r="AK57" s="53" t="e">
        <f>VLOOKUP(AF57,ASZTAB!$AN$42:$AQ$103,2,FALSE)</f>
        <v>#N/A</v>
      </c>
      <c r="AL57" s="53" t="e">
        <f>VLOOKUP(AG57,ASZTAB!$AN$42:$AQ$103,2,FALSE)</f>
        <v>#N/A</v>
      </c>
      <c r="AP57" s="23">
        <v>13</v>
      </c>
      <c r="AQ57" s="23" t="e">
        <f t="shared" si="20"/>
        <v>#N/A</v>
      </c>
      <c r="AR57" s="23" t="e">
        <f t="shared" si="24"/>
        <v>#N/A</v>
      </c>
      <c r="AS57" s="54" t="e">
        <f t="shared" si="21"/>
        <v>#N/A</v>
      </c>
    </row>
    <row r="58" spans="3:45" ht="16.5" hidden="1" customHeight="1" x14ac:dyDescent="0.2">
      <c r="C58" s="55" t="e">
        <f t="shared" si="0"/>
        <v>#N/A</v>
      </c>
      <c r="D58" s="56" t="e">
        <f t="shared" si="1"/>
        <v>#N/A</v>
      </c>
      <c r="E58" s="57" t="e">
        <f t="shared" si="22"/>
        <v>#N/A</v>
      </c>
      <c r="F58" s="43"/>
      <c r="G58" s="55" t="e">
        <f t="shared" si="2"/>
        <v>#N/A</v>
      </c>
      <c r="H58" s="56" t="e">
        <f t="shared" si="3"/>
        <v>#N/A</v>
      </c>
      <c r="I58" s="57" t="e">
        <f t="shared" si="23"/>
        <v>#N/A</v>
      </c>
      <c r="M58" s="18">
        <v>14</v>
      </c>
      <c r="N58" s="18">
        <v>33</v>
      </c>
      <c r="R58" s="19" t="e">
        <f t="shared" si="4"/>
        <v>#N/A</v>
      </c>
      <c r="S58" s="52" t="e">
        <f t="shared" si="5"/>
        <v>#N/A</v>
      </c>
      <c r="T58" s="53" t="e">
        <f t="shared" si="6"/>
        <v>#N/A</v>
      </c>
      <c r="U58" s="19" t="e">
        <f t="shared" si="7"/>
        <v>#N/A</v>
      </c>
      <c r="V58" s="19" t="e">
        <f t="shared" si="8"/>
        <v>#N/A</v>
      </c>
      <c r="W58" s="53" t="e">
        <f t="shared" si="9"/>
        <v>#N/A</v>
      </c>
      <c r="X58" s="53" t="e">
        <f t="shared" si="10"/>
        <v>#N/A</v>
      </c>
      <c r="Y58" s="53" t="e">
        <f t="shared" si="11"/>
        <v>#N/A</v>
      </c>
      <c r="Z58" s="53" t="e">
        <f>VLOOKUP(U58,ASZTAB!$AN$42:$AQ$103,2,FALSE)</f>
        <v>#N/A</v>
      </c>
      <c r="AA58" s="53" t="e">
        <f>VLOOKUP(V58,ASZTAB!$AN$42:$AQ$103,2,FALSE)</f>
        <v>#N/A</v>
      </c>
      <c r="AC58" s="19" t="e">
        <f t="shared" si="12"/>
        <v>#N/A</v>
      </c>
      <c r="AD58" s="52" t="e">
        <f t="shared" si="13"/>
        <v>#N/A</v>
      </c>
      <c r="AE58" s="53" t="e">
        <f t="shared" si="14"/>
        <v>#N/A</v>
      </c>
      <c r="AF58" s="19" t="e">
        <f t="shared" si="15"/>
        <v>#N/A</v>
      </c>
      <c r="AG58" s="19" t="e">
        <f t="shared" si="16"/>
        <v>#N/A</v>
      </c>
      <c r="AH58" s="53" t="e">
        <f t="shared" si="17"/>
        <v>#N/A</v>
      </c>
      <c r="AI58" s="53" t="e">
        <f t="shared" si="18"/>
        <v>#N/A</v>
      </c>
      <c r="AJ58" s="53" t="e">
        <f t="shared" si="19"/>
        <v>#N/A</v>
      </c>
      <c r="AK58" s="53" t="e">
        <f>VLOOKUP(AF58,ASZTAB!$AN$42:$AQ$103,2,FALSE)</f>
        <v>#N/A</v>
      </c>
      <c r="AL58" s="53" t="e">
        <f>VLOOKUP(AG58,ASZTAB!$AN$42:$AQ$103,2,FALSE)</f>
        <v>#N/A</v>
      </c>
      <c r="AP58" s="23">
        <v>14</v>
      </c>
      <c r="AQ58" s="23" t="e">
        <f t="shared" si="20"/>
        <v>#N/A</v>
      </c>
      <c r="AR58" s="23" t="e">
        <f t="shared" si="24"/>
        <v>#N/A</v>
      </c>
      <c r="AS58" s="54" t="e">
        <f t="shared" si="21"/>
        <v>#N/A</v>
      </c>
    </row>
    <row r="59" spans="3:45" ht="16.5" hidden="1" customHeight="1" x14ac:dyDescent="0.2">
      <c r="C59" s="55" t="e">
        <f t="shared" si="0"/>
        <v>#N/A</v>
      </c>
      <c r="D59" s="56" t="e">
        <f t="shared" si="1"/>
        <v>#N/A</v>
      </c>
      <c r="E59" s="57" t="e">
        <f t="shared" si="22"/>
        <v>#N/A</v>
      </c>
      <c r="F59" s="43"/>
      <c r="G59" s="55" t="e">
        <f t="shared" si="2"/>
        <v>#N/A</v>
      </c>
      <c r="H59" s="56" t="e">
        <f t="shared" si="3"/>
        <v>#N/A</v>
      </c>
      <c r="I59" s="57" t="e">
        <f t="shared" si="23"/>
        <v>#N/A</v>
      </c>
      <c r="M59" s="18">
        <v>15</v>
      </c>
      <c r="N59" s="18">
        <v>34</v>
      </c>
      <c r="R59" s="19" t="e">
        <f t="shared" si="4"/>
        <v>#N/A</v>
      </c>
      <c r="S59" s="52" t="e">
        <f t="shared" si="5"/>
        <v>#N/A</v>
      </c>
      <c r="T59" s="53" t="e">
        <f t="shared" si="6"/>
        <v>#N/A</v>
      </c>
      <c r="U59" s="19" t="e">
        <f t="shared" si="7"/>
        <v>#N/A</v>
      </c>
      <c r="V59" s="19" t="e">
        <f t="shared" si="8"/>
        <v>#N/A</v>
      </c>
      <c r="W59" s="53" t="e">
        <f t="shared" si="9"/>
        <v>#N/A</v>
      </c>
      <c r="X59" s="53" t="e">
        <f t="shared" si="10"/>
        <v>#N/A</v>
      </c>
      <c r="Y59" s="53" t="e">
        <f t="shared" si="11"/>
        <v>#N/A</v>
      </c>
      <c r="Z59" s="53" t="e">
        <f>VLOOKUP(U59,ASZTAB!$AN$42:$AQ$103,2,FALSE)</f>
        <v>#N/A</v>
      </c>
      <c r="AA59" s="53" t="e">
        <f>VLOOKUP(V59,ASZTAB!$AN$42:$AQ$103,2,FALSE)</f>
        <v>#N/A</v>
      </c>
      <c r="AC59" s="19" t="e">
        <f t="shared" si="12"/>
        <v>#N/A</v>
      </c>
      <c r="AD59" s="52" t="e">
        <f t="shared" si="13"/>
        <v>#N/A</v>
      </c>
      <c r="AE59" s="53" t="e">
        <f t="shared" si="14"/>
        <v>#N/A</v>
      </c>
      <c r="AF59" s="19" t="e">
        <f t="shared" si="15"/>
        <v>#N/A</v>
      </c>
      <c r="AG59" s="19" t="e">
        <f t="shared" si="16"/>
        <v>#N/A</v>
      </c>
      <c r="AH59" s="53" t="e">
        <f t="shared" si="17"/>
        <v>#N/A</v>
      </c>
      <c r="AI59" s="53" t="e">
        <f t="shared" si="18"/>
        <v>#N/A</v>
      </c>
      <c r="AJ59" s="53" t="e">
        <f t="shared" si="19"/>
        <v>#N/A</v>
      </c>
      <c r="AK59" s="53" t="e">
        <f>VLOOKUP(AF59,ASZTAB!$AN$42:$AQ$103,2,FALSE)</f>
        <v>#N/A</v>
      </c>
      <c r="AL59" s="53" t="e">
        <f>VLOOKUP(AG59,ASZTAB!$AN$42:$AQ$103,2,FALSE)</f>
        <v>#N/A</v>
      </c>
      <c r="AP59" s="23">
        <v>15</v>
      </c>
      <c r="AQ59" s="23" t="e">
        <f t="shared" si="20"/>
        <v>#N/A</v>
      </c>
      <c r="AR59" s="23" t="e">
        <f t="shared" si="24"/>
        <v>#N/A</v>
      </c>
      <c r="AS59" s="54" t="e">
        <f t="shared" si="21"/>
        <v>#N/A</v>
      </c>
    </row>
    <row r="60" spans="3:45" ht="16.5" hidden="1" customHeight="1" x14ac:dyDescent="0.2">
      <c r="C60" s="55" t="e">
        <f t="shared" si="0"/>
        <v>#N/A</v>
      </c>
      <c r="D60" s="56" t="e">
        <f t="shared" si="1"/>
        <v>#N/A</v>
      </c>
      <c r="E60" s="57" t="e">
        <f t="shared" si="22"/>
        <v>#N/A</v>
      </c>
      <c r="F60" s="43"/>
      <c r="G60" s="55" t="e">
        <f t="shared" si="2"/>
        <v>#N/A</v>
      </c>
      <c r="H60" s="56" t="e">
        <f t="shared" si="3"/>
        <v>#N/A</v>
      </c>
      <c r="I60" s="57" t="e">
        <f t="shared" si="23"/>
        <v>#N/A</v>
      </c>
      <c r="M60" s="18">
        <v>16</v>
      </c>
      <c r="N60" s="18">
        <v>35</v>
      </c>
      <c r="R60" s="19" t="e">
        <f t="shared" si="4"/>
        <v>#N/A</v>
      </c>
      <c r="S60" s="52" t="e">
        <f t="shared" si="5"/>
        <v>#N/A</v>
      </c>
      <c r="T60" s="53" t="e">
        <f t="shared" si="6"/>
        <v>#N/A</v>
      </c>
      <c r="U60" s="19" t="e">
        <f t="shared" si="7"/>
        <v>#N/A</v>
      </c>
      <c r="V60" s="19" t="e">
        <f t="shared" si="8"/>
        <v>#N/A</v>
      </c>
      <c r="W60" s="53" t="e">
        <f t="shared" si="9"/>
        <v>#N/A</v>
      </c>
      <c r="X60" s="53" t="e">
        <f t="shared" si="10"/>
        <v>#N/A</v>
      </c>
      <c r="Y60" s="53" t="e">
        <f t="shared" si="11"/>
        <v>#N/A</v>
      </c>
      <c r="Z60" s="53" t="e">
        <f>VLOOKUP(U60,ASZTAB!$AN$42:$AQ$103,2,FALSE)</f>
        <v>#N/A</v>
      </c>
      <c r="AA60" s="53" t="e">
        <f>VLOOKUP(V60,ASZTAB!$AN$42:$AQ$103,2,FALSE)</f>
        <v>#N/A</v>
      </c>
      <c r="AC60" s="19" t="e">
        <f t="shared" si="12"/>
        <v>#N/A</v>
      </c>
      <c r="AD60" s="52" t="e">
        <f t="shared" si="13"/>
        <v>#N/A</v>
      </c>
      <c r="AE60" s="53" t="e">
        <f t="shared" si="14"/>
        <v>#N/A</v>
      </c>
      <c r="AF60" s="19" t="e">
        <f t="shared" si="15"/>
        <v>#N/A</v>
      </c>
      <c r="AG60" s="19" t="e">
        <f t="shared" si="16"/>
        <v>#N/A</v>
      </c>
      <c r="AH60" s="53" t="e">
        <f t="shared" si="17"/>
        <v>#N/A</v>
      </c>
      <c r="AI60" s="53" t="e">
        <f t="shared" si="18"/>
        <v>#N/A</v>
      </c>
      <c r="AJ60" s="53" t="e">
        <f t="shared" si="19"/>
        <v>#N/A</v>
      </c>
      <c r="AK60" s="53" t="e">
        <f>VLOOKUP(AF60,ASZTAB!$AN$42:$AQ$103,2,FALSE)</f>
        <v>#N/A</v>
      </c>
      <c r="AL60" s="53" t="e">
        <f>VLOOKUP(AG60,ASZTAB!$AN$42:$AQ$103,2,FALSE)</f>
        <v>#N/A</v>
      </c>
      <c r="AP60" s="23">
        <v>16</v>
      </c>
      <c r="AQ60" s="23" t="e">
        <f t="shared" si="20"/>
        <v>#N/A</v>
      </c>
      <c r="AR60" s="23" t="e">
        <f t="shared" si="24"/>
        <v>#N/A</v>
      </c>
      <c r="AS60" s="54" t="e">
        <f t="shared" si="21"/>
        <v>#N/A</v>
      </c>
    </row>
    <row r="61" spans="3:45" ht="16.5" hidden="1" customHeight="1" x14ac:dyDescent="0.2">
      <c r="C61" s="55" t="e">
        <f t="shared" si="0"/>
        <v>#N/A</v>
      </c>
      <c r="D61" s="56" t="e">
        <f t="shared" si="1"/>
        <v>#N/A</v>
      </c>
      <c r="E61" s="57" t="e">
        <f t="shared" si="22"/>
        <v>#N/A</v>
      </c>
      <c r="F61" s="43"/>
      <c r="G61" s="55" t="e">
        <f t="shared" si="2"/>
        <v>#N/A</v>
      </c>
      <c r="H61" s="56" t="e">
        <f t="shared" si="3"/>
        <v>#N/A</v>
      </c>
      <c r="I61" s="57" t="e">
        <f t="shared" si="23"/>
        <v>#N/A</v>
      </c>
      <c r="M61" s="18">
        <v>17</v>
      </c>
      <c r="N61" s="18">
        <v>36</v>
      </c>
      <c r="R61" s="19" t="e">
        <f t="shared" si="4"/>
        <v>#N/A</v>
      </c>
      <c r="S61" s="52" t="e">
        <f t="shared" si="5"/>
        <v>#N/A</v>
      </c>
      <c r="T61" s="53" t="e">
        <f t="shared" si="6"/>
        <v>#N/A</v>
      </c>
      <c r="U61" s="19" t="e">
        <f t="shared" si="7"/>
        <v>#N/A</v>
      </c>
      <c r="V61" s="19" t="e">
        <f t="shared" si="8"/>
        <v>#N/A</v>
      </c>
      <c r="W61" s="53" t="e">
        <f t="shared" si="9"/>
        <v>#N/A</v>
      </c>
      <c r="X61" s="53" t="e">
        <f t="shared" si="10"/>
        <v>#N/A</v>
      </c>
      <c r="Y61" s="53" t="e">
        <f t="shared" si="11"/>
        <v>#N/A</v>
      </c>
      <c r="Z61" s="53" t="e">
        <f>VLOOKUP(U61,ASZTAB!$AN$42:$AQ$103,2,FALSE)</f>
        <v>#N/A</v>
      </c>
      <c r="AA61" s="53" t="e">
        <f>VLOOKUP(V61,ASZTAB!$AN$42:$AQ$103,2,FALSE)</f>
        <v>#N/A</v>
      </c>
      <c r="AC61" s="19" t="e">
        <f t="shared" si="12"/>
        <v>#N/A</v>
      </c>
      <c r="AD61" s="52" t="e">
        <f t="shared" si="13"/>
        <v>#N/A</v>
      </c>
      <c r="AE61" s="53" t="e">
        <f t="shared" si="14"/>
        <v>#N/A</v>
      </c>
      <c r="AF61" s="19" t="e">
        <f t="shared" si="15"/>
        <v>#N/A</v>
      </c>
      <c r="AG61" s="19" t="e">
        <f t="shared" si="16"/>
        <v>#N/A</v>
      </c>
      <c r="AH61" s="53" t="e">
        <f t="shared" si="17"/>
        <v>#N/A</v>
      </c>
      <c r="AI61" s="53" t="e">
        <f t="shared" si="18"/>
        <v>#N/A</v>
      </c>
      <c r="AJ61" s="53" t="e">
        <f t="shared" si="19"/>
        <v>#N/A</v>
      </c>
      <c r="AK61" s="53" t="e">
        <f>VLOOKUP(AF61,ASZTAB!$AN$42:$AQ$103,2,FALSE)</f>
        <v>#N/A</v>
      </c>
      <c r="AL61" s="53" t="e">
        <f>VLOOKUP(AG61,ASZTAB!$AN$42:$AQ$103,2,FALSE)</f>
        <v>#N/A</v>
      </c>
      <c r="AP61" s="23">
        <v>17</v>
      </c>
      <c r="AQ61" s="23" t="e">
        <f t="shared" si="20"/>
        <v>#N/A</v>
      </c>
      <c r="AR61" s="23" t="e">
        <f t="shared" si="24"/>
        <v>#N/A</v>
      </c>
      <c r="AS61" s="54" t="e">
        <f t="shared" si="21"/>
        <v>#N/A</v>
      </c>
    </row>
    <row r="62" spans="3:45" ht="16.5" hidden="1" customHeight="1" x14ac:dyDescent="0.2">
      <c r="C62" s="55" t="e">
        <f t="shared" si="0"/>
        <v>#N/A</v>
      </c>
      <c r="D62" s="56" t="e">
        <f t="shared" si="1"/>
        <v>#N/A</v>
      </c>
      <c r="E62" s="57" t="e">
        <f t="shared" si="22"/>
        <v>#N/A</v>
      </c>
      <c r="F62" s="43"/>
      <c r="G62" s="55" t="e">
        <f t="shared" si="2"/>
        <v>#N/A</v>
      </c>
      <c r="H62" s="56" t="e">
        <f t="shared" si="3"/>
        <v>#N/A</v>
      </c>
      <c r="I62" s="57" t="e">
        <f t="shared" si="23"/>
        <v>#N/A</v>
      </c>
      <c r="M62" s="18">
        <v>18</v>
      </c>
      <c r="N62" s="18">
        <v>37</v>
      </c>
      <c r="R62" s="19" t="e">
        <f t="shared" si="4"/>
        <v>#N/A</v>
      </c>
      <c r="S62" s="52" t="e">
        <f t="shared" si="5"/>
        <v>#N/A</v>
      </c>
      <c r="T62" s="53" t="e">
        <f t="shared" si="6"/>
        <v>#N/A</v>
      </c>
      <c r="U62" s="19" t="e">
        <f t="shared" si="7"/>
        <v>#N/A</v>
      </c>
      <c r="V62" s="19" t="e">
        <f t="shared" si="8"/>
        <v>#N/A</v>
      </c>
      <c r="W62" s="53" t="e">
        <f t="shared" si="9"/>
        <v>#N/A</v>
      </c>
      <c r="X62" s="53" t="e">
        <f t="shared" si="10"/>
        <v>#N/A</v>
      </c>
      <c r="Y62" s="53" t="e">
        <f t="shared" si="11"/>
        <v>#N/A</v>
      </c>
      <c r="Z62" s="53" t="e">
        <f>VLOOKUP(U62,ASZTAB!$AN$42:$AQ$103,2,FALSE)</f>
        <v>#N/A</v>
      </c>
      <c r="AA62" s="53" t="e">
        <f>VLOOKUP(V62,ASZTAB!$AN$42:$AQ$103,2,FALSE)</f>
        <v>#N/A</v>
      </c>
      <c r="AC62" s="19" t="e">
        <f t="shared" si="12"/>
        <v>#N/A</v>
      </c>
      <c r="AD62" s="52" t="e">
        <f t="shared" si="13"/>
        <v>#N/A</v>
      </c>
      <c r="AE62" s="53" t="e">
        <f t="shared" si="14"/>
        <v>#N/A</v>
      </c>
      <c r="AF62" s="19" t="e">
        <f t="shared" si="15"/>
        <v>#N/A</v>
      </c>
      <c r="AG62" s="19" t="e">
        <f t="shared" si="16"/>
        <v>#N/A</v>
      </c>
      <c r="AH62" s="53" t="e">
        <f t="shared" si="17"/>
        <v>#N/A</v>
      </c>
      <c r="AI62" s="53" t="e">
        <f t="shared" si="18"/>
        <v>#N/A</v>
      </c>
      <c r="AJ62" s="53" t="e">
        <f t="shared" si="19"/>
        <v>#N/A</v>
      </c>
      <c r="AK62" s="53" t="e">
        <f>VLOOKUP(AF62,ASZTAB!$AN$42:$AQ$103,2,FALSE)</f>
        <v>#N/A</v>
      </c>
      <c r="AL62" s="53" t="e">
        <f>VLOOKUP(AG62,ASZTAB!$AN$42:$AQ$103,2,FALSE)</f>
        <v>#N/A</v>
      </c>
      <c r="AP62" s="23">
        <v>18</v>
      </c>
      <c r="AQ62" s="23" t="e">
        <f t="shared" si="20"/>
        <v>#N/A</v>
      </c>
      <c r="AR62" s="23" t="e">
        <f t="shared" si="24"/>
        <v>#N/A</v>
      </c>
      <c r="AS62" s="54" t="e">
        <f t="shared" si="21"/>
        <v>#N/A</v>
      </c>
    </row>
    <row r="63" spans="3:45" ht="16.5" hidden="1" customHeight="1" x14ac:dyDescent="0.2">
      <c r="C63" s="58" t="e">
        <f t="shared" si="0"/>
        <v>#N/A</v>
      </c>
      <c r="D63" s="59" t="e">
        <f t="shared" si="1"/>
        <v>#N/A</v>
      </c>
      <c r="E63" s="60" t="e">
        <f t="shared" si="22"/>
        <v>#N/A</v>
      </c>
      <c r="F63" s="43"/>
      <c r="G63" s="58" t="e">
        <f t="shared" si="2"/>
        <v>#N/A</v>
      </c>
      <c r="H63" s="59" t="e">
        <f t="shared" si="3"/>
        <v>#N/A</v>
      </c>
      <c r="I63" s="60" t="e">
        <f t="shared" si="23"/>
        <v>#N/A</v>
      </c>
      <c r="M63" s="18">
        <v>19</v>
      </c>
      <c r="N63" s="18">
        <v>38</v>
      </c>
      <c r="R63" s="19" t="e">
        <f t="shared" si="4"/>
        <v>#N/A</v>
      </c>
      <c r="S63" s="52" t="e">
        <f t="shared" si="5"/>
        <v>#N/A</v>
      </c>
      <c r="T63" s="53" t="e">
        <f t="shared" si="6"/>
        <v>#N/A</v>
      </c>
      <c r="U63" s="19" t="e">
        <f t="shared" si="7"/>
        <v>#N/A</v>
      </c>
      <c r="V63" s="19" t="e">
        <f t="shared" si="8"/>
        <v>#N/A</v>
      </c>
      <c r="W63" s="53" t="e">
        <f t="shared" si="9"/>
        <v>#N/A</v>
      </c>
      <c r="X63" s="53" t="e">
        <f t="shared" si="10"/>
        <v>#N/A</v>
      </c>
      <c r="Y63" s="53" t="e">
        <f t="shared" si="11"/>
        <v>#N/A</v>
      </c>
      <c r="Z63" s="53" t="e">
        <f>VLOOKUP(U63,ASZTAB!$AN$42:$AQ$103,2,FALSE)</f>
        <v>#N/A</v>
      </c>
      <c r="AA63" s="53" t="e">
        <f>VLOOKUP(V63,ASZTAB!$AN$42:$AQ$103,2,FALSE)</f>
        <v>#N/A</v>
      </c>
      <c r="AC63" s="19" t="e">
        <f t="shared" si="12"/>
        <v>#N/A</v>
      </c>
      <c r="AD63" s="52" t="e">
        <f t="shared" si="13"/>
        <v>#N/A</v>
      </c>
      <c r="AE63" s="53" t="e">
        <f t="shared" si="14"/>
        <v>#N/A</v>
      </c>
      <c r="AF63" s="19" t="e">
        <f t="shared" si="15"/>
        <v>#N/A</v>
      </c>
      <c r="AG63" s="19" t="e">
        <f t="shared" si="16"/>
        <v>#N/A</v>
      </c>
      <c r="AH63" s="53" t="e">
        <f t="shared" si="17"/>
        <v>#N/A</v>
      </c>
      <c r="AI63" s="53" t="e">
        <f t="shared" si="18"/>
        <v>#N/A</v>
      </c>
      <c r="AJ63" s="53" t="e">
        <f t="shared" si="19"/>
        <v>#N/A</v>
      </c>
      <c r="AK63" s="53" t="e">
        <f>VLOOKUP(AF63,ASZTAB!$AN$42:$AQ$103,2,FALSE)</f>
        <v>#N/A</v>
      </c>
      <c r="AL63" s="53" t="e">
        <f>VLOOKUP(AG63,ASZTAB!$AN$42:$AQ$103,2,FALSE)</f>
        <v>#N/A</v>
      </c>
      <c r="AP63" s="23">
        <v>19</v>
      </c>
      <c r="AQ63" s="23" t="e">
        <f t="shared" si="20"/>
        <v>#N/A</v>
      </c>
      <c r="AR63" s="23" t="e">
        <f t="shared" si="24"/>
        <v>#N/A</v>
      </c>
      <c r="AS63" s="54" t="e">
        <f t="shared" si="21"/>
        <v>#N/A</v>
      </c>
    </row>
    <row r="64" spans="3:45" ht="16.5" hidden="1" customHeight="1" x14ac:dyDescent="0.2">
      <c r="AP64" s="23">
        <v>20</v>
      </c>
      <c r="AQ64" s="23" t="e">
        <f t="shared" si="20"/>
        <v>#N/A</v>
      </c>
      <c r="AR64" s="23" t="e">
        <f t="shared" si="24"/>
        <v>#N/A</v>
      </c>
      <c r="AS64" s="54" t="e">
        <f t="shared" si="21"/>
        <v>#N/A</v>
      </c>
    </row>
    <row r="65" spans="42:45" ht="16.5" hidden="1" customHeight="1" x14ac:dyDescent="0.2">
      <c r="AP65" s="23">
        <v>21</v>
      </c>
      <c r="AQ65" s="23" t="e">
        <f t="shared" si="20"/>
        <v>#N/A</v>
      </c>
      <c r="AR65" s="23" t="e">
        <f t="shared" si="24"/>
        <v>#N/A</v>
      </c>
      <c r="AS65" s="54" t="e">
        <f t="shared" si="21"/>
        <v>#N/A</v>
      </c>
    </row>
    <row r="66" spans="42:45" ht="16.5" hidden="1" customHeight="1" x14ac:dyDescent="0.2">
      <c r="AP66" s="23">
        <v>22</v>
      </c>
      <c r="AQ66" s="23" t="e">
        <f t="shared" si="20"/>
        <v>#N/A</v>
      </c>
      <c r="AR66" s="23" t="e">
        <f t="shared" si="24"/>
        <v>#N/A</v>
      </c>
      <c r="AS66" s="54" t="e">
        <f t="shared" si="21"/>
        <v>#N/A</v>
      </c>
    </row>
    <row r="67" spans="42:45" ht="16.5" hidden="1" customHeight="1" x14ac:dyDescent="0.2">
      <c r="AP67" s="23">
        <v>23</v>
      </c>
      <c r="AQ67" s="23" t="e">
        <f t="shared" si="20"/>
        <v>#N/A</v>
      </c>
      <c r="AR67" s="23" t="e">
        <f t="shared" si="24"/>
        <v>#N/A</v>
      </c>
      <c r="AS67" s="54" t="e">
        <f t="shared" si="21"/>
        <v>#N/A</v>
      </c>
    </row>
    <row r="68" spans="42:45" ht="16.5" hidden="1" customHeight="1" x14ac:dyDescent="0.2">
      <c r="AP68" s="23">
        <v>24</v>
      </c>
      <c r="AQ68" s="23" t="e">
        <f t="shared" si="20"/>
        <v>#N/A</v>
      </c>
      <c r="AR68" s="23" t="e">
        <f t="shared" si="24"/>
        <v>#N/A</v>
      </c>
      <c r="AS68" s="54" t="e">
        <f t="shared" si="21"/>
        <v>#N/A</v>
      </c>
    </row>
    <row r="69" spans="42:45" ht="16.5" hidden="1" customHeight="1" x14ac:dyDescent="0.2">
      <c r="AP69" s="23">
        <v>25</v>
      </c>
      <c r="AQ69" s="23" t="e">
        <f t="shared" si="20"/>
        <v>#N/A</v>
      </c>
      <c r="AR69" s="23" t="e">
        <f t="shared" si="24"/>
        <v>#N/A</v>
      </c>
      <c r="AS69" s="54" t="e">
        <f t="shared" si="21"/>
        <v>#N/A</v>
      </c>
    </row>
    <row r="70" spans="42:45" ht="16.5" hidden="1" customHeight="1" x14ac:dyDescent="0.2">
      <c r="AP70" s="23">
        <v>26</v>
      </c>
      <c r="AQ70" s="23" t="e">
        <f t="shared" si="20"/>
        <v>#N/A</v>
      </c>
      <c r="AR70" s="23" t="e">
        <f t="shared" si="24"/>
        <v>#N/A</v>
      </c>
      <c r="AS70" s="54" t="e">
        <f t="shared" si="21"/>
        <v>#N/A</v>
      </c>
    </row>
    <row r="71" spans="42:45" ht="16.5" hidden="1" customHeight="1" x14ac:dyDescent="0.2">
      <c r="AP71" s="23">
        <v>27</v>
      </c>
      <c r="AQ71" s="23" t="e">
        <f t="shared" si="20"/>
        <v>#N/A</v>
      </c>
      <c r="AR71" s="23" t="e">
        <f t="shared" si="24"/>
        <v>#N/A</v>
      </c>
      <c r="AS71" s="54" t="e">
        <f t="shared" si="21"/>
        <v>#N/A</v>
      </c>
    </row>
    <row r="72" spans="42:45" ht="16.5" hidden="1" customHeight="1" x14ac:dyDescent="0.2">
      <c r="AP72" s="23">
        <v>28</v>
      </c>
      <c r="AQ72" s="23" t="e">
        <f t="shared" si="20"/>
        <v>#N/A</v>
      </c>
      <c r="AR72" s="23" t="e">
        <f t="shared" si="24"/>
        <v>#N/A</v>
      </c>
      <c r="AS72" s="54" t="e">
        <f t="shared" si="21"/>
        <v>#N/A</v>
      </c>
    </row>
    <row r="73" spans="42:45" ht="16.5" hidden="1" customHeight="1" x14ac:dyDescent="0.2">
      <c r="AP73" s="23">
        <v>29</v>
      </c>
      <c r="AQ73" s="23" t="e">
        <f t="shared" si="20"/>
        <v>#N/A</v>
      </c>
      <c r="AR73" s="23" t="e">
        <f t="shared" si="24"/>
        <v>#N/A</v>
      </c>
      <c r="AS73" s="54" t="e">
        <f t="shared" si="21"/>
        <v>#N/A</v>
      </c>
    </row>
    <row r="74" spans="42:45" ht="16.5" hidden="1" customHeight="1" x14ac:dyDescent="0.2">
      <c r="AP74" s="23">
        <v>30</v>
      </c>
      <c r="AQ74" s="23" t="e">
        <f t="shared" si="20"/>
        <v>#N/A</v>
      </c>
      <c r="AR74" s="23" t="e">
        <f t="shared" si="24"/>
        <v>#N/A</v>
      </c>
      <c r="AS74" s="54" t="e">
        <f t="shared" si="21"/>
        <v>#N/A</v>
      </c>
    </row>
    <row r="75" spans="42:45" ht="16.5" hidden="1" customHeight="1" x14ac:dyDescent="0.2">
      <c r="AP75" s="23">
        <v>31</v>
      </c>
      <c r="AQ75" s="23" t="e">
        <f t="shared" si="20"/>
        <v>#N/A</v>
      </c>
      <c r="AR75" s="23" t="e">
        <f t="shared" si="24"/>
        <v>#N/A</v>
      </c>
      <c r="AS75" s="54" t="e">
        <f t="shared" si="21"/>
        <v>#N/A</v>
      </c>
    </row>
    <row r="76" spans="42:45" ht="16.5" hidden="1" customHeight="1" x14ac:dyDescent="0.2">
      <c r="AP76" s="23">
        <v>32</v>
      </c>
      <c r="AQ76" s="23" t="e">
        <f t="shared" si="20"/>
        <v>#N/A</v>
      </c>
      <c r="AR76" s="23" t="e">
        <f t="shared" si="24"/>
        <v>#N/A</v>
      </c>
      <c r="AS76" s="54" t="e">
        <f t="shared" si="21"/>
        <v>#N/A</v>
      </c>
    </row>
    <row r="77" spans="42:45" ht="16.5" hidden="1" customHeight="1" x14ac:dyDescent="0.2">
      <c r="AP77" s="23">
        <v>33</v>
      </c>
      <c r="AQ77" s="23" t="e">
        <f t="shared" si="20"/>
        <v>#N/A</v>
      </c>
      <c r="AR77" s="23" t="e">
        <f t="shared" si="24"/>
        <v>#N/A</v>
      </c>
      <c r="AS77" s="54" t="e">
        <f t="shared" si="21"/>
        <v>#N/A</v>
      </c>
    </row>
    <row r="78" spans="42:45" ht="16.5" hidden="1" customHeight="1" x14ac:dyDescent="0.2">
      <c r="AP78" s="23">
        <v>34</v>
      </c>
      <c r="AQ78" s="23" t="e">
        <f t="shared" si="20"/>
        <v>#N/A</v>
      </c>
      <c r="AR78" s="23" t="e">
        <f t="shared" si="24"/>
        <v>#N/A</v>
      </c>
      <c r="AS78" s="54" t="e">
        <f t="shared" si="21"/>
        <v>#N/A</v>
      </c>
    </row>
    <row r="79" spans="42:45" ht="16.5" hidden="1" customHeight="1" x14ac:dyDescent="0.2">
      <c r="AP79" s="23">
        <v>35</v>
      </c>
      <c r="AQ79" s="23" t="e">
        <f t="shared" si="20"/>
        <v>#N/A</v>
      </c>
      <c r="AR79" s="23" t="e">
        <f t="shared" si="24"/>
        <v>#N/A</v>
      </c>
      <c r="AS79" s="54" t="e">
        <f t="shared" si="21"/>
        <v>#N/A</v>
      </c>
    </row>
    <row r="80" spans="42:45" ht="16.5" hidden="1" customHeight="1" x14ac:dyDescent="0.2">
      <c r="AP80" s="23">
        <v>36</v>
      </c>
      <c r="AQ80" s="23" t="e">
        <f t="shared" si="20"/>
        <v>#N/A</v>
      </c>
      <c r="AR80" s="23" t="e">
        <f t="shared" si="24"/>
        <v>#N/A</v>
      </c>
      <c r="AS80" s="54" t="e">
        <f t="shared" si="21"/>
        <v>#N/A</v>
      </c>
    </row>
    <row r="81" spans="42:45" ht="16.5" hidden="1" customHeight="1" x14ac:dyDescent="0.2">
      <c r="AP81" s="23">
        <v>37</v>
      </c>
      <c r="AQ81" s="23" t="e">
        <f t="shared" si="20"/>
        <v>#N/A</v>
      </c>
      <c r="AR81" s="23" t="e">
        <f t="shared" si="24"/>
        <v>#N/A</v>
      </c>
      <c r="AS81" s="54" t="e">
        <f t="shared" si="21"/>
        <v>#N/A</v>
      </c>
    </row>
    <row r="82" spans="42:45" ht="16.5" hidden="1" customHeight="1" x14ac:dyDescent="0.2">
      <c r="AP82" s="23">
        <v>38</v>
      </c>
      <c r="AQ82" s="23" t="e">
        <f t="shared" si="20"/>
        <v>#N/A</v>
      </c>
      <c r="AR82" s="23" t="e">
        <f t="shared" si="24"/>
        <v>#N/A</v>
      </c>
      <c r="AS82" s="54" t="e">
        <f t="shared" si="21"/>
        <v>#N/A</v>
      </c>
    </row>
    <row r="83" spans="42:45" ht="16.5" hidden="1" customHeight="1" x14ac:dyDescent="0.2"/>
    <row r="84" spans="42:45" hidden="1" x14ac:dyDescent="0.2"/>
    <row r="85" spans="42:45" hidden="1" x14ac:dyDescent="0.2"/>
    <row r="86" spans="42:45" hidden="1" x14ac:dyDescent="0.2"/>
    <row r="87" spans="42:45" hidden="1" x14ac:dyDescent="0.2"/>
    <row r="88" spans="42:45" hidden="1" x14ac:dyDescent="0.2"/>
    <row r="89" spans="42:45" hidden="1" x14ac:dyDescent="0.2"/>
    <row r="90" spans="42:45" hidden="1" x14ac:dyDescent="0.2"/>
    <row r="91" spans="42:45" hidden="1" x14ac:dyDescent="0.2"/>
    <row r="92" spans="42:45" hidden="1" x14ac:dyDescent="0.2"/>
    <row r="93" spans="42:45" hidden="1" x14ac:dyDescent="0.2"/>
    <row r="94" spans="42:45" hidden="1" x14ac:dyDescent="0.2"/>
    <row r="95" spans="42:45" hidden="1" x14ac:dyDescent="0.2"/>
    <row r="96" spans="42:45" hidden="1" x14ac:dyDescent="0.2"/>
    <row r="97" hidden="1" x14ac:dyDescent="0.2"/>
    <row r="98" hidden="1" x14ac:dyDescent="0.2"/>
    <row r="99" hidden="1" x14ac:dyDescent="0.2"/>
  </sheetData>
  <sheetProtection password="CE76" sheet="1" objects="1" scenarios="1" selectLockedCells="1" selectUnlockedCells="1"/>
  <phoneticPr fontId="0" type="noConversion"/>
  <conditionalFormatting sqref="C45:C63">
    <cfRule type="expression" dxfId="35" priority="1" stopIfTrue="1">
      <formula>AND(NOT($S45),$Y45&lt;=TODAY())</formula>
    </cfRule>
    <cfRule type="expression" dxfId="34" priority="2" stopIfTrue="1">
      <formula>$W45&gt;$X45</formula>
    </cfRule>
    <cfRule type="expression" dxfId="33" priority="3" stopIfTrue="1">
      <formula>OR($W45&lt;$X45,$E45="szabadnapos")</formula>
    </cfRule>
  </conditionalFormatting>
  <conditionalFormatting sqref="E45:E63">
    <cfRule type="expression" dxfId="32" priority="4" stopIfTrue="1">
      <formula>AND(NOT($S45),$Y45&lt;=TODAY())</formula>
    </cfRule>
    <cfRule type="expression" dxfId="31" priority="5" stopIfTrue="1">
      <formula>$W45&lt;$X45</formula>
    </cfRule>
    <cfRule type="expression" dxfId="30" priority="6" stopIfTrue="1">
      <formula>OR($W45&gt;$X45,$E45="szabadnapos")</formula>
    </cfRule>
  </conditionalFormatting>
  <conditionalFormatting sqref="D45:D63">
    <cfRule type="expression" dxfId="29" priority="7" stopIfTrue="1">
      <formula>OR($N$43=2,$N$43=3)</formula>
    </cfRule>
    <cfRule type="expression" dxfId="28" priority="8" stopIfTrue="1">
      <formula>AND(NOT($S45),$Y45&lt;=TODAY())</formula>
    </cfRule>
  </conditionalFormatting>
  <conditionalFormatting sqref="G45:G63">
    <cfRule type="expression" dxfId="27" priority="9" stopIfTrue="1">
      <formula>AND(NOT($AD45),$AJ45&lt;=TODAY())</formula>
    </cfRule>
    <cfRule type="expression" dxfId="26" priority="10" stopIfTrue="1">
      <formula>$AH45&gt;$AI45</formula>
    </cfRule>
    <cfRule type="expression" dxfId="25" priority="11" stopIfTrue="1">
      <formula>OR($AH45&lt;$AI45,$I45="szabadnapos ")</formula>
    </cfRule>
  </conditionalFormatting>
  <conditionalFormatting sqref="I45:I63">
    <cfRule type="expression" dxfId="24" priority="12" stopIfTrue="1">
      <formula>AND(NOT($AD45),$AJ45&lt;=TODAY())</formula>
    </cfRule>
    <cfRule type="expression" dxfId="23" priority="13" stopIfTrue="1">
      <formula>$AH45&lt;$AI45</formula>
    </cfRule>
    <cfRule type="expression" dxfId="22" priority="14" stopIfTrue="1">
      <formula>OR($AH45&gt;$AI45,$I45="szabadnapos ")</formula>
    </cfRule>
  </conditionalFormatting>
  <conditionalFormatting sqref="H45:H63">
    <cfRule type="expression" dxfId="21" priority="15" stopIfTrue="1">
      <formula>OR($N$43=2,$N$43=3)</formula>
    </cfRule>
    <cfRule type="expression" dxfId="20" priority="16" stopIfTrue="1">
      <formula>AND(NOT($AD45),$AJ45&lt;=TODAY())</formula>
    </cfRule>
  </conditionalFormatting>
  <dataValidations count="1">
    <dataValidation type="list" allowBlank="1" showInputMessage="1" showErrorMessage="1" sqref="C43">
      <formula1>teams.a</formula1>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4">
    <pageSetUpPr autoPageBreaks="0"/>
  </sheetPr>
  <dimension ref="A1:BB1047"/>
  <sheetViews>
    <sheetView showGridLines="0" showRowColHeaders="0" zoomScaleNormal="100" workbookViewId="0">
      <pane ySplit="47" topLeftCell="A485" activePane="bottomLeft" state="frozen"/>
      <selection pane="bottomLeft"/>
    </sheetView>
  </sheetViews>
  <sheetFormatPr defaultColWidth="9.140625" defaultRowHeight="11.25" customHeight="1" x14ac:dyDescent="0.2"/>
  <cols>
    <col min="1" max="1" width="1.7109375" style="713" customWidth="1"/>
    <col min="2" max="2" width="1.85546875" style="169" customWidth="1"/>
    <col min="3" max="3" width="23.5703125" style="169" customWidth="1"/>
    <col min="4" max="4" width="3.5703125" style="169" customWidth="1"/>
    <col min="5" max="31" width="2.85546875" style="169" customWidth="1"/>
    <col min="32" max="41" width="2.42578125" style="169" hidden="1" customWidth="1"/>
    <col min="42" max="42" width="3.5703125" style="169" customWidth="1"/>
    <col min="43" max="43" width="3.85546875" style="169" customWidth="1"/>
    <col min="44" max="44" width="1.42578125" style="169" customWidth="1"/>
    <col min="45" max="45" width="25.140625" style="668" customWidth="1"/>
    <col min="46" max="46" width="1.7109375" style="169" customWidth="1"/>
    <col min="47" max="47" width="3.28515625" style="669" hidden="1" customWidth="1"/>
    <col min="48" max="48" width="3.5703125" style="643" hidden="1" customWidth="1"/>
    <col min="49" max="49" width="7.42578125" style="670" hidden="1" customWidth="1"/>
    <col min="50" max="50" width="0" style="643" hidden="1" customWidth="1"/>
    <col min="51" max="51" width="11.5703125" style="643" hidden="1" customWidth="1"/>
    <col min="52" max="52" width="11.5703125" style="671" hidden="1" customWidth="1"/>
    <col min="53" max="53" width="3.5703125" style="643" hidden="1" customWidth="1"/>
    <col min="54" max="54" width="3.42578125" style="669" hidden="1" customWidth="1"/>
    <col min="55" max="16384" width="9.140625" style="169"/>
  </cols>
  <sheetData>
    <row r="1" spans="3:54" s="257" customFormat="1" ht="1.5" customHeight="1" x14ac:dyDescent="0.2">
      <c r="C1" s="714"/>
      <c r="D1" s="715"/>
      <c r="E1" s="716"/>
      <c r="F1" s="717"/>
      <c r="G1" s="718"/>
      <c r="H1" s="719"/>
      <c r="I1" s="720"/>
      <c r="J1" s="264"/>
      <c r="K1" s="264"/>
      <c r="L1" s="264"/>
      <c r="M1" s="264"/>
      <c r="N1" s="721"/>
      <c r="O1" s="721"/>
      <c r="P1" s="721"/>
      <c r="Q1" s="721"/>
      <c r="R1" s="721"/>
      <c r="S1" s="721"/>
      <c r="T1" s="721"/>
      <c r="U1" s="721"/>
      <c r="V1" s="721"/>
      <c r="W1" s="721"/>
      <c r="X1" s="721"/>
      <c r="Y1" s="721"/>
      <c r="Z1" s="721"/>
      <c r="AA1" s="721"/>
      <c r="AB1" s="721"/>
      <c r="AC1" s="721"/>
      <c r="AD1" s="721"/>
      <c r="AE1" s="721"/>
      <c r="AF1" s="721"/>
      <c r="AG1" s="721"/>
      <c r="AH1" s="721"/>
      <c r="AI1" s="721"/>
      <c r="AJ1" s="721"/>
      <c r="AK1" s="721"/>
      <c r="AL1" s="722"/>
      <c r="AM1" s="721"/>
      <c r="AN1" s="721"/>
      <c r="AO1" s="721"/>
      <c r="AP1" s="721"/>
      <c r="AQ1" s="721"/>
      <c r="AR1" s="721"/>
      <c r="AS1" s="713"/>
      <c r="AT1" s="721"/>
      <c r="AU1" s="721"/>
      <c r="AV1" s="721"/>
      <c r="AW1" s="721"/>
      <c r="AX1" s="721"/>
      <c r="AY1" s="721"/>
      <c r="AZ1" s="721"/>
      <c r="BA1" s="721"/>
      <c r="BB1" s="721"/>
    </row>
    <row r="2" spans="3:54" s="257" customFormat="1" ht="0.75" customHeight="1" x14ac:dyDescent="0.2">
      <c r="C2" s="714"/>
      <c r="D2" s="715"/>
      <c r="E2" s="716"/>
      <c r="F2" s="717"/>
      <c r="G2" s="718"/>
      <c r="H2" s="719"/>
      <c r="I2" s="720"/>
      <c r="J2" s="264"/>
      <c r="K2" s="264"/>
      <c r="L2" s="264"/>
      <c r="M2" s="264"/>
      <c r="N2" s="721"/>
      <c r="O2" s="721"/>
      <c r="P2" s="721"/>
      <c r="Q2" s="721"/>
      <c r="R2" s="721"/>
      <c r="S2" s="721"/>
      <c r="T2" s="721"/>
      <c r="U2" s="721"/>
      <c r="V2" s="721"/>
      <c r="W2" s="721"/>
      <c r="X2" s="721"/>
      <c r="Y2" s="721"/>
      <c r="Z2" s="721"/>
      <c r="AA2" s="721"/>
      <c r="AB2" s="721"/>
      <c r="AC2" s="721"/>
      <c r="AD2" s="721"/>
      <c r="AE2" s="721"/>
      <c r="AF2" s="721"/>
      <c r="AG2" s="721"/>
      <c r="AH2" s="721"/>
      <c r="AI2" s="721"/>
      <c r="AJ2" s="721"/>
      <c r="AK2" s="721"/>
      <c r="AL2" s="722"/>
      <c r="AM2" s="721"/>
      <c r="AN2" s="721"/>
      <c r="AO2" s="721"/>
      <c r="AP2" s="721"/>
      <c r="AQ2" s="721"/>
      <c r="AR2" s="721"/>
      <c r="AS2" s="713"/>
      <c r="AT2" s="721"/>
      <c r="AU2" s="721"/>
      <c r="AV2" s="721"/>
      <c r="AW2" s="721"/>
      <c r="AX2" s="721"/>
      <c r="AY2" s="721"/>
      <c r="AZ2" s="721"/>
      <c r="BA2" s="721"/>
      <c r="BB2" s="721"/>
    </row>
    <row r="3" spans="3:54" s="257" customFormat="1" ht="8.25" hidden="1" customHeight="1" x14ac:dyDescent="0.2">
      <c r="C3" s="714"/>
      <c r="D3" s="715"/>
      <c r="E3" s="716"/>
      <c r="F3" s="717"/>
      <c r="G3" s="718"/>
      <c r="H3" s="719"/>
      <c r="I3" s="720"/>
      <c r="J3" s="264"/>
      <c r="K3" s="264"/>
      <c r="L3" s="264"/>
      <c r="M3" s="264"/>
      <c r="N3" s="721"/>
      <c r="O3" s="721"/>
      <c r="P3" s="721"/>
      <c r="Q3" s="721"/>
      <c r="R3" s="721"/>
      <c r="S3" s="721"/>
      <c r="T3" s="721"/>
      <c r="U3" s="721"/>
      <c r="V3" s="721"/>
      <c r="W3" s="721"/>
      <c r="X3" s="721"/>
      <c r="Y3" s="721"/>
      <c r="Z3" s="721"/>
      <c r="AA3" s="721"/>
      <c r="AB3" s="721"/>
      <c r="AC3" s="721"/>
      <c r="AD3" s="721"/>
      <c r="AE3" s="721"/>
      <c r="AF3" s="721"/>
      <c r="AG3" s="721"/>
      <c r="AH3" s="721"/>
      <c r="AI3" s="721"/>
      <c r="AJ3" s="721"/>
      <c r="AK3" s="721"/>
      <c r="AL3" s="722"/>
      <c r="AM3" s="721"/>
      <c r="AN3" s="721"/>
      <c r="AO3" s="721"/>
      <c r="AP3" s="721"/>
      <c r="AQ3" s="721"/>
      <c r="AR3" s="721"/>
      <c r="AS3" s="713"/>
      <c r="AT3" s="721"/>
      <c r="AU3" s="721"/>
      <c r="AV3" s="721"/>
      <c r="AW3" s="721"/>
      <c r="AX3" s="721"/>
      <c r="AY3" s="721"/>
      <c r="AZ3" s="721"/>
      <c r="BA3" s="721"/>
      <c r="BB3" s="721"/>
    </row>
    <row r="4" spans="3:54" s="257" customFormat="1" ht="9" hidden="1" customHeight="1" x14ac:dyDescent="0.2">
      <c r="C4" s="714"/>
      <c r="D4" s="715"/>
      <c r="E4" s="716"/>
      <c r="F4" s="717"/>
      <c r="G4" s="718"/>
      <c r="H4" s="719"/>
      <c r="I4" s="720"/>
      <c r="J4" s="264"/>
      <c r="K4" s="264"/>
      <c r="L4" s="264"/>
      <c r="M4" s="264"/>
      <c r="N4" s="721"/>
      <c r="O4" s="721"/>
      <c r="P4" s="721"/>
      <c r="Q4" s="721"/>
      <c r="R4" s="721"/>
      <c r="S4" s="721"/>
      <c r="T4" s="721"/>
      <c r="U4" s="721"/>
      <c r="V4" s="721"/>
      <c r="W4" s="721"/>
      <c r="X4" s="721"/>
      <c r="Y4" s="721"/>
      <c r="Z4" s="721"/>
      <c r="AA4" s="721"/>
      <c r="AB4" s="721"/>
      <c r="AC4" s="721"/>
      <c r="AD4" s="721"/>
      <c r="AE4" s="721"/>
      <c r="AF4" s="721"/>
      <c r="AG4" s="721"/>
      <c r="AH4" s="721"/>
      <c r="AI4" s="721"/>
      <c r="AJ4" s="721"/>
      <c r="AK4" s="721"/>
      <c r="AL4" s="722"/>
      <c r="AM4" s="721"/>
      <c r="AN4" s="721"/>
      <c r="AO4" s="721"/>
      <c r="AP4" s="721"/>
      <c r="AQ4" s="721"/>
      <c r="AR4" s="721"/>
      <c r="AS4" s="713"/>
      <c r="AT4" s="721"/>
      <c r="AU4" s="721"/>
      <c r="AV4" s="721"/>
      <c r="AW4" s="721"/>
      <c r="AX4" s="721"/>
      <c r="AY4" s="721"/>
      <c r="AZ4" s="721"/>
      <c r="BA4" s="721"/>
      <c r="BB4" s="721"/>
    </row>
    <row r="5" spans="3:54" s="257" customFormat="1" ht="9" hidden="1" customHeight="1" x14ac:dyDescent="0.2">
      <c r="C5" s="714"/>
      <c r="D5" s="715"/>
      <c r="E5" s="716"/>
      <c r="F5" s="717"/>
      <c r="G5" s="718"/>
      <c r="H5" s="719"/>
      <c r="I5" s="720"/>
      <c r="J5" s="264"/>
      <c r="K5" s="264"/>
      <c r="L5" s="264"/>
      <c r="M5" s="264"/>
      <c r="N5" s="721"/>
      <c r="O5" s="721"/>
      <c r="P5" s="721"/>
      <c r="Q5" s="721"/>
      <c r="R5" s="721"/>
      <c r="S5" s="721"/>
      <c r="T5" s="721"/>
      <c r="U5" s="721"/>
      <c r="V5" s="721"/>
      <c r="W5" s="721"/>
      <c r="X5" s="721"/>
      <c r="Y5" s="721"/>
      <c r="Z5" s="721"/>
      <c r="AA5" s="721"/>
      <c r="AB5" s="721"/>
      <c r="AC5" s="721"/>
      <c r="AD5" s="721"/>
      <c r="AE5" s="721"/>
      <c r="AF5" s="721"/>
      <c r="AG5" s="721"/>
      <c r="AH5" s="721"/>
      <c r="AI5" s="721"/>
      <c r="AJ5" s="721"/>
      <c r="AK5" s="721"/>
      <c r="AL5" s="722"/>
      <c r="AM5" s="721"/>
      <c r="AN5" s="721"/>
      <c r="AO5" s="721"/>
      <c r="AP5" s="721"/>
      <c r="AQ5" s="721"/>
      <c r="AR5" s="721"/>
      <c r="AS5" s="713"/>
      <c r="AT5" s="721"/>
      <c r="AU5" s="721"/>
      <c r="AV5" s="721"/>
      <c r="AW5" s="721"/>
      <c r="AX5" s="721"/>
      <c r="AY5" s="721"/>
      <c r="AZ5" s="721"/>
      <c r="BA5" s="721"/>
      <c r="BB5" s="721"/>
    </row>
    <row r="6" spans="3:54" s="257" customFormat="1" ht="9" hidden="1" customHeight="1" x14ac:dyDescent="0.2">
      <c r="C6" s="714"/>
      <c r="D6" s="715"/>
      <c r="E6" s="716"/>
      <c r="F6" s="717"/>
      <c r="G6" s="718"/>
      <c r="H6" s="719"/>
      <c r="I6" s="720"/>
      <c r="J6" s="264"/>
      <c r="K6" s="264"/>
      <c r="L6" s="264"/>
      <c r="M6" s="264"/>
      <c r="N6" s="721"/>
      <c r="O6" s="721"/>
      <c r="P6" s="721"/>
      <c r="Q6" s="721"/>
      <c r="R6" s="721"/>
      <c r="S6" s="721"/>
      <c r="T6" s="721"/>
      <c r="U6" s="721"/>
      <c r="V6" s="721"/>
      <c r="W6" s="721"/>
      <c r="X6" s="721"/>
      <c r="Y6" s="721"/>
      <c r="Z6" s="721"/>
      <c r="AA6" s="721"/>
      <c r="AB6" s="721"/>
      <c r="AC6" s="721"/>
      <c r="AD6" s="721"/>
      <c r="AE6" s="721"/>
      <c r="AF6" s="721"/>
      <c r="AG6" s="721"/>
      <c r="AH6" s="721"/>
      <c r="AI6" s="721"/>
      <c r="AJ6" s="721"/>
      <c r="AK6" s="721"/>
      <c r="AL6" s="722"/>
      <c r="AM6" s="721"/>
      <c r="AN6" s="721"/>
      <c r="AO6" s="721"/>
      <c r="AP6" s="721"/>
      <c r="AQ6" s="721"/>
      <c r="AR6" s="721"/>
      <c r="AS6" s="713"/>
      <c r="AT6" s="721"/>
      <c r="AU6" s="721"/>
      <c r="AV6" s="721"/>
      <c r="AW6" s="721"/>
      <c r="AX6" s="721"/>
      <c r="AY6" s="721"/>
      <c r="AZ6" s="721"/>
      <c r="BA6" s="721"/>
      <c r="BB6" s="721"/>
    </row>
    <row r="7" spans="3:54" s="257" customFormat="1" ht="1.5" customHeight="1" x14ac:dyDescent="0.2">
      <c r="C7" s="714"/>
      <c r="D7" s="715"/>
      <c r="E7" s="716"/>
      <c r="F7" s="717"/>
      <c r="G7" s="718"/>
      <c r="H7" s="719"/>
      <c r="I7" s="720"/>
      <c r="J7" s="264"/>
      <c r="K7" s="264"/>
      <c r="L7" s="264"/>
      <c r="M7" s="264"/>
      <c r="N7" s="721"/>
      <c r="O7" s="721"/>
      <c r="P7" s="721"/>
      <c r="Q7" s="721"/>
      <c r="R7" s="721"/>
      <c r="S7" s="721"/>
      <c r="T7" s="721"/>
      <c r="U7" s="721"/>
      <c r="V7" s="721"/>
      <c r="W7" s="721"/>
      <c r="X7" s="721"/>
      <c r="Y7" s="721"/>
      <c r="Z7" s="721"/>
      <c r="AA7" s="721"/>
      <c r="AB7" s="721"/>
      <c r="AC7" s="721"/>
      <c r="AD7" s="721"/>
      <c r="AE7" s="721"/>
      <c r="AF7" s="721"/>
      <c r="AG7" s="721"/>
      <c r="AH7" s="721"/>
      <c r="AI7" s="721"/>
      <c r="AJ7" s="721"/>
      <c r="AK7" s="721"/>
      <c r="AL7" s="722"/>
      <c r="AM7" s="721"/>
      <c r="AN7" s="721"/>
      <c r="AO7" s="721"/>
      <c r="AP7" s="721"/>
      <c r="AQ7" s="721"/>
      <c r="AR7" s="721"/>
      <c r="AS7" s="713"/>
      <c r="AT7" s="721"/>
      <c r="AU7" s="721"/>
      <c r="AV7" s="721"/>
      <c r="AW7" s="721"/>
      <c r="AX7" s="721"/>
      <c r="AY7" s="721"/>
      <c r="AZ7" s="721"/>
      <c r="BA7" s="721"/>
      <c r="BB7" s="721"/>
    </row>
    <row r="8" spans="3:54" s="257" customFormat="1" ht="0.75" customHeight="1" x14ac:dyDescent="0.2">
      <c r="C8" s="714"/>
      <c r="D8" s="715"/>
      <c r="E8" s="716"/>
      <c r="F8" s="717"/>
      <c r="G8" s="718"/>
      <c r="H8" s="719"/>
      <c r="I8" s="720"/>
      <c r="J8" s="264"/>
      <c r="K8" s="264"/>
      <c r="L8" s="264"/>
      <c r="M8" s="264"/>
      <c r="N8" s="721"/>
      <c r="O8" s="721"/>
      <c r="P8" s="721"/>
      <c r="Q8" s="721"/>
      <c r="R8" s="721"/>
      <c r="S8" s="721"/>
      <c r="T8" s="721"/>
      <c r="U8" s="721"/>
      <c r="V8" s="721"/>
      <c r="W8" s="721"/>
      <c r="X8" s="721"/>
      <c r="Y8" s="721"/>
      <c r="Z8" s="721"/>
      <c r="AA8" s="721"/>
      <c r="AB8" s="721"/>
      <c r="AC8" s="721"/>
      <c r="AD8" s="721"/>
      <c r="AE8" s="721"/>
      <c r="AF8" s="721"/>
      <c r="AG8" s="721"/>
      <c r="AH8" s="721"/>
      <c r="AI8" s="721"/>
      <c r="AJ8" s="721"/>
      <c r="AK8" s="721"/>
      <c r="AL8" s="722"/>
      <c r="AM8" s="721"/>
      <c r="AN8" s="721"/>
      <c r="AO8" s="721"/>
      <c r="AP8" s="721"/>
      <c r="AQ8" s="721"/>
      <c r="AR8" s="721"/>
      <c r="AS8" s="713"/>
      <c r="AT8" s="721"/>
      <c r="AU8" s="721"/>
      <c r="AV8" s="721"/>
      <c r="AW8" s="721"/>
      <c r="AX8" s="721"/>
      <c r="AY8" s="721"/>
      <c r="AZ8" s="721"/>
      <c r="BA8" s="721"/>
      <c r="BB8" s="721"/>
    </row>
    <row r="9" spans="3:54" s="257" customFormat="1" ht="1.5" customHeight="1" x14ac:dyDescent="0.2">
      <c r="C9" s="714"/>
      <c r="D9" s="715"/>
      <c r="E9" s="716"/>
      <c r="F9" s="717"/>
      <c r="G9" s="718"/>
      <c r="H9" s="719"/>
      <c r="I9" s="720"/>
      <c r="J9" s="264"/>
      <c r="K9" s="264"/>
      <c r="L9" s="264"/>
      <c r="M9" s="264"/>
      <c r="N9" s="721"/>
      <c r="O9" s="721"/>
      <c r="P9" s="721"/>
      <c r="Q9" s="721"/>
      <c r="R9" s="721"/>
      <c r="S9" s="721"/>
      <c r="T9" s="721"/>
      <c r="U9" s="721"/>
      <c r="V9" s="721"/>
      <c r="W9" s="721"/>
      <c r="X9" s="721"/>
      <c r="Y9" s="721"/>
      <c r="Z9" s="721"/>
      <c r="AA9" s="721"/>
      <c r="AB9" s="721"/>
      <c r="AC9" s="721"/>
      <c r="AD9" s="721"/>
      <c r="AE9" s="721"/>
      <c r="AF9" s="721"/>
      <c r="AG9" s="721"/>
      <c r="AH9" s="721"/>
      <c r="AI9" s="721"/>
      <c r="AJ9" s="721"/>
      <c r="AK9" s="721"/>
      <c r="AL9" s="722"/>
      <c r="AM9" s="721"/>
      <c r="AN9" s="721"/>
      <c r="AO9" s="721"/>
      <c r="AP9" s="721"/>
      <c r="AQ9" s="721"/>
      <c r="AR9" s="721"/>
      <c r="AS9" s="713"/>
      <c r="AT9" s="721"/>
      <c r="AU9" s="721"/>
      <c r="AV9" s="721"/>
      <c r="AW9" s="721"/>
      <c r="AX9" s="721"/>
      <c r="AY9" s="721"/>
      <c r="AZ9" s="721"/>
      <c r="BA9" s="721"/>
      <c r="BB9" s="721"/>
    </row>
    <row r="10" spans="3:54" s="257" customFormat="1" ht="0.75" customHeight="1" x14ac:dyDescent="0.2">
      <c r="C10" s="714"/>
      <c r="D10" s="715"/>
      <c r="E10" s="716"/>
      <c r="F10" s="717"/>
      <c r="G10" s="718"/>
      <c r="H10" s="719"/>
      <c r="I10" s="720"/>
      <c r="J10" s="264"/>
      <c r="K10" s="264"/>
      <c r="L10" s="264"/>
      <c r="M10" s="264"/>
      <c r="N10" s="721"/>
      <c r="O10" s="721"/>
      <c r="P10" s="721"/>
      <c r="Q10" s="721"/>
      <c r="R10" s="721"/>
      <c r="S10" s="721"/>
      <c r="T10" s="721"/>
      <c r="U10" s="721"/>
      <c r="V10" s="721"/>
      <c r="W10" s="721"/>
      <c r="X10" s="721"/>
      <c r="Y10" s="721"/>
      <c r="Z10" s="721"/>
      <c r="AA10" s="721"/>
      <c r="AB10" s="721"/>
      <c r="AC10" s="721"/>
      <c r="AD10" s="721"/>
      <c r="AE10" s="721"/>
      <c r="AF10" s="721"/>
      <c r="AG10" s="721"/>
      <c r="AH10" s="721"/>
      <c r="AI10" s="721"/>
      <c r="AJ10" s="721"/>
      <c r="AK10" s="721"/>
      <c r="AL10" s="722"/>
      <c r="AM10" s="721"/>
      <c r="AN10" s="721"/>
      <c r="AO10" s="721"/>
      <c r="AP10" s="721"/>
      <c r="AQ10" s="721"/>
      <c r="AR10" s="721"/>
      <c r="AS10" s="713"/>
      <c r="AT10" s="721"/>
      <c r="AU10" s="721"/>
      <c r="AV10" s="721"/>
      <c r="AW10" s="721"/>
      <c r="AX10" s="721"/>
      <c r="AY10" s="721"/>
      <c r="AZ10" s="721"/>
      <c r="BA10" s="721"/>
      <c r="BB10" s="721"/>
    </row>
    <row r="11" spans="3:54" s="257" customFormat="1" ht="1.5" customHeight="1" x14ac:dyDescent="0.2">
      <c r="C11" s="714"/>
      <c r="D11" s="715"/>
      <c r="E11" s="716"/>
      <c r="F11" s="717"/>
      <c r="G11" s="718"/>
      <c r="H11" s="719"/>
      <c r="I11" s="720"/>
      <c r="J11" s="264"/>
      <c r="K11" s="264"/>
      <c r="L11" s="264"/>
      <c r="M11" s="264"/>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2"/>
      <c r="AM11" s="721"/>
      <c r="AN11" s="721"/>
      <c r="AO11" s="721"/>
      <c r="AP11" s="721"/>
      <c r="AQ11" s="721"/>
      <c r="AR11" s="721"/>
      <c r="AS11" s="713"/>
      <c r="AT11" s="721"/>
      <c r="AU11" s="721"/>
      <c r="AV11" s="721"/>
      <c r="AW11" s="721"/>
      <c r="AX11" s="721"/>
      <c r="AY11" s="721"/>
      <c r="AZ11" s="721"/>
      <c r="BA11" s="721"/>
      <c r="BB11" s="721"/>
    </row>
    <row r="12" spans="3:54" s="257" customFormat="1" ht="0.75" customHeight="1" x14ac:dyDescent="0.2">
      <c r="C12" s="714"/>
      <c r="D12" s="715"/>
      <c r="E12" s="716"/>
      <c r="F12" s="717"/>
      <c r="G12" s="718"/>
      <c r="H12" s="719"/>
      <c r="I12" s="720"/>
      <c r="J12" s="264"/>
      <c r="K12" s="264"/>
      <c r="L12" s="264"/>
      <c r="M12" s="264"/>
      <c r="N12" s="721"/>
      <c r="O12" s="721"/>
      <c r="P12" s="721"/>
      <c r="Q12" s="721"/>
      <c r="R12" s="721"/>
      <c r="S12" s="721"/>
      <c r="T12" s="721"/>
      <c r="U12" s="721"/>
      <c r="V12" s="721"/>
      <c r="W12" s="721"/>
      <c r="X12" s="721"/>
      <c r="Y12" s="721"/>
      <c r="Z12" s="721"/>
      <c r="AA12" s="721"/>
      <c r="AB12" s="721"/>
      <c r="AC12" s="721"/>
      <c r="AD12" s="721"/>
      <c r="AE12" s="721"/>
      <c r="AF12" s="721"/>
      <c r="AG12" s="721"/>
      <c r="AH12" s="721"/>
      <c r="AI12" s="721"/>
      <c r="AJ12" s="721"/>
      <c r="AK12" s="721"/>
      <c r="AL12" s="722"/>
      <c r="AM12" s="721"/>
      <c r="AN12" s="721"/>
      <c r="AO12" s="721"/>
      <c r="AP12" s="721"/>
      <c r="AQ12" s="721"/>
      <c r="AR12" s="721"/>
      <c r="AS12" s="713"/>
      <c r="AT12" s="721"/>
      <c r="AU12" s="721"/>
      <c r="AV12" s="721"/>
      <c r="AW12" s="721"/>
      <c r="AX12" s="721"/>
      <c r="AY12" s="721"/>
      <c r="AZ12" s="721"/>
      <c r="BA12" s="721"/>
      <c r="BB12" s="721"/>
    </row>
    <row r="13" spans="3:54" s="257" customFormat="1" ht="1.5" customHeight="1" x14ac:dyDescent="0.2">
      <c r="C13" s="714"/>
      <c r="D13" s="715"/>
      <c r="E13" s="716"/>
      <c r="F13" s="717"/>
      <c r="G13" s="718"/>
      <c r="H13" s="719"/>
      <c r="I13" s="720"/>
      <c r="J13" s="264"/>
      <c r="K13" s="264"/>
      <c r="L13" s="264"/>
      <c r="M13" s="264"/>
      <c r="N13" s="721"/>
      <c r="O13" s="721"/>
      <c r="P13" s="721"/>
      <c r="Q13" s="721"/>
      <c r="R13" s="721"/>
      <c r="S13" s="721"/>
      <c r="T13" s="721"/>
      <c r="U13" s="721"/>
      <c r="V13" s="721"/>
      <c r="W13" s="721"/>
      <c r="X13" s="721"/>
      <c r="Y13" s="721"/>
      <c r="Z13" s="721"/>
      <c r="AA13" s="721"/>
      <c r="AB13" s="721"/>
      <c r="AC13" s="721"/>
      <c r="AD13" s="721"/>
      <c r="AE13" s="721"/>
      <c r="AF13" s="721"/>
      <c r="AG13" s="721"/>
      <c r="AH13" s="721"/>
      <c r="AI13" s="721"/>
      <c r="AJ13" s="721"/>
      <c r="AK13" s="721"/>
      <c r="AL13" s="722"/>
      <c r="AM13" s="721"/>
      <c r="AN13" s="721"/>
      <c r="AO13" s="721"/>
      <c r="AP13" s="721"/>
      <c r="AQ13" s="721"/>
      <c r="AR13" s="721"/>
      <c r="AS13" s="713"/>
      <c r="AT13" s="721"/>
      <c r="AU13" s="721"/>
      <c r="AV13" s="721"/>
      <c r="AW13" s="721"/>
      <c r="AX13" s="721"/>
      <c r="AY13" s="721"/>
      <c r="AZ13" s="721"/>
      <c r="BA13" s="721"/>
      <c r="BB13" s="721"/>
    </row>
    <row r="14" spans="3:54" s="257" customFormat="1" ht="0.75" customHeight="1" x14ac:dyDescent="0.2">
      <c r="C14" s="714"/>
      <c r="D14" s="715"/>
      <c r="E14" s="716"/>
      <c r="F14" s="717"/>
      <c r="G14" s="718"/>
      <c r="H14" s="719"/>
      <c r="I14" s="720"/>
      <c r="J14" s="264"/>
      <c r="K14" s="264"/>
      <c r="L14" s="264"/>
      <c r="M14" s="264"/>
      <c r="N14" s="721"/>
      <c r="O14" s="721"/>
      <c r="P14" s="721"/>
      <c r="Q14" s="721"/>
      <c r="R14" s="721"/>
      <c r="S14" s="721"/>
      <c r="T14" s="721"/>
      <c r="U14" s="721"/>
      <c r="V14" s="721"/>
      <c r="W14" s="721"/>
      <c r="X14" s="721"/>
      <c r="Y14" s="721"/>
      <c r="Z14" s="721"/>
      <c r="AA14" s="721"/>
      <c r="AB14" s="721"/>
      <c r="AC14" s="721"/>
      <c r="AD14" s="721"/>
      <c r="AE14" s="721"/>
      <c r="AF14" s="721"/>
      <c r="AG14" s="721"/>
      <c r="AH14" s="721"/>
      <c r="AI14" s="721"/>
      <c r="AJ14" s="721"/>
      <c r="AK14" s="721"/>
      <c r="AL14" s="722"/>
      <c r="AM14" s="721"/>
      <c r="AN14" s="721"/>
      <c r="AO14" s="721"/>
      <c r="AP14" s="721"/>
      <c r="AQ14" s="721"/>
      <c r="AR14" s="721"/>
      <c r="AS14" s="713"/>
      <c r="AT14" s="721"/>
      <c r="AU14" s="721"/>
      <c r="AV14" s="721"/>
      <c r="AW14" s="721"/>
      <c r="AX14" s="721"/>
      <c r="AY14" s="721"/>
      <c r="AZ14" s="721"/>
      <c r="BA14" s="721"/>
      <c r="BB14" s="721"/>
    </row>
    <row r="15" spans="3:54" s="257" customFormat="1" ht="1.5" customHeight="1" x14ac:dyDescent="0.2">
      <c r="C15" s="714"/>
      <c r="D15" s="715"/>
      <c r="E15" s="716"/>
      <c r="F15" s="717"/>
      <c r="G15" s="718"/>
      <c r="H15" s="719"/>
      <c r="I15" s="720"/>
      <c r="J15" s="264"/>
      <c r="K15" s="264"/>
      <c r="L15" s="264"/>
      <c r="M15" s="264"/>
      <c r="N15" s="721"/>
      <c r="O15" s="721"/>
      <c r="P15" s="721"/>
      <c r="Q15" s="721"/>
      <c r="R15" s="721"/>
      <c r="S15" s="721"/>
      <c r="T15" s="721"/>
      <c r="U15" s="721"/>
      <c r="V15" s="721"/>
      <c r="W15" s="721"/>
      <c r="X15" s="721"/>
      <c r="Y15" s="721"/>
      <c r="Z15" s="721"/>
      <c r="AA15" s="721"/>
      <c r="AB15" s="721"/>
      <c r="AC15" s="721"/>
      <c r="AD15" s="721"/>
      <c r="AE15" s="721"/>
      <c r="AF15" s="721"/>
      <c r="AG15" s="721"/>
      <c r="AH15" s="721"/>
      <c r="AI15" s="721"/>
      <c r="AJ15" s="721"/>
      <c r="AK15" s="721"/>
      <c r="AL15" s="722"/>
      <c r="AM15" s="721"/>
      <c r="AN15" s="721"/>
      <c r="AO15" s="721"/>
      <c r="AP15" s="721"/>
      <c r="AQ15" s="721"/>
      <c r="AR15" s="721"/>
      <c r="AS15" s="713"/>
      <c r="AT15" s="721"/>
      <c r="AU15" s="721"/>
      <c r="AV15" s="721"/>
      <c r="AW15" s="721"/>
      <c r="AX15" s="721"/>
      <c r="AY15" s="721"/>
      <c r="AZ15" s="721"/>
      <c r="BA15" s="721"/>
      <c r="BB15" s="721"/>
    </row>
    <row r="16" spans="3:54" s="257" customFormat="1" ht="0.75" customHeight="1" x14ac:dyDescent="0.2">
      <c r="C16" s="714"/>
      <c r="D16" s="715"/>
      <c r="E16" s="716"/>
      <c r="F16" s="717"/>
      <c r="G16" s="718"/>
      <c r="H16" s="719"/>
      <c r="I16" s="720"/>
      <c r="J16" s="264"/>
      <c r="K16" s="264"/>
      <c r="L16" s="264"/>
      <c r="M16" s="264"/>
      <c r="N16" s="721"/>
      <c r="O16" s="721"/>
      <c r="P16" s="721"/>
      <c r="Q16" s="721"/>
      <c r="R16" s="721"/>
      <c r="S16" s="721"/>
      <c r="T16" s="721"/>
      <c r="U16" s="721"/>
      <c r="V16" s="721"/>
      <c r="W16" s="721"/>
      <c r="X16" s="721"/>
      <c r="Y16" s="721"/>
      <c r="Z16" s="721"/>
      <c r="AA16" s="721"/>
      <c r="AB16" s="721"/>
      <c r="AC16" s="721"/>
      <c r="AD16" s="721"/>
      <c r="AE16" s="721"/>
      <c r="AF16" s="721"/>
      <c r="AG16" s="721"/>
      <c r="AH16" s="721"/>
      <c r="AI16" s="721"/>
      <c r="AJ16" s="721"/>
      <c r="AK16" s="721"/>
      <c r="AL16" s="722"/>
      <c r="AM16" s="721"/>
      <c r="AN16" s="721"/>
      <c r="AO16" s="721"/>
      <c r="AP16" s="721"/>
      <c r="AQ16" s="721"/>
      <c r="AR16" s="721"/>
      <c r="AS16" s="713"/>
      <c r="AT16" s="721"/>
      <c r="AU16" s="721"/>
      <c r="AV16" s="721"/>
      <c r="AW16" s="721"/>
      <c r="AX16" s="721"/>
      <c r="AY16" s="721"/>
      <c r="AZ16" s="721"/>
      <c r="BA16" s="721"/>
      <c r="BB16" s="721"/>
    </row>
    <row r="17" spans="3:54" s="257" customFormat="1" ht="1.5" customHeight="1" x14ac:dyDescent="0.2">
      <c r="C17" s="714"/>
      <c r="D17" s="715"/>
      <c r="E17" s="716"/>
      <c r="F17" s="717"/>
      <c r="G17" s="718"/>
      <c r="H17" s="719"/>
      <c r="I17" s="720"/>
      <c r="J17" s="264"/>
      <c r="K17" s="264"/>
      <c r="L17" s="264"/>
      <c r="M17" s="264"/>
      <c r="N17" s="721"/>
      <c r="O17" s="721"/>
      <c r="P17" s="721"/>
      <c r="Q17" s="721"/>
      <c r="R17" s="721"/>
      <c r="S17" s="721"/>
      <c r="T17" s="721"/>
      <c r="U17" s="721"/>
      <c r="V17" s="721"/>
      <c r="W17" s="721"/>
      <c r="X17" s="721"/>
      <c r="Y17" s="721"/>
      <c r="Z17" s="721"/>
      <c r="AA17" s="721"/>
      <c r="AB17" s="721"/>
      <c r="AC17" s="721"/>
      <c r="AD17" s="721"/>
      <c r="AE17" s="721"/>
      <c r="AF17" s="721"/>
      <c r="AG17" s="721"/>
      <c r="AH17" s="721"/>
      <c r="AI17" s="721"/>
      <c r="AJ17" s="721"/>
      <c r="AK17" s="721"/>
      <c r="AL17" s="722"/>
      <c r="AM17" s="721"/>
      <c r="AN17" s="721"/>
      <c r="AO17" s="721"/>
      <c r="AP17" s="721"/>
      <c r="AQ17" s="721"/>
      <c r="AR17" s="721"/>
      <c r="AS17" s="713"/>
      <c r="AT17" s="721"/>
      <c r="AU17" s="721"/>
      <c r="AV17" s="721"/>
      <c r="AW17" s="721"/>
      <c r="AX17" s="721"/>
      <c r="AY17" s="721"/>
      <c r="AZ17" s="721"/>
      <c r="BA17" s="721"/>
      <c r="BB17" s="721"/>
    </row>
    <row r="18" spans="3:54" s="257" customFormat="1" ht="0.75" customHeight="1" x14ac:dyDescent="0.2">
      <c r="C18" s="714"/>
      <c r="D18" s="715"/>
      <c r="E18" s="716"/>
      <c r="F18" s="717"/>
      <c r="G18" s="718"/>
      <c r="H18" s="719"/>
      <c r="I18" s="720"/>
      <c r="J18" s="264"/>
      <c r="K18" s="264"/>
      <c r="L18" s="264"/>
      <c r="M18" s="264"/>
      <c r="N18" s="721"/>
      <c r="O18" s="721"/>
      <c r="P18" s="721"/>
      <c r="Q18" s="721"/>
      <c r="R18" s="721"/>
      <c r="S18" s="721"/>
      <c r="T18" s="721"/>
      <c r="U18" s="721"/>
      <c r="V18" s="721"/>
      <c r="W18" s="721"/>
      <c r="X18" s="721"/>
      <c r="Y18" s="721"/>
      <c r="Z18" s="721"/>
      <c r="AA18" s="721"/>
      <c r="AB18" s="721"/>
      <c r="AC18" s="721"/>
      <c r="AD18" s="721"/>
      <c r="AE18" s="721"/>
      <c r="AF18" s="721"/>
      <c r="AG18" s="721"/>
      <c r="AH18" s="721"/>
      <c r="AI18" s="721"/>
      <c r="AJ18" s="721"/>
      <c r="AK18" s="721"/>
      <c r="AL18" s="722"/>
      <c r="AM18" s="721"/>
      <c r="AN18" s="721"/>
      <c r="AO18" s="721"/>
      <c r="AP18" s="721"/>
      <c r="AQ18" s="721"/>
      <c r="AR18" s="721"/>
      <c r="AS18" s="713"/>
      <c r="AT18" s="721"/>
      <c r="AU18" s="721"/>
      <c r="AV18" s="721"/>
      <c r="AW18" s="721"/>
      <c r="AX18" s="721"/>
      <c r="AY18" s="721"/>
      <c r="AZ18" s="721"/>
      <c r="BA18" s="721"/>
      <c r="BB18" s="721"/>
    </row>
    <row r="19" spans="3:54" s="257" customFormat="1" ht="1.5" customHeight="1" x14ac:dyDescent="0.2">
      <c r="C19" s="714"/>
      <c r="D19" s="715"/>
      <c r="E19" s="716"/>
      <c r="F19" s="717"/>
      <c r="G19" s="718"/>
      <c r="H19" s="719"/>
      <c r="I19" s="720"/>
      <c r="J19" s="264"/>
      <c r="K19" s="264"/>
      <c r="L19" s="264"/>
      <c r="M19" s="264"/>
      <c r="N19" s="721"/>
      <c r="O19" s="721"/>
      <c r="P19" s="721"/>
      <c r="Q19" s="721"/>
      <c r="R19" s="721"/>
      <c r="S19" s="721"/>
      <c r="T19" s="721"/>
      <c r="U19" s="721"/>
      <c r="V19" s="721"/>
      <c r="W19" s="721"/>
      <c r="X19" s="721"/>
      <c r="Y19" s="721"/>
      <c r="Z19" s="721"/>
      <c r="AA19" s="721"/>
      <c r="AB19" s="721"/>
      <c r="AC19" s="721"/>
      <c r="AD19" s="721"/>
      <c r="AE19" s="721"/>
      <c r="AF19" s="721"/>
      <c r="AG19" s="721"/>
      <c r="AH19" s="721"/>
      <c r="AI19" s="721"/>
      <c r="AJ19" s="721"/>
      <c r="AK19" s="721"/>
      <c r="AL19" s="722"/>
      <c r="AM19" s="721"/>
      <c r="AN19" s="721"/>
      <c r="AO19" s="721"/>
      <c r="AP19" s="721"/>
      <c r="AQ19" s="721"/>
      <c r="AR19" s="721"/>
      <c r="AS19" s="713"/>
      <c r="AT19" s="721"/>
      <c r="AU19" s="721"/>
      <c r="AV19" s="721"/>
      <c r="AW19" s="721"/>
      <c r="AX19" s="721"/>
      <c r="AY19" s="721"/>
      <c r="AZ19" s="721"/>
      <c r="BA19" s="721"/>
      <c r="BB19" s="721"/>
    </row>
    <row r="20" spans="3:54" s="257" customFormat="1" ht="0.75" customHeight="1" x14ac:dyDescent="0.2">
      <c r="C20" s="714"/>
      <c r="D20" s="715"/>
      <c r="E20" s="716"/>
      <c r="F20" s="717"/>
      <c r="G20" s="718"/>
      <c r="H20" s="719"/>
      <c r="I20" s="720"/>
      <c r="J20" s="264"/>
      <c r="K20" s="264"/>
      <c r="L20" s="264"/>
      <c r="M20" s="264"/>
      <c r="N20" s="721"/>
      <c r="O20" s="721"/>
      <c r="P20" s="721"/>
      <c r="Q20" s="721"/>
      <c r="R20" s="721"/>
      <c r="S20" s="721"/>
      <c r="T20" s="721"/>
      <c r="U20" s="721"/>
      <c r="V20" s="721"/>
      <c r="W20" s="721"/>
      <c r="X20" s="721"/>
      <c r="Y20" s="721"/>
      <c r="Z20" s="721"/>
      <c r="AA20" s="721"/>
      <c r="AB20" s="721"/>
      <c r="AC20" s="721"/>
      <c r="AD20" s="721"/>
      <c r="AE20" s="721"/>
      <c r="AF20" s="721"/>
      <c r="AG20" s="721"/>
      <c r="AH20" s="721"/>
      <c r="AI20" s="721"/>
      <c r="AJ20" s="721"/>
      <c r="AK20" s="721"/>
      <c r="AL20" s="722"/>
      <c r="AM20" s="721"/>
      <c r="AN20" s="721"/>
      <c r="AO20" s="721"/>
      <c r="AP20" s="721"/>
      <c r="AQ20" s="721"/>
      <c r="AR20" s="721"/>
      <c r="AS20" s="713"/>
      <c r="AT20" s="721"/>
      <c r="AU20" s="721"/>
      <c r="AV20" s="721"/>
      <c r="AW20" s="721"/>
      <c r="AX20" s="721"/>
      <c r="AY20" s="721"/>
      <c r="AZ20" s="721"/>
      <c r="BA20" s="721"/>
      <c r="BB20" s="721"/>
    </row>
    <row r="21" spans="3:54" s="257" customFormat="1" ht="1.5" customHeight="1" x14ac:dyDescent="0.2">
      <c r="C21" s="714"/>
      <c r="D21" s="715"/>
      <c r="E21" s="716"/>
      <c r="F21" s="717"/>
      <c r="G21" s="718"/>
      <c r="H21" s="719"/>
      <c r="I21" s="720"/>
      <c r="J21" s="264"/>
      <c r="K21" s="264"/>
      <c r="L21" s="264"/>
      <c r="M21" s="264"/>
      <c r="N21" s="721"/>
      <c r="O21" s="721"/>
      <c r="P21" s="721"/>
      <c r="Q21" s="721"/>
      <c r="R21" s="721"/>
      <c r="S21" s="721"/>
      <c r="T21" s="721"/>
      <c r="U21" s="721"/>
      <c r="V21" s="721"/>
      <c r="W21" s="721"/>
      <c r="X21" s="721"/>
      <c r="Y21" s="721"/>
      <c r="Z21" s="721"/>
      <c r="AA21" s="721"/>
      <c r="AB21" s="721"/>
      <c r="AC21" s="721"/>
      <c r="AD21" s="721"/>
      <c r="AE21" s="721"/>
      <c r="AF21" s="721"/>
      <c r="AG21" s="721"/>
      <c r="AH21" s="721"/>
      <c r="AI21" s="721"/>
      <c r="AJ21" s="721"/>
      <c r="AK21" s="721"/>
      <c r="AL21" s="722"/>
      <c r="AM21" s="721"/>
      <c r="AN21" s="721"/>
      <c r="AO21" s="721"/>
      <c r="AP21" s="721"/>
      <c r="AQ21" s="721"/>
      <c r="AR21" s="721"/>
      <c r="AS21" s="713"/>
      <c r="AT21" s="721"/>
      <c r="AU21" s="721"/>
      <c r="AV21" s="721"/>
      <c r="AW21" s="721"/>
      <c r="AX21" s="721"/>
      <c r="AY21" s="721"/>
      <c r="AZ21" s="721"/>
      <c r="BA21" s="721"/>
      <c r="BB21" s="721"/>
    </row>
    <row r="22" spans="3:54" s="257" customFormat="1" ht="0.75" customHeight="1" x14ac:dyDescent="0.2">
      <c r="C22" s="714"/>
      <c r="D22" s="715"/>
      <c r="E22" s="716"/>
      <c r="F22" s="717"/>
      <c r="G22" s="718"/>
      <c r="H22" s="719"/>
      <c r="I22" s="720"/>
      <c r="J22" s="264"/>
      <c r="K22" s="264"/>
      <c r="L22" s="264"/>
      <c r="M22" s="264"/>
      <c r="N22" s="721"/>
      <c r="O22" s="721"/>
      <c r="P22" s="721"/>
      <c r="Q22" s="721"/>
      <c r="R22" s="721"/>
      <c r="S22" s="721"/>
      <c r="T22" s="721"/>
      <c r="U22" s="721"/>
      <c r="V22" s="721"/>
      <c r="W22" s="721"/>
      <c r="X22" s="721"/>
      <c r="Y22" s="721"/>
      <c r="Z22" s="721"/>
      <c r="AA22" s="721"/>
      <c r="AB22" s="721"/>
      <c r="AC22" s="721"/>
      <c r="AD22" s="721"/>
      <c r="AE22" s="721"/>
      <c r="AF22" s="721"/>
      <c r="AG22" s="721"/>
      <c r="AH22" s="721"/>
      <c r="AI22" s="721"/>
      <c r="AJ22" s="721"/>
      <c r="AK22" s="721"/>
      <c r="AL22" s="722"/>
      <c r="AM22" s="721"/>
      <c r="AN22" s="721"/>
      <c r="AO22" s="721"/>
      <c r="AP22" s="721"/>
      <c r="AQ22" s="721"/>
      <c r="AR22" s="721"/>
      <c r="AS22" s="713"/>
      <c r="AT22" s="721"/>
      <c r="AU22" s="721"/>
      <c r="AV22" s="721"/>
      <c r="AW22" s="721"/>
      <c r="AX22" s="721"/>
      <c r="AY22" s="721"/>
      <c r="AZ22" s="721"/>
      <c r="BA22" s="721"/>
      <c r="BB22" s="721"/>
    </row>
    <row r="23" spans="3:54" s="257" customFormat="1" ht="1.5" customHeight="1" x14ac:dyDescent="0.2">
      <c r="C23" s="714"/>
      <c r="D23" s="715"/>
      <c r="E23" s="716"/>
      <c r="F23" s="717"/>
      <c r="G23" s="718"/>
      <c r="H23" s="719"/>
      <c r="I23" s="720"/>
      <c r="J23" s="264"/>
      <c r="K23" s="264"/>
      <c r="L23" s="264"/>
      <c r="M23" s="264"/>
      <c r="N23" s="721"/>
      <c r="O23" s="721"/>
      <c r="P23" s="721"/>
      <c r="Q23" s="721"/>
      <c r="R23" s="721"/>
      <c r="S23" s="721"/>
      <c r="T23" s="721"/>
      <c r="U23" s="721"/>
      <c r="V23" s="721"/>
      <c r="W23" s="721"/>
      <c r="X23" s="721"/>
      <c r="Y23" s="721"/>
      <c r="Z23" s="721"/>
      <c r="AA23" s="721"/>
      <c r="AB23" s="721"/>
      <c r="AC23" s="721"/>
      <c r="AD23" s="721"/>
      <c r="AE23" s="721"/>
      <c r="AF23" s="721"/>
      <c r="AG23" s="721"/>
      <c r="AH23" s="721"/>
      <c r="AI23" s="721"/>
      <c r="AJ23" s="721"/>
      <c r="AK23" s="721"/>
      <c r="AL23" s="722"/>
      <c r="AM23" s="721"/>
      <c r="AN23" s="721"/>
      <c r="AO23" s="721"/>
      <c r="AP23" s="721"/>
      <c r="AQ23" s="721"/>
      <c r="AR23" s="721"/>
      <c r="AS23" s="713"/>
      <c r="AT23" s="721"/>
      <c r="AU23" s="721"/>
      <c r="AV23" s="721"/>
      <c r="AW23" s="721"/>
      <c r="AX23" s="721"/>
      <c r="AY23" s="721"/>
      <c r="AZ23" s="721"/>
      <c r="BA23" s="721"/>
      <c r="BB23" s="721"/>
    </row>
    <row r="24" spans="3:54" s="257" customFormat="1" ht="0.75" customHeight="1" x14ac:dyDescent="0.2">
      <c r="C24" s="714"/>
      <c r="D24" s="715"/>
      <c r="E24" s="716"/>
      <c r="F24" s="717"/>
      <c r="G24" s="718"/>
      <c r="H24" s="719"/>
      <c r="I24" s="720"/>
      <c r="J24" s="264"/>
      <c r="K24" s="264"/>
      <c r="L24" s="264"/>
      <c r="M24" s="264"/>
      <c r="N24" s="721"/>
      <c r="O24" s="721"/>
      <c r="P24" s="721"/>
      <c r="Q24" s="721"/>
      <c r="R24" s="721"/>
      <c r="S24" s="721"/>
      <c r="T24" s="721"/>
      <c r="U24" s="721"/>
      <c r="V24" s="721"/>
      <c r="W24" s="721"/>
      <c r="X24" s="721"/>
      <c r="Y24" s="721"/>
      <c r="Z24" s="721"/>
      <c r="AA24" s="721"/>
      <c r="AB24" s="721"/>
      <c r="AC24" s="721"/>
      <c r="AD24" s="721"/>
      <c r="AE24" s="721"/>
      <c r="AF24" s="721"/>
      <c r="AG24" s="721"/>
      <c r="AH24" s="721"/>
      <c r="AI24" s="721"/>
      <c r="AJ24" s="721"/>
      <c r="AK24" s="721"/>
      <c r="AL24" s="722"/>
      <c r="AM24" s="721"/>
      <c r="AN24" s="721"/>
      <c r="AO24" s="721"/>
      <c r="AP24" s="721"/>
      <c r="AQ24" s="721"/>
      <c r="AR24" s="721"/>
      <c r="AS24" s="713"/>
      <c r="AT24" s="721"/>
      <c r="AU24" s="721"/>
      <c r="AV24" s="721"/>
      <c r="AW24" s="721"/>
      <c r="AX24" s="721"/>
      <c r="AY24" s="721"/>
      <c r="AZ24" s="721"/>
      <c r="BA24" s="721"/>
      <c r="BB24" s="721"/>
    </row>
    <row r="25" spans="3:54" s="257" customFormat="1" ht="1.5" customHeight="1" x14ac:dyDescent="0.2">
      <c r="C25" s="714"/>
      <c r="D25" s="715"/>
      <c r="E25" s="716"/>
      <c r="F25" s="717"/>
      <c r="G25" s="718"/>
      <c r="H25" s="719"/>
      <c r="I25" s="720"/>
      <c r="J25" s="264"/>
      <c r="K25" s="264"/>
      <c r="L25" s="264"/>
      <c r="M25" s="264"/>
      <c r="N25" s="721"/>
      <c r="O25" s="721"/>
      <c r="P25" s="721"/>
      <c r="Q25" s="721"/>
      <c r="R25" s="721"/>
      <c r="S25" s="721"/>
      <c r="T25" s="721"/>
      <c r="U25" s="721"/>
      <c r="V25" s="721"/>
      <c r="W25" s="721"/>
      <c r="X25" s="721"/>
      <c r="Y25" s="721"/>
      <c r="Z25" s="721"/>
      <c r="AA25" s="721"/>
      <c r="AB25" s="721"/>
      <c r="AC25" s="721"/>
      <c r="AD25" s="721"/>
      <c r="AE25" s="721"/>
      <c r="AF25" s="721"/>
      <c r="AG25" s="721"/>
      <c r="AH25" s="721"/>
      <c r="AI25" s="721"/>
      <c r="AJ25" s="721"/>
      <c r="AK25" s="721"/>
      <c r="AL25" s="722"/>
      <c r="AM25" s="721"/>
      <c r="AN25" s="721"/>
      <c r="AO25" s="721"/>
      <c r="AP25" s="721"/>
      <c r="AQ25" s="721"/>
      <c r="AR25" s="721"/>
      <c r="AS25" s="713"/>
      <c r="AT25" s="721"/>
      <c r="AU25" s="721"/>
      <c r="AV25" s="721"/>
      <c r="AW25" s="721"/>
      <c r="AX25" s="721"/>
      <c r="AY25" s="721"/>
      <c r="AZ25" s="721"/>
      <c r="BA25" s="721"/>
      <c r="BB25" s="721"/>
    </row>
    <row r="26" spans="3:54" s="257" customFormat="1" ht="0.75" customHeight="1" x14ac:dyDescent="0.2">
      <c r="C26" s="714"/>
      <c r="D26" s="715"/>
      <c r="E26" s="716"/>
      <c r="F26" s="717"/>
      <c r="G26" s="718"/>
      <c r="H26" s="719"/>
      <c r="I26" s="720"/>
      <c r="J26" s="264"/>
      <c r="K26" s="264"/>
      <c r="L26" s="264"/>
      <c r="M26" s="264"/>
      <c r="N26" s="721"/>
      <c r="O26" s="721"/>
      <c r="P26" s="721"/>
      <c r="Q26" s="721"/>
      <c r="R26" s="721"/>
      <c r="S26" s="721"/>
      <c r="T26" s="721"/>
      <c r="U26" s="721"/>
      <c r="V26" s="721"/>
      <c r="W26" s="721"/>
      <c r="X26" s="721"/>
      <c r="Y26" s="721"/>
      <c r="Z26" s="721"/>
      <c r="AA26" s="721"/>
      <c r="AB26" s="721"/>
      <c r="AC26" s="721"/>
      <c r="AD26" s="721"/>
      <c r="AE26" s="721"/>
      <c r="AF26" s="721"/>
      <c r="AG26" s="721"/>
      <c r="AH26" s="721"/>
      <c r="AI26" s="721"/>
      <c r="AJ26" s="721"/>
      <c r="AK26" s="721"/>
      <c r="AL26" s="722"/>
      <c r="AM26" s="721"/>
      <c r="AN26" s="721"/>
      <c r="AO26" s="721"/>
      <c r="AP26" s="721"/>
      <c r="AQ26" s="721"/>
      <c r="AR26" s="721"/>
      <c r="AS26" s="713"/>
      <c r="AT26" s="721"/>
      <c r="AU26" s="721"/>
      <c r="AV26" s="721"/>
      <c r="AW26" s="721"/>
      <c r="AX26" s="721"/>
      <c r="AY26" s="721"/>
      <c r="AZ26" s="721"/>
      <c r="BA26" s="721"/>
      <c r="BB26" s="721"/>
    </row>
    <row r="27" spans="3:54" s="257" customFormat="1" ht="1.5" customHeight="1" x14ac:dyDescent="0.2">
      <c r="C27" s="714"/>
      <c r="D27" s="715"/>
      <c r="E27" s="716"/>
      <c r="F27" s="717"/>
      <c r="G27" s="718"/>
      <c r="H27" s="719"/>
      <c r="I27" s="720"/>
      <c r="J27" s="264"/>
      <c r="K27" s="264"/>
      <c r="L27" s="264"/>
      <c r="M27" s="264"/>
      <c r="N27" s="721"/>
      <c r="O27" s="721"/>
      <c r="P27" s="721"/>
      <c r="Q27" s="721"/>
      <c r="R27" s="721"/>
      <c r="S27" s="721"/>
      <c r="T27" s="721"/>
      <c r="U27" s="721"/>
      <c r="V27" s="721"/>
      <c r="W27" s="721"/>
      <c r="X27" s="721"/>
      <c r="Y27" s="721"/>
      <c r="Z27" s="721"/>
      <c r="AA27" s="721"/>
      <c r="AB27" s="721"/>
      <c r="AC27" s="721"/>
      <c r="AD27" s="721"/>
      <c r="AE27" s="721"/>
      <c r="AF27" s="721"/>
      <c r="AG27" s="721"/>
      <c r="AH27" s="721"/>
      <c r="AI27" s="721"/>
      <c r="AJ27" s="721"/>
      <c r="AK27" s="721"/>
      <c r="AL27" s="722"/>
      <c r="AM27" s="721"/>
      <c r="AN27" s="721"/>
      <c r="AO27" s="721"/>
      <c r="AP27" s="721"/>
      <c r="AQ27" s="721"/>
      <c r="AR27" s="721"/>
      <c r="AS27" s="713"/>
      <c r="AT27" s="721"/>
      <c r="AU27" s="721"/>
      <c r="AV27" s="721"/>
      <c r="AW27" s="721"/>
      <c r="AX27" s="721"/>
      <c r="AY27" s="721"/>
      <c r="AZ27" s="721"/>
      <c r="BA27" s="721"/>
      <c r="BB27" s="721"/>
    </row>
    <row r="28" spans="3:54" s="257" customFormat="1" ht="0.75" customHeight="1" x14ac:dyDescent="0.2">
      <c r="C28" s="714"/>
      <c r="D28" s="715"/>
      <c r="E28" s="716"/>
      <c r="F28" s="717"/>
      <c r="G28" s="718"/>
      <c r="H28" s="719"/>
      <c r="I28" s="720"/>
      <c r="J28" s="264"/>
      <c r="K28" s="264"/>
      <c r="L28" s="264"/>
      <c r="M28" s="264"/>
      <c r="N28" s="721"/>
      <c r="O28" s="721"/>
      <c r="P28" s="721"/>
      <c r="Q28" s="721"/>
      <c r="R28" s="721"/>
      <c r="S28" s="721"/>
      <c r="T28" s="721"/>
      <c r="U28" s="721"/>
      <c r="V28" s="721"/>
      <c r="W28" s="721"/>
      <c r="X28" s="721"/>
      <c r="Y28" s="721"/>
      <c r="Z28" s="721"/>
      <c r="AA28" s="721"/>
      <c r="AB28" s="721"/>
      <c r="AC28" s="721"/>
      <c r="AD28" s="721"/>
      <c r="AE28" s="721"/>
      <c r="AF28" s="721"/>
      <c r="AG28" s="721"/>
      <c r="AH28" s="721"/>
      <c r="AI28" s="721"/>
      <c r="AJ28" s="721"/>
      <c r="AK28" s="721"/>
      <c r="AL28" s="722"/>
      <c r="AM28" s="721"/>
      <c r="AN28" s="721"/>
      <c r="AO28" s="721"/>
      <c r="AP28" s="721"/>
      <c r="AQ28" s="721"/>
      <c r="AR28" s="721"/>
      <c r="AS28" s="713"/>
      <c r="AT28" s="721"/>
      <c r="AU28" s="721"/>
      <c r="AV28" s="721"/>
      <c r="AW28" s="721"/>
      <c r="AX28" s="721"/>
      <c r="AY28" s="721"/>
      <c r="AZ28" s="721"/>
      <c r="BA28" s="721"/>
      <c r="BB28" s="721"/>
    </row>
    <row r="29" spans="3:54" s="257" customFormat="1" ht="1.5" customHeight="1" x14ac:dyDescent="0.2">
      <c r="C29" s="714"/>
      <c r="D29" s="715"/>
      <c r="E29" s="716"/>
      <c r="F29" s="717"/>
      <c r="G29" s="718"/>
      <c r="H29" s="719"/>
      <c r="I29" s="720"/>
      <c r="J29" s="264"/>
      <c r="K29" s="264"/>
      <c r="L29" s="264"/>
      <c r="M29" s="264"/>
      <c r="N29" s="721"/>
      <c r="O29" s="721"/>
      <c r="P29" s="721"/>
      <c r="Q29" s="721"/>
      <c r="R29" s="721"/>
      <c r="S29" s="721"/>
      <c r="T29" s="721"/>
      <c r="U29" s="721"/>
      <c r="V29" s="721"/>
      <c r="W29" s="721"/>
      <c r="X29" s="721"/>
      <c r="Y29" s="721"/>
      <c r="Z29" s="721"/>
      <c r="AA29" s="721"/>
      <c r="AB29" s="721"/>
      <c r="AC29" s="721"/>
      <c r="AD29" s="721"/>
      <c r="AE29" s="721"/>
      <c r="AF29" s="721"/>
      <c r="AG29" s="721"/>
      <c r="AH29" s="721"/>
      <c r="AI29" s="721"/>
      <c r="AJ29" s="721"/>
      <c r="AK29" s="721"/>
      <c r="AL29" s="722"/>
      <c r="AM29" s="721"/>
      <c r="AN29" s="721"/>
      <c r="AO29" s="721"/>
      <c r="AP29" s="721"/>
      <c r="AQ29" s="721"/>
      <c r="AR29" s="721"/>
      <c r="AS29" s="713"/>
      <c r="AT29" s="721"/>
      <c r="AU29" s="721"/>
      <c r="AV29" s="721"/>
      <c r="AW29" s="721"/>
      <c r="AX29" s="721"/>
      <c r="AY29" s="721"/>
      <c r="AZ29" s="721"/>
      <c r="BA29" s="721"/>
      <c r="BB29" s="721"/>
    </row>
    <row r="30" spans="3:54" s="257" customFormat="1" ht="0.75" customHeight="1" x14ac:dyDescent="0.2">
      <c r="C30" s="714"/>
      <c r="D30" s="715"/>
      <c r="E30" s="716"/>
      <c r="F30" s="717"/>
      <c r="G30" s="718"/>
      <c r="H30" s="719"/>
      <c r="I30" s="720"/>
      <c r="J30" s="264"/>
      <c r="K30" s="264"/>
      <c r="L30" s="264"/>
      <c r="M30" s="264"/>
      <c r="N30" s="721"/>
      <c r="O30" s="721"/>
      <c r="P30" s="721"/>
      <c r="Q30" s="721"/>
      <c r="R30" s="721"/>
      <c r="S30" s="721"/>
      <c r="T30" s="721"/>
      <c r="U30" s="721"/>
      <c r="V30" s="721"/>
      <c r="W30" s="721"/>
      <c r="X30" s="721"/>
      <c r="Y30" s="721"/>
      <c r="Z30" s="721"/>
      <c r="AA30" s="721"/>
      <c r="AB30" s="721"/>
      <c r="AC30" s="721"/>
      <c r="AD30" s="721"/>
      <c r="AE30" s="721"/>
      <c r="AF30" s="721"/>
      <c r="AG30" s="721"/>
      <c r="AH30" s="721"/>
      <c r="AI30" s="721"/>
      <c r="AJ30" s="721"/>
      <c r="AK30" s="721"/>
      <c r="AL30" s="722"/>
      <c r="AM30" s="721"/>
      <c r="AN30" s="721"/>
      <c r="AO30" s="721"/>
      <c r="AP30" s="721"/>
      <c r="AQ30" s="721"/>
      <c r="AR30" s="721"/>
      <c r="AS30" s="713"/>
      <c r="AT30" s="721"/>
      <c r="AU30" s="721"/>
      <c r="AV30" s="721"/>
      <c r="AW30" s="721"/>
      <c r="AX30" s="721"/>
      <c r="AY30" s="721"/>
      <c r="AZ30" s="721"/>
      <c r="BA30" s="721"/>
      <c r="BB30" s="721"/>
    </row>
    <row r="31" spans="3:54" s="257" customFormat="1" ht="1.5" customHeight="1" x14ac:dyDescent="0.2">
      <c r="C31" s="714"/>
      <c r="D31" s="715"/>
      <c r="E31" s="716"/>
      <c r="F31" s="717"/>
      <c r="G31" s="718"/>
      <c r="H31" s="719"/>
      <c r="I31" s="720"/>
      <c r="J31" s="264"/>
      <c r="K31" s="264"/>
      <c r="L31" s="264"/>
      <c r="M31" s="264"/>
      <c r="N31" s="721"/>
      <c r="O31" s="721"/>
      <c r="P31" s="721"/>
      <c r="Q31" s="721"/>
      <c r="R31" s="721"/>
      <c r="S31" s="721"/>
      <c r="T31" s="721"/>
      <c r="U31" s="721"/>
      <c r="V31" s="721"/>
      <c r="W31" s="721"/>
      <c r="X31" s="721"/>
      <c r="Y31" s="721"/>
      <c r="Z31" s="721"/>
      <c r="AA31" s="721"/>
      <c r="AB31" s="721"/>
      <c r="AC31" s="721"/>
      <c r="AD31" s="721"/>
      <c r="AE31" s="721"/>
      <c r="AF31" s="721"/>
      <c r="AG31" s="721"/>
      <c r="AH31" s="721"/>
      <c r="AI31" s="721"/>
      <c r="AJ31" s="721"/>
      <c r="AK31" s="721"/>
      <c r="AL31" s="722"/>
      <c r="AM31" s="721"/>
      <c r="AN31" s="721"/>
      <c r="AO31" s="721"/>
      <c r="AP31" s="721"/>
      <c r="AQ31" s="721"/>
      <c r="AR31" s="721"/>
      <c r="AS31" s="713"/>
      <c r="AT31" s="721"/>
      <c r="AU31" s="721"/>
      <c r="AV31" s="721"/>
      <c r="AW31" s="721"/>
      <c r="AX31" s="721"/>
      <c r="AY31" s="721"/>
      <c r="AZ31" s="721"/>
      <c r="BA31" s="721"/>
      <c r="BB31" s="721"/>
    </row>
    <row r="32" spans="3:54" s="257" customFormat="1" ht="0.75" customHeight="1" x14ac:dyDescent="0.2">
      <c r="C32" s="714"/>
      <c r="D32" s="715"/>
      <c r="E32" s="716"/>
      <c r="F32" s="717"/>
      <c r="G32" s="718"/>
      <c r="H32" s="719"/>
      <c r="I32" s="720"/>
      <c r="J32" s="264"/>
      <c r="K32" s="264"/>
      <c r="L32" s="264"/>
      <c r="M32" s="264"/>
      <c r="N32" s="721"/>
      <c r="O32" s="721"/>
      <c r="P32" s="721"/>
      <c r="Q32" s="721"/>
      <c r="R32" s="721"/>
      <c r="S32" s="721"/>
      <c r="T32" s="721"/>
      <c r="U32" s="721"/>
      <c r="V32" s="721"/>
      <c r="W32" s="721"/>
      <c r="X32" s="721"/>
      <c r="Y32" s="721"/>
      <c r="Z32" s="721"/>
      <c r="AA32" s="721"/>
      <c r="AB32" s="721"/>
      <c r="AC32" s="721"/>
      <c r="AD32" s="721"/>
      <c r="AE32" s="721"/>
      <c r="AF32" s="721"/>
      <c r="AG32" s="721"/>
      <c r="AH32" s="721"/>
      <c r="AI32" s="721"/>
      <c r="AJ32" s="721"/>
      <c r="AK32" s="721"/>
      <c r="AL32" s="722"/>
      <c r="AM32" s="721"/>
      <c r="AN32" s="721"/>
      <c r="AO32" s="721"/>
      <c r="AP32" s="721"/>
      <c r="AQ32" s="721"/>
      <c r="AR32" s="721"/>
      <c r="AS32" s="713"/>
      <c r="AT32" s="721"/>
      <c r="AU32" s="721"/>
      <c r="AV32" s="721"/>
      <c r="AW32" s="721"/>
      <c r="AX32" s="721"/>
      <c r="AY32" s="721"/>
      <c r="AZ32" s="721"/>
      <c r="BA32" s="721"/>
      <c r="BB32" s="721"/>
    </row>
    <row r="33" spans="1:54" s="257" customFormat="1" ht="1.5" customHeight="1" x14ac:dyDescent="0.2">
      <c r="C33" s="714"/>
      <c r="D33" s="715"/>
      <c r="E33" s="716"/>
      <c r="F33" s="717"/>
      <c r="G33" s="718"/>
      <c r="H33" s="719"/>
      <c r="I33" s="720"/>
      <c r="J33" s="264"/>
      <c r="K33" s="264"/>
      <c r="L33" s="264"/>
      <c r="M33" s="264"/>
      <c r="N33" s="721"/>
      <c r="O33" s="721"/>
      <c r="P33" s="721"/>
      <c r="Q33" s="721"/>
      <c r="R33" s="721"/>
      <c r="S33" s="721"/>
      <c r="T33" s="721"/>
      <c r="U33" s="721"/>
      <c r="V33" s="721"/>
      <c r="W33" s="721"/>
      <c r="X33" s="721"/>
      <c r="Y33" s="721"/>
      <c r="Z33" s="721"/>
      <c r="AA33" s="721"/>
      <c r="AB33" s="721"/>
      <c r="AC33" s="721"/>
      <c r="AD33" s="721"/>
      <c r="AE33" s="721"/>
      <c r="AF33" s="721"/>
      <c r="AG33" s="721"/>
      <c r="AH33" s="721"/>
      <c r="AI33" s="721"/>
      <c r="AJ33" s="721"/>
      <c r="AK33" s="721"/>
      <c r="AL33" s="722"/>
      <c r="AM33" s="721"/>
      <c r="AN33" s="721"/>
      <c r="AO33" s="721"/>
      <c r="AP33" s="721"/>
      <c r="AQ33" s="721"/>
      <c r="AR33" s="721"/>
      <c r="AS33" s="713"/>
      <c r="AT33" s="721"/>
      <c r="AU33" s="721"/>
      <c r="AV33" s="721"/>
      <c r="AW33" s="721"/>
      <c r="AX33" s="721"/>
      <c r="AY33" s="721"/>
      <c r="AZ33" s="721"/>
      <c r="BA33" s="721"/>
      <c r="BB33" s="721"/>
    </row>
    <row r="34" spans="1:54" s="257" customFormat="1" ht="0.75" customHeight="1" x14ac:dyDescent="0.2">
      <c r="C34" s="714"/>
      <c r="D34" s="715"/>
      <c r="E34" s="716"/>
      <c r="F34" s="717"/>
      <c r="G34" s="718"/>
      <c r="H34" s="719"/>
      <c r="I34" s="720"/>
      <c r="J34" s="264"/>
      <c r="K34" s="264"/>
      <c r="L34" s="264"/>
      <c r="M34" s="264"/>
      <c r="N34" s="721"/>
      <c r="O34" s="721"/>
      <c r="P34" s="721"/>
      <c r="Q34" s="721"/>
      <c r="R34" s="721"/>
      <c r="S34" s="721"/>
      <c r="T34" s="721"/>
      <c r="U34" s="721"/>
      <c r="V34" s="721"/>
      <c r="W34" s="721"/>
      <c r="X34" s="721"/>
      <c r="Y34" s="721"/>
      <c r="Z34" s="721"/>
      <c r="AA34" s="721"/>
      <c r="AB34" s="721"/>
      <c r="AC34" s="721"/>
      <c r="AD34" s="721"/>
      <c r="AE34" s="721"/>
      <c r="AF34" s="721"/>
      <c r="AG34" s="721"/>
      <c r="AH34" s="721"/>
      <c r="AI34" s="721"/>
      <c r="AJ34" s="721"/>
      <c r="AK34" s="721"/>
      <c r="AL34" s="722"/>
      <c r="AM34" s="721"/>
      <c r="AN34" s="721"/>
      <c r="AO34" s="721"/>
      <c r="AP34" s="721"/>
      <c r="AQ34" s="721"/>
      <c r="AR34" s="721"/>
      <c r="AS34" s="713"/>
      <c r="AT34" s="721"/>
      <c r="AU34" s="721"/>
      <c r="AV34" s="721"/>
      <c r="AW34" s="721"/>
      <c r="AX34" s="721"/>
      <c r="AY34" s="721"/>
      <c r="AZ34" s="721"/>
      <c r="BA34" s="721"/>
      <c r="BB34" s="721"/>
    </row>
    <row r="35" spans="1:54" s="257" customFormat="1" ht="1.5" customHeight="1" x14ac:dyDescent="0.2">
      <c r="C35" s="714"/>
      <c r="D35" s="715"/>
      <c r="E35" s="716"/>
      <c r="F35" s="717"/>
      <c r="G35" s="718"/>
      <c r="H35" s="719"/>
      <c r="I35" s="720"/>
      <c r="J35" s="264"/>
      <c r="K35" s="264"/>
      <c r="L35" s="264"/>
      <c r="M35" s="264"/>
      <c r="N35" s="721"/>
      <c r="O35" s="721"/>
      <c r="P35" s="721"/>
      <c r="Q35" s="721"/>
      <c r="R35" s="721"/>
      <c r="S35" s="721"/>
      <c r="T35" s="721"/>
      <c r="U35" s="721"/>
      <c r="V35" s="721"/>
      <c r="W35" s="721"/>
      <c r="X35" s="721"/>
      <c r="Y35" s="721"/>
      <c r="Z35" s="721"/>
      <c r="AA35" s="721"/>
      <c r="AB35" s="721"/>
      <c r="AC35" s="721"/>
      <c r="AD35" s="721"/>
      <c r="AE35" s="721"/>
      <c r="AF35" s="721"/>
      <c r="AG35" s="721"/>
      <c r="AH35" s="721"/>
      <c r="AI35" s="721"/>
      <c r="AJ35" s="721"/>
      <c r="AK35" s="721"/>
      <c r="AL35" s="722"/>
      <c r="AM35" s="721"/>
      <c r="AN35" s="721"/>
      <c r="AO35" s="721"/>
      <c r="AP35" s="721"/>
      <c r="AQ35" s="721"/>
      <c r="AR35" s="721"/>
      <c r="AS35" s="713"/>
      <c r="AT35" s="721"/>
      <c r="AU35" s="721"/>
      <c r="AV35" s="721"/>
      <c r="AW35" s="721"/>
      <c r="AX35" s="721"/>
      <c r="AY35" s="721"/>
      <c r="AZ35" s="721"/>
      <c r="BA35" s="721"/>
      <c r="BB35" s="721"/>
    </row>
    <row r="36" spans="1:54" s="257" customFormat="1" ht="0.75" customHeight="1" x14ac:dyDescent="0.2">
      <c r="C36" s="714"/>
      <c r="D36" s="715"/>
      <c r="E36" s="716"/>
      <c r="F36" s="717"/>
      <c r="G36" s="718"/>
      <c r="H36" s="719"/>
      <c r="I36" s="720"/>
      <c r="J36" s="264"/>
      <c r="K36" s="264"/>
      <c r="L36" s="264"/>
      <c r="M36" s="264"/>
      <c r="N36" s="721"/>
      <c r="O36" s="721"/>
      <c r="P36" s="721"/>
      <c r="Q36" s="721"/>
      <c r="R36" s="721"/>
      <c r="S36" s="721"/>
      <c r="T36" s="721"/>
      <c r="U36" s="721"/>
      <c r="V36" s="721"/>
      <c r="W36" s="721"/>
      <c r="X36" s="721"/>
      <c r="Y36" s="721"/>
      <c r="Z36" s="721"/>
      <c r="AA36" s="721"/>
      <c r="AB36" s="721"/>
      <c r="AC36" s="721"/>
      <c r="AD36" s="721"/>
      <c r="AE36" s="721"/>
      <c r="AF36" s="721"/>
      <c r="AG36" s="721"/>
      <c r="AH36" s="721"/>
      <c r="AI36" s="721"/>
      <c r="AJ36" s="721"/>
      <c r="AK36" s="721"/>
      <c r="AL36" s="722"/>
      <c r="AM36" s="721"/>
      <c r="AN36" s="721"/>
      <c r="AO36" s="721"/>
      <c r="AP36" s="721"/>
      <c r="AQ36" s="721"/>
      <c r="AR36" s="721"/>
      <c r="AS36" s="713"/>
      <c r="AT36" s="721"/>
      <c r="AU36" s="721"/>
      <c r="AV36" s="721"/>
      <c r="AW36" s="721"/>
      <c r="AX36" s="721"/>
      <c r="AY36" s="721"/>
      <c r="AZ36" s="721"/>
      <c r="BA36" s="721"/>
      <c r="BB36" s="721"/>
    </row>
    <row r="37" spans="1:54" s="257" customFormat="1" ht="1.5" customHeight="1" x14ac:dyDescent="0.2">
      <c r="C37" s="714"/>
      <c r="D37" s="715"/>
      <c r="E37" s="716"/>
      <c r="F37" s="717"/>
      <c r="G37" s="718"/>
      <c r="H37" s="719"/>
      <c r="I37" s="720"/>
      <c r="J37" s="264"/>
      <c r="K37" s="264"/>
      <c r="L37" s="264"/>
      <c r="M37" s="264"/>
      <c r="N37" s="721"/>
      <c r="O37" s="721"/>
      <c r="P37" s="721"/>
      <c r="Q37" s="721"/>
      <c r="R37" s="721"/>
      <c r="S37" s="721"/>
      <c r="T37" s="721"/>
      <c r="U37" s="721"/>
      <c r="V37" s="721"/>
      <c r="W37" s="721"/>
      <c r="X37" s="721"/>
      <c r="Y37" s="721"/>
      <c r="Z37" s="721"/>
      <c r="AA37" s="721"/>
      <c r="AB37" s="721"/>
      <c r="AC37" s="721"/>
      <c r="AD37" s="721"/>
      <c r="AE37" s="721"/>
      <c r="AF37" s="721"/>
      <c r="AG37" s="721"/>
      <c r="AH37" s="721"/>
      <c r="AI37" s="721"/>
      <c r="AJ37" s="721"/>
      <c r="AK37" s="721"/>
      <c r="AL37" s="722"/>
      <c r="AM37" s="721"/>
      <c r="AN37" s="721"/>
      <c r="AO37" s="721"/>
      <c r="AP37" s="721"/>
      <c r="AQ37" s="721"/>
      <c r="AR37" s="721"/>
      <c r="AS37" s="713"/>
      <c r="AT37" s="721"/>
      <c r="AU37" s="721"/>
      <c r="AV37" s="721"/>
      <c r="AW37" s="721"/>
      <c r="AX37" s="721"/>
      <c r="AY37" s="721"/>
      <c r="AZ37" s="721"/>
      <c r="BA37" s="721"/>
      <c r="BB37" s="721"/>
    </row>
    <row r="38" spans="1:54" s="257" customFormat="1" ht="0.75" customHeight="1" x14ac:dyDescent="0.2">
      <c r="C38" s="714"/>
      <c r="D38" s="715"/>
      <c r="E38" s="716"/>
      <c r="F38" s="717"/>
      <c r="G38" s="718"/>
      <c r="H38" s="719"/>
      <c r="I38" s="720"/>
      <c r="J38" s="264"/>
      <c r="K38" s="264"/>
      <c r="L38" s="264"/>
      <c r="M38" s="264"/>
      <c r="N38" s="721"/>
      <c r="O38" s="721"/>
      <c r="P38" s="721"/>
      <c r="Q38" s="721"/>
      <c r="R38" s="721"/>
      <c r="S38" s="721"/>
      <c r="T38" s="721"/>
      <c r="U38" s="721"/>
      <c r="V38" s="721"/>
      <c r="W38" s="721"/>
      <c r="X38" s="721"/>
      <c r="Y38" s="721"/>
      <c r="Z38" s="721"/>
      <c r="AA38" s="721"/>
      <c r="AB38" s="721"/>
      <c r="AC38" s="721"/>
      <c r="AD38" s="721"/>
      <c r="AE38" s="721"/>
      <c r="AF38" s="721"/>
      <c r="AG38" s="721"/>
      <c r="AH38" s="721"/>
      <c r="AI38" s="721"/>
      <c r="AJ38" s="721"/>
      <c r="AK38" s="721"/>
      <c r="AL38" s="722"/>
      <c r="AM38" s="721"/>
      <c r="AN38" s="721"/>
      <c r="AO38" s="721"/>
      <c r="AP38" s="721"/>
      <c r="AQ38" s="721"/>
      <c r="AR38" s="721"/>
      <c r="AS38" s="713"/>
      <c r="AT38" s="721"/>
      <c r="AU38" s="721"/>
      <c r="AV38" s="721"/>
      <c r="AW38" s="721"/>
      <c r="AX38" s="721"/>
      <c r="AY38" s="721"/>
      <c r="AZ38" s="721"/>
      <c r="BA38" s="721"/>
      <c r="BB38" s="721"/>
    </row>
    <row r="39" spans="1:54" s="726" customFormat="1" ht="12" customHeight="1" x14ac:dyDescent="0.2">
      <c r="A39" s="723"/>
      <c r="B39" s="256" t="s">
        <v>512</v>
      </c>
      <c r="C39" s="724"/>
      <c r="D39" s="872"/>
      <c r="E39" s="872"/>
      <c r="F39" s="872"/>
      <c r="G39" s="872"/>
      <c r="H39" s="872"/>
      <c r="I39" s="872"/>
      <c r="J39" s="872"/>
      <c r="K39" s="872"/>
      <c r="L39" s="872"/>
      <c r="M39" s="872"/>
      <c r="N39" s="872"/>
      <c r="O39" s="872"/>
      <c r="P39" s="872"/>
      <c r="Q39" s="872"/>
      <c r="R39" s="872"/>
      <c r="S39" s="872"/>
      <c r="T39" s="872"/>
      <c r="U39" s="872"/>
      <c r="V39" s="872"/>
      <c r="W39" s="872"/>
      <c r="X39" s="872"/>
      <c r="Y39" s="872"/>
      <c r="Z39" s="872"/>
      <c r="AA39" s="872"/>
      <c r="AB39" s="872"/>
      <c r="AC39" s="872"/>
      <c r="AD39" s="872"/>
      <c r="AE39" s="872"/>
      <c r="AF39" s="872"/>
      <c r="AG39" s="872"/>
      <c r="AH39" s="872"/>
      <c r="AI39" s="872"/>
      <c r="AJ39" s="872"/>
      <c r="AK39" s="872"/>
      <c r="AL39" s="872"/>
      <c r="AM39" s="872"/>
      <c r="AN39" s="872"/>
      <c r="AO39" s="872"/>
      <c r="AP39" s="872"/>
      <c r="AQ39" s="872"/>
      <c r="AR39" s="725"/>
      <c r="AS39" s="725"/>
      <c r="AT39" s="725"/>
      <c r="AU39" s="725"/>
      <c r="AV39" s="725"/>
      <c r="AW39" s="725"/>
      <c r="AX39" s="725"/>
      <c r="AY39" s="725"/>
      <c r="AZ39" s="725"/>
      <c r="BA39" s="725"/>
      <c r="BB39" s="725"/>
    </row>
    <row r="40" spans="1:54" s="649" customFormat="1" ht="3.75" customHeight="1" x14ac:dyDescent="0.2">
      <c r="A40" s="711"/>
      <c r="B40" s="647"/>
      <c r="C40" s="647"/>
      <c r="D40" s="647"/>
      <c r="E40" s="647"/>
      <c r="F40" s="647"/>
      <c r="G40" s="647"/>
      <c r="H40" s="647"/>
      <c r="I40" s="647"/>
      <c r="J40" s="647"/>
      <c r="K40" s="647"/>
      <c r="L40" s="647"/>
      <c r="M40" s="647"/>
      <c r="N40" s="647"/>
      <c r="O40" s="647"/>
      <c r="P40" s="647"/>
      <c r="Q40" s="647"/>
      <c r="R40" s="647"/>
      <c r="S40" s="647"/>
      <c r="T40" s="647"/>
      <c r="U40" s="647"/>
      <c r="V40" s="647"/>
      <c r="W40" s="647"/>
      <c r="X40" s="647"/>
      <c r="Y40" s="647"/>
      <c r="Z40" s="647"/>
      <c r="AA40" s="647"/>
      <c r="AB40" s="647"/>
      <c r="AC40" s="647"/>
      <c r="AD40" s="647"/>
      <c r="AE40" s="647"/>
      <c r="AF40" s="647"/>
      <c r="AG40" s="647"/>
      <c r="AH40" s="647"/>
      <c r="AI40" s="647"/>
      <c r="AJ40" s="647"/>
      <c r="AK40" s="647"/>
      <c r="AL40" s="647"/>
      <c r="AM40" s="647"/>
      <c r="AN40" s="647"/>
      <c r="AO40" s="647"/>
      <c r="AP40" s="647"/>
      <c r="AQ40" s="647"/>
      <c r="AR40" s="647"/>
      <c r="AS40" s="648"/>
      <c r="AW40" s="650"/>
      <c r="AZ40" s="651"/>
    </row>
    <row r="41" spans="1:54" s="655" customFormat="1" ht="8.25" customHeight="1" x14ac:dyDescent="0.2">
      <c r="A41" s="712"/>
      <c r="B41" s="652"/>
      <c r="C41" s="873" t="s">
        <v>513</v>
      </c>
      <c r="D41" s="870" t="str">
        <f ca="1">UPPER(INDEX(teams.a,AW67*10000))</f>
        <v>BAKAFOGÓ-HONVÉD-SASHEGY SE</v>
      </c>
      <c r="E41" s="871"/>
      <c r="F41" s="871"/>
      <c r="G41" s="871"/>
      <c r="H41" s="871"/>
      <c r="I41" s="871"/>
      <c r="J41" s="871"/>
      <c r="K41" s="871"/>
      <c r="L41" s="870" t="str">
        <f ca="1">UPPER(INDEX(teams.a,AW71*10000))</f>
        <v>CARBONÁSZ</v>
      </c>
      <c r="M41" s="871"/>
      <c r="N41" s="871"/>
      <c r="O41" s="871"/>
      <c r="P41" s="871"/>
      <c r="Q41" s="871"/>
      <c r="R41" s="871"/>
      <c r="S41" s="871"/>
      <c r="T41" s="870" t="str">
        <f ca="1">UPPER(INDEX(teams.a,AW75*10000))</f>
        <v>ROYAL GUARD'S</v>
      </c>
      <c r="U41" s="871"/>
      <c r="V41" s="871"/>
      <c r="W41" s="871"/>
      <c r="X41" s="871"/>
      <c r="Y41" s="871"/>
      <c r="Z41" s="871"/>
      <c r="AA41" s="871"/>
      <c r="AB41" s="736"/>
      <c r="AC41" s="736"/>
      <c r="AD41" s="736"/>
      <c r="AE41" s="736"/>
      <c r="AF41" s="736"/>
      <c r="AG41" s="736"/>
      <c r="AH41" s="736"/>
      <c r="AI41" s="736"/>
      <c r="AJ41" s="736"/>
      <c r="AK41" s="736"/>
      <c r="AL41" s="736"/>
      <c r="AM41" s="736"/>
      <c r="AN41" s="736"/>
      <c r="AO41" s="736"/>
      <c r="AP41" s="736"/>
      <c r="AQ41" s="736"/>
      <c r="AR41" s="653"/>
      <c r="AS41" s="654"/>
      <c r="AW41" s="656"/>
      <c r="AZ41" s="657"/>
    </row>
    <row r="42" spans="1:54" s="655" customFormat="1" ht="8.25" customHeight="1" x14ac:dyDescent="0.2">
      <c r="A42" s="712"/>
      <c r="B42" s="652"/>
      <c r="C42" s="873"/>
      <c r="D42" s="870" t="str">
        <f ca="1">UPPER(INDEX(teams.a,AW68*10000))</f>
        <v>BBK</v>
      </c>
      <c r="E42" s="871"/>
      <c r="F42" s="871"/>
      <c r="G42" s="871"/>
      <c r="H42" s="871"/>
      <c r="I42" s="871"/>
      <c r="J42" s="871"/>
      <c r="K42" s="871"/>
      <c r="L42" s="870" t="str">
        <f ca="1">UPPER(INDEX(teams.a,AW72*10000))</f>
        <v>ÉLELMESEK</v>
      </c>
      <c r="M42" s="871"/>
      <c r="N42" s="871"/>
      <c r="O42" s="871"/>
      <c r="P42" s="871"/>
      <c r="Q42" s="871"/>
      <c r="R42" s="871"/>
      <c r="S42" s="871"/>
      <c r="T42" s="870" t="str">
        <f ca="1">UPPER(INDEX(teams.a,AW76*10000))</f>
        <v>VAKANA</v>
      </c>
      <c r="U42" s="871"/>
      <c r="V42" s="871"/>
      <c r="W42" s="871"/>
      <c r="X42" s="871"/>
      <c r="Y42" s="871"/>
      <c r="Z42" s="871"/>
      <c r="AA42" s="871"/>
      <c r="AB42" s="736"/>
      <c r="AC42" s="736"/>
      <c r="AD42" s="736"/>
      <c r="AE42" s="736"/>
      <c r="AF42" s="736"/>
      <c r="AG42" s="736"/>
      <c r="AH42" s="736"/>
      <c r="AI42" s="736"/>
      <c r="AJ42" s="736"/>
      <c r="AK42" s="736"/>
      <c r="AL42" s="736"/>
      <c r="AM42" s="736"/>
      <c r="AN42" s="736"/>
      <c r="AO42" s="736"/>
      <c r="AP42" s="736"/>
      <c r="AQ42" s="736"/>
      <c r="AR42" s="653"/>
      <c r="AS42" s="654"/>
      <c r="AT42" s="652"/>
      <c r="AU42" s="652"/>
      <c r="AV42" s="652"/>
      <c r="AW42" s="658"/>
      <c r="AX42" s="652"/>
      <c r="AY42" s="652"/>
      <c r="AZ42" s="659"/>
      <c r="BA42" s="652"/>
      <c r="BB42" s="652"/>
    </row>
    <row r="43" spans="1:54" s="655" customFormat="1" ht="8.25" customHeight="1" x14ac:dyDescent="0.2">
      <c r="A43" s="712"/>
      <c r="B43" s="652"/>
      <c r="C43" s="873"/>
      <c r="D43" s="870" t="str">
        <f ca="1">UPPER(INDEX(teams.a,AW69*10000))</f>
        <v>BHD</v>
      </c>
      <c r="E43" s="871"/>
      <c r="F43" s="871"/>
      <c r="G43" s="871"/>
      <c r="H43" s="871"/>
      <c r="I43" s="871"/>
      <c r="J43" s="871"/>
      <c r="K43" s="871"/>
      <c r="L43" s="870" t="str">
        <f ca="1">UPPER(INDEX(teams.a,AW73*10000))</f>
        <v>HERCULES-LUDOVIKA</v>
      </c>
      <c r="M43" s="871"/>
      <c r="N43" s="871"/>
      <c r="O43" s="871"/>
      <c r="P43" s="871"/>
      <c r="Q43" s="871"/>
      <c r="R43" s="871"/>
      <c r="S43" s="871"/>
      <c r="T43" s="870" t="str">
        <f ca="1">UPPER(INDEX(teams.a,AW77*10000))</f>
        <v>ZRÍNYIGYÖNGYE</v>
      </c>
      <c r="U43" s="871"/>
      <c r="V43" s="871"/>
      <c r="W43" s="871"/>
      <c r="X43" s="871"/>
      <c r="Y43" s="871"/>
      <c r="Z43" s="871"/>
      <c r="AA43" s="871"/>
      <c r="AB43" s="736"/>
      <c r="AC43" s="736"/>
      <c r="AD43" s="736"/>
      <c r="AE43" s="736"/>
      <c r="AF43" s="736"/>
      <c r="AG43" s="736"/>
      <c r="AH43" s="736"/>
      <c r="AI43" s="736"/>
      <c r="AJ43" s="736"/>
      <c r="AK43" s="736"/>
      <c r="AL43" s="736"/>
      <c r="AM43" s="736"/>
      <c r="AN43" s="736"/>
      <c r="AO43" s="736"/>
      <c r="AP43" s="736"/>
      <c r="AQ43" s="736"/>
      <c r="AR43" s="653"/>
      <c r="AS43" s="654"/>
      <c r="AT43" s="652"/>
      <c r="AU43" s="652"/>
      <c r="AV43" s="652"/>
      <c r="AW43" s="658"/>
      <c r="AX43" s="652"/>
      <c r="AY43" s="652"/>
      <c r="AZ43" s="659"/>
      <c r="BA43" s="652"/>
      <c r="BB43" s="652"/>
    </row>
    <row r="44" spans="1:54" s="655" customFormat="1" ht="8.25" customHeight="1" x14ac:dyDescent="0.2">
      <c r="A44" s="712"/>
      <c r="B44" s="652"/>
      <c r="C44" s="873"/>
      <c r="D44" s="870" t="str">
        <f ca="1">UPPER(INDEX(teams.a,AW70*10000))</f>
        <v>BŐRDÍSZMŰ</v>
      </c>
      <c r="E44" s="871"/>
      <c r="F44" s="871"/>
      <c r="G44" s="871"/>
      <c r="H44" s="871"/>
      <c r="I44" s="871"/>
      <c r="J44" s="871"/>
      <c r="K44" s="871"/>
      <c r="L44" s="870" t="str">
        <f ca="1">UPPER(INDEX(teams.a,AW74*10000))</f>
        <v>K&amp;H</v>
      </c>
      <c r="M44" s="871"/>
      <c r="N44" s="871"/>
      <c r="O44" s="871"/>
      <c r="P44" s="871"/>
      <c r="Q44" s="871"/>
      <c r="R44" s="871"/>
      <c r="S44" s="871"/>
      <c r="T44" s="874"/>
      <c r="U44" s="874"/>
      <c r="V44" s="874"/>
      <c r="W44" s="874"/>
      <c r="X44" s="874"/>
      <c r="Y44" s="874"/>
      <c r="Z44" s="874"/>
      <c r="AA44" s="874"/>
      <c r="AB44" s="736"/>
      <c r="AC44" s="736"/>
      <c r="AD44" s="736"/>
      <c r="AE44" s="736"/>
      <c r="AF44" s="736"/>
      <c r="AG44" s="736"/>
      <c r="AH44" s="736"/>
      <c r="AI44" s="736"/>
      <c r="AJ44" s="736"/>
      <c r="AK44" s="736"/>
      <c r="AL44" s="736"/>
      <c r="AM44" s="736"/>
      <c r="AN44" s="736"/>
      <c r="AO44" s="736"/>
      <c r="AP44" s="736"/>
      <c r="AQ44" s="736"/>
      <c r="AR44" s="653"/>
      <c r="AS44" s="654"/>
      <c r="AT44" s="652"/>
      <c r="AU44" s="652"/>
      <c r="AV44" s="652"/>
      <c r="AW44" s="658"/>
      <c r="AX44" s="652"/>
      <c r="AY44" s="652"/>
      <c r="AZ44" s="659"/>
      <c r="BA44" s="652"/>
      <c r="BB44" s="652"/>
    </row>
    <row r="45" spans="1:54" s="661" customFormat="1" ht="3.75" customHeight="1" thickBot="1" x14ac:dyDescent="0.3">
      <c r="A45" s="711"/>
      <c r="B45" s="647"/>
      <c r="C45" s="647"/>
      <c r="D45" s="647"/>
      <c r="E45" s="647"/>
      <c r="F45" s="647"/>
      <c r="G45" s="647"/>
      <c r="H45" s="647"/>
      <c r="I45" s="647"/>
      <c r="J45" s="647"/>
      <c r="K45" s="647"/>
      <c r="L45" s="647"/>
      <c r="M45" s="647"/>
      <c r="N45" s="647"/>
      <c r="O45" s="647"/>
      <c r="P45" s="647"/>
      <c r="Q45" s="647"/>
      <c r="R45" s="647"/>
      <c r="S45" s="647"/>
      <c r="T45" s="647"/>
      <c r="U45" s="647"/>
      <c r="V45" s="647"/>
      <c r="W45" s="647"/>
      <c r="X45" s="647"/>
      <c r="Y45" s="647"/>
      <c r="Z45" s="647"/>
      <c r="AA45" s="647"/>
      <c r="AB45" s="647"/>
      <c r="AC45" s="647"/>
      <c r="AD45" s="647"/>
      <c r="AE45" s="647"/>
      <c r="AF45" s="647"/>
      <c r="AG45" s="647"/>
      <c r="AH45" s="647"/>
      <c r="AI45" s="647"/>
      <c r="AJ45" s="647"/>
      <c r="AK45" s="647"/>
      <c r="AL45" s="647"/>
      <c r="AM45" s="647"/>
      <c r="AN45" s="647"/>
      <c r="AO45" s="647"/>
      <c r="AP45" s="647"/>
      <c r="AQ45" s="647"/>
      <c r="AR45" s="647"/>
      <c r="AS45" s="648"/>
      <c r="AT45" s="647"/>
      <c r="AU45" s="647"/>
      <c r="AV45" s="647"/>
      <c r="AW45" s="660"/>
      <c r="AX45" s="647"/>
      <c r="AY45" s="647"/>
      <c r="AZ45" s="651"/>
      <c r="BA45" s="647"/>
      <c r="BB45" s="647"/>
    </row>
    <row r="46" spans="1:54" s="662" customFormat="1" ht="12.75" customHeight="1" thickTop="1" thickBot="1" x14ac:dyDescent="0.2">
      <c r="A46" s="712"/>
      <c r="C46" s="744" t="s">
        <v>514</v>
      </c>
      <c r="D46" s="663"/>
      <c r="E46" s="745">
        <v>1</v>
      </c>
      <c r="F46" s="745">
        <v>2</v>
      </c>
      <c r="G46" s="745">
        <v>3</v>
      </c>
      <c r="H46" s="745">
        <v>4</v>
      </c>
      <c r="I46" s="745">
        <v>5</v>
      </c>
      <c r="J46" s="745">
        <v>6</v>
      </c>
      <c r="K46" s="745">
        <v>7</v>
      </c>
      <c r="L46" s="745">
        <v>8</v>
      </c>
      <c r="M46" s="745">
        <v>9</v>
      </c>
      <c r="N46" s="745">
        <v>10</v>
      </c>
      <c r="O46" s="745">
        <v>11</v>
      </c>
      <c r="P46" s="745">
        <v>12</v>
      </c>
      <c r="Q46" s="745">
        <v>13</v>
      </c>
      <c r="R46" s="745">
        <v>14</v>
      </c>
      <c r="S46" s="745">
        <v>15</v>
      </c>
      <c r="T46" s="745">
        <v>16</v>
      </c>
      <c r="U46" s="745">
        <v>17</v>
      </c>
      <c r="V46" s="745">
        <v>18</v>
      </c>
      <c r="W46" s="745">
        <v>19</v>
      </c>
      <c r="X46" s="745">
        <v>20</v>
      </c>
      <c r="Y46" s="745">
        <v>21</v>
      </c>
      <c r="Z46" s="745">
        <v>22</v>
      </c>
      <c r="AA46" s="745">
        <v>23</v>
      </c>
      <c r="AB46" s="745">
        <v>24</v>
      </c>
      <c r="AC46" s="745">
        <v>25</v>
      </c>
      <c r="AD46" s="745">
        <v>26</v>
      </c>
      <c r="AE46" s="745">
        <v>27</v>
      </c>
      <c r="AF46" s="745"/>
      <c r="AG46" s="745"/>
      <c r="AH46" s="745"/>
      <c r="AI46" s="745"/>
      <c r="AJ46" s="745"/>
      <c r="AK46" s="745"/>
      <c r="AL46" s="745"/>
      <c r="AM46" s="745"/>
      <c r="AN46" s="745"/>
      <c r="AO46" s="745"/>
      <c r="AP46" s="663"/>
      <c r="AQ46" s="663"/>
      <c r="AR46" s="663"/>
      <c r="AS46" s="663"/>
      <c r="AT46" s="664"/>
      <c r="AU46" s="664"/>
      <c r="AV46" s="664"/>
      <c r="AW46" s="663"/>
      <c r="AX46" s="663"/>
      <c r="AY46" s="663"/>
      <c r="AZ46" s="663"/>
      <c r="BA46" s="663"/>
      <c r="BB46" s="663"/>
    </row>
    <row r="47" spans="1:54" s="551" customFormat="1" ht="3" customHeight="1" x14ac:dyDescent="0.2">
      <c r="AS47" s="665"/>
      <c r="AU47" s="562"/>
      <c r="AV47" s="562"/>
      <c r="AW47" s="666"/>
      <c r="AX47" s="562"/>
      <c r="AY47" s="562"/>
      <c r="AZ47" s="667"/>
      <c r="BA47" s="562"/>
      <c r="BB47" s="562"/>
    </row>
    <row r="48" spans="1:54" ht="1.5" customHeight="1" x14ac:dyDescent="0.2">
      <c r="A48" s="867"/>
    </row>
    <row r="49" spans="1:54" s="186" customFormat="1" ht="11.25" hidden="1" customHeight="1" x14ac:dyDescent="0.2">
      <c r="A49" s="867"/>
      <c r="AS49" s="672"/>
      <c r="AU49" s="669"/>
      <c r="AV49" s="643"/>
      <c r="AW49" s="670"/>
      <c r="AX49" s="643"/>
      <c r="AY49" s="643"/>
      <c r="AZ49" s="671"/>
      <c r="BA49" s="643"/>
      <c r="BB49" s="669"/>
    </row>
    <row r="50" spans="1:54" s="673" customFormat="1" ht="13.5" hidden="1" customHeight="1" x14ac:dyDescent="0.2">
      <c r="A50" s="867"/>
      <c r="D50" s="674"/>
      <c r="E50" s="674"/>
      <c r="F50" s="674"/>
      <c r="G50" s="674"/>
      <c r="H50" s="674"/>
      <c r="I50" s="674"/>
      <c r="J50" s="674"/>
      <c r="K50" s="674"/>
      <c r="L50" s="674"/>
      <c r="M50" s="674"/>
      <c r="N50" s="674"/>
      <c r="O50" s="674"/>
      <c r="P50" s="674"/>
      <c r="Q50" s="674"/>
      <c r="R50" s="674"/>
      <c r="S50" s="674"/>
      <c r="T50" s="674"/>
      <c r="U50" s="674"/>
      <c r="V50" s="674"/>
      <c r="W50" s="674"/>
      <c r="X50" s="674"/>
      <c r="Y50" s="674"/>
      <c r="Z50" s="674"/>
      <c r="AA50" s="754"/>
      <c r="AB50" s="674"/>
      <c r="AC50" s="674"/>
      <c r="AD50" s="674"/>
      <c r="AE50" s="674"/>
      <c r="AF50" s="674"/>
      <c r="AG50" s="674"/>
      <c r="AH50" s="674"/>
      <c r="AI50" s="674"/>
      <c r="AJ50" s="674"/>
      <c r="AK50" s="674"/>
      <c r="AL50" s="674"/>
      <c r="AM50" s="674"/>
      <c r="AN50" s="674"/>
      <c r="AO50" s="674"/>
      <c r="AP50" s="674"/>
      <c r="AS50" s="675"/>
      <c r="AU50" s="643"/>
      <c r="AV50" s="643"/>
      <c r="AW50" s="670"/>
      <c r="AX50" s="643"/>
      <c r="AY50" s="643"/>
      <c r="AZ50" s="671"/>
      <c r="BA50" s="643"/>
      <c r="BB50" s="643"/>
    </row>
    <row r="51" spans="1:54" s="673" customFormat="1" ht="13.5" hidden="1" customHeight="1" x14ac:dyDescent="0.2">
      <c r="A51" s="867"/>
      <c r="C51" s="324">
        <v>1</v>
      </c>
      <c r="D51" s="383"/>
      <c r="E51" s="383">
        <v>1</v>
      </c>
      <c r="F51" s="383">
        <v>2</v>
      </c>
      <c r="G51" s="383">
        <v>3</v>
      </c>
      <c r="H51" s="383">
        <v>4</v>
      </c>
      <c r="I51" s="383">
        <v>5</v>
      </c>
      <c r="J51" s="383">
        <v>6</v>
      </c>
      <c r="K51" s="383">
        <v>7</v>
      </c>
      <c r="L51" s="383">
        <v>8</v>
      </c>
      <c r="M51" s="383">
        <v>9</v>
      </c>
      <c r="N51" s="383">
        <v>10</v>
      </c>
      <c r="O51" s="383">
        <v>11</v>
      </c>
      <c r="P51" s="383">
        <v>12</v>
      </c>
      <c r="Q51" s="383">
        <v>13</v>
      </c>
      <c r="R51" s="383">
        <v>14</v>
      </c>
      <c r="S51" s="383">
        <v>15</v>
      </c>
      <c r="T51" s="383">
        <v>16</v>
      </c>
      <c r="U51" s="383">
        <v>17</v>
      </c>
      <c r="V51" s="383">
        <v>18</v>
      </c>
      <c r="W51" s="383">
        <v>19</v>
      </c>
      <c r="X51" s="383">
        <v>20</v>
      </c>
      <c r="Y51" s="383">
        <v>21</v>
      </c>
      <c r="Z51" s="751">
        <v>22</v>
      </c>
      <c r="AA51" s="383">
        <v>23</v>
      </c>
      <c r="AB51" s="383">
        <v>24</v>
      </c>
      <c r="AC51" s="383">
        <v>25</v>
      </c>
      <c r="AD51" s="383">
        <v>26</v>
      </c>
      <c r="AE51" s="383">
        <v>27</v>
      </c>
      <c r="AF51" s="383"/>
      <c r="AG51" s="383"/>
      <c r="AH51" s="383"/>
      <c r="AI51" s="383"/>
      <c r="AJ51" s="383"/>
      <c r="AK51" s="383"/>
      <c r="AL51" s="383"/>
      <c r="AM51" s="383"/>
      <c r="AN51" s="383"/>
      <c r="AO51" s="383"/>
      <c r="AP51" s="674"/>
      <c r="AS51" s="675"/>
      <c r="AU51" s="643"/>
      <c r="AV51" s="643"/>
      <c r="AW51" s="670"/>
      <c r="AX51" s="643"/>
      <c r="AY51" s="643"/>
      <c r="AZ51" s="671"/>
      <c r="BA51" s="643"/>
      <c r="BB51" s="643"/>
    </row>
    <row r="52" spans="1:54" s="673" customFormat="1" ht="13.5" hidden="1" customHeight="1" x14ac:dyDescent="0.2">
      <c r="A52" s="867"/>
      <c r="D52" s="383"/>
      <c r="E52" s="383"/>
      <c r="F52" s="383"/>
      <c r="G52" s="383"/>
      <c r="H52" s="383"/>
      <c r="I52" s="383"/>
      <c r="J52" s="383"/>
      <c r="K52" s="383"/>
      <c r="L52" s="383"/>
      <c r="M52" s="383"/>
      <c r="N52" s="383"/>
      <c r="O52" s="383"/>
      <c r="P52" s="383"/>
      <c r="Q52" s="383"/>
      <c r="R52" s="383"/>
      <c r="S52" s="383"/>
      <c r="T52" s="383"/>
      <c r="U52" s="383"/>
      <c r="V52" s="383"/>
      <c r="W52" s="383"/>
      <c r="X52" s="383"/>
      <c r="Y52" s="383"/>
      <c r="Z52" s="751"/>
      <c r="AA52" s="383"/>
      <c r="AB52" s="383"/>
      <c r="AC52" s="383"/>
      <c r="AD52" s="383"/>
      <c r="AE52" s="383"/>
      <c r="AF52" s="383"/>
      <c r="AG52" s="383"/>
      <c r="AH52" s="383"/>
      <c r="AI52" s="383"/>
      <c r="AJ52" s="383"/>
      <c r="AK52" s="383"/>
      <c r="AL52" s="383"/>
      <c r="AM52" s="383"/>
      <c r="AN52" s="383"/>
      <c r="AO52" s="383"/>
      <c r="AP52" s="674"/>
      <c r="AS52" s="675"/>
      <c r="AU52" s="643"/>
      <c r="AV52" s="643"/>
      <c r="AW52" s="670"/>
      <c r="AX52" s="643"/>
      <c r="AY52" s="643"/>
      <c r="AZ52" s="671"/>
      <c r="BA52" s="643"/>
      <c r="BB52" s="643"/>
    </row>
    <row r="53" spans="1:54" s="673" customFormat="1" ht="13.5" hidden="1" customHeight="1" x14ac:dyDescent="0.2">
      <c r="A53" s="867"/>
      <c r="D53" s="676"/>
      <c r="E53" s="676">
        <f t="shared" ref="E53:Z53" si="0">MATCH(E51,index.a,0)</f>
        <v>1</v>
      </c>
      <c r="F53" s="676">
        <f t="shared" si="0"/>
        <v>17</v>
      </c>
      <c r="G53" s="676">
        <f t="shared" si="0"/>
        <v>33</v>
      </c>
      <c r="H53" s="676">
        <f t="shared" si="0"/>
        <v>49</v>
      </c>
      <c r="I53" s="676">
        <f t="shared" si="0"/>
        <v>65</v>
      </c>
      <c r="J53" s="676">
        <f t="shared" si="0"/>
        <v>81</v>
      </c>
      <c r="K53" s="676">
        <f t="shared" si="0"/>
        <v>97</v>
      </c>
      <c r="L53" s="676">
        <f t="shared" si="0"/>
        <v>113</v>
      </c>
      <c r="M53" s="676">
        <f t="shared" si="0"/>
        <v>129</v>
      </c>
      <c r="N53" s="676">
        <f t="shared" si="0"/>
        <v>145</v>
      </c>
      <c r="O53" s="676">
        <f t="shared" si="0"/>
        <v>161</v>
      </c>
      <c r="P53" s="676">
        <f t="shared" si="0"/>
        <v>177</v>
      </c>
      <c r="Q53" s="676">
        <f t="shared" si="0"/>
        <v>193</v>
      </c>
      <c r="R53" s="676">
        <f t="shared" si="0"/>
        <v>209</v>
      </c>
      <c r="S53" s="676">
        <f t="shared" si="0"/>
        <v>225</v>
      </c>
      <c r="T53" s="676">
        <f t="shared" si="0"/>
        <v>241</v>
      </c>
      <c r="U53" s="676">
        <f t="shared" si="0"/>
        <v>257</v>
      </c>
      <c r="V53" s="676">
        <f t="shared" si="0"/>
        <v>273</v>
      </c>
      <c r="W53" s="676">
        <f t="shared" si="0"/>
        <v>289</v>
      </c>
      <c r="X53" s="676">
        <f t="shared" si="0"/>
        <v>305</v>
      </c>
      <c r="Y53" s="676">
        <f t="shared" si="0"/>
        <v>321</v>
      </c>
      <c r="Z53" s="752">
        <f t="shared" si="0"/>
        <v>337</v>
      </c>
      <c r="AA53" s="676">
        <f>MATCH(AA51,index.r,0)</f>
        <v>1</v>
      </c>
      <c r="AB53" s="676">
        <f>MATCH(AB51,index.r,0)</f>
        <v>19</v>
      </c>
      <c r="AC53" s="676">
        <f>MATCH(AC51,index.r,0)</f>
        <v>37</v>
      </c>
      <c r="AD53" s="676">
        <f>MATCH(AD51,index.r,0)</f>
        <v>55</v>
      </c>
      <c r="AE53" s="676">
        <f>MATCH(AE51,index.r,0)</f>
        <v>73</v>
      </c>
      <c r="AF53" s="676"/>
      <c r="AG53" s="676"/>
      <c r="AH53" s="676"/>
      <c r="AI53" s="676"/>
      <c r="AJ53" s="676"/>
      <c r="AK53" s="676"/>
      <c r="AL53" s="676"/>
      <c r="AM53" s="676"/>
      <c r="AN53" s="676"/>
      <c r="AO53" s="676"/>
      <c r="AP53" s="674"/>
      <c r="AS53" s="675"/>
      <c r="AU53" s="643"/>
      <c r="AV53" s="643"/>
      <c r="AW53" s="670"/>
      <c r="AX53" s="643"/>
      <c r="AY53" s="643"/>
      <c r="AZ53" s="671"/>
      <c r="BA53" s="643"/>
      <c r="BB53" s="643"/>
    </row>
    <row r="54" spans="1:54" s="673" customFormat="1" ht="13.5" hidden="1" customHeight="1" x14ac:dyDescent="0.2">
      <c r="A54" s="867"/>
      <c r="C54" s="453" t="s">
        <v>515</v>
      </c>
      <c r="D54" s="677"/>
      <c r="E54" s="749" t="b">
        <f ca="1">COUNTIF(OFFSET(ASZ!$AB$42,E53,-4,12,2),$C62)=0</f>
        <v>0</v>
      </c>
      <c r="F54" s="749" t="b">
        <f ca="1">COUNTIF(OFFSET(ASZ!$AB$42,F53,-4,12,2),$C62)=0</f>
        <v>0</v>
      </c>
      <c r="G54" s="749" t="b">
        <f ca="1">COUNTIF(OFFSET(ASZ!$AB$42,G53,-4,12,2),$C62)=0</f>
        <v>0</v>
      </c>
      <c r="H54" s="749" t="b">
        <f ca="1">COUNTIF(OFFSET(ASZ!$AB$42,H53,-4,12,2),$C62)=0</f>
        <v>0</v>
      </c>
      <c r="I54" s="749" t="b">
        <f ca="1">COUNTIF(OFFSET(ASZ!$AB$42,I53,-4,12,2),$C62)=0</f>
        <v>0</v>
      </c>
      <c r="J54" s="749" t="b">
        <f ca="1">COUNTIF(OFFSET(ASZ!$AB$42,J53,-4,12,2),$C62)=0</f>
        <v>0</v>
      </c>
      <c r="K54" s="749" t="b">
        <f ca="1">COUNTIF(OFFSET(ASZ!$AB$42,K53,-4,12,2),$C62)=0</f>
        <v>0</v>
      </c>
      <c r="L54" s="749" t="b">
        <f ca="1">COUNTIF(OFFSET(ASZ!$AB$42,L53,-4,12,2),$C62)=0</f>
        <v>0</v>
      </c>
      <c r="M54" s="749" t="b">
        <f ca="1">COUNTIF(OFFSET(ASZ!$AB$42,M53,-4,12,2),$C62)=0</f>
        <v>0</v>
      </c>
      <c r="N54" s="749" t="b">
        <f ca="1">COUNTIF(OFFSET(ASZ!$AB$42,N53,-4,12,2),$C62)=0</f>
        <v>0</v>
      </c>
      <c r="O54" s="749" t="b">
        <f ca="1">COUNTIF(OFFSET(ASZ!$AB$42,O53,-4,12,2),$C62)=0</f>
        <v>0</v>
      </c>
      <c r="P54" s="749" t="b">
        <f ca="1">COUNTIF(OFFSET(ASZ!$AB$42,P53,-4,12,2),$C62)=0</f>
        <v>0</v>
      </c>
      <c r="Q54" s="749" t="b">
        <f ca="1">COUNTIF(OFFSET(ASZ!$AB$42,Q53,-4,12,2),$C62)=0</f>
        <v>0</v>
      </c>
      <c r="R54" s="749" t="b">
        <f ca="1">COUNTIF(OFFSET(ASZ!$AB$42,R53,-4,12,2),$C62)=0</f>
        <v>0</v>
      </c>
      <c r="S54" s="749" t="b">
        <f ca="1">COUNTIF(OFFSET(ASZ!$AB$42,S53,-4,12,2),$C62)=0</f>
        <v>0</v>
      </c>
      <c r="T54" s="749" t="b">
        <f ca="1">COUNTIF(OFFSET(ASZ!$AB$42,T53,-4,12,2),$C62)=0</f>
        <v>0</v>
      </c>
      <c r="U54" s="749" t="b">
        <f ca="1">COUNTIF(OFFSET(ASZ!$AB$42,U53,-4,12,2),$C62)=0</f>
        <v>0</v>
      </c>
      <c r="V54" s="749" t="b">
        <f ca="1">COUNTIF(OFFSET(ASZ!$AB$42,V53,-4,12,2),$C62)=0</f>
        <v>0</v>
      </c>
      <c r="W54" s="749" t="b">
        <f ca="1">COUNTIF(OFFSET(ASZ!$AB$42,W53,-4,12,2),$C62)=0</f>
        <v>0</v>
      </c>
      <c r="X54" s="749" t="b">
        <f ca="1">COUNTIF(OFFSET(ASZ!$AB$42,X53,-4,12,2),$C62)=0</f>
        <v>0</v>
      </c>
      <c r="Y54" s="749" t="b">
        <f ca="1">COUNTIF(OFFSET(ASZ!$AB$42,Y53,-4,12,2),$C62)=0</f>
        <v>0</v>
      </c>
      <c r="Z54" s="753" t="b">
        <f ca="1">COUNTIF(OFFSET(ASZ!$AB$42,Z53,-4,12,2),$C62)=0</f>
        <v>0</v>
      </c>
      <c r="AA54" s="749" t="b">
        <f ca="1">COUNTIF(OFFSET(RCSOP!$AF$56,AA53,-4,14,2),$C62)=0</f>
        <v>0</v>
      </c>
      <c r="AB54" s="749" t="b">
        <f ca="1">COUNTIF(OFFSET(RCSOP!$AF$56,AB53,-4,14,2),$C62)=0</f>
        <v>0</v>
      </c>
      <c r="AC54" s="749" t="b">
        <f ca="1">COUNTIF(OFFSET(RCSOP!$AF$56,AC53,-4,14,2),$C62)=0</f>
        <v>0</v>
      </c>
      <c r="AD54" s="749" t="b">
        <f ca="1">COUNTIF(OFFSET(RCSOP!$AF$56,AD53,-4,14,2),$C62)=0</f>
        <v>0</v>
      </c>
      <c r="AE54" s="749" t="b">
        <f ca="1">COUNTIF(OFFSET(RCSOP!$AF$56,AE53,-4,14,2),$C62)=0</f>
        <v>0</v>
      </c>
      <c r="AF54" s="749"/>
      <c r="AG54" s="749"/>
      <c r="AH54" s="749"/>
      <c r="AI54" s="749"/>
      <c r="AJ54" s="749"/>
      <c r="AK54" s="749"/>
      <c r="AL54" s="677"/>
      <c r="AM54" s="677"/>
      <c r="AN54" s="677"/>
      <c r="AO54" s="677"/>
      <c r="AP54" s="674"/>
      <c r="AS54" s="675"/>
      <c r="AU54" s="643"/>
      <c r="AV54" s="643"/>
      <c r="AW54" s="670"/>
      <c r="AY54" s="643"/>
      <c r="AZ54" s="671"/>
      <c r="BA54" s="643"/>
      <c r="BB54" s="643"/>
    </row>
    <row r="55" spans="1:54" s="673" customFormat="1" ht="13.5" hidden="1" customHeight="1" x14ac:dyDescent="0.2">
      <c r="A55" s="867"/>
      <c r="C55" s="453" t="s">
        <v>516</v>
      </c>
      <c r="D55" s="677"/>
      <c r="E55" s="749" t="b">
        <f ca="1">COUNTIF(OFFSET(ASZ!$AB$42,E53,-4,12,1),$C62)=1</f>
        <v>0</v>
      </c>
      <c r="F55" s="749" t="b">
        <f ca="1">COUNTIF(OFFSET(ASZ!$AB$42,F53,-4,12,1),$C62)=1</f>
        <v>0</v>
      </c>
      <c r="G55" s="749" t="b">
        <f ca="1">COUNTIF(OFFSET(ASZ!$AB$42,G53,-4,12,1),$C62)=1</f>
        <v>0</v>
      </c>
      <c r="H55" s="749" t="b">
        <f ca="1">COUNTIF(OFFSET(ASZ!$AB$42,H53,-4,12,1),$C62)=1</f>
        <v>0</v>
      </c>
      <c r="I55" s="749" t="b">
        <f ca="1">COUNTIF(OFFSET(ASZ!$AB$42,I53,-4,12,1),$C62)=1</f>
        <v>0</v>
      </c>
      <c r="J55" s="749" t="b">
        <f ca="1">COUNTIF(OFFSET(ASZ!$AB$42,J53,-4,12,1),$C62)=1</f>
        <v>0</v>
      </c>
      <c r="K55" s="749" t="b">
        <f ca="1">COUNTIF(OFFSET(ASZ!$AB$42,K53,-4,12,1),$C62)=1</f>
        <v>1</v>
      </c>
      <c r="L55" s="749" t="b">
        <f ca="1">COUNTIF(OFFSET(ASZ!$AB$42,L53,-4,12,1),$C62)=1</f>
        <v>0</v>
      </c>
      <c r="M55" s="749" t="b">
        <f ca="1">COUNTIF(OFFSET(ASZ!$AB$42,M53,-4,12,1),$C62)=1</f>
        <v>1</v>
      </c>
      <c r="N55" s="749" t="b">
        <f ca="1">COUNTIF(OFFSET(ASZ!$AB$42,N53,-4,12,1),$C62)=1</f>
        <v>0</v>
      </c>
      <c r="O55" s="749" t="b">
        <f ca="1">COUNTIF(OFFSET(ASZ!$AB$42,O53,-4,12,1),$C62)=1</f>
        <v>1</v>
      </c>
      <c r="P55" s="749" t="b">
        <f ca="1">COUNTIF(OFFSET(ASZ!$AB$42,P53,-4,12,1),$C62)=1</f>
        <v>1</v>
      </c>
      <c r="Q55" s="749" t="b">
        <f ca="1">COUNTIF(OFFSET(ASZ!$AB$42,Q53,-4,12,1),$C62)=1</f>
        <v>1</v>
      </c>
      <c r="R55" s="749" t="b">
        <f ca="1">COUNTIF(OFFSET(ASZ!$AB$42,R53,-4,12,1),$C62)=1</f>
        <v>1</v>
      </c>
      <c r="S55" s="749" t="b">
        <f ca="1">COUNTIF(OFFSET(ASZ!$AB$42,S53,-4,12,1),$C62)=1</f>
        <v>1</v>
      </c>
      <c r="T55" s="749" t="b">
        <f ca="1">COUNTIF(OFFSET(ASZ!$AB$42,T53,-4,12,1),$C62)=1</f>
        <v>1</v>
      </c>
      <c r="U55" s="749" t="b">
        <f ca="1">COUNTIF(OFFSET(ASZ!$AB$42,U53,-4,12,1),$C62)=1</f>
        <v>1</v>
      </c>
      <c r="V55" s="749" t="b">
        <f ca="1">COUNTIF(OFFSET(ASZ!$AB$42,V53,-4,12,1),$C62)=1</f>
        <v>0</v>
      </c>
      <c r="W55" s="749" t="b">
        <f ca="1">COUNTIF(OFFSET(ASZ!$AB$42,W53,-4,12,1),$C62)=1</f>
        <v>1</v>
      </c>
      <c r="X55" s="749" t="b">
        <f ca="1">COUNTIF(OFFSET(ASZ!$AB$42,X53,-4,12,1),$C62)=1</f>
        <v>1</v>
      </c>
      <c r="Y55" s="749" t="b">
        <f ca="1">COUNTIF(OFFSET(ASZ!$AB$42,Y53,-4,12,1),$C62)=1</f>
        <v>1</v>
      </c>
      <c r="Z55" s="753" t="b">
        <f ca="1">COUNTIF(OFFSET(ASZ!$AB$42,Z53,-4,12,1),$C62)=1</f>
        <v>0</v>
      </c>
      <c r="AA55" s="749" t="b">
        <f ca="1">COUNTIF(OFFSET(RCSOP!$AF$56,AA53,-4,14,1),$C62)=1</f>
        <v>1</v>
      </c>
      <c r="AB55" s="749" t="b">
        <f ca="1">COUNTIF(OFFSET(RCSOP!$AF$56,AB53,-4,14,1),$C62)=1</f>
        <v>1</v>
      </c>
      <c r="AC55" s="749" t="b">
        <f ca="1">COUNTIF(OFFSET(RCSOP!$AF$56,AC53,-4,14,1),$C62)=1</f>
        <v>1</v>
      </c>
      <c r="AD55" s="749" t="b">
        <f ca="1">COUNTIF(OFFSET(RCSOP!$AF$56,AD53,-4,14,1),$C62)=1</f>
        <v>1</v>
      </c>
      <c r="AE55" s="749" t="b">
        <f ca="1">COUNTIF(OFFSET(RCSOP!$AF$56,AE53,-4,14,1),$C62)=1</f>
        <v>1</v>
      </c>
      <c r="AF55" s="749"/>
      <c r="AG55" s="749"/>
      <c r="AH55" s="749"/>
      <c r="AI55" s="749"/>
      <c r="AJ55" s="749"/>
      <c r="AK55" s="749"/>
      <c r="AL55" s="677"/>
      <c r="AM55" s="677"/>
      <c r="AN55" s="677"/>
      <c r="AO55" s="677"/>
      <c r="AP55" s="674"/>
      <c r="AS55" s="675"/>
      <c r="AU55" s="643"/>
      <c r="AV55" s="643"/>
      <c r="AW55" s="670"/>
      <c r="AX55" s="643"/>
      <c r="AY55" s="643"/>
      <c r="AZ55" s="671"/>
      <c r="BA55" s="643"/>
      <c r="BB55" s="643"/>
    </row>
    <row r="56" spans="1:54" s="673" customFormat="1" ht="13.5" hidden="1" customHeight="1" x14ac:dyDescent="0.2">
      <c r="A56" s="867"/>
      <c r="D56" s="674"/>
      <c r="E56" s="674"/>
      <c r="F56" s="674"/>
      <c r="G56" s="674"/>
      <c r="H56" s="674"/>
      <c r="I56" s="674"/>
      <c r="J56" s="674"/>
      <c r="K56" s="674"/>
      <c r="L56" s="674"/>
      <c r="M56" s="674"/>
      <c r="N56" s="674"/>
      <c r="O56" s="674"/>
      <c r="P56" s="674"/>
      <c r="Q56" s="674"/>
      <c r="R56" s="674"/>
      <c r="S56" s="674"/>
      <c r="T56" s="674"/>
      <c r="U56" s="674"/>
      <c r="V56" s="674"/>
      <c r="W56" s="674"/>
      <c r="X56" s="674"/>
      <c r="Y56" s="674"/>
      <c r="Z56" s="674"/>
      <c r="AA56" s="754"/>
      <c r="AB56" s="674"/>
      <c r="AC56" s="674"/>
      <c r="AD56" s="674"/>
      <c r="AE56" s="674"/>
      <c r="AF56" s="674"/>
      <c r="AG56" s="674"/>
      <c r="AH56" s="674"/>
      <c r="AI56" s="674"/>
      <c r="AJ56" s="674"/>
      <c r="AK56" s="674"/>
      <c r="AL56" s="674"/>
      <c r="AM56" s="674"/>
      <c r="AN56" s="674"/>
      <c r="AO56" s="674"/>
      <c r="AP56" s="674"/>
      <c r="AS56" s="675"/>
      <c r="AU56" s="643"/>
      <c r="AV56" s="643"/>
      <c r="AW56" s="670"/>
      <c r="AX56" s="643"/>
      <c r="AY56" s="643"/>
      <c r="AZ56" s="671"/>
      <c r="BA56" s="643"/>
      <c r="BB56" s="643"/>
    </row>
    <row r="57" spans="1:54" s="673" customFormat="1" ht="13.5" hidden="1" customHeight="1" x14ac:dyDescent="0.2">
      <c r="A57" s="867"/>
      <c r="C57" s="453" t="s">
        <v>517</v>
      </c>
      <c r="E57" s="674"/>
      <c r="F57" s="674"/>
      <c r="G57" s="674"/>
      <c r="H57" s="674"/>
      <c r="I57" s="674"/>
      <c r="J57" s="674"/>
      <c r="K57" s="674"/>
      <c r="L57" s="674"/>
      <c r="M57" s="674"/>
      <c r="N57" s="674"/>
      <c r="O57" s="674"/>
      <c r="P57" s="674"/>
      <c r="Q57" s="674"/>
      <c r="R57" s="674"/>
      <c r="S57" s="674"/>
      <c r="T57" s="674"/>
      <c r="U57" s="674"/>
      <c r="V57" s="674"/>
      <c r="W57" s="674"/>
      <c r="X57" s="674"/>
      <c r="Y57" s="674"/>
      <c r="Z57" s="674"/>
      <c r="AA57" s="754"/>
      <c r="AB57" s="674"/>
      <c r="AC57" s="674"/>
      <c r="AD57" s="674"/>
      <c r="AE57" s="674"/>
      <c r="AF57" s="674"/>
      <c r="AG57" s="674"/>
      <c r="AH57" s="674"/>
      <c r="AI57" s="674"/>
      <c r="AJ57" s="674"/>
      <c r="AK57" s="674"/>
      <c r="AL57" s="674"/>
      <c r="AM57" s="674"/>
      <c r="AN57" s="674"/>
      <c r="AO57" s="674"/>
      <c r="AP57" s="674"/>
      <c r="AS57" s="675"/>
      <c r="AU57" s="643"/>
      <c r="AV57" s="643"/>
      <c r="AW57" s="670"/>
      <c r="AX57" s="643"/>
      <c r="AY57" s="643"/>
      <c r="AZ57" s="671"/>
      <c r="BA57" s="643"/>
      <c r="BB57" s="643"/>
    </row>
    <row r="58" spans="1:54" s="673" customFormat="1" ht="13.5" hidden="1" customHeight="1" x14ac:dyDescent="0.2">
      <c r="A58" s="867"/>
      <c r="C58" s="441">
        <f ca="1">IF(RTAB!AD42,RCSOP!AR117,ASZ!AS105)</f>
        <v>1000</v>
      </c>
      <c r="D58" s="674"/>
      <c r="E58" s="674"/>
      <c r="F58" s="674"/>
      <c r="G58" s="674"/>
      <c r="H58" s="674"/>
      <c r="I58" s="674"/>
      <c r="J58" s="674"/>
      <c r="K58" s="674"/>
      <c r="L58" s="674"/>
      <c r="M58" s="674"/>
      <c r="N58" s="674"/>
      <c r="O58" s="674"/>
      <c r="P58" s="674"/>
      <c r="Q58" s="674"/>
      <c r="R58" s="674"/>
      <c r="S58" s="674"/>
      <c r="T58" s="674"/>
      <c r="U58" s="674"/>
      <c r="V58" s="674"/>
      <c r="W58" s="674"/>
      <c r="X58" s="674"/>
      <c r="Y58" s="674"/>
      <c r="Z58" s="674"/>
      <c r="AA58" s="754"/>
      <c r="AB58" s="674"/>
      <c r="AC58" s="674"/>
      <c r="AD58" s="674"/>
      <c r="AE58" s="674"/>
      <c r="AF58" s="674"/>
      <c r="AG58" s="674"/>
      <c r="AH58" s="674"/>
      <c r="AI58" s="674"/>
      <c r="AJ58" s="674"/>
      <c r="AK58" s="674"/>
      <c r="AL58" s="674"/>
      <c r="AM58" s="674"/>
      <c r="AN58" s="674"/>
      <c r="AO58" s="674"/>
      <c r="AP58" s="674"/>
      <c r="AS58" s="675"/>
      <c r="AU58" s="643"/>
      <c r="AV58" s="643"/>
      <c r="AW58" s="670"/>
      <c r="AX58" s="643"/>
      <c r="AY58" s="643"/>
      <c r="AZ58" s="671"/>
      <c r="BA58" s="643"/>
      <c r="BB58" s="643"/>
    </row>
    <row r="59" spans="1:54" s="673" customFormat="1" ht="13.5" hidden="1" customHeight="1" x14ac:dyDescent="0.2">
      <c r="A59" s="867"/>
      <c r="D59" s="674"/>
      <c r="E59" s="674"/>
      <c r="F59" s="674"/>
      <c r="G59" s="674"/>
      <c r="H59" s="674"/>
      <c r="I59" s="674"/>
      <c r="J59" s="674"/>
      <c r="K59" s="674"/>
      <c r="L59" s="674"/>
      <c r="M59" s="674"/>
      <c r="N59" s="674"/>
      <c r="O59" s="674"/>
      <c r="P59" s="674"/>
      <c r="Q59" s="674"/>
      <c r="R59" s="674"/>
      <c r="S59" s="674"/>
      <c r="T59" s="674"/>
      <c r="U59" s="674"/>
      <c r="V59" s="674"/>
      <c r="W59" s="674"/>
      <c r="X59" s="674"/>
      <c r="Y59" s="674"/>
      <c r="Z59" s="674"/>
      <c r="AA59" s="754"/>
      <c r="AB59" s="674"/>
      <c r="AC59" s="674"/>
      <c r="AD59" s="674"/>
      <c r="AE59" s="674"/>
      <c r="AF59" s="674"/>
      <c r="AG59" s="674"/>
      <c r="AH59" s="674"/>
      <c r="AI59" s="674"/>
      <c r="AJ59" s="674"/>
      <c r="AK59" s="674"/>
      <c r="AL59" s="674"/>
      <c r="AM59" s="674"/>
      <c r="AN59" s="674"/>
      <c r="AO59" s="674"/>
      <c r="AP59" s="674"/>
      <c r="AS59" s="675"/>
      <c r="AU59" s="643"/>
      <c r="AV59" s="643"/>
      <c r="AW59" s="670"/>
      <c r="AX59" s="643"/>
      <c r="AY59" s="643"/>
      <c r="AZ59" s="671"/>
      <c r="BA59" s="643"/>
      <c r="BB59" s="643"/>
    </row>
    <row r="60" spans="1:54" s="673" customFormat="1" ht="13.5" hidden="1" customHeight="1" x14ac:dyDescent="0.2">
      <c r="A60" s="867"/>
      <c r="D60" s="674"/>
      <c r="E60" s="674"/>
      <c r="F60" s="674"/>
      <c r="G60" s="674"/>
      <c r="H60" s="674"/>
      <c r="I60" s="674"/>
      <c r="J60" s="674"/>
      <c r="K60" s="674"/>
      <c r="L60" s="674"/>
      <c r="M60" s="674"/>
      <c r="N60" s="674"/>
      <c r="O60" s="674"/>
      <c r="P60" s="674"/>
      <c r="Q60" s="674"/>
      <c r="R60" s="674"/>
      <c r="S60" s="674"/>
      <c r="T60" s="674"/>
      <c r="U60" s="674"/>
      <c r="V60" s="674"/>
      <c r="W60" s="674"/>
      <c r="X60" s="674"/>
      <c r="Y60" s="674"/>
      <c r="Z60" s="674"/>
      <c r="AA60" s="754"/>
      <c r="AB60" s="674"/>
      <c r="AC60" s="674"/>
      <c r="AD60" s="674"/>
      <c r="AE60" s="674"/>
      <c r="AF60" s="674"/>
      <c r="AG60" s="674"/>
      <c r="AH60" s="674"/>
      <c r="AI60" s="674"/>
      <c r="AJ60" s="674"/>
      <c r="AK60" s="674"/>
      <c r="AL60" s="674"/>
      <c r="AM60" s="674"/>
      <c r="AN60" s="674"/>
      <c r="AO60" s="674"/>
      <c r="AP60" s="674"/>
      <c r="AS60" s="675"/>
      <c r="AU60" s="643"/>
      <c r="AV60" s="643"/>
      <c r="AW60" s="670"/>
      <c r="AX60" s="643"/>
      <c r="AY60" s="643"/>
      <c r="AZ60" s="671"/>
      <c r="BA60" s="643"/>
      <c r="BB60" s="643"/>
    </row>
    <row r="61" spans="1:54" s="186" customFormat="1" ht="11.25" hidden="1" customHeight="1" x14ac:dyDescent="0.2">
      <c r="A61" s="867"/>
      <c r="D61" s="678"/>
      <c r="E61" s="678"/>
      <c r="F61" s="678"/>
      <c r="G61" s="678"/>
      <c r="H61" s="678"/>
      <c r="I61" s="678"/>
      <c r="J61" s="678"/>
      <c r="K61" s="678"/>
      <c r="L61" s="678"/>
      <c r="M61" s="678"/>
      <c r="N61" s="678"/>
      <c r="O61" s="678"/>
      <c r="P61" s="678"/>
      <c r="Q61" s="678"/>
      <c r="R61" s="678"/>
      <c r="S61" s="678"/>
      <c r="T61" s="678"/>
      <c r="U61" s="678"/>
      <c r="V61" s="678"/>
      <c r="W61" s="678"/>
      <c r="X61" s="678"/>
      <c r="Y61" s="678"/>
      <c r="Z61" s="678"/>
      <c r="AA61" s="678"/>
      <c r="AB61" s="678"/>
      <c r="AC61" s="678"/>
      <c r="AD61" s="678"/>
      <c r="AE61" s="678"/>
      <c r="AF61" s="678"/>
      <c r="AG61" s="678"/>
      <c r="AH61" s="678"/>
      <c r="AI61" s="678"/>
      <c r="AJ61" s="678"/>
      <c r="AK61" s="678"/>
      <c r="AL61" s="678"/>
      <c r="AM61" s="678"/>
      <c r="AN61" s="678"/>
      <c r="AO61" s="678"/>
      <c r="AP61" s="678"/>
      <c r="AS61" s="672"/>
      <c r="AU61" s="669"/>
      <c r="AV61" s="643"/>
      <c r="AW61" s="670"/>
      <c r="AX61" s="643"/>
      <c r="AY61" s="643"/>
      <c r="AZ61" s="671"/>
      <c r="BA61" s="643"/>
      <c r="BB61" s="669"/>
    </row>
    <row r="62" spans="1:54" ht="30" customHeight="1" x14ac:dyDescent="0.2">
      <c r="A62" s="867"/>
      <c r="C62" s="679" t="str">
        <f ca="1">UPPER(INDEX(teams.a,C51,1))</f>
        <v>BAKAFOGÓ-HONVÉD-SASHEGY SE</v>
      </c>
      <c r="D62" s="743"/>
      <c r="E62" s="743">
        <f ca="1">IF(E54,"",VLOOKUP($C62,OFFSET(ASZ!$AB$42,E53,IF(E55,-4,-3),12,12),IF(E55,12,11),FALSE))</f>
        <v>42088</v>
      </c>
      <c r="F62" s="743">
        <f ca="1">IF(F54,"",VLOOKUP($C62,OFFSET(ASZ!$AB$42,F53,IF(F55,-4,-3),12,12),IF(F55,12,11),FALSE))</f>
        <v>42095</v>
      </c>
      <c r="G62" s="743">
        <f ca="1">IF(G54,"",VLOOKUP($C62,OFFSET(ASZ!$AB$42,G53,IF(G55,-4,-3),12,12),IF(G55,12,11),FALSE))</f>
        <v>42102</v>
      </c>
      <c r="H62" s="743">
        <f ca="1">IF(H54,"",VLOOKUP($C62,OFFSET(ASZ!$AB$42,H53,IF(H55,-4,-3),12,12),IF(H55,12,11),FALSE))</f>
        <v>42109</v>
      </c>
      <c r="I62" s="743">
        <f ca="1">IF(I54,"",VLOOKUP($C62,OFFSET(ASZ!$AB$42,I53,IF(I55,-4,-3),12,12),IF(I55,12,11),FALSE))</f>
        <v>42116</v>
      </c>
      <c r="J62" s="743">
        <f ca="1">IF(J54,"",VLOOKUP($C62,OFFSET(ASZ!$AB$42,J53,IF(J55,-4,-3),12,12),IF(J55,12,11),FALSE))</f>
        <v>42123</v>
      </c>
      <c r="K62" s="743">
        <f ca="1">IF(K54,"",VLOOKUP($C62,OFFSET(ASZ!$AB$42,K53,IF(K55,-4,-3),12,12),IF(K55,12,11),FALSE))</f>
        <v>42130</v>
      </c>
      <c r="L62" s="743">
        <f ca="1">IF(L54,"",VLOOKUP($C62,OFFSET(ASZ!$AB$42,L53,IF(L55,-4,-3),12,12),IF(L55,12,11),FALSE))</f>
        <v>42137</v>
      </c>
      <c r="M62" s="743">
        <f ca="1">IF(M54,"",VLOOKUP($C62,OFFSET(ASZ!$AB$42,M53,IF(M55,-4,-3),12,12),IF(M55,12,11),FALSE))</f>
        <v>42144</v>
      </c>
      <c r="N62" s="743">
        <f ca="1">IF(N54,"",VLOOKUP($C62,OFFSET(ASZ!$AB$42,N53,IF(N55,-4,-3),12,12),IF(N55,12,11),FALSE))</f>
        <v>42151</v>
      </c>
      <c r="O62" s="743">
        <f ca="1">IF(O54,"",VLOOKUP($C62,OFFSET(ASZ!$AB$42,O53,IF(O55,-4,-3),12,12),IF(O55,12,11),FALSE))</f>
        <v>42158</v>
      </c>
      <c r="P62" s="743">
        <f ca="1">IF(P54,"",VLOOKUP($C62,OFFSET(ASZ!$AB$42,P53,IF(P55,-4,-3),12,12),IF(P55,12,11),FALSE))</f>
        <v>42165</v>
      </c>
      <c r="Q62" s="743">
        <f ca="1">IF(Q54,"",VLOOKUP($C62,OFFSET(ASZ!$AB$42,Q53,IF(Q55,-4,-3),12,12),IF(Q55,12,11),FALSE))</f>
        <v>42172</v>
      </c>
      <c r="R62" s="743">
        <f ca="1">IF(R54,"",VLOOKUP($C62,OFFSET(ASZ!$AB$42,R53,IF(R55,-4,-3),12,12),IF(R55,12,11),FALSE))</f>
        <v>42277</v>
      </c>
      <c r="S62" s="743">
        <f ca="1">IF(S54,"",VLOOKUP($C62,OFFSET(ASZ!$AB$42,S53,IF(S55,-4,-3),12,12),IF(S55,12,11),FALSE))</f>
        <v>42242</v>
      </c>
      <c r="T62" s="743">
        <f ca="1">IF(T54,"",VLOOKUP($C62,OFFSET(ASZ!$AB$42,T53,IF(T55,-4,-3),12,12),IF(T55,12,11),FALSE))</f>
        <v>42249</v>
      </c>
      <c r="U62" s="743">
        <f ca="1">IF(U54,"",VLOOKUP($C62,OFFSET(ASZ!$AB$42,U53,IF(U55,-4,-3),12,12),IF(U55,12,11),FALSE))</f>
        <v>42256</v>
      </c>
      <c r="V62" s="743">
        <f ca="1">IF(V54,"",VLOOKUP($C62,OFFSET(ASZ!$AB$42,V53,IF(V55,-4,-3),12,12),IF(V55,12,11),FALSE))</f>
        <v>42263</v>
      </c>
      <c r="W62" s="743">
        <f ca="1">IF(W54,"",VLOOKUP($C62,OFFSET(ASZ!$AB$42,W53,IF(W55,-4,-3),12,12),IF(W55,12,11),FALSE))</f>
        <v>42270</v>
      </c>
      <c r="X62" s="743">
        <f ca="1">IF(X54,"",VLOOKUP($C62,OFFSET(ASZ!$AB$42,X53,IF(X55,-4,-3),12,12),IF(X55,12,11),FALSE))</f>
        <v>42277</v>
      </c>
      <c r="Y62" s="743">
        <f ca="1">IF(Y54,"",VLOOKUP($C62,OFFSET(ASZ!$AB$42,Y53,IF(Y55,-4,-3),12,12),IF(Y55,12,11),FALSE))</f>
        <v>42284</v>
      </c>
      <c r="Z62" s="743">
        <f ca="1">IF(Z54,"",VLOOKUP($C62,OFFSET(ASZ!$AB$42,Z53,IF(Z55,-4,-3),12,12),IF(Z55,12,11),FALSE))</f>
        <v>42291</v>
      </c>
      <c r="AA62" s="743">
        <f ca="1">IF(AA54,"",VLOOKUP($C62,OFFSET(RCSOP!$AF$56,AA53,IF(AA55,-4,-3),14,12),IF(AA55,12,11),FALSE))</f>
        <v>42298</v>
      </c>
      <c r="AB62" s="743">
        <f ca="1">IF(AB54,"",VLOOKUP($C62,OFFSET(RCSOP!$AF$56,AB53,IF(AB55,-4,-3),14,12),IF(AB55,12,11),FALSE))</f>
        <v>42305</v>
      </c>
      <c r="AC62" s="743">
        <f ca="1">IF(AC54,"",VLOOKUP($C62,OFFSET(RCSOP!$AF$56,AC53,IF(AC55,-4,-3),14,12),IF(AC55,12,11),FALSE))</f>
        <v>42312</v>
      </c>
      <c r="AD62" s="743">
        <f ca="1">IF(AD54,"",VLOOKUP($C62,OFFSET(RCSOP!$AF$56,AD53,IF(AD55,-4,-3),14,12),IF(AD55,12,11),FALSE))</f>
        <v>42319</v>
      </c>
      <c r="AE62" s="743">
        <f ca="1">IF(AE54,"",VLOOKUP($C62,OFFSET(RCSOP!$AF$56,AE53,IF(AE55,-4,-3),14,12),IF(AE55,12,11),FALSE))</f>
        <v>42326</v>
      </c>
      <c r="AF62" s="743"/>
      <c r="AG62" s="743"/>
      <c r="AH62" s="743"/>
      <c r="AI62" s="743"/>
      <c r="AJ62" s="743"/>
      <c r="AK62" s="743"/>
      <c r="AL62" s="743"/>
      <c r="AM62" s="743"/>
      <c r="AN62" s="743"/>
      <c r="AO62" s="743"/>
      <c r="AP62" s="869" t="s">
        <v>518</v>
      </c>
      <c r="AV62" s="699"/>
      <c r="AW62" s="700"/>
    </row>
    <row r="63" spans="1:54" ht="12.75" customHeight="1" x14ac:dyDescent="0.2">
      <c r="A63" s="867"/>
      <c r="C63" s="224"/>
      <c r="D63" s="224" t="s">
        <v>519</v>
      </c>
      <c r="E63" s="692">
        <f ca="1">IF(E54,"",VLOOKUP($C62,OFFSET(ASZ!$AB$42,E53,IF(E55,-4,-3),12,3),3,FALSE))</f>
        <v>5</v>
      </c>
      <c r="F63" s="692">
        <f ca="1">IF(F54,"",VLOOKUP($C62,OFFSET(ASZ!$AB$42,F53,IF(F55,-4,-3),12,3),3,FALSE))</f>
        <v>1</v>
      </c>
      <c r="G63" s="692">
        <f ca="1">IF(G54,"",VLOOKUP($C62,OFFSET(ASZ!$AB$42,G53,IF(G55,-4,-3),12,3),3,FALSE))</f>
        <v>0</v>
      </c>
      <c r="H63" s="692">
        <f ca="1">IF(H54,"",VLOOKUP($C62,OFFSET(ASZ!$AB$42,H53,IF(H55,-4,-3),12,3),3,FALSE))</f>
        <v>0</v>
      </c>
      <c r="I63" s="692">
        <f ca="1">IF(I54,"",VLOOKUP($C62,OFFSET(ASZ!$AB$42,I53,IF(I55,-4,-3),12,3),3,FALSE))</f>
        <v>4</v>
      </c>
      <c r="J63" s="692">
        <f ca="1">IF(J54,"",VLOOKUP($C62,OFFSET(ASZ!$AB$42,J53,IF(J55,-4,-3),12,3),3,FALSE))</f>
        <v>1</v>
      </c>
      <c r="K63" s="692">
        <f ca="1">IF(K54,"",VLOOKUP($C62,OFFSET(ASZ!$AB$42,K53,IF(K55,-4,-3),12,3),3,FALSE))</f>
        <v>3</v>
      </c>
      <c r="L63" s="692">
        <f ca="1">IF(L54,"",VLOOKUP($C62,OFFSET(ASZ!$AB$42,L53,IF(L55,-4,-3),12,3),3,FALSE))</f>
        <v>1</v>
      </c>
      <c r="M63" s="692" t="str">
        <f ca="1">IF(M54,"",VLOOKUP($C62,OFFSET(ASZ!$AB$42,M53,IF(M55,-4,-3),12,3),3,FALSE))</f>
        <v/>
      </c>
      <c r="N63" s="692">
        <f ca="1">IF(N54,"",VLOOKUP($C62,OFFSET(ASZ!$AB$42,N53,IF(N55,-4,-3),12,3),3,FALSE))</f>
        <v>3</v>
      </c>
      <c r="O63" s="692">
        <f ca="1">IF(O54,"",VLOOKUP($C62,OFFSET(ASZ!$AB$42,O53,IF(O55,-4,-3),12,3),3,FALSE))</f>
        <v>4</v>
      </c>
      <c r="P63" s="692">
        <f ca="1">IF(P54,"",VLOOKUP($C62,OFFSET(ASZ!$AB$42,P53,IF(P55,-4,-3),12,3),3,FALSE))</f>
        <v>1</v>
      </c>
      <c r="Q63" s="692">
        <f ca="1">IF(Q54,"",VLOOKUP($C62,OFFSET(ASZ!$AB$42,Q53,IF(Q55,-4,-3),12,3),3,FALSE))</f>
        <v>1</v>
      </c>
      <c r="R63" s="692">
        <f ca="1">IF(R54,"",VLOOKUP($C62,OFFSET(ASZ!$AB$42,R53,IF(R55,-4,-3),12,3),3,FALSE))</f>
        <v>7</v>
      </c>
      <c r="S63" s="692">
        <f ca="1">IF(S54,"",VLOOKUP($C62,OFFSET(ASZ!$AB$42,S53,IF(S55,-4,-3),12,3),3,FALSE))</f>
        <v>0</v>
      </c>
      <c r="T63" s="692">
        <f ca="1">IF(T54,"",VLOOKUP($C62,OFFSET(ASZ!$AB$42,T53,IF(T55,-4,-3),12,3),3,FALSE))</f>
        <v>1</v>
      </c>
      <c r="U63" s="692">
        <f ca="1">IF(U54,"",VLOOKUP($C62,OFFSET(ASZ!$AB$42,U53,IF(U55,-4,-3),12,3),3,FALSE))</f>
        <v>4</v>
      </c>
      <c r="V63" s="692">
        <f ca="1">IF(V54,"",VLOOKUP($C62,OFFSET(ASZ!$AB$42,V53,IF(V55,-4,-3),12,3),3,FALSE))</f>
        <v>4</v>
      </c>
      <c r="W63" s="692">
        <f ca="1">IF(W54,"",VLOOKUP($C62,OFFSET(ASZ!$AB$42,W53,IF(W55,-4,-3),12,3),3,FALSE))</f>
        <v>0</v>
      </c>
      <c r="X63" s="692" t="str">
        <f ca="1">IF(X54,"",VLOOKUP($C62,OFFSET(ASZ!$AB$42,X53,IF(X55,-4,-3),12,3),3,FALSE))</f>
        <v/>
      </c>
      <c r="Y63" s="692">
        <f ca="1">IF(Y54,"",VLOOKUP($C62,OFFSET(ASZ!$AB$42,Y53,IF(Y55,-4,-3),12,3),3,FALSE))</f>
        <v>0</v>
      </c>
      <c r="Z63" s="692">
        <f ca="1">IF(Z54,"",VLOOKUP($C62,OFFSET(ASZ!$AB$42,Z53,IF(Z55,-4,-3),12,3),3,FALSE))</f>
        <v>1</v>
      </c>
      <c r="AA63" s="692" t="str">
        <f ca="1">IF(AA54,"",VLOOKUP($C62,OFFSET(RCSOP!$AF$56,AA53,IF(AA55,-4,-3),14,3),3,FALSE))</f>
        <v/>
      </c>
      <c r="AB63" s="692">
        <f ca="1">IF(AB54,"",VLOOKUP($C62,OFFSET(RCSOP!$AF$56,AB53,IF(AB55,-4,-3),14,3),3,FALSE))</f>
        <v>2</v>
      </c>
      <c r="AC63" s="692">
        <f ca="1">IF(AC54,"",VLOOKUP($C62,OFFSET(RCSOP!$AF$56,AC53,IF(AC55,-4,-3),14,3),3,FALSE))</f>
        <v>9</v>
      </c>
      <c r="AD63" s="692">
        <f ca="1">IF(AD54,"",VLOOKUP($C62,OFFSET(RCSOP!$AF$56,AD53,IF(AD55,-4,-3),14,3),3,FALSE))</f>
        <v>1</v>
      </c>
      <c r="AE63" s="692">
        <f ca="1">IF(AE54,"",VLOOKUP($C62,OFFSET(RCSOP!$AF$56,AE53,IF(AE55,-4,-3),14,3),3,FALSE))</f>
        <v>1</v>
      </c>
      <c r="AF63" s="692"/>
      <c r="AG63" s="692"/>
      <c r="AH63" s="692"/>
      <c r="AI63" s="692"/>
      <c r="AJ63" s="692"/>
      <c r="AK63" s="692"/>
      <c r="AL63" s="692"/>
      <c r="AM63" s="692"/>
      <c r="AN63" s="692"/>
      <c r="AO63" s="692"/>
      <c r="AP63" s="869"/>
      <c r="AQ63" s="683">
        <f ca="1">IF(SUM(D63:AO63)=0,"",SUM(D63:AO63))</f>
        <v>54</v>
      </c>
      <c r="AV63" s="699"/>
      <c r="AW63" s="700"/>
    </row>
    <row r="64" spans="1:54" ht="12.75" customHeight="1" x14ac:dyDescent="0.2">
      <c r="A64" s="867"/>
      <c r="C64" s="737"/>
      <c r="D64" s="737" t="s">
        <v>520</v>
      </c>
      <c r="E64" s="739"/>
      <c r="F64" s="740"/>
      <c r="G64" s="740"/>
      <c r="H64" s="740"/>
      <c r="I64" s="740"/>
      <c r="J64" s="740"/>
      <c r="K64" s="740">
        <v>3</v>
      </c>
      <c r="L64" s="740"/>
      <c r="M64" s="740"/>
      <c r="N64" s="740"/>
      <c r="O64" s="740"/>
      <c r="P64" s="740"/>
      <c r="Q64" s="740"/>
      <c r="R64" s="740"/>
      <c r="S64" s="740"/>
      <c r="T64" s="740"/>
      <c r="U64" s="740"/>
      <c r="V64" s="740"/>
      <c r="W64" s="740"/>
      <c r="X64" s="740"/>
      <c r="Y64" s="740"/>
      <c r="Z64" s="740"/>
      <c r="AA64" s="740"/>
      <c r="AB64" s="740"/>
      <c r="AC64" s="740"/>
      <c r="AD64" s="740"/>
      <c r="AE64" s="740"/>
      <c r="AF64" s="740"/>
      <c r="AG64" s="740"/>
      <c r="AH64" s="740"/>
      <c r="AI64" s="740"/>
      <c r="AJ64" s="740"/>
      <c r="AK64" s="740"/>
      <c r="AL64" s="740"/>
      <c r="AM64" s="740"/>
      <c r="AN64" s="740"/>
      <c r="AO64" s="741"/>
      <c r="AP64" s="869"/>
      <c r="AQ64" s="762">
        <f>IF(SUM(D64:AP64)=0,"",SUM(D64:AP64))</f>
        <v>3</v>
      </c>
      <c r="AV64" s="699"/>
      <c r="AW64" s="700"/>
    </row>
    <row r="65" spans="1:53" ht="12.75" customHeight="1" x14ac:dyDescent="0.2">
      <c r="A65" s="867"/>
      <c r="C65" s="738"/>
      <c r="D65" s="738" t="s">
        <v>521</v>
      </c>
      <c r="E65" s="742" t="str">
        <f t="shared" ref="E65:AE65" ca="1" si="1">IF(E63="","",IF(SUM(E67:E96)+E64=E63,"–",SUM(E67:E96)+E64-E63))</f>
        <v>–</v>
      </c>
      <c r="F65" s="742" t="str">
        <f t="shared" ca="1" si="1"/>
        <v>–</v>
      </c>
      <c r="G65" s="742" t="str">
        <f t="shared" ca="1" si="1"/>
        <v>–</v>
      </c>
      <c r="H65" s="742" t="str">
        <f t="shared" ca="1" si="1"/>
        <v>–</v>
      </c>
      <c r="I65" s="742" t="str">
        <f t="shared" ca="1" si="1"/>
        <v>–</v>
      </c>
      <c r="J65" s="742" t="str">
        <f t="shared" ca="1" si="1"/>
        <v>–</v>
      </c>
      <c r="K65" s="742" t="str">
        <f t="shared" ca="1" si="1"/>
        <v>–</v>
      </c>
      <c r="L65" s="742" t="str">
        <f t="shared" ca="1" si="1"/>
        <v>–</v>
      </c>
      <c r="M65" s="742" t="str">
        <f t="shared" ca="1" si="1"/>
        <v/>
      </c>
      <c r="N65" s="742" t="str">
        <f t="shared" ca="1" si="1"/>
        <v>–</v>
      </c>
      <c r="O65" s="742" t="str">
        <f t="shared" ca="1" si="1"/>
        <v>–</v>
      </c>
      <c r="P65" s="742" t="str">
        <f t="shared" ca="1" si="1"/>
        <v>–</v>
      </c>
      <c r="Q65" s="742" t="str">
        <f t="shared" ca="1" si="1"/>
        <v>–</v>
      </c>
      <c r="R65" s="742" t="str">
        <f t="shared" ca="1" si="1"/>
        <v>–</v>
      </c>
      <c r="S65" s="742" t="str">
        <f t="shared" ca="1" si="1"/>
        <v>–</v>
      </c>
      <c r="T65" s="742" t="str">
        <f t="shared" ca="1" si="1"/>
        <v>–</v>
      </c>
      <c r="U65" s="742" t="str">
        <f t="shared" ca="1" si="1"/>
        <v>–</v>
      </c>
      <c r="V65" s="742" t="str">
        <f t="shared" ca="1" si="1"/>
        <v>–</v>
      </c>
      <c r="W65" s="742" t="str">
        <f t="shared" ca="1" si="1"/>
        <v>–</v>
      </c>
      <c r="X65" s="742" t="str">
        <f t="shared" ca="1" si="1"/>
        <v/>
      </c>
      <c r="Y65" s="742" t="str">
        <f t="shared" ca="1" si="1"/>
        <v>–</v>
      </c>
      <c r="Z65" s="742" t="str">
        <f t="shared" ca="1" si="1"/>
        <v>–</v>
      </c>
      <c r="AA65" s="742" t="str">
        <f t="shared" ca="1" si="1"/>
        <v/>
      </c>
      <c r="AB65" s="742" t="str">
        <f t="shared" ca="1" si="1"/>
        <v>–</v>
      </c>
      <c r="AC65" s="742" t="str">
        <f t="shared" ca="1" si="1"/>
        <v>–</v>
      </c>
      <c r="AD65" s="742" t="str">
        <f t="shared" ca="1" si="1"/>
        <v>–</v>
      </c>
      <c r="AE65" s="742" t="str">
        <f t="shared" ca="1" si="1"/>
        <v>–</v>
      </c>
      <c r="AF65" s="742"/>
      <c r="AG65" s="742"/>
      <c r="AH65" s="742"/>
      <c r="AI65" s="742"/>
      <c r="AJ65" s="742"/>
      <c r="AK65" s="742"/>
      <c r="AL65" s="742"/>
      <c r="AM65" s="742"/>
      <c r="AN65" s="742"/>
      <c r="AO65" s="742"/>
      <c r="AP65" s="691" t="s">
        <v>522</v>
      </c>
      <c r="AS65" s="761" t="s">
        <v>285</v>
      </c>
      <c r="AV65" s="699"/>
      <c r="AW65" s="700"/>
    </row>
    <row r="66" spans="1:53" ht="4.5" customHeight="1" x14ac:dyDescent="0.2">
      <c r="A66" s="867"/>
    </row>
    <row r="67" spans="1:53" ht="12.75" customHeight="1" x14ac:dyDescent="0.2">
      <c r="A67" s="867"/>
      <c r="C67" s="755" t="s">
        <v>649</v>
      </c>
      <c r="D67" s="756">
        <v>1</v>
      </c>
      <c r="E67" s="746"/>
      <c r="F67" s="695"/>
      <c r="G67" s="695"/>
      <c r="H67" s="695"/>
      <c r="I67" s="695"/>
      <c r="J67" s="695"/>
      <c r="K67" s="695"/>
      <c r="L67" s="695"/>
      <c r="M67" s="695"/>
      <c r="N67" s="695"/>
      <c r="O67" s="695"/>
      <c r="P67" s="695"/>
      <c r="Q67" s="695"/>
      <c r="R67" s="695"/>
      <c r="S67" s="695"/>
      <c r="T67" s="695"/>
      <c r="U67" s="695"/>
      <c r="V67" s="695"/>
      <c r="W67" s="695"/>
      <c r="X67" s="695"/>
      <c r="Y67" s="695"/>
      <c r="Z67" s="695"/>
      <c r="AA67" s="695"/>
      <c r="AB67" s="695"/>
      <c r="AC67" s="695"/>
      <c r="AD67" s="695"/>
      <c r="AE67" s="695"/>
      <c r="AF67" s="695"/>
      <c r="AG67" s="695"/>
      <c r="AH67" s="695"/>
      <c r="AI67" s="695"/>
      <c r="AJ67" s="695"/>
      <c r="AK67" s="695"/>
      <c r="AL67" s="695"/>
      <c r="AM67" s="695"/>
      <c r="AN67" s="695"/>
      <c r="AO67" s="696"/>
      <c r="AP67" s="697"/>
      <c r="AQ67" s="763" t="str">
        <f>IF(SUM(E67:AP67)=0,"",SUM(E67:AP67))</f>
        <v/>
      </c>
      <c r="AS67" s="267"/>
      <c r="AV67" s="699"/>
      <c r="AW67" s="700">
        <v>1E-4</v>
      </c>
      <c r="AX67" s="382">
        <f t="shared" ref="AX67:AX96" si="2">IF(OR(C67="",AQ67=""),0,AQ67+AW67)</f>
        <v>0</v>
      </c>
      <c r="AY67" s="379" t="str">
        <f ca="1">C62</f>
        <v>BAKAFOGÓ-HONVÉD-SASHEGY SE</v>
      </c>
      <c r="AZ67" s="384" t="str">
        <f t="shared" ref="AZ67:AZ96" si="3">C67</f>
        <v>Hajós Gergő</v>
      </c>
      <c r="BA67" s="642"/>
    </row>
    <row r="68" spans="1:53" ht="12.75" customHeight="1" x14ac:dyDescent="0.2">
      <c r="A68" s="867"/>
      <c r="C68" s="758" t="s">
        <v>602</v>
      </c>
      <c r="D68" s="757">
        <v>2</v>
      </c>
      <c r="E68" s="747">
        <v>1</v>
      </c>
      <c r="F68" s="703"/>
      <c r="G68" s="703"/>
      <c r="H68" s="703"/>
      <c r="I68" s="703">
        <v>2</v>
      </c>
      <c r="J68" s="703">
        <v>1</v>
      </c>
      <c r="K68" s="703"/>
      <c r="L68" s="703"/>
      <c r="M68" s="703"/>
      <c r="N68" s="703"/>
      <c r="O68" s="703">
        <v>1</v>
      </c>
      <c r="P68" s="703"/>
      <c r="Q68" s="703"/>
      <c r="R68" s="703">
        <v>2</v>
      </c>
      <c r="S68" s="703"/>
      <c r="T68" s="703"/>
      <c r="U68" s="703"/>
      <c r="V68" s="703"/>
      <c r="W68" s="703"/>
      <c r="X68" s="703"/>
      <c r="Y68" s="703"/>
      <c r="Z68" s="703"/>
      <c r="AA68" s="703"/>
      <c r="AB68" s="703"/>
      <c r="AC68" s="703"/>
      <c r="AD68" s="703"/>
      <c r="AE68" s="703">
        <v>1</v>
      </c>
      <c r="AF68" s="703"/>
      <c r="AG68" s="703"/>
      <c r="AH68" s="703"/>
      <c r="AI68" s="703"/>
      <c r="AJ68" s="703"/>
      <c r="AK68" s="703"/>
      <c r="AL68" s="703"/>
      <c r="AM68" s="703"/>
      <c r="AN68" s="703"/>
      <c r="AO68" s="704"/>
      <c r="AP68" s="705"/>
      <c r="AQ68" s="763">
        <f t="shared" ref="AQ68:AQ96" si="4">IF(SUM(E68:AP68)=0,"",SUM(E68:AP68))</f>
        <v>8</v>
      </c>
      <c r="AS68" s="268"/>
      <c r="AV68" s="699"/>
      <c r="AW68" s="700">
        <v>2.0000000000000001E-4</v>
      </c>
      <c r="AX68" s="382">
        <f t="shared" si="2"/>
        <v>8.0001999999999995</v>
      </c>
      <c r="AY68" s="379" t="str">
        <f t="shared" ref="AY68:AY96" ca="1" si="5">AY67</f>
        <v>BAKAFOGÓ-HONVÉD-SASHEGY SE</v>
      </c>
      <c r="AZ68" s="384" t="str">
        <f t="shared" si="3"/>
        <v>Varga Attila</v>
      </c>
      <c r="BA68" s="642"/>
    </row>
    <row r="69" spans="1:53" ht="12.75" customHeight="1" x14ac:dyDescent="0.2">
      <c r="A69" s="867"/>
      <c r="C69" s="758" t="s">
        <v>603</v>
      </c>
      <c r="D69" s="757">
        <v>3</v>
      </c>
      <c r="E69" s="747">
        <v>2</v>
      </c>
      <c r="F69" s="703"/>
      <c r="G69" s="703"/>
      <c r="H69" s="703"/>
      <c r="I69" s="703">
        <v>1</v>
      </c>
      <c r="J69" s="703"/>
      <c r="K69" s="703"/>
      <c r="L69" s="703">
        <v>1</v>
      </c>
      <c r="M69" s="703"/>
      <c r="N69" s="703"/>
      <c r="O69" s="703"/>
      <c r="P69" s="703"/>
      <c r="Q69" s="703"/>
      <c r="R69" s="703"/>
      <c r="S69" s="703"/>
      <c r="T69" s="703"/>
      <c r="U69" s="703"/>
      <c r="V69" s="703">
        <v>1</v>
      </c>
      <c r="W69" s="703"/>
      <c r="X69" s="703"/>
      <c r="Y69" s="703"/>
      <c r="Z69" s="703"/>
      <c r="AA69" s="703"/>
      <c r="AB69" s="703">
        <v>1</v>
      </c>
      <c r="AC69" s="703">
        <v>3</v>
      </c>
      <c r="AD69" s="703">
        <v>1</v>
      </c>
      <c r="AE69" s="703"/>
      <c r="AF69" s="703"/>
      <c r="AG69" s="703"/>
      <c r="AH69" s="703"/>
      <c r="AI69" s="703"/>
      <c r="AJ69" s="703"/>
      <c r="AK69" s="703"/>
      <c r="AL69" s="703"/>
      <c r="AM69" s="703"/>
      <c r="AN69" s="703"/>
      <c r="AO69" s="704"/>
      <c r="AP69" s="705"/>
      <c r="AQ69" s="763">
        <f t="shared" si="4"/>
        <v>10</v>
      </c>
      <c r="AS69" s="268"/>
      <c r="AV69" s="699"/>
      <c r="AW69" s="700">
        <v>2.9999999999999997E-4</v>
      </c>
      <c r="AX69" s="382">
        <f t="shared" si="2"/>
        <v>10.000299999999999</v>
      </c>
      <c r="AY69" s="379" t="str">
        <f t="shared" ca="1" si="5"/>
        <v>BAKAFOGÓ-HONVÉD-SASHEGY SE</v>
      </c>
      <c r="AZ69" s="384" t="str">
        <f t="shared" si="3"/>
        <v>Torják Gábor</v>
      </c>
      <c r="BA69" s="642"/>
    </row>
    <row r="70" spans="1:53" ht="12.75" customHeight="1" x14ac:dyDescent="0.2">
      <c r="A70" s="867"/>
      <c r="C70" s="758" t="s">
        <v>650</v>
      </c>
      <c r="D70" s="757">
        <v>4</v>
      </c>
      <c r="E70" s="747"/>
      <c r="F70" s="703"/>
      <c r="G70" s="703"/>
      <c r="H70" s="703"/>
      <c r="I70" s="703"/>
      <c r="J70" s="703"/>
      <c r="K70" s="703"/>
      <c r="L70" s="703"/>
      <c r="M70" s="703"/>
      <c r="N70" s="703"/>
      <c r="O70" s="703"/>
      <c r="P70" s="703"/>
      <c r="Q70" s="703"/>
      <c r="R70" s="703"/>
      <c r="S70" s="703"/>
      <c r="T70" s="703"/>
      <c r="U70" s="703"/>
      <c r="V70" s="703"/>
      <c r="W70" s="703"/>
      <c r="X70" s="703"/>
      <c r="Y70" s="703"/>
      <c r="Z70" s="703"/>
      <c r="AA70" s="703"/>
      <c r="AB70" s="703"/>
      <c r="AC70" s="703"/>
      <c r="AD70" s="703"/>
      <c r="AE70" s="703"/>
      <c r="AF70" s="703"/>
      <c r="AG70" s="703"/>
      <c r="AH70" s="703"/>
      <c r="AI70" s="703"/>
      <c r="AJ70" s="703"/>
      <c r="AK70" s="703"/>
      <c r="AL70" s="703"/>
      <c r="AM70" s="703"/>
      <c r="AN70" s="703"/>
      <c r="AO70" s="704"/>
      <c r="AP70" s="705"/>
      <c r="AQ70" s="763" t="str">
        <f t="shared" si="4"/>
        <v/>
      </c>
      <c r="AS70" s="268"/>
      <c r="AV70" s="699"/>
      <c r="AW70" s="700">
        <v>4.0000000000000002E-4</v>
      </c>
      <c r="AX70" s="382">
        <f t="shared" si="2"/>
        <v>0</v>
      </c>
      <c r="AY70" s="379" t="str">
        <f t="shared" ca="1" si="5"/>
        <v>BAKAFOGÓ-HONVÉD-SASHEGY SE</v>
      </c>
      <c r="AZ70" s="384" t="str">
        <f t="shared" si="3"/>
        <v>Kun Viktor</v>
      </c>
      <c r="BA70" s="642"/>
    </row>
    <row r="71" spans="1:53" ht="12.75" customHeight="1" x14ac:dyDescent="0.2">
      <c r="A71" s="867"/>
      <c r="C71" s="758" t="s">
        <v>651</v>
      </c>
      <c r="D71" s="757">
        <v>5</v>
      </c>
      <c r="E71" s="747"/>
      <c r="F71" s="703"/>
      <c r="G71" s="703"/>
      <c r="H71" s="703"/>
      <c r="I71" s="703"/>
      <c r="J71" s="703"/>
      <c r="K71" s="703"/>
      <c r="L71" s="703"/>
      <c r="M71" s="703"/>
      <c r="N71" s="703"/>
      <c r="O71" s="703"/>
      <c r="P71" s="703"/>
      <c r="Q71" s="703"/>
      <c r="R71" s="703"/>
      <c r="S71" s="703"/>
      <c r="T71" s="703"/>
      <c r="U71" s="703"/>
      <c r="V71" s="703"/>
      <c r="W71" s="703"/>
      <c r="X71" s="703"/>
      <c r="Y71" s="703"/>
      <c r="Z71" s="703"/>
      <c r="AA71" s="703"/>
      <c r="AB71" s="703"/>
      <c r="AC71" s="703"/>
      <c r="AD71" s="703"/>
      <c r="AE71" s="703"/>
      <c r="AF71" s="703"/>
      <c r="AG71" s="703"/>
      <c r="AH71" s="703"/>
      <c r="AI71" s="703"/>
      <c r="AJ71" s="703"/>
      <c r="AK71" s="703"/>
      <c r="AL71" s="703"/>
      <c r="AM71" s="703"/>
      <c r="AN71" s="703"/>
      <c r="AO71" s="704"/>
      <c r="AP71" s="705"/>
      <c r="AQ71" s="763" t="str">
        <f t="shared" si="4"/>
        <v/>
      </c>
      <c r="AS71" s="268"/>
      <c r="AV71" s="699"/>
      <c r="AW71" s="700">
        <v>5.0000000000000001E-4</v>
      </c>
      <c r="AX71" s="382">
        <f t="shared" si="2"/>
        <v>0</v>
      </c>
      <c r="AY71" s="379" t="str">
        <f t="shared" ca="1" si="5"/>
        <v>BAKAFOGÓ-HONVÉD-SASHEGY SE</v>
      </c>
      <c r="AZ71" s="384" t="str">
        <f t="shared" si="3"/>
        <v>Szilágyi Tamás</v>
      </c>
      <c r="BA71" s="642"/>
    </row>
    <row r="72" spans="1:53" ht="12.75" customHeight="1" x14ac:dyDescent="0.2">
      <c r="A72" s="867"/>
      <c r="C72" s="758" t="s">
        <v>652</v>
      </c>
      <c r="D72" s="757">
        <v>6</v>
      </c>
      <c r="E72" s="747"/>
      <c r="F72" s="703"/>
      <c r="G72" s="703"/>
      <c r="H72" s="703"/>
      <c r="I72" s="703"/>
      <c r="J72" s="703"/>
      <c r="K72" s="703"/>
      <c r="L72" s="703"/>
      <c r="M72" s="703"/>
      <c r="N72" s="703"/>
      <c r="O72" s="703"/>
      <c r="P72" s="703"/>
      <c r="Q72" s="703"/>
      <c r="R72" s="703">
        <v>1</v>
      </c>
      <c r="S72" s="703"/>
      <c r="T72" s="703"/>
      <c r="U72" s="703"/>
      <c r="V72" s="703"/>
      <c r="W72" s="703"/>
      <c r="X72" s="703"/>
      <c r="Y72" s="703"/>
      <c r="Z72" s="703"/>
      <c r="AA72" s="703"/>
      <c r="AB72" s="703"/>
      <c r="AC72" s="703"/>
      <c r="AD72" s="703"/>
      <c r="AE72" s="703"/>
      <c r="AF72" s="703"/>
      <c r="AG72" s="703"/>
      <c r="AH72" s="703"/>
      <c r="AI72" s="703"/>
      <c r="AJ72" s="703"/>
      <c r="AK72" s="703"/>
      <c r="AL72" s="703"/>
      <c r="AM72" s="703"/>
      <c r="AN72" s="703"/>
      <c r="AO72" s="704"/>
      <c r="AP72" s="705"/>
      <c r="AQ72" s="763">
        <f t="shared" si="4"/>
        <v>1</v>
      </c>
      <c r="AS72" s="268"/>
      <c r="AV72" s="699"/>
      <c r="AW72" s="700">
        <v>5.9999999999999995E-4</v>
      </c>
      <c r="AX72" s="382">
        <f t="shared" si="2"/>
        <v>1.0005999999999999</v>
      </c>
      <c r="AY72" s="379" t="str">
        <f t="shared" ca="1" si="5"/>
        <v>BAKAFOGÓ-HONVÉD-SASHEGY SE</v>
      </c>
      <c r="AZ72" s="384" t="str">
        <f t="shared" si="3"/>
        <v>Gots Márk Dávid</v>
      </c>
      <c r="BA72" s="642"/>
    </row>
    <row r="73" spans="1:53" ht="12.75" customHeight="1" x14ac:dyDescent="0.2">
      <c r="A73" s="867"/>
      <c r="C73" s="758" t="s">
        <v>653</v>
      </c>
      <c r="D73" s="757">
        <v>7</v>
      </c>
      <c r="E73" s="747"/>
      <c r="F73" s="703"/>
      <c r="G73" s="703"/>
      <c r="H73" s="703"/>
      <c r="I73" s="703"/>
      <c r="J73" s="703"/>
      <c r="K73" s="703"/>
      <c r="L73" s="703"/>
      <c r="M73" s="703"/>
      <c r="N73" s="703"/>
      <c r="O73" s="703"/>
      <c r="P73" s="703"/>
      <c r="Q73" s="703"/>
      <c r="R73" s="703"/>
      <c r="S73" s="703"/>
      <c r="T73" s="703"/>
      <c r="U73" s="703">
        <v>2</v>
      </c>
      <c r="V73" s="703"/>
      <c r="W73" s="703"/>
      <c r="X73" s="703"/>
      <c r="Y73" s="703"/>
      <c r="Z73" s="703"/>
      <c r="AA73" s="703"/>
      <c r="AB73" s="703"/>
      <c r="AC73" s="703"/>
      <c r="AD73" s="703"/>
      <c r="AE73" s="703"/>
      <c r="AF73" s="703"/>
      <c r="AG73" s="703"/>
      <c r="AH73" s="703"/>
      <c r="AI73" s="703"/>
      <c r="AJ73" s="703"/>
      <c r="AK73" s="703"/>
      <c r="AL73" s="703"/>
      <c r="AM73" s="703"/>
      <c r="AN73" s="703"/>
      <c r="AO73" s="704"/>
      <c r="AP73" s="705"/>
      <c r="AQ73" s="763">
        <f t="shared" si="4"/>
        <v>2</v>
      </c>
      <c r="AS73" s="268"/>
      <c r="AV73" s="699"/>
      <c r="AW73" s="700">
        <v>6.9999999999999999E-4</v>
      </c>
      <c r="AX73" s="382">
        <f t="shared" si="2"/>
        <v>2.0007000000000001</v>
      </c>
      <c r="AY73" s="379" t="str">
        <f t="shared" ca="1" si="5"/>
        <v>BAKAFOGÓ-HONVÉD-SASHEGY SE</v>
      </c>
      <c r="AZ73" s="384" t="str">
        <f t="shared" si="3"/>
        <v>Réti Gergely</v>
      </c>
      <c r="BA73" s="642"/>
    </row>
    <row r="74" spans="1:53" ht="12.75" customHeight="1" x14ac:dyDescent="0.2">
      <c r="A74" s="867"/>
      <c r="C74" s="758" t="s">
        <v>604</v>
      </c>
      <c r="D74" s="757">
        <v>8</v>
      </c>
      <c r="E74" s="747"/>
      <c r="F74" s="703"/>
      <c r="G74" s="703"/>
      <c r="H74" s="703"/>
      <c r="I74" s="703"/>
      <c r="J74" s="703"/>
      <c r="K74" s="703"/>
      <c r="L74" s="703"/>
      <c r="M74" s="703"/>
      <c r="N74" s="703"/>
      <c r="O74" s="703">
        <v>1</v>
      </c>
      <c r="P74" s="703">
        <v>1</v>
      </c>
      <c r="Q74" s="703"/>
      <c r="R74" s="703">
        <v>1</v>
      </c>
      <c r="S74" s="703"/>
      <c r="T74" s="703"/>
      <c r="U74" s="703"/>
      <c r="V74" s="703"/>
      <c r="W74" s="703"/>
      <c r="X74" s="703"/>
      <c r="Y74" s="703"/>
      <c r="Z74" s="703"/>
      <c r="AA74" s="703"/>
      <c r="AB74" s="703"/>
      <c r="AC74" s="703"/>
      <c r="AD74" s="703"/>
      <c r="AE74" s="703"/>
      <c r="AF74" s="703"/>
      <c r="AG74" s="703"/>
      <c r="AH74" s="703"/>
      <c r="AI74" s="703"/>
      <c r="AJ74" s="703"/>
      <c r="AK74" s="703"/>
      <c r="AL74" s="703"/>
      <c r="AM74" s="703"/>
      <c r="AN74" s="703"/>
      <c r="AO74" s="704"/>
      <c r="AP74" s="705"/>
      <c r="AQ74" s="763">
        <f t="shared" si="4"/>
        <v>3</v>
      </c>
      <c r="AS74" s="268"/>
      <c r="AV74" s="699"/>
      <c r="AW74" s="700">
        <v>8.0000000000000004E-4</v>
      </c>
      <c r="AX74" s="382">
        <f t="shared" si="2"/>
        <v>3.0007999999999999</v>
      </c>
      <c r="AY74" s="379" t="str">
        <f t="shared" ca="1" si="5"/>
        <v>BAKAFOGÓ-HONVÉD-SASHEGY SE</v>
      </c>
      <c r="AZ74" s="384" t="str">
        <f t="shared" si="3"/>
        <v>Bakafogó: 8</v>
      </c>
      <c r="BA74" s="642"/>
    </row>
    <row r="75" spans="1:53" ht="12.75" customHeight="1" x14ac:dyDescent="0.2">
      <c r="A75" s="867"/>
      <c r="C75" s="758" t="s">
        <v>605</v>
      </c>
      <c r="D75" s="757">
        <v>9</v>
      </c>
      <c r="E75" s="747"/>
      <c r="F75" s="703">
        <v>1</v>
      </c>
      <c r="G75" s="703"/>
      <c r="H75" s="703"/>
      <c r="I75" s="703"/>
      <c r="J75" s="703"/>
      <c r="K75" s="703"/>
      <c r="L75" s="703"/>
      <c r="M75" s="703"/>
      <c r="N75" s="703"/>
      <c r="O75" s="703"/>
      <c r="P75" s="703"/>
      <c r="Q75" s="703"/>
      <c r="R75" s="703"/>
      <c r="S75" s="703"/>
      <c r="T75" s="703"/>
      <c r="U75" s="703"/>
      <c r="V75" s="703"/>
      <c r="W75" s="703"/>
      <c r="X75" s="703"/>
      <c r="Y75" s="703"/>
      <c r="Z75" s="703"/>
      <c r="AA75" s="703"/>
      <c r="AB75" s="703"/>
      <c r="AC75" s="703"/>
      <c r="AD75" s="703"/>
      <c r="AE75" s="703"/>
      <c r="AF75" s="703"/>
      <c r="AG75" s="703"/>
      <c r="AH75" s="703"/>
      <c r="AI75" s="703"/>
      <c r="AJ75" s="703"/>
      <c r="AK75" s="703"/>
      <c r="AL75" s="703"/>
      <c r="AM75" s="703"/>
      <c r="AN75" s="703"/>
      <c r="AO75" s="704"/>
      <c r="AP75" s="705"/>
      <c r="AQ75" s="763">
        <f t="shared" si="4"/>
        <v>1</v>
      </c>
      <c r="AS75" s="268"/>
      <c r="AV75" s="699"/>
      <c r="AW75" s="700">
        <v>8.9999999999999998E-4</v>
      </c>
      <c r="AX75" s="382">
        <f t="shared" si="2"/>
        <v>1.0008999999999999</v>
      </c>
      <c r="AY75" s="379" t="str">
        <f t="shared" ca="1" si="5"/>
        <v>BAKAFOGÓ-HONVÉD-SASHEGY SE</v>
      </c>
      <c r="AZ75" s="384" t="str">
        <f t="shared" si="3"/>
        <v>Batik Zoltán</v>
      </c>
      <c r="BA75" s="642"/>
    </row>
    <row r="76" spans="1:53" ht="12.75" customHeight="1" x14ac:dyDescent="0.2">
      <c r="A76" s="867"/>
      <c r="C76" s="758" t="s">
        <v>654</v>
      </c>
      <c r="D76" s="757">
        <v>10</v>
      </c>
      <c r="E76" s="747"/>
      <c r="F76" s="703"/>
      <c r="G76" s="703"/>
      <c r="H76" s="703"/>
      <c r="I76" s="703"/>
      <c r="J76" s="703"/>
      <c r="K76" s="703"/>
      <c r="L76" s="703"/>
      <c r="M76" s="703"/>
      <c r="N76" s="703"/>
      <c r="O76" s="703"/>
      <c r="P76" s="703"/>
      <c r="Q76" s="703"/>
      <c r="R76" s="703"/>
      <c r="S76" s="703"/>
      <c r="T76" s="703"/>
      <c r="U76" s="703"/>
      <c r="V76" s="703">
        <v>2</v>
      </c>
      <c r="W76" s="703"/>
      <c r="X76" s="703"/>
      <c r="Y76" s="703"/>
      <c r="Z76" s="703">
        <v>1</v>
      </c>
      <c r="AA76" s="703"/>
      <c r="AB76" s="703">
        <v>1</v>
      </c>
      <c r="AC76" s="703">
        <v>2</v>
      </c>
      <c r="AD76" s="703"/>
      <c r="AE76" s="703"/>
      <c r="AF76" s="703"/>
      <c r="AG76" s="703"/>
      <c r="AH76" s="703"/>
      <c r="AI76" s="703"/>
      <c r="AJ76" s="703"/>
      <c r="AK76" s="703"/>
      <c r="AL76" s="703"/>
      <c r="AM76" s="703"/>
      <c r="AN76" s="703"/>
      <c r="AO76" s="704"/>
      <c r="AP76" s="705"/>
      <c r="AQ76" s="763">
        <f t="shared" si="4"/>
        <v>6</v>
      </c>
      <c r="AS76" s="268"/>
      <c r="AV76" s="699"/>
      <c r="AW76" s="700">
        <v>1E-3</v>
      </c>
      <c r="AX76" s="382">
        <f t="shared" si="2"/>
        <v>6.0010000000000003</v>
      </c>
      <c r="AY76" s="379" t="str">
        <f t="shared" ca="1" si="5"/>
        <v>BAKAFOGÓ-HONVÉD-SASHEGY SE</v>
      </c>
      <c r="AZ76" s="384" t="str">
        <f t="shared" si="3"/>
        <v>Chladny Zoltán</v>
      </c>
      <c r="BA76" s="642"/>
    </row>
    <row r="77" spans="1:53" ht="12.75" customHeight="1" x14ac:dyDescent="0.2">
      <c r="A77" s="867"/>
      <c r="C77" s="758" t="s">
        <v>655</v>
      </c>
      <c r="D77" s="757">
        <v>11</v>
      </c>
      <c r="E77" s="747"/>
      <c r="F77" s="703"/>
      <c r="G77" s="703"/>
      <c r="H77" s="703"/>
      <c r="I77" s="703"/>
      <c r="J77" s="703"/>
      <c r="K77" s="703"/>
      <c r="L77" s="703"/>
      <c r="M77" s="703"/>
      <c r="N77" s="703"/>
      <c r="O77" s="703"/>
      <c r="P77" s="703"/>
      <c r="Q77" s="703"/>
      <c r="R77" s="703"/>
      <c r="S77" s="703"/>
      <c r="T77" s="703"/>
      <c r="U77" s="703"/>
      <c r="V77" s="703"/>
      <c r="W77" s="703"/>
      <c r="X77" s="703"/>
      <c r="Y77" s="703"/>
      <c r="Z77" s="703"/>
      <c r="AA77" s="703"/>
      <c r="AB77" s="703"/>
      <c r="AC77" s="703"/>
      <c r="AD77" s="703"/>
      <c r="AE77" s="703"/>
      <c r="AF77" s="703"/>
      <c r="AG77" s="703"/>
      <c r="AH77" s="703"/>
      <c r="AI77" s="703"/>
      <c r="AJ77" s="703"/>
      <c r="AK77" s="703"/>
      <c r="AL77" s="703"/>
      <c r="AM77" s="703"/>
      <c r="AN77" s="703"/>
      <c r="AO77" s="704"/>
      <c r="AP77" s="705"/>
      <c r="AQ77" s="763" t="str">
        <f t="shared" si="4"/>
        <v/>
      </c>
      <c r="AS77" s="268"/>
      <c r="AV77" s="699"/>
      <c r="AW77" s="700">
        <v>1.1000000000000001E-3</v>
      </c>
      <c r="AX77" s="382">
        <f t="shared" si="2"/>
        <v>0</v>
      </c>
      <c r="AY77" s="379" t="str">
        <f t="shared" ca="1" si="5"/>
        <v>BAKAFOGÓ-HONVÉD-SASHEGY SE</v>
      </c>
      <c r="AZ77" s="384" t="str">
        <f t="shared" si="3"/>
        <v>Monoki Tamás</v>
      </c>
      <c r="BA77" s="642"/>
    </row>
    <row r="78" spans="1:53" ht="12.75" customHeight="1" x14ac:dyDescent="0.2">
      <c r="A78" s="867"/>
      <c r="C78" s="758" t="s">
        <v>606</v>
      </c>
      <c r="D78" s="757">
        <v>12</v>
      </c>
      <c r="E78" s="747"/>
      <c r="F78" s="703"/>
      <c r="G78" s="703"/>
      <c r="H78" s="703"/>
      <c r="I78" s="703">
        <v>1</v>
      </c>
      <c r="J78" s="703"/>
      <c r="K78" s="703"/>
      <c r="L78" s="703"/>
      <c r="M78" s="703"/>
      <c r="N78" s="703">
        <v>2</v>
      </c>
      <c r="O78" s="703"/>
      <c r="P78" s="703"/>
      <c r="Q78" s="703"/>
      <c r="R78" s="703"/>
      <c r="S78" s="703"/>
      <c r="T78" s="703"/>
      <c r="U78" s="703"/>
      <c r="V78" s="703"/>
      <c r="W78" s="703"/>
      <c r="X78" s="703"/>
      <c r="Y78" s="703"/>
      <c r="Z78" s="703"/>
      <c r="AA78" s="703"/>
      <c r="AB78" s="703"/>
      <c r="AC78" s="703"/>
      <c r="AD78" s="703"/>
      <c r="AE78" s="703"/>
      <c r="AF78" s="703"/>
      <c r="AG78" s="703"/>
      <c r="AH78" s="703"/>
      <c r="AI78" s="703"/>
      <c r="AJ78" s="703"/>
      <c r="AK78" s="703"/>
      <c r="AL78" s="703"/>
      <c r="AM78" s="703"/>
      <c r="AN78" s="703"/>
      <c r="AO78" s="704"/>
      <c r="AP78" s="705"/>
      <c r="AQ78" s="763">
        <f t="shared" si="4"/>
        <v>3</v>
      </c>
      <c r="AS78" s="268"/>
      <c r="AV78" s="699"/>
      <c r="AW78" s="700">
        <v>1.1999999999999999E-3</v>
      </c>
      <c r="AX78" s="382">
        <f t="shared" si="2"/>
        <v>3.0011999999999999</v>
      </c>
      <c r="AY78" s="379" t="str">
        <f t="shared" ca="1" si="5"/>
        <v>BAKAFOGÓ-HONVÉD-SASHEGY SE</v>
      </c>
      <c r="AZ78" s="384" t="str">
        <f t="shared" si="3"/>
        <v>Kosztel Róbert</v>
      </c>
      <c r="BA78" s="642"/>
    </row>
    <row r="79" spans="1:53" ht="12.75" customHeight="1" x14ac:dyDescent="0.2">
      <c r="A79" s="867"/>
      <c r="C79" s="758" t="s">
        <v>607</v>
      </c>
      <c r="D79" s="757">
        <v>13</v>
      </c>
      <c r="E79" s="747">
        <v>2</v>
      </c>
      <c r="F79" s="703"/>
      <c r="G79" s="703"/>
      <c r="H79" s="703"/>
      <c r="I79" s="703"/>
      <c r="J79" s="703"/>
      <c r="K79" s="703"/>
      <c r="L79" s="703"/>
      <c r="M79" s="703"/>
      <c r="N79" s="703">
        <v>1</v>
      </c>
      <c r="O79" s="703">
        <v>1</v>
      </c>
      <c r="P79" s="703"/>
      <c r="Q79" s="703">
        <v>1</v>
      </c>
      <c r="R79" s="703"/>
      <c r="S79" s="703"/>
      <c r="T79" s="703"/>
      <c r="U79" s="703"/>
      <c r="V79" s="703"/>
      <c r="W79" s="703"/>
      <c r="X79" s="703"/>
      <c r="Y79" s="703"/>
      <c r="Z79" s="703"/>
      <c r="AA79" s="703"/>
      <c r="AB79" s="703"/>
      <c r="AC79" s="703"/>
      <c r="AD79" s="703"/>
      <c r="AE79" s="703"/>
      <c r="AF79" s="703"/>
      <c r="AG79" s="703"/>
      <c r="AH79" s="703"/>
      <c r="AI79" s="703"/>
      <c r="AJ79" s="703"/>
      <c r="AK79" s="703"/>
      <c r="AL79" s="703"/>
      <c r="AM79" s="703"/>
      <c r="AN79" s="703"/>
      <c r="AO79" s="704"/>
      <c r="AP79" s="705"/>
      <c r="AQ79" s="763">
        <f t="shared" si="4"/>
        <v>5</v>
      </c>
      <c r="AS79" s="268"/>
      <c r="AV79" s="699"/>
      <c r="AW79" s="700">
        <v>1.2999999999999999E-3</v>
      </c>
      <c r="AX79" s="382">
        <f t="shared" si="2"/>
        <v>5.0012999999999996</v>
      </c>
      <c r="AY79" s="379" t="str">
        <f t="shared" ca="1" si="5"/>
        <v>BAKAFOGÓ-HONVÉD-SASHEGY SE</v>
      </c>
      <c r="AZ79" s="384" t="str">
        <f t="shared" si="3"/>
        <v>Musszer Roland</v>
      </c>
      <c r="BA79" s="642"/>
    </row>
    <row r="80" spans="1:53" ht="12.75" customHeight="1" x14ac:dyDescent="0.2">
      <c r="A80" s="867"/>
      <c r="C80" s="758" t="s">
        <v>656</v>
      </c>
      <c r="D80" s="757">
        <v>14</v>
      </c>
      <c r="E80" s="747"/>
      <c r="F80" s="703"/>
      <c r="G80" s="703"/>
      <c r="H80" s="703"/>
      <c r="I80" s="703"/>
      <c r="J80" s="703"/>
      <c r="K80" s="703"/>
      <c r="L80" s="703"/>
      <c r="M80" s="703"/>
      <c r="N80" s="703"/>
      <c r="O80" s="703"/>
      <c r="P80" s="703"/>
      <c r="Q80" s="703"/>
      <c r="R80" s="703">
        <v>3</v>
      </c>
      <c r="S80" s="703"/>
      <c r="T80" s="703">
        <v>1</v>
      </c>
      <c r="U80" s="703">
        <v>2</v>
      </c>
      <c r="V80" s="703">
        <v>1</v>
      </c>
      <c r="W80" s="703"/>
      <c r="X80" s="703"/>
      <c r="Y80" s="703"/>
      <c r="Z80" s="703"/>
      <c r="AA80" s="703"/>
      <c r="AB80" s="703"/>
      <c r="AC80" s="703">
        <v>4</v>
      </c>
      <c r="AD80" s="703"/>
      <c r="AE80" s="703"/>
      <c r="AF80" s="703"/>
      <c r="AG80" s="703"/>
      <c r="AH80" s="703"/>
      <c r="AI80" s="703"/>
      <c r="AJ80" s="703"/>
      <c r="AK80" s="703"/>
      <c r="AL80" s="703"/>
      <c r="AM80" s="703"/>
      <c r="AN80" s="703"/>
      <c r="AO80" s="704"/>
      <c r="AP80" s="705"/>
      <c r="AQ80" s="763">
        <f t="shared" si="4"/>
        <v>11</v>
      </c>
      <c r="AS80" s="268"/>
      <c r="AV80" s="699"/>
      <c r="AW80" s="700">
        <v>1.4E-3</v>
      </c>
      <c r="AX80" s="382">
        <f t="shared" si="2"/>
        <v>11.0014</v>
      </c>
      <c r="AY80" s="379" t="str">
        <f t="shared" ca="1" si="5"/>
        <v>BAKAFOGÓ-HONVÉD-SASHEGY SE</v>
      </c>
      <c r="AZ80" s="384" t="str">
        <f t="shared" si="3"/>
        <v>Mándi Béla</v>
      </c>
      <c r="BA80" s="642"/>
    </row>
    <row r="81" spans="1:53" ht="12.75" customHeight="1" x14ac:dyDescent="0.2">
      <c r="A81" s="867"/>
      <c r="C81" s="758" t="s">
        <v>720</v>
      </c>
      <c r="D81" s="757">
        <v>16</v>
      </c>
      <c r="E81" s="747"/>
      <c r="F81" s="703"/>
      <c r="G81" s="703"/>
      <c r="H81" s="703"/>
      <c r="I81" s="703"/>
      <c r="J81" s="703"/>
      <c r="K81" s="703"/>
      <c r="L81" s="703"/>
      <c r="M81" s="703"/>
      <c r="N81" s="703"/>
      <c r="O81" s="703">
        <v>1</v>
      </c>
      <c r="P81" s="703"/>
      <c r="Q81" s="703"/>
      <c r="R81" s="703"/>
      <c r="S81" s="703"/>
      <c r="T81" s="703"/>
      <c r="U81" s="703"/>
      <c r="V81" s="703"/>
      <c r="W81" s="703"/>
      <c r="X81" s="703"/>
      <c r="Y81" s="703"/>
      <c r="Z81" s="703"/>
      <c r="AA81" s="703"/>
      <c r="AB81" s="703"/>
      <c r="AC81" s="703"/>
      <c r="AD81" s="703"/>
      <c r="AE81" s="703"/>
      <c r="AF81" s="703"/>
      <c r="AG81" s="703"/>
      <c r="AH81" s="703"/>
      <c r="AI81" s="703"/>
      <c r="AJ81" s="703"/>
      <c r="AK81" s="703"/>
      <c r="AL81" s="703"/>
      <c r="AM81" s="703"/>
      <c r="AN81" s="703"/>
      <c r="AO81" s="704"/>
      <c r="AP81" s="705"/>
      <c r="AQ81" s="763">
        <f t="shared" si="4"/>
        <v>1</v>
      </c>
      <c r="AS81" s="268"/>
      <c r="AV81" s="699"/>
      <c r="AW81" s="700">
        <v>1.5E-3</v>
      </c>
      <c r="AX81" s="382">
        <f t="shared" si="2"/>
        <v>1.0015000000000001</v>
      </c>
      <c r="AY81" s="379" t="str">
        <f t="shared" ca="1" si="5"/>
        <v>BAKAFOGÓ-HONVÉD-SASHEGY SE</v>
      </c>
      <c r="AZ81" s="384" t="str">
        <f t="shared" si="3"/>
        <v>Bakafogó ismeretlen 16</v>
      </c>
      <c r="BA81" s="642"/>
    </row>
    <row r="82" spans="1:53" ht="12.75" customHeight="1" x14ac:dyDescent="0.2">
      <c r="A82" s="867"/>
      <c r="C82" s="758"/>
      <c r="D82" s="757"/>
      <c r="E82" s="747"/>
      <c r="F82" s="703"/>
      <c r="G82" s="703"/>
      <c r="H82" s="703"/>
      <c r="I82" s="703"/>
      <c r="J82" s="703"/>
      <c r="K82" s="703"/>
      <c r="L82" s="703"/>
      <c r="M82" s="703"/>
      <c r="N82" s="703"/>
      <c r="O82" s="703"/>
      <c r="P82" s="703"/>
      <c r="Q82" s="703"/>
      <c r="R82" s="703"/>
      <c r="S82" s="703"/>
      <c r="T82" s="703"/>
      <c r="U82" s="703"/>
      <c r="V82" s="703"/>
      <c r="W82" s="703"/>
      <c r="X82" s="703"/>
      <c r="Y82" s="703"/>
      <c r="Z82" s="703"/>
      <c r="AA82" s="703"/>
      <c r="AB82" s="703"/>
      <c r="AC82" s="703"/>
      <c r="AD82" s="703"/>
      <c r="AE82" s="703"/>
      <c r="AF82" s="703"/>
      <c r="AG82" s="703"/>
      <c r="AH82" s="703"/>
      <c r="AI82" s="703"/>
      <c r="AJ82" s="703"/>
      <c r="AK82" s="703"/>
      <c r="AL82" s="703"/>
      <c r="AM82" s="703"/>
      <c r="AN82" s="703"/>
      <c r="AO82" s="704"/>
      <c r="AP82" s="705"/>
      <c r="AQ82" s="763" t="str">
        <f t="shared" si="4"/>
        <v/>
      </c>
      <c r="AS82" s="268"/>
      <c r="AV82" s="699"/>
      <c r="AW82" s="700">
        <v>1.6000000000000001E-3</v>
      </c>
      <c r="AX82" s="382">
        <f t="shared" si="2"/>
        <v>0</v>
      </c>
      <c r="AY82" s="379" t="str">
        <f t="shared" ca="1" si="5"/>
        <v>BAKAFOGÓ-HONVÉD-SASHEGY SE</v>
      </c>
      <c r="AZ82" s="384">
        <f t="shared" si="3"/>
        <v>0</v>
      </c>
      <c r="BA82" s="642"/>
    </row>
    <row r="83" spans="1:53" ht="12.75" customHeight="1" x14ac:dyDescent="0.2">
      <c r="A83" s="867"/>
      <c r="C83" s="758"/>
      <c r="D83" s="757"/>
      <c r="E83" s="747"/>
      <c r="F83" s="703"/>
      <c r="G83" s="703"/>
      <c r="H83" s="703"/>
      <c r="I83" s="703"/>
      <c r="J83" s="703"/>
      <c r="K83" s="703"/>
      <c r="L83" s="703"/>
      <c r="M83" s="703"/>
      <c r="N83" s="703"/>
      <c r="O83" s="703"/>
      <c r="P83" s="703"/>
      <c r="Q83" s="703"/>
      <c r="R83" s="703"/>
      <c r="S83" s="703"/>
      <c r="T83" s="703"/>
      <c r="U83" s="703"/>
      <c r="V83" s="703"/>
      <c r="W83" s="703"/>
      <c r="X83" s="703"/>
      <c r="Y83" s="703"/>
      <c r="Z83" s="703"/>
      <c r="AA83" s="703"/>
      <c r="AB83" s="703"/>
      <c r="AC83" s="703"/>
      <c r="AD83" s="703"/>
      <c r="AE83" s="703"/>
      <c r="AF83" s="703"/>
      <c r="AG83" s="703"/>
      <c r="AH83" s="703"/>
      <c r="AI83" s="703"/>
      <c r="AJ83" s="703"/>
      <c r="AK83" s="703"/>
      <c r="AL83" s="703"/>
      <c r="AM83" s="703"/>
      <c r="AN83" s="703"/>
      <c r="AO83" s="704"/>
      <c r="AP83" s="705"/>
      <c r="AQ83" s="763" t="str">
        <f t="shared" si="4"/>
        <v/>
      </c>
      <c r="AS83" s="268"/>
      <c r="AV83" s="699"/>
      <c r="AW83" s="700">
        <v>1.6999999999999999E-3</v>
      </c>
      <c r="AX83" s="382">
        <f t="shared" si="2"/>
        <v>0</v>
      </c>
      <c r="AY83" s="379" t="str">
        <f t="shared" ca="1" si="5"/>
        <v>BAKAFOGÓ-HONVÉD-SASHEGY SE</v>
      </c>
      <c r="AZ83" s="384">
        <f t="shared" si="3"/>
        <v>0</v>
      </c>
      <c r="BA83" s="642"/>
    </row>
    <row r="84" spans="1:53" ht="12.75" customHeight="1" x14ac:dyDescent="0.2">
      <c r="A84" s="867"/>
      <c r="C84" s="758"/>
      <c r="D84" s="757"/>
      <c r="E84" s="747"/>
      <c r="F84" s="703"/>
      <c r="G84" s="703"/>
      <c r="H84" s="703"/>
      <c r="I84" s="703"/>
      <c r="J84" s="703"/>
      <c r="K84" s="703"/>
      <c r="L84" s="703"/>
      <c r="M84" s="703"/>
      <c r="N84" s="703"/>
      <c r="O84" s="703"/>
      <c r="P84" s="703"/>
      <c r="Q84" s="703"/>
      <c r="R84" s="703"/>
      <c r="S84" s="703"/>
      <c r="T84" s="703"/>
      <c r="U84" s="703"/>
      <c r="V84" s="703"/>
      <c r="W84" s="703"/>
      <c r="X84" s="703"/>
      <c r="Y84" s="703"/>
      <c r="Z84" s="703"/>
      <c r="AA84" s="703"/>
      <c r="AB84" s="703"/>
      <c r="AC84" s="703"/>
      <c r="AD84" s="703"/>
      <c r="AE84" s="703"/>
      <c r="AF84" s="703"/>
      <c r="AG84" s="703"/>
      <c r="AH84" s="703"/>
      <c r="AI84" s="703"/>
      <c r="AJ84" s="703"/>
      <c r="AK84" s="703"/>
      <c r="AL84" s="703"/>
      <c r="AM84" s="703"/>
      <c r="AN84" s="703"/>
      <c r="AO84" s="704"/>
      <c r="AP84" s="705"/>
      <c r="AQ84" s="763" t="str">
        <f t="shared" si="4"/>
        <v/>
      </c>
      <c r="AS84" s="268"/>
      <c r="AV84" s="699"/>
      <c r="AW84" s="700">
        <v>1.8E-3</v>
      </c>
      <c r="AX84" s="382">
        <f t="shared" si="2"/>
        <v>0</v>
      </c>
      <c r="AY84" s="379" t="str">
        <f t="shared" ca="1" si="5"/>
        <v>BAKAFOGÓ-HONVÉD-SASHEGY SE</v>
      </c>
      <c r="AZ84" s="384">
        <f t="shared" si="3"/>
        <v>0</v>
      </c>
      <c r="BA84" s="642"/>
    </row>
    <row r="85" spans="1:53" ht="12.75" customHeight="1" x14ac:dyDescent="0.2">
      <c r="A85" s="867"/>
      <c r="C85" s="758"/>
      <c r="D85" s="757"/>
      <c r="E85" s="747"/>
      <c r="F85" s="703"/>
      <c r="G85" s="703"/>
      <c r="H85" s="703"/>
      <c r="I85" s="703"/>
      <c r="J85" s="703"/>
      <c r="K85" s="703"/>
      <c r="L85" s="703"/>
      <c r="M85" s="703"/>
      <c r="N85" s="703"/>
      <c r="O85" s="703"/>
      <c r="P85" s="703"/>
      <c r="Q85" s="703"/>
      <c r="R85" s="703"/>
      <c r="S85" s="703"/>
      <c r="T85" s="703"/>
      <c r="U85" s="703"/>
      <c r="V85" s="703"/>
      <c r="W85" s="703"/>
      <c r="X85" s="703"/>
      <c r="Y85" s="703"/>
      <c r="Z85" s="703"/>
      <c r="AA85" s="703"/>
      <c r="AB85" s="703"/>
      <c r="AC85" s="703"/>
      <c r="AD85" s="703"/>
      <c r="AE85" s="703"/>
      <c r="AF85" s="703"/>
      <c r="AG85" s="703"/>
      <c r="AH85" s="703"/>
      <c r="AI85" s="703"/>
      <c r="AJ85" s="703"/>
      <c r="AK85" s="703"/>
      <c r="AL85" s="703"/>
      <c r="AM85" s="703"/>
      <c r="AN85" s="703"/>
      <c r="AO85" s="704"/>
      <c r="AP85" s="705"/>
      <c r="AQ85" s="763" t="str">
        <f t="shared" si="4"/>
        <v/>
      </c>
      <c r="AS85" s="268"/>
      <c r="AV85" s="699"/>
      <c r="AW85" s="700">
        <v>1.9E-3</v>
      </c>
      <c r="AX85" s="382">
        <f t="shared" si="2"/>
        <v>0</v>
      </c>
      <c r="AY85" s="379" t="str">
        <f t="shared" ca="1" si="5"/>
        <v>BAKAFOGÓ-HONVÉD-SASHEGY SE</v>
      </c>
      <c r="AZ85" s="384">
        <f t="shared" si="3"/>
        <v>0</v>
      </c>
      <c r="BA85" s="642"/>
    </row>
    <row r="86" spans="1:53" ht="11.25" hidden="1" customHeight="1" x14ac:dyDescent="0.2">
      <c r="A86" s="867"/>
      <c r="C86" s="758"/>
      <c r="D86" s="757"/>
      <c r="E86" s="747"/>
      <c r="F86" s="703"/>
      <c r="G86" s="703"/>
      <c r="H86" s="703"/>
      <c r="I86" s="703"/>
      <c r="J86" s="703"/>
      <c r="K86" s="703"/>
      <c r="L86" s="703"/>
      <c r="M86" s="703"/>
      <c r="N86" s="703"/>
      <c r="O86" s="703"/>
      <c r="P86" s="703"/>
      <c r="Q86" s="703"/>
      <c r="R86" s="703"/>
      <c r="S86" s="703"/>
      <c r="T86" s="703"/>
      <c r="U86" s="703"/>
      <c r="V86" s="703"/>
      <c r="W86" s="703"/>
      <c r="X86" s="703"/>
      <c r="Y86" s="703"/>
      <c r="Z86" s="703"/>
      <c r="AA86" s="703"/>
      <c r="AB86" s="703"/>
      <c r="AC86" s="703"/>
      <c r="AD86" s="703"/>
      <c r="AE86" s="703"/>
      <c r="AF86" s="703"/>
      <c r="AG86" s="703"/>
      <c r="AH86" s="703"/>
      <c r="AI86" s="703"/>
      <c r="AJ86" s="703"/>
      <c r="AK86" s="703"/>
      <c r="AL86" s="703"/>
      <c r="AM86" s="703"/>
      <c r="AN86" s="703"/>
      <c r="AO86" s="704"/>
      <c r="AP86" s="705"/>
      <c r="AQ86" s="763" t="str">
        <f t="shared" si="4"/>
        <v/>
      </c>
      <c r="AS86" s="268"/>
      <c r="AV86" s="699"/>
      <c r="AW86" s="700">
        <v>2E-3</v>
      </c>
      <c r="AX86" s="382">
        <f t="shared" si="2"/>
        <v>0</v>
      </c>
      <c r="AY86" s="379" t="str">
        <f t="shared" ca="1" si="5"/>
        <v>BAKAFOGÓ-HONVÉD-SASHEGY SE</v>
      </c>
      <c r="AZ86" s="384">
        <f t="shared" si="3"/>
        <v>0</v>
      </c>
      <c r="BA86" s="642"/>
    </row>
    <row r="87" spans="1:53" ht="11.25" hidden="1" customHeight="1" x14ac:dyDescent="0.2">
      <c r="A87" s="867"/>
      <c r="C87" s="758"/>
      <c r="D87" s="757"/>
      <c r="E87" s="747"/>
      <c r="F87" s="703"/>
      <c r="G87" s="703"/>
      <c r="H87" s="703"/>
      <c r="I87" s="703"/>
      <c r="J87" s="703"/>
      <c r="K87" s="703"/>
      <c r="L87" s="703"/>
      <c r="M87" s="703"/>
      <c r="N87" s="703"/>
      <c r="O87" s="703"/>
      <c r="P87" s="703"/>
      <c r="Q87" s="703"/>
      <c r="R87" s="703"/>
      <c r="S87" s="703"/>
      <c r="T87" s="703"/>
      <c r="U87" s="703"/>
      <c r="V87" s="703"/>
      <c r="W87" s="703"/>
      <c r="X87" s="703"/>
      <c r="Y87" s="703"/>
      <c r="Z87" s="703"/>
      <c r="AA87" s="703"/>
      <c r="AB87" s="703"/>
      <c r="AC87" s="703"/>
      <c r="AD87" s="703"/>
      <c r="AE87" s="703"/>
      <c r="AF87" s="703"/>
      <c r="AG87" s="703"/>
      <c r="AH87" s="703"/>
      <c r="AI87" s="703"/>
      <c r="AJ87" s="703"/>
      <c r="AK87" s="703"/>
      <c r="AL87" s="703"/>
      <c r="AM87" s="703"/>
      <c r="AN87" s="703"/>
      <c r="AO87" s="704"/>
      <c r="AP87" s="705"/>
      <c r="AQ87" s="763" t="str">
        <f t="shared" si="4"/>
        <v/>
      </c>
      <c r="AS87" s="268"/>
      <c r="AV87" s="699"/>
      <c r="AW87" s="700">
        <v>2.0999999999999999E-3</v>
      </c>
      <c r="AX87" s="382">
        <f t="shared" si="2"/>
        <v>0</v>
      </c>
      <c r="AY87" s="379" t="str">
        <f t="shared" ca="1" si="5"/>
        <v>BAKAFOGÓ-HONVÉD-SASHEGY SE</v>
      </c>
      <c r="AZ87" s="384">
        <f t="shared" si="3"/>
        <v>0</v>
      </c>
      <c r="BA87" s="642"/>
    </row>
    <row r="88" spans="1:53" ht="11.25" hidden="1" customHeight="1" x14ac:dyDescent="0.2">
      <c r="A88" s="867"/>
      <c r="C88" s="758"/>
      <c r="D88" s="757"/>
      <c r="E88" s="747"/>
      <c r="F88" s="703"/>
      <c r="G88" s="703"/>
      <c r="H88" s="703"/>
      <c r="I88" s="703"/>
      <c r="J88" s="703"/>
      <c r="K88" s="703"/>
      <c r="L88" s="703"/>
      <c r="M88" s="703"/>
      <c r="N88" s="703"/>
      <c r="O88" s="703"/>
      <c r="P88" s="703"/>
      <c r="Q88" s="703"/>
      <c r="R88" s="703"/>
      <c r="S88" s="703"/>
      <c r="T88" s="703"/>
      <c r="U88" s="703"/>
      <c r="V88" s="703"/>
      <c r="W88" s="703"/>
      <c r="X88" s="703"/>
      <c r="Y88" s="703"/>
      <c r="Z88" s="703"/>
      <c r="AA88" s="703"/>
      <c r="AB88" s="703"/>
      <c r="AC88" s="703"/>
      <c r="AD88" s="703"/>
      <c r="AE88" s="703"/>
      <c r="AF88" s="703"/>
      <c r="AG88" s="703"/>
      <c r="AH88" s="703"/>
      <c r="AI88" s="703"/>
      <c r="AJ88" s="703"/>
      <c r="AK88" s="703"/>
      <c r="AL88" s="703"/>
      <c r="AM88" s="703"/>
      <c r="AN88" s="703"/>
      <c r="AO88" s="704"/>
      <c r="AP88" s="705"/>
      <c r="AQ88" s="763" t="str">
        <f t="shared" si="4"/>
        <v/>
      </c>
      <c r="AS88" s="268"/>
      <c r="AV88" s="699"/>
      <c r="AW88" s="700">
        <v>2.2000000000000001E-3</v>
      </c>
      <c r="AX88" s="382">
        <f t="shared" si="2"/>
        <v>0</v>
      </c>
      <c r="AY88" s="379" t="str">
        <f t="shared" ca="1" si="5"/>
        <v>BAKAFOGÓ-HONVÉD-SASHEGY SE</v>
      </c>
      <c r="AZ88" s="384">
        <f t="shared" si="3"/>
        <v>0</v>
      </c>
      <c r="BA88" s="642"/>
    </row>
    <row r="89" spans="1:53" ht="11.25" hidden="1" customHeight="1" x14ac:dyDescent="0.2">
      <c r="A89" s="867"/>
      <c r="C89" s="758"/>
      <c r="D89" s="757"/>
      <c r="E89" s="747"/>
      <c r="F89" s="703"/>
      <c r="G89" s="703"/>
      <c r="H89" s="703"/>
      <c r="I89" s="703"/>
      <c r="J89" s="703"/>
      <c r="K89" s="703"/>
      <c r="L89" s="703"/>
      <c r="M89" s="703"/>
      <c r="N89" s="703"/>
      <c r="O89" s="703"/>
      <c r="P89" s="703"/>
      <c r="Q89" s="703"/>
      <c r="R89" s="703"/>
      <c r="S89" s="703"/>
      <c r="T89" s="703"/>
      <c r="U89" s="703"/>
      <c r="V89" s="703"/>
      <c r="W89" s="703"/>
      <c r="X89" s="703"/>
      <c r="Y89" s="703"/>
      <c r="Z89" s="703"/>
      <c r="AA89" s="703"/>
      <c r="AB89" s="703"/>
      <c r="AC89" s="703"/>
      <c r="AD89" s="703"/>
      <c r="AE89" s="703"/>
      <c r="AF89" s="703"/>
      <c r="AG89" s="703"/>
      <c r="AH89" s="703"/>
      <c r="AI89" s="703"/>
      <c r="AJ89" s="703"/>
      <c r="AK89" s="703"/>
      <c r="AL89" s="703"/>
      <c r="AM89" s="703"/>
      <c r="AN89" s="703"/>
      <c r="AO89" s="704"/>
      <c r="AP89" s="705"/>
      <c r="AQ89" s="763" t="str">
        <f t="shared" si="4"/>
        <v/>
      </c>
      <c r="AS89" s="268"/>
      <c r="AV89" s="699"/>
      <c r="AW89" s="700">
        <v>2.3E-3</v>
      </c>
      <c r="AX89" s="382">
        <f t="shared" si="2"/>
        <v>0</v>
      </c>
      <c r="AY89" s="379" t="str">
        <f t="shared" ca="1" si="5"/>
        <v>BAKAFOGÓ-HONVÉD-SASHEGY SE</v>
      </c>
      <c r="AZ89" s="384">
        <f t="shared" si="3"/>
        <v>0</v>
      </c>
      <c r="BA89" s="642"/>
    </row>
    <row r="90" spans="1:53" ht="11.25" hidden="1" customHeight="1" x14ac:dyDescent="0.2">
      <c r="A90" s="867"/>
      <c r="C90" s="758"/>
      <c r="D90" s="757"/>
      <c r="E90" s="747"/>
      <c r="F90" s="703"/>
      <c r="G90" s="703"/>
      <c r="H90" s="703"/>
      <c r="I90" s="703"/>
      <c r="J90" s="703"/>
      <c r="K90" s="703"/>
      <c r="L90" s="703"/>
      <c r="M90" s="703"/>
      <c r="N90" s="703"/>
      <c r="O90" s="703"/>
      <c r="P90" s="703"/>
      <c r="Q90" s="703"/>
      <c r="R90" s="703"/>
      <c r="S90" s="703"/>
      <c r="T90" s="703"/>
      <c r="U90" s="703"/>
      <c r="V90" s="703"/>
      <c r="W90" s="703"/>
      <c r="X90" s="703"/>
      <c r="Y90" s="703"/>
      <c r="Z90" s="703"/>
      <c r="AA90" s="703"/>
      <c r="AB90" s="703"/>
      <c r="AC90" s="703"/>
      <c r="AD90" s="703"/>
      <c r="AE90" s="703"/>
      <c r="AF90" s="703"/>
      <c r="AG90" s="703"/>
      <c r="AH90" s="703"/>
      <c r="AI90" s="703"/>
      <c r="AJ90" s="703"/>
      <c r="AK90" s="703"/>
      <c r="AL90" s="703"/>
      <c r="AM90" s="703"/>
      <c r="AN90" s="703"/>
      <c r="AO90" s="704"/>
      <c r="AP90" s="705"/>
      <c r="AQ90" s="763" t="str">
        <f t="shared" si="4"/>
        <v/>
      </c>
      <c r="AS90" s="268"/>
      <c r="AV90" s="699"/>
      <c r="AW90" s="700">
        <v>2.3999999999999998E-3</v>
      </c>
      <c r="AX90" s="382">
        <f t="shared" si="2"/>
        <v>0</v>
      </c>
      <c r="AY90" s="379" t="str">
        <f t="shared" ca="1" si="5"/>
        <v>BAKAFOGÓ-HONVÉD-SASHEGY SE</v>
      </c>
      <c r="AZ90" s="384">
        <f t="shared" si="3"/>
        <v>0</v>
      </c>
      <c r="BA90" s="642"/>
    </row>
    <row r="91" spans="1:53" ht="11.25" hidden="1" customHeight="1" x14ac:dyDescent="0.2">
      <c r="A91" s="867"/>
      <c r="C91" s="758"/>
      <c r="D91" s="757"/>
      <c r="E91" s="747"/>
      <c r="F91" s="703"/>
      <c r="G91" s="703"/>
      <c r="H91" s="703"/>
      <c r="I91" s="703"/>
      <c r="J91" s="703"/>
      <c r="K91" s="703"/>
      <c r="L91" s="703"/>
      <c r="M91" s="703"/>
      <c r="N91" s="703"/>
      <c r="O91" s="703"/>
      <c r="P91" s="703"/>
      <c r="Q91" s="703"/>
      <c r="R91" s="703"/>
      <c r="S91" s="703"/>
      <c r="T91" s="703"/>
      <c r="U91" s="703"/>
      <c r="V91" s="703"/>
      <c r="W91" s="703"/>
      <c r="X91" s="703"/>
      <c r="Y91" s="703"/>
      <c r="Z91" s="703"/>
      <c r="AA91" s="703"/>
      <c r="AB91" s="703"/>
      <c r="AC91" s="703"/>
      <c r="AD91" s="703"/>
      <c r="AE91" s="703"/>
      <c r="AF91" s="703"/>
      <c r="AG91" s="703"/>
      <c r="AH91" s="703"/>
      <c r="AI91" s="703"/>
      <c r="AJ91" s="703"/>
      <c r="AK91" s="703"/>
      <c r="AL91" s="703"/>
      <c r="AM91" s="703"/>
      <c r="AN91" s="703"/>
      <c r="AO91" s="704"/>
      <c r="AP91" s="705"/>
      <c r="AQ91" s="763" t="str">
        <f t="shared" si="4"/>
        <v/>
      </c>
      <c r="AS91" s="268"/>
      <c r="AV91" s="699"/>
      <c r="AW91" s="700">
        <v>2.5000000000000001E-3</v>
      </c>
      <c r="AX91" s="382">
        <f t="shared" si="2"/>
        <v>0</v>
      </c>
      <c r="AY91" s="379" t="str">
        <f t="shared" ca="1" si="5"/>
        <v>BAKAFOGÓ-HONVÉD-SASHEGY SE</v>
      </c>
      <c r="AZ91" s="384">
        <f t="shared" si="3"/>
        <v>0</v>
      </c>
      <c r="BA91" s="642"/>
    </row>
    <row r="92" spans="1:53" ht="11.25" hidden="1" customHeight="1" x14ac:dyDescent="0.2">
      <c r="A92" s="867"/>
      <c r="C92" s="758"/>
      <c r="D92" s="757"/>
      <c r="E92" s="747"/>
      <c r="F92" s="703"/>
      <c r="G92" s="703"/>
      <c r="H92" s="703"/>
      <c r="I92" s="703"/>
      <c r="J92" s="703"/>
      <c r="K92" s="703"/>
      <c r="L92" s="703"/>
      <c r="M92" s="703"/>
      <c r="N92" s="703"/>
      <c r="O92" s="703"/>
      <c r="P92" s="703"/>
      <c r="Q92" s="703"/>
      <c r="R92" s="703"/>
      <c r="S92" s="703"/>
      <c r="T92" s="703"/>
      <c r="U92" s="703"/>
      <c r="V92" s="703"/>
      <c r="W92" s="703"/>
      <c r="X92" s="703"/>
      <c r="Y92" s="703"/>
      <c r="Z92" s="703"/>
      <c r="AA92" s="703"/>
      <c r="AB92" s="703"/>
      <c r="AC92" s="703"/>
      <c r="AD92" s="703"/>
      <c r="AE92" s="703"/>
      <c r="AF92" s="703"/>
      <c r="AG92" s="703"/>
      <c r="AH92" s="703"/>
      <c r="AI92" s="703"/>
      <c r="AJ92" s="703"/>
      <c r="AK92" s="703"/>
      <c r="AL92" s="703"/>
      <c r="AM92" s="703"/>
      <c r="AN92" s="703"/>
      <c r="AO92" s="704"/>
      <c r="AP92" s="705"/>
      <c r="AQ92" s="763" t="str">
        <f t="shared" si="4"/>
        <v/>
      </c>
      <c r="AS92" s="268"/>
      <c r="AV92" s="699"/>
      <c r="AW92" s="700">
        <v>2.5999999999999999E-3</v>
      </c>
      <c r="AX92" s="382">
        <f t="shared" si="2"/>
        <v>0</v>
      </c>
      <c r="AY92" s="379" t="str">
        <f t="shared" ca="1" si="5"/>
        <v>BAKAFOGÓ-HONVÉD-SASHEGY SE</v>
      </c>
      <c r="AZ92" s="384">
        <f t="shared" si="3"/>
        <v>0</v>
      </c>
      <c r="BA92" s="642"/>
    </row>
    <row r="93" spans="1:53" ht="11.25" hidden="1" customHeight="1" x14ac:dyDescent="0.2">
      <c r="A93" s="867"/>
      <c r="C93" s="758"/>
      <c r="D93" s="757"/>
      <c r="E93" s="747"/>
      <c r="F93" s="703"/>
      <c r="G93" s="703"/>
      <c r="H93" s="703"/>
      <c r="I93" s="703"/>
      <c r="J93" s="703"/>
      <c r="K93" s="703"/>
      <c r="L93" s="703"/>
      <c r="M93" s="703"/>
      <c r="N93" s="703"/>
      <c r="O93" s="703"/>
      <c r="P93" s="703"/>
      <c r="Q93" s="703"/>
      <c r="R93" s="703"/>
      <c r="S93" s="703"/>
      <c r="T93" s="703"/>
      <c r="U93" s="703"/>
      <c r="V93" s="703"/>
      <c r="W93" s="703"/>
      <c r="X93" s="703"/>
      <c r="Y93" s="703"/>
      <c r="Z93" s="703"/>
      <c r="AA93" s="703"/>
      <c r="AB93" s="703"/>
      <c r="AC93" s="703"/>
      <c r="AD93" s="703"/>
      <c r="AE93" s="703"/>
      <c r="AF93" s="703"/>
      <c r="AG93" s="703"/>
      <c r="AH93" s="703"/>
      <c r="AI93" s="703"/>
      <c r="AJ93" s="703"/>
      <c r="AK93" s="703"/>
      <c r="AL93" s="703"/>
      <c r="AM93" s="703"/>
      <c r="AN93" s="703"/>
      <c r="AO93" s="704"/>
      <c r="AP93" s="705"/>
      <c r="AQ93" s="763" t="str">
        <f t="shared" si="4"/>
        <v/>
      </c>
      <c r="AS93" s="268"/>
      <c r="AV93" s="699"/>
      <c r="AW93" s="700">
        <v>2.7000000000000001E-3</v>
      </c>
      <c r="AX93" s="382">
        <f t="shared" si="2"/>
        <v>0</v>
      </c>
      <c r="AY93" s="379" t="str">
        <f t="shared" ca="1" si="5"/>
        <v>BAKAFOGÓ-HONVÉD-SASHEGY SE</v>
      </c>
      <c r="AZ93" s="384">
        <f t="shared" si="3"/>
        <v>0</v>
      </c>
      <c r="BA93" s="642"/>
    </row>
    <row r="94" spans="1:53" ht="11.25" hidden="1" customHeight="1" x14ac:dyDescent="0.2">
      <c r="A94" s="867"/>
      <c r="C94" s="758"/>
      <c r="D94" s="757"/>
      <c r="E94" s="747"/>
      <c r="F94" s="703"/>
      <c r="G94" s="703"/>
      <c r="H94" s="703"/>
      <c r="I94" s="703"/>
      <c r="J94" s="703"/>
      <c r="K94" s="703"/>
      <c r="L94" s="703"/>
      <c r="M94" s="703"/>
      <c r="N94" s="703"/>
      <c r="O94" s="703"/>
      <c r="P94" s="703"/>
      <c r="Q94" s="703"/>
      <c r="R94" s="703"/>
      <c r="S94" s="703"/>
      <c r="T94" s="703"/>
      <c r="U94" s="703"/>
      <c r="V94" s="703"/>
      <c r="W94" s="703"/>
      <c r="X94" s="703"/>
      <c r="Y94" s="703"/>
      <c r="Z94" s="703"/>
      <c r="AA94" s="703"/>
      <c r="AB94" s="703"/>
      <c r="AC94" s="703"/>
      <c r="AD94" s="703"/>
      <c r="AE94" s="703"/>
      <c r="AF94" s="703"/>
      <c r="AG94" s="703"/>
      <c r="AH94" s="703"/>
      <c r="AI94" s="703"/>
      <c r="AJ94" s="703"/>
      <c r="AK94" s="703"/>
      <c r="AL94" s="703"/>
      <c r="AM94" s="703"/>
      <c r="AN94" s="703"/>
      <c r="AO94" s="704"/>
      <c r="AP94" s="705"/>
      <c r="AQ94" s="763" t="str">
        <f t="shared" si="4"/>
        <v/>
      </c>
      <c r="AS94" s="268"/>
      <c r="AV94" s="699"/>
      <c r="AW94" s="700">
        <v>2.8E-3</v>
      </c>
      <c r="AX94" s="382">
        <f t="shared" si="2"/>
        <v>0</v>
      </c>
      <c r="AY94" s="379" t="str">
        <f t="shared" ca="1" si="5"/>
        <v>BAKAFOGÓ-HONVÉD-SASHEGY SE</v>
      </c>
      <c r="AZ94" s="384">
        <f t="shared" si="3"/>
        <v>0</v>
      </c>
      <c r="BA94" s="642"/>
    </row>
    <row r="95" spans="1:53" ht="11.25" hidden="1" customHeight="1" x14ac:dyDescent="0.2">
      <c r="A95" s="867"/>
      <c r="C95" s="758"/>
      <c r="D95" s="757"/>
      <c r="E95" s="747"/>
      <c r="F95" s="703"/>
      <c r="G95" s="703"/>
      <c r="H95" s="703"/>
      <c r="I95" s="703"/>
      <c r="J95" s="703"/>
      <c r="K95" s="703"/>
      <c r="L95" s="703"/>
      <c r="M95" s="703"/>
      <c r="N95" s="703"/>
      <c r="O95" s="703"/>
      <c r="P95" s="703"/>
      <c r="Q95" s="703"/>
      <c r="R95" s="703"/>
      <c r="S95" s="703"/>
      <c r="T95" s="703"/>
      <c r="U95" s="703"/>
      <c r="V95" s="703"/>
      <c r="W95" s="703"/>
      <c r="X95" s="703"/>
      <c r="Y95" s="703"/>
      <c r="Z95" s="703"/>
      <c r="AA95" s="703"/>
      <c r="AB95" s="703"/>
      <c r="AC95" s="703"/>
      <c r="AD95" s="703"/>
      <c r="AE95" s="703"/>
      <c r="AF95" s="703"/>
      <c r="AG95" s="703"/>
      <c r="AH95" s="703"/>
      <c r="AI95" s="703"/>
      <c r="AJ95" s="703"/>
      <c r="AK95" s="703"/>
      <c r="AL95" s="703"/>
      <c r="AM95" s="703"/>
      <c r="AN95" s="703"/>
      <c r="AO95" s="704"/>
      <c r="AP95" s="705"/>
      <c r="AQ95" s="763" t="str">
        <f t="shared" si="4"/>
        <v/>
      </c>
      <c r="AS95" s="268"/>
      <c r="AV95" s="699"/>
      <c r="AW95" s="700">
        <v>2.8999999999999998E-3</v>
      </c>
      <c r="AX95" s="382">
        <f t="shared" si="2"/>
        <v>0</v>
      </c>
      <c r="AY95" s="379" t="str">
        <f t="shared" ca="1" si="5"/>
        <v>BAKAFOGÓ-HONVÉD-SASHEGY SE</v>
      </c>
      <c r="AZ95" s="384">
        <f t="shared" si="3"/>
        <v>0</v>
      </c>
      <c r="BA95" s="642"/>
    </row>
    <row r="96" spans="1:53" ht="12.75" customHeight="1" x14ac:dyDescent="0.2">
      <c r="A96" s="867"/>
      <c r="C96" s="759"/>
      <c r="D96" s="760"/>
      <c r="E96" s="748"/>
      <c r="F96" s="708"/>
      <c r="G96" s="708"/>
      <c r="H96" s="708"/>
      <c r="I96" s="708"/>
      <c r="J96" s="708"/>
      <c r="K96" s="708"/>
      <c r="L96" s="708"/>
      <c r="M96" s="708"/>
      <c r="N96" s="708"/>
      <c r="O96" s="708"/>
      <c r="P96" s="708"/>
      <c r="Q96" s="708"/>
      <c r="R96" s="708"/>
      <c r="S96" s="708"/>
      <c r="T96" s="708"/>
      <c r="U96" s="708"/>
      <c r="V96" s="708"/>
      <c r="W96" s="708"/>
      <c r="X96" s="708"/>
      <c r="Y96" s="708"/>
      <c r="Z96" s="708"/>
      <c r="AA96" s="708"/>
      <c r="AB96" s="708"/>
      <c r="AC96" s="708"/>
      <c r="AD96" s="708"/>
      <c r="AE96" s="708"/>
      <c r="AF96" s="708"/>
      <c r="AG96" s="708"/>
      <c r="AH96" s="708"/>
      <c r="AI96" s="708"/>
      <c r="AJ96" s="708"/>
      <c r="AK96" s="708"/>
      <c r="AL96" s="708"/>
      <c r="AM96" s="708"/>
      <c r="AN96" s="708"/>
      <c r="AO96" s="709"/>
      <c r="AP96" s="710"/>
      <c r="AQ96" s="763" t="str">
        <f t="shared" si="4"/>
        <v/>
      </c>
      <c r="AS96" s="268"/>
      <c r="AV96" s="699"/>
      <c r="AW96" s="700">
        <v>3.0000000000000001E-3</v>
      </c>
      <c r="AX96" s="382">
        <f t="shared" si="2"/>
        <v>0</v>
      </c>
      <c r="AY96" s="379" t="str">
        <f t="shared" ca="1" si="5"/>
        <v>BAKAFOGÓ-HONVÉD-SASHEGY SE</v>
      </c>
      <c r="AZ96" s="384">
        <f t="shared" si="3"/>
        <v>0</v>
      </c>
      <c r="BA96" s="642"/>
    </row>
    <row r="97" spans="1:54" ht="13.5" customHeight="1" x14ac:dyDescent="0.2">
      <c r="A97" s="867"/>
      <c r="AV97" s="699"/>
      <c r="AW97" s="700">
        <v>3.0999999999999999E-3</v>
      </c>
      <c r="AX97" s="642"/>
      <c r="AY97" s="642"/>
      <c r="BA97" s="642"/>
    </row>
    <row r="98" spans="1:54" ht="1.5" customHeight="1" x14ac:dyDescent="0.2">
      <c r="A98" s="867"/>
      <c r="AV98" s="699"/>
      <c r="AW98" s="700">
        <v>3.2000000000000002E-3</v>
      </c>
    </row>
    <row r="99" spans="1:54" s="186" customFormat="1" ht="11.25" hidden="1" customHeight="1" x14ac:dyDescent="0.2">
      <c r="A99" s="867"/>
      <c r="AS99" s="672"/>
      <c r="AU99" s="669"/>
      <c r="AV99" s="699"/>
      <c r="AW99" s="700">
        <v>3.3E-3</v>
      </c>
      <c r="AX99" s="643"/>
      <c r="AY99" s="643"/>
      <c r="AZ99" s="671"/>
      <c r="BA99" s="643"/>
      <c r="BB99" s="669"/>
    </row>
    <row r="100" spans="1:54" s="673" customFormat="1" ht="13.5" hidden="1" customHeight="1" x14ac:dyDescent="0.2">
      <c r="A100" s="867"/>
      <c r="D100" s="674"/>
      <c r="E100" s="674"/>
      <c r="F100" s="674"/>
      <c r="G100" s="674"/>
      <c r="H100" s="674"/>
      <c r="I100" s="674"/>
      <c r="J100" s="674"/>
      <c r="K100" s="674"/>
      <c r="L100" s="674"/>
      <c r="M100" s="674"/>
      <c r="N100" s="674"/>
      <c r="O100" s="674"/>
      <c r="P100" s="674"/>
      <c r="Q100" s="674"/>
      <c r="R100" s="674"/>
      <c r="S100" s="674"/>
      <c r="T100" s="674"/>
      <c r="U100" s="674"/>
      <c r="V100" s="674"/>
      <c r="W100" s="674"/>
      <c r="X100" s="674"/>
      <c r="Y100" s="674"/>
      <c r="Z100" s="674"/>
      <c r="AA100" s="674"/>
      <c r="AB100" s="674"/>
      <c r="AC100" s="674"/>
      <c r="AD100" s="674"/>
      <c r="AE100" s="674"/>
      <c r="AF100" s="674"/>
      <c r="AG100" s="674"/>
      <c r="AH100" s="674"/>
      <c r="AI100" s="674"/>
      <c r="AJ100" s="674"/>
      <c r="AK100" s="674"/>
      <c r="AL100" s="674"/>
      <c r="AM100" s="674"/>
      <c r="AN100" s="674"/>
      <c r="AO100" s="674"/>
      <c r="AP100" s="674"/>
      <c r="AS100" s="675"/>
      <c r="AU100" s="643"/>
      <c r="AV100" s="699"/>
      <c r="AW100" s="700">
        <v>3.3999999999999998E-3</v>
      </c>
      <c r="AX100" s="643"/>
      <c r="AY100" s="643"/>
      <c r="AZ100" s="671"/>
      <c r="BA100" s="643"/>
      <c r="BB100" s="643"/>
    </row>
    <row r="101" spans="1:54" s="673" customFormat="1" ht="13.5" hidden="1" customHeight="1" x14ac:dyDescent="0.2">
      <c r="A101" s="867"/>
      <c r="C101" s="324">
        <f>C51+1</f>
        <v>2</v>
      </c>
      <c r="D101" s="383"/>
      <c r="E101" s="383">
        <v>1</v>
      </c>
      <c r="F101" s="383">
        <v>2</v>
      </c>
      <c r="G101" s="383">
        <v>3</v>
      </c>
      <c r="H101" s="383">
        <v>4</v>
      </c>
      <c r="I101" s="383">
        <v>5</v>
      </c>
      <c r="J101" s="383">
        <v>6</v>
      </c>
      <c r="K101" s="383">
        <v>7</v>
      </c>
      <c r="L101" s="383">
        <v>8</v>
      </c>
      <c r="M101" s="383">
        <v>9</v>
      </c>
      <c r="N101" s="383">
        <v>10</v>
      </c>
      <c r="O101" s="383">
        <v>11</v>
      </c>
      <c r="P101" s="383">
        <v>12</v>
      </c>
      <c r="Q101" s="383">
        <v>13</v>
      </c>
      <c r="R101" s="383">
        <v>14</v>
      </c>
      <c r="S101" s="383">
        <v>15</v>
      </c>
      <c r="T101" s="383">
        <v>16</v>
      </c>
      <c r="U101" s="383">
        <v>17</v>
      </c>
      <c r="V101" s="383">
        <v>18</v>
      </c>
      <c r="W101" s="383">
        <v>19</v>
      </c>
      <c r="X101" s="383">
        <v>20</v>
      </c>
      <c r="Y101" s="383">
        <v>21</v>
      </c>
      <c r="Z101" s="751">
        <v>22</v>
      </c>
      <c r="AA101" s="383">
        <v>23</v>
      </c>
      <c r="AB101" s="383">
        <v>24</v>
      </c>
      <c r="AC101" s="383">
        <v>25</v>
      </c>
      <c r="AD101" s="383">
        <v>26</v>
      </c>
      <c r="AE101" s="383">
        <v>27</v>
      </c>
      <c r="AF101" s="383"/>
      <c r="AG101" s="383"/>
      <c r="AH101" s="383"/>
      <c r="AI101" s="383"/>
      <c r="AJ101" s="383"/>
      <c r="AK101" s="383"/>
      <c r="AL101" s="383"/>
      <c r="AM101" s="383"/>
      <c r="AN101" s="383"/>
      <c r="AO101" s="383"/>
      <c r="AP101" s="674"/>
      <c r="AS101" s="675"/>
      <c r="AU101" s="643"/>
      <c r="AV101" s="699"/>
      <c r="AW101" s="700">
        <v>3.5000000000000001E-3</v>
      </c>
      <c r="AX101" s="643"/>
      <c r="AY101" s="643"/>
      <c r="AZ101" s="671"/>
      <c r="BA101" s="643"/>
      <c r="BB101" s="643"/>
    </row>
    <row r="102" spans="1:54" s="673" customFormat="1" ht="13.5" hidden="1" customHeight="1" x14ac:dyDescent="0.2">
      <c r="A102" s="867"/>
      <c r="D102" s="383"/>
      <c r="E102" s="383"/>
      <c r="F102" s="383"/>
      <c r="G102" s="383"/>
      <c r="H102" s="383"/>
      <c r="I102" s="383"/>
      <c r="J102" s="383"/>
      <c r="K102" s="383"/>
      <c r="L102" s="383"/>
      <c r="M102" s="383"/>
      <c r="N102" s="383"/>
      <c r="O102" s="383"/>
      <c r="P102" s="383"/>
      <c r="Q102" s="383"/>
      <c r="R102" s="383"/>
      <c r="S102" s="383"/>
      <c r="T102" s="383"/>
      <c r="U102" s="383"/>
      <c r="V102" s="383"/>
      <c r="W102" s="383"/>
      <c r="X102" s="383"/>
      <c r="Y102" s="383"/>
      <c r="Z102" s="751"/>
      <c r="AA102" s="383"/>
      <c r="AB102" s="383"/>
      <c r="AC102" s="383"/>
      <c r="AD102" s="383"/>
      <c r="AE102" s="383"/>
      <c r="AF102" s="383"/>
      <c r="AG102" s="383"/>
      <c r="AH102" s="383"/>
      <c r="AI102" s="383"/>
      <c r="AJ102" s="383"/>
      <c r="AK102" s="383"/>
      <c r="AL102" s="383"/>
      <c r="AM102" s="383"/>
      <c r="AN102" s="383"/>
      <c r="AO102" s="383"/>
      <c r="AP102" s="674"/>
      <c r="AS102" s="675"/>
      <c r="AU102" s="643"/>
      <c r="AV102" s="699"/>
      <c r="AW102" s="700">
        <v>3.5999999999999999E-3</v>
      </c>
      <c r="AX102" s="643"/>
      <c r="AY102" s="643"/>
      <c r="AZ102" s="671"/>
      <c r="BA102" s="643"/>
      <c r="BB102" s="643"/>
    </row>
    <row r="103" spans="1:54" s="673" customFormat="1" ht="13.5" hidden="1" customHeight="1" x14ac:dyDescent="0.2">
      <c r="A103" s="867"/>
      <c r="D103" s="676"/>
      <c r="E103" s="676">
        <f t="shared" ref="E103:AE103" si="6">E$53</f>
        <v>1</v>
      </c>
      <c r="F103" s="676">
        <f t="shared" si="6"/>
        <v>17</v>
      </c>
      <c r="G103" s="676">
        <f t="shared" si="6"/>
        <v>33</v>
      </c>
      <c r="H103" s="676">
        <f t="shared" si="6"/>
        <v>49</v>
      </c>
      <c r="I103" s="676">
        <f t="shared" si="6"/>
        <v>65</v>
      </c>
      <c r="J103" s="676">
        <f t="shared" si="6"/>
        <v>81</v>
      </c>
      <c r="K103" s="676">
        <f t="shared" si="6"/>
        <v>97</v>
      </c>
      <c r="L103" s="676">
        <f t="shared" si="6"/>
        <v>113</v>
      </c>
      <c r="M103" s="676">
        <f t="shared" si="6"/>
        <v>129</v>
      </c>
      <c r="N103" s="676">
        <f t="shared" si="6"/>
        <v>145</v>
      </c>
      <c r="O103" s="676">
        <f t="shared" si="6"/>
        <v>161</v>
      </c>
      <c r="P103" s="676">
        <f t="shared" si="6"/>
        <v>177</v>
      </c>
      <c r="Q103" s="676">
        <f t="shared" si="6"/>
        <v>193</v>
      </c>
      <c r="R103" s="676">
        <f t="shared" si="6"/>
        <v>209</v>
      </c>
      <c r="S103" s="676">
        <f t="shared" si="6"/>
        <v>225</v>
      </c>
      <c r="T103" s="676">
        <f t="shared" si="6"/>
        <v>241</v>
      </c>
      <c r="U103" s="676">
        <f t="shared" si="6"/>
        <v>257</v>
      </c>
      <c r="V103" s="676">
        <f t="shared" si="6"/>
        <v>273</v>
      </c>
      <c r="W103" s="676">
        <f t="shared" si="6"/>
        <v>289</v>
      </c>
      <c r="X103" s="676">
        <f t="shared" si="6"/>
        <v>305</v>
      </c>
      <c r="Y103" s="676">
        <f t="shared" si="6"/>
        <v>321</v>
      </c>
      <c r="Z103" s="676">
        <f t="shared" si="6"/>
        <v>337</v>
      </c>
      <c r="AA103" s="676">
        <f t="shared" si="6"/>
        <v>1</v>
      </c>
      <c r="AB103" s="676">
        <f t="shared" si="6"/>
        <v>19</v>
      </c>
      <c r="AC103" s="676">
        <f t="shared" si="6"/>
        <v>37</v>
      </c>
      <c r="AD103" s="676">
        <f t="shared" si="6"/>
        <v>55</v>
      </c>
      <c r="AE103" s="676">
        <f t="shared" si="6"/>
        <v>73</v>
      </c>
      <c r="AF103" s="676"/>
      <c r="AG103" s="676"/>
      <c r="AH103" s="676"/>
      <c r="AI103" s="676"/>
      <c r="AJ103" s="676"/>
      <c r="AK103" s="676"/>
      <c r="AL103" s="676"/>
      <c r="AM103" s="676"/>
      <c r="AN103" s="676"/>
      <c r="AO103" s="676"/>
      <c r="AP103" s="674"/>
      <c r="AS103" s="675"/>
      <c r="AU103" s="643"/>
      <c r="AV103" s="699"/>
      <c r="AW103" s="700">
        <v>3.7000000000000002E-3</v>
      </c>
      <c r="AX103" s="643"/>
      <c r="AY103" s="643"/>
      <c r="AZ103" s="671"/>
      <c r="BA103" s="643"/>
      <c r="BB103" s="643"/>
    </row>
    <row r="104" spans="1:54" s="673" customFormat="1" ht="13.5" hidden="1" customHeight="1" x14ac:dyDescent="0.2">
      <c r="A104" s="867"/>
      <c r="D104" s="677"/>
      <c r="E104" s="749" t="b">
        <f ca="1">COUNTIF(OFFSET(ASZ!$AB$42,E103,-4,12,2),$C112)=0</f>
        <v>0</v>
      </c>
      <c r="F104" s="749" t="b">
        <f ca="1">COUNTIF(OFFSET(ASZ!$AB$42,F103,-4,12,2),$C112)=0</f>
        <v>0</v>
      </c>
      <c r="G104" s="749" t="b">
        <f ca="1">COUNTIF(OFFSET(ASZ!$AB$42,G103,-4,12,2),$C112)=0</f>
        <v>0</v>
      </c>
      <c r="H104" s="749" t="b">
        <f ca="1">COUNTIF(OFFSET(ASZ!$AB$42,H103,-4,12,2),$C112)=0</f>
        <v>0</v>
      </c>
      <c r="I104" s="749" t="b">
        <f ca="1">COUNTIF(OFFSET(ASZ!$AB$42,I103,-4,12,2),$C112)=0</f>
        <v>0</v>
      </c>
      <c r="J104" s="749" t="b">
        <f ca="1">COUNTIF(OFFSET(ASZ!$AB$42,J103,-4,12,2),$C112)=0</f>
        <v>0</v>
      </c>
      <c r="K104" s="749" t="b">
        <f ca="1">COUNTIF(OFFSET(ASZ!$AB$42,K103,-4,12,2),$C112)=0</f>
        <v>0</v>
      </c>
      <c r="L104" s="749" t="b">
        <f ca="1">COUNTIF(OFFSET(ASZ!$AB$42,L103,-4,12,2),$C112)=0</f>
        <v>0</v>
      </c>
      <c r="M104" s="749" t="b">
        <f ca="1">COUNTIF(OFFSET(ASZ!$AB$42,M103,-4,12,2),$C112)=0</f>
        <v>0</v>
      </c>
      <c r="N104" s="749" t="b">
        <f ca="1">COUNTIF(OFFSET(ASZ!$AB$42,N103,-4,12,2),$C112)=0</f>
        <v>0</v>
      </c>
      <c r="O104" s="749" t="b">
        <f ca="1">COUNTIF(OFFSET(ASZ!$AB$42,O103,-4,12,2),$C112)=0</f>
        <v>0</v>
      </c>
      <c r="P104" s="749" t="b">
        <f ca="1">COUNTIF(OFFSET(ASZ!$AB$42,P103,-4,12,2),$C112)=0</f>
        <v>0</v>
      </c>
      <c r="Q104" s="749" t="b">
        <f ca="1">COUNTIF(OFFSET(ASZ!$AB$42,Q103,-4,12,2),$C112)=0</f>
        <v>0</v>
      </c>
      <c r="R104" s="749" t="b">
        <f ca="1">COUNTIF(OFFSET(ASZ!$AB$42,R103,-4,12,2),$C112)=0</f>
        <v>0</v>
      </c>
      <c r="S104" s="749" t="b">
        <f ca="1">COUNTIF(OFFSET(ASZ!$AB$42,S103,-4,12,2),$C112)=0</f>
        <v>0</v>
      </c>
      <c r="T104" s="749" t="b">
        <f ca="1">COUNTIF(OFFSET(ASZ!$AB$42,T103,-4,12,2),$C112)=0</f>
        <v>0</v>
      </c>
      <c r="U104" s="749" t="b">
        <f ca="1">COUNTIF(OFFSET(ASZ!$AB$42,U103,-4,12,2),$C112)=0</f>
        <v>0</v>
      </c>
      <c r="V104" s="749" t="b">
        <f ca="1">COUNTIF(OFFSET(ASZ!$AB$42,V103,-4,12,2),$C112)=0</f>
        <v>0</v>
      </c>
      <c r="W104" s="749" t="b">
        <f ca="1">COUNTIF(OFFSET(ASZ!$AB$42,W103,-4,12,2),$C112)=0</f>
        <v>0</v>
      </c>
      <c r="X104" s="749" t="b">
        <f ca="1">COUNTIF(OFFSET(ASZ!$AB$42,X103,-4,12,2),$C112)=0</f>
        <v>0</v>
      </c>
      <c r="Y104" s="749" t="b">
        <f ca="1">COUNTIF(OFFSET(ASZ!$AB$42,Y103,-4,12,2),$C112)=0</f>
        <v>0</v>
      </c>
      <c r="Z104" s="753" t="b">
        <f ca="1">COUNTIF(OFFSET(ASZ!$AB$42,Z103,-4,12,2),$C112)=0</f>
        <v>0</v>
      </c>
      <c r="AA104" s="749" t="b">
        <f ca="1">COUNTIF(OFFSET(RCSOP!$AF$56,AA103,-4,14,2),$C112)=0</f>
        <v>0</v>
      </c>
      <c r="AB104" s="749" t="b">
        <f ca="1">COUNTIF(OFFSET(RCSOP!$AF$56,AB103,-4,14,2),$C112)=0</f>
        <v>0</v>
      </c>
      <c r="AC104" s="749" t="b">
        <f ca="1">COUNTIF(OFFSET(RCSOP!$AF$56,AC103,-4,14,2),$C112)=0</f>
        <v>0</v>
      </c>
      <c r="AD104" s="749" t="b">
        <f ca="1">COUNTIF(OFFSET(RCSOP!$AF$56,AD103,-4,14,2),$C112)=0</f>
        <v>0</v>
      </c>
      <c r="AE104" s="749" t="b">
        <f ca="1">COUNTIF(OFFSET(RCSOP!$AF$56,AE103,-4,14,2),$C112)=0</f>
        <v>0</v>
      </c>
      <c r="AF104" s="677"/>
      <c r="AG104" s="677"/>
      <c r="AH104" s="677"/>
      <c r="AI104" s="677"/>
      <c r="AJ104" s="677"/>
      <c r="AK104" s="677"/>
      <c r="AL104" s="677"/>
      <c r="AM104" s="677"/>
      <c r="AN104" s="677"/>
      <c r="AO104" s="677"/>
      <c r="AP104" s="674"/>
      <c r="AS104" s="675"/>
      <c r="AU104" s="643"/>
      <c r="AV104" s="699"/>
      <c r="AW104" s="700">
        <v>3.8E-3</v>
      </c>
      <c r="AY104" s="643"/>
      <c r="AZ104" s="671"/>
      <c r="BA104" s="643"/>
      <c r="BB104" s="643"/>
    </row>
    <row r="105" spans="1:54" s="673" customFormat="1" ht="13.5" hidden="1" customHeight="1" x14ac:dyDescent="0.2">
      <c r="A105" s="867"/>
      <c r="D105" s="677"/>
      <c r="E105" s="749" t="b">
        <f ca="1">COUNTIF(OFFSET(ASZ!$AB$42,E103,-4,12,1),$C112)=1</f>
        <v>1</v>
      </c>
      <c r="F105" s="749" t="b">
        <f ca="1">COUNTIF(OFFSET(ASZ!$AB$42,F103,-4,12,1),$C112)=1</f>
        <v>1</v>
      </c>
      <c r="G105" s="749" t="b">
        <f ca="1">COUNTIF(OFFSET(ASZ!$AB$42,G103,-4,12,1),$C112)=1</f>
        <v>0</v>
      </c>
      <c r="H105" s="749" t="b">
        <f ca="1">COUNTIF(OFFSET(ASZ!$AB$42,H103,-4,12,1),$C112)=1</f>
        <v>1</v>
      </c>
      <c r="I105" s="749" t="b">
        <f ca="1">COUNTIF(OFFSET(ASZ!$AB$42,I103,-4,12,1),$C112)=1</f>
        <v>0</v>
      </c>
      <c r="J105" s="749" t="b">
        <f ca="1">COUNTIF(OFFSET(ASZ!$AB$42,J103,-4,12,1),$C112)=1</f>
        <v>1</v>
      </c>
      <c r="K105" s="749" t="b">
        <f ca="1">COUNTIF(OFFSET(ASZ!$AB$42,K103,-4,12,1),$C112)=1</f>
        <v>0</v>
      </c>
      <c r="L105" s="749" t="b">
        <f ca="1">COUNTIF(OFFSET(ASZ!$AB$42,L103,-4,12,1),$C112)=1</f>
        <v>1</v>
      </c>
      <c r="M105" s="749" t="b">
        <f ca="1">COUNTIF(OFFSET(ASZ!$AB$42,M103,-4,12,1),$C112)=1</f>
        <v>0</v>
      </c>
      <c r="N105" s="749" t="b">
        <f ca="1">COUNTIF(OFFSET(ASZ!$AB$42,N103,-4,12,1),$C112)=1</f>
        <v>1</v>
      </c>
      <c r="O105" s="749" t="b">
        <f ca="1">COUNTIF(OFFSET(ASZ!$AB$42,O103,-4,12,1),$C112)=1</f>
        <v>0</v>
      </c>
      <c r="P105" s="749" t="b">
        <f ca="1">COUNTIF(OFFSET(ASZ!$AB$42,P103,-4,12,1),$C112)=1</f>
        <v>0</v>
      </c>
      <c r="Q105" s="749" t="b">
        <f ca="1">COUNTIF(OFFSET(ASZ!$AB$42,Q103,-4,12,1),$C112)=1</f>
        <v>0</v>
      </c>
      <c r="R105" s="749" t="b">
        <f ca="1">COUNTIF(OFFSET(ASZ!$AB$42,R103,-4,12,1),$C112)=1</f>
        <v>1</v>
      </c>
      <c r="S105" s="749" t="b">
        <f ca="1">COUNTIF(OFFSET(ASZ!$AB$42,S103,-4,12,1),$C112)=1</f>
        <v>1</v>
      </c>
      <c r="T105" s="749" t="b">
        <f ca="1">COUNTIF(OFFSET(ASZ!$AB$42,T103,-4,12,1),$C112)=1</f>
        <v>1</v>
      </c>
      <c r="U105" s="749" t="b">
        <f ca="1">COUNTIF(OFFSET(ASZ!$AB$42,U103,-4,12,1),$C112)=1</f>
        <v>0</v>
      </c>
      <c r="V105" s="749" t="b">
        <f ca="1">COUNTIF(OFFSET(ASZ!$AB$42,V103,-4,12,1),$C112)=1</f>
        <v>1</v>
      </c>
      <c r="W105" s="749" t="b">
        <f ca="1">COUNTIF(OFFSET(ASZ!$AB$42,W103,-4,12,1),$C112)=1</f>
        <v>0</v>
      </c>
      <c r="X105" s="749" t="b">
        <f ca="1">COUNTIF(OFFSET(ASZ!$AB$42,X103,-4,12,1),$C112)=1</f>
        <v>1</v>
      </c>
      <c r="Y105" s="749" t="b">
        <f ca="1">COUNTIF(OFFSET(ASZ!$AB$42,Y103,-4,12,1),$C112)=1</f>
        <v>0</v>
      </c>
      <c r="Z105" s="753" t="b">
        <f ca="1">COUNTIF(OFFSET(ASZ!$AB$42,Z103,-4,12,1),$C112)=1</f>
        <v>1</v>
      </c>
      <c r="AA105" s="749" t="b">
        <f ca="1">COUNTIF(OFFSET(RCSOP!$AF$56,AA103,-4,14,1),$C112)=1</f>
        <v>1</v>
      </c>
      <c r="AB105" s="749" t="b">
        <f ca="1">COUNTIF(OFFSET(RCSOP!$AF$56,AB103,-4,14,1),$C112)=1</f>
        <v>1</v>
      </c>
      <c r="AC105" s="749" t="b">
        <f ca="1">COUNTIF(OFFSET(RCSOP!$AF$56,AC103,-4,14,1),$C112)=1</f>
        <v>1</v>
      </c>
      <c r="AD105" s="749" t="b">
        <f ca="1">COUNTIF(OFFSET(RCSOP!$AF$56,AD103,-4,14,1),$C112)=1</f>
        <v>1</v>
      </c>
      <c r="AE105" s="749" t="b">
        <f ca="1">COUNTIF(OFFSET(RCSOP!$AF$56,AE103,-4,14,1),$C112)=1</f>
        <v>1</v>
      </c>
      <c r="AF105" s="677"/>
      <c r="AG105" s="677"/>
      <c r="AH105" s="677"/>
      <c r="AI105" s="677"/>
      <c r="AJ105" s="677"/>
      <c r="AK105" s="677"/>
      <c r="AL105" s="677"/>
      <c r="AM105" s="677"/>
      <c r="AN105" s="677"/>
      <c r="AO105" s="677"/>
      <c r="AP105" s="674"/>
      <c r="AS105" s="675"/>
      <c r="AU105" s="643"/>
      <c r="AV105" s="699"/>
      <c r="AW105" s="700">
        <v>3.8999999999999998E-3</v>
      </c>
      <c r="AX105" s="643"/>
      <c r="AY105" s="643"/>
      <c r="AZ105" s="671"/>
      <c r="BA105" s="643"/>
      <c r="BB105" s="643"/>
    </row>
    <row r="106" spans="1:54" s="673" customFormat="1" ht="13.5" hidden="1" customHeight="1" x14ac:dyDescent="0.2">
      <c r="A106" s="867"/>
      <c r="D106" s="674"/>
      <c r="E106" s="674"/>
      <c r="F106" s="674"/>
      <c r="G106" s="674"/>
      <c r="H106" s="674"/>
      <c r="I106" s="674"/>
      <c r="J106" s="674"/>
      <c r="K106" s="674"/>
      <c r="L106" s="674"/>
      <c r="M106" s="674"/>
      <c r="N106" s="674"/>
      <c r="O106" s="674"/>
      <c r="P106" s="674"/>
      <c r="Q106" s="674"/>
      <c r="R106" s="674"/>
      <c r="S106" s="674"/>
      <c r="T106" s="674"/>
      <c r="U106" s="674"/>
      <c r="V106" s="674"/>
      <c r="W106" s="674"/>
      <c r="X106" s="674"/>
      <c r="Y106" s="674"/>
      <c r="Z106" s="674"/>
      <c r="AA106" s="674"/>
      <c r="AB106" s="674"/>
      <c r="AC106" s="674"/>
      <c r="AD106" s="674"/>
      <c r="AE106" s="674"/>
      <c r="AF106" s="674"/>
      <c r="AG106" s="674"/>
      <c r="AH106" s="674"/>
      <c r="AI106" s="674"/>
      <c r="AJ106" s="674"/>
      <c r="AK106" s="674"/>
      <c r="AL106" s="674"/>
      <c r="AM106" s="674"/>
      <c r="AN106" s="674"/>
      <c r="AO106" s="674"/>
      <c r="AP106" s="674"/>
      <c r="AS106" s="675"/>
      <c r="AU106" s="643"/>
      <c r="AV106" s="699"/>
      <c r="AW106" s="700">
        <v>4.0000000000000001E-3</v>
      </c>
      <c r="AX106" s="643"/>
      <c r="AY106" s="643"/>
      <c r="AZ106" s="671"/>
      <c r="BA106" s="643"/>
      <c r="BB106" s="643"/>
    </row>
    <row r="107" spans="1:54" s="673" customFormat="1" ht="13.5" hidden="1" customHeight="1" x14ac:dyDescent="0.2">
      <c r="A107" s="867"/>
      <c r="D107" s="674"/>
      <c r="E107" s="674"/>
      <c r="F107" s="674"/>
      <c r="G107" s="674"/>
      <c r="H107" s="674"/>
      <c r="I107" s="674"/>
      <c r="J107" s="674"/>
      <c r="K107" s="674"/>
      <c r="L107" s="674"/>
      <c r="M107" s="674"/>
      <c r="N107" s="674"/>
      <c r="O107" s="674"/>
      <c r="P107" s="674"/>
      <c r="Q107" s="674"/>
      <c r="R107" s="674"/>
      <c r="S107" s="674"/>
      <c r="T107" s="674"/>
      <c r="U107" s="674"/>
      <c r="V107" s="674"/>
      <c r="W107" s="674"/>
      <c r="X107" s="674"/>
      <c r="Y107" s="674"/>
      <c r="Z107" s="674"/>
      <c r="AA107" s="674"/>
      <c r="AB107" s="674"/>
      <c r="AC107" s="674"/>
      <c r="AD107" s="674"/>
      <c r="AE107" s="674"/>
      <c r="AF107" s="674"/>
      <c r="AG107" s="674"/>
      <c r="AH107" s="674"/>
      <c r="AI107" s="674"/>
      <c r="AJ107" s="674"/>
      <c r="AK107" s="674"/>
      <c r="AL107" s="674"/>
      <c r="AM107" s="674"/>
      <c r="AN107" s="674"/>
      <c r="AO107" s="674"/>
      <c r="AP107" s="674"/>
      <c r="AS107" s="675"/>
      <c r="AU107" s="643"/>
      <c r="AV107" s="699"/>
      <c r="AW107" s="700">
        <v>4.1000000000000003E-3</v>
      </c>
      <c r="AX107" s="643"/>
      <c r="AY107" s="643"/>
      <c r="AZ107" s="671"/>
      <c r="BA107" s="643"/>
      <c r="BB107" s="643"/>
    </row>
    <row r="108" spans="1:54" s="673" customFormat="1" ht="13.5" hidden="1" customHeight="1" x14ac:dyDescent="0.2">
      <c r="A108" s="867"/>
      <c r="D108" s="674"/>
      <c r="E108" s="674"/>
      <c r="F108" s="674"/>
      <c r="G108" s="674"/>
      <c r="H108" s="674"/>
      <c r="I108" s="674"/>
      <c r="J108" s="674"/>
      <c r="K108" s="674"/>
      <c r="L108" s="674"/>
      <c r="M108" s="674"/>
      <c r="N108" s="674"/>
      <c r="O108" s="674"/>
      <c r="P108" s="674"/>
      <c r="Q108" s="674"/>
      <c r="R108" s="674"/>
      <c r="S108" s="674"/>
      <c r="T108" s="674"/>
      <c r="U108" s="674"/>
      <c r="V108" s="674"/>
      <c r="W108" s="674"/>
      <c r="X108" s="674"/>
      <c r="Y108" s="674"/>
      <c r="Z108" s="674"/>
      <c r="AA108" s="674"/>
      <c r="AB108" s="674"/>
      <c r="AC108" s="674"/>
      <c r="AD108" s="674"/>
      <c r="AE108" s="674"/>
      <c r="AF108" s="674"/>
      <c r="AG108" s="674"/>
      <c r="AH108" s="674"/>
      <c r="AI108" s="674"/>
      <c r="AJ108" s="674"/>
      <c r="AK108" s="674"/>
      <c r="AL108" s="674"/>
      <c r="AM108" s="674"/>
      <c r="AN108" s="674"/>
      <c r="AO108" s="674"/>
      <c r="AP108" s="674"/>
      <c r="AS108" s="675"/>
      <c r="AU108" s="643"/>
      <c r="AV108" s="699"/>
      <c r="AW108" s="700">
        <v>4.1999999999999997E-3</v>
      </c>
      <c r="AX108" s="643"/>
      <c r="AY108" s="643"/>
      <c r="AZ108" s="671"/>
      <c r="BA108" s="643"/>
      <c r="BB108" s="643"/>
    </row>
    <row r="109" spans="1:54" s="673" customFormat="1" ht="13.5" hidden="1" customHeight="1" x14ac:dyDescent="0.2">
      <c r="A109" s="867"/>
      <c r="D109" s="674"/>
      <c r="E109" s="674"/>
      <c r="F109" s="674"/>
      <c r="G109" s="674"/>
      <c r="H109" s="674"/>
      <c r="I109" s="674"/>
      <c r="J109" s="674"/>
      <c r="K109" s="674"/>
      <c r="L109" s="674"/>
      <c r="M109" s="674"/>
      <c r="N109" s="674"/>
      <c r="O109" s="674"/>
      <c r="P109" s="674"/>
      <c r="Q109" s="674"/>
      <c r="R109" s="674"/>
      <c r="S109" s="674"/>
      <c r="T109" s="674"/>
      <c r="U109" s="674"/>
      <c r="V109" s="674"/>
      <c r="W109" s="674"/>
      <c r="X109" s="674"/>
      <c r="Y109" s="674"/>
      <c r="Z109" s="674"/>
      <c r="AA109" s="674"/>
      <c r="AB109" s="674"/>
      <c r="AC109" s="674"/>
      <c r="AD109" s="674"/>
      <c r="AE109" s="674"/>
      <c r="AF109" s="674"/>
      <c r="AG109" s="674"/>
      <c r="AH109" s="674"/>
      <c r="AI109" s="674"/>
      <c r="AJ109" s="674"/>
      <c r="AK109" s="674"/>
      <c r="AL109" s="674"/>
      <c r="AM109" s="674"/>
      <c r="AN109" s="674"/>
      <c r="AO109" s="674"/>
      <c r="AP109" s="674"/>
      <c r="AS109" s="675"/>
      <c r="AU109" s="643"/>
      <c r="AV109" s="699"/>
      <c r="AW109" s="700">
        <v>4.3E-3</v>
      </c>
      <c r="AX109" s="643"/>
      <c r="AY109" s="643"/>
      <c r="AZ109" s="671"/>
      <c r="BA109" s="643"/>
      <c r="BB109" s="643"/>
    </row>
    <row r="110" spans="1:54" s="673" customFormat="1" ht="13.5" hidden="1" customHeight="1" x14ac:dyDescent="0.2">
      <c r="A110" s="867"/>
      <c r="D110" s="674"/>
      <c r="E110" s="674"/>
      <c r="F110" s="674"/>
      <c r="G110" s="674"/>
      <c r="H110" s="674"/>
      <c r="I110" s="674"/>
      <c r="J110" s="674"/>
      <c r="K110" s="674"/>
      <c r="L110" s="674"/>
      <c r="M110" s="674"/>
      <c r="N110" s="674"/>
      <c r="O110" s="674"/>
      <c r="P110" s="674"/>
      <c r="Q110" s="674"/>
      <c r="R110" s="674"/>
      <c r="S110" s="674"/>
      <c r="T110" s="674"/>
      <c r="U110" s="674"/>
      <c r="V110" s="674"/>
      <c r="W110" s="674"/>
      <c r="X110" s="674"/>
      <c r="Y110" s="674"/>
      <c r="Z110" s="674"/>
      <c r="AA110" s="674"/>
      <c r="AB110" s="674"/>
      <c r="AC110" s="674"/>
      <c r="AD110" s="674"/>
      <c r="AE110" s="674"/>
      <c r="AF110" s="674"/>
      <c r="AG110" s="674"/>
      <c r="AH110" s="674"/>
      <c r="AI110" s="674"/>
      <c r="AJ110" s="674"/>
      <c r="AK110" s="674"/>
      <c r="AL110" s="674"/>
      <c r="AM110" s="674"/>
      <c r="AN110" s="674"/>
      <c r="AO110" s="674"/>
      <c r="AP110" s="674"/>
      <c r="AS110" s="675"/>
      <c r="AU110" s="643"/>
      <c r="AV110" s="699"/>
      <c r="AW110" s="700">
        <v>4.4000000000000003E-3</v>
      </c>
      <c r="AX110" s="643"/>
      <c r="AY110" s="643"/>
      <c r="AZ110" s="671"/>
      <c r="BA110" s="643"/>
      <c r="BB110" s="643"/>
    </row>
    <row r="111" spans="1:54" s="186" customFormat="1" ht="11.25" hidden="1" customHeight="1" x14ac:dyDescent="0.2">
      <c r="A111" s="867"/>
      <c r="D111" s="678"/>
      <c r="E111" s="678"/>
      <c r="F111" s="678"/>
      <c r="G111" s="678"/>
      <c r="H111" s="678"/>
      <c r="I111" s="678"/>
      <c r="J111" s="678"/>
      <c r="K111" s="678"/>
      <c r="L111" s="678"/>
      <c r="M111" s="678"/>
      <c r="N111" s="678"/>
      <c r="O111" s="678"/>
      <c r="P111" s="678"/>
      <c r="Q111" s="678"/>
      <c r="R111" s="678"/>
      <c r="S111" s="678"/>
      <c r="T111" s="678"/>
      <c r="U111" s="678"/>
      <c r="V111" s="678"/>
      <c r="W111" s="678"/>
      <c r="X111" s="678"/>
      <c r="Y111" s="678"/>
      <c r="Z111" s="678"/>
      <c r="AA111" s="678"/>
      <c r="AB111" s="678"/>
      <c r="AC111" s="678"/>
      <c r="AD111" s="678"/>
      <c r="AE111" s="678"/>
      <c r="AF111" s="678"/>
      <c r="AG111" s="678"/>
      <c r="AH111" s="678"/>
      <c r="AI111" s="678"/>
      <c r="AJ111" s="678"/>
      <c r="AK111" s="678"/>
      <c r="AL111" s="678"/>
      <c r="AM111" s="678"/>
      <c r="AN111" s="678"/>
      <c r="AO111" s="678"/>
      <c r="AP111" s="678"/>
      <c r="AS111" s="672"/>
      <c r="AU111" s="669"/>
      <c r="AV111" s="699"/>
      <c r="AW111" s="700">
        <v>4.4999999999999997E-3</v>
      </c>
      <c r="AX111" s="643"/>
      <c r="AY111" s="643"/>
      <c r="AZ111" s="671"/>
      <c r="BA111" s="643"/>
      <c r="BB111" s="669"/>
    </row>
    <row r="112" spans="1:54" ht="30" customHeight="1" x14ac:dyDescent="0.2">
      <c r="A112" s="867"/>
      <c r="C112" s="679" t="str">
        <f ca="1">UPPER(INDEX(teams.a,C101,1))</f>
        <v>BBK</v>
      </c>
      <c r="D112" s="743"/>
      <c r="E112" s="743">
        <f ca="1">IF(E104,"",VLOOKUP($C112,OFFSET(ASZ!$AB$42,E103,IF(E105,-4,-3),12,12),IF(E105,12,11),FALSE))</f>
        <v>42088</v>
      </c>
      <c r="F112" s="743">
        <f ca="1">IF(F104,"",VLOOKUP($C112,OFFSET(ASZ!$AB$42,F103,IF(F105,-4,-3),12,12),IF(F105,12,11),FALSE))</f>
        <v>42095</v>
      </c>
      <c r="G112" s="743">
        <f ca="1">IF(G104,"",VLOOKUP($C112,OFFSET(ASZ!$AB$42,G103,IF(G105,-4,-3),12,12),IF(G105,12,11),FALSE))</f>
        <v>42102</v>
      </c>
      <c r="H112" s="743">
        <f ca="1">IF(H104,"",VLOOKUP($C112,OFFSET(ASZ!$AB$42,H103,IF(H105,-4,-3),12,12),IF(H105,12,11),FALSE))</f>
        <v>42109</v>
      </c>
      <c r="I112" s="743">
        <f ca="1">IF(I104,"",VLOOKUP($C112,OFFSET(ASZ!$AB$42,I103,IF(I105,-4,-3),12,12),IF(I105,12,11),FALSE))</f>
        <v>42116</v>
      </c>
      <c r="J112" s="743">
        <f ca="1">IF(J104,"",VLOOKUP($C112,OFFSET(ASZ!$AB$42,J103,IF(J105,-4,-3),12,12),IF(J105,12,11),FALSE))</f>
        <v>42123</v>
      </c>
      <c r="K112" s="743">
        <f ca="1">IF(K104,"",VLOOKUP($C112,OFFSET(ASZ!$AB$42,K103,IF(K105,-4,-3),12,12),IF(K105,12,11),FALSE))</f>
        <v>42130</v>
      </c>
      <c r="L112" s="743">
        <f ca="1">IF(L104,"",VLOOKUP($C112,OFFSET(ASZ!$AB$42,L103,IF(L105,-4,-3),12,12),IF(L105,12,11),FALSE))</f>
        <v>42137</v>
      </c>
      <c r="M112" s="743">
        <f ca="1">IF(M104,"",VLOOKUP($C112,OFFSET(ASZ!$AB$42,M103,IF(M105,-4,-3),12,12),IF(M105,12,11),FALSE))</f>
        <v>42144</v>
      </c>
      <c r="N112" s="743">
        <f ca="1">IF(N104,"",VLOOKUP($C112,OFFSET(ASZ!$AB$42,N103,IF(N105,-4,-3),12,12),IF(N105,12,11),FALSE))</f>
        <v>42151</v>
      </c>
      <c r="O112" s="743">
        <f ca="1">IF(O104,"",VLOOKUP($C112,OFFSET(ASZ!$AB$42,O103,IF(O105,-4,-3),12,12),IF(O105,12,11),FALSE))</f>
        <v>42158</v>
      </c>
      <c r="P112" s="743">
        <f ca="1">IF(P104,"",VLOOKUP($C112,OFFSET(ASZ!$AB$42,P103,IF(P105,-4,-3),12,12),IF(P105,12,11),FALSE))</f>
        <v>42165</v>
      </c>
      <c r="Q112" s="743">
        <f ca="1">IF(Q104,"",VLOOKUP($C112,OFFSET(ASZ!$AB$42,Q103,IF(Q105,-4,-3),12,12),IF(Q105,12,11),FALSE))</f>
        <v>42242</v>
      </c>
      <c r="R112" s="743">
        <f ca="1">IF(R104,"",VLOOKUP($C112,OFFSET(ASZ!$AB$42,R103,IF(R105,-4,-3),12,12),IF(R105,12,11),FALSE))</f>
        <v>42179</v>
      </c>
      <c r="S112" s="743">
        <f ca="1">IF(S104,"",VLOOKUP($C112,OFFSET(ASZ!$AB$42,S103,IF(S105,-4,-3),12,12),IF(S105,12,11),FALSE))</f>
        <v>42242</v>
      </c>
      <c r="T112" s="743">
        <f ca="1">IF(T104,"",VLOOKUP($C112,OFFSET(ASZ!$AB$42,T103,IF(T105,-4,-3),12,12),IF(T105,12,11),FALSE))</f>
        <v>42249</v>
      </c>
      <c r="U112" s="743">
        <f ca="1">IF(U104,"",VLOOKUP($C112,OFFSET(ASZ!$AB$42,U103,IF(U105,-4,-3),12,12),IF(U105,12,11),FALSE))</f>
        <v>42256</v>
      </c>
      <c r="V112" s="743">
        <f ca="1">IF(V104,"",VLOOKUP($C112,OFFSET(ASZ!$AB$42,V103,IF(V105,-4,-3),12,12),IF(V105,12,11),FALSE))</f>
        <v>42263</v>
      </c>
      <c r="W112" s="743">
        <f ca="1">IF(W104,"",VLOOKUP($C112,OFFSET(ASZ!$AB$42,W103,IF(W105,-4,-3),12,12),IF(W105,12,11),FALSE))</f>
        <v>42270</v>
      </c>
      <c r="X112" s="743">
        <f ca="1">IF(X104,"",VLOOKUP($C112,OFFSET(ASZ!$AB$42,X103,IF(X105,-4,-3),12,12),IF(X105,12,11),FALSE))</f>
        <v>42277</v>
      </c>
      <c r="Y112" s="743">
        <f ca="1">IF(Y104,"",VLOOKUP($C112,OFFSET(ASZ!$AB$42,Y103,IF(Y105,-4,-3),12,12),IF(Y105,12,11),FALSE))</f>
        <v>42284</v>
      </c>
      <c r="Z112" s="743">
        <f ca="1">IF(Z104,"",VLOOKUP($C112,OFFSET(ASZ!$AB$42,Z103,IF(Z105,-4,-3),12,12),IF(Z105,12,11),FALSE))</f>
        <v>42291</v>
      </c>
      <c r="AA112" s="743">
        <f ca="1">IF(AA104,"",VLOOKUP($C112,OFFSET(RCSOP!$AF$56,AA103,IF(AA105,-4,-3),14,12),IF(AA105,12,11),FALSE))</f>
        <v>42298</v>
      </c>
      <c r="AB112" s="743">
        <f ca="1">IF(AB104,"",VLOOKUP($C112,OFFSET(RCSOP!$AF$56,AB103,IF(AB105,-4,-3),14,12),IF(AB105,12,11),FALSE))</f>
        <v>42305</v>
      </c>
      <c r="AC112" s="743">
        <f ca="1">IF(AC104,"",VLOOKUP($C112,OFFSET(RCSOP!$AF$56,AC103,IF(AC105,-4,-3),14,12),IF(AC105,12,11),FALSE))</f>
        <v>42312</v>
      </c>
      <c r="AD112" s="743">
        <f ca="1">IF(AD104,"",VLOOKUP($C112,OFFSET(RCSOP!$AF$56,AD103,IF(AD105,-4,-3),14,12),IF(AD105,12,11),FALSE))</f>
        <v>42319</v>
      </c>
      <c r="AE112" s="743">
        <f ca="1">IF(AE104,"",VLOOKUP($C112,OFFSET(RCSOP!$AF$56,AE103,IF(AE105,-4,-3),14,12),IF(AE105,12,11),FALSE))</f>
        <v>42326</v>
      </c>
      <c r="AF112" s="743"/>
      <c r="AG112" s="743"/>
      <c r="AH112" s="743"/>
      <c r="AI112" s="743"/>
      <c r="AJ112" s="743"/>
      <c r="AK112" s="743"/>
      <c r="AL112" s="743"/>
      <c r="AM112" s="743"/>
      <c r="AN112" s="743"/>
      <c r="AO112" s="743"/>
      <c r="AP112" s="869" t="s">
        <v>518</v>
      </c>
      <c r="AV112" s="699"/>
      <c r="AW112" s="700">
        <v>4.5999999999999999E-3</v>
      </c>
    </row>
    <row r="113" spans="1:53" ht="12.75" customHeight="1" x14ac:dyDescent="0.2">
      <c r="A113" s="867"/>
      <c r="C113" s="224"/>
      <c r="D113" s="224" t="s">
        <v>519</v>
      </c>
      <c r="E113" s="692">
        <f ca="1">IF(E104,"",VLOOKUP($C112,OFFSET(ASZ!$AB$42,E103,IF(E105,-4,-3),12,3),3,FALSE))</f>
        <v>2</v>
      </c>
      <c r="F113" s="692">
        <f ca="1">IF(F104,"",VLOOKUP($C112,OFFSET(ASZ!$AB$42,F103,IF(F105,-4,-3),12,3),3,FALSE))</f>
        <v>3</v>
      </c>
      <c r="G113" s="692">
        <f ca="1">IF(G104,"",VLOOKUP($C112,OFFSET(ASZ!$AB$42,G103,IF(G105,-4,-3),12,3),3,FALSE))</f>
        <v>3</v>
      </c>
      <c r="H113" s="692" t="str">
        <f ca="1">IF(H104,"",VLOOKUP($C112,OFFSET(ASZ!$AB$42,H103,IF(H105,-4,-3),12,3),3,FALSE))</f>
        <v/>
      </c>
      <c r="I113" s="692">
        <f ca="1">IF(I104,"",VLOOKUP($C112,OFFSET(ASZ!$AB$42,I103,IF(I105,-4,-3),12,3),3,FALSE))</f>
        <v>7</v>
      </c>
      <c r="J113" s="692">
        <f ca="1">IF(J104,"",VLOOKUP($C112,OFFSET(ASZ!$AB$42,J103,IF(J105,-4,-3),12,3),3,FALSE))</f>
        <v>12</v>
      </c>
      <c r="K113" s="692">
        <f ca="1">IF(K104,"",VLOOKUP($C112,OFFSET(ASZ!$AB$42,K103,IF(K105,-4,-3),12,3),3,FALSE))</f>
        <v>4</v>
      </c>
      <c r="L113" s="692">
        <f ca="1">IF(L104,"",VLOOKUP($C112,OFFSET(ASZ!$AB$42,L103,IF(L105,-4,-3),12,3),3,FALSE))</f>
        <v>3</v>
      </c>
      <c r="M113" s="692">
        <f ca="1">IF(M104,"",VLOOKUP($C112,OFFSET(ASZ!$AB$42,M103,IF(M105,-4,-3),12,3),3,FALSE))</f>
        <v>6</v>
      </c>
      <c r="N113" s="692">
        <f ca="1">IF(N104,"",VLOOKUP($C112,OFFSET(ASZ!$AB$42,N103,IF(N105,-4,-3),12,3),3,FALSE))</f>
        <v>3</v>
      </c>
      <c r="O113" s="692">
        <f ca="1">IF(O104,"",VLOOKUP($C112,OFFSET(ASZ!$AB$42,O103,IF(O105,-4,-3),12,3),3,FALSE))</f>
        <v>8</v>
      </c>
      <c r="P113" s="692">
        <f ca="1">IF(P104,"",VLOOKUP($C112,OFFSET(ASZ!$AB$42,P103,IF(P105,-4,-3),12,3),3,FALSE))</f>
        <v>4</v>
      </c>
      <c r="Q113" s="692">
        <f ca="1">IF(Q104,"",VLOOKUP($C112,OFFSET(ASZ!$AB$42,Q103,IF(Q105,-4,-3),12,3),3,FALSE))</f>
        <v>4</v>
      </c>
      <c r="R113" s="692">
        <f ca="1">IF(R104,"",VLOOKUP($C112,OFFSET(ASZ!$AB$42,R103,IF(R105,-4,-3),12,3),3,FALSE))</f>
        <v>2</v>
      </c>
      <c r="S113" s="692" t="str">
        <f ca="1">IF(S104,"",VLOOKUP($C112,OFFSET(ASZ!$AB$42,S103,IF(S105,-4,-3),12,3),3,FALSE))</f>
        <v/>
      </c>
      <c r="T113" s="692">
        <f ca="1">IF(T104,"",VLOOKUP($C112,OFFSET(ASZ!$AB$42,T103,IF(T105,-4,-3),12,3),3,FALSE))</f>
        <v>3</v>
      </c>
      <c r="U113" s="692">
        <f ca="1">IF(U104,"",VLOOKUP($C112,OFFSET(ASZ!$AB$42,U103,IF(U105,-4,-3),12,3),3,FALSE))</f>
        <v>9</v>
      </c>
      <c r="V113" s="692">
        <f ca="1">IF(V104,"",VLOOKUP($C112,OFFSET(ASZ!$AB$42,V103,IF(V105,-4,-3),12,3),3,FALSE))</f>
        <v>3</v>
      </c>
      <c r="W113" s="692">
        <f ca="1">IF(W104,"",VLOOKUP($C112,OFFSET(ASZ!$AB$42,W103,IF(W105,-4,-3),12,3),3,FALSE))</f>
        <v>1</v>
      </c>
      <c r="X113" s="692">
        <f ca="1">IF(X104,"",VLOOKUP($C112,OFFSET(ASZ!$AB$42,X103,IF(X105,-4,-3),12,3),3,FALSE))</f>
        <v>4</v>
      </c>
      <c r="Y113" s="692">
        <f ca="1">IF(Y104,"",VLOOKUP($C112,OFFSET(ASZ!$AB$42,Y103,IF(Y105,-4,-3),12,3),3,FALSE))</f>
        <v>5</v>
      </c>
      <c r="Z113" s="692">
        <f ca="1">IF(Z104,"",VLOOKUP($C112,OFFSET(ASZ!$AB$42,Z103,IF(Z105,-4,-3),12,3),3,FALSE))</f>
        <v>0</v>
      </c>
      <c r="AA113" s="692">
        <f ca="1">IF(AA104,"",VLOOKUP($C112,OFFSET(RCSOP!$AF$56,AA103,IF(AA105,-4,-3),14,3),3,FALSE))</f>
        <v>3</v>
      </c>
      <c r="AB113" s="692">
        <f ca="1">IF(AB104,"",VLOOKUP($C112,OFFSET(RCSOP!$AF$56,AB103,IF(AB105,-4,-3),14,3),3,FALSE))</f>
        <v>7</v>
      </c>
      <c r="AC113" s="692">
        <f ca="1">IF(AC104,"",VLOOKUP($C112,OFFSET(RCSOP!$AF$56,AC103,IF(AC105,-4,-3),14,3),3,FALSE))</f>
        <v>6</v>
      </c>
      <c r="AD113" s="692">
        <f ca="1">IF(AD104,"",VLOOKUP($C112,OFFSET(RCSOP!$AF$56,AD103,IF(AD105,-4,-3),14,3),3,FALSE))</f>
        <v>0</v>
      </c>
      <c r="AE113" s="692">
        <f ca="1">IF(AE104,"",VLOOKUP($C112,OFFSET(RCSOP!$AF$56,AE103,IF(AE105,-4,-3),14,3),3,FALSE))</f>
        <v>2</v>
      </c>
      <c r="AF113" s="692"/>
      <c r="AG113" s="692"/>
      <c r="AH113" s="692"/>
      <c r="AI113" s="692"/>
      <c r="AJ113" s="692"/>
      <c r="AK113" s="692"/>
      <c r="AL113" s="692"/>
      <c r="AM113" s="692"/>
      <c r="AN113" s="692"/>
      <c r="AO113" s="692"/>
      <c r="AP113" s="869"/>
      <c r="AQ113" s="683">
        <f ca="1">IF(SUM(D113:AO113)=0,"",SUM(D113:AO113))</f>
        <v>104</v>
      </c>
      <c r="AV113" s="699"/>
      <c r="AW113" s="700">
        <v>4.7000000000000002E-3</v>
      </c>
    </row>
    <row r="114" spans="1:53" ht="12.75" customHeight="1" x14ac:dyDescent="0.2">
      <c r="A114" s="867"/>
      <c r="C114" s="737"/>
      <c r="D114" s="737" t="s">
        <v>520</v>
      </c>
      <c r="E114" s="739"/>
      <c r="F114" s="740"/>
      <c r="G114" s="740"/>
      <c r="H114" s="740"/>
      <c r="I114" s="740"/>
      <c r="J114" s="740"/>
      <c r="K114" s="740"/>
      <c r="L114" s="740"/>
      <c r="M114" s="740"/>
      <c r="N114" s="740"/>
      <c r="O114" s="740"/>
      <c r="P114" s="740"/>
      <c r="Q114" s="740"/>
      <c r="R114" s="740"/>
      <c r="S114" s="740"/>
      <c r="T114" s="740"/>
      <c r="U114" s="740"/>
      <c r="V114" s="740"/>
      <c r="W114" s="740"/>
      <c r="X114" s="740"/>
      <c r="Y114" s="740"/>
      <c r="Z114" s="740"/>
      <c r="AA114" s="740"/>
      <c r="AB114" s="740"/>
      <c r="AC114" s="740"/>
      <c r="AD114" s="740"/>
      <c r="AE114" s="740"/>
      <c r="AF114" s="740"/>
      <c r="AG114" s="740"/>
      <c r="AH114" s="740"/>
      <c r="AI114" s="740"/>
      <c r="AJ114" s="740"/>
      <c r="AK114" s="740"/>
      <c r="AL114" s="740"/>
      <c r="AM114" s="740"/>
      <c r="AN114" s="740"/>
      <c r="AO114" s="741"/>
      <c r="AP114" s="869"/>
      <c r="AQ114" s="762" t="str">
        <f>IF(SUM(D114:AP114)=0,"",SUM(D114:AP114))</f>
        <v/>
      </c>
      <c r="AV114" s="699"/>
      <c r="AW114" s="700">
        <v>4.7999999999999996E-3</v>
      </c>
    </row>
    <row r="115" spans="1:53" ht="12.75" customHeight="1" x14ac:dyDescent="0.2">
      <c r="A115" s="867"/>
      <c r="C115" s="738"/>
      <c r="D115" s="738" t="s">
        <v>521</v>
      </c>
      <c r="E115" s="742" t="str">
        <f t="shared" ref="E115:AE115" ca="1" si="7">IF(E113="","",IF(SUM(E117:E146)+E114=E113,"–",SUM(E117:E146)+E114-E113))</f>
        <v>–</v>
      </c>
      <c r="F115" s="742" t="str">
        <f t="shared" ca="1" si="7"/>
        <v>–</v>
      </c>
      <c r="G115" s="742" t="str">
        <f t="shared" ca="1" si="7"/>
        <v>–</v>
      </c>
      <c r="H115" s="742" t="str">
        <f t="shared" ca="1" si="7"/>
        <v/>
      </c>
      <c r="I115" s="742" t="str">
        <f t="shared" ca="1" si="7"/>
        <v>–</v>
      </c>
      <c r="J115" s="742" t="str">
        <f t="shared" ca="1" si="7"/>
        <v>–</v>
      </c>
      <c r="K115" s="742" t="str">
        <f t="shared" ca="1" si="7"/>
        <v>–</v>
      </c>
      <c r="L115" s="742" t="str">
        <f t="shared" ca="1" si="7"/>
        <v>–</v>
      </c>
      <c r="M115" s="742" t="str">
        <f t="shared" ca="1" si="7"/>
        <v>–</v>
      </c>
      <c r="N115" s="742" t="str">
        <f t="shared" ca="1" si="7"/>
        <v>–</v>
      </c>
      <c r="O115" s="742" t="str">
        <f t="shared" ca="1" si="7"/>
        <v>–</v>
      </c>
      <c r="P115" s="742" t="str">
        <f t="shared" ca="1" si="7"/>
        <v>–</v>
      </c>
      <c r="Q115" s="742" t="str">
        <f t="shared" ca="1" si="7"/>
        <v>–</v>
      </c>
      <c r="R115" s="742" t="str">
        <f t="shared" ca="1" si="7"/>
        <v>–</v>
      </c>
      <c r="S115" s="742" t="str">
        <f t="shared" ca="1" si="7"/>
        <v/>
      </c>
      <c r="T115" s="742" t="str">
        <f t="shared" ca="1" si="7"/>
        <v>–</v>
      </c>
      <c r="U115" s="742" t="str">
        <f t="shared" ca="1" si="7"/>
        <v>–</v>
      </c>
      <c r="V115" s="742" t="str">
        <f t="shared" ca="1" si="7"/>
        <v>–</v>
      </c>
      <c r="W115" s="742" t="str">
        <f t="shared" ca="1" si="7"/>
        <v>–</v>
      </c>
      <c r="X115" s="742" t="str">
        <f t="shared" ca="1" si="7"/>
        <v>–</v>
      </c>
      <c r="Y115" s="742" t="str">
        <f t="shared" ca="1" si="7"/>
        <v>–</v>
      </c>
      <c r="Z115" s="742" t="str">
        <f t="shared" ca="1" si="7"/>
        <v>–</v>
      </c>
      <c r="AA115" s="742" t="str">
        <f t="shared" ca="1" si="7"/>
        <v>–</v>
      </c>
      <c r="AB115" s="742" t="str">
        <f t="shared" ca="1" si="7"/>
        <v>–</v>
      </c>
      <c r="AC115" s="742" t="str">
        <f t="shared" ca="1" si="7"/>
        <v>–</v>
      </c>
      <c r="AD115" s="742" t="str">
        <f t="shared" ca="1" si="7"/>
        <v>–</v>
      </c>
      <c r="AE115" s="742" t="str">
        <f t="shared" ca="1" si="7"/>
        <v>–</v>
      </c>
      <c r="AF115" s="742"/>
      <c r="AG115" s="742"/>
      <c r="AH115" s="742"/>
      <c r="AI115" s="742"/>
      <c r="AJ115" s="742"/>
      <c r="AK115" s="742"/>
      <c r="AL115" s="742"/>
      <c r="AM115" s="742"/>
      <c r="AN115" s="742"/>
      <c r="AO115" s="742"/>
      <c r="AP115" s="691" t="s">
        <v>522</v>
      </c>
      <c r="AS115" s="761" t="s">
        <v>285</v>
      </c>
      <c r="AV115" s="699"/>
      <c r="AW115" s="700">
        <v>4.8999999999999998E-3</v>
      </c>
    </row>
    <row r="116" spans="1:53" ht="4.5" customHeight="1" x14ac:dyDescent="0.2">
      <c r="A116" s="867"/>
      <c r="AV116" s="699"/>
      <c r="AW116" s="700">
        <v>5.0000000000000001E-3</v>
      </c>
    </row>
    <row r="117" spans="1:53" ht="12.75" customHeight="1" x14ac:dyDescent="0.2">
      <c r="A117" s="867"/>
      <c r="C117" s="755" t="s">
        <v>676</v>
      </c>
      <c r="D117" s="756">
        <v>1</v>
      </c>
      <c r="E117" s="746"/>
      <c r="F117" s="695"/>
      <c r="G117" s="695"/>
      <c r="H117" s="695"/>
      <c r="I117" s="695"/>
      <c r="J117" s="695"/>
      <c r="K117" s="695"/>
      <c r="L117" s="695"/>
      <c r="M117" s="695"/>
      <c r="N117" s="695"/>
      <c r="O117" s="695"/>
      <c r="P117" s="695"/>
      <c r="Q117" s="695"/>
      <c r="R117" s="695"/>
      <c r="S117" s="695"/>
      <c r="T117" s="695"/>
      <c r="U117" s="695"/>
      <c r="V117" s="695"/>
      <c r="W117" s="695"/>
      <c r="X117" s="695"/>
      <c r="Y117" s="695"/>
      <c r="Z117" s="695"/>
      <c r="AA117" s="695"/>
      <c r="AB117" s="695"/>
      <c r="AC117" s="695"/>
      <c r="AD117" s="695"/>
      <c r="AE117" s="695"/>
      <c r="AF117" s="695"/>
      <c r="AG117" s="695"/>
      <c r="AH117" s="695"/>
      <c r="AI117" s="695"/>
      <c r="AJ117" s="695"/>
      <c r="AK117" s="695"/>
      <c r="AL117" s="695"/>
      <c r="AM117" s="695"/>
      <c r="AN117" s="695"/>
      <c r="AO117" s="696"/>
      <c r="AP117" s="697"/>
      <c r="AQ117" s="763" t="str">
        <f>IF(SUM(E117:AP117)=0,"",SUM(E117:AP117))</f>
        <v/>
      </c>
      <c r="AS117" s="267"/>
      <c r="AV117" s="699"/>
      <c r="AW117" s="700">
        <v>5.1000000000000004E-3</v>
      </c>
      <c r="AX117" s="382">
        <f t="shared" ref="AX117:AX146" si="8">IF(OR(C117="",AQ117=""),0,AQ117+AW117)</f>
        <v>0</v>
      </c>
      <c r="AY117" s="379" t="str">
        <f ca="1">C112</f>
        <v>BBK</v>
      </c>
      <c r="AZ117" s="384" t="str">
        <f t="shared" ref="AZ117:AZ146" si="9">C117</f>
        <v>Martinek János</v>
      </c>
      <c r="BA117" s="642"/>
    </row>
    <row r="118" spans="1:53" ht="12.75" customHeight="1" x14ac:dyDescent="0.2">
      <c r="A118" s="867"/>
      <c r="C118" s="758" t="s">
        <v>677</v>
      </c>
      <c r="D118" s="757">
        <v>2</v>
      </c>
      <c r="E118" s="747"/>
      <c r="F118" s="703"/>
      <c r="G118" s="703"/>
      <c r="H118" s="703"/>
      <c r="I118" s="703"/>
      <c r="J118" s="703"/>
      <c r="K118" s="703"/>
      <c r="L118" s="703"/>
      <c r="M118" s="703"/>
      <c r="N118" s="703"/>
      <c r="O118" s="703"/>
      <c r="P118" s="703"/>
      <c r="Q118" s="703"/>
      <c r="R118" s="703"/>
      <c r="S118" s="703"/>
      <c r="T118" s="703"/>
      <c r="U118" s="703"/>
      <c r="V118" s="703"/>
      <c r="W118" s="703"/>
      <c r="X118" s="703"/>
      <c r="Y118" s="703"/>
      <c r="Z118" s="703"/>
      <c r="AA118" s="703"/>
      <c r="AB118" s="703"/>
      <c r="AC118" s="703"/>
      <c r="AD118" s="703"/>
      <c r="AE118" s="703"/>
      <c r="AF118" s="703"/>
      <c r="AG118" s="703"/>
      <c r="AH118" s="703"/>
      <c r="AI118" s="703"/>
      <c r="AJ118" s="703"/>
      <c r="AK118" s="703"/>
      <c r="AL118" s="703"/>
      <c r="AM118" s="703"/>
      <c r="AN118" s="703"/>
      <c r="AO118" s="704"/>
      <c r="AP118" s="705"/>
      <c r="AQ118" s="763" t="str">
        <f t="shared" ref="AQ118:AQ146" si="10">IF(SUM(E118:AP118)=0,"",SUM(E118:AP118))</f>
        <v/>
      </c>
      <c r="AS118" s="268"/>
      <c r="AV118" s="699"/>
      <c r="AW118" s="700">
        <v>5.1999999999999998E-3</v>
      </c>
      <c r="AX118" s="382">
        <f t="shared" si="8"/>
        <v>0</v>
      </c>
      <c r="AY118" s="379" t="str">
        <f t="shared" ref="AY118:AY146" ca="1" si="11">AY117</f>
        <v>BBK</v>
      </c>
      <c r="AZ118" s="384" t="str">
        <f t="shared" si="9"/>
        <v>Jónás Gábor</v>
      </c>
      <c r="BA118" s="642"/>
    </row>
    <row r="119" spans="1:53" ht="12.75" customHeight="1" x14ac:dyDescent="0.2">
      <c r="A119" s="867"/>
      <c r="C119" s="758" t="s">
        <v>555</v>
      </c>
      <c r="D119" s="757">
        <v>3</v>
      </c>
      <c r="E119" s="747"/>
      <c r="F119" s="703"/>
      <c r="G119" s="703"/>
      <c r="H119" s="703"/>
      <c r="I119" s="703"/>
      <c r="J119" s="703"/>
      <c r="K119" s="703"/>
      <c r="L119" s="703"/>
      <c r="M119" s="703">
        <v>1</v>
      </c>
      <c r="N119" s="703"/>
      <c r="O119" s="703"/>
      <c r="P119" s="703"/>
      <c r="Q119" s="703"/>
      <c r="R119" s="703"/>
      <c r="S119" s="703"/>
      <c r="T119" s="703"/>
      <c r="U119" s="703"/>
      <c r="V119" s="703"/>
      <c r="W119" s="703"/>
      <c r="X119" s="703"/>
      <c r="Y119" s="703"/>
      <c r="Z119" s="703"/>
      <c r="AA119" s="703">
        <v>3</v>
      </c>
      <c r="AB119" s="703"/>
      <c r="AC119" s="703"/>
      <c r="AD119" s="703"/>
      <c r="AE119" s="703"/>
      <c r="AF119" s="703"/>
      <c r="AG119" s="703"/>
      <c r="AH119" s="703"/>
      <c r="AI119" s="703"/>
      <c r="AJ119" s="703"/>
      <c r="AK119" s="703"/>
      <c r="AL119" s="703"/>
      <c r="AM119" s="703"/>
      <c r="AN119" s="703"/>
      <c r="AO119" s="704"/>
      <c r="AP119" s="705"/>
      <c r="AQ119" s="763">
        <f t="shared" si="10"/>
        <v>4</v>
      </c>
      <c r="AS119" s="268"/>
      <c r="AV119" s="699"/>
      <c r="AW119" s="700">
        <v>5.3E-3</v>
      </c>
      <c r="AX119" s="382">
        <f t="shared" si="8"/>
        <v>4.0053000000000001</v>
      </c>
      <c r="AY119" s="379" t="str">
        <f t="shared" ca="1" si="11"/>
        <v>BBK</v>
      </c>
      <c r="AZ119" s="384" t="str">
        <f t="shared" si="9"/>
        <v>Nagy Géza</v>
      </c>
      <c r="BA119" s="642"/>
    </row>
    <row r="120" spans="1:53" ht="12.75" customHeight="1" x14ac:dyDescent="0.2">
      <c r="A120" s="867"/>
      <c r="C120" s="758" t="s">
        <v>556</v>
      </c>
      <c r="D120" s="757">
        <v>4</v>
      </c>
      <c r="E120" s="747"/>
      <c r="F120" s="703"/>
      <c r="G120" s="703"/>
      <c r="H120" s="703"/>
      <c r="I120" s="703"/>
      <c r="J120" s="703"/>
      <c r="K120" s="703"/>
      <c r="L120" s="703"/>
      <c r="M120" s="703">
        <v>2</v>
      </c>
      <c r="N120" s="703"/>
      <c r="O120" s="703"/>
      <c r="P120" s="703">
        <v>1</v>
      </c>
      <c r="Q120" s="703"/>
      <c r="R120" s="703"/>
      <c r="S120" s="703"/>
      <c r="T120" s="703"/>
      <c r="U120" s="703"/>
      <c r="V120" s="703"/>
      <c r="W120" s="703"/>
      <c r="X120" s="703"/>
      <c r="Y120" s="703"/>
      <c r="Z120" s="703"/>
      <c r="AA120" s="703"/>
      <c r="AB120" s="703"/>
      <c r="AC120" s="703"/>
      <c r="AD120" s="703"/>
      <c r="AE120" s="703"/>
      <c r="AF120" s="703"/>
      <c r="AG120" s="703"/>
      <c r="AH120" s="703"/>
      <c r="AI120" s="703"/>
      <c r="AJ120" s="703"/>
      <c r="AK120" s="703"/>
      <c r="AL120" s="703"/>
      <c r="AM120" s="703"/>
      <c r="AN120" s="703"/>
      <c r="AO120" s="704"/>
      <c r="AP120" s="705"/>
      <c r="AQ120" s="763">
        <f t="shared" si="10"/>
        <v>3</v>
      </c>
      <c r="AS120" s="268"/>
      <c r="AV120" s="699"/>
      <c r="AW120" s="700">
        <v>5.4000000000000003E-3</v>
      </c>
      <c r="AX120" s="382">
        <f t="shared" si="8"/>
        <v>3.0053999999999998</v>
      </c>
      <c r="AY120" s="379" t="str">
        <f t="shared" ca="1" si="11"/>
        <v>BBK</v>
      </c>
      <c r="AZ120" s="384" t="str">
        <f t="shared" si="9"/>
        <v>Kiss Benjámin</v>
      </c>
      <c r="BA120" s="642"/>
    </row>
    <row r="121" spans="1:53" ht="12.75" customHeight="1" x14ac:dyDescent="0.2">
      <c r="A121" s="867"/>
      <c r="C121" s="758" t="s">
        <v>557</v>
      </c>
      <c r="D121" s="757">
        <v>5</v>
      </c>
      <c r="E121" s="747"/>
      <c r="F121" s="703">
        <v>2</v>
      </c>
      <c r="G121" s="703"/>
      <c r="H121" s="703"/>
      <c r="I121" s="703">
        <v>1</v>
      </c>
      <c r="J121" s="703"/>
      <c r="K121" s="703"/>
      <c r="L121" s="703"/>
      <c r="M121" s="703"/>
      <c r="N121" s="703">
        <v>1</v>
      </c>
      <c r="O121" s="703"/>
      <c r="P121" s="703"/>
      <c r="Q121" s="703"/>
      <c r="R121" s="703"/>
      <c r="S121" s="703"/>
      <c r="T121" s="703"/>
      <c r="U121" s="703">
        <v>1</v>
      </c>
      <c r="V121" s="703"/>
      <c r="W121" s="703"/>
      <c r="X121" s="703">
        <v>1</v>
      </c>
      <c r="Y121" s="703"/>
      <c r="Z121" s="703"/>
      <c r="AA121" s="703"/>
      <c r="AB121" s="703"/>
      <c r="AC121" s="703"/>
      <c r="AD121" s="703"/>
      <c r="AE121" s="703"/>
      <c r="AF121" s="703"/>
      <c r="AG121" s="703"/>
      <c r="AH121" s="703"/>
      <c r="AI121" s="703"/>
      <c r="AJ121" s="703"/>
      <c r="AK121" s="703"/>
      <c r="AL121" s="703"/>
      <c r="AM121" s="703"/>
      <c r="AN121" s="703"/>
      <c r="AO121" s="704"/>
      <c r="AP121" s="705"/>
      <c r="AQ121" s="763">
        <f t="shared" si="10"/>
        <v>6</v>
      </c>
      <c r="AS121" s="268"/>
      <c r="AV121" s="699"/>
      <c r="AW121" s="700">
        <v>5.4999999999999997E-3</v>
      </c>
      <c r="AX121" s="382">
        <f t="shared" si="8"/>
        <v>6.0054999999999996</v>
      </c>
      <c r="AY121" s="379" t="str">
        <f t="shared" ca="1" si="11"/>
        <v>BBK</v>
      </c>
      <c r="AZ121" s="384" t="str">
        <f t="shared" si="9"/>
        <v>Jóni Ádám</v>
      </c>
      <c r="BA121" s="642"/>
    </row>
    <row r="122" spans="1:53" ht="12.75" customHeight="1" x14ac:dyDescent="0.2">
      <c r="A122" s="867"/>
      <c r="C122" s="758" t="s">
        <v>558</v>
      </c>
      <c r="D122" s="757">
        <v>6</v>
      </c>
      <c r="E122" s="747"/>
      <c r="F122" s="703"/>
      <c r="G122" s="703"/>
      <c r="H122" s="703"/>
      <c r="I122" s="703"/>
      <c r="J122" s="703"/>
      <c r="K122" s="703"/>
      <c r="L122" s="703"/>
      <c r="M122" s="703"/>
      <c r="N122" s="703"/>
      <c r="O122" s="703">
        <v>2</v>
      </c>
      <c r="P122" s="703"/>
      <c r="Q122" s="703"/>
      <c r="R122" s="703"/>
      <c r="S122" s="703"/>
      <c r="T122" s="703"/>
      <c r="U122" s="703"/>
      <c r="V122" s="703"/>
      <c r="W122" s="703"/>
      <c r="X122" s="703"/>
      <c r="Y122" s="703"/>
      <c r="Z122" s="703"/>
      <c r="AA122" s="703"/>
      <c r="AB122" s="703">
        <v>1</v>
      </c>
      <c r="AC122" s="703"/>
      <c r="AD122" s="703"/>
      <c r="AE122" s="703"/>
      <c r="AF122" s="703"/>
      <c r="AG122" s="703"/>
      <c r="AH122" s="703"/>
      <c r="AI122" s="703"/>
      <c r="AJ122" s="703"/>
      <c r="AK122" s="703"/>
      <c r="AL122" s="703"/>
      <c r="AM122" s="703"/>
      <c r="AN122" s="703"/>
      <c r="AO122" s="704"/>
      <c r="AP122" s="705"/>
      <c r="AQ122" s="763">
        <f t="shared" si="10"/>
        <v>3</v>
      </c>
      <c r="AS122" s="268"/>
      <c r="AV122" s="699"/>
      <c r="AW122" s="700">
        <v>5.5999999999999999E-3</v>
      </c>
      <c r="AX122" s="382">
        <f t="shared" si="8"/>
        <v>3.0055999999999998</v>
      </c>
      <c r="AY122" s="379" t="str">
        <f t="shared" ca="1" si="11"/>
        <v>BBK</v>
      </c>
      <c r="AZ122" s="384" t="str">
        <f t="shared" si="9"/>
        <v>Nagy Rudolf</v>
      </c>
      <c r="BA122" s="642"/>
    </row>
    <row r="123" spans="1:53" ht="12.75" customHeight="1" x14ac:dyDescent="0.2">
      <c r="A123" s="867"/>
      <c r="C123" s="758" t="s">
        <v>559</v>
      </c>
      <c r="D123" s="757">
        <v>7</v>
      </c>
      <c r="E123" s="747"/>
      <c r="F123" s="703"/>
      <c r="G123" s="703"/>
      <c r="H123" s="703"/>
      <c r="I123" s="703"/>
      <c r="J123" s="703">
        <v>4</v>
      </c>
      <c r="K123" s="703"/>
      <c r="L123" s="703"/>
      <c r="M123" s="703">
        <v>2</v>
      </c>
      <c r="N123" s="703">
        <v>1</v>
      </c>
      <c r="O123" s="703">
        <v>1</v>
      </c>
      <c r="P123" s="703">
        <v>3</v>
      </c>
      <c r="Q123" s="703"/>
      <c r="R123" s="703">
        <v>1</v>
      </c>
      <c r="S123" s="703"/>
      <c r="T123" s="703">
        <v>1</v>
      </c>
      <c r="U123" s="703">
        <v>1</v>
      </c>
      <c r="V123" s="703">
        <v>2</v>
      </c>
      <c r="W123" s="703"/>
      <c r="X123" s="703"/>
      <c r="Y123" s="703"/>
      <c r="Z123" s="703"/>
      <c r="AA123" s="703"/>
      <c r="AB123" s="703"/>
      <c r="AC123" s="703">
        <v>1</v>
      </c>
      <c r="AD123" s="703"/>
      <c r="AE123" s="703">
        <v>2</v>
      </c>
      <c r="AF123" s="703"/>
      <c r="AG123" s="703"/>
      <c r="AH123" s="703"/>
      <c r="AI123" s="703"/>
      <c r="AJ123" s="703"/>
      <c r="AK123" s="703"/>
      <c r="AL123" s="703"/>
      <c r="AM123" s="703"/>
      <c r="AN123" s="703"/>
      <c r="AO123" s="704"/>
      <c r="AP123" s="705"/>
      <c r="AQ123" s="763">
        <f t="shared" si="10"/>
        <v>19</v>
      </c>
      <c r="AS123" s="268"/>
      <c r="AV123" s="699"/>
      <c r="AW123" s="700">
        <v>5.7000000000000002E-3</v>
      </c>
      <c r="AX123" s="382">
        <f t="shared" si="8"/>
        <v>19.005700000000001</v>
      </c>
      <c r="AY123" s="379" t="str">
        <f t="shared" ca="1" si="11"/>
        <v>BBK</v>
      </c>
      <c r="AZ123" s="384" t="str">
        <f t="shared" si="9"/>
        <v>Fehér Krisztián</v>
      </c>
      <c r="BA123" s="642"/>
    </row>
    <row r="124" spans="1:53" ht="12.75" customHeight="1" x14ac:dyDescent="0.2">
      <c r="A124" s="867"/>
      <c r="C124" s="758" t="s">
        <v>560</v>
      </c>
      <c r="D124" s="757">
        <v>8</v>
      </c>
      <c r="E124" s="747"/>
      <c r="F124" s="703"/>
      <c r="G124" s="703"/>
      <c r="H124" s="703"/>
      <c r="I124" s="703">
        <v>1</v>
      </c>
      <c r="J124" s="703">
        <v>4</v>
      </c>
      <c r="K124" s="703">
        <v>1</v>
      </c>
      <c r="L124" s="703"/>
      <c r="M124" s="703"/>
      <c r="N124" s="703"/>
      <c r="O124" s="703"/>
      <c r="P124" s="703"/>
      <c r="Q124" s="703">
        <v>3</v>
      </c>
      <c r="R124" s="703"/>
      <c r="S124" s="703"/>
      <c r="T124" s="703"/>
      <c r="U124" s="703">
        <v>1</v>
      </c>
      <c r="V124" s="703">
        <v>1</v>
      </c>
      <c r="W124" s="703"/>
      <c r="X124" s="703">
        <v>1</v>
      </c>
      <c r="Y124" s="703">
        <v>2</v>
      </c>
      <c r="Z124" s="703"/>
      <c r="AA124" s="703"/>
      <c r="AB124" s="703">
        <v>1</v>
      </c>
      <c r="AC124" s="703">
        <v>3</v>
      </c>
      <c r="AD124" s="703"/>
      <c r="AE124" s="703"/>
      <c r="AF124" s="703"/>
      <c r="AG124" s="703"/>
      <c r="AH124" s="703"/>
      <c r="AI124" s="703"/>
      <c r="AJ124" s="703"/>
      <c r="AK124" s="703"/>
      <c r="AL124" s="703"/>
      <c r="AM124" s="703"/>
      <c r="AN124" s="703"/>
      <c r="AO124" s="704"/>
      <c r="AP124" s="705"/>
      <c r="AQ124" s="763">
        <f t="shared" si="10"/>
        <v>18</v>
      </c>
      <c r="AS124" s="268"/>
      <c r="AV124" s="699"/>
      <c r="AW124" s="700">
        <v>5.7999999999999996E-3</v>
      </c>
      <c r="AX124" s="382">
        <f t="shared" si="8"/>
        <v>18.005800000000001</v>
      </c>
      <c r="AY124" s="379" t="str">
        <f t="shared" ca="1" si="11"/>
        <v>BBK</v>
      </c>
      <c r="AZ124" s="384" t="str">
        <f t="shared" si="9"/>
        <v>Fehér Norbert</v>
      </c>
      <c r="BA124" s="642"/>
    </row>
    <row r="125" spans="1:53" ht="12.75" customHeight="1" x14ac:dyDescent="0.2">
      <c r="A125" s="867"/>
      <c r="C125" s="758" t="s">
        <v>561</v>
      </c>
      <c r="D125" s="757">
        <v>9</v>
      </c>
      <c r="E125" s="747"/>
      <c r="F125" s="703"/>
      <c r="G125" s="703"/>
      <c r="H125" s="703"/>
      <c r="I125" s="703">
        <v>2</v>
      </c>
      <c r="J125" s="703"/>
      <c r="K125" s="703">
        <v>1</v>
      </c>
      <c r="L125" s="703">
        <v>1</v>
      </c>
      <c r="M125" s="703"/>
      <c r="N125" s="703">
        <v>1</v>
      </c>
      <c r="O125" s="703">
        <v>1</v>
      </c>
      <c r="P125" s="703"/>
      <c r="Q125" s="703"/>
      <c r="R125" s="703">
        <v>1</v>
      </c>
      <c r="S125" s="703"/>
      <c r="T125" s="703"/>
      <c r="U125" s="703">
        <v>3</v>
      </c>
      <c r="V125" s="703"/>
      <c r="W125" s="703"/>
      <c r="X125" s="703">
        <v>1</v>
      </c>
      <c r="Y125" s="703">
        <v>1</v>
      </c>
      <c r="Z125" s="703"/>
      <c r="AA125" s="703"/>
      <c r="AB125" s="703">
        <v>3</v>
      </c>
      <c r="AC125" s="703"/>
      <c r="AD125" s="703"/>
      <c r="AE125" s="703"/>
      <c r="AF125" s="703"/>
      <c r="AG125" s="703"/>
      <c r="AH125" s="703"/>
      <c r="AI125" s="703"/>
      <c r="AJ125" s="703"/>
      <c r="AK125" s="703"/>
      <c r="AL125" s="703"/>
      <c r="AM125" s="703"/>
      <c r="AN125" s="703"/>
      <c r="AO125" s="704"/>
      <c r="AP125" s="705"/>
      <c r="AQ125" s="763">
        <f t="shared" si="10"/>
        <v>15</v>
      </c>
      <c r="AS125" s="268"/>
      <c r="AV125" s="699"/>
      <c r="AW125" s="700">
        <v>5.8999999999999999E-3</v>
      </c>
      <c r="AX125" s="382">
        <f t="shared" si="8"/>
        <v>15.0059</v>
      </c>
      <c r="AY125" s="379" t="str">
        <f t="shared" ca="1" si="11"/>
        <v>BBK</v>
      </c>
      <c r="AZ125" s="384" t="str">
        <f t="shared" si="9"/>
        <v>Ferencz Péter</v>
      </c>
      <c r="BA125" s="642"/>
    </row>
    <row r="126" spans="1:53" ht="12.75" customHeight="1" x14ac:dyDescent="0.2">
      <c r="A126" s="867"/>
      <c r="C126" s="758" t="s">
        <v>562</v>
      </c>
      <c r="D126" s="757">
        <v>10</v>
      </c>
      <c r="E126" s="747"/>
      <c r="F126" s="703"/>
      <c r="G126" s="703"/>
      <c r="H126" s="703"/>
      <c r="I126" s="703"/>
      <c r="J126" s="703"/>
      <c r="K126" s="703">
        <v>1</v>
      </c>
      <c r="L126" s="703">
        <v>1</v>
      </c>
      <c r="M126" s="703"/>
      <c r="N126" s="703"/>
      <c r="O126" s="703">
        <v>2</v>
      </c>
      <c r="P126" s="703"/>
      <c r="Q126" s="703"/>
      <c r="R126" s="703"/>
      <c r="S126" s="703"/>
      <c r="T126" s="703"/>
      <c r="U126" s="703"/>
      <c r="V126" s="703"/>
      <c r="W126" s="703"/>
      <c r="X126" s="703"/>
      <c r="Y126" s="703"/>
      <c r="Z126" s="703"/>
      <c r="AA126" s="703"/>
      <c r="AB126" s="703"/>
      <c r="AC126" s="703"/>
      <c r="AD126" s="703"/>
      <c r="AE126" s="703"/>
      <c r="AF126" s="703"/>
      <c r="AG126" s="703"/>
      <c r="AH126" s="703"/>
      <c r="AI126" s="703"/>
      <c r="AJ126" s="703"/>
      <c r="AK126" s="703"/>
      <c r="AL126" s="703"/>
      <c r="AM126" s="703"/>
      <c r="AN126" s="703"/>
      <c r="AO126" s="704"/>
      <c r="AP126" s="705"/>
      <c r="AQ126" s="763">
        <f t="shared" si="10"/>
        <v>4</v>
      </c>
      <c r="AS126" s="268"/>
      <c r="AV126" s="699"/>
      <c r="AW126" s="700">
        <v>6.0000000000000001E-3</v>
      </c>
      <c r="AX126" s="382">
        <f t="shared" si="8"/>
        <v>4.0060000000000002</v>
      </c>
      <c r="AY126" s="379" t="str">
        <f t="shared" ca="1" si="11"/>
        <v>BBK</v>
      </c>
      <c r="AZ126" s="384" t="str">
        <f t="shared" si="9"/>
        <v>Süle Zoltán</v>
      </c>
      <c r="BA126" s="642"/>
    </row>
    <row r="127" spans="1:53" ht="12.75" customHeight="1" x14ac:dyDescent="0.2">
      <c r="A127" s="867"/>
      <c r="C127" s="758" t="s">
        <v>678</v>
      </c>
      <c r="D127" s="757">
        <v>11</v>
      </c>
      <c r="E127" s="747"/>
      <c r="F127" s="703"/>
      <c r="G127" s="703"/>
      <c r="H127" s="703"/>
      <c r="I127" s="703"/>
      <c r="J127" s="703"/>
      <c r="K127" s="703"/>
      <c r="L127" s="703"/>
      <c r="M127" s="703"/>
      <c r="N127" s="703"/>
      <c r="O127" s="703"/>
      <c r="P127" s="703"/>
      <c r="Q127" s="703"/>
      <c r="R127" s="703"/>
      <c r="S127" s="703"/>
      <c r="T127" s="703"/>
      <c r="U127" s="703"/>
      <c r="V127" s="703"/>
      <c r="W127" s="703"/>
      <c r="X127" s="703"/>
      <c r="Y127" s="703"/>
      <c r="Z127" s="703"/>
      <c r="AA127" s="703"/>
      <c r="AB127" s="703"/>
      <c r="AC127" s="703"/>
      <c r="AD127" s="703"/>
      <c r="AE127" s="703"/>
      <c r="AF127" s="703"/>
      <c r="AG127" s="703"/>
      <c r="AH127" s="703"/>
      <c r="AI127" s="703"/>
      <c r="AJ127" s="703"/>
      <c r="AK127" s="703"/>
      <c r="AL127" s="703"/>
      <c r="AM127" s="703"/>
      <c r="AN127" s="703"/>
      <c r="AO127" s="704"/>
      <c r="AP127" s="705"/>
      <c r="AQ127" s="763" t="str">
        <f t="shared" si="10"/>
        <v/>
      </c>
      <c r="AS127" s="268"/>
      <c r="AV127" s="699"/>
      <c r="AW127" s="700">
        <v>6.1000000000000004E-3</v>
      </c>
      <c r="AX127" s="382">
        <f t="shared" si="8"/>
        <v>0</v>
      </c>
      <c r="AY127" s="379" t="str">
        <f t="shared" ca="1" si="11"/>
        <v>BBK</v>
      </c>
      <c r="AZ127" s="384" t="str">
        <f t="shared" si="9"/>
        <v>Varga Ferenc</v>
      </c>
      <c r="BA127" s="642"/>
    </row>
    <row r="128" spans="1:53" ht="12.75" customHeight="1" x14ac:dyDescent="0.2">
      <c r="A128" s="867"/>
      <c r="C128" s="758" t="s">
        <v>563</v>
      </c>
      <c r="D128" s="757">
        <v>12</v>
      </c>
      <c r="E128" s="747">
        <v>1</v>
      </c>
      <c r="F128" s="703"/>
      <c r="G128" s="703"/>
      <c r="H128" s="703"/>
      <c r="I128" s="703"/>
      <c r="J128" s="703"/>
      <c r="K128" s="703"/>
      <c r="L128" s="703"/>
      <c r="M128" s="703"/>
      <c r="N128" s="703"/>
      <c r="O128" s="703"/>
      <c r="P128" s="703"/>
      <c r="Q128" s="703"/>
      <c r="R128" s="703"/>
      <c r="S128" s="703"/>
      <c r="T128" s="703"/>
      <c r="U128" s="703"/>
      <c r="V128" s="703"/>
      <c r="W128" s="703"/>
      <c r="X128" s="703"/>
      <c r="Y128" s="703"/>
      <c r="Z128" s="703"/>
      <c r="AA128" s="703"/>
      <c r="AB128" s="703"/>
      <c r="AC128" s="703"/>
      <c r="AD128" s="703"/>
      <c r="AE128" s="703"/>
      <c r="AF128" s="703"/>
      <c r="AG128" s="703"/>
      <c r="AH128" s="703"/>
      <c r="AI128" s="703"/>
      <c r="AJ128" s="703"/>
      <c r="AK128" s="703"/>
      <c r="AL128" s="703"/>
      <c r="AM128" s="703"/>
      <c r="AN128" s="703"/>
      <c r="AO128" s="704"/>
      <c r="AP128" s="705"/>
      <c r="AQ128" s="763">
        <f t="shared" si="10"/>
        <v>1</v>
      </c>
      <c r="AS128" s="268"/>
      <c r="AV128" s="699"/>
      <c r="AW128" s="700">
        <v>6.1999999999999998E-3</v>
      </c>
      <c r="AX128" s="382">
        <f t="shared" si="8"/>
        <v>1.0062</v>
      </c>
      <c r="AY128" s="379" t="str">
        <f t="shared" ca="1" si="11"/>
        <v>BBK</v>
      </c>
      <c r="AZ128" s="384" t="str">
        <f t="shared" si="9"/>
        <v>Jóni László</v>
      </c>
      <c r="BA128" s="642"/>
    </row>
    <row r="129" spans="1:53" ht="12.75" customHeight="1" x14ac:dyDescent="0.2">
      <c r="A129" s="867"/>
      <c r="C129" s="758" t="s">
        <v>564</v>
      </c>
      <c r="D129" s="757">
        <v>13</v>
      </c>
      <c r="E129" s="747"/>
      <c r="F129" s="703">
        <v>1</v>
      </c>
      <c r="G129" s="703">
        <v>2</v>
      </c>
      <c r="H129" s="703"/>
      <c r="I129" s="703">
        <v>2</v>
      </c>
      <c r="J129" s="703">
        <v>1</v>
      </c>
      <c r="K129" s="703"/>
      <c r="L129" s="703"/>
      <c r="M129" s="703"/>
      <c r="N129" s="703"/>
      <c r="O129" s="703">
        <v>2</v>
      </c>
      <c r="P129" s="703"/>
      <c r="Q129" s="703"/>
      <c r="R129" s="703"/>
      <c r="S129" s="703"/>
      <c r="T129" s="703"/>
      <c r="U129" s="703">
        <v>3</v>
      </c>
      <c r="V129" s="703"/>
      <c r="W129" s="703"/>
      <c r="X129" s="703"/>
      <c r="Y129" s="703"/>
      <c r="Z129" s="703"/>
      <c r="AA129" s="703"/>
      <c r="AB129" s="703"/>
      <c r="AC129" s="703"/>
      <c r="AD129" s="703"/>
      <c r="AE129" s="703"/>
      <c r="AF129" s="703"/>
      <c r="AG129" s="703"/>
      <c r="AH129" s="703"/>
      <c r="AI129" s="703"/>
      <c r="AJ129" s="703"/>
      <c r="AK129" s="703"/>
      <c r="AL129" s="703"/>
      <c r="AM129" s="703"/>
      <c r="AN129" s="703"/>
      <c r="AO129" s="704"/>
      <c r="AP129" s="705"/>
      <c r="AQ129" s="763">
        <f t="shared" si="10"/>
        <v>11</v>
      </c>
      <c r="AS129" s="268"/>
      <c r="AV129" s="699"/>
      <c r="AW129" s="700">
        <v>6.3E-3</v>
      </c>
      <c r="AX129" s="382">
        <f t="shared" si="8"/>
        <v>11.0063</v>
      </c>
      <c r="AY129" s="379" t="str">
        <f t="shared" ca="1" si="11"/>
        <v>BBK</v>
      </c>
      <c r="AZ129" s="384" t="str">
        <f t="shared" si="9"/>
        <v>Farkas Miklós</v>
      </c>
      <c r="BA129" s="642"/>
    </row>
    <row r="130" spans="1:53" ht="12.75" customHeight="1" x14ac:dyDescent="0.2">
      <c r="A130" s="867"/>
      <c r="C130" s="758" t="s">
        <v>565</v>
      </c>
      <c r="D130" s="757">
        <v>24</v>
      </c>
      <c r="E130" s="747">
        <v>1</v>
      </c>
      <c r="F130" s="703"/>
      <c r="G130" s="703">
        <v>1</v>
      </c>
      <c r="H130" s="703"/>
      <c r="I130" s="703">
        <v>1</v>
      </c>
      <c r="J130" s="703">
        <v>3</v>
      </c>
      <c r="K130" s="703">
        <v>1</v>
      </c>
      <c r="L130" s="703">
        <v>1</v>
      </c>
      <c r="M130" s="703">
        <v>1</v>
      </c>
      <c r="N130" s="703"/>
      <c r="O130" s="703"/>
      <c r="P130" s="703"/>
      <c r="Q130" s="703">
        <v>1</v>
      </c>
      <c r="R130" s="703"/>
      <c r="S130" s="703"/>
      <c r="T130" s="703">
        <v>1</v>
      </c>
      <c r="U130" s="703"/>
      <c r="V130" s="703"/>
      <c r="W130" s="703">
        <v>1</v>
      </c>
      <c r="X130" s="703">
        <v>1</v>
      </c>
      <c r="Y130" s="703">
        <v>1</v>
      </c>
      <c r="Z130" s="703"/>
      <c r="AA130" s="703"/>
      <c r="AB130" s="703">
        <v>2</v>
      </c>
      <c r="AC130" s="703">
        <v>2</v>
      </c>
      <c r="AD130" s="703"/>
      <c r="AE130" s="703"/>
      <c r="AF130" s="703"/>
      <c r="AG130" s="703"/>
      <c r="AH130" s="703"/>
      <c r="AI130" s="703"/>
      <c r="AJ130" s="703"/>
      <c r="AK130" s="703"/>
      <c r="AL130" s="703"/>
      <c r="AM130" s="703"/>
      <c r="AN130" s="703"/>
      <c r="AO130" s="704"/>
      <c r="AP130" s="705"/>
      <c r="AQ130" s="763">
        <f t="shared" si="10"/>
        <v>18</v>
      </c>
      <c r="AS130" s="268"/>
      <c r="AV130" s="699"/>
      <c r="AW130" s="700">
        <v>6.4000000000000003E-3</v>
      </c>
      <c r="AX130" s="382">
        <f t="shared" si="8"/>
        <v>18.006399999999999</v>
      </c>
      <c r="AY130" s="379" t="str">
        <f t="shared" ca="1" si="11"/>
        <v>BBK</v>
      </c>
      <c r="AZ130" s="384" t="str">
        <f t="shared" si="9"/>
        <v>ifj. Nagy Rudolf</v>
      </c>
      <c r="BA130" s="642"/>
    </row>
    <row r="131" spans="1:53" ht="12.75" customHeight="1" x14ac:dyDescent="0.2">
      <c r="A131" s="867"/>
      <c r="C131" s="758" t="s">
        <v>679</v>
      </c>
      <c r="D131" s="757">
        <v>31</v>
      </c>
      <c r="E131" s="747"/>
      <c r="F131" s="703"/>
      <c r="G131" s="703"/>
      <c r="H131" s="703"/>
      <c r="I131" s="703"/>
      <c r="J131" s="703"/>
      <c r="K131" s="703"/>
      <c r="L131" s="703"/>
      <c r="M131" s="703"/>
      <c r="N131" s="703"/>
      <c r="O131" s="703"/>
      <c r="P131" s="703"/>
      <c r="Q131" s="703"/>
      <c r="R131" s="703"/>
      <c r="S131" s="703"/>
      <c r="T131" s="703"/>
      <c r="U131" s="703"/>
      <c r="V131" s="703"/>
      <c r="W131" s="703"/>
      <c r="X131" s="703"/>
      <c r="Y131" s="703"/>
      <c r="Z131" s="703"/>
      <c r="AA131" s="703"/>
      <c r="AB131" s="703"/>
      <c r="AC131" s="703"/>
      <c r="AD131" s="703"/>
      <c r="AE131" s="703"/>
      <c r="AF131" s="703"/>
      <c r="AG131" s="703"/>
      <c r="AH131" s="703"/>
      <c r="AI131" s="703"/>
      <c r="AJ131" s="703"/>
      <c r="AK131" s="703"/>
      <c r="AL131" s="703"/>
      <c r="AM131" s="703"/>
      <c r="AN131" s="703"/>
      <c r="AO131" s="704"/>
      <c r="AP131" s="705"/>
      <c r="AQ131" s="763" t="str">
        <f t="shared" si="10"/>
        <v/>
      </c>
      <c r="AS131" s="268"/>
      <c r="AV131" s="699"/>
      <c r="AW131" s="700">
        <v>6.4999999999999997E-3</v>
      </c>
      <c r="AX131" s="382">
        <f t="shared" si="8"/>
        <v>0</v>
      </c>
      <c r="AY131" s="379" t="str">
        <f t="shared" ca="1" si="11"/>
        <v>BBK</v>
      </c>
      <c r="AZ131" s="384" t="str">
        <f t="shared" si="9"/>
        <v>Fehér János</v>
      </c>
      <c r="BA131" s="642"/>
    </row>
    <row r="132" spans="1:53" ht="12.75" customHeight="1" x14ac:dyDescent="0.2">
      <c r="A132" s="867"/>
      <c r="C132" s="758" t="s">
        <v>27</v>
      </c>
      <c r="D132" s="757">
        <v>16</v>
      </c>
      <c r="E132" s="747"/>
      <c r="F132" s="703"/>
      <c r="G132" s="703"/>
      <c r="H132" s="703"/>
      <c r="I132" s="703"/>
      <c r="J132" s="703"/>
      <c r="K132" s="703"/>
      <c r="L132" s="703"/>
      <c r="M132" s="703"/>
      <c r="N132" s="703"/>
      <c r="O132" s="703"/>
      <c r="P132" s="703"/>
      <c r="Q132" s="703"/>
      <c r="R132" s="703"/>
      <c r="S132" s="703"/>
      <c r="T132" s="703">
        <v>1</v>
      </c>
      <c r="U132" s="703"/>
      <c r="V132" s="703"/>
      <c r="W132" s="703"/>
      <c r="X132" s="703"/>
      <c r="Y132" s="703"/>
      <c r="Z132" s="703"/>
      <c r="AA132" s="703"/>
      <c r="AB132" s="703"/>
      <c r="AC132" s="703"/>
      <c r="AD132" s="703"/>
      <c r="AE132" s="703"/>
      <c r="AF132" s="703"/>
      <c r="AG132" s="703"/>
      <c r="AH132" s="703"/>
      <c r="AI132" s="703"/>
      <c r="AJ132" s="703"/>
      <c r="AK132" s="703"/>
      <c r="AL132" s="703"/>
      <c r="AM132" s="703"/>
      <c r="AN132" s="703"/>
      <c r="AO132" s="704"/>
      <c r="AP132" s="705"/>
      <c r="AQ132" s="763">
        <f t="shared" si="10"/>
        <v>1</v>
      </c>
      <c r="AS132" s="268"/>
      <c r="AV132" s="699"/>
      <c r="AW132" s="700">
        <v>6.6E-3</v>
      </c>
      <c r="AX132" s="382">
        <f t="shared" si="8"/>
        <v>1.0065999999999999</v>
      </c>
      <c r="AY132" s="379" t="str">
        <f t="shared" ca="1" si="11"/>
        <v>BBK</v>
      </c>
      <c r="AZ132" s="384" t="str">
        <f t="shared" si="9"/>
        <v>BBK ismeretlen 16</v>
      </c>
      <c r="BA132" s="642"/>
    </row>
    <row r="133" spans="1:53" ht="12.75" customHeight="1" x14ac:dyDescent="0.2">
      <c r="A133" s="867"/>
      <c r="C133" s="758" t="s">
        <v>716</v>
      </c>
      <c r="D133" s="757">
        <v>20</v>
      </c>
      <c r="E133" s="747"/>
      <c r="F133" s="703"/>
      <c r="G133" s="703"/>
      <c r="H133" s="703"/>
      <c r="I133" s="703"/>
      <c r="J133" s="703"/>
      <c r="K133" s="703"/>
      <c r="L133" s="703"/>
      <c r="M133" s="703"/>
      <c r="N133" s="703"/>
      <c r="O133" s="703"/>
      <c r="P133" s="703"/>
      <c r="Q133" s="703"/>
      <c r="R133" s="703"/>
      <c r="S133" s="703"/>
      <c r="T133" s="703"/>
      <c r="U133" s="703"/>
      <c r="V133" s="703"/>
      <c r="W133" s="703"/>
      <c r="X133" s="703"/>
      <c r="Y133" s="703">
        <v>1</v>
      </c>
      <c r="Z133" s="703"/>
      <c r="AA133" s="703"/>
      <c r="AB133" s="703"/>
      <c r="AC133" s="703"/>
      <c r="AD133" s="703"/>
      <c r="AE133" s="703"/>
      <c r="AF133" s="703"/>
      <c r="AG133" s="703"/>
      <c r="AH133" s="703"/>
      <c r="AI133" s="703"/>
      <c r="AJ133" s="703"/>
      <c r="AK133" s="703"/>
      <c r="AL133" s="703"/>
      <c r="AM133" s="703"/>
      <c r="AN133" s="703"/>
      <c r="AO133" s="704"/>
      <c r="AP133" s="705"/>
      <c r="AQ133" s="763">
        <f t="shared" si="10"/>
        <v>1</v>
      </c>
      <c r="AS133" s="268"/>
      <c r="AV133" s="699"/>
      <c r="AW133" s="700">
        <v>6.7000000000000002E-3</v>
      </c>
      <c r="AX133" s="382">
        <f t="shared" si="8"/>
        <v>1.0066999999999999</v>
      </c>
      <c r="AY133" s="379" t="str">
        <f t="shared" ca="1" si="11"/>
        <v>BBK</v>
      </c>
      <c r="AZ133" s="384" t="str">
        <f t="shared" si="9"/>
        <v>BBK ismeretlen 20</v>
      </c>
      <c r="BA133" s="642"/>
    </row>
    <row r="134" spans="1:53" ht="12.75" customHeight="1" x14ac:dyDescent="0.2">
      <c r="A134" s="867"/>
      <c r="C134" s="758"/>
      <c r="D134" s="757"/>
      <c r="E134" s="747"/>
      <c r="F134" s="703"/>
      <c r="G134" s="703"/>
      <c r="H134" s="703"/>
      <c r="I134" s="703"/>
      <c r="J134" s="703"/>
      <c r="K134" s="703"/>
      <c r="L134" s="703"/>
      <c r="M134" s="703"/>
      <c r="N134" s="703"/>
      <c r="O134" s="703"/>
      <c r="P134" s="703"/>
      <c r="Q134" s="703"/>
      <c r="R134" s="703"/>
      <c r="S134" s="703"/>
      <c r="T134" s="703"/>
      <c r="U134" s="703"/>
      <c r="V134" s="703"/>
      <c r="W134" s="703"/>
      <c r="X134" s="703"/>
      <c r="Y134" s="703"/>
      <c r="Z134" s="703"/>
      <c r="AA134" s="703"/>
      <c r="AB134" s="703"/>
      <c r="AC134" s="703"/>
      <c r="AD134" s="703"/>
      <c r="AE134" s="703"/>
      <c r="AF134" s="703"/>
      <c r="AG134" s="703"/>
      <c r="AH134" s="703"/>
      <c r="AI134" s="703"/>
      <c r="AJ134" s="703"/>
      <c r="AK134" s="703"/>
      <c r="AL134" s="703"/>
      <c r="AM134" s="703"/>
      <c r="AN134" s="703"/>
      <c r="AO134" s="704"/>
      <c r="AP134" s="705"/>
      <c r="AQ134" s="763" t="str">
        <f t="shared" si="10"/>
        <v/>
      </c>
      <c r="AS134" s="268"/>
      <c r="AV134" s="699"/>
      <c r="AW134" s="700">
        <v>6.7999999999999996E-3</v>
      </c>
      <c r="AX134" s="382">
        <f t="shared" si="8"/>
        <v>0</v>
      </c>
      <c r="AY134" s="379" t="str">
        <f t="shared" ca="1" si="11"/>
        <v>BBK</v>
      </c>
      <c r="AZ134" s="384">
        <f t="shared" si="9"/>
        <v>0</v>
      </c>
      <c r="BA134" s="642"/>
    </row>
    <row r="135" spans="1:53" ht="12.75" customHeight="1" x14ac:dyDescent="0.2">
      <c r="A135" s="867"/>
      <c r="C135" s="758"/>
      <c r="D135" s="757"/>
      <c r="E135" s="747"/>
      <c r="F135" s="703"/>
      <c r="G135" s="703"/>
      <c r="H135" s="703"/>
      <c r="I135" s="703"/>
      <c r="J135" s="703"/>
      <c r="K135" s="703"/>
      <c r="L135" s="703"/>
      <c r="M135" s="703"/>
      <c r="N135" s="703"/>
      <c r="O135" s="703"/>
      <c r="P135" s="703"/>
      <c r="Q135" s="703"/>
      <c r="R135" s="703"/>
      <c r="S135" s="703"/>
      <c r="T135" s="703"/>
      <c r="U135" s="703"/>
      <c r="V135" s="703"/>
      <c r="W135" s="703"/>
      <c r="X135" s="703"/>
      <c r="Y135" s="703"/>
      <c r="Z135" s="703"/>
      <c r="AA135" s="703"/>
      <c r="AB135" s="703"/>
      <c r="AC135" s="703"/>
      <c r="AD135" s="703"/>
      <c r="AE135" s="703"/>
      <c r="AF135" s="703"/>
      <c r="AG135" s="703"/>
      <c r="AH135" s="703"/>
      <c r="AI135" s="703"/>
      <c r="AJ135" s="703"/>
      <c r="AK135" s="703"/>
      <c r="AL135" s="703"/>
      <c r="AM135" s="703"/>
      <c r="AN135" s="703"/>
      <c r="AO135" s="704"/>
      <c r="AP135" s="705"/>
      <c r="AQ135" s="763" t="str">
        <f t="shared" si="10"/>
        <v/>
      </c>
      <c r="AS135" s="268"/>
      <c r="AV135" s="699"/>
      <c r="AW135" s="700">
        <v>6.8999999999999999E-3</v>
      </c>
      <c r="AX135" s="382">
        <f t="shared" si="8"/>
        <v>0</v>
      </c>
      <c r="AY135" s="379" t="str">
        <f t="shared" ca="1" si="11"/>
        <v>BBK</v>
      </c>
      <c r="AZ135" s="384">
        <f t="shared" si="9"/>
        <v>0</v>
      </c>
      <c r="BA135" s="642"/>
    </row>
    <row r="136" spans="1:53" ht="11.25" hidden="1" customHeight="1" x14ac:dyDescent="0.2">
      <c r="A136" s="867"/>
      <c r="C136" s="758"/>
      <c r="D136" s="757"/>
      <c r="E136" s="747"/>
      <c r="F136" s="703"/>
      <c r="G136" s="703"/>
      <c r="H136" s="703"/>
      <c r="I136" s="703"/>
      <c r="J136" s="703"/>
      <c r="K136" s="703"/>
      <c r="L136" s="703"/>
      <c r="M136" s="703"/>
      <c r="N136" s="703"/>
      <c r="O136" s="703"/>
      <c r="P136" s="703"/>
      <c r="Q136" s="703"/>
      <c r="R136" s="703"/>
      <c r="S136" s="703"/>
      <c r="T136" s="703"/>
      <c r="U136" s="703"/>
      <c r="V136" s="703"/>
      <c r="W136" s="703"/>
      <c r="X136" s="703"/>
      <c r="Y136" s="703"/>
      <c r="Z136" s="703"/>
      <c r="AA136" s="703"/>
      <c r="AB136" s="703"/>
      <c r="AC136" s="703"/>
      <c r="AD136" s="703"/>
      <c r="AE136" s="703"/>
      <c r="AF136" s="703"/>
      <c r="AG136" s="703"/>
      <c r="AH136" s="703"/>
      <c r="AI136" s="703"/>
      <c r="AJ136" s="703"/>
      <c r="AK136" s="703"/>
      <c r="AL136" s="703"/>
      <c r="AM136" s="703"/>
      <c r="AN136" s="703"/>
      <c r="AO136" s="704"/>
      <c r="AP136" s="705"/>
      <c r="AQ136" s="763" t="str">
        <f t="shared" si="10"/>
        <v/>
      </c>
      <c r="AS136" s="268"/>
      <c r="AV136" s="699"/>
      <c r="AW136" s="700">
        <v>7.0000000000000001E-3</v>
      </c>
      <c r="AX136" s="382">
        <f t="shared" si="8"/>
        <v>0</v>
      </c>
      <c r="AY136" s="379" t="str">
        <f t="shared" ca="1" si="11"/>
        <v>BBK</v>
      </c>
      <c r="AZ136" s="384">
        <f t="shared" si="9"/>
        <v>0</v>
      </c>
      <c r="BA136" s="642"/>
    </row>
    <row r="137" spans="1:53" ht="11.25" hidden="1" customHeight="1" x14ac:dyDescent="0.2">
      <c r="A137" s="867"/>
      <c r="C137" s="758"/>
      <c r="D137" s="757"/>
      <c r="E137" s="747"/>
      <c r="F137" s="703"/>
      <c r="G137" s="703"/>
      <c r="H137" s="703"/>
      <c r="I137" s="703"/>
      <c r="J137" s="703"/>
      <c r="K137" s="703"/>
      <c r="L137" s="703"/>
      <c r="M137" s="703"/>
      <c r="N137" s="703"/>
      <c r="O137" s="703"/>
      <c r="P137" s="703"/>
      <c r="Q137" s="703"/>
      <c r="R137" s="703"/>
      <c r="S137" s="703"/>
      <c r="T137" s="703"/>
      <c r="U137" s="703"/>
      <c r="V137" s="703"/>
      <c r="W137" s="703"/>
      <c r="X137" s="703"/>
      <c r="Y137" s="703"/>
      <c r="Z137" s="703"/>
      <c r="AA137" s="703"/>
      <c r="AB137" s="703"/>
      <c r="AC137" s="703"/>
      <c r="AD137" s="703"/>
      <c r="AE137" s="703"/>
      <c r="AF137" s="703"/>
      <c r="AG137" s="703"/>
      <c r="AH137" s="703"/>
      <c r="AI137" s="703"/>
      <c r="AJ137" s="703"/>
      <c r="AK137" s="703"/>
      <c r="AL137" s="703"/>
      <c r="AM137" s="703"/>
      <c r="AN137" s="703"/>
      <c r="AO137" s="704"/>
      <c r="AP137" s="705"/>
      <c r="AQ137" s="763" t="str">
        <f t="shared" si="10"/>
        <v/>
      </c>
      <c r="AS137" s="268"/>
      <c r="AV137" s="699"/>
      <c r="AW137" s="700">
        <v>7.1000000000000004E-3</v>
      </c>
      <c r="AX137" s="382">
        <f t="shared" si="8"/>
        <v>0</v>
      </c>
      <c r="AY137" s="379" t="str">
        <f t="shared" ca="1" si="11"/>
        <v>BBK</v>
      </c>
      <c r="AZ137" s="384">
        <f t="shared" si="9"/>
        <v>0</v>
      </c>
      <c r="BA137" s="642"/>
    </row>
    <row r="138" spans="1:53" ht="11.25" hidden="1" customHeight="1" x14ac:dyDescent="0.2">
      <c r="A138" s="867"/>
      <c r="C138" s="758"/>
      <c r="D138" s="757"/>
      <c r="E138" s="747"/>
      <c r="F138" s="703"/>
      <c r="G138" s="703"/>
      <c r="H138" s="703"/>
      <c r="I138" s="703"/>
      <c r="J138" s="703"/>
      <c r="K138" s="703"/>
      <c r="L138" s="703"/>
      <c r="M138" s="703"/>
      <c r="N138" s="703"/>
      <c r="O138" s="703"/>
      <c r="P138" s="703"/>
      <c r="Q138" s="703"/>
      <c r="R138" s="703"/>
      <c r="S138" s="703"/>
      <c r="T138" s="703"/>
      <c r="U138" s="703"/>
      <c r="V138" s="703"/>
      <c r="W138" s="703"/>
      <c r="X138" s="703"/>
      <c r="Y138" s="703"/>
      <c r="Z138" s="703"/>
      <c r="AA138" s="703"/>
      <c r="AB138" s="703"/>
      <c r="AC138" s="703"/>
      <c r="AD138" s="703"/>
      <c r="AE138" s="703"/>
      <c r="AF138" s="703"/>
      <c r="AG138" s="703"/>
      <c r="AH138" s="703"/>
      <c r="AI138" s="703"/>
      <c r="AJ138" s="703"/>
      <c r="AK138" s="703"/>
      <c r="AL138" s="703"/>
      <c r="AM138" s="703"/>
      <c r="AN138" s="703"/>
      <c r="AO138" s="704"/>
      <c r="AP138" s="705"/>
      <c r="AQ138" s="763" t="str">
        <f t="shared" si="10"/>
        <v/>
      </c>
      <c r="AS138" s="268"/>
      <c r="AV138" s="699"/>
      <c r="AW138" s="700">
        <v>7.1999999999999998E-3</v>
      </c>
      <c r="AX138" s="382">
        <f t="shared" si="8"/>
        <v>0</v>
      </c>
      <c r="AY138" s="379" t="str">
        <f t="shared" ca="1" si="11"/>
        <v>BBK</v>
      </c>
      <c r="AZ138" s="384">
        <f t="shared" si="9"/>
        <v>0</v>
      </c>
      <c r="BA138" s="642"/>
    </row>
    <row r="139" spans="1:53" ht="11.25" hidden="1" customHeight="1" x14ac:dyDescent="0.2">
      <c r="A139" s="867"/>
      <c r="C139" s="758"/>
      <c r="D139" s="757"/>
      <c r="E139" s="747"/>
      <c r="F139" s="703"/>
      <c r="G139" s="703"/>
      <c r="H139" s="703"/>
      <c r="I139" s="703"/>
      <c r="J139" s="703"/>
      <c r="K139" s="703"/>
      <c r="L139" s="703"/>
      <c r="M139" s="703"/>
      <c r="N139" s="703"/>
      <c r="O139" s="703"/>
      <c r="P139" s="703"/>
      <c r="Q139" s="703"/>
      <c r="R139" s="703"/>
      <c r="S139" s="703"/>
      <c r="T139" s="703"/>
      <c r="U139" s="703"/>
      <c r="V139" s="703"/>
      <c r="W139" s="703"/>
      <c r="X139" s="703"/>
      <c r="Y139" s="703"/>
      <c r="Z139" s="703"/>
      <c r="AA139" s="703"/>
      <c r="AB139" s="703"/>
      <c r="AC139" s="703"/>
      <c r="AD139" s="703"/>
      <c r="AE139" s="703"/>
      <c r="AF139" s="703"/>
      <c r="AG139" s="703"/>
      <c r="AH139" s="703"/>
      <c r="AI139" s="703"/>
      <c r="AJ139" s="703"/>
      <c r="AK139" s="703"/>
      <c r="AL139" s="703"/>
      <c r="AM139" s="703"/>
      <c r="AN139" s="703"/>
      <c r="AO139" s="704"/>
      <c r="AP139" s="705"/>
      <c r="AQ139" s="763" t="str">
        <f t="shared" si="10"/>
        <v/>
      </c>
      <c r="AS139" s="268"/>
      <c r="AV139" s="699"/>
      <c r="AW139" s="700">
        <v>7.3000000000000001E-3</v>
      </c>
      <c r="AX139" s="382">
        <f t="shared" si="8"/>
        <v>0</v>
      </c>
      <c r="AY139" s="379" t="str">
        <f t="shared" ca="1" si="11"/>
        <v>BBK</v>
      </c>
      <c r="AZ139" s="384">
        <f t="shared" si="9"/>
        <v>0</v>
      </c>
      <c r="BA139" s="642"/>
    </row>
    <row r="140" spans="1:53" ht="11.25" hidden="1" customHeight="1" x14ac:dyDescent="0.2">
      <c r="A140" s="867"/>
      <c r="C140" s="758"/>
      <c r="D140" s="757"/>
      <c r="E140" s="747"/>
      <c r="F140" s="703"/>
      <c r="G140" s="703"/>
      <c r="H140" s="703"/>
      <c r="I140" s="703"/>
      <c r="J140" s="703"/>
      <c r="K140" s="703"/>
      <c r="L140" s="703"/>
      <c r="M140" s="703"/>
      <c r="N140" s="703"/>
      <c r="O140" s="703"/>
      <c r="P140" s="703"/>
      <c r="Q140" s="703"/>
      <c r="R140" s="703"/>
      <c r="S140" s="703"/>
      <c r="T140" s="703"/>
      <c r="U140" s="703"/>
      <c r="V140" s="703"/>
      <c r="W140" s="703"/>
      <c r="X140" s="703"/>
      <c r="Y140" s="703"/>
      <c r="Z140" s="703"/>
      <c r="AA140" s="703"/>
      <c r="AB140" s="703"/>
      <c r="AC140" s="703"/>
      <c r="AD140" s="703"/>
      <c r="AE140" s="703"/>
      <c r="AF140" s="703"/>
      <c r="AG140" s="703"/>
      <c r="AH140" s="703"/>
      <c r="AI140" s="703"/>
      <c r="AJ140" s="703"/>
      <c r="AK140" s="703"/>
      <c r="AL140" s="703"/>
      <c r="AM140" s="703"/>
      <c r="AN140" s="703"/>
      <c r="AO140" s="704"/>
      <c r="AP140" s="705"/>
      <c r="AQ140" s="763" t="str">
        <f t="shared" si="10"/>
        <v/>
      </c>
      <c r="AS140" s="268"/>
      <c r="AV140" s="699"/>
      <c r="AW140" s="700">
        <v>7.4000000000000003E-3</v>
      </c>
      <c r="AX140" s="382">
        <f t="shared" si="8"/>
        <v>0</v>
      </c>
      <c r="AY140" s="379" t="str">
        <f t="shared" ca="1" si="11"/>
        <v>BBK</v>
      </c>
      <c r="AZ140" s="384">
        <f t="shared" si="9"/>
        <v>0</v>
      </c>
      <c r="BA140" s="642"/>
    </row>
    <row r="141" spans="1:53" ht="11.25" hidden="1" customHeight="1" x14ac:dyDescent="0.2">
      <c r="A141" s="867"/>
      <c r="C141" s="758"/>
      <c r="D141" s="757"/>
      <c r="E141" s="747"/>
      <c r="F141" s="703"/>
      <c r="G141" s="703"/>
      <c r="H141" s="703"/>
      <c r="I141" s="703"/>
      <c r="J141" s="703"/>
      <c r="K141" s="703"/>
      <c r="L141" s="703"/>
      <c r="M141" s="703"/>
      <c r="N141" s="703"/>
      <c r="O141" s="703"/>
      <c r="P141" s="703"/>
      <c r="Q141" s="703"/>
      <c r="R141" s="703"/>
      <c r="S141" s="703"/>
      <c r="T141" s="703"/>
      <c r="U141" s="703"/>
      <c r="V141" s="703"/>
      <c r="W141" s="703"/>
      <c r="X141" s="703"/>
      <c r="Y141" s="703"/>
      <c r="Z141" s="703"/>
      <c r="AA141" s="703"/>
      <c r="AB141" s="703"/>
      <c r="AC141" s="703"/>
      <c r="AD141" s="703"/>
      <c r="AE141" s="703"/>
      <c r="AF141" s="703"/>
      <c r="AG141" s="703"/>
      <c r="AH141" s="703"/>
      <c r="AI141" s="703"/>
      <c r="AJ141" s="703"/>
      <c r="AK141" s="703"/>
      <c r="AL141" s="703"/>
      <c r="AM141" s="703"/>
      <c r="AN141" s="703"/>
      <c r="AO141" s="704"/>
      <c r="AP141" s="705"/>
      <c r="AQ141" s="763" t="str">
        <f t="shared" si="10"/>
        <v/>
      </c>
      <c r="AS141" s="268"/>
      <c r="AV141" s="699"/>
      <c r="AW141" s="700">
        <v>7.4999999999999997E-3</v>
      </c>
      <c r="AX141" s="382">
        <f t="shared" si="8"/>
        <v>0</v>
      </c>
      <c r="AY141" s="379" t="str">
        <f t="shared" ca="1" si="11"/>
        <v>BBK</v>
      </c>
      <c r="AZ141" s="384">
        <f t="shared" si="9"/>
        <v>0</v>
      </c>
      <c r="BA141" s="642"/>
    </row>
    <row r="142" spans="1:53" ht="11.25" hidden="1" customHeight="1" x14ac:dyDescent="0.2">
      <c r="A142" s="867"/>
      <c r="C142" s="758"/>
      <c r="D142" s="757"/>
      <c r="E142" s="747"/>
      <c r="F142" s="703"/>
      <c r="G142" s="703"/>
      <c r="H142" s="703"/>
      <c r="I142" s="703"/>
      <c r="J142" s="703"/>
      <c r="K142" s="703"/>
      <c r="L142" s="703"/>
      <c r="M142" s="703"/>
      <c r="N142" s="703"/>
      <c r="O142" s="703"/>
      <c r="P142" s="703"/>
      <c r="Q142" s="703"/>
      <c r="R142" s="703"/>
      <c r="S142" s="703"/>
      <c r="T142" s="703"/>
      <c r="U142" s="703"/>
      <c r="V142" s="703"/>
      <c r="W142" s="703"/>
      <c r="X142" s="703"/>
      <c r="Y142" s="703"/>
      <c r="Z142" s="703"/>
      <c r="AA142" s="703"/>
      <c r="AB142" s="703"/>
      <c r="AC142" s="703"/>
      <c r="AD142" s="703"/>
      <c r="AE142" s="703"/>
      <c r="AF142" s="703"/>
      <c r="AG142" s="703"/>
      <c r="AH142" s="703"/>
      <c r="AI142" s="703"/>
      <c r="AJ142" s="703"/>
      <c r="AK142" s="703"/>
      <c r="AL142" s="703"/>
      <c r="AM142" s="703"/>
      <c r="AN142" s="703"/>
      <c r="AO142" s="704"/>
      <c r="AP142" s="705"/>
      <c r="AQ142" s="763" t="str">
        <f t="shared" si="10"/>
        <v/>
      </c>
      <c r="AS142" s="268"/>
      <c r="AV142" s="699"/>
      <c r="AW142" s="700">
        <v>7.6E-3</v>
      </c>
      <c r="AX142" s="382">
        <f t="shared" si="8"/>
        <v>0</v>
      </c>
      <c r="AY142" s="379" t="str">
        <f t="shared" ca="1" si="11"/>
        <v>BBK</v>
      </c>
      <c r="AZ142" s="384">
        <f t="shared" si="9"/>
        <v>0</v>
      </c>
      <c r="BA142" s="642"/>
    </row>
    <row r="143" spans="1:53" ht="11.25" hidden="1" customHeight="1" x14ac:dyDescent="0.2">
      <c r="A143" s="867"/>
      <c r="C143" s="758"/>
      <c r="D143" s="757"/>
      <c r="E143" s="747"/>
      <c r="F143" s="703"/>
      <c r="G143" s="703"/>
      <c r="H143" s="703"/>
      <c r="I143" s="703"/>
      <c r="J143" s="703"/>
      <c r="K143" s="703"/>
      <c r="L143" s="703"/>
      <c r="M143" s="703"/>
      <c r="N143" s="703"/>
      <c r="O143" s="703"/>
      <c r="P143" s="703"/>
      <c r="Q143" s="703"/>
      <c r="R143" s="703"/>
      <c r="S143" s="703"/>
      <c r="T143" s="703"/>
      <c r="U143" s="703"/>
      <c r="V143" s="703"/>
      <c r="W143" s="703"/>
      <c r="X143" s="703"/>
      <c r="Y143" s="703"/>
      <c r="Z143" s="703"/>
      <c r="AA143" s="703"/>
      <c r="AB143" s="703"/>
      <c r="AC143" s="703"/>
      <c r="AD143" s="703"/>
      <c r="AE143" s="703"/>
      <c r="AF143" s="703"/>
      <c r="AG143" s="703"/>
      <c r="AH143" s="703"/>
      <c r="AI143" s="703"/>
      <c r="AJ143" s="703"/>
      <c r="AK143" s="703"/>
      <c r="AL143" s="703"/>
      <c r="AM143" s="703"/>
      <c r="AN143" s="703"/>
      <c r="AO143" s="704"/>
      <c r="AP143" s="705"/>
      <c r="AQ143" s="763" t="str">
        <f t="shared" si="10"/>
        <v/>
      </c>
      <c r="AS143" s="268"/>
      <c r="AV143" s="699"/>
      <c r="AW143" s="700">
        <v>7.7000000000000002E-3</v>
      </c>
      <c r="AX143" s="382">
        <f t="shared" si="8"/>
        <v>0</v>
      </c>
      <c r="AY143" s="379" t="str">
        <f t="shared" ca="1" si="11"/>
        <v>BBK</v>
      </c>
      <c r="AZ143" s="384">
        <f t="shared" si="9"/>
        <v>0</v>
      </c>
      <c r="BA143" s="642"/>
    </row>
    <row r="144" spans="1:53" ht="11.25" hidden="1" customHeight="1" x14ac:dyDescent="0.2">
      <c r="A144" s="867"/>
      <c r="C144" s="758"/>
      <c r="D144" s="757"/>
      <c r="E144" s="747"/>
      <c r="F144" s="703"/>
      <c r="G144" s="703"/>
      <c r="H144" s="703"/>
      <c r="I144" s="703"/>
      <c r="J144" s="703"/>
      <c r="K144" s="703"/>
      <c r="L144" s="703"/>
      <c r="M144" s="703"/>
      <c r="N144" s="703"/>
      <c r="O144" s="703"/>
      <c r="P144" s="703"/>
      <c r="Q144" s="703"/>
      <c r="R144" s="703"/>
      <c r="S144" s="703"/>
      <c r="T144" s="703"/>
      <c r="U144" s="703"/>
      <c r="V144" s="703"/>
      <c r="W144" s="703"/>
      <c r="X144" s="703"/>
      <c r="Y144" s="703"/>
      <c r="Z144" s="703"/>
      <c r="AA144" s="703"/>
      <c r="AB144" s="703"/>
      <c r="AC144" s="703"/>
      <c r="AD144" s="703"/>
      <c r="AE144" s="703"/>
      <c r="AF144" s="703"/>
      <c r="AG144" s="703"/>
      <c r="AH144" s="703"/>
      <c r="AI144" s="703"/>
      <c r="AJ144" s="703"/>
      <c r="AK144" s="703"/>
      <c r="AL144" s="703"/>
      <c r="AM144" s="703"/>
      <c r="AN144" s="703"/>
      <c r="AO144" s="704"/>
      <c r="AP144" s="705"/>
      <c r="AQ144" s="763" t="str">
        <f t="shared" si="10"/>
        <v/>
      </c>
      <c r="AS144" s="268"/>
      <c r="AV144" s="699"/>
      <c r="AW144" s="700">
        <v>7.7999999999999996E-3</v>
      </c>
      <c r="AX144" s="382">
        <f t="shared" si="8"/>
        <v>0</v>
      </c>
      <c r="AY144" s="379" t="str">
        <f t="shared" ca="1" si="11"/>
        <v>BBK</v>
      </c>
      <c r="AZ144" s="384">
        <f t="shared" si="9"/>
        <v>0</v>
      </c>
      <c r="BA144" s="642"/>
    </row>
    <row r="145" spans="1:54" ht="11.25" hidden="1" customHeight="1" x14ac:dyDescent="0.2">
      <c r="A145" s="867"/>
      <c r="C145" s="758"/>
      <c r="D145" s="757"/>
      <c r="E145" s="747"/>
      <c r="F145" s="703"/>
      <c r="G145" s="703"/>
      <c r="H145" s="703"/>
      <c r="I145" s="703"/>
      <c r="J145" s="703"/>
      <c r="K145" s="703"/>
      <c r="L145" s="703"/>
      <c r="M145" s="703"/>
      <c r="N145" s="703"/>
      <c r="O145" s="703"/>
      <c r="P145" s="703"/>
      <c r="Q145" s="703"/>
      <c r="R145" s="703"/>
      <c r="S145" s="703"/>
      <c r="T145" s="703"/>
      <c r="U145" s="703"/>
      <c r="V145" s="703"/>
      <c r="W145" s="703"/>
      <c r="X145" s="703"/>
      <c r="Y145" s="703"/>
      <c r="Z145" s="703"/>
      <c r="AA145" s="703"/>
      <c r="AB145" s="703"/>
      <c r="AC145" s="703"/>
      <c r="AD145" s="703"/>
      <c r="AE145" s="703"/>
      <c r="AF145" s="703"/>
      <c r="AG145" s="703"/>
      <c r="AH145" s="703"/>
      <c r="AI145" s="703"/>
      <c r="AJ145" s="703"/>
      <c r="AK145" s="703"/>
      <c r="AL145" s="703"/>
      <c r="AM145" s="703"/>
      <c r="AN145" s="703"/>
      <c r="AO145" s="704"/>
      <c r="AP145" s="705"/>
      <c r="AQ145" s="763" t="str">
        <f t="shared" si="10"/>
        <v/>
      </c>
      <c r="AS145" s="268"/>
      <c r="AV145" s="699"/>
      <c r="AW145" s="700">
        <v>7.9000000000000008E-3</v>
      </c>
      <c r="AX145" s="382">
        <f t="shared" si="8"/>
        <v>0</v>
      </c>
      <c r="AY145" s="379" t="str">
        <f t="shared" ca="1" si="11"/>
        <v>BBK</v>
      </c>
      <c r="AZ145" s="384">
        <f t="shared" si="9"/>
        <v>0</v>
      </c>
      <c r="BA145" s="642"/>
    </row>
    <row r="146" spans="1:54" ht="12.75" customHeight="1" x14ac:dyDescent="0.2">
      <c r="A146" s="867"/>
      <c r="C146" s="759"/>
      <c r="D146" s="760"/>
      <c r="E146" s="748"/>
      <c r="F146" s="708"/>
      <c r="G146" s="708"/>
      <c r="H146" s="708"/>
      <c r="I146" s="708"/>
      <c r="J146" s="708"/>
      <c r="K146" s="708"/>
      <c r="L146" s="708"/>
      <c r="M146" s="708"/>
      <c r="N146" s="708"/>
      <c r="O146" s="708"/>
      <c r="P146" s="708"/>
      <c r="Q146" s="708"/>
      <c r="R146" s="708"/>
      <c r="S146" s="708"/>
      <c r="T146" s="708"/>
      <c r="U146" s="708"/>
      <c r="V146" s="708"/>
      <c r="W146" s="708"/>
      <c r="X146" s="708"/>
      <c r="Y146" s="708"/>
      <c r="Z146" s="708"/>
      <c r="AA146" s="708"/>
      <c r="AB146" s="708"/>
      <c r="AC146" s="708"/>
      <c r="AD146" s="708"/>
      <c r="AE146" s="708"/>
      <c r="AF146" s="708"/>
      <c r="AG146" s="708"/>
      <c r="AH146" s="708"/>
      <c r="AI146" s="708"/>
      <c r="AJ146" s="708"/>
      <c r="AK146" s="708"/>
      <c r="AL146" s="708"/>
      <c r="AM146" s="708"/>
      <c r="AN146" s="708"/>
      <c r="AO146" s="709"/>
      <c r="AP146" s="710"/>
      <c r="AQ146" s="763" t="str">
        <f t="shared" si="10"/>
        <v/>
      </c>
      <c r="AS146" s="268"/>
      <c r="AV146" s="699"/>
      <c r="AW146" s="700">
        <v>8.0000000000000002E-3</v>
      </c>
      <c r="AX146" s="382">
        <f t="shared" si="8"/>
        <v>0</v>
      </c>
      <c r="AY146" s="379" t="str">
        <f t="shared" ca="1" si="11"/>
        <v>BBK</v>
      </c>
      <c r="AZ146" s="384">
        <f t="shared" si="9"/>
        <v>0</v>
      </c>
      <c r="BA146" s="642"/>
    </row>
    <row r="147" spans="1:54" ht="13.5" customHeight="1" x14ac:dyDescent="0.2">
      <c r="A147" s="867"/>
      <c r="AV147" s="699"/>
      <c r="AW147" s="700">
        <v>8.0999999999999996E-3</v>
      </c>
      <c r="AX147" s="642"/>
      <c r="AY147" s="642"/>
      <c r="BA147" s="642"/>
    </row>
    <row r="148" spans="1:54" ht="1.5" customHeight="1" x14ac:dyDescent="0.2">
      <c r="A148" s="867"/>
      <c r="AV148" s="699"/>
      <c r="AW148" s="700">
        <v>8.2000000000000007E-3</v>
      </c>
    </row>
    <row r="149" spans="1:54" s="186" customFormat="1" ht="11.25" hidden="1" customHeight="1" x14ac:dyDescent="0.2">
      <c r="A149" s="867"/>
      <c r="AS149" s="672"/>
      <c r="AU149" s="669"/>
      <c r="AV149" s="699"/>
      <c r="AW149" s="700">
        <v>8.3000000000000001E-3</v>
      </c>
      <c r="AX149" s="643"/>
      <c r="AY149" s="643"/>
      <c r="AZ149" s="671"/>
      <c r="BA149" s="643"/>
      <c r="BB149" s="669"/>
    </row>
    <row r="150" spans="1:54" s="673" customFormat="1" ht="13.5" hidden="1" customHeight="1" x14ac:dyDescent="0.2">
      <c r="A150" s="867"/>
      <c r="D150" s="674"/>
      <c r="E150" s="674"/>
      <c r="F150" s="674"/>
      <c r="G150" s="674"/>
      <c r="H150" s="674"/>
      <c r="I150" s="674"/>
      <c r="J150" s="674"/>
      <c r="K150" s="674"/>
      <c r="L150" s="674"/>
      <c r="M150" s="674"/>
      <c r="N150" s="674"/>
      <c r="O150" s="674"/>
      <c r="P150" s="674"/>
      <c r="Q150" s="674"/>
      <c r="R150" s="674"/>
      <c r="S150" s="674"/>
      <c r="T150" s="674"/>
      <c r="U150" s="674"/>
      <c r="V150" s="674"/>
      <c r="W150" s="674"/>
      <c r="X150" s="674"/>
      <c r="Y150" s="674"/>
      <c r="Z150" s="674"/>
      <c r="AA150" s="674"/>
      <c r="AB150" s="674"/>
      <c r="AC150" s="674"/>
      <c r="AD150" s="674"/>
      <c r="AE150" s="674"/>
      <c r="AF150" s="674"/>
      <c r="AG150" s="674"/>
      <c r="AH150" s="674"/>
      <c r="AI150" s="674"/>
      <c r="AJ150" s="674"/>
      <c r="AK150" s="674"/>
      <c r="AL150" s="674"/>
      <c r="AM150" s="674"/>
      <c r="AN150" s="674"/>
      <c r="AO150" s="674"/>
      <c r="AP150" s="674"/>
      <c r="AS150" s="675"/>
      <c r="AU150" s="643"/>
      <c r="AV150" s="699"/>
      <c r="AW150" s="700">
        <v>8.3999999999999995E-3</v>
      </c>
      <c r="AX150" s="643"/>
      <c r="AY150" s="643"/>
      <c r="AZ150" s="671"/>
      <c r="BA150" s="643"/>
      <c r="BB150" s="643"/>
    </row>
    <row r="151" spans="1:54" s="673" customFormat="1" ht="13.5" hidden="1" customHeight="1" x14ac:dyDescent="0.2">
      <c r="A151" s="867"/>
      <c r="C151" s="324">
        <f>C101+1</f>
        <v>3</v>
      </c>
      <c r="D151" s="383"/>
      <c r="E151" s="383">
        <v>1</v>
      </c>
      <c r="F151" s="383">
        <v>2</v>
      </c>
      <c r="G151" s="383">
        <v>3</v>
      </c>
      <c r="H151" s="383">
        <v>4</v>
      </c>
      <c r="I151" s="383">
        <v>5</v>
      </c>
      <c r="J151" s="383">
        <v>6</v>
      </c>
      <c r="K151" s="383">
        <v>7</v>
      </c>
      <c r="L151" s="383">
        <v>8</v>
      </c>
      <c r="M151" s="383">
        <v>9</v>
      </c>
      <c r="N151" s="383">
        <v>10</v>
      </c>
      <c r="O151" s="383">
        <v>11</v>
      </c>
      <c r="P151" s="383">
        <v>12</v>
      </c>
      <c r="Q151" s="383">
        <v>13</v>
      </c>
      <c r="R151" s="383">
        <v>14</v>
      </c>
      <c r="S151" s="383">
        <v>15</v>
      </c>
      <c r="T151" s="383">
        <v>16</v>
      </c>
      <c r="U151" s="383">
        <v>17</v>
      </c>
      <c r="V151" s="383">
        <v>18</v>
      </c>
      <c r="W151" s="383">
        <v>19</v>
      </c>
      <c r="X151" s="383">
        <v>20</v>
      </c>
      <c r="Y151" s="383">
        <v>21</v>
      </c>
      <c r="Z151" s="751">
        <v>22</v>
      </c>
      <c r="AA151" s="383">
        <v>23</v>
      </c>
      <c r="AB151" s="383">
        <v>24</v>
      </c>
      <c r="AC151" s="383">
        <v>25</v>
      </c>
      <c r="AD151" s="383">
        <v>26</v>
      </c>
      <c r="AE151" s="383">
        <v>27</v>
      </c>
      <c r="AF151" s="383"/>
      <c r="AG151" s="383"/>
      <c r="AH151" s="383"/>
      <c r="AI151" s="383"/>
      <c r="AJ151" s="383"/>
      <c r="AK151" s="383"/>
      <c r="AL151" s="383"/>
      <c r="AM151" s="383"/>
      <c r="AN151" s="383"/>
      <c r="AO151" s="383"/>
      <c r="AP151" s="674"/>
      <c r="AS151" s="675"/>
      <c r="AU151" s="643"/>
      <c r="AV151" s="699"/>
      <c r="AW151" s="700">
        <v>8.5000000000000006E-3</v>
      </c>
      <c r="AX151" s="643"/>
      <c r="AY151" s="643"/>
      <c r="AZ151" s="671"/>
      <c r="BA151" s="643"/>
      <c r="BB151" s="643"/>
    </row>
    <row r="152" spans="1:54" s="673" customFormat="1" ht="13.5" hidden="1" customHeight="1" x14ac:dyDescent="0.2">
      <c r="A152" s="867"/>
      <c r="D152" s="383"/>
      <c r="E152" s="383"/>
      <c r="F152" s="383"/>
      <c r="G152" s="383"/>
      <c r="H152" s="383"/>
      <c r="I152" s="383"/>
      <c r="J152" s="383"/>
      <c r="K152" s="383"/>
      <c r="L152" s="383"/>
      <c r="M152" s="383"/>
      <c r="N152" s="383"/>
      <c r="O152" s="383"/>
      <c r="P152" s="383"/>
      <c r="Q152" s="383"/>
      <c r="R152" s="383"/>
      <c r="S152" s="383"/>
      <c r="T152" s="383"/>
      <c r="U152" s="383"/>
      <c r="V152" s="383"/>
      <c r="W152" s="383"/>
      <c r="X152" s="383"/>
      <c r="Y152" s="383"/>
      <c r="Z152" s="751"/>
      <c r="AA152" s="383"/>
      <c r="AB152" s="383"/>
      <c r="AC152" s="383"/>
      <c r="AD152" s="383"/>
      <c r="AE152" s="383"/>
      <c r="AF152" s="383"/>
      <c r="AG152" s="383"/>
      <c r="AH152" s="383"/>
      <c r="AI152" s="383"/>
      <c r="AJ152" s="383"/>
      <c r="AK152" s="383"/>
      <c r="AL152" s="383"/>
      <c r="AM152" s="383"/>
      <c r="AN152" s="383"/>
      <c r="AO152" s="383"/>
      <c r="AP152" s="674"/>
      <c r="AS152" s="675"/>
      <c r="AU152" s="643"/>
      <c r="AV152" s="699"/>
      <c r="AW152" s="700">
        <v>8.6E-3</v>
      </c>
      <c r="AX152" s="643"/>
      <c r="AY152" s="643"/>
      <c r="AZ152" s="671"/>
      <c r="BA152" s="643"/>
      <c r="BB152" s="643"/>
    </row>
    <row r="153" spans="1:54" s="673" customFormat="1" ht="13.5" hidden="1" customHeight="1" x14ac:dyDescent="0.2">
      <c r="A153" s="867"/>
      <c r="D153" s="676"/>
      <c r="E153" s="676">
        <f t="shared" ref="E153:AE153" si="12">E$53</f>
        <v>1</v>
      </c>
      <c r="F153" s="676">
        <f t="shared" si="12"/>
        <v>17</v>
      </c>
      <c r="G153" s="676">
        <f t="shared" si="12"/>
        <v>33</v>
      </c>
      <c r="H153" s="676">
        <f t="shared" si="12"/>
        <v>49</v>
      </c>
      <c r="I153" s="676">
        <f t="shared" si="12"/>
        <v>65</v>
      </c>
      <c r="J153" s="676">
        <f t="shared" si="12"/>
        <v>81</v>
      </c>
      <c r="K153" s="676">
        <f t="shared" si="12"/>
        <v>97</v>
      </c>
      <c r="L153" s="676">
        <f t="shared" si="12"/>
        <v>113</v>
      </c>
      <c r="M153" s="676">
        <f t="shared" si="12"/>
        <v>129</v>
      </c>
      <c r="N153" s="676">
        <f t="shared" si="12"/>
        <v>145</v>
      </c>
      <c r="O153" s="676">
        <f t="shared" si="12"/>
        <v>161</v>
      </c>
      <c r="P153" s="676">
        <f t="shared" si="12"/>
        <v>177</v>
      </c>
      <c r="Q153" s="676">
        <f t="shared" si="12"/>
        <v>193</v>
      </c>
      <c r="R153" s="676">
        <f t="shared" si="12"/>
        <v>209</v>
      </c>
      <c r="S153" s="676">
        <f t="shared" si="12"/>
        <v>225</v>
      </c>
      <c r="T153" s="676">
        <f t="shared" si="12"/>
        <v>241</v>
      </c>
      <c r="U153" s="676">
        <f t="shared" si="12"/>
        <v>257</v>
      </c>
      <c r="V153" s="676">
        <f t="shared" si="12"/>
        <v>273</v>
      </c>
      <c r="W153" s="676">
        <f t="shared" si="12"/>
        <v>289</v>
      </c>
      <c r="X153" s="676">
        <f t="shared" si="12"/>
        <v>305</v>
      </c>
      <c r="Y153" s="676">
        <f t="shared" si="12"/>
        <v>321</v>
      </c>
      <c r="Z153" s="676">
        <f t="shared" si="12"/>
        <v>337</v>
      </c>
      <c r="AA153" s="676">
        <f t="shared" si="12"/>
        <v>1</v>
      </c>
      <c r="AB153" s="676">
        <f t="shared" si="12"/>
        <v>19</v>
      </c>
      <c r="AC153" s="676">
        <f t="shared" si="12"/>
        <v>37</v>
      </c>
      <c r="AD153" s="676">
        <f t="shared" si="12"/>
        <v>55</v>
      </c>
      <c r="AE153" s="676">
        <f t="shared" si="12"/>
        <v>73</v>
      </c>
      <c r="AF153" s="676"/>
      <c r="AG153" s="676"/>
      <c r="AH153" s="676"/>
      <c r="AI153" s="676"/>
      <c r="AJ153" s="676"/>
      <c r="AK153" s="676"/>
      <c r="AL153" s="676"/>
      <c r="AM153" s="676"/>
      <c r="AN153" s="676"/>
      <c r="AO153" s="676"/>
      <c r="AP153" s="674"/>
      <c r="AS153" s="675"/>
      <c r="AU153" s="643"/>
      <c r="AV153" s="699"/>
      <c r="AW153" s="700">
        <v>8.6999999999999994E-3</v>
      </c>
      <c r="AX153" s="643"/>
      <c r="AY153" s="643"/>
      <c r="AZ153" s="671"/>
      <c r="BA153" s="643"/>
      <c r="BB153" s="643"/>
    </row>
    <row r="154" spans="1:54" s="673" customFormat="1" ht="13.5" hidden="1" customHeight="1" x14ac:dyDescent="0.2">
      <c r="A154" s="867"/>
      <c r="D154" s="677"/>
      <c r="E154" s="749" t="b">
        <f ca="1">COUNTIF(OFFSET(ASZ!$AB$42,E153,-4,12,2),$C162)=0</f>
        <v>0</v>
      </c>
      <c r="F154" s="749" t="b">
        <f ca="1">COUNTIF(OFFSET(ASZ!$AB$42,F153,-4,12,2),$C162)=0</f>
        <v>0</v>
      </c>
      <c r="G154" s="749" t="b">
        <f ca="1">COUNTIF(OFFSET(ASZ!$AB$42,G153,-4,12,2),$C162)=0</f>
        <v>0</v>
      </c>
      <c r="H154" s="749" t="b">
        <f ca="1">COUNTIF(OFFSET(ASZ!$AB$42,H153,-4,12,2),$C162)=0</f>
        <v>0</v>
      </c>
      <c r="I154" s="749" t="b">
        <f ca="1">COUNTIF(OFFSET(ASZ!$AB$42,I153,-4,12,2),$C162)=0</f>
        <v>0</v>
      </c>
      <c r="J154" s="749" t="b">
        <f ca="1">COUNTIF(OFFSET(ASZ!$AB$42,J153,-4,12,2),$C162)=0</f>
        <v>0</v>
      </c>
      <c r="K154" s="749" t="b">
        <f ca="1">COUNTIF(OFFSET(ASZ!$AB$42,K153,-4,12,2),$C162)=0</f>
        <v>0</v>
      </c>
      <c r="L154" s="749" t="b">
        <f ca="1">COUNTIF(OFFSET(ASZ!$AB$42,L153,-4,12,2),$C162)=0</f>
        <v>0</v>
      </c>
      <c r="M154" s="749" t="b">
        <f ca="1">COUNTIF(OFFSET(ASZ!$AB$42,M153,-4,12,2),$C162)=0</f>
        <v>0</v>
      </c>
      <c r="N154" s="749" t="b">
        <f ca="1">COUNTIF(OFFSET(ASZ!$AB$42,N153,-4,12,2),$C162)=0</f>
        <v>0</v>
      </c>
      <c r="O154" s="749" t="b">
        <f ca="1">COUNTIF(OFFSET(ASZ!$AB$42,O153,-4,12,2),$C162)=0</f>
        <v>0</v>
      </c>
      <c r="P154" s="749" t="b">
        <f ca="1">COUNTIF(OFFSET(ASZ!$AB$42,P153,-4,12,2),$C162)=0</f>
        <v>0</v>
      </c>
      <c r="Q154" s="749" t="b">
        <f ca="1">COUNTIF(OFFSET(ASZ!$AB$42,Q153,-4,12,2),$C162)=0</f>
        <v>0</v>
      </c>
      <c r="R154" s="749" t="b">
        <f ca="1">COUNTIF(OFFSET(ASZ!$AB$42,R153,-4,12,2),$C162)=0</f>
        <v>0</v>
      </c>
      <c r="S154" s="749" t="b">
        <f ca="1">COUNTIF(OFFSET(ASZ!$AB$42,S153,-4,12,2),$C162)=0</f>
        <v>0</v>
      </c>
      <c r="T154" s="749" t="b">
        <f ca="1">COUNTIF(OFFSET(ASZ!$AB$42,T153,-4,12,2),$C162)=0</f>
        <v>0</v>
      </c>
      <c r="U154" s="749" t="b">
        <f ca="1">COUNTIF(OFFSET(ASZ!$AB$42,U153,-4,12,2),$C162)=0</f>
        <v>0</v>
      </c>
      <c r="V154" s="749" t="b">
        <f ca="1">COUNTIF(OFFSET(ASZ!$AB$42,V153,-4,12,2),$C162)=0</f>
        <v>0</v>
      </c>
      <c r="W154" s="749" t="b">
        <f ca="1">COUNTIF(OFFSET(ASZ!$AB$42,W153,-4,12,2),$C162)=0</f>
        <v>0</v>
      </c>
      <c r="X154" s="749" t="b">
        <f ca="1">COUNTIF(OFFSET(ASZ!$AB$42,X153,-4,12,2),$C162)=0</f>
        <v>0</v>
      </c>
      <c r="Y154" s="749" t="b">
        <f ca="1">COUNTIF(OFFSET(ASZ!$AB$42,Y153,-4,12,2),$C162)=0</f>
        <v>0</v>
      </c>
      <c r="Z154" s="753" t="b">
        <f ca="1">COUNTIF(OFFSET(ASZ!$AB$42,Z153,-4,12,2),$C162)=0</f>
        <v>0</v>
      </c>
      <c r="AA154" s="749" t="b">
        <f ca="1">COUNTIF(OFFSET(RCSOP!$AF$56,AA153,-4,14,2),$C162)=0</f>
        <v>0</v>
      </c>
      <c r="AB154" s="749" t="b">
        <f ca="1">COUNTIF(OFFSET(RCSOP!$AF$56,AB153,-4,14,2),$C162)=0</f>
        <v>0</v>
      </c>
      <c r="AC154" s="749" t="b">
        <f ca="1">COUNTIF(OFFSET(RCSOP!$AF$56,AC153,-4,14,2),$C162)=0</f>
        <v>0</v>
      </c>
      <c r="AD154" s="749" t="b">
        <f ca="1">COUNTIF(OFFSET(RCSOP!$AF$56,AD153,-4,14,2),$C162)=0</f>
        <v>0</v>
      </c>
      <c r="AE154" s="749" t="b">
        <f ca="1">COUNTIF(OFFSET(RCSOP!$AF$56,AE153,-4,14,2),$C162)=0</f>
        <v>0</v>
      </c>
      <c r="AF154" s="677"/>
      <c r="AG154" s="677"/>
      <c r="AH154" s="677"/>
      <c r="AI154" s="677"/>
      <c r="AJ154" s="677"/>
      <c r="AK154" s="677"/>
      <c r="AL154" s="677"/>
      <c r="AM154" s="677"/>
      <c r="AN154" s="677"/>
      <c r="AO154" s="677"/>
      <c r="AP154" s="674"/>
      <c r="AS154" s="675"/>
      <c r="AU154" s="643"/>
      <c r="AV154" s="699"/>
      <c r="AW154" s="700">
        <v>8.8000000000000005E-3</v>
      </c>
      <c r="AY154" s="643"/>
      <c r="AZ154" s="671"/>
      <c r="BA154" s="643"/>
      <c r="BB154" s="643"/>
    </row>
    <row r="155" spans="1:54" s="673" customFormat="1" ht="13.5" hidden="1" customHeight="1" x14ac:dyDescent="0.2">
      <c r="A155" s="867"/>
      <c r="D155" s="677"/>
      <c r="E155" s="749" t="b">
        <f ca="1">COUNTIF(OFFSET(ASZ!$AB$42,E153,-4,12,1),$C162)=1</f>
        <v>0</v>
      </c>
      <c r="F155" s="749" t="b">
        <f ca="1">COUNTIF(OFFSET(ASZ!$AB$42,F153,-4,12,1),$C162)=1</f>
        <v>0</v>
      </c>
      <c r="G155" s="749" t="b">
        <f ca="1">COUNTIF(OFFSET(ASZ!$AB$42,G153,-4,12,1),$C162)=1</f>
        <v>0</v>
      </c>
      <c r="H155" s="749" t="b">
        <f ca="1">COUNTIF(OFFSET(ASZ!$AB$42,H153,-4,12,1),$C162)=1</f>
        <v>1</v>
      </c>
      <c r="I155" s="749" t="b">
        <f ca="1">COUNTIF(OFFSET(ASZ!$AB$42,I153,-4,12,1),$C162)=1</f>
        <v>0</v>
      </c>
      <c r="J155" s="749" t="b">
        <f ca="1">COUNTIF(OFFSET(ASZ!$AB$42,J153,-4,12,1),$C162)=1</f>
        <v>1</v>
      </c>
      <c r="K155" s="749" t="b">
        <f ca="1">COUNTIF(OFFSET(ASZ!$AB$42,K153,-4,12,1),$C162)=1</f>
        <v>0</v>
      </c>
      <c r="L155" s="749" t="b">
        <f ca="1">COUNTIF(OFFSET(ASZ!$AB$42,L153,-4,12,1),$C162)=1</f>
        <v>1</v>
      </c>
      <c r="M155" s="749" t="b">
        <f ca="1">COUNTIF(OFFSET(ASZ!$AB$42,M153,-4,12,1),$C162)=1</f>
        <v>0</v>
      </c>
      <c r="N155" s="749" t="b">
        <f ca="1">COUNTIF(OFFSET(ASZ!$AB$42,N153,-4,12,1),$C162)=1</f>
        <v>1</v>
      </c>
      <c r="O155" s="749" t="b">
        <f ca="1">COUNTIF(OFFSET(ASZ!$AB$42,O153,-4,12,1),$C162)=1</f>
        <v>0</v>
      </c>
      <c r="P155" s="749" t="b">
        <f ca="1">COUNTIF(OFFSET(ASZ!$AB$42,P153,-4,12,1),$C162)=1</f>
        <v>1</v>
      </c>
      <c r="Q155" s="749" t="b">
        <f ca="1">COUNTIF(OFFSET(ASZ!$AB$42,Q153,-4,12,1),$C162)=1</f>
        <v>1</v>
      </c>
      <c r="R155" s="749" t="b">
        <f ca="1">COUNTIF(OFFSET(ASZ!$AB$42,R153,-4,12,1),$C162)=1</f>
        <v>1</v>
      </c>
      <c r="S155" s="749" t="b">
        <f ca="1">COUNTIF(OFFSET(ASZ!$AB$42,S153,-4,12,1),$C162)=1</f>
        <v>0</v>
      </c>
      <c r="T155" s="749" t="b">
        <f ca="1">COUNTIF(OFFSET(ASZ!$AB$42,T153,-4,12,1),$C162)=1</f>
        <v>1</v>
      </c>
      <c r="U155" s="749" t="b">
        <f ca="1">COUNTIF(OFFSET(ASZ!$AB$42,U153,-4,12,1),$C162)=1</f>
        <v>1</v>
      </c>
      <c r="V155" s="749" t="b">
        <f ca="1">COUNTIF(OFFSET(ASZ!$AB$42,V153,-4,12,1),$C162)=1</f>
        <v>1</v>
      </c>
      <c r="W155" s="749" t="b">
        <f ca="1">COUNTIF(OFFSET(ASZ!$AB$42,W153,-4,12,1),$C162)=1</f>
        <v>0</v>
      </c>
      <c r="X155" s="749" t="b">
        <f ca="1">COUNTIF(OFFSET(ASZ!$AB$42,X153,-4,12,1),$C162)=1</f>
        <v>1</v>
      </c>
      <c r="Y155" s="749" t="b">
        <f ca="1">COUNTIF(OFFSET(ASZ!$AB$42,Y153,-4,12,1),$C162)=1</f>
        <v>0</v>
      </c>
      <c r="Z155" s="753" t="b">
        <f ca="1">COUNTIF(OFFSET(ASZ!$AB$42,Z153,-4,12,1),$C162)=1</f>
        <v>1</v>
      </c>
      <c r="AA155" s="749" t="b">
        <f ca="1">COUNTIF(OFFSET(RCSOP!$AF$56,AA153,-4,14,1),$C162)=1</f>
        <v>1</v>
      </c>
      <c r="AB155" s="749" t="b">
        <f ca="1">COUNTIF(OFFSET(RCSOP!$AF$56,AB153,-4,14,1),$C162)=1</f>
        <v>1</v>
      </c>
      <c r="AC155" s="749" t="b">
        <f ca="1">COUNTIF(OFFSET(RCSOP!$AF$56,AC153,-4,14,1),$C162)=1</f>
        <v>0</v>
      </c>
      <c r="AD155" s="749" t="b">
        <f ca="1">COUNTIF(OFFSET(RCSOP!$AF$56,AD153,-4,14,1),$C162)=1</f>
        <v>0</v>
      </c>
      <c r="AE155" s="749" t="b">
        <f ca="1">COUNTIF(OFFSET(RCSOP!$AF$56,AE153,-4,14,1),$C162)=1</f>
        <v>1</v>
      </c>
      <c r="AF155" s="677"/>
      <c r="AG155" s="677"/>
      <c r="AH155" s="677"/>
      <c r="AI155" s="677"/>
      <c r="AJ155" s="677"/>
      <c r="AK155" s="677"/>
      <c r="AL155" s="677"/>
      <c r="AM155" s="677"/>
      <c r="AN155" s="677"/>
      <c r="AO155" s="677"/>
      <c r="AP155" s="674"/>
      <c r="AS155" s="675"/>
      <c r="AU155" s="643"/>
      <c r="AV155" s="699"/>
      <c r="AW155" s="700">
        <v>8.8999999999999999E-3</v>
      </c>
      <c r="AX155" s="643"/>
      <c r="AY155" s="643"/>
      <c r="AZ155" s="671"/>
      <c r="BA155" s="643"/>
      <c r="BB155" s="643"/>
    </row>
    <row r="156" spans="1:54" s="673" customFormat="1" ht="13.5" hidden="1" customHeight="1" x14ac:dyDescent="0.2">
      <c r="A156" s="867"/>
      <c r="D156" s="674"/>
      <c r="E156" s="674"/>
      <c r="F156" s="674"/>
      <c r="G156" s="674"/>
      <c r="H156" s="674"/>
      <c r="I156" s="674"/>
      <c r="J156" s="674"/>
      <c r="K156" s="674"/>
      <c r="L156" s="674"/>
      <c r="M156" s="674"/>
      <c r="N156" s="674"/>
      <c r="O156" s="674"/>
      <c r="P156" s="674"/>
      <c r="Q156" s="674"/>
      <c r="R156" s="674"/>
      <c r="S156" s="674"/>
      <c r="T156" s="674"/>
      <c r="U156" s="674"/>
      <c r="V156" s="674"/>
      <c r="W156" s="674"/>
      <c r="X156" s="674"/>
      <c r="Y156" s="674"/>
      <c r="Z156" s="674"/>
      <c r="AA156" s="674"/>
      <c r="AB156" s="674"/>
      <c r="AC156" s="674"/>
      <c r="AD156" s="674"/>
      <c r="AE156" s="674"/>
      <c r="AF156" s="674"/>
      <c r="AG156" s="674"/>
      <c r="AH156" s="674"/>
      <c r="AI156" s="674"/>
      <c r="AJ156" s="674"/>
      <c r="AK156" s="674"/>
      <c r="AL156" s="674"/>
      <c r="AM156" s="674"/>
      <c r="AN156" s="674"/>
      <c r="AO156" s="674"/>
      <c r="AP156" s="674"/>
      <c r="AS156" s="675"/>
      <c r="AU156" s="643"/>
      <c r="AV156" s="699"/>
      <c r="AW156" s="700">
        <v>8.9999999999999993E-3</v>
      </c>
      <c r="AX156" s="643"/>
      <c r="AY156" s="643"/>
      <c r="AZ156" s="671"/>
      <c r="BA156" s="643"/>
      <c r="BB156" s="643"/>
    </row>
    <row r="157" spans="1:54" s="673" customFormat="1" ht="13.5" hidden="1" customHeight="1" x14ac:dyDescent="0.2">
      <c r="A157" s="867"/>
      <c r="D157" s="674"/>
      <c r="E157" s="674"/>
      <c r="F157" s="674"/>
      <c r="G157" s="674"/>
      <c r="H157" s="674"/>
      <c r="I157" s="674"/>
      <c r="J157" s="674"/>
      <c r="K157" s="674"/>
      <c r="L157" s="674"/>
      <c r="M157" s="674"/>
      <c r="N157" s="674"/>
      <c r="O157" s="674"/>
      <c r="P157" s="674"/>
      <c r="Q157" s="674"/>
      <c r="R157" s="674"/>
      <c r="S157" s="674"/>
      <c r="T157" s="674"/>
      <c r="U157" s="674"/>
      <c r="V157" s="674"/>
      <c r="W157" s="674"/>
      <c r="X157" s="674"/>
      <c r="Y157" s="674"/>
      <c r="Z157" s="674"/>
      <c r="AA157" s="674"/>
      <c r="AB157" s="674"/>
      <c r="AC157" s="674"/>
      <c r="AD157" s="674"/>
      <c r="AE157" s="674"/>
      <c r="AF157" s="674"/>
      <c r="AG157" s="674"/>
      <c r="AH157" s="674"/>
      <c r="AI157" s="674"/>
      <c r="AJ157" s="674"/>
      <c r="AK157" s="674"/>
      <c r="AL157" s="674"/>
      <c r="AM157" s="674"/>
      <c r="AN157" s="674"/>
      <c r="AO157" s="674"/>
      <c r="AP157" s="674"/>
      <c r="AS157" s="675"/>
      <c r="AU157" s="643"/>
      <c r="AV157" s="699"/>
      <c r="AW157" s="700">
        <v>9.1000000000000004E-3</v>
      </c>
      <c r="AX157" s="643"/>
      <c r="AY157" s="643"/>
      <c r="AZ157" s="671"/>
      <c r="BA157" s="643"/>
      <c r="BB157" s="643"/>
    </row>
    <row r="158" spans="1:54" s="673" customFormat="1" ht="13.5" hidden="1" customHeight="1" x14ac:dyDescent="0.2">
      <c r="A158" s="867"/>
      <c r="D158" s="674"/>
      <c r="E158" s="674"/>
      <c r="F158" s="674"/>
      <c r="G158" s="674"/>
      <c r="H158" s="674"/>
      <c r="I158" s="674"/>
      <c r="J158" s="674"/>
      <c r="K158" s="674"/>
      <c r="L158" s="674"/>
      <c r="M158" s="674"/>
      <c r="N158" s="674"/>
      <c r="O158" s="674"/>
      <c r="P158" s="674"/>
      <c r="Q158" s="674"/>
      <c r="R158" s="674"/>
      <c r="S158" s="674"/>
      <c r="T158" s="674"/>
      <c r="U158" s="674"/>
      <c r="V158" s="674"/>
      <c r="W158" s="674"/>
      <c r="X158" s="674"/>
      <c r="Y158" s="674"/>
      <c r="Z158" s="674"/>
      <c r="AA158" s="674"/>
      <c r="AB158" s="674"/>
      <c r="AC158" s="674"/>
      <c r="AD158" s="674"/>
      <c r="AE158" s="674"/>
      <c r="AF158" s="674"/>
      <c r="AG158" s="674"/>
      <c r="AH158" s="674"/>
      <c r="AI158" s="674"/>
      <c r="AJ158" s="674"/>
      <c r="AK158" s="674"/>
      <c r="AL158" s="674"/>
      <c r="AM158" s="674"/>
      <c r="AN158" s="674"/>
      <c r="AO158" s="674"/>
      <c r="AP158" s="674"/>
      <c r="AS158" s="675"/>
      <c r="AU158" s="643"/>
      <c r="AV158" s="699"/>
      <c r="AW158" s="700">
        <v>9.1999999999999998E-3</v>
      </c>
      <c r="AX158" s="643"/>
      <c r="AY158" s="643"/>
      <c r="AZ158" s="671"/>
      <c r="BA158" s="643"/>
      <c r="BB158" s="643"/>
    </row>
    <row r="159" spans="1:54" s="673" customFormat="1" ht="13.5" hidden="1" customHeight="1" x14ac:dyDescent="0.2">
      <c r="A159" s="867"/>
      <c r="D159" s="674"/>
      <c r="E159" s="674"/>
      <c r="F159" s="674"/>
      <c r="G159" s="674"/>
      <c r="H159" s="674"/>
      <c r="I159" s="674"/>
      <c r="J159" s="674"/>
      <c r="K159" s="674"/>
      <c r="L159" s="674"/>
      <c r="M159" s="674"/>
      <c r="N159" s="674"/>
      <c r="O159" s="674"/>
      <c r="P159" s="674"/>
      <c r="Q159" s="674"/>
      <c r="R159" s="674"/>
      <c r="S159" s="674"/>
      <c r="T159" s="674"/>
      <c r="U159" s="674"/>
      <c r="V159" s="674"/>
      <c r="W159" s="674"/>
      <c r="X159" s="674"/>
      <c r="Y159" s="674"/>
      <c r="Z159" s="674"/>
      <c r="AA159" s="674"/>
      <c r="AB159" s="674"/>
      <c r="AC159" s="674"/>
      <c r="AD159" s="674"/>
      <c r="AE159" s="674"/>
      <c r="AF159" s="674"/>
      <c r="AG159" s="674"/>
      <c r="AH159" s="674"/>
      <c r="AI159" s="674"/>
      <c r="AJ159" s="674"/>
      <c r="AK159" s="674"/>
      <c r="AL159" s="674"/>
      <c r="AM159" s="674"/>
      <c r="AN159" s="674"/>
      <c r="AO159" s="674"/>
      <c r="AP159" s="674"/>
      <c r="AS159" s="675"/>
      <c r="AU159" s="643"/>
      <c r="AV159" s="699"/>
      <c r="AW159" s="700">
        <v>9.2999999999999992E-3</v>
      </c>
      <c r="AX159" s="643"/>
      <c r="AY159" s="643"/>
      <c r="AZ159" s="671"/>
      <c r="BA159" s="643"/>
      <c r="BB159" s="643"/>
    </row>
    <row r="160" spans="1:54" s="673" customFormat="1" ht="13.5" hidden="1" customHeight="1" x14ac:dyDescent="0.2">
      <c r="A160" s="867"/>
      <c r="D160" s="674"/>
      <c r="E160" s="674"/>
      <c r="F160" s="674"/>
      <c r="G160" s="674"/>
      <c r="H160" s="674"/>
      <c r="I160" s="674"/>
      <c r="J160" s="674"/>
      <c r="K160" s="674"/>
      <c r="L160" s="674"/>
      <c r="M160" s="674"/>
      <c r="N160" s="674"/>
      <c r="O160" s="674"/>
      <c r="P160" s="674"/>
      <c r="Q160" s="674"/>
      <c r="R160" s="674"/>
      <c r="S160" s="674"/>
      <c r="T160" s="674"/>
      <c r="U160" s="674"/>
      <c r="V160" s="674"/>
      <c r="W160" s="674"/>
      <c r="X160" s="674"/>
      <c r="Y160" s="674"/>
      <c r="Z160" s="674"/>
      <c r="AA160" s="674"/>
      <c r="AB160" s="674"/>
      <c r="AC160" s="674"/>
      <c r="AD160" s="674"/>
      <c r="AE160" s="674"/>
      <c r="AF160" s="674"/>
      <c r="AG160" s="674"/>
      <c r="AH160" s="674"/>
      <c r="AI160" s="674"/>
      <c r="AJ160" s="674"/>
      <c r="AK160" s="674"/>
      <c r="AL160" s="674"/>
      <c r="AM160" s="674"/>
      <c r="AN160" s="674"/>
      <c r="AO160" s="674"/>
      <c r="AP160" s="674"/>
      <c r="AS160" s="675"/>
      <c r="AU160" s="643"/>
      <c r="AV160" s="699"/>
      <c r="AW160" s="700">
        <v>9.4000000000000004E-3</v>
      </c>
      <c r="AX160" s="643"/>
      <c r="AY160" s="643"/>
      <c r="AZ160" s="671"/>
      <c r="BA160" s="643"/>
      <c r="BB160" s="643"/>
    </row>
    <row r="161" spans="1:54" s="186" customFormat="1" ht="11.25" hidden="1" customHeight="1" x14ac:dyDescent="0.2">
      <c r="A161" s="867"/>
      <c r="D161" s="678"/>
      <c r="E161" s="678"/>
      <c r="F161" s="678"/>
      <c r="G161" s="678"/>
      <c r="H161" s="678"/>
      <c r="I161" s="678"/>
      <c r="J161" s="678"/>
      <c r="K161" s="678"/>
      <c r="L161" s="678"/>
      <c r="M161" s="678"/>
      <c r="N161" s="678"/>
      <c r="O161" s="678"/>
      <c r="P161" s="678"/>
      <c r="Q161" s="678"/>
      <c r="R161" s="678"/>
      <c r="S161" s="678"/>
      <c r="T161" s="678"/>
      <c r="U161" s="678"/>
      <c r="V161" s="678"/>
      <c r="W161" s="678"/>
      <c r="X161" s="678"/>
      <c r="Y161" s="678"/>
      <c r="Z161" s="678"/>
      <c r="AA161" s="678"/>
      <c r="AB161" s="678"/>
      <c r="AC161" s="678"/>
      <c r="AD161" s="678"/>
      <c r="AE161" s="678"/>
      <c r="AF161" s="678"/>
      <c r="AG161" s="678"/>
      <c r="AH161" s="678"/>
      <c r="AI161" s="678"/>
      <c r="AJ161" s="678"/>
      <c r="AK161" s="678"/>
      <c r="AL161" s="678"/>
      <c r="AM161" s="678"/>
      <c r="AN161" s="678"/>
      <c r="AO161" s="678"/>
      <c r="AP161" s="678"/>
      <c r="AS161" s="672"/>
      <c r="AU161" s="669"/>
      <c r="AV161" s="699"/>
      <c r="AW161" s="700">
        <v>9.4999999999999998E-3</v>
      </c>
      <c r="AX161" s="643"/>
      <c r="AY161" s="643"/>
      <c r="AZ161" s="671"/>
      <c r="BA161" s="643"/>
      <c r="BB161" s="669"/>
    </row>
    <row r="162" spans="1:54" ht="30" customHeight="1" x14ac:dyDescent="0.2">
      <c r="A162" s="867"/>
      <c r="C162" s="679" t="str">
        <f ca="1">UPPER(INDEX(teams.a,C151,1))</f>
        <v>BHD</v>
      </c>
      <c r="D162" s="743"/>
      <c r="E162" s="743">
        <f ca="1">IF(E154,"",VLOOKUP($C162,OFFSET(ASZ!$AB$42,E153,IF(E155,-4,-3),12,12),IF(E155,12,11),FALSE))</f>
        <v>42088</v>
      </c>
      <c r="F162" s="743">
        <f ca="1">IF(F154,"",VLOOKUP($C162,OFFSET(ASZ!$AB$42,F153,IF(F155,-4,-3),12,12),IF(F155,12,11),FALSE))</f>
        <v>42095</v>
      </c>
      <c r="G162" s="743">
        <f ca="1">IF(G154,"",VLOOKUP($C162,OFFSET(ASZ!$AB$42,G153,IF(G155,-4,-3),12,12),IF(G155,12,11),FALSE))</f>
        <v>42102</v>
      </c>
      <c r="H162" s="743">
        <f ca="1">IF(H154,"",VLOOKUP($C162,OFFSET(ASZ!$AB$42,H153,IF(H155,-4,-3),12,12),IF(H155,12,11),FALSE))</f>
        <v>42123</v>
      </c>
      <c r="I162" s="743">
        <f ca="1">IF(I154,"",VLOOKUP($C162,OFFSET(ASZ!$AB$42,I153,IF(I155,-4,-3),12,12),IF(I155,12,11),FALSE))</f>
        <v>42116</v>
      </c>
      <c r="J162" s="743">
        <f ca="1">IF(J154,"",VLOOKUP($C162,OFFSET(ASZ!$AB$42,J153,IF(J155,-4,-3),12,12),IF(J155,12,11),FALSE))</f>
        <v>42123</v>
      </c>
      <c r="K162" s="743">
        <f ca="1">IF(K154,"",VLOOKUP($C162,OFFSET(ASZ!$AB$42,K153,IF(K155,-4,-3),12,12),IF(K155,12,11),FALSE))</f>
        <v>42130</v>
      </c>
      <c r="L162" s="743">
        <f ca="1">IF(L154,"",VLOOKUP($C162,OFFSET(ASZ!$AB$42,L153,IF(L155,-4,-3),12,12),IF(L155,12,11),FALSE))</f>
        <v>42137</v>
      </c>
      <c r="M162" s="743">
        <f ca="1">IF(M154,"",VLOOKUP($C162,OFFSET(ASZ!$AB$42,M153,IF(M155,-4,-3),12,12),IF(M155,12,11),FALSE))</f>
        <v>42144</v>
      </c>
      <c r="N162" s="743">
        <f ca="1">IF(N154,"",VLOOKUP($C162,OFFSET(ASZ!$AB$42,N153,IF(N155,-4,-3),12,12),IF(N155,12,11),FALSE))</f>
        <v>42151</v>
      </c>
      <c r="O162" s="743">
        <f ca="1">IF(O154,"",VLOOKUP($C162,OFFSET(ASZ!$AB$42,O153,IF(O155,-4,-3),12,12),IF(O155,12,11),FALSE))</f>
        <v>42158</v>
      </c>
      <c r="P162" s="743">
        <f ca="1">IF(P154,"",VLOOKUP($C162,OFFSET(ASZ!$AB$42,P153,IF(P155,-4,-3),12,12),IF(P155,12,11),FALSE))</f>
        <v>42165</v>
      </c>
      <c r="Q162" s="743">
        <f ca="1">IF(Q154,"",VLOOKUP($C162,OFFSET(ASZ!$AB$42,Q153,IF(Q155,-4,-3),12,12),IF(Q155,12,11),FALSE))</f>
        <v>42256</v>
      </c>
      <c r="R162" s="743">
        <f ca="1">IF(R154,"",VLOOKUP($C162,OFFSET(ASZ!$AB$42,R153,IF(R155,-4,-3),12,12),IF(R155,12,11),FALSE))</f>
        <v>42179</v>
      </c>
      <c r="S162" s="743">
        <f ca="1">IF(S154,"",VLOOKUP($C162,OFFSET(ASZ!$AB$42,S153,IF(S155,-4,-3),12,12),IF(S155,12,11),FALSE))</f>
        <v>42242</v>
      </c>
      <c r="T162" s="743">
        <f ca="1">IF(T154,"",VLOOKUP($C162,OFFSET(ASZ!$AB$42,T153,IF(T155,-4,-3),12,12),IF(T155,12,11),FALSE))</f>
        <v>42249</v>
      </c>
      <c r="U162" s="743">
        <f ca="1">IF(U154,"",VLOOKUP($C162,OFFSET(ASZ!$AB$42,U153,IF(U155,-4,-3),12,12),IF(U155,12,11),FALSE))</f>
        <v>42256</v>
      </c>
      <c r="V162" s="743">
        <f ca="1">IF(V154,"",VLOOKUP($C162,OFFSET(ASZ!$AB$42,V153,IF(V155,-4,-3),12,12),IF(V155,12,11),FALSE))</f>
        <v>42263</v>
      </c>
      <c r="W162" s="743">
        <f ca="1">IF(W154,"",VLOOKUP($C162,OFFSET(ASZ!$AB$42,W153,IF(W155,-4,-3),12,12),IF(W155,12,11),FALSE))</f>
        <v>42270</v>
      </c>
      <c r="X162" s="743">
        <f ca="1">IF(X154,"",VLOOKUP($C162,OFFSET(ASZ!$AB$42,X153,IF(X155,-4,-3),12,12),IF(X155,12,11),FALSE))</f>
        <v>42277</v>
      </c>
      <c r="Y162" s="743">
        <f ca="1">IF(Y154,"",VLOOKUP($C162,OFFSET(ASZ!$AB$42,Y153,IF(Y155,-4,-3),12,12),IF(Y155,12,11),FALSE))</f>
        <v>42284</v>
      </c>
      <c r="Z162" s="743">
        <f ca="1">IF(Z154,"",VLOOKUP($C162,OFFSET(ASZ!$AB$42,Z153,IF(Z155,-4,-3),12,12),IF(Z155,12,11),FALSE))</f>
        <v>42291</v>
      </c>
      <c r="AA162" s="743">
        <f ca="1">IF(AA154,"",VLOOKUP($C162,OFFSET(RCSOP!$AF$56,AA153,IF(AA155,-4,-3),14,12),IF(AA155,12,11),FALSE))</f>
        <v>42298</v>
      </c>
      <c r="AB162" s="743">
        <f ca="1">IF(AB154,"",VLOOKUP($C162,OFFSET(RCSOP!$AF$56,AB153,IF(AB155,-4,-3),14,12),IF(AB155,12,11),FALSE))</f>
        <v>42305</v>
      </c>
      <c r="AC162" s="743">
        <f ca="1">IF(AC154,"",VLOOKUP($C162,OFFSET(RCSOP!$AF$56,AC153,IF(AC155,-4,-3),14,12),IF(AC155,12,11),FALSE))</f>
        <v>42312</v>
      </c>
      <c r="AD162" s="743">
        <f ca="1">IF(AD154,"",VLOOKUP($C162,OFFSET(RCSOP!$AF$56,AD153,IF(AD155,-4,-3),14,12),IF(AD155,12,11),FALSE))</f>
        <v>42319</v>
      </c>
      <c r="AE162" s="743">
        <f ca="1">IF(AE154,"",VLOOKUP($C162,OFFSET(RCSOP!$AF$56,AE153,IF(AE155,-4,-3),14,12),IF(AE155,12,11),FALSE))</f>
        <v>42326</v>
      </c>
      <c r="AF162" s="743"/>
      <c r="AG162" s="743"/>
      <c r="AH162" s="743"/>
      <c r="AI162" s="743"/>
      <c r="AJ162" s="743"/>
      <c r="AK162" s="743"/>
      <c r="AL162" s="743"/>
      <c r="AM162" s="743"/>
      <c r="AN162" s="743"/>
      <c r="AO162" s="743"/>
      <c r="AP162" s="869" t="s">
        <v>518</v>
      </c>
      <c r="AV162" s="699"/>
      <c r="AW162" s="700">
        <v>9.5999999999999992E-3</v>
      </c>
    </row>
    <row r="163" spans="1:54" ht="12.75" customHeight="1" x14ac:dyDescent="0.2">
      <c r="A163" s="867"/>
      <c r="C163" s="224"/>
      <c r="D163" s="224" t="s">
        <v>519</v>
      </c>
      <c r="E163" s="692">
        <f ca="1">IF(E154,"",VLOOKUP($C162,OFFSET(ASZ!$AB$42,E153,IF(E155,-4,-3),12,3),3,FALSE))</f>
        <v>4</v>
      </c>
      <c r="F163" s="692">
        <f ca="1">IF(F154,"",VLOOKUP($C162,OFFSET(ASZ!$AB$42,F153,IF(F155,-4,-3),12,3),3,FALSE))</f>
        <v>1</v>
      </c>
      <c r="G163" s="692">
        <f ca="1">IF(G154,"",VLOOKUP($C162,OFFSET(ASZ!$AB$42,G153,IF(G155,-4,-3),12,3),3,FALSE))</f>
        <v>3</v>
      </c>
      <c r="H163" s="692">
        <f ca="1">IF(H154,"",VLOOKUP($C162,OFFSET(ASZ!$AB$42,H153,IF(H155,-4,-3),12,3),3,FALSE))</f>
        <v>4</v>
      </c>
      <c r="I163" s="692">
        <f ca="1">IF(I154,"",VLOOKUP($C162,OFFSET(ASZ!$AB$42,I153,IF(I155,-4,-3),12,3),3,FALSE))</f>
        <v>2</v>
      </c>
      <c r="J163" s="692" t="str">
        <f ca="1">IF(J154,"",VLOOKUP($C162,OFFSET(ASZ!$AB$42,J153,IF(J155,-4,-3),12,3),3,FALSE))</f>
        <v/>
      </c>
      <c r="K163" s="692">
        <f ca="1">IF(K154,"",VLOOKUP($C162,OFFSET(ASZ!$AB$42,K153,IF(K155,-4,-3),12,3),3,FALSE))</f>
        <v>1</v>
      </c>
      <c r="L163" s="692">
        <f ca="1">IF(L154,"",VLOOKUP($C162,OFFSET(ASZ!$AB$42,L153,IF(L155,-4,-3),12,3),3,FALSE))</f>
        <v>10</v>
      </c>
      <c r="M163" s="692">
        <f ca="1">IF(M154,"",VLOOKUP($C162,OFFSET(ASZ!$AB$42,M153,IF(M155,-4,-3),12,3),3,FALSE))</f>
        <v>6</v>
      </c>
      <c r="N163" s="692">
        <f ca="1">IF(N154,"",VLOOKUP($C162,OFFSET(ASZ!$AB$42,N153,IF(N155,-4,-3),12,3),3,FALSE))</f>
        <v>5</v>
      </c>
      <c r="O163" s="692">
        <f ca="1">IF(O154,"",VLOOKUP($C162,OFFSET(ASZ!$AB$42,O153,IF(O155,-4,-3),12,3),3,FALSE))</f>
        <v>1</v>
      </c>
      <c r="P163" s="692">
        <f ca="1">IF(P154,"",VLOOKUP($C162,OFFSET(ASZ!$AB$42,P153,IF(P155,-4,-3),12,3),3,FALSE))</f>
        <v>2</v>
      </c>
      <c r="Q163" s="692">
        <f ca="1">IF(Q154,"",VLOOKUP($C162,OFFSET(ASZ!$AB$42,Q153,IF(Q155,-4,-3),12,3),3,FALSE))</f>
        <v>2</v>
      </c>
      <c r="R163" s="692">
        <f ca="1">IF(R154,"",VLOOKUP($C162,OFFSET(ASZ!$AB$42,R153,IF(R155,-4,-3),12,3),3,FALSE))</f>
        <v>5</v>
      </c>
      <c r="S163" s="692">
        <f ca="1">IF(S154,"",VLOOKUP($C162,OFFSET(ASZ!$AB$42,S153,IF(S155,-4,-3),12,3),3,FALSE))</f>
        <v>3</v>
      </c>
      <c r="T163" s="692">
        <f ca="1">IF(T154,"",VLOOKUP($C162,OFFSET(ASZ!$AB$42,T153,IF(T155,-4,-3),12,3),3,FALSE))</f>
        <v>2</v>
      </c>
      <c r="U163" s="692" t="str">
        <f ca="1">IF(U154,"",VLOOKUP($C162,OFFSET(ASZ!$AB$42,U153,IF(U155,-4,-3),12,3),3,FALSE))</f>
        <v/>
      </c>
      <c r="V163" s="692">
        <f ca="1">IF(V154,"",VLOOKUP($C162,OFFSET(ASZ!$AB$42,V153,IF(V155,-4,-3),12,3),3,FALSE))</f>
        <v>4</v>
      </c>
      <c r="W163" s="692">
        <f ca="1">IF(W154,"",VLOOKUP($C162,OFFSET(ASZ!$AB$42,W153,IF(W155,-4,-3),12,3),3,FALSE))</f>
        <v>4</v>
      </c>
      <c r="X163" s="692">
        <f ca="1">IF(X154,"",VLOOKUP($C162,OFFSET(ASZ!$AB$42,X153,IF(X155,-4,-3),12,3),3,FALSE))</f>
        <v>5</v>
      </c>
      <c r="Y163" s="692">
        <f ca="1">IF(Y154,"",VLOOKUP($C162,OFFSET(ASZ!$AB$42,Y153,IF(Y155,-4,-3),12,3),3,FALSE))</f>
        <v>3</v>
      </c>
      <c r="Z163" s="692">
        <f ca="1">IF(Z154,"",VLOOKUP($C162,OFFSET(ASZ!$AB$42,Z153,IF(Z155,-4,-3),12,3),3,FALSE))</f>
        <v>3</v>
      </c>
      <c r="AA163" s="692">
        <f ca="1">IF(AA154,"",VLOOKUP($C162,OFFSET(RCSOP!$AF$56,AA153,IF(AA155,-4,-3),14,3),3,FALSE))</f>
        <v>4</v>
      </c>
      <c r="AB163" s="692">
        <f ca="1">IF(AB154,"",VLOOKUP($C162,OFFSET(RCSOP!$AF$56,AB153,IF(AB155,-4,-3),14,3),3,FALSE))</f>
        <v>3</v>
      </c>
      <c r="AC163" s="692">
        <f ca="1">IF(AC154,"",VLOOKUP($C162,OFFSET(RCSOP!$AF$56,AC153,IF(AC155,-4,-3),14,3),3,FALSE))</f>
        <v>2</v>
      </c>
      <c r="AD163" s="692">
        <f ca="1">IF(AD154,"",VLOOKUP($C162,OFFSET(RCSOP!$AF$56,AD153,IF(AD155,-4,-3),14,3),3,FALSE))</f>
        <v>1</v>
      </c>
      <c r="AE163" s="692">
        <f ca="1">IF(AE154,"",VLOOKUP($C162,OFFSET(RCSOP!$AF$56,AE153,IF(AE155,-4,-3),14,3),3,FALSE))</f>
        <v>4</v>
      </c>
      <c r="AF163" s="692"/>
      <c r="AG163" s="692"/>
      <c r="AH163" s="692"/>
      <c r="AI163" s="692"/>
      <c r="AJ163" s="692"/>
      <c r="AK163" s="692"/>
      <c r="AL163" s="692"/>
      <c r="AM163" s="692"/>
      <c r="AN163" s="692"/>
      <c r="AO163" s="692"/>
      <c r="AP163" s="869"/>
      <c r="AQ163" s="683">
        <f ca="1">IF(SUM(D163:AO163)=0,"",SUM(D163:AO163))</f>
        <v>84</v>
      </c>
      <c r="AV163" s="699"/>
      <c r="AW163" s="700">
        <v>9.7000000000000003E-3</v>
      </c>
    </row>
    <row r="164" spans="1:54" ht="12.75" customHeight="1" x14ac:dyDescent="0.2">
      <c r="A164" s="867"/>
      <c r="C164" s="737"/>
      <c r="D164" s="737" t="s">
        <v>520</v>
      </c>
      <c r="E164" s="739"/>
      <c r="F164" s="740"/>
      <c r="G164" s="740"/>
      <c r="H164" s="740"/>
      <c r="I164" s="740"/>
      <c r="J164" s="740"/>
      <c r="K164" s="740"/>
      <c r="L164" s="740"/>
      <c r="M164" s="740"/>
      <c r="N164" s="740"/>
      <c r="O164" s="740"/>
      <c r="P164" s="740"/>
      <c r="Q164" s="740"/>
      <c r="R164" s="740"/>
      <c r="S164" s="740"/>
      <c r="T164" s="740"/>
      <c r="U164" s="740"/>
      <c r="V164" s="740"/>
      <c r="W164" s="740"/>
      <c r="X164" s="740"/>
      <c r="Y164" s="740"/>
      <c r="Z164" s="740"/>
      <c r="AA164" s="740"/>
      <c r="AB164" s="740"/>
      <c r="AC164" s="740"/>
      <c r="AD164" s="740"/>
      <c r="AE164" s="740"/>
      <c r="AF164" s="740"/>
      <c r="AG164" s="740"/>
      <c r="AH164" s="740"/>
      <c r="AI164" s="740"/>
      <c r="AJ164" s="740"/>
      <c r="AK164" s="740"/>
      <c r="AL164" s="740"/>
      <c r="AM164" s="740"/>
      <c r="AN164" s="740"/>
      <c r="AO164" s="741"/>
      <c r="AP164" s="869"/>
      <c r="AQ164" s="762" t="str">
        <f>IF(SUM(D164:AP164)=0,"",SUM(D164:AP164))</f>
        <v/>
      </c>
      <c r="AV164" s="699"/>
      <c r="AW164" s="700">
        <v>9.7999999999999997E-3</v>
      </c>
    </row>
    <row r="165" spans="1:54" ht="12.75" customHeight="1" x14ac:dyDescent="0.2">
      <c r="A165" s="867"/>
      <c r="C165" s="738"/>
      <c r="D165" s="738" t="s">
        <v>521</v>
      </c>
      <c r="E165" s="742" t="str">
        <f t="shared" ref="E165:AE165" ca="1" si="13">IF(E163="","",IF(SUM(E167:E196)+E164=E163,"–",SUM(E167:E196)+E164-E163))</f>
        <v>–</v>
      </c>
      <c r="F165" s="742" t="str">
        <f t="shared" ca="1" si="13"/>
        <v>–</v>
      </c>
      <c r="G165" s="742" t="str">
        <f t="shared" ca="1" si="13"/>
        <v>–</v>
      </c>
      <c r="H165" s="742" t="str">
        <f t="shared" ca="1" si="13"/>
        <v>–</v>
      </c>
      <c r="I165" s="742" t="str">
        <f t="shared" ca="1" si="13"/>
        <v>–</v>
      </c>
      <c r="J165" s="742" t="str">
        <f t="shared" ca="1" si="13"/>
        <v/>
      </c>
      <c r="K165" s="742" t="str">
        <f t="shared" ca="1" si="13"/>
        <v>–</v>
      </c>
      <c r="L165" s="742" t="str">
        <f t="shared" ca="1" si="13"/>
        <v>–</v>
      </c>
      <c r="M165" s="742" t="str">
        <f t="shared" ca="1" si="13"/>
        <v>–</v>
      </c>
      <c r="N165" s="742" t="str">
        <f t="shared" ca="1" si="13"/>
        <v>–</v>
      </c>
      <c r="O165" s="742" t="str">
        <f t="shared" ca="1" si="13"/>
        <v>–</v>
      </c>
      <c r="P165" s="742" t="str">
        <f t="shared" ca="1" si="13"/>
        <v>–</v>
      </c>
      <c r="Q165" s="742" t="str">
        <f t="shared" ca="1" si="13"/>
        <v>–</v>
      </c>
      <c r="R165" s="742" t="str">
        <f t="shared" ca="1" si="13"/>
        <v>–</v>
      </c>
      <c r="S165" s="742" t="str">
        <f t="shared" ca="1" si="13"/>
        <v>–</v>
      </c>
      <c r="T165" s="742" t="str">
        <f t="shared" ca="1" si="13"/>
        <v>–</v>
      </c>
      <c r="U165" s="742" t="str">
        <f t="shared" ca="1" si="13"/>
        <v/>
      </c>
      <c r="V165" s="742" t="str">
        <f t="shared" ca="1" si="13"/>
        <v>–</v>
      </c>
      <c r="W165" s="742" t="str">
        <f t="shared" ca="1" si="13"/>
        <v>–</v>
      </c>
      <c r="X165" s="742" t="str">
        <f t="shared" ca="1" si="13"/>
        <v>–</v>
      </c>
      <c r="Y165" s="742" t="str">
        <f t="shared" ca="1" si="13"/>
        <v>–</v>
      </c>
      <c r="Z165" s="742" t="str">
        <f t="shared" ca="1" si="13"/>
        <v>–</v>
      </c>
      <c r="AA165" s="742" t="str">
        <f t="shared" ca="1" si="13"/>
        <v>–</v>
      </c>
      <c r="AB165" s="742" t="str">
        <f t="shared" ca="1" si="13"/>
        <v>–</v>
      </c>
      <c r="AC165" s="742" t="str">
        <f t="shared" ca="1" si="13"/>
        <v>–</v>
      </c>
      <c r="AD165" s="742" t="str">
        <f t="shared" ca="1" si="13"/>
        <v>–</v>
      </c>
      <c r="AE165" s="742" t="str">
        <f t="shared" ca="1" si="13"/>
        <v>–</v>
      </c>
      <c r="AF165" s="742"/>
      <c r="AG165" s="742"/>
      <c r="AH165" s="742"/>
      <c r="AI165" s="742"/>
      <c r="AJ165" s="742"/>
      <c r="AK165" s="742"/>
      <c r="AL165" s="742"/>
      <c r="AM165" s="742"/>
      <c r="AN165" s="742"/>
      <c r="AO165" s="742"/>
      <c r="AP165" s="691" t="s">
        <v>522</v>
      </c>
      <c r="AS165" s="761" t="s">
        <v>285</v>
      </c>
      <c r="AV165" s="699"/>
      <c r="AW165" s="700">
        <v>9.9000000000000008E-3</v>
      </c>
    </row>
    <row r="166" spans="1:54" ht="4.5" customHeight="1" x14ac:dyDescent="0.2">
      <c r="A166" s="867"/>
      <c r="AV166" s="699"/>
      <c r="AW166" s="700">
        <v>0.01</v>
      </c>
    </row>
    <row r="167" spans="1:54" ht="12.75" customHeight="1" x14ac:dyDescent="0.2">
      <c r="A167" s="867"/>
      <c r="C167" s="755" t="s">
        <v>659</v>
      </c>
      <c r="D167" s="756">
        <v>1</v>
      </c>
      <c r="E167" s="746"/>
      <c r="F167" s="695"/>
      <c r="G167" s="695"/>
      <c r="H167" s="695"/>
      <c r="I167" s="695"/>
      <c r="J167" s="695"/>
      <c r="K167" s="695"/>
      <c r="L167" s="695"/>
      <c r="M167" s="695"/>
      <c r="N167" s="695"/>
      <c r="O167" s="695"/>
      <c r="P167" s="695"/>
      <c r="Q167" s="695"/>
      <c r="R167" s="695"/>
      <c r="S167" s="695"/>
      <c r="T167" s="695"/>
      <c r="U167" s="695"/>
      <c r="V167" s="695"/>
      <c r="W167" s="695"/>
      <c r="X167" s="695"/>
      <c r="Y167" s="695"/>
      <c r="Z167" s="695"/>
      <c r="AA167" s="695"/>
      <c r="AB167" s="695"/>
      <c r="AC167" s="695"/>
      <c r="AD167" s="695"/>
      <c r="AE167" s="695"/>
      <c r="AF167" s="695"/>
      <c r="AG167" s="695"/>
      <c r="AH167" s="695"/>
      <c r="AI167" s="695"/>
      <c r="AJ167" s="695"/>
      <c r="AK167" s="695"/>
      <c r="AL167" s="695"/>
      <c r="AM167" s="695"/>
      <c r="AN167" s="695"/>
      <c r="AO167" s="696"/>
      <c r="AP167" s="697"/>
      <c r="AQ167" s="763" t="str">
        <f>IF(SUM(E167:AP167)=0,"",SUM(E167:AP167))</f>
        <v/>
      </c>
      <c r="AS167" s="267"/>
      <c r="AV167" s="699"/>
      <c r="AW167" s="700">
        <v>1.01E-2</v>
      </c>
      <c r="AX167" s="382">
        <f t="shared" ref="AX167:AX196" si="14">IF(OR(C167="",AQ167=""),0,AQ167+AW167)</f>
        <v>0</v>
      </c>
      <c r="AY167" s="379" t="str">
        <f ca="1">C162</f>
        <v>BHD</v>
      </c>
      <c r="AZ167" s="384" t="str">
        <f t="shared" ref="AZ167:AZ196" si="15">C167</f>
        <v>Balázsi Péter</v>
      </c>
      <c r="BA167" s="642"/>
    </row>
    <row r="168" spans="1:54" ht="12.75" customHeight="1" x14ac:dyDescent="0.2">
      <c r="A168" s="867"/>
      <c r="C168" s="758" t="s">
        <v>591</v>
      </c>
      <c r="D168" s="757">
        <v>2</v>
      </c>
      <c r="E168" s="747"/>
      <c r="F168" s="703"/>
      <c r="G168" s="703"/>
      <c r="H168" s="703"/>
      <c r="I168" s="703"/>
      <c r="J168" s="703"/>
      <c r="K168" s="703"/>
      <c r="L168" s="703"/>
      <c r="M168" s="703"/>
      <c r="N168" s="703"/>
      <c r="O168" s="703"/>
      <c r="P168" s="703"/>
      <c r="Q168" s="703"/>
      <c r="R168" s="703">
        <v>1</v>
      </c>
      <c r="S168" s="703"/>
      <c r="T168" s="703"/>
      <c r="U168" s="703"/>
      <c r="V168" s="703">
        <v>1</v>
      </c>
      <c r="W168" s="703"/>
      <c r="X168" s="703"/>
      <c r="Y168" s="703"/>
      <c r="Z168" s="703"/>
      <c r="AA168" s="703"/>
      <c r="AB168" s="703"/>
      <c r="AC168" s="703"/>
      <c r="AD168" s="703"/>
      <c r="AE168" s="703"/>
      <c r="AF168" s="703"/>
      <c r="AG168" s="703"/>
      <c r="AH168" s="703"/>
      <c r="AI168" s="703"/>
      <c r="AJ168" s="703"/>
      <c r="AK168" s="703"/>
      <c r="AL168" s="703"/>
      <c r="AM168" s="703"/>
      <c r="AN168" s="703"/>
      <c r="AO168" s="704"/>
      <c r="AP168" s="705"/>
      <c r="AQ168" s="763">
        <f t="shared" ref="AQ168:AQ196" si="16">IF(SUM(E168:AP168)=0,"",SUM(E168:AP168))</f>
        <v>2</v>
      </c>
      <c r="AS168" s="268"/>
      <c r="AV168" s="699"/>
      <c r="AW168" s="700">
        <v>1.0200000000000001E-2</v>
      </c>
      <c r="AX168" s="382">
        <f t="shared" si="14"/>
        <v>2.0102000000000002</v>
      </c>
      <c r="AY168" s="379" t="str">
        <f t="shared" ref="AY168:AY196" ca="1" si="17">AY167</f>
        <v>BHD</v>
      </c>
      <c r="AZ168" s="384" t="str">
        <f t="shared" si="15"/>
        <v>Forgó János</v>
      </c>
      <c r="BA168" s="642"/>
    </row>
    <row r="169" spans="1:54" ht="12.75" customHeight="1" x14ac:dyDescent="0.2">
      <c r="A169" s="867"/>
      <c r="C169" s="758" t="s">
        <v>602</v>
      </c>
      <c r="D169" s="757">
        <v>3</v>
      </c>
      <c r="E169" s="747"/>
      <c r="F169" s="703"/>
      <c r="G169" s="703"/>
      <c r="H169" s="703"/>
      <c r="I169" s="703"/>
      <c r="J169" s="703"/>
      <c r="K169" s="703"/>
      <c r="L169" s="703"/>
      <c r="M169" s="703"/>
      <c r="N169" s="703"/>
      <c r="O169" s="703"/>
      <c r="P169" s="703"/>
      <c r="Q169" s="703"/>
      <c r="R169" s="703"/>
      <c r="S169" s="703"/>
      <c r="T169" s="703"/>
      <c r="U169" s="703"/>
      <c r="V169" s="703"/>
      <c r="W169" s="703"/>
      <c r="X169" s="703"/>
      <c r="Y169" s="703"/>
      <c r="Z169" s="703"/>
      <c r="AA169" s="703"/>
      <c r="AB169" s="703"/>
      <c r="AC169" s="703"/>
      <c r="AD169" s="703"/>
      <c r="AE169" s="703"/>
      <c r="AF169" s="703"/>
      <c r="AG169" s="703"/>
      <c r="AH169" s="703"/>
      <c r="AI169" s="703"/>
      <c r="AJ169" s="703"/>
      <c r="AK169" s="703"/>
      <c r="AL169" s="703"/>
      <c r="AM169" s="703"/>
      <c r="AN169" s="703"/>
      <c r="AO169" s="704"/>
      <c r="AP169" s="705"/>
      <c r="AQ169" s="763" t="str">
        <f t="shared" si="16"/>
        <v/>
      </c>
      <c r="AS169" s="268"/>
      <c r="AV169" s="699"/>
      <c r="AW169" s="700">
        <v>1.03E-2</v>
      </c>
      <c r="AX169" s="382">
        <f t="shared" si="14"/>
        <v>0</v>
      </c>
      <c r="AY169" s="379" t="str">
        <f t="shared" ca="1" si="17"/>
        <v>BHD</v>
      </c>
      <c r="AZ169" s="384" t="str">
        <f t="shared" si="15"/>
        <v>Varga Attila</v>
      </c>
      <c r="BA169" s="642"/>
    </row>
    <row r="170" spans="1:54" ht="12.75" customHeight="1" x14ac:dyDescent="0.2">
      <c r="A170" s="867"/>
      <c r="C170" s="758" t="s">
        <v>592</v>
      </c>
      <c r="D170" s="757">
        <v>4</v>
      </c>
      <c r="E170" s="747"/>
      <c r="F170" s="703"/>
      <c r="G170" s="703"/>
      <c r="H170" s="703"/>
      <c r="I170" s="703">
        <v>1</v>
      </c>
      <c r="J170" s="703"/>
      <c r="K170" s="703"/>
      <c r="L170" s="703"/>
      <c r="M170" s="703"/>
      <c r="N170" s="703"/>
      <c r="O170" s="703"/>
      <c r="P170" s="703">
        <v>1</v>
      </c>
      <c r="Q170" s="703"/>
      <c r="R170" s="703"/>
      <c r="S170" s="703"/>
      <c r="T170" s="703"/>
      <c r="U170" s="703"/>
      <c r="V170" s="703"/>
      <c r="W170" s="703">
        <v>1</v>
      </c>
      <c r="X170" s="703"/>
      <c r="Y170" s="703">
        <v>1</v>
      </c>
      <c r="Z170" s="703"/>
      <c r="AA170" s="703">
        <v>1</v>
      </c>
      <c r="AB170" s="703">
        <v>1</v>
      </c>
      <c r="AC170" s="703"/>
      <c r="AD170" s="703"/>
      <c r="AE170" s="703"/>
      <c r="AF170" s="703"/>
      <c r="AG170" s="703"/>
      <c r="AH170" s="703"/>
      <c r="AI170" s="703"/>
      <c r="AJ170" s="703"/>
      <c r="AK170" s="703"/>
      <c r="AL170" s="703"/>
      <c r="AM170" s="703"/>
      <c r="AN170" s="703"/>
      <c r="AO170" s="704"/>
      <c r="AP170" s="705"/>
      <c r="AQ170" s="763">
        <f t="shared" si="16"/>
        <v>6</v>
      </c>
      <c r="AS170" s="268"/>
      <c r="AV170" s="699"/>
      <c r="AW170" s="700">
        <v>1.04E-2</v>
      </c>
      <c r="AX170" s="382">
        <f t="shared" si="14"/>
        <v>6.0103999999999997</v>
      </c>
      <c r="AY170" s="379" t="str">
        <f t="shared" ca="1" si="17"/>
        <v>BHD</v>
      </c>
      <c r="AZ170" s="384" t="str">
        <f t="shared" si="15"/>
        <v>Nahaj Gergely</v>
      </c>
      <c r="BA170" s="642"/>
    </row>
    <row r="171" spans="1:54" ht="12.75" customHeight="1" x14ac:dyDescent="0.2">
      <c r="A171" s="867"/>
      <c r="C171" s="758" t="s">
        <v>593</v>
      </c>
      <c r="D171" s="757">
        <v>5</v>
      </c>
      <c r="E171" s="747"/>
      <c r="F171" s="703"/>
      <c r="G171" s="703"/>
      <c r="H171" s="703"/>
      <c r="I171" s="703"/>
      <c r="J171" s="703"/>
      <c r="K171" s="703"/>
      <c r="L171" s="703">
        <v>3</v>
      </c>
      <c r="M171" s="703">
        <v>3</v>
      </c>
      <c r="N171" s="703"/>
      <c r="O171" s="703"/>
      <c r="P171" s="703"/>
      <c r="Q171" s="703"/>
      <c r="R171" s="703"/>
      <c r="S171" s="703"/>
      <c r="T171" s="703"/>
      <c r="U171" s="703"/>
      <c r="V171" s="703"/>
      <c r="W171" s="703"/>
      <c r="X171" s="703"/>
      <c r="Y171" s="703"/>
      <c r="Z171" s="703"/>
      <c r="AA171" s="703">
        <v>1</v>
      </c>
      <c r="AB171" s="703"/>
      <c r="AC171" s="703"/>
      <c r="AD171" s="703"/>
      <c r="AE171" s="703">
        <v>1</v>
      </c>
      <c r="AF171" s="703"/>
      <c r="AG171" s="703"/>
      <c r="AH171" s="703"/>
      <c r="AI171" s="703"/>
      <c r="AJ171" s="703"/>
      <c r="AK171" s="703"/>
      <c r="AL171" s="703"/>
      <c r="AM171" s="703"/>
      <c r="AN171" s="703"/>
      <c r="AO171" s="704"/>
      <c r="AP171" s="705"/>
      <c r="AQ171" s="763">
        <f t="shared" si="16"/>
        <v>8</v>
      </c>
      <c r="AS171" s="268"/>
      <c r="AV171" s="699"/>
      <c r="AW171" s="700">
        <v>1.0500000000000001E-2</v>
      </c>
      <c r="AX171" s="382">
        <f t="shared" si="14"/>
        <v>8.0105000000000004</v>
      </c>
      <c r="AY171" s="379" t="str">
        <f t="shared" ca="1" si="17"/>
        <v>BHD</v>
      </c>
      <c r="AZ171" s="384" t="str">
        <f t="shared" si="15"/>
        <v>Koncz János</v>
      </c>
      <c r="BA171" s="642"/>
    </row>
    <row r="172" spans="1:54" ht="12.75" customHeight="1" x14ac:dyDescent="0.2">
      <c r="A172" s="867"/>
      <c r="C172" s="758" t="s">
        <v>594</v>
      </c>
      <c r="D172" s="757">
        <v>6</v>
      </c>
      <c r="E172" s="747"/>
      <c r="F172" s="703"/>
      <c r="G172" s="703"/>
      <c r="H172" s="703">
        <v>1</v>
      </c>
      <c r="I172" s="703"/>
      <c r="J172" s="703"/>
      <c r="K172" s="703"/>
      <c r="L172" s="703"/>
      <c r="M172" s="703"/>
      <c r="N172" s="703"/>
      <c r="O172" s="703"/>
      <c r="P172" s="703"/>
      <c r="Q172" s="703"/>
      <c r="R172" s="703"/>
      <c r="S172" s="703"/>
      <c r="T172" s="703">
        <v>1</v>
      </c>
      <c r="U172" s="703"/>
      <c r="V172" s="703"/>
      <c r="W172" s="703"/>
      <c r="X172" s="703"/>
      <c r="Y172" s="703"/>
      <c r="Z172" s="703"/>
      <c r="AA172" s="703"/>
      <c r="AB172" s="703"/>
      <c r="AC172" s="703"/>
      <c r="AD172" s="703"/>
      <c r="AE172" s="703"/>
      <c r="AF172" s="703"/>
      <c r="AG172" s="703"/>
      <c r="AH172" s="703"/>
      <c r="AI172" s="703"/>
      <c r="AJ172" s="703"/>
      <c r="AK172" s="703"/>
      <c r="AL172" s="703"/>
      <c r="AM172" s="703"/>
      <c r="AN172" s="703"/>
      <c r="AO172" s="704"/>
      <c r="AP172" s="705"/>
      <c r="AQ172" s="763">
        <f t="shared" si="16"/>
        <v>2</v>
      </c>
      <c r="AS172" s="268"/>
      <c r="AV172" s="699"/>
      <c r="AW172" s="700">
        <v>1.06E-2</v>
      </c>
      <c r="AX172" s="382">
        <f t="shared" si="14"/>
        <v>2.0106000000000002</v>
      </c>
      <c r="AY172" s="379" t="str">
        <f t="shared" ca="1" si="17"/>
        <v>BHD</v>
      </c>
      <c r="AZ172" s="384" t="str">
        <f t="shared" si="15"/>
        <v>Budavári Ádám</v>
      </c>
      <c r="BA172" s="642"/>
    </row>
    <row r="173" spans="1:54" ht="12.75" customHeight="1" x14ac:dyDescent="0.2">
      <c r="A173" s="867"/>
      <c r="C173" s="758" t="s">
        <v>595</v>
      </c>
      <c r="D173" s="757">
        <v>7</v>
      </c>
      <c r="E173" s="747">
        <v>1</v>
      </c>
      <c r="F173" s="703"/>
      <c r="G173" s="703"/>
      <c r="H173" s="703"/>
      <c r="I173" s="703"/>
      <c r="J173" s="703"/>
      <c r="K173" s="703"/>
      <c r="L173" s="703">
        <v>3</v>
      </c>
      <c r="M173" s="703"/>
      <c r="N173" s="703"/>
      <c r="O173" s="703"/>
      <c r="P173" s="703"/>
      <c r="Q173" s="703">
        <v>1</v>
      </c>
      <c r="R173" s="703"/>
      <c r="S173" s="703"/>
      <c r="T173" s="703">
        <v>1</v>
      </c>
      <c r="U173" s="703"/>
      <c r="V173" s="703"/>
      <c r="W173" s="703"/>
      <c r="X173" s="703">
        <v>1</v>
      </c>
      <c r="Y173" s="703"/>
      <c r="Z173" s="703"/>
      <c r="AA173" s="703"/>
      <c r="AB173" s="703">
        <v>2</v>
      </c>
      <c r="AC173" s="703"/>
      <c r="AD173" s="703"/>
      <c r="AE173" s="703"/>
      <c r="AF173" s="703"/>
      <c r="AG173" s="703"/>
      <c r="AH173" s="703"/>
      <c r="AI173" s="703"/>
      <c r="AJ173" s="703"/>
      <c r="AK173" s="703"/>
      <c r="AL173" s="703"/>
      <c r="AM173" s="703"/>
      <c r="AN173" s="703"/>
      <c r="AO173" s="704"/>
      <c r="AP173" s="705"/>
      <c r="AQ173" s="763">
        <f t="shared" si="16"/>
        <v>9</v>
      </c>
      <c r="AS173" s="268"/>
      <c r="AV173" s="699"/>
      <c r="AW173" s="700">
        <v>1.0699999999999999E-2</v>
      </c>
      <c r="AX173" s="382">
        <f t="shared" si="14"/>
        <v>9.0106999999999999</v>
      </c>
      <c r="AY173" s="379" t="str">
        <f t="shared" ca="1" si="17"/>
        <v>BHD</v>
      </c>
      <c r="AZ173" s="384" t="str">
        <f t="shared" si="15"/>
        <v>Kálmán Dávid</v>
      </c>
      <c r="BA173" s="642"/>
    </row>
    <row r="174" spans="1:54" ht="12.75" customHeight="1" x14ac:dyDescent="0.2">
      <c r="A174" s="867"/>
      <c r="C174" s="758" t="s">
        <v>658</v>
      </c>
      <c r="D174" s="757">
        <v>8</v>
      </c>
      <c r="E174" s="747"/>
      <c r="F174" s="703"/>
      <c r="G174" s="703"/>
      <c r="H174" s="703"/>
      <c r="I174" s="703"/>
      <c r="J174" s="703"/>
      <c r="K174" s="703"/>
      <c r="L174" s="703"/>
      <c r="M174" s="703"/>
      <c r="N174" s="703"/>
      <c r="O174" s="703"/>
      <c r="P174" s="703"/>
      <c r="Q174" s="703"/>
      <c r="R174" s="703"/>
      <c r="S174" s="703"/>
      <c r="T174" s="703"/>
      <c r="U174" s="703"/>
      <c r="V174" s="703"/>
      <c r="W174" s="703">
        <v>1</v>
      </c>
      <c r="X174" s="703">
        <v>1</v>
      </c>
      <c r="Y174" s="703"/>
      <c r="Z174" s="703"/>
      <c r="AA174" s="703"/>
      <c r="AB174" s="703"/>
      <c r="AC174" s="703"/>
      <c r="AD174" s="703"/>
      <c r="AE174" s="703">
        <v>1</v>
      </c>
      <c r="AF174" s="703"/>
      <c r="AG174" s="703"/>
      <c r="AH174" s="703"/>
      <c r="AI174" s="703"/>
      <c r="AJ174" s="703"/>
      <c r="AK174" s="703"/>
      <c r="AL174" s="703"/>
      <c r="AM174" s="703"/>
      <c r="AN174" s="703"/>
      <c r="AO174" s="704"/>
      <c r="AP174" s="705"/>
      <c r="AQ174" s="763">
        <f t="shared" si="16"/>
        <v>3</v>
      </c>
      <c r="AS174" s="268"/>
      <c r="AV174" s="699"/>
      <c r="AW174" s="700">
        <v>1.0800000000000001E-2</v>
      </c>
      <c r="AX174" s="382">
        <f t="shared" si="14"/>
        <v>3.0108000000000001</v>
      </c>
      <c r="AY174" s="379" t="str">
        <f t="shared" ca="1" si="17"/>
        <v>BHD</v>
      </c>
      <c r="AZ174" s="384" t="str">
        <f t="shared" si="15"/>
        <v>Koncz Tibor</v>
      </c>
      <c r="BA174" s="642"/>
    </row>
    <row r="175" spans="1:54" ht="12.75" customHeight="1" x14ac:dyDescent="0.2">
      <c r="A175" s="867"/>
      <c r="C175" s="758" t="s">
        <v>596</v>
      </c>
      <c r="D175" s="757">
        <v>9</v>
      </c>
      <c r="E175" s="747"/>
      <c r="F175" s="703"/>
      <c r="G175" s="703">
        <v>2</v>
      </c>
      <c r="H175" s="703">
        <v>1</v>
      </c>
      <c r="I175" s="703"/>
      <c r="J175" s="703"/>
      <c r="K175" s="703"/>
      <c r="L175" s="703">
        <v>1</v>
      </c>
      <c r="M175" s="703"/>
      <c r="N175" s="703">
        <v>1</v>
      </c>
      <c r="O175" s="703">
        <v>1</v>
      </c>
      <c r="P175" s="703"/>
      <c r="Q175" s="703"/>
      <c r="R175" s="703">
        <v>1</v>
      </c>
      <c r="S175" s="703"/>
      <c r="T175" s="703"/>
      <c r="U175" s="703"/>
      <c r="V175" s="703"/>
      <c r="W175" s="703"/>
      <c r="X175" s="703"/>
      <c r="Y175" s="703">
        <v>1</v>
      </c>
      <c r="Z175" s="703"/>
      <c r="AA175" s="703"/>
      <c r="AB175" s="703"/>
      <c r="AC175" s="703"/>
      <c r="AD175" s="703"/>
      <c r="AE175" s="703"/>
      <c r="AF175" s="703"/>
      <c r="AG175" s="703"/>
      <c r="AH175" s="703"/>
      <c r="AI175" s="703"/>
      <c r="AJ175" s="703"/>
      <c r="AK175" s="703"/>
      <c r="AL175" s="703"/>
      <c r="AM175" s="703"/>
      <c r="AN175" s="703"/>
      <c r="AO175" s="704"/>
      <c r="AP175" s="705"/>
      <c r="AQ175" s="763">
        <f t="shared" si="16"/>
        <v>8</v>
      </c>
      <c r="AS175" s="268"/>
      <c r="AV175" s="699"/>
      <c r="AW175" s="700">
        <v>1.09E-2</v>
      </c>
      <c r="AX175" s="382">
        <f t="shared" si="14"/>
        <v>8.0108999999999995</v>
      </c>
      <c r="AY175" s="379" t="str">
        <f t="shared" ca="1" si="17"/>
        <v>BHD</v>
      </c>
      <c r="AZ175" s="384" t="str">
        <f t="shared" si="15"/>
        <v>Király János</v>
      </c>
      <c r="BA175" s="642"/>
    </row>
    <row r="176" spans="1:54" ht="12.75" customHeight="1" x14ac:dyDescent="0.2">
      <c r="A176" s="867"/>
      <c r="C176" s="758" t="s">
        <v>597</v>
      </c>
      <c r="D176" s="757">
        <v>10</v>
      </c>
      <c r="E176" s="747">
        <v>1</v>
      </c>
      <c r="F176" s="703">
        <v>1</v>
      </c>
      <c r="G176" s="703">
        <v>1</v>
      </c>
      <c r="H176" s="703">
        <v>1</v>
      </c>
      <c r="I176" s="703">
        <v>1</v>
      </c>
      <c r="J176" s="703"/>
      <c r="K176" s="703"/>
      <c r="L176" s="703"/>
      <c r="M176" s="703">
        <v>1</v>
      </c>
      <c r="N176" s="703">
        <v>1</v>
      </c>
      <c r="O176" s="703"/>
      <c r="P176" s="703"/>
      <c r="Q176" s="703">
        <v>1</v>
      </c>
      <c r="R176" s="703">
        <v>1</v>
      </c>
      <c r="S176" s="703"/>
      <c r="T176" s="703"/>
      <c r="U176" s="703"/>
      <c r="V176" s="703"/>
      <c r="W176" s="703"/>
      <c r="X176" s="703"/>
      <c r="Y176" s="703">
        <v>1</v>
      </c>
      <c r="Z176" s="703"/>
      <c r="AA176" s="703">
        <v>2</v>
      </c>
      <c r="AB176" s="703"/>
      <c r="AC176" s="703">
        <v>1</v>
      </c>
      <c r="AD176" s="703">
        <v>1</v>
      </c>
      <c r="AE176" s="703">
        <v>1</v>
      </c>
      <c r="AF176" s="703"/>
      <c r="AG176" s="703"/>
      <c r="AH176" s="703"/>
      <c r="AI176" s="703"/>
      <c r="AJ176" s="703"/>
      <c r="AK176" s="703"/>
      <c r="AL176" s="703"/>
      <c r="AM176" s="703"/>
      <c r="AN176" s="703"/>
      <c r="AO176" s="704"/>
      <c r="AP176" s="705"/>
      <c r="AQ176" s="763">
        <f t="shared" si="16"/>
        <v>15</v>
      </c>
      <c r="AS176" s="268"/>
      <c r="AV176" s="699"/>
      <c r="AW176" s="700">
        <v>1.0999999999999999E-2</v>
      </c>
      <c r="AX176" s="382">
        <f t="shared" si="14"/>
        <v>15.010999999999999</v>
      </c>
      <c r="AY176" s="379" t="str">
        <f t="shared" ca="1" si="17"/>
        <v>BHD</v>
      </c>
      <c r="AZ176" s="384" t="str">
        <f t="shared" si="15"/>
        <v>Sárkány István</v>
      </c>
      <c r="BA176" s="642"/>
    </row>
    <row r="177" spans="1:53" ht="12.75" customHeight="1" x14ac:dyDescent="0.2">
      <c r="A177" s="867"/>
      <c r="C177" s="758" t="s">
        <v>598</v>
      </c>
      <c r="D177" s="757">
        <v>11</v>
      </c>
      <c r="E177" s="747"/>
      <c r="F177" s="703"/>
      <c r="G177" s="703"/>
      <c r="H177" s="703"/>
      <c r="I177" s="703"/>
      <c r="J177" s="703"/>
      <c r="K177" s="703"/>
      <c r="L177" s="703">
        <v>3</v>
      </c>
      <c r="M177" s="703"/>
      <c r="N177" s="703"/>
      <c r="O177" s="703"/>
      <c r="P177" s="703"/>
      <c r="Q177" s="703"/>
      <c r="R177" s="703">
        <v>1</v>
      </c>
      <c r="S177" s="703"/>
      <c r="T177" s="703"/>
      <c r="U177" s="703"/>
      <c r="V177" s="703"/>
      <c r="W177" s="703"/>
      <c r="X177" s="703"/>
      <c r="Y177" s="703"/>
      <c r="Z177" s="703"/>
      <c r="AA177" s="703"/>
      <c r="AB177" s="703"/>
      <c r="AC177" s="703"/>
      <c r="AD177" s="703"/>
      <c r="AE177" s="703"/>
      <c r="AF177" s="703"/>
      <c r="AG177" s="703"/>
      <c r="AH177" s="703"/>
      <c r="AI177" s="703"/>
      <c r="AJ177" s="703"/>
      <c r="AK177" s="703"/>
      <c r="AL177" s="703"/>
      <c r="AM177" s="703"/>
      <c r="AN177" s="703"/>
      <c r="AO177" s="704"/>
      <c r="AP177" s="705"/>
      <c r="AQ177" s="763">
        <f t="shared" si="16"/>
        <v>4</v>
      </c>
      <c r="AS177" s="268"/>
      <c r="AV177" s="699"/>
      <c r="AW177" s="700">
        <v>1.11E-2</v>
      </c>
      <c r="AX177" s="382">
        <f t="shared" si="14"/>
        <v>4.0110999999999999</v>
      </c>
      <c r="AY177" s="379" t="str">
        <f t="shared" ca="1" si="17"/>
        <v>BHD</v>
      </c>
      <c r="AZ177" s="384" t="str">
        <f t="shared" si="15"/>
        <v>Bonivárt Erik</v>
      </c>
      <c r="BA177" s="642"/>
    </row>
    <row r="178" spans="1:53" ht="12.75" customHeight="1" x14ac:dyDescent="0.2">
      <c r="A178" s="867"/>
      <c r="C178" s="758" t="s">
        <v>599</v>
      </c>
      <c r="D178" s="757">
        <v>12</v>
      </c>
      <c r="E178" s="747">
        <v>1</v>
      </c>
      <c r="F178" s="703"/>
      <c r="G178" s="703"/>
      <c r="H178" s="703"/>
      <c r="I178" s="703"/>
      <c r="J178" s="703"/>
      <c r="K178" s="703">
        <v>1</v>
      </c>
      <c r="L178" s="703"/>
      <c r="M178" s="703">
        <v>2</v>
      </c>
      <c r="N178" s="703">
        <v>3</v>
      </c>
      <c r="O178" s="703"/>
      <c r="P178" s="703">
        <v>1</v>
      </c>
      <c r="Q178" s="703"/>
      <c r="R178" s="703">
        <v>1</v>
      </c>
      <c r="S178" s="703"/>
      <c r="T178" s="703"/>
      <c r="U178" s="703"/>
      <c r="V178" s="703">
        <v>3</v>
      </c>
      <c r="W178" s="703"/>
      <c r="X178" s="703">
        <v>2</v>
      </c>
      <c r="Y178" s="703"/>
      <c r="Z178" s="703"/>
      <c r="AA178" s="703"/>
      <c r="AB178" s="703"/>
      <c r="AC178" s="703">
        <v>1</v>
      </c>
      <c r="AD178" s="703"/>
      <c r="AE178" s="703"/>
      <c r="AF178" s="703"/>
      <c r="AG178" s="703"/>
      <c r="AH178" s="703"/>
      <c r="AI178" s="703"/>
      <c r="AJ178" s="703"/>
      <c r="AK178" s="703"/>
      <c r="AL178" s="703"/>
      <c r="AM178" s="703"/>
      <c r="AN178" s="703"/>
      <c r="AO178" s="704"/>
      <c r="AP178" s="705"/>
      <c r="AQ178" s="763">
        <f t="shared" si="16"/>
        <v>15</v>
      </c>
      <c r="AS178" s="268"/>
      <c r="AV178" s="699"/>
      <c r="AW178" s="700">
        <v>1.12E-2</v>
      </c>
      <c r="AX178" s="382">
        <f t="shared" si="14"/>
        <v>15.011200000000001</v>
      </c>
      <c r="AY178" s="379" t="str">
        <f t="shared" ca="1" si="17"/>
        <v>BHD</v>
      </c>
      <c r="AZ178" s="384" t="str">
        <f t="shared" si="15"/>
        <v>Mészáros Géza</v>
      </c>
      <c r="BA178" s="642"/>
    </row>
    <row r="179" spans="1:53" ht="12.75" customHeight="1" x14ac:dyDescent="0.2">
      <c r="A179" s="867"/>
      <c r="C179" s="758" t="s">
        <v>600</v>
      </c>
      <c r="D179" s="757">
        <v>13</v>
      </c>
      <c r="E179" s="747"/>
      <c r="F179" s="703"/>
      <c r="G179" s="703"/>
      <c r="H179" s="703">
        <v>1</v>
      </c>
      <c r="I179" s="703"/>
      <c r="J179" s="703"/>
      <c r="K179" s="703"/>
      <c r="L179" s="703"/>
      <c r="M179" s="703"/>
      <c r="N179" s="703"/>
      <c r="O179" s="703"/>
      <c r="P179" s="703"/>
      <c r="Q179" s="703"/>
      <c r="R179" s="703"/>
      <c r="S179" s="703">
        <v>1</v>
      </c>
      <c r="T179" s="703"/>
      <c r="U179" s="703"/>
      <c r="V179" s="703"/>
      <c r="W179" s="703"/>
      <c r="X179" s="703"/>
      <c r="Y179" s="703"/>
      <c r="Z179" s="703">
        <v>1</v>
      </c>
      <c r="AA179" s="703"/>
      <c r="AB179" s="703"/>
      <c r="AC179" s="703"/>
      <c r="AD179" s="703"/>
      <c r="AE179" s="703"/>
      <c r="AF179" s="703"/>
      <c r="AG179" s="703"/>
      <c r="AH179" s="703"/>
      <c r="AI179" s="703"/>
      <c r="AJ179" s="703"/>
      <c r="AK179" s="703"/>
      <c r="AL179" s="703"/>
      <c r="AM179" s="703"/>
      <c r="AN179" s="703"/>
      <c r="AO179" s="704"/>
      <c r="AP179" s="705"/>
      <c r="AQ179" s="763">
        <f t="shared" si="16"/>
        <v>3</v>
      </c>
      <c r="AS179" s="268"/>
      <c r="AV179" s="699"/>
      <c r="AW179" s="700">
        <v>1.1299999999999999E-2</v>
      </c>
      <c r="AX179" s="382">
        <f t="shared" si="14"/>
        <v>3.0112999999999999</v>
      </c>
      <c r="AY179" s="379" t="str">
        <f t="shared" ca="1" si="17"/>
        <v>BHD</v>
      </c>
      <c r="AZ179" s="384" t="str">
        <f t="shared" si="15"/>
        <v>Lotheridesz Balázs</v>
      </c>
      <c r="BA179" s="642"/>
    </row>
    <row r="180" spans="1:53" ht="12.75" customHeight="1" x14ac:dyDescent="0.2">
      <c r="A180" s="867"/>
      <c r="C180" s="758" t="s">
        <v>601</v>
      </c>
      <c r="D180" s="757">
        <v>14</v>
      </c>
      <c r="E180" s="747">
        <v>1</v>
      </c>
      <c r="F180" s="703"/>
      <c r="G180" s="703"/>
      <c r="H180" s="703"/>
      <c r="I180" s="703"/>
      <c r="J180" s="703"/>
      <c r="K180" s="703"/>
      <c r="L180" s="703"/>
      <c r="M180" s="703"/>
      <c r="N180" s="703"/>
      <c r="O180" s="703"/>
      <c r="P180" s="703"/>
      <c r="Q180" s="703"/>
      <c r="R180" s="703"/>
      <c r="S180" s="703"/>
      <c r="T180" s="703"/>
      <c r="U180" s="703"/>
      <c r="V180" s="703"/>
      <c r="W180" s="703"/>
      <c r="X180" s="703">
        <v>1</v>
      </c>
      <c r="Y180" s="703"/>
      <c r="Z180" s="703">
        <v>1</v>
      </c>
      <c r="AA180" s="703"/>
      <c r="AB180" s="703"/>
      <c r="AC180" s="703"/>
      <c r="AD180" s="703"/>
      <c r="AE180" s="703"/>
      <c r="AF180" s="703"/>
      <c r="AG180" s="703"/>
      <c r="AH180" s="703"/>
      <c r="AI180" s="703"/>
      <c r="AJ180" s="703"/>
      <c r="AK180" s="703"/>
      <c r="AL180" s="703"/>
      <c r="AM180" s="703"/>
      <c r="AN180" s="703"/>
      <c r="AO180" s="704"/>
      <c r="AP180" s="705"/>
      <c r="AQ180" s="763">
        <f t="shared" si="16"/>
        <v>3</v>
      </c>
      <c r="AS180" s="268"/>
      <c r="AV180" s="699"/>
      <c r="AW180" s="700">
        <v>1.14E-2</v>
      </c>
      <c r="AX180" s="382">
        <f t="shared" si="14"/>
        <v>3.0114000000000001</v>
      </c>
      <c r="AY180" s="379" t="str">
        <f t="shared" ca="1" si="17"/>
        <v>BHD</v>
      </c>
      <c r="AZ180" s="384" t="str">
        <f t="shared" si="15"/>
        <v>Demkovics Gábor</v>
      </c>
      <c r="BA180" s="642"/>
    </row>
    <row r="181" spans="1:53" ht="12.75" customHeight="1" x14ac:dyDescent="0.2">
      <c r="A181" s="867"/>
      <c r="C181" s="758" t="s">
        <v>657</v>
      </c>
      <c r="D181" s="757">
        <v>16</v>
      </c>
      <c r="E181" s="747"/>
      <c r="F181" s="703"/>
      <c r="G181" s="703"/>
      <c r="H181" s="703"/>
      <c r="I181" s="703"/>
      <c r="J181" s="703"/>
      <c r="K181" s="703"/>
      <c r="L181" s="703"/>
      <c r="M181" s="703"/>
      <c r="N181" s="703"/>
      <c r="O181" s="703"/>
      <c r="P181" s="703"/>
      <c r="Q181" s="703"/>
      <c r="R181" s="703"/>
      <c r="S181" s="703">
        <v>1</v>
      </c>
      <c r="T181" s="703"/>
      <c r="U181" s="703"/>
      <c r="V181" s="703"/>
      <c r="W181" s="703">
        <v>2</v>
      </c>
      <c r="X181" s="703"/>
      <c r="Y181" s="703"/>
      <c r="Z181" s="703">
        <v>1</v>
      </c>
      <c r="AA181" s="703"/>
      <c r="AB181" s="703"/>
      <c r="AC181" s="703"/>
      <c r="AD181" s="703"/>
      <c r="AE181" s="703">
        <v>1</v>
      </c>
      <c r="AF181" s="703"/>
      <c r="AG181" s="703"/>
      <c r="AH181" s="703"/>
      <c r="AI181" s="703"/>
      <c r="AJ181" s="703"/>
      <c r="AK181" s="703"/>
      <c r="AL181" s="703"/>
      <c r="AM181" s="703"/>
      <c r="AN181" s="703"/>
      <c r="AO181" s="704"/>
      <c r="AP181" s="705"/>
      <c r="AQ181" s="763">
        <f t="shared" si="16"/>
        <v>5</v>
      </c>
      <c r="AS181" s="268"/>
      <c r="AV181" s="699"/>
      <c r="AW181" s="700">
        <v>1.15E-2</v>
      </c>
      <c r="AX181" s="382">
        <f t="shared" si="14"/>
        <v>5.0114999999999998</v>
      </c>
      <c r="AY181" s="379" t="str">
        <f t="shared" ca="1" si="17"/>
        <v>BHD</v>
      </c>
      <c r="AZ181" s="384" t="str">
        <f t="shared" si="15"/>
        <v>Vadászi Norbert</v>
      </c>
      <c r="BA181" s="642"/>
    </row>
    <row r="182" spans="1:53" ht="12.75" customHeight="1" x14ac:dyDescent="0.2">
      <c r="A182" s="867"/>
      <c r="C182" s="758" t="s">
        <v>719</v>
      </c>
      <c r="D182" s="757">
        <v>33</v>
      </c>
      <c r="E182" s="747"/>
      <c r="F182" s="703"/>
      <c r="G182" s="703"/>
      <c r="H182" s="703"/>
      <c r="I182" s="703"/>
      <c r="J182" s="703"/>
      <c r="K182" s="703"/>
      <c r="L182" s="703"/>
      <c r="M182" s="703"/>
      <c r="N182" s="703"/>
      <c r="O182" s="703"/>
      <c r="P182" s="703"/>
      <c r="Q182" s="703"/>
      <c r="R182" s="703"/>
      <c r="S182" s="703">
        <v>1</v>
      </c>
      <c r="T182" s="703"/>
      <c r="U182" s="703"/>
      <c r="V182" s="703"/>
      <c r="W182" s="703"/>
      <c r="X182" s="703"/>
      <c r="Y182" s="703"/>
      <c r="Z182" s="703"/>
      <c r="AA182" s="703"/>
      <c r="AB182" s="703"/>
      <c r="AC182" s="703"/>
      <c r="AD182" s="703"/>
      <c r="AE182" s="703"/>
      <c r="AF182" s="703"/>
      <c r="AG182" s="703"/>
      <c r="AH182" s="703"/>
      <c r="AI182" s="703"/>
      <c r="AJ182" s="703"/>
      <c r="AK182" s="703"/>
      <c r="AL182" s="703"/>
      <c r="AM182" s="703"/>
      <c r="AN182" s="703"/>
      <c r="AO182" s="704"/>
      <c r="AP182" s="705"/>
      <c r="AQ182" s="763">
        <f t="shared" si="16"/>
        <v>1</v>
      </c>
      <c r="AS182" s="268"/>
      <c r="AV182" s="699"/>
      <c r="AW182" s="700">
        <v>1.1599999999999999E-2</v>
      </c>
      <c r="AX182" s="382">
        <f t="shared" si="14"/>
        <v>1.0116000000000001</v>
      </c>
      <c r="AY182" s="379" t="str">
        <f t="shared" ca="1" si="17"/>
        <v>BHD</v>
      </c>
      <c r="AZ182" s="384" t="str">
        <f t="shared" si="15"/>
        <v>BHD ismeretlen 33</v>
      </c>
      <c r="BA182" s="642"/>
    </row>
    <row r="183" spans="1:53" ht="12.75" customHeight="1" x14ac:dyDescent="0.2">
      <c r="A183" s="867"/>
      <c r="C183" s="758"/>
      <c r="D183" s="757"/>
      <c r="E183" s="747"/>
      <c r="F183" s="703"/>
      <c r="G183" s="703"/>
      <c r="H183" s="703"/>
      <c r="I183" s="703"/>
      <c r="J183" s="703"/>
      <c r="K183" s="703"/>
      <c r="L183" s="703"/>
      <c r="M183" s="703"/>
      <c r="N183" s="703"/>
      <c r="O183" s="703"/>
      <c r="P183" s="703"/>
      <c r="Q183" s="703"/>
      <c r="R183" s="703"/>
      <c r="S183" s="703"/>
      <c r="T183" s="703"/>
      <c r="U183" s="703"/>
      <c r="V183" s="703"/>
      <c r="W183" s="703"/>
      <c r="X183" s="703"/>
      <c r="Y183" s="703"/>
      <c r="Z183" s="703"/>
      <c r="AA183" s="703"/>
      <c r="AB183" s="703"/>
      <c r="AC183" s="703"/>
      <c r="AD183" s="703"/>
      <c r="AE183" s="703"/>
      <c r="AF183" s="703"/>
      <c r="AG183" s="703"/>
      <c r="AH183" s="703"/>
      <c r="AI183" s="703"/>
      <c r="AJ183" s="703"/>
      <c r="AK183" s="703"/>
      <c r="AL183" s="703"/>
      <c r="AM183" s="703"/>
      <c r="AN183" s="703"/>
      <c r="AO183" s="704"/>
      <c r="AP183" s="705"/>
      <c r="AQ183" s="763" t="str">
        <f t="shared" si="16"/>
        <v/>
      </c>
      <c r="AS183" s="268"/>
      <c r="AV183" s="699"/>
      <c r="AW183" s="700">
        <v>1.17E-2</v>
      </c>
      <c r="AX183" s="382">
        <f t="shared" si="14"/>
        <v>0</v>
      </c>
      <c r="AY183" s="379" t="str">
        <f t="shared" ca="1" si="17"/>
        <v>BHD</v>
      </c>
      <c r="AZ183" s="384">
        <f t="shared" si="15"/>
        <v>0</v>
      </c>
      <c r="BA183" s="642"/>
    </row>
    <row r="184" spans="1:53" ht="12.75" customHeight="1" x14ac:dyDescent="0.2">
      <c r="A184" s="867"/>
      <c r="C184" s="758"/>
      <c r="D184" s="757"/>
      <c r="E184" s="747"/>
      <c r="F184" s="703"/>
      <c r="G184" s="703"/>
      <c r="H184" s="703"/>
      <c r="I184" s="703"/>
      <c r="J184" s="703"/>
      <c r="K184" s="703"/>
      <c r="L184" s="703"/>
      <c r="M184" s="703"/>
      <c r="N184" s="703"/>
      <c r="O184" s="703"/>
      <c r="P184" s="703"/>
      <c r="Q184" s="703"/>
      <c r="R184" s="703"/>
      <c r="S184" s="703"/>
      <c r="T184" s="703"/>
      <c r="U184" s="703"/>
      <c r="V184" s="703"/>
      <c r="W184" s="703"/>
      <c r="X184" s="703"/>
      <c r="Y184" s="703"/>
      <c r="Z184" s="703"/>
      <c r="AA184" s="703"/>
      <c r="AB184" s="703"/>
      <c r="AC184" s="703"/>
      <c r="AD184" s="703"/>
      <c r="AE184" s="703"/>
      <c r="AF184" s="703"/>
      <c r="AG184" s="703"/>
      <c r="AH184" s="703"/>
      <c r="AI184" s="703"/>
      <c r="AJ184" s="703"/>
      <c r="AK184" s="703"/>
      <c r="AL184" s="703"/>
      <c r="AM184" s="703"/>
      <c r="AN184" s="703"/>
      <c r="AO184" s="704"/>
      <c r="AP184" s="705"/>
      <c r="AQ184" s="763" t="str">
        <f t="shared" si="16"/>
        <v/>
      </c>
      <c r="AS184" s="268"/>
      <c r="AV184" s="699"/>
      <c r="AW184" s="700">
        <v>1.18E-2</v>
      </c>
      <c r="AX184" s="382">
        <f t="shared" si="14"/>
        <v>0</v>
      </c>
      <c r="AY184" s="379" t="str">
        <f t="shared" ca="1" si="17"/>
        <v>BHD</v>
      </c>
      <c r="AZ184" s="384">
        <f t="shared" si="15"/>
        <v>0</v>
      </c>
      <c r="BA184" s="642"/>
    </row>
    <row r="185" spans="1:53" ht="12.75" customHeight="1" x14ac:dyDescent="0.2">
      <c r="A185" s="867"/>
      <c r="C185" s="758"/>
      <c r="D185" s="757"/>
      <c r="E185" s="747"/>
      <c r="F185" s="703"/>
      <c r="G185" s="703"/>
      <c r="H185" s="703"/>
      <c r="I185" s="703"/>
      <c r="J185" s="703"/>
      <c r="K185" s="703"/>
      <c r="L185" s="703"/>
      <c r="M185" s="703"/>
      <c r="N185" s="703"/>
      <c r="O185" s="703"/>
      <c r="P185" s="703"/>
      <c r="Q185" s="703"/>
      <c r="R185" s="703"/>
      <c r="S185" s="703"/>
      <c r="T185" s="703"/>
      <c r="U185" s="703"/>
      <c r="V185" s="703"/>
      <c r="W185" s="703"/>
      <c r="X185" s="703"/>
      <c r="Y185" s="703"/>
      <c r="Z185" s="703"/>
      <c r="AA185" s="703"/>
      <c r="AB185" s="703"/>
      <c r="AC185" s="703"/>
      <c r="AD185" s="703"/>
      <c r="AE185" s="703"/>
      <c r="AF185" s="703"/>
      <c r="AG185" s="703"/>
      <c r="AH185" s="703"/>
      <c r="AI185" s="703"/>
      <c r="AJ185" s="703"/>
      <c r="AK185" s="703"/>
      <c r="AL185" s="703"/>
      <c r="AM185" s="703"/>
      <c r="AN185" s="703"/>
      <c r="AO185" s="704"/>
      <c r="AP185" s="705"/>
      <c r="AQ185" s="763" t="str">
        <f t="shared" si="16"/>
        <v/>
      </c>
      <c r="AS185" s="268"/>
      <c r="AV185" s="699"/>
      <c r="AW185" s="700">
        <v>1.1900000000000001E-2</v>
      </c>
      <c r="AX185" s="382">
        <f t="shared" si="14"/>
        <v>0</v>
      </c>
      <c r="AY185" s="379" t="str">
        <f t="shared" ca="1" si="17"/>
        <v>BHD</v>
      </c>
      <c r="AZ185" s="384">
        <f t="shared" si="15"/>
        <v>0</v>
      </c>
      <c r="BA185" s="642"/>
    </row>
    <row r="186" spans="1:53" ht="11.25" hidden="1" customHeight="1" x14ac:dyDescent="0.2">
      <c r="A186" s="867"/>
      <c r="C186" s="758"/>
      <c r="D186" s="757"/>
      <c r="E186" s="747"/>
      <c r="F186" s="703"/>
      <c r="G186" s="703"/>
      <c r="H186" s="703"/>
      <c r="I186" s="703"/>
      <c r="J186" s="703"/>
      <c r="K186" s="703"/>
      <c r="L186" s="703"/>
      <c r="M186" s="703"/>
      <c r="N186" s="703"/>
      <c r="O186" s="703"/>
      <c r="P186" s="703"/>
      <c r="Q186" s="703"/>
      <c r="R186" s="703"/>
      <c r="S186" s="703"/>
      <c r="T186" s="703"/>
      <c r="U186" s="703"/>
      <c r="V186" s="703"/>
      <c r="W186" s="703"/>
      <c r="X186" s="703"/>
      <c r="Y186" s="703"/>
      <c r="Z186" s="703"/>
      <c r="AA186" s="703"/>
      <c r="AB186" s="703"/>
      <c r="AC186" s="703"/>
      <c r="AD186" s="703"/>
      <c r="AE186" s="703"/>
      <c r="AF186" s="703"/>
      <c r="AG186" s="703"/>
      <c r="AH186" s="703"/>
      <c r="AI186" s="703"/>
      <c r="AJ186" s="703"/>
      <c r="AK186" s="703"/>
      <c r="AL186" s="703"/>
      <c r="AM186" s="703"/>
      <c r="AN186" s="703"/>
      <c r="AO186" s="704"/>
      <c r="AP186" s="705"/>
      <c r="AQ186" s="763" t="str">
        <f t="shared" si="16"/>
        <v/>
      </c>
      <c r="AS186" s="268"/>
      <c r="AV186" s="699"/>
      <c r="AW186" s="700">
        <v>1.2E-2</v>
      </c>
      <c r="AX186" s="382">
        <f t="shared" si="14"/>
        <v>0</v>
      </c>
      <c r="AY186" s="379" t="str">
        <f t="shared" ca="1" si="17"/>
        <v>BHD</v>
      </c>
      <c r="AZ186" s="384">
        <f t="shared" si="15"/>
        <v>0</v>
      </c>
      <c r="BA186" s="642"/>
    </row>
    <row r="187" spans="1:53" ht="11.25" hidden="1" customHeight="1" x14ac:dyDescent="0.2">
      <c r="A187" s="867"/>
      <c r="C187" s="758"/>
      <c r="D187" s="757"/>
      <c r="E187" s="747"/>
      <c r="F187" s="703"/>
      <c r="G187" s="703"/>
      <c r="H187" s="703"/>
      <c r="I187" s="703"/>
      <c r="J187" s="703"/>
      <c r="K187" s="703"/>
      <c r="L187" s="703"/>
      <c r="M187" s="703"/>
      <c r="N187" s="703"/>
      <c r="O187" s="703"/>
      <c r="P187" s="703"/>
      <c r="Q187" s="703"/>
      <c r="R187" s="703"/>
      <c r="S187" s="703"/>
      <c r="T187" s="703"/>
      <c r="U187" s="703"/>
      <c r="V187" s="703"/>
      <c r="W187" s="703"/>
      <c r="X187" s="703"/>
      <c r="Y187" s="703"/>
      <c r="Z187" s="703"/>
      <c r="AA187" s="703"/>
      <c r="AB187" s="703"/>
      <c r="AC187" s="703"/>
      <c r="AD187" s="703"/>
      <c r="AE187" s="703"/>
      <c r="AF187" s="703"/>
      <c r="AG187" s="703"/>
      <c r="AH187" s="703"/>
      <c r="AI187" s="703"/>
      <c r="AJ187" s="703"/>
      <c r="AK187" s="703"/>
      <c r="AL187" s="703"/>
      <c r="AM187" s="703"/>
      <c r="AN187" s="703"/>
      <c r="AO187" s="704"/>
      <c r="AP187" s="705"/>
      <c r="AQ187" s="763" t="str">
        <f t="shared" si="16"/>
        <v/>
      </c>
      <c r="AS187" s="268"/>
      <c r="AV187" s="699"/>
      <c r="AW187" s="700">
        <v>1.21E-2</v>
      </c>
      <c r="AX187" s="382">
        <f t="shared" si="14"/>
        <v>0</v>
      </c>
      <c r="AY187" s="379" t="str">
        <f t="shared" ca="1" si="17"/>
        <v>BHD</v>
      </c>
      <c r="AZ187" s="384">
        <f t="shared" si="15"/>
        <v>0</v>
      </c>
      <c r="BA187" s="642"/>
    </row>
    <row r="188" spans="1:53" ht="11.25" hidden="1" customHeight="1" x14ac:dyDescent="0.2">
      <c r="A188" s="867"/>
      <c r="C188" s="758"/>
      <c r="D188" s="757"/>
      <c r="E188" s="747"/>
      <c r="F188" s="703"/>
      <c r="G188" s="703"/>
      <c r="H188" s="703"/>
      <c r="I188" s="703"/>
      <c r="J188" s="703"/>
      <c r="K188" s="703"/>
      <c r="L188" s="703"/>
      <c r="M188" s="703"/>
      <c r="N188" s="703"/>
      <c r="O188" s="703"/>
      <c r="P188" s="703"/>
      <c r="Q188" s="703"/>
      <c r="R188" s="703"/>
      <c r="S188" s="703"/>
      <c r="T188" s="703"/>
      <c r="U188" s="703"/>
      <c r="V188" s="703"/>
      <c r="W188" s="703"/>
      <c r="X188" s="703"/>
      <c r="Y188" s="703"/>
      <c r="Z188" s="703"/>
      <c r="AA188" s="703"/>
      <c r="AB188" s="703"/>
      <c r="AC188" s="703"/>
      <c r="AD188" s="703"/>
      <c r="AE188" s="703"/>
      <c r="AF188" s="703"/>
      <c r="AG188" s="703"/>
      <c r="AH188" s="703"/>
      <c r="AI188" s="703"/>
      <c r="AJ188" s="703"/>
      <c r="AK188" s="703"/>
      <c r="AL188" s="703"/>
      <c r="AM188" s="703"/>
      <c r="AN188" s="703"/>
      <c r="AO188" s="704"/>
      <c r="AP188" s="705"/>
      <c r="AQ188" s="763" t="str">
        <f t="shared" si="16"/>
        <v/>
      </c>
      <c r="AS188" s="268"/>
      <c r="AV188" s="699"/>
      <c r="AW188" s="700">
        <v>1.2200000000000001E-2</v>
      </c>
      <c r="AX188" s="382">
        <f t="shared" si="14"/>
        <v>0</v>
      </c>
      <c r="AY188" s="379" t="str">
        <f t="shared" ca="1" si="17"/>
        <v>BHD</v>
      </c>
      <c r="AZ188" s="384">
        <f t="shared" si="15"/>
        <v>0</v>
      </c>
      <c r="BA188" s="642"/>
    </row>
    <row r="189" spans="1:53" ht="11.25" hidden="1" customHeight="1" x14ac:dyDescent="0.2">
      <c r="A189" s="867"/>
      <c r="C189" s="758"/>
      <c r="D189" s="757"/>
      <c r="E189" s="747"/>
      <c r="F189" s="703"/>
      <c r="G189" s="703"/>
      <c r="H189" s="703"/>
      <c r="I189" s="703"/>
      <c r="J189" s="703"/>
      <c r="K189" s="703"/>
      <c r="L189" s="703"/>
      <c r="M189" s="703"/>
      <c r="N189" s="703"/>
      <c r="O189" s="703"/>
      <c r="P189" s="703"/>
      <c r="Q189" s="703"/>
      <c r="R189" s="703"/>
      <c r="S189" s="703"/>
      <c r="T189" s="703"/>
      <c r="U189" s="703"/>
      <c r="V189" s="703"/>
      <c r="W189" s="703"/>
      <c r="X189" s="703"/>
      <c r="Y189" s="703"/>
      <c r="Z189" s="703"/>
      <c r="AA189" s="703"/>
      <c r="AB189" s="703"/>
      <c r="AC189" s="703"/>
      <c r="AD189" s="703"/>
      <c r="AE189" s="703"/>
      <c r="AF189" s="703"/>
      <c r="AG189" s="703"/>
      <c r="AH189" s="703"/>
      <c r="AI189" s="703"/>
      <c r="AJ189" s="703"/>
      <c r="AK189" s="703"/>
      <c r="AL189" s="703"/>
      <c r="AM189" s="703"/>
      <c r="AN189" s="703"/>
      <c r="AO189" s="704"/>
      <c r="AP189" s="705"/>
      <c r="AQ189" s="763" t="str">
        <f t="shared" si="16"/>
        <v/>
      </c>
      <c r="AS189" s="268"/>
      <c r="AV189" s="699"/>
      <c r="AW189" s="700">
        <v>1.23E-2</v>
      </c>
      <c r="AX189" s="382">
        <f t="shared" si="14"/>
        <v>0</v>
      </c>
      <c r="AY189" s="379" t="str">
        <f t="shared" ca="1" si="17"/>
        <v>BHD</v>
      </c>
      <c r="AZ189" s="384">
        <f t="shared" si="15"/>
        <v>0</v>
      </c>
      <c r="BA189" s="642"/>
    </row>
    <row r="190" spans="1:53" ht="11.25" hidden="1" customHeight="1" x14ac:dyDescent="0.2">
      <c r="A190" s="867"/>
      <c r="C190" s="758"/>
      <c r="D190" s="757"/>
      <c r="E190" s="747"/>
      <c r="F190" s="703"/>
      <c r="G190" s="703"/>
      <c r="H190" s="703"/>
      <c r="I190" s="703"/>
      <c r="J190" s="703"/>
      <c r="K190" s="703"/>
      <c r="L190" s="703"/>
      <c r="M190" s="703"/>
      <c r="N190" s="703"/>
      <c r="O190" s="703"/>
      <c r="P190" s="703"/>
      <c r="Q190" s="703"/>
      <c r="R190" s="703"/>
      <c r="S190" s="703"/>
      <c r="T190" s="703"/>
      <c r="U190" s="703"/>
      <c r="V190" s="703"/>
      <c r="W190" s="703"/>
      <c r="X190" s="703"/>
      <c r="Y190" s="703"/>
      <c r="Z190" s="703"/>
      <c r="AA190" s="703"/>
      <c r="AB190" s="703"/>
      <c r="AC190" s="703"/>
      <c r="AD190" s="703"/>
      <c r="AE190" s="703"/>
      <c r="AF190" s="703"/>
      <c r="AG190" s="703"/>
      <c r="AH190" s="703"/>
      <c r="AI190" s="703"/>
      <c r="AJ190" s="703"/>
      <c r="AK190" s="703"/>
      <c r="AL190" s="703"/>
      <c r="AM190" s="703"/>
      <c r="AN190" s="703"/>
      <c r="AO190" s="704"/>
      <c r="AP190" s="705"/>
      <c r="AQ190" s="763" t="str">
        <f t="shared" si="16"/>
        <v/>
      </c>
      <c r="AS190" s="268"/>
      <c r="AV190" s="699"/>
      <c r="AW190" s="700">
        <v>1.24E-2</v>
      </c>
      <c r="AX190" s="382">
        <f t="shared" si="14"/>
        <v>0</v>
      </c>
      <c r="AY190" s="379" t="str">
        <f t="shared" ca="1" si="17"/>
        <v>BHD</v>
      </c>
      <c r="AZ190" s="384">
        <f t="shared" si="15"/>
        <v>0</v>
      </c>
      <c r="BA190" s="642"/>
    </row>
    <row r="191" spans="1:53" ht="11.25" hidden="1" customHeight="1" x14ac:dyDescent="0.2">
      <c r="A191" s="867"/>
      <c r="C191" s="758"/>
      <c r="D191" s="757"/>
      <c r="E191" s="747"/>
      <c r="F191" s="703"/>
      <c r="G191" s="703"/>
      <c r="H191" s="703"/>
      <c r="I191" s="703"/>
      <c r="J191" s="703"/>
      <c r="K191" s="703"/>
      <c r="L191" s="703"/>
      <c r="M191" s="703"/>
      <c r="N191" s="703"/>
      <c r="O191" s="703"/>
      <c r="P191" s="703"/>
      <c r="Q191" s="703"/>
      <c r="R191" s="703"/>
      <c r="S191" s="703"/>
      <c r="T191" s="703"/>
      <c r="U191" s="703"/>
      <c r="V191" s="703"/>
      <c r="W191" s="703"/>
      <c r="X191" s="703"/>
      <c r="Y191" s="703"/>
      <c r="Z191" s="703"/>
      <c r="AA191" s="703"/>
      <c r="AB191" s="703"/>
      <c r="AC191" s="703"/>
      <c r="AD191" s="703"/>
      <c r="AE191" s="703"/>
      <c r="AF191" s="703"/>
      <c r="AG191" s="703"/>
      <c r="AH191" s="703"/>
      <c r="AI191" s="703"/>
      <c r="AJ191" s="703"/>
      <c r="AK191" s="703"/>
      <c r="AL191" s="703"/>
      <c r="AM191" s="703"/>
      <c r="AN191" s="703"/>
      <c r="AO191" s="704"/>
      <c r="AP191" s="705"/>
      <c r="AQ191" s="763" t="str">
        <f t="shared" si="16"/>
        <v/>
      </c>
      <c r="AS191" s="268"/>
      <c r="AV191" s="699"/>
      <c r="AW191" s="700">
        <v>1.2500000000000001E-2</v>
      </c>
      <c r="AX191" s="382">
        <f t="shared" si="14"/>
        <v>0</v>
      </c>
      <c r="AY191" s="379" t="str">
        <f t="shared" ca="1" si="17"/>
        <v>BHD</v>
      </c>
      <c r="AZ191" s="384">
        <f t="shared" si="15"/>
        <v>0</v>
      </c>
      <c r="BA191" s="642"/>
    </row>
    <row r="192" spans="1:53" ht="11.25" hidden="1" customHeight="1" x14ac:dyDescent="0.2">
      <c r="A192" s="867"/>
      <c r="C192" s="758"/>
      <c r="D192" s="757"/>
      <c r="E192" s="747"/>
      <c r="F192" s="703"/>
      <c r="G192" s="703"/>
      <c r="H192" s="703"/>
      <c r="I192" s="703"/>
      <c r="J192" s="703"/>
      <c r="K192" s="703"/>
      <c r="L192" s="703"/>
      <c r="M192" s="703"/>
      <c r="N192" s="703"/>
      <c r="O192" s="703"/>
      <c r="P192" s="703"/>
      <c r="Q192" s="703"/>
      <c r="R192" s="703"/>
      <c r="S192" s="703"/>
      <c r="T192" s="703"/>
      <c r="U192" s="703"/>
      <c r="V192" s="703"/>
      <c r="W192" s="703"/>
      <c r="X192" s="703"/>
      <c r="Y192" s="703"/>
      <c r="Z192" s="703"/>
      <c r="AA192" s="703"/>
      <c r="AB192" s="703"/>
      <c r="AC192" s="703"/>
      <c r="AD192" s="703"/>
      <c r="AE192" s="703"/>
      <c r="AF192" s="703"/>
      <c r="AG192" s="703"/>
      <c r="AH192" s="703"/>
      <c r="AI192" s="703"/>
      <c r="AJ192" s="703"/>
      <c r="AK192" s="703"/>
      <c r="AL192" s="703"/>
      <c r="AM192" s="703"/>
      <c r="AN192" s="703"/>
      <c r="AO192" s="704"/>
      <c r="AP192" s="705"/>
      <c r="AQ192" s="763" t="str">
        <f t="shared" si="16"/>
        <v/>
      </c>
      <c r="AS192" s="268"/>
      <c r="AV192" s="699"/>
      <c r="AW192" s="700">
        <v>1.26E-2</v>
      </c>
      <c r="AX192" s="382">
        <f t="shared" si="14"/>
        <v>0</v>
      </c>
      <c r="AY192" s="379" t="str">
        <f t="shared" ca="1" si="17"/>
        <v>BHD</v>
      </c>
      <c r="AZ192" s="384">
        <f t="shared" si="15"/>
        <v>0</v>
      </c>
      <c r="BA192" s="642"/>
    </row>
    <row r="193" spans="1:54" ht="11.25" hidden="1" customHeight="1" x14ac:dyDescent="0.2">
      <c r="A193" s="867"/>
      <c r="C193" s="758"/>
      <c r="D193" s="757"/>
      <c r="E193" s="747"/>
      <c r="F193" s="703"/>
      <c r="G193" s="703"/>
      <c r="H193" s="703"/>
      <c r="I193" s="703"/>
      <c r="J193" s="703"/>
      <c r="K193" s="703"/>
      <c r="L193" s="703"/>
      <c r="M193" s="703"/>
      <c r="N193" s="703"/>
      <c r="O193" s="703"/>
      <c r="P193" s="703"/>
      <c r="Q193" s="703"/>
      <c r="R193" s="703"/>
      <c r="S193" s="703"/>
      <c r="T193" s="703"/>
      <c r="U193" s="703"/>
      <c r="V193" s="703"/>
      <c r="W193" s="703"/>
      <c r="X193" s="703"/>
      <c r="Y193" s="703"/>
      <c r="Z193" s="703"/>
      <c r="AA193" s="703"/>
      <c r="AB193" s="703"/>
      <c r="AC193" s="703"/>
      <c r="AD193" s="703"/>
      <c r="AE193" s="703"/>
      <c r="AF193" s="703"/>
      <c r="AG193" s="703"/>
      <c r="AH193" s="703"/>
      <c r="AI193" s="703"/>
      <c r="AJ193" s="703"/>
      <c r="AK193" s="703"/>
      <c r="AL193" s="703"/>
      <c r="AM193" s="703"/>
      <c r="AN193" s="703"/>
      <c r="AO193" s="704"/>
      <c r="AP193" s="705"/>
      <c r="AQ193" s="763" t="str">
        <f t="shared" si="16"/>
        <v/>
      </c>
      <c r="AS193" s="268"/>
      <c r="AV193" s="699"/>
      <c r="AW193" s="700">
        <v>1.2699999999999999E-2</v>
      </c>
      <c r="AX193" s="382">
        <f t="shared" si="14"/>
        <v>0</v>
      </c>
      <c r="AY193" s="379" t="str">
        <f t="shared" ca="1" si="17"/>
        <v>BHD</v>
      </c>
      <c r="AZ193" s="384">
        <f t="shared" si="15"/>
        <v>0</v>
      </c>
      <c r="BA193" s="642"/>
    </row>
    <row r="194" spans="1:54" ht="11.25" hidden="1" customHeight="1" x14ac:dyDescent="0.2">
      <c r="A194" s="867"/>
      <c r="C194" s="758"/>
      <c r="D194" s="757"/>
      <c r="E194" s="747"/>
      <c r="F194" s="703"/>
      <c r="G194" s="703"/>
      <c r="H194" s="703"/>
      <c r="I194" s="703"/>
      <c r="J194" s="703"/>
      <c r="K194" s="703"/>
      <c r="L194" s="703"/>
      <c r="M194" s="703"/>
      <c r="N194" s="703"/>
      <c r="O194" s="703"/>
      <c r="P194" s="703"/>
      <c r="Q194" s="703"/>
      <c r="R194" s="703"/>
      <c r="S194" s="703"/>
      <c r="T194" s="703"/>
      <c r="U194" s="703"/>
      <c r="V194" s="703"/>
      <c r="W194" s="703"/>
      <c r="X194" s="703"/>
      <c r="Y194" s="703"/>
      <c r="Z194" s="703"/>
      <c r="AA194" s="703"/>
      <c r="AB194" s="703"/>
      <c r="AC194" s="703"/>
      <c r="AD194" s="703"/>
      <c r="AE194" s="703"/>
      <c r="AF194" s="703"/>
      <c r="AG194" s="703"/>
      <c r="AH194" s="703"/>
      <c r="AI194" s="703"/>
      <c r="AJ194" s="703"/>
      <c r="AK194" s="703"/>
      <c r="AL194" s="703"/>
      <c r="AM194" s="703"/>
      <c r="AN194" s="703"/>
      <c r="AO194" s="704"/>
      <c r="AP194" s="705"/>
      <c r="AQ194" s="763" t="str">
        <f t="shared" si="16"/>
        <v/>
      </c>
      <c r="AS194" s="268"/>
      <c r="AV194" s="699"/>
      <c r="AW194" s="700">
        <v>1.2800000000000001E-2</v>
      </c>
      <c r="AX194" s="382">
        <f t="shared" si="14"/>
        <v>0</v>
      </c>
      <c r="AY194" s="379" t="str">
        <f t="shared" ca="1" si="17"/>
        <v>BHD</v>
      </c>
      <c r="AZ194" s="384">
        <f t="shared" si="15"/>
        <v>0</v>
      </c>
      <c r="BA194" s="642"/>
    </row>
    <row r="195" spans="1:54" ht="11.25" hidden="1" customHeight="1" x14ac:dyDescent="0.2">
      <c r="A195" s="867"/>
      <c r="C195" s="758"/>
      <c r="D195" s="757"/>
      <c r="E195" s="747"/>
      <c r="F195" s="703"/>
      <c r="G195" s="703"/>
      <c r="H195" s="703"/>
      <c r="I195" s="703"/>
      <c r="J195" s="703"/>
      <c r="K195" s="703"/>
      <c r="L195" s="703"/>
      <c r="M195" s="703"/>
      <c r="N195" s="703"/>
      <c r="O195" s="703"/>
      <c r="P195" s="703"/>
      <c r="Q195" s="703"/>
      <c r="R195" s="703"/>
      <c r="S195" s="703"/>
      <c r="T195" s="703"/>
      <c r="U195" s="703"/>
      <c r="V195" s="703"/>
      <c r="W195" s="703"/>
      <c r="X195" s="703"/>
      <c r="Y195" s="703"/>
      <c r="Z195" s="703"/>
      <c r="AA195" s="703"/>
      <c r="AB195" s="703"/>
      <c r="AC195" s="703"/>
      <c r="AD195" s="703"/>
      <c r="AE195" s="703"/>
      <c r="AF195" s="703"/>
      <c r="AG195" s="703"/>
      <c r="AH195" s="703"/>
      <c r="AI195" s="703"/>
      <c r="AJ195" s="703"/>
      <c r="AK195" s="703"/>
      <c r="AL195" s="703"/>
      <c r="AM195" s="703"/>
      <c r="AN195" s="703"/>
      <c r="AO195" s="704"/>
      <c r="AP195" s="705"/>
      <c r="AQ195" s="763" t="str">
        <f t="shared" si="16"/>
        <v/>
      </c>
      <c r="AS195" s="268"/>
      <c r="AV195" s="699"/>
      <c r="AW195" s="700">
        <v>1.29E-2</v>
      </c>
      <c r="AX195" s="382">
        <f t="shared" si="14"/>
        <v>0</v>
      </c>
      <c r="AY195" s="379" t="str">
        <f t="shared" ca="1" si="17"/>
        <v>BHD</v>
      </c>
      <c r="AZ195" s="384">
        <f t="shared" si="15"/>
        <v>0</v>
      </c>
      <c r="BA195" s="642"/>
    </row>
    <row r="196" spans="1:54" ht="12.75" customHeight="1" x14ac:dyDescent="0.2">
      <c r="A196" s="867"/>
      <c r="C196" s="759"/>
      <c r="D196" s="760"/>
      <c r="E196" s="748"/>
      <c r="F196" s="708"/>
      <c r="G196" s="708"/>
      <c r="H196" s="708"/>
      <c r="I196" s="708"/>
      <c r="J196" s="708"/>
      <c r="K196" s="708"/>
      <c r="L196" s="708"/>
      <c r="M196" s="708"/>
      <c r="N196" s="708"/>
      <c r="O196" s="708"/>
      <c r="P196" s="708"/>
      <c r="Q196" s="708"/>
      <c r="R196" s="708"/>
      <c r="S196" s="708"/>
      <c r="T196" s="708"/>
      <c r="U196" s="708"/>
      <c r="V196" s="708"/>
      <c r="W196" s="708"/>
      <c r="X196" s="708"/>
      <c r="Y196" s="708"/>
      <c r="Z196" s="708"/>
      <c r="AA196" s="708"/>
      <c r="AB196" s="708"/>
      <c r="AC196" s="708"/>
      <c r="AD196" s="708"/>
      <c r="AE196" s="708"/>
      <c r="AF196" s="708"/>
      <c r="AG196" s="708"/>
      <c r="AH196" s="708"/>
      <c r="AI196" s="708"/>
      <c r="AJ196" s="708"/>
      <c r="AK196" s="708"/>
      <c r="AL196" s="708"/>
      <c r="AM196" s="708"/>
      <c r="AN196" s="708"/>
      <c r="AO196" s="709"/>
      <c r="AP196" s="710"/>
      <c r="AQ196" s="763" t="str">
        <f t="shared" si="16"/>
        <v/>
      </c>
      <c r="AS196" s="268"/>
      <c r="AV196" s="699"/>
      <c r="AW196" s="700">
        <v>1.2999999999999999E-2</v>
      </c>
      <c r="AX196" s="382">
        <f t="shared" si="14"/>
        <v>0</v>
      </c>
      <c r="AY196" s="379" t="str">
        <f t="shared" ca="1" si="17"/>
        <v>BHD</v>
      </c>
      <c r="AZ196" s="384">
        <f t="shared" si="15"/>
        <v>0</v>
      </c>
      <c r="BA196" s="642"/>
    </row>
    <row r="197" spans="1:54" ht="13.5" customHeight="1" x14ac:dyDescent="0.2">
      <c r="A197" s="867"/>
      <c r="AV197" s="699"/>
      <c r="AW197" s="700">
        <v>1.3100000000000001E-2</v>
      </c>
      <c r="AX197" s="642"/>
      <c r="AY197" s="642"/>
      <c r="BA197" s="642"/>
    </row>
    <row r="198" spans="1:54" ht="1.5" customHeight="1" x14ac:dyDescent="0.2">
      <c r="A198" s="867"/>
      <c r="AV198" s="699"/>
      <c r="AW198" s="700">
        <v>1.32E-2</v>
      </c>
    </row>
    <row r="199" spans="1:54" s="186" customFormat="1" ht="11.25" hidden="1" customHeight="1" x14ac:dyDescent="0.2">
      <c r="A199" s="867"/>
      <c r="AS199" s="672"/>
      <c r="AU199" s="669"/>
      <c r="AV199" s="699"/>
      <c r="AW199" s="700">
        <v>1.3299999999999999E-2</v>
      </c>
      <c r="AX199" s="643"/>
      <c r="AY199" s="643"/>
      <c r="AZ199" s="671"/>
      <c r="BA199" s="643"/>
      <c r="BB199" s="669"/>
    </row>
    <row r="200" spans="1:54" s="673" customFormat="1" ht="13.5" hidden="1" customHeight="1" x14ac:dyDescent="0.2">
      <c r="A200" s="867"/>
      <c r="D200" s="674"/>
      <c r="E200" s="674"/>
      <c r="F200" s="674"/>
      <c r="G200" s="674"/>
      <c r="H200" s="674"/>
      <c r="I200" s="674"/>
      <c r="J200" s="674"/>
      <c r="K200" s="674"/>
      <c r="L200" s="674"/>
      <c r="M200" s="674"/>
      <c r="N200" s="674"/>
      <c r="O200" s="674"/>
      <c r="P200" s="674"/>
      <c r="Q200" s="674"/>
      <c r="R200" s="674"/>
      <c r="S200" s="674"/>
      <c r="T200" s="674"/>
      <c r="U200" s="674"/>
      <c r="V200" s="674"/>
      <c r="W200" s="674"/>
      <c r="X200" s="674"/>
      <c r="Y200" s="674"/>
      <c r="Z200" s="674"/>
      <c r="AA200" s="674"/>
      <c r="AB200" s="674"/>
      <c r="AC200" s="674"/>
      <c r="AD200" s="674"/>
      <c r="AE200" s="674"/>
      <c r="AF200" s="674"/>
      <c r="AG200" s="674"/>
      <c r="AH200" s="674"/>
      <c r="AI200" s="674"/>
      <c r="AJ200" s="674"/>
      <c r="AK200" s="674"/>
      <c r="AL200" s="674"/>
      <c r="AM200" s="674"/>
      <c r="AN200" s="674"/>
      <c r="AO200" s="674"/>
      <c r="AP200" s="674"/>
      <c r="AS200" s="675"/>
      <c r="AU200" s="643"/>
      <c r="AV200" s="699"/>
      <c r="AW200" s="700">
        <v>1.34E-2</v>
      </c>
      <c r="AX200" s="643"/>
      <c r="AY200" s="643"/>
      <c r="AZ200" s="671"/>
      <c r="BA200" s="643"/>
      <c r="BB200" s="643"/>
    </row>
    <row r="201" spans="1:54" s="673" customFormat="1" ht="13.5" hidden="1" customHeight="1" x14ac:dyDescent="0.2">
      <c r="A201" s="867"/>
      <c r="C201" s="324">
        <f>C151+1</f>
        <v>4</v>
      </c>
      <c r="D201" s="383"/>
      <c r="E201" s="383">
        <v>1</v>
      </c>
      <c r="F201" s="383">
        <v>2</v>
      </c>
      <c r="G201" s="383">
        <v>3</v>
      </c>
      <c r="H201" s="383">
        <v>4</v>
      </c>
      <c r="I201" s="383">
        <v>5</v>
      </c>
      <c r="J201" s="383">
        <v>6</v>
      </c>
      <c r="K201" s="383">
        <v>7</v>
      </c>
      <c r="L201" s="383">
        <v>8</v>
      </c>
      <c r="M201" s="383">
        <v>9</v>
      </c>
      <c r="N201" s="383">
        <v>10</v>
      </c>
      <c r="O201" s="383">
        <v>11</v>
      </c>
      <c r="P201" s="383">
        <v>12</v>
      </c>
      <c r="Q201" s="383">
        <v>13</v>
      </c>
      <c r="R201" s="383">
        <v>14</v>
      </c>
      <c r="S201" s="383">
        <v>15</v>
      </c>
      <c r="T201" s="383">
        <v>16</v>
      </c>
      <c r="U201" s="383">
        <v>17</v>
      </c>
      <c r="V201" s="383">
        <v>18</v>
      </c>
      <c r="W201" s="383">
        <v>19</v>
      </c>
      <c r="X201" s="383">
        <v>20</v>
      </c>
      <c r="Y201" s="383">
        <v>21</v>
      </c>
      <c r="Z201" s="751">
        <v>22</v>
      </c>
      <c r="AA201" s="383">
        <v>23</v>
      </c>
      <c r="AB201" s="383">
        <v>24</v>
      </c>
      <c r="AC201" s="383">
        <v>25</v>
      </c>
      <c r="AD201" s="383">
        <v>26</v>
      </c>
      <c r="AE201" s="383">
        <v>27</v>
      </c>
      <c r="AF201" s="383"/>
      <c r="AG201" s="383"/>
      <c r="AH201" s="383"/>
      <c r="AI201" s="383"/>
      <c r="AJ201" s="383"/>
      <c r="AK201" s="383"/>
      <c r="AL201" s="383"/>
      <c r="AM201" s="383"/>
      <c r="AN201" s="383"/>
      <c r="AO201" s="383"/>
      <c r="AP201" s="674"/>
      <c r="AS201" s="675"/>
      <c r="AU201" s="643"/>
      <c r="AV201" s="699"/>
      <c r="AW201" s="700">
        <v>1.35E-2</v>
      </c>
      <c r="AX201" s="643"/>
      <c r="AY201" s="643"/>
      <c r="AZ201" s="671"/>
      <c r="BA201" s="643"/>
      <c r="BB201" s="643"/>
    </row>
    <row r="202" spans="1:54" s="673" customFormat="1" ht="13.5" hidden="1" customHeight="1" x14ac:dyDescent="0.2">
      <c r="A202" s="867"/>
      <c r="D202" s="383"/>
      <c r="E202" s="383"/>
      <c r="F202" s="383"/>
      <c r="G202" s="383"/>
      <c r="H202" s="383"/>
      <c r="I202" s="383"/>
      <c r="J202" s="383"/>
      <c r="K202" s="383"/>
      <c r="L202" s="383"/>
      <c r="M202" s="383"/>
      <c r="N202" s="383"/>
      <c r="O202" s="383"/>
      <c r="P202" s="383"/>
      <c r="Q202" s="383"/>
      <c r="R202" s="383"/>
      <c r="S202" s="383"/>
      <c r="T202" s="383"/>
      <c r="U202" s="383"/>
      <c r="V202" s="383"/>
      <c r="W202" s="383"/>
      <c r="X202" s="383"/>
      <c r="Y202" s="383"/>
      <c r="Z202" s="751"/>
      <c r="AA202" s="383"/>
      <c r="AB202" s="383"/>
      <c r="AC202" s="383"/>
      <c r="AD202" s="383"/>
      <c r="AE202" s="383"/>
      <c r="AF202" s="383"/>
      <c r="AG202" s="383"/>
      <c r="AH202" s="383"/>
      <c r="AI202" s="383"/>
      <c r="AJ202" s="383"/>
      <c r="AK202" s="383"/>
      <c r="AL202" s="383"/>
      <c r="AM202" s="383"/>
      <c r="AN202" s="383"/>
      <c r="AO202" s="383"/>
      <c r="AP202" s="674"/>
      <c r="AS202" s="675"/>
      <c r="AU202" s="643"/>
      <c r="AV202" s="699"/>
      <c r="AW202" s="700">
        <v>1.3599999999999999E-2</v>
      </c>
      <c r="AX202" s="643"/>
      <c r="AY202" s="643"/>
      <c r="AZ202" s="671"/>
      <c r="BA202" s="643"/>
      <c r="BB202" s="643"/>
    </row>
    <row r="203" spans="1:54" s="673" customFormat="1" ht="13.5" hidden="1" customHeight="1" x14ac:dyDescent="0.2">
      <c r="A203" s="867"/>
      <c r="D203" s="676"/>
      <c r="E203" s="676">
        <f t="shared" ref="E203:AE203" si="18">E$53</f>
        <v>1</v>
      </c>
      <c r="F203" s="676">
        <f t="shared" si="18"/>
        <v>17</v>
      </c>
      <c r="G203" s="676">
        <f t="shared" si="18"/>
        <v>33</v>
      </c>
      <c r="H203" s="676">
        <f t="shared" si="18"/>
        <v>49</v>
      </c>
      <c r="I203" s="676">
        <f t="shared" si="18"/>
        <v>65</v>
      </c>
      <c r="J203" s="676">
        <f t="shared" si="18"/>
        <v>81</v>
      </c>
      <c r="K203" s="676">
        <f t="shared" si="18"/>
        <v>97</v>
      </c>
      <c r="L203" s="676">
        <f t="shared" si="18"/>
        <v>113</v>
      </c>
      <c r="M203" s="676">
        <f t="shared" si="18"/>
        <v>129</v>
      </c>
      <c r="N203" s="676">
        <f t="shared" si="18"/>
        <v>145</v>
      </c>
      <c r="O203" s="676">
        <f t="shared" si="18"/>
        <v>161</v>
      </c>
      <c r="P203" s="676">
        <f t="shared" si="18"/>
        <v>177</v>
      </c>
      <c r="Q203" s="676">
        <f t="shared" si="18"/>
        <v>193</v>
      </c>
      <c r="R203" s="676">
        <f t="shared" si="18"/>
        <v>209</v>
      </c>
      <c r="S203" s="676">
        <f t="shared" si="18"/>
        <v>225</v>
      </c>
      <c r="T203" s="676">
        <f t="shared" si="18"/>
        <v>241</v>
      </c>
      <c r="U203" s="676">
        <f t="shared" si="18"/>
        <v>257</v>
      </c>
      <c r="V203" s="676">
        <f t="shared" si="18"/>
        <v>273</v>
      </c>
      <c r="W203" s="676">
        <f t="shared" si="18"/>
        <v>289</v>
      </c>
      <c r="X203" s="676">
        <f t="shared" si="18"/>
        <v>305</v>
      </c>
      <c r="Y203" s="676">
        <f t="shared" si="18"/>
        <v>321</v>
      </c>
      <c r="Z203" s="676">
        <f t="shared" si="18"/>
        <v>337</v>
      </c>
      <c r="AA203" s="676">
        <f t="shared" si="18"/>
        <v>1</v>
      </c>
      <c r="AB203" s="676">
        <f t="shared" si="18"/>
        <v>19</v>
      </c>
      <c r="AC203" s="676">
        <f t="shared" si="18"/>
        <v>37</v>
      </c>
      <c r="AD203" s="676">
        <f t="shared" si="18"/>
        <v>55</v>
      </c>
      <c r="AE203" s="676">
        <f t="shared" si="18"/>
        <v>73</v>
      </c>
      <c r="AF203" s="676"/>
      <c r="AG203" s="676"/>
      <c r="AH203" s="676"/>
      <c r="AI203" s="676"/>
      <c r="AJ203" s="676"/>
      <c r="AK203" s="676"/>
      <c r="AL203" s="676"/>
      <c r="AM203" s="676"/>
      <c r="AN203" s="676"/>
      <c r="AO203" s="676"/>
      <c r="AP203" s="674"/>
      <c r="AS203" s="675"/>
      <c r="AU203" s="643"/>
      <c r="AV203" s="699"/>
      <c r="AW203" s="700">
        <v>1.37E-2</v>
      </c>
      <c r="AX203" s="643"/>
      <c r="AY203" s="643"/>
      <c r="AZ203" s="671"/>
      <c r="BA203" s="643"/>
      <c r="BB203" s="643"/>
    </row>
    <row r="204" spans="1:54" s="673" customFormat="1" ht="13.5" hidden="1" customHeight="1" x14ac:dyDescent="0.2">
      <c r="A204" s="867"/>
      <c r="D204" s="677"/>
      <c r="E204" s="749" t="b">
        <f ca="1">COUNTIF(OFFSET(ASZ!$AB$42,E203,-4,12,2),$C212)=0</f>
        <v>0</v>
      </c>
      <c r="F204" s="749" t="b">
        <f ca="1">COUNTIF(OFFSET(ASZ!$AB$42,F203,-4,12,2),$C212)=0</f>
        <v>0</v>
      </c>
      <c r="G204" s="749" t="b">
        <f ca="1">COUNTIF(OFFSET(ASZ!$AB$42,G203,-4,12,2),$C212)=0</f>
        <v>0</v>
      </c>
      <c r="H204" s="749" t="b">
        <f ca="1">COUNTIF(OFFSET(ASZ!$AB$42,H203,-4,12,2),$C212)=0</f>
        <v>0</v>
      </c>
      <c r="I204" s="749" t="b">
        <f ca="1">COUNTIF(OFFSET(ASZ!$AB$42,I203,-4,12,2),$C212)=0</f>
        <v>0</v>
      </c>
      <c r="J204" s="749" t="b">
        <f ca="1">COUNTIF(OFFSET(ASZ!$AB$42,J203,-4,12,2),$C212)=0</f>
        <v>0</v>
      </c>
      <c r="K204" s="749" t="b">
        <f ca="1">COUNTIF(OFFSET(ASZ!$AB$42,K203,-4,12,2),$C212)=0</f>
        <v>0</v>
      </c>
      <c r="L204" s="749" t="b">
        <f ca="1">COUNTIF(OFFSET(ASZ!$AB$42,L203,-4,12,2),$C212)=0</f>
        <v>0</v>
      </c>
      <c r="M204" s="749" t="b">
        <f ca="1">COUNTIF(OFFSET(ASZ!$AB$42,M203,-4,12,2),$C212)=0</f>
        <v>0</v>
      </c>
      <c r="N204" s="749" t="b">
        <f ca="1">COUNTIF(OFFSET(ASZ!$AB$42,N203,-4,12,2),$C212)=0</f>
        <v>0</v>
      </c>
      <c r="O204" s="749" t="b">
        <f ca="1">COUNTIF(OFFSET(ASZ!$AB$42,O203,-4,12,2),$C212)=0</f>
        <v>0</v>
      </c>
      <c r="P204" s="749" t="b">
        <f ca="1">COUNTIF(OFFSET(ASZ!$AB$42,P203,-4,12,2),$C212)=0</f>
        <v>0</v>
      </c>
      <c r="Q204" s="749" t="b">
        <f ca="1">COUNTIF(OFFSET(ASZ!$AB$42,Q203,-4,12,2),$C212)=0</f>
        <v>0</v>
      </c>
      <c r="R204" s="749" t="b">
        <f ca="1">COUNTIF(OFFSET(ASZ!$AB$42,R203,-4,12,2),$C212)=0</f>
        <v>0</v>
      </c>
      <c r="S204" s="749" t="b">
        <f ca="1">COUNTIF(OFFSET(ASZ!$AB$42,S203,-4,12,2),$C212)=0</f>
        <v>0</v>
      </c>
      <c r="T204" s="749" t="b">
        <f ca="1">COUNTIF(OFFSET(ASZ!$AB$42,T203,-4,12,2),$C212)=0</f>
        <v>0</v>
      </c>
      <c r="U204" s="749" t="b">
        <f ca="1">COUNTIF(OFFSET(ASZ!$AB$42,U203,-4,12,2),$C212)=0</f>
        <v>0</v>
      </c>
      <c r="V204" s="749" t="b">
        <f ca="1">COUNTIF(OFFSET(ASZ!$AB$42,V203,-4,12,2),$C212)=0</f>
        <v>0</v>
      </c>
      <c r="W204" s="749" t="b">
        <f ca="1">COUNTIF(OFFSET(ASZ!$AB$42,W203,-4,12,2),$C212)=0</f>
        <v>0</v>
      </c>
      <c r="X204" s="749" t="b">
        <f ca="1">COUNTIF(OFFSET(ASZ!$AB$42,X203,-4,12,2),$C212)=0</f>
        <v>0</v>
      </c>
      <c r="Y204" s="749" t="b">
        <f ca="1">COUNTIF(OFFSET(ASZ!$AB$42,Y203,-4,12,2),$C212)=0</f>
        <v>0</v>
      </c>
      <c r="Z204" s="753" t="b">
        <f ca="1">COUNTIF(OFFSET(ASZ!$AB$42,Z203,-4,12,2),$C212)=0</f>
        <v>0</v>
      </c>
      <c r="AA204" s="749" t="b">
        <f ca="1">COUNTIF(OFFSET(RCSOP!$AF$56,AA203,-4,14,2),$C212)=0</f>
        <v>0</v>
      </c>
      <c r="AB204" s="749" t="b">
        <f ca="1">COUNTIF(OFFSET(RCSOP!$AF$56,AB203,-4,14,2),$C212)=0</f>
        <v>0</v>
      </c>
      <c r="AC204" s="749" t="b">
        <f ca="1">COUNTIF(OFFSET(RCSOP!$AF$56,AC203,-4,14,2),$C212)=0</f>
        <v>0</v>
      </c>
      <c r="AD204" s="749" t="b">
        <f ca="1">COUNTIF(OFFSET(RCSOP!$AF$56,AD203,-4,14,2),$C212)=0</f>
        <v>0</v>
      </c>
      <c r="AE204" s="749" t="b">
        <f ca="1">COUNTIF(OFFSET(RCSOP!$AF$56,AE203,-4,14,2),$C212)=0</f>
        <v>0</v>
      </c>
      <c r="AF204" s="677"/>
      <c r="AG204" s="677"/>
      <c r="AH204" s="677"/>
      <c r="AI204" s="677"/>
      <c r="AJ204" s="677"/>
      <c r="AK204" s="677"/>
      <c r="AL204" s="677"/>
      <c r="AM204" s="677"/>
      <c r="AN204" s="677"/>
      <c r="AO204" s="677"/>
      <c r="AP204" s="674"/>
      <c r="AS204" s="675"/>
      <c r="AU204" s="643"/>
      <c r="AV204" s="699"/>
      <c r="AW204" s="700">
        <v>1.38E-2</v>
      </c>
      <c r="AY204" s="643"/>
      <c r="AZ204" s="671"/>
      <c r="BA204" s="643"/>
      <c r="BB204" s="643"/>
    </row>
    <row r="205" spans="1:54" s="673" customFormat="1" ht="13.5" hidden="1" customHeight="1" x14ac:dyDescent="0.2">
      <c r="A205" s="867"/>
      <c r="D205" s="677"/>
      <c r="E205" s="749" t="b">
        <f ca="1">COUNTIF(OFFSET(ASZ!$AB$42,E203,-4,12,1),$C212)=1</f>
        <v>1</v>
      </c>
      <c r="F205" s="749" t="b">
        <f ca="1">COUNTIF(OFFSET(ASZ!$AB$42,F203,-4,12,1),$C212)=1</f>
        <v>1</v>
      </c>
      <c r="G205" s="749" t="b">
        <f ca="1">COUNTIF(OFFSET(ASZ!$AB$42,G203,-4,12,1),$C212)=1</f>
        <v>1</v>
      </c>
      <c r="H205" s="749" t="b">
        <f ca="1">COUNTIF(OFFSET(ASZ!$AB$42,H203,-4,12,1),$C212)=1</f>
        <v>0</v>
      </c>
      <c r="I205" s="749" t="b">
        <f ca="1">COUNTIF(OFFSET(ASZ!$AB$42,I203,-4,12,1),$C212)=1</f>
        <v>1</v>
      </c>
      <c r="J205" s="749" t="b">
        <f ca="1">COUNTIF(OFFSET(ASZ!$AB$42,J203,-4,12,1),$C212)=1</f>
        <v>0</v>
      </c>
      <c r="K205" s="749" t="b">
        <f ca="1">COUNTIF(OFFSET(ASZ!$AB$42,K203,-4,12,1),$C212)=1</f>
        <v>1</v>
      </c>
      <c r="L205" s="749" t="b">
        <f ca="1">COUNTIF(OFFSET(ASZ!$AB$42,L203,-4,12,1),$C212)=1</f>
        <v>0</v>
      </c>
      <c r="M205" s="749" t="b">
        <f ca="1">COUNTIF(OFFSET(ASZ!$AB$42,M203,-4,12,1),$C212)=1</f>
        <v>1</v>
      </c>
      <c r="N205" s="749" t="b">
        <f ca="1">COUNTIF(OFFSET(ASZ!$AB$42,N203,-4,12,1),$C212)=1</f>
        <v>0</v>
      </c>
      <c r="O205" s="749" t="b">
        <f ca="1">COUNTIF(OFFSET(ASZ!$AB$42,O203,-4,12,1),$C212)=1</f>
        <v>1</v>
      </c>
      <c r="P205" s="749" t="b">
        <f ca="1">COUNTIF(OFFSET(ASZ!$AB$42,P203,-4,12,1),$C212)=1</f>
        <v>0</v>
      </c>
      <c r="Q205" s="749" t="b">
        <f ca="1">COUNTIF(OFFSET(ASZ!$AB$42,Q203,-4,12,1),$C212)=1</f>
        <v>0</v>
      </c>
      <c r="R205" s="749" t="b">
        <f ca="1">COUNTIF(OFFSET(ASZ!$AB$42,R203,-4,12,1),$C212)=1</f>
        <v>0</v>
      </c>
      <c r="S205" s="749" t="b">
        <f ca="1">COUNTIF(OFFSET(ASZ!$AB$42,S203,-4,12,1),$C212)=1</f>
        <v>1</v>
      </c>
      <c r="T205" s="749" t="b">
        <f ca="1">COUNTIF(OFFSET(ASZ!$AB$42,T203,-4,12,1),$C212)=1</f>
        <v>1</v>
      </c>
      <c r="U205" s="749" t="b">
        <f ca="1">COUNTIF(OFFSET(ASZ!$AB$42,U203,-4,12,1),$C212)=1</f>
        <v>1</v>
      </c>
      <c r="V205" s="749" t="b">
        <f ca="1">COUNTIF(OFFSET(ASZ!$AB$42,V203,-4,12,1),$C212)=1</f>
        <v>0</v>
      </c>
      <c r="W205" s="749" t="b">
        <f ca="1">COUNTIF(OFFSET(ASZ!$AB$42,W203,-4,12,1),$C212)=1</f>
        <v>1</v>
      </c>
      <c r="X205" s="749" t="b">
        <f ca="1">COUNTIF(OFFSET(ASZ!$AB$42,X203,-4,12,1),$C212)=1</f>
        <v>0</v>
      </c>
      <c r="Y205" s="749" t="b">
        <f ca="1">COUNTIF(OFFSET(ASZ!$AB$42,Y203,-4,12,1),$C212)=1</f>
        <v>1</v>
      </c>
      <c r="Z205" s="753" t="b">
        <f ca="1">COUNTIF(OFFSET(ASZ!$AB$42,Z203,-4,12,1),$C212)=1</f>
        <v>0</v>
      </c>
      <c r="AA205" s="749" t="b">
        <f ca="1">COUNTIF(OFFSET(RCSOP!$AF$56,AA203,-4,14,1),$C212)=1</f>
        <v>0</v>
      </c>
      <c r="AB205" s="749" t="b">
        <f ca="1">COUNTIF(OFFSET(RCSOP!$AF$56,AB203,-4,14,1),$C212)=1</f>
        <v>0</v>
      </c>
      <c r="AC205" s="749" t="b">
        <f ca="1">COUNTIF(OFFSET(RCSOP!$AF$56,AC203,-4,14,1),$C212)=1</f>
        <v>0</v>
      </c>
      <c r="AD205" s="749" t="b">
        <f ca="1">COUNTIF(OFFSET(RCSOP!$AF$56,AD203,-4,14,1),$C212)=1</f>
        <v>1</v>
      </c>
      <c r="AE205" s="749" t="b">
        <f ca="1">COUNTIF(OFFSET(RCSOP!$AF$56,AE203,-4,14,1),$C212)=1</f>
        <v>1</v>
      </c>
      <c r="AF205" s="677"/>
      <c r="AG205" s="677"/>
      <c r="AH205" s="677"/>
      <c r="AI205" s="677"/>
      <c r="AJ205" s="677"/>
      <c r="AK205" s="677"/>
      <c r="AL205" s="677"/>
      <c r="AM205" s="677"/>
      <c r="AN205" s="677"/>
      <c r="AO205" s="677"/>
      <c r="AP205" s="674"/>
      <c r="AS205" s="675"/>
      <c r="AU205" s="643"/>
      <c r="AV205" s="699"/>
      <c r="AW205" s="700">
        <v>1.3899999999999999E-2</v>
      </c>
      <c r="AX205" s="643"/>
      <c r="AY205" s="643"/>
      <c r="AZ205" s="671"/>
      <c r="BA205" s="643"/>
      <c r="BB205" s="643"/>
    </row>
    <row r="206" spans="1:54" s="673" customFormat="1" ht="13.5" hidden="1" customHeight="1" x14ac:dyDescent="0.2">
      <c r="A206" s="867"/>
      <c r="D206" s="674"/>
      <c r="E206" s="674"/>
      <c r="F206" s="674"/>
      <c r="G206" s="674"/>
      <c r="H206" s="674"/>
      <c r="I206" s="674"/>
      <c r="J206" s="674"/>
      <c r="K206" s="674"/>
      <c r="L206" s="674"/>
      <c r="M206" s="674"/>
      <c r="N206" s="674"/>
      <c r="O206" s="674"/>
      <c r="P206" s="674"/>
      <c r="Q206" s="674"/>
      <c r="R206" s="674"/>
      <c r="S206" s="674"/>
      <c r="T206" s="674"/>
      <c r="U206" s="674"/>
      <c r="V206" s="674"/>
      <c r="W206" s="674"/>
      <c r="X206" s="674"/>
      <c r="Y206" s="674"/>
      <c r="Z206" s="674"/>
      <c r="AA206" s="674"/>
      <c r="AB206" s="674"/>
      <c r="AC206" s="674"/>
      <c r="AD206" s="674"/>
      <c r="AE206" s="674"/>
      <c r="AF206" s="674"/>
      <c r="AG206" s="674"/>
      <c r="AH206" s="674"/>
      <c r="AI206" s="674"/>
      <c r="AJ206" s="674"/>
      <c r="AK206" s="674"/>
      <c r="AL206" s="674"/>
      <c r="AM206" s="674"/>
      <c r="AN206" s="674"/>
      <c r="AO206" s="674"/>
      <c r="AP206" s="674"/>
      <c r="AS206" s="675"/>
      <c r="AU206" s="643"/>
      <c r="AV206" s="699"/>
      <c r="AW206" s="700">
        <v>1.4E-2</v>
      </c>
      <c r="AX206" s="643"/>
      <c r="AY206" s="643"/>
      <c r="AZ206" s="671"/>
      <c r="BA206" s="643"/>
      <c r="BB206" s="643"/>
    </row>
    <row r="207" spans="1:54" s="673" customFormat="1" ht="13.5" hidden="1" customHeight="1" x14ac:dyDescent="0.2">
      <c r="A207" s="867"/>
      <c r="D207" s="674"/>
      <c r="E207" s="674"/>
      <c r="F207" s="674"/>
      <c r="G207" s="674"/>
      <c r="H207" s="674"/>
      <c r="I207" s="674"/>
      <c r="J207" s="674"/>
      <c r="K207" s="674"/>
      <c r="L207" s="674"/>
      <c r="M207" s="674"/>
      <c r="N207" s="674"/>
      <c r="O207" s="674"/>
      <c r="P207" s="674"/>
      <c r="Q207" s="674"/>
      <c r="R207" s="674"/>
      <c r="S207" s="674"/>
      <c r="T207" s="674"/>
      <c r="U207" s="674"/>
      <c r="V207" s="674"/>
      <c r="W207" s="674"/>
      <c r="X207" s="674"/>
      <c r="Y207" s="674"/>
      <c r="Z207" s="674"/>
      <c r="AA207" s="674"/>
      <c r="AB207" s="674"/>
      <c r="AC207" s="674"/>
      <c r="AD207" s="674"/>
      <c r="AE207" s="674"/>
      <c r="AF207" s="674"/>
      <c r="AG207" s="674"/>
      <c r="AH207" s="674"/>
      <c r="AI207" s="674"/>
      <c r="AJ207" s="674"/>
      <c r="AK207" s="674"/>
      <c r="AL207" s="674"/>
      <c r="AM207" s="674"/>
      <c r="AN207" s="674"/>
      <c r="AO207" s="674"/>
      <c r="AP207" s="674"/>
      <c r="AS207" s="675"/>
      <c r="AU207" s="643"/>
      <c r="AV207" s="699"/>
      <c r="AW207" s="700">
        <v>1.41E-2</v>
      </c>
      <c r="AX207" s="643"/>
      <c r="AY207" s="643"/>
      <c r="AZ207" s="671"/>
      <c r="BA207" s="643"/>
      <c r="BB207" s="643"/>
    </row>
    <row r="208" spans="1:54" s="673" customFormat="1" ht="13.5" hidden="1" customHeight="1" x14ac:dyDescent="0.2">
      <c r="A208" s="867"/>
      <c r="D208" s="674"/>
      <c r="E208" s="674"/>
      <c r="F208" s="674"/>
      <c r="G208" s="674"/>
      <c r="H208" s="674"/>
      <c r="I208" s="674"/>
      <c r="J208" s="674"/>
      <c r="K208" s="674"/>
      <c r="L208" s="674"/>
      <c r="M208" s="674"/>
      <c r="N208" s="674"/>
      <c r="O208" s="674"/>
      <c r="P208" s="674"/>
      <c r="Q208" s="674"/>
      <c r="R208" s="674"/>
      <c r="S208" s="674"/>
      <c r="T208" s="674"/>
      <c r="U208" s="674"/>
      <c r="V208" s="674"/>
      <c r="W208" s="674"/>
      <c r="X208" s="674"/>
      <c r="Y208" s="674"/>
      <c r="Z208" s="674"/>
      <c r="AA208" s="674"/>
      <c r="AB208" s="674"/>
      <c r="AC208" s="674"/>
      <c r="AD208" s="674"/>
      <c r="AE208" s="674"/>
      <c r="AF208" s="674"/>
      <c r="AG208" s="674"/>
      <c r="AH208" s="674"/>
      <c r="AI208" s="674"/>
      <c r="AJ208" s="674"/>
      <c r="AK208" s="674"/>
      <c r="AL208" s="674"/>
      <c r="AM208" s="674"/>
      <c r="AN208" s="674"/>
      <c r="AO208" s="674"/>
      <c r="AP208" s="674"/>
      <c r="AS208" s="675"/>
      <c r="AU208" s="643"/>
      <c r="AV208" s="699"/>
      <c r="AW208" s="700">
        <v>1.4200000000000001E-2</v>
      </c>
      <c r="AX208" s="643"/>
      <c r="AY208" s="643"/>
      <c r="AZ208" s="671"/>
      <c r="BA208" s="643"/>
      <c r="BB208" s="643"/>
    </row>
    <row r="209" spans="1:54" s="673" customFormat="1" ht="13.5" hidden="1" customHeight="1" x14ac:dyDescent="0.2">
      <c r="A209" s="867"/>
      <c r="D209" s="674"/>
      <c r="E209" s="674"/>
      <c r="F209" s="674"/>
      <c r="G209" s="674"/>
      <c r="H209" s="674"/>
      <c r="I209" s="674"/>
      <c r="J209" s="674"/>
      <c r="K209" s="674"/>
      <c r="L209" s="674"/>
      <c r="M209" s="674"/>
      <c r="N209" s="674"/>
      <c r="O209" s="674"/>
      <c r="P209" s="674"/>
      <c r="Q209" s="674"/>
      <c r="R209" s="674"/>
      <c r="S209" s="674"/>
      <c r="T209" s="674"/>
      <c r="U209" s="674"/>
      <c r="V209" s="674"/>
      <c r="W209" s="674"/>
      <c r="X209" s="674"/>
      <c r="Y209" s="674"/>
      <c r="Z209" s="674"/>
      <c r="AA209" s="674"/>
      <c r="AB209" s="674"/>
      <c r="AC209" s="674"/>
      <c r="AD209" s="674"/>
      <c r="AE209" s="674"/>
      <c r="AF209" s="674"/>
      <c r="AG209" s="674"/>
      <c r="AH209" s="674"/>
      <c r="AI209" s="674"/>
      <c r="AJ209" s="674"/>
      <c r="AK209" s="674"/>
      <c r="AL209" s="674"/>
      <c r="AM209" s="674"/>
      <c r="AN209" s="674"/>
      <c r="AO209" s="674"/>
      <c r="AP209" s="674"/>
      <c r="AS209" s="675"/>
      <c r="AU209" s="643"/>
      <c r="AV209" s="699"/>
      <c r="AW209" s="700">
        <v>1.43E-2</v>
      </c>
      <c r="AX209" s="643"/>
      <c r="AY209" s="643"/>
      <c r="AZ209" s="671"/>
      <c r="BA209" s="643"/>
      <c r="BB209" s="643"/>
    </row>
    <row r="210" spans="1:54" s="673" customFormat="1" ht="13.5" hidden="1" customHeight="1" x14ac:dyDescent="0.2">
      <c r="A210" s="867"/>
      <c r="D210" s="674"/>
      <c r="E210" s="674"/>
      <c r="F210" s="674"/>
      <c r="G210" s="674"/>
      <c r="H210" s="674"/>
      <c r="I210" s="674"/>
      <c r="J210" s="674"/>
      <c r="K210" s="674"/>
      <c r="L210" s="674"/>
      <c r="M210" s="674"/>
      <c r="N210" s="674"/>
      <c r="O210" s="674"/>
      <c r="P210" s="674"/>
      <c r="Q210" s="674"/>
      <c r="R210" s="674"/>
      <c r="S210" s="674"/>
      <c r="T210" s="674"/>
      <c r="U210" s="674"/>
      <c r="V210" s="674"/>
      <c r="W210" s="674"/>
      <c r="X210" s="674"/>
      <c r="Y210" s="674"/>
      <c r="Z210" s="674"/>
      <c r="AA210" s="674"/>
      <c r="AB210" s="674"/>
      <c r="AC210" s="674"/>
      <c r="AD210" s="674"/>
      <c r="AE210" s="674"/>
      <c r="AF210" s="674"/>
      <c r="AG210" s="674"/>
      <c r="AH210" s="674"/>
      <c r="AI210" s="674"/>
      <c r="AJ210" s="674"/>
      <c r="AK210" s="674"/>
      <c r="AL210" s="674"/>
      <c r="AM210" s="674"/>
      <c r="AN210" s="674"/>
      <c r="AO210" s="674"/>
      <c r="AP210" s="674"/>
      <c r="AS210" s="675"/>
      <c r="AU210" s="643"/>
      <c r="AV210" s="699"/>
      <c r="AW210" s="700">
        <v>1.44E-2</v>
      </c>
      <c r="AX210" s="643"/>
      <c r="AY210" s="643"/>
      <c r="AZ210" s="671"/>
      <c r="BA210" s="643"/>
      <c r="BB210" s="643"/>
    </row>
    <row r="211" spans="1:54" s="186" customFormat="1" ht="11.25" hidden="1" customHeight="1" x14ac:dyDescent="0.2">
      <c r="A211" s="867"/>
      <c r="D211" s="678"/>
      <c r="E211" s="678"/>
      <c r="F211" s="678"/>
      <c r="G211" s="678"/>
      <c r="H211" s="678"/>
      <c r="I211" s="678"/>
      <c r="J211" s="678"/>
      <c r="K211" s="678"/>
      <c r="L211" s="678"/>
      <c r="M211" s="678"/>
      <c r="N211" s="678"/>
      <c r="O211" s="678"/>
      <c r="P211" s="678"/>
      <c r="Q211" s="678"/>
      <c r="R211" s="678"/>
      <c r="S211" s="678"/>
      <c r="T211" s="678"/>
      <c r="U211" s="678"/>
      <c r="V211" s="678"/>
      <c r="W211" s="678"/>
      <c r="X211" s="678"/>
      <c r="Y211" s="678"/>
      <c r="Z211" s="678"/>
      <c r="AA211" s="678"/>
      <c r="AB211" s="678"/>
      <c r="AC211" s="678"/>
      <c r="AD211" s="678"/>
      <c r="AE211" s="678"/>
      <c r="AF211" s="678"/>
      <c r="AG211" s="678"/>
      <c r="AH211" s="678"/>
      <c r="AI211" s="678"/>
      <c r="AJ211" s="678"/>
      <c r="AK211" s="678"/>
      <c r="AL211" s="678"/>
      <c r="AM211" s="678"/>
      <c r="AN211" s="678"/>
      <c r="AO211" s="678"/>
      <c r="AP211" s="678"/>
      <c r="AS211" s="672"/>
      <c r="AU211" s="669"/>
      <c r="AV211" s="699"/>
      <c r="AW211" s="700">
        <v>1.4500000000000001E-2</v>
      </c>
      <c r="AX211" s="643"/>
      <c r="AY211" s="643"/>
      <c r="AZ211" s="671"/>
      <c r="BA211" s="643"/>
      <c r="BB211" s="669"/>
    </row>
    <row r="212" spans="1:54" ht="30" customHeight="1" x14ac:dyDescent="0.2">
      <c r="A212" s="867"/>
      <c r="C212" s="679" t="str">
        <f ca="1">UPPER(INDEX(teams.a,C201,1))</f>
        <v>BŐRDÍSZMŰ</v>
      </c>
      <c r="D212" s="743"/>
      <c r="E212" s="743">
        <f ca="1">IF(E204,"",VLOOKUP($C212,OFFSET(ASZ!$AB$42,E203,IF(E205,-4,-3),12,12),IF(E205,12,11),FALSE))</f>
        <v>42088</v>
      </c>
      <c r="F212" s="743">
        <f ca="1">IF(F204,"",VLOOKUP($C212,OFFSET(ASZ!$AB$42,F203,IF(F205,-4,-3),12,12),IF(F205,12,11),FALSE))</f>
        <v>42095</v>
      </c>
      <c r="G212" s="743">
        <f ca="1">IF(G204,"",VLOOKUP($C212,OFFSET(ASZ!$AB$42,G203,IF(G205,-4,-3),12,12),IF(G205,12,11),FALSE))</f>
        <v>42102</v>
      </c>
      <c r="H212" s="743">
        <f ca="1">IF(H204,"",VLOOKUP($C212,OFFSET(ASZ!$AB$42,H203,IF(H205,-4,-3),12,12),IF(H205,12,11),FALSE))</f>
        <v>42109</v>
      </c>
      <c r="I212" s="743">
        <f ca="1">IF(I204,"",VLOOKUP($C212,OFFSET(ASZ!$AB$42,I203,IF(I205,-4,-3),12,12),IF(I205,12,11),FALSE))</f>
        <v>42116</v>
      </c>
      <c r="J212" s="743">
        <f ca="1">IF(J204,"",VLOOKUP($C212,OFFSET(ASZ!$AB$42,J203,IF(J205,-4,-3),12,12),IF(J205,12,11),FALSE))</f>
        <v>42123</v>
      </c>
      <c r="K212" s="743">
        <f ca="1">IF(K204,"",VLOOKUP($C212,OFFSET(ASZ!$AB$42,K203,IF(K205,-4,-3),12,12),IF(K205,12,11),FALSE))</f>
        <v>42130</v>
      </c>
      <c r="L212" s="743">
        <f ca="1">IF(L204,"",VLOOKUP($C212,OFFSET(ASZ!$AB$42,L203,IF(L205,-4,-3),12,12),IF(L205,12,11),FALSE))</f>
        <v>42137</v>
      </c>
      <c r="M212" s="743">
        <f ca="1">IF(M204,"",VLOOKUP($C212,OFFSET(ASZ!$AB$42,M203,IF(M205,-4,-3),12,12),IF(M205,12,11),FALSE))</f>
        <v>42144</v>
      </c>
      <c r="N212" s="743">
        <f ca="1">IF(N204,"",VLOOKUP($C212,OFFSET(ASZ!$AB$42,N203,IF(N205,-4,-3),12,12),IF(N205,12,11),FALSE))</f>
        <v>42151</v>
      </c>
      <c r="O212" s="743">
        <f ca="1">IF(O204,"",VLOOKUP($C212,OFFSET(ASZ!$AB$42,O203,IF(O205,-4,-3),12,12),IF(O205,12,11),FALSE))</f>
        <v>42158</v>
      </c>
      <c r="P212" s="743">
        <f ca="1">IF(P204,"",VLOOKUP($C212,OFFSET(ASZ!$AB$42,P203,IF(P205,-4,-3),12,12),IF(P205,12,11),FALSE))</f>
        <v>42165</v>
      </c>
      <c r="Q212" s="743">
        <f ca="1">IF(Q204,"",VLOOKUP($C212,OFFSET(ASZ!$AB$42,Q203,IF(Q205,-4,-3),12,12),IF(Q205,12,11),FALSE))</f>
        <v>42172</v>
      </c>
      <c r="R212" s="743">
        <f ca="1">IF(R204,"",VLOOKUP($C212,OFFSET(ASZ!$AB$42,R203,IF(R205,-4,-3),12,12),IF(R205,12,11),FALSE))</f>
        <v>42179</v>
      </c>
      <c r="S212" s="743">
        <f ca="1">IF(S204,"",VLOOKUP($C212,OFFSET(ASZ!$AB$42,S203,IF(S205,-4,-3),12,12),IF(S205,12,11),FALSE))</f>
        <v>42242</v>
      </c>
      <c r="T212" s="743">
        <f ca="1">IF(T204,"",VLOOKUP($C212,OFFSET(ASZ!$AB$42,T203,IF(T205,-4,-3),12,12),IF(T205,12,11),FALSE))</f>
        <v>42249</v>
      </c>
      <c r="U212" s="743">
        <f ca="1">IF(U204,"",VLOOKUP($C212,OFFSET(ASZ!$AB$42,U203,IF(U205,-4,-3),12,12),IF(U205,12,11),FALSE))</f>
        <v>42256</v>
      </c>
      <c r="V212" s="743">
        <f ca="1">IF(V204,"",VLOOKUP($C212,OFFSET(ASZ!$AB$42,V203,IF(V205,-4,-3),12,12),IF(V205,12,11),FALSE))</f>
        <v>42263</v>
      </c>
      <c r="W212" s="743">
        <f ca="1">IF(W204,"",VLOOKUP($C212,OFFSET(ASZ!$AB$42,W203,IF(W205,-4,-3),12,12),IF(W205,12,11),FALSE))</f>
        <v>42270</v>
      </c>
      <c r="X212" s="743">
        <f ca="1">IF(X204,"",VLOOKUP($C212,OFFSET(ASZ!$AB$42,X203,IF(X205,-4,-3),12,12),IF(X205,12,11),FALSE))</f>
        <v>42277</v>
      </c>
      <c r="Y212" s="743">
        <f ca="1">IF(Y204,"",VLOOKUP($C212,OFFSET(ASZ!$AB$42,Y203,IF(Y205,-4,-3),12,12),IF(Y205,12,11),FALSE))</f>
        <v>42284</v>
      </c>
      <c r="Z212" s="743">
        <f ca="1">IF(Z204,"",VLOOKUP($C212,OFFSET(ASZ!$AB$42,Z203,IF(Z205,-4,-3),12,12),IF(Z205,12,11),FALSE))</f>
        <v>42291</v>
      </c>
      <c r="AA212" s="743">
        <f ca="1">IF(AA204,"",VLOOKUP($C212,OFFSET(RCSOP!$AF$56,AA203,IF(AA205,-4,-3),14,12),IF(AA205,12,11),FALSE))</f>
        <v>42298</v>
      </c>
      <c r="AB212" s="743">
        <f ca="1">IF(AB204,"",VLOOKUP($C212,OFFSET(RCSOP!$AF$56,AB203,IF(AB205,-4,-3),14,12),IF(AB205,12,11),FALSE))</f>
        <v>42305</v>
      </c>
      <c r="AC212" s="743">
        <f ca="1">IF(AC204,"",VLOOKUP($C212,OFFSET(RCSOP!$AF$56,AC203,IF(AC205,-4,-3),14,12),IF(AC205,12,11),FALSE))</f>
        <v>42312</v>
      </c>
      <c r="AD212" s="743">
        <f ca="1">IF(AD204,"",VLOOKUP($C212,OFFSET(RCSOP!$AF$56,AD203,IF(AD205,-4,-3),14,12),IF(AD205,12,11),FALSE))</f>
        <v>42319</v>
      </c>
      <c r="AE212" s="743">
        <f ca="1">IF(AE204,"",VLOOKUP($C212,OFFSET(RCSOP!$AF$56,AE203,IF(AE205,-4,-3),14,12),IF(AE205,12,11),FALSE))</f>
        <v>42326</v>
      </c>
      <c r="AF212" s="743"/>
      <c r="AG212" s="743"/>
      <c r="AH212" s="743"/>
      <c r="AI212" s="743"/>
      <c r="AJ212" s="743"/>
      <c r="AK212" s="743"/>
      <c r="AL212" s="743"/>
      <c r="AM212" s="743"/>
      <c r="AN212" s="743"/>
      <c r="AO212" s="743"/>
      <c r="AP212" s="869" t="s">
        <v>518</v>
      </c>
      <c r="AV212" s="699"/>
      <c r="AW212" s="700">
        <v>1.46E-2</v>
      </c>
    </row>
    <row r="213" spans="1:54" ht="12.75" customHeight="1" x14ac:dyDescent="0.2">
      <c r="A213" s="867"/>
      <c r="C213" s="224"/>
      <c r="D213" s="224" t="s">
        <v>519</v>
      </c>
      <c r="E213" s="692">
        <f ca="1">IF(E204,"",VLOOKUP($C212,OFFSET(ASZ!$AB$42,E203,IF(E205,-4,-3),12,3),3,FALSE))</f>
        <v>3</v>
      </c>
      <c r="F213" s="692">
        <f ca="1">IF(F204,"",VLOOKUP($C212,OFFSET(ASZ!$AB$42,F203,IF(F205,-4,-3),12,3),3,FALSE))</f>
        <v>0</v>
      </c>
      <c r="G213" s="692">
        <f ca="1">IF(G204,"",VLOOKUP($C212,OFFSET(ASZ!$AB$42,G203,IF(G205,-4,-3),12,3),3,FALSE))</f>
        <v>3</v>
      </c>
      <c r="H213" s="692">
        <f ca="1">IF(H204,"",VLOOKUP($C212,OFFSET(ASZ!$AB$42,H203,IF(H205,-4,-3),12,3),3,FALSE))</f>
        <v>1</v>
      </c>
      <c r="I213" s="692" t="str">
        <f ca="1">IF(I204,"",VLOOKUP($C212,OFFSET(ASZ!$AB$42,I203,IF(I205,-4,-3),12,3),3,FALSE))</f>
        <v/>
      </c>
      <c r="J213" s="692">
        <f ca="1">IF(J204,"",VLOOKUP($C212,OFFSET(ASZ!$AB$42,J203,IF(J205,-4,-3),12,3),3,FALSE))</f>
        <v>3</v>
      </c>
      <c r="K213" s="692">
        <f ca="1">IF(K204,"",VLOOKUP($C212,OFFSET(ASZ!$AB$42,K203,IF(K205,-4,-3),12,3),3,FALSE))</f>
        <v>2</v>
      </c>
      <c r="L213" s="692">
        <f ca="1">IF(L204,"",VLOOKUP($C212,OFFSET(ASZ!$AB$42,L203,IF(L205,-4,-3),12,3),3,FALSE))</f>
        <v>2</v>
      </c>
      <c r="M213" s="692">
        <f ca="1">IF(M204,"",VLOOKUP($C212,OFFSET(ASZ!$AB$42,M203,IF(M205,-4,-3),12,3),3,FALSE))</f>
        <v>1</v>
      </c>
      <c r="N213" s="692">
        <f ca="1">IF(N204,"",VLOOKUP($C212,OFFSET(ASZ!$AB$42,N203,IF(N205,-4,-3),12,3),3,FALSE))</f>
        <v>0</v>
      </c>
      <c r="O213" s="692">
        <f ca="1">IF(O204,"",VLOOKUP($C212,OFFSET(ASZ!$AB$42,O203,IF(O205,-4,-3),12,3),3,FALSE))</f>
        <v>0</v>
      </c>
      <c r="P213" s="692">
        <f ca="1">IF(P204,"",VLOOKUP($C212,OFFSET(ASZ!$AB$42,P203,IF(P205,-4,-3),12,3),3,FALSE))</f>
        <v>2</v>
      </c>
      <c r="Q213" s="692">
        <f ca="1">IF(Q204,"",VLOOKUP($C212,OFFSET(ASZ!$AB$42,Q203,IF(Q205,-4,-3),12,3),3,FALSE))</f>
        <v>0</v>
      </c>
      <c r="R213" s="692">
        <f ca="1">IF(R204,"",VLOOKUP($C212,OFFSET(ASZ!$AB$42,R203,IF(R205,-4,-3),12,3),3,FALSE))</f>
        <v>1</v>
      </c>
      <c r="S213" s="692">
        <f ca="1">IF(S204,"",VLOOKUP($C212,OFFSET(ASZ!$AB$42,S203,IF(S205,-4,-3),12,3),3,FALSE))</f>
        <v>1</v>
      </c>
      <c r="T213" s="692" t="str">
        <f ca="1">IF(T204,"",VLOOKUP($C212,OFFSET(ASZ!$AB$42,T203,IF(T205,-4,-3),12,3),3,FALSE))</f>
        <v/>
      </c>
      <c r="U213" s="692">
        <f ca="1">IF(U204,"",VLOOKUP($C212,OFFSET(ASZ!$AB$42,U203,IF(U205,-4,-3),12,3),3,FALSE))</f>
        <v>1</v>
      </c>
      <c r="V213" s="692">
        <f ca="1">IF(V204,"",VLOOKUP($C212,OFFSET(ASZ!$AB$42,V203,IF(V205,-4,-3),12,3),3,FALSE))</f>
        <v>3</v>
      </c>
      <c r="W213" s="692">
        <f ca="1">IF(W204,"",VLOOKUP($C212,OFFSET(ASZ!$AB$42,W203,IF(W205,-4,-3),12,3),3,FALSE))</f>
        <v>0</v>
      </c>
      <c r="X213" s="692">
        <f ca="1">IF(X204,"",VLOOKUP($C212,OFFSET(ASZ!$AB$42,X203,IF(X205,-4,-3),12,3),3,FALSE))</f>
        <v>2</v>
      </c>
      <c r="Y213" s="692">
        <f ca="1">IF(Y204,"",VLOOKUP($C212,OFFSET(ASZ!$AB$42,Y203,IF(Y205,-4,-3),12,3),3,FALSE))</f>
        <v>0</v>
      </c>
      <c r="Z213" s="692">
        <f ca="1">IF(Z204,"",VLOOKUP($C212,OFFSET(ASZ!$AB$42,Z203,IF(Z205,-4,-3),12,3),3,FALSE))</f>
        <v>2</v>
      </c>
      <c r="AA213" s="692">
        <f ca="1">IF(AA204,"",VLOOKUP($C212,OFFSET(RCSOP!$AF$56,AA203,IF(AA205,-4,-3),14,3),3,FALSE))</f>
        <v>4</v>
      </c>
      <c r="AB213" s="692">
        <f ca="1">IF(AB204,"",VLOOKUP($C212,OFFSET(RCSOP!$AF$56,AB203,IF(AB205,-4,-3),14,3),3,FALSE))</f>
        <v>1</v>
      </c>
      <c r="AC213" s="692">
        <f ca="1">IF(AC204,"",VLOOKUP($C212,OFFSET(RCSOP!$AF$56,AC203,IF(AC205,-4,-3),14,3),3,FALSE))</f>
        <v>2</v>
      </c>
      <c r="AD213" s="692">
        <f ca="1">IF(AD204,"",VLOOKUP($C212,OFFSET(RCSOP!$AF$56,AD203,IF(AD205,-4,-3),14,3),3,FALSE))</f>
        <v>3</v>
      </c>
      <c r="AE213" s="692" t="str">
        <f ca="1">IF(AE204,"",VLOOKUP($C212,OFFSET(RCSOP!$AF$56,AE203,IF(AE205,-4,-3),14,3),3,FALSE))</f>
        <v/>
      </c>
      <c r="AF213" s="692"/>
      <c r="AG213" s="692"/>
      <c r="AH213" s="692"/>
      <c r="AI213" s="692"/>
      <c r="AJ213" s="692"/>
      <c r="AK213" s="692"/>
      <c r="AL213" s="692"/>
      <c r="AM213" s="692"/>
      <c r="AN213" s="692"/>
      <c r="AO213" s="692"/>
      <c r="AP213" s="869"/>
      <c r="AQ213" s="683">
        <f ca="1">IF(SUM(D213:AO213)=0,"",SUM(D213:AO213))</f>
        <v>37</v>
      </c>
      <c r="AV213" s="699"/>
      <c r="AW213" s="700">
        <v>1.47E-2</v>
      </c>
    </row>
    <row r="214" spans="1:54" ht="12.75" customHeight="1" x14ac:dyDescent="0.2">
      <c r="A214" s="867"/>
      <c r="C214" s="737"/>
      <c r="D214" s="737" t="s">
        <v>520</v>
      </c>
      <c r="E214" s="739"/>
      <c r="F214" s="740"/>
      <c r="G214" s="740"/>
      <c r="H214" s="740"/>
      <c r="I214" s="740"/>
      <c r="J214" s="740"/>
      <c r="K214" s="740"/>
      <c r="L214" s="740"/>
      <c r="M214" s="740"/>
      <c r="N214" s="740"/>
      <c r="O214" s="740"/>
      <c r="P214" s="740"/>
      <c r="Q214" s="740"/>
      <c r="R214" s="740"/>
      <c r="S214" s="740"/>
      <c r="T214" s="740"/>
      <c r="U214" s="740"/>
      <c r="V214" s="740"/>
      <c r="W214" s="740"/>
      <c r="X214" s="740"/>
      <c r="Y214" s="740"/>
      <c r="Z214" s="740"/>
      <c r="AA214" s="740"/>
      <c r="AB214" s="740"/>
      <c r="AC214" s="740"/>
      <c r="AD214" s="740"/>
      <c r="AE214" s="740"/>
      <c r="AF214" s="740"/>
      <c r="AG214" s="740"/>
      <c r="AH214" s="740"/>
      <c r="AI214" s="740"/>
      <c r="AJ214" s="740"/>
      <c r="AK214" s="740"/>
      <c r="AL214" s="740"/>
      <c r="AM214" s="740"/>
      <c r="AN214" s="740"/>
      <c r="AO214" s="741"/>
      <c r="AP214" s="869"/>
      <c r="AQ214" s="762" t="str">
        <f>IF(SUM(D214:AP214)=0,"",SUM(D214:AP214))</f>
        <v/>
      </c>
      <c r="AV214" s="699"/>
      <c r="AW214" s="700">
        <v>1.4800000000000001E-2</v>
      </c>
    </row>
    <row r="215" spans="1:54" ht="12.75" customHeight="1" x14ac:dyDescent="0.2">
      <c r="A215" s="867"/>
      <c r="C215" s="738"/>
      <c r="D215" s="738" t="s">
        <v>521</v>
      </c>
      <c r="E215" s="742" t="str">
        <f t="shared" ref="E215:AE215" ca="1" si="19">IF(E213="","",IF(SUM(E217:E246)+E214=E213,"–",SUM(E217:E246)+E214-E213))</f>
        <v>–</v>
      </c>
      <c r="F215" s="742" t="str">
        <f t="shared" ca="1" si="19"/>
        <v>–</v>
      </c>
      <c r="G215" s="742" t="str">
        <f t="shared" ca="1" si="19"/>
        <v>–</v>
      </c>
      <c r="H215" s="742" t="str">
        <f t="shared" ca="1" si="19"/>
        <v>–</v>
      </c>
      <c r="I215" s="742" t="str">
        <f t="shared" ca="1" si="19"/>
        <v/>
      </c>
      <c r="J215" s="742" t="str">
        <f t="shared" ca="1" si="19"/>
        <v>–</v>
      </c>
      <c r="K215" s="742" t="str">
        <f t="shared" ca="1" si="19"/>
        <v>–</v>
      </c>
      <c r="L215" s="742" t="str">
        <f t="shared" ca="1" si="19"/>
        <v>–</v>
      </c>
      <c r="M215" s="742" t="str">
        <f t="shared" ca="1" si="19"/>
        <v>–</v>
      </c>
      <c r="N215" s="742" t="str">
        <f t="shared" ca="1" si="19"/>
        <v>–</v>
      </c>
      <c r="O215" s="742" t="str">
        <f t="shared" ca="1" si="19"/>
        <v>–</v>
      </c>
      <c r="P215" s="742" t="str">
        <f t="shared" ca="1" si="19"/>
        <v>–</v>
      </c>
      <c r="Q215" s="742" t="str">
        <f t="shared" ca="1" si="19"/>
        <v>–</v>
      </c>
      <c r="R215" s="742" t="str">
        <f t="shared" ca="1" si="19"/>
        <v>–</v>
      </c>
      <c r="S215" s="742" t="str">
        <f t="shared" ca="1" si="19"/>
        <v>–</v>
      </c>
      <c r="T215" s="742" t="str">
        <f t="shared" ca="1" si="19"/>
        <v/>
      </c>
      <c r="U215" s="742" t="str">
        <f t="shared" ca="1" si="19"/>
        <v>–</v>
      </c>
      <c r="V215" s="742" t="str">
        <f t="shared" ca="1" si="19"/>
        <v>–</v>
      </c>
      <c r="W215" s="742" t="str">
        <f t="shared" ca="1" si="19"/>
        <v>–</v>
      </c>
      <c r="X215" s="742" t="str">
        <f t="shared" ca="1" si="19"/>
        <v>–</v>
      </c>
      <c r="Y215" s="742" t="str">
        <f t="shared" ca="1" si="19"/>
        <v>–</v>
      </c>
      <c r="Z215" s="742" t="str">
        <f t="shared" ca="1" si="19"/>
        <v>–</v>
      </c>
      <c r="AA215" s="742" t="str">
        <f t="shared" ca="1" si="19"/>
        <v>–</v>
      </c>
      <c r="AB215" s="742" t="str">
        <f t="shared" ca="1" si="19"/>
        <v>–</v>
      </c>
      <c r="AC215" s="742" t="str">
        <f t="shared" ca="1" si="19"/>
        <v>–</v>
      </c>
      <c r="AD215" s="742" t="str">
        <f t="shared" ca="1" si="19"/>
        <v>–</v>
      </c>
      <c r="AE215" s="742" t="str">
        <f t="shared" ca="1" si="19"/>
        <v/>
      </c>
      <c r="AF215" s="742"/>
      <c r="AG215" s="742"/>
      <c r="AH215" s="742"/>
      <c r="AI215" s="742"/>
      <c r="AJ215" s="742"/>
      <c r="AK215" s="742"/>
      <c r="AL215" s="742"/>
      <c r="AM215" s="742"/>
      <c r="AN215" s="742"/>
      <c r="AO215" s="742"/>
      <c r="AP215" s="691" t="s">
        <v>522</v>
      </c>
      <c r="AS215" s="761" t="s">
        <v>285</v>
      </c>
      <c r="AV215" s="699"/>
      <c r="AW215" s="700">
        <v>1.49E-2</v>
      </c>
    </row>
    <row r="216" spans="1:54" ht="4.5" customHeight="1" x14ac:dyDescent="0.2">
      <c r="A216" s="867"/>
      <c r="AV216" s="699"/>
      <c r="AW216" s="700">
        <v>1.4999999999999999E-2</v>
      </c>
    </row>
    <row r="217" spans="1:54" ht="12.75" customHeight="1" x14ac:dyDescent="0.2">
      <c r="A217" s="867"/>
      <c r="C217" s="755" t="s">
        <v>527</v>
      </c>
      <c r="D217" s="756">
        <v>1</v>
      </c>
      <c r="E217" s="746"/>
      <c r="F217" s="695"/>
      <c r="G217" s="695"/>
      <c r="H217" s="695"/>
      <c r="I217" s="695"/>
      <c r="J217" s="695"/>
      <c r="K217" s="695"/>
      <c r="L217" s="695"/>
      <c r="M217" s="695"/>
      <c r="N217" s="695"/>
      <c r="O217" s="695"/>
      <c r="P217" s="695"/>
      <c r="Q217" s="695"/>
      <c r="R217" s="695"/>
      <c r="S217" s="695"/>
      <c r="T217" s="695"/>
      <c r="U217" s="695"/>
      <c r="V217" s="695"/>
      <c r="W217" s="695"/>
      <c r="X217" s="695"/>
      <c r="Y217" s="695"/>
      <c r="Z217" s="695"/>
      <c r="AA217" s="695"/>
      <c r="AB217" s="695"/>
      <c r="AC217" s="695"/>
      <c r="AD217" s="695"/>
      <c r="AE217" s="695"/>
      <c r="AF217" s="695"/>
      <c r="AG217" s="695"/>
      <c r="AH217" s="695"/>
      <c r="AI217" s="695"/>
      <c r="AJ217" s="695"/>
      <c r="AK217" s="695"/>
      <c r="AL217" s="695"/>
      <c r="AM217" s="695"/>
      <c r="AN217" s="695"/>
      <c r="AO217" s="696"/>
      <c r="AP217" s="697"/>
      <c r="AQ217" s="763" t="str">
        <f>IF(SUM(E217:AP217)=0,"",SUM(E217:AP217))</f>
        <v/>
      </c>
      <c r="AS217" s="267"/>
      <c r="AV217" s="699"/>
      <c r="AW217" s="700">
        <v>1.5100000000000001E-2</v>
      </c>
      <c r="AX217" s="382">
        <f t="shared" ref="AX217:AX246" si="20">IF(OR(C217="",AQ217=""),0,AQ217+AW217)</f>
        <v>0</v>
      </c>
      <c r="AY217" s="379" t="str">
        <f ca="1">C212</f>
        <v>BŐRDÍSZMŰ</v>
      </c>
      <c r="AZ217" s="384" t="str">
        <f t="shared" ref="AZ217:AZ246" si="21">C217</f>
        <v>Hodossy György</v>
      </c>
      <c r="BA217" s="642"/>
    </row>
    <row r="218" spans="1:54" ht="12.75" customHeight="1" x14ac:dyDescent="0.2">
      <c r="A218" s="867"/>
      <c r="C218" s="758" t="s">
        <v>530</v>
      </c>
      <c r="D218" s="757">
        <v>2</v>
      </c>
      <c r="E218" s="747"/>
      <c r="F218" s="703"/>
      <c r="G218" s="703"/>
      <c r="H218" s="703"/>
      <c r="I218" s="703"/>
      <c r="J218" s="703"/>
      <c r="K218" s="703"/>
      <c r="L218" s="703"/>
      <c r="M218" s="703"/>
      <c r="N218" s="703"/>
      <c r="O218" s="703"/>
      <c r="P218" s="703"/>
      <c r="Q218" s="703"/>
      <c r="R218" s="703"/>
      <c r="S218" s="703"/>
      <c r="T218" s="703"/>
      <c r="U218" s="703"/>
      <c r="V218" s="703">
        <v>1</v>
      </c>
      <c r="W218" s="703"/>
      <c r="X218" s="703"/>
      <c r="Y218" s="703"/>
      <c r="Z218" s="703"/>
      <c r="AA218" s="703">
        <v>1</v>
      </c>
      <c r="AB218" s="703"/>
      <c r="AC218" s="703">
        <v>1</v>
      </c>
      <c r="AD218" s="703"/>
      <c r="AE218" s="703"/>
      <c r="AF218" s="703"/>
      <c r="AG218" s="703"/>
      <c r="AH218" s="703"/>
      <c r="AI218" s="703"/>
      <c r="AJ218" s="703"/>
      <c r="AK218" s="703"/>
      <c r="AL218" s="703"/>
      <c r="AM218" s="703"/>
      <c r="AN218" s="703"/>
      <c r="AO218" s="704"/>
      <c r="AP218" s="705"/>
      <c r="AQ218" s="763">
        <f t="shared" ref="AQ218:AQ246" si="22">IF(SUM(E218:AP218)=0,"",SUM(E218:AP218))</f>
        <v>3</v>
      </c>
      <c r="AS218" s="268"/>
      <c r="AV218" s="699"/>
      <c r="AW218" s="700">
        <v>1.52E-2</v>
      </c>
      <c r="AX218" s="382">
        <f t="shared" si="20"/>
        <v>3.0152000000000001</v>
      </c>
      <c r="AY218" s="379" t="str">
        <f t="shared" ref="AY218:AY246" ca="1" si="23">AY217</f>
        <v>BŐRDÍSZMŰ</v>
      </c>
      <c r="AZ218" s="384" t="str">
        <f t="shared" si="21"/>
        <v>Sikesdi László</v>
      </c>
      <c r="BA218" s="642"/>
    </row>
    <row r="219" spans="1:54" ht="12.75" customHeight="1" x14ac:dyDescent="0.2">
      <c r="A219" s="867"/>
      <c r="C219" s="758" t="s">
        <v>523</v>
      </c>
      <c r="D219" s="757">
        <v>3</v>
      </c>
      <c r="E219" s="747"/>
      <c r="F219" s="703"/>
      <c r="G219" s="703"/>
      <c r="H219" s="703"/>
      <c r="I219" s="703"/>
      <c r="J219" s="703"/>
      <c r="K219" s="703"/>
      <c r="L219" s="703"/>
      <c r="M219" s="703"/>
      <c r="N219" s="703"/>
      <c r="O219" s="703"/>
      <c r="P219" s="703"/>
      <c r="Q219" s="703"/>
      <c r="R219" s="703"/>
      <c r="S219" s="703"/>
      <c r="T219" s="703"/>
      <c r="U219" s="703"/>
      <c r="V219" s="703"/>
      <c r="W219" s="703"/>
      <c r="X219" s="703"/>
      <c r="Y219" s="703"/>
      <c r="Z219" s="703"/>
      <c r="AA219" s="703"/>
      <c r="AB219" s="703"/>
      <c r="AC219" s="703"/>
      <c r="AD219" s="703"/>
      <c r="AE219" s="703"/>
      <c r="AF219" s="703"/>
      <c r="AG219" s="703"/>
      <c r="AH219" s="703"/>
      <c r="AI219" s="703"/>
      <c r="AJ219" s="703"/>
      <c r="AK219" s="703"/>
      <c r="AL219" s="703"/>
      <c r="AM219" s="703"/>
      <c r="AN219" s="703"/>
      <c r="AO219" s="704"/>
      <c r="AP219" s="705"/>
      <c r="AQ219" s="763" t="str">
        <f t="shared" si="22"/>
        <v/>
      </c>
      <c r="AS219" s="268"/>
      <c r="AV219" s="699"/>
      <c r="AW219" s="700">
        <v>1.5299999999999999E-2</v>
      </c>
      <c r="AX219" s="382">
        <f t="shared" si="20"/>
        <v>0</v>
      </c>
      <c r="AY219" s="379" t="str">
        <f t="shared" ca="1" si="23"/>
        <v>BŐRDÍSZMŰ</v>
      </c>
      <c r="AZ219" s="384" t="str">
        <f t="shared" si="21"/>
        <v xml:space="preserve">Barsánszki János </v>
      </c>
      <c r="BA219" s="642"/>
    </row>
    <row r="220" spans="1:54" ht="12.75" customHeight="1" x14ac:dyDescent="0.2">
      <c r="A220" s="867"/>
      <c r="C220" s="758" t="s">
        <v>526</v>
      </c>
      <c r="D220" s="757">
        <v>4</v>
      </c>
      <c r="E220" s="747"/>
      <c r="F220" s="703"/>
      <c r="G220" s="703">
        <v>1</v>
      </c>
      <c r="H220" s="703"/>
      <c r="I220" s="703"/>
      <c r="J220" s="703"/>
      <c r="K220" s="703"/>
      <c r="L220" s="703"/>
      <c r="M220" s="703"/>
      <c r="N220" s="703"/>
      <c r="O220" s="703"/>
      <c r="P220" s="703"/>
      <c r="Q220" s="703"/>
      <c r="R220" s="703"/>
      <c r="S220" s="703"/>
      <c r="T220" s="703"/>
      <c r="U220" s="703"/>
      <c r="V220" s="703"/>
      <c r="W220" s="703"/>
      <c r="X220" s="703"/>
      <c r="Y220" s="703"/>
      <c r="Z220" s="703"/>
      <c r="AA220" s="703"/>
      <c r="AB220" s="703"/>
      <c r="AC220" s="703"/>
      <c r="AD220" s="703"/>
      <c r="AE220" s="703"/>
      <c r="AF220" s="703"/>
      <c r="AG220" s="703"/>
      <c r="AH220" s="703"/>
      <c r="AI220" s="703"/>
      <c r="AJ220" s="703"/>
      <c r="AK220" s="703"/>
      <c r="AL220" s="703"/>
      <c r="AM220" s="703"/>
      <c r="AN220" s="703"/>
      <c r="AO220" s="704"/>
      <c r="AP220" s="705"/>
      <c r="AQ220" s="763">
        <f t="shared" si="22"/>
        <v>1</v>
      </c>
      <c r="AS220" s="268"/>
      <c r="AV220" s="699"/>
      <c r="AW220" s="700">
        <v>1.54E-2</v>
      </c>
      <c r="AX220" s="382">
        <f t="shared" si="20"/>
        <v>1.0154000000000001</v>
      </c>
      <c r="AY220" s="379" t="str">
        <f t="shared" ca="1" si="23"/>
        <v>BŐRDÍSZMŰ</v>
      </c>
      <c r="AZ220" s="384" t="str">
        <f t="shared" si="21"/>
        <v>Hajdú György</v>
      </c>
      <c r="BA220" s="642"/>
    </row>
    <row r="221" spans="1:54" ht="12.75" customHeight="1" x14ac:dyDescent="0.2">
      <c r="A221" s="867"/>
      <c r="C221" s="758" t="s">
        <v>525</v>
      </c>
      <c r="D221" s="757">
        <v>5</v>
      </c>
      <c r="E221" s="747"/>
      <c r="F221" s="703"/>
      <c r="G221" s="703"/>
      <c r="H221" s="703"/>
      <c r="I221" s="703"/>
      <c r="J221" s="703"/>
      <c r="K221" s="703"/>
      <c r="L221" s="703"/>
      <c r="M221" s="703"/>
      <c r="N221" s="703"/>
      <c r="O221" s="703"/>
      <c r="P221" s="703"/>
      <c r="Q221" s="703"/>
      <c r="R221" s="703"/>
      <c r="S221" s="703"/>
      <c r="T221" s="703"/>
      <c r="U221" s="703"/>
      <c r="V221" s="703"/>
      <c r="W221" s="703"/>
      <c r="X221" s="703">
        <v>1</v>
      </c>
      <c r="Y221" s="703"/>
      <c r="Z221" s="703"/>
      <c r="AA221" s="703">
        <v>1</v>
      </c>
      <c r="AB221" s="703"/>
      <c r="AC221" s="703"/>
      <c r="AD221" s="703"/>
      <c r="AE221" s="703"/>
      <c r="AF221" s="703"/>
      <c r="AG221" s="703"/>
      <c r="AH221" s="703"/>
      <c r="AI221" s="703"/>
      <c r="AJ221" s="703"/>
      <c r="AK221" s="703"/>
      <c r="AL221" s="703"/>
      <c r="AM221" s="703"/>
      <c r="AN221" s="703"/>
      <c r="AO221" s="704"/>
      <c r="AP221" s="705"/>
      <c r="AQ221" s="763">
        <f t="shared" si="22"/>
        <v>2</v>
      </c>
      <c r="AS221" s="268"/>
      <c r="AV221" s="699"/>
      <c r="AW221" s="700">
        <v>1.55E-2</v>
      </c>
      <c r="AX221" s="382">
        <f t="shared" si="20"/>
        <v>2.0154999999999998</v>
      </c>
      <c r="AY221" s="379" t="str">
        <f t="shared" ca="1" si="23"/>
        <v>BŐRDÍSZMŰ</v>
      </c>
      <c r="AZ221" s="384" t="str">
        <f t="shared" si="21"/>
        <v>Hangya Gábor</v>
      </c>
      <c r="BA221" s="642"/>
    </row>
    <row r="222" spans="1:54" ht="12.75" customHeight="1" x14ac:dyDescent="0.2">
      <c r="A222" s="867"/>
      <c r="C222" s="758" t="s">
        <v>531</v>
      </c>
      <c r="D222" s="757">
        <v>6</v>
      </c>
      <c r="E222" s="747"/>
      <c r="F222" s="703"/>
      <c r="G222" s="703"/>
      <c r="H222" s="703"/>
      <c r="I222" s="703"/>
      <c r="J222" s="703"/>
      <c r="K222" s="703">
        <v>1</v>
      </c>
      <c r="L222" s="703"/>
      <c r="M222" s="703"/>
      <c r="N222" s="703"/>
      <c r="O222" s="703"/>
      <c r="P222" s="703"/>
      <c r="Q222" s="703"/>
      <c r="R222" s="703"/>
      <c r="S222" s="703"/>
      <c r="T222" s="703"/>
      <c r="U222" s="703"/>
      <c r="V222" s="703"/>
      <c r="W222" s="703"/>
      <c r="X222" s="703"/>
      <c r="Y222" s="703"/>
      <c r="Z222" s="703"/>
      <c r="AA222" s="703"/>
      <c r="AB222" s="703"/>
      <c r="AC222" s="703"/>
      <c r="AD222" s="703"/>
      <c r="AE222" s="703"/>
      <c r="AF222" s="703"/>
      <c r="AG222" s="703"/>
      <c r="AH222" s="703"/>
      <c r="AI222" s="703"/>
      <c r="AJ222" s="703"/>
      <c r="AK222" s="703"/>
      <c r="AL222" s="703"/>
      <c r="AM222" s="703"/>
      <c r="AN222" s="703"/>
      <c r="AO222" s="704"/>
      <c r="AP222" s="705"/>
      <c r="AQ222" s="763">
        <f t="shared" si="22"/>
        <v>1</v>
      </c>
      <c r="AS222" s="268"/>
      <c r="AV222" s="699"/>
      <c r="AW222" s="700">
        <v>1.5599999999999999E-2</v>
      </c>
      <c r="AX222" s="382">
        <f t="shared" si="20"/>
        <v>1.0156000000000001</v>
      </c>
      <c r="AY222" s="379" t="str">
        <f t="shared" ca="1" si="23"/>
        <v>BŐRDÍSZMŰ</v>
      </c>
      <c r="AZ222" s="384" t="str">
        <f t="shared" si="21"/>
        <v>Szkala Zsolt</v>
      </c>
      <c r="BA222" s="642"/>
    </row>
    <row r="223" spans="1:54" ht="12.75" customHeight="1" x14ac:dyDescent="0.2">
      <c r="A223" s="867"/>
      <c r="C223" s="758" t="s">
        <v>529</v>
      </c>
      <c r="D223" s="757">
        <v>7</v>
      </c>
      <c r="E223" s="747"/>
      <c r="F223" s="703"/>
      <c r="G223" s="703">
        <v>1</v>
      </c>
      <c r="H223" s="703"/>
      <c r="I223" s="703"/>
      <c r="J223" s="703">
        <v>3</v>
      </c>
      <c r="K223" s="703"/>
      <c r="L223" s="703">
        <v>1</v>
      </c>
      <c r="M223" s="703"/>
      <c r="N223" s="703"/>
      <c r="O223" s="703"/>
      <c r="P223" s="703">
        <v>1</v>
      </c>
      <c r="Q223" s="703"/>
      <c r="R223" s="703"/>
      <c r="S223" s="703"/>
      <c r="T223" s="703"/>
      <c r="U223" s="703"/>
      <c r="V223" s="703"/>
      <c r="W223" s="703"/>
      <c r="X223" s="703"/>
      <c r="Y223" s="703"/>
      <c r="Z223" s="703"/>
      <c r="AA223" s="703"/>
      <c r="AB223" s="703"/>
      <c r="AC223" s="703"/>
      <c r="AD223" s="703"/>
      <c r="AE223" s="703"/>
      <c r="AF223" s="703"/>
      <c r="AG223" s="703"/>
      <c r="AH223" s="703"/>
      <c r="AI223" s="703"/>
      <c r="AJ223" s="703"/>
      <c r="AK223" s="703"/>
      <c r="AL223" s="703"/>
      <c r="AM223" s="703"/>
      <c r="AN223" s="703"/>
      <c r="AO223" s="704"/>
      <c r="AP223" s="705"/>
      <c r="AQ223" s="763">
        <f t="shared" si="22"/>
        <v>6</v>
      </c>
      <c r="AS223" s="268"/>
      <c r="AV223" s="699"/>
      <c r="AW223" s="700">
        <v>1.5699999999999999E-2</v>
      </c>
      <c r="AX223" s="382">
        <f t="shared" si="20"/>
        <v>6.0156999999999998</v>
      </c>
      <c r="AY223" s="379" t="str">
        <f t="shared" ca="1" si="23"/>
        <v>BŐRDÍSZMŰ</v>
      </c>
      <c r="AZ223" s="384" t="str">
        <f t="shared" si="21"/>
        <v>Ruszin Romulusz</v>
      </c>
      <c r="BA223" s="642"/>
    </row>
    <row r="224" spans="1:54" ht="12.75" customHeight="1" x14ac:dyDescent="0.2">
      <c r="A224" s="867"/>
      <c r="C224" s="758" t="s">
        <v>528</v>
      </c>
      <c r="D224" s="757">
        <v>8</v>
      </c>
      <c r="E224" s="747">
        <v>2</v>
      </c>
      <c r="F224" s="703"/>
      <c r="G224" s="703">
        <v>1</v>
      </c>
      <c r="H224" s="703">
        <v>1</v>
      </c>
      <c r="I224" s="703"/>
      <c r="J224" s="703"/>
      <c r="K224" s="703"/>
      <c r="L224" s="703">
        <v>1</v>
      </c>
      <c r="M224" s="703"/>
      <c r="N224" s="703"/>
      <c r="O224" s="703"/>
      <c r="P224" s="703"/>
      <c r="Q224" s="703"/>
      <c r="R224" s="703"/>
      <c r="S224" s="703"/>
      <c r="T224" s="703"/>
      <c r="U224" s="703"/>
      <c r="V224" s="703">
        <v>1</v>
      </c>
      <c r="W224" s="703"/>
      <c r="X224" s="703"/>
      <c r="Y224" s="703"/>
      <c r="Z224" s="703">
        <v>1</v>
      </c>
      <c r="AA224" s="703"/>
      <c r="AB224" s="703"/>
      <c r="AC224" s="703">
        <v>1</v>
      </c>
      <c r="AD224" s="703"/>
      <c r="AE224" s="703"/>
      <c r="AF224" s="703"/>
      <c r="AG224" s="703"/>
      <c r="AH224" s="703"/>
      <c r="AI224" s="703"/>
      <c r="AJ224" s="703"/>
      <c r="AK224" s="703"/>
      <c r="AL224" s="703"/>
      <c r="AM224" s="703"/>
      <c r="AN224" s="703"/>
      <c r="AO224" s="704"/>
      <c r="AP224" s="705"/>
      <c r="AQ224" s="763">
        <f t="shared" si="22"/>
        <v>8</v>
      </c>
      <c r="AS224" s="268"/>
      <c r="AV224" s="699"/>
      <c r="AW224" s="700">
        <v>1.5800000000000002E-2</v>
      </c>
      <c r="AX224" s="382">
        <f t="shared" si="20"/>
        <v>8.0158000000000005</v>
      </c>
      <c r="AY224" s="379" t="str">
        <f t="shared" ca="1" si="23"/>
        <v>BŐRDÍSZMŰ</v>
      </c>
      <c r="AZ224" s="384" t="str">
        <f t="shared" si="21"/>
        <v>Kováts Vince</v>
      </c>
      <c r="BA224" s="642"/>
    </row>
    <row r="225" spans="1:53" ht="12.75" customHeight="1" x14ac:dyDescent="0.2">
      <c r="A225" s="867"/>
      <c r="C225" s="758" t="s">
        <v>532</v>
      </c>
      <c r="D225" s="757">
        <v>9</v>
      </c>
      <c r="E225" s="747"/>
      <c r="F225" s="703"/>
      <c r="G225" s="703"/>
      <c r="H225" s="703"/>
      <c r="I225" s="703"/>
      <c r="J225" s="703"/>
      <c r="K225" s="703"/>
      <c r="L225" s="703"/>
      <c r="M225" s="703"/>
      <c r="N225" s="703"/>
      <c r="O225" s="703"/>
      <c r="P225" s="703"/>
      <c r="Q225" s="703"/>
      <c r="R225" s="703">
        <v>1</v>
      </c>
      <c r="S225" s="703"/>
      <c r="T225" s="703"/>
      <c r="U225" s="703"/>
      <c r="V225" s="703"/>
      <c r="W225" s="703"/>
      <c r="X225" s="703"/>
      <c r="Y225" s="703"/>
      <c r="Z225" s="703"/>
      <c r="AA225" s="703"/>
      <c r="AB225" s="703"/>
      <c r="AC225" s="703"/>
      <c r="AD225" s="703"/>
      <c r="AE225" s="703"/>
      <c r="AF225" s="703"/>
      <c r="AG225" s="703"/>
      <c r="AH225" s="703"/>
      <c r="AI225" s="703"/>
      <c r="AJ225" s="703"/>
      <c r="AK225" s="703"/>
      <c r="AL225" s="703"/>
      <c r="AM225" s="703"/>
      <c r="AN225" s="703"/>
      <c r="AO225" s="704"/>
      <c r="AP225" s="705"/>
      <c r="AQ225" s="763">
        <f t="shared" si="22"/>
        <v>1</v>
      </c>
      <c r="AS225" s="268"/>
      <c r="AV225" s="699"/>
      <c r="AW225" s="700">
        <v>1.5900000000000001E-2</v>
      </c>
      <c r="AX225" s="382">
        <f t="shared" si="20"/>
        <v>1.0159</v>
      </c>
      <c r="AY225" s="379" t="str">
        <f t="shared" ca="1" si="23"/>
        <v>BŐRDÍSZMŰ</v>
      </c>
      <c r="AZ225" s="384" t="str">
        <f t="shared" si="21"/>
        <v>Tószegi Zoltán</v>
      </c>
      <c r="BA225" s="642"/>
    </row>
    <row r="226" spans="1:53" ht="12.75" customHeight="1" x14ac:dyDescent="0.2">
      <c r="A226" s="867"/>
      <c r="C226" s="758" t="s">
        <v>524</v>
      </c>
      <c r="D226" s="757">
        <v>10</v>
      </c>
      <c r="E226" s="747">
        <v>1</v>
      </c>
      <c r="F226" s="703"/>
      <c r="G226" s="703"/>
      <c r="H226" s="703"/>
      <c r="I226" s="703"/>
      <c r="J226" s="703"/>
      <c r="K226" s="703">
        <v>1</v>
      </c>
      <c r="L226" s="703"/>
      <c r="M226" s="703">
        <v>1</v>
      </c>
      <c r="N226" s="703"/>
      <c r="O226" s="703"/>
      <c r="P226" s="703">
        <v>1</v>
      </c>
      <c r="Q226" s="703"/>
      <c r="R226" s="703"/>
      <c r="S226" s="703">
        <v>1</v>
      </c>
      <c r="T226" s="703"/>
      <c r="U226" s="703"/>
      <c r="V226" s="703"/>
      <c r="W226" s="703"/>
      <c r="X226" s="703"/>
      <c r="Y226" s="703"/>
      <c r="Z226" s="703">
        <v>1</v>
      </c>
      <c r="AA226" s="703">
        <v>2</v>
      </c>
      <c r="AB226" s="703"/>
      <c r="AC226" s="703"/>
      <c r="AD226" s="703"/>
      <c r="AE226" s="703"/>
      <c r="AF226" s="703"/>
      <c r="AG226" s="703"/>
      <c r="AH226" s="703"/>
      <c r="AI226" s="703"/>
      <c r="AJ226" s="703"/>
      <c r="AK226" s="703"/>
      <c r="AL226" s="703"/>
      <c r="AM226" s="703"/>
      <c r="AN226" s="703"/>
      <c r="AO226" s="704"/>
      <c r="AP226" s="705"/>
      <c r="AQ226" s="763">
        <f t="shared" si="22"/>
        <v>8</v>
      </c>
      <c r="AS226" s="268"/>
      <c r="AV226" s="699"/>
      <c r="AW226" s="700">
        <v>1.6E-2</v>
      </c>
      <c r="AX226" s="382">
        <f t="shared" si="20"/>
        <v>8.016</v>
      </c>
      <c r="AY226" s="379" t="str">
        <f t="shared" ca="1" si="23"/>
        <v>BŐRDÍSZMŰ</v>
      </c>
      <c r="AZ226" s="384" t="str">
        <f t="shared" si="21"/>
        <v>ifj. Barsánszki János</v>
      </c>
      <c r="BA226" s="642"/>
    </row>
    <row r="227" spans="1:53" ht="12.75" customHeight="1" x14ac:dyDescent="0.2">
      <c r="A227" s="867"/>
      <c r="C227" s="758" t="s">
        <v>533</v>
      </c>
      <c r="D227" s="757">
        <v>15</v>
      </c>
      <c r="E227" s="747"/>
      <c r="F227" s="703"/>
      <c r="G227" s="703"/>
      <c r="H227" s="703"/>
      <c r="I227" s="703"/>
      <c r="J227" s="703"/>
      <c r="K227" s="703"/>
      <c r="L227" s="703"/>
      <c r="M227" s="703"/>
      <c r="N227" s="703"/>
      <c r="O227" s="703"/>
      <c r="P227" s="703"/>
      <c r="Q227" s="703"/>
      <c r="R227" s="703"/>
      <c r="S227" s="703"/>
      <c r="T227" s="703"/>
      <c r="U227" s="703">
        <v>1</v>
      </c>
      <c r="V227" s="703">
        <v>1</v>
      </c>
      <c r="W227" s="703"/>
      <c r="X227" s="703">
        <v>1</v>
      </c>
      <c r="Y227" s="703"/>
      <c r="Z227" s="703"/>
      <c r="AA227" s="703"/>
      <c r="AB227" s="703">
        <v>1</v>
      </c>
      <c r="AC227" s="703"/>
      <c r="AD227" s="703">
        <v>3</v>
      </c>
      <c r="AE227" s="703"/>
      <c r="AF227" s="703"/>
      <c r="AG227" s="703"/>
      <c r="AH227" s="703"/>
      <c r="AI227" s="703"/>
      <c r="AJ227" s="703"/>
      <c r="AK227" s="703"/>
      <c r="AL227" s="703"/>
      <c r="AM227" s="703"/>
      <c r="AN227" s="703"/>
      <c r="AO227" s="704"/>
      <c r="AP227" s="705">
        <v>8</v>
      </c>
      <c r="AQ227" s="763">
        <f t="shared" si="22"/>
        <v>15</v>
      </c>
      <c r="AS227" s="268"/>
      <c r="AV227" s="699"/>
      <c r="AW227" s="700">
        <v>1.61E-2</v>
      </c>
      <c r="AX227" s="382">
        <f t="shared" si="20"/>
        <v>15.0161</v>
      </c>
      <c r="AY227" s="379" t="str">
        <f t="shared" ca="1" si="23"/>
        <v>BŐRDÍSZMŰ</v>
      </c>
      <c r="AZ227" s="384" t="str">
        <f t="shared" si="21"/>
        <v>Nagy József</v>
      </c>
      <c r="BA227" s="642"/>
    </row>
    <row r="228" spans="1:53" ht="12.75" customHeight="1" x14ac:dyDescent="0.2">
      <c r="A228" s="867"/>
      <c r="C228" s="758" t="s">
        <v>554</v>
      </c>
      <c r="D228" s="757">
        <v>88</v>
      </c>
      <c r="E228" s="747"/>
      <c r="F228" s="703"/>
      <c r="G228" s="703"/>
      <c r="H228" s="703"/>
      <c r="I228" s="703"/>
      <c r="J228" s="703"/>
      <c r="K228" s="703"/>
      <c r="L228" s="703"/>
      <c r="M228" s="703"/>
      <c r="N228" s="703"/>
      <c r="O228" s="703"/>
      <c r="P228" s="703"/>
      <c r="Q228" s="703"/>
      <c r="R228" s="703"/>
      <c r="S228" s="703"/>
      <c r="T228" s="703"/>
      <c r="U228" s="703"/>
      <c r="V228" s="703"/>
      <c r="W228" s="703"/>
      <c r="X228" s="703"/>
      <c r="Y228" s="703"/>
      <c r="Z228" s="703"/>
      <c r="AA228" s="703"/>
      <c r="AB228" s="703"/>
      <c r="AC228" s="703"/>
      <c r="AD228" s="703"/>
      <c r="AE228" s="703"/>
      <c r="AF228" s="703"/>
      <c r="AG228" s="703"/>
      <c r="AH228" s="703"/>
      <c r="AI228" s="703"/>
      <c r="AJ228" s="703"/>
      <c r="AK228" s="703"/>
      <c r="AL228" s="703"/>
      <c r="AM228" s="703"/>
      <c r="AN228" s="703"/>
      <c r="AO228" s="704"/>
      <c r="AP228" s="705">
        <v>4</v>
      </c>
      <c r="AQ228" s="763">
        <f t="shared" si="22"/>
        <v>4</v>
      </c>
      <c r="AS228" s="268"/>
      <c r="AV228" s="699"/>
      <c r="AW228" s="700">
        <v>1.6199999999999999E-2</v>
      </c>
      <c r="AX228" s="382">
        <f t="shared" si="20"/>
        <v>4.0162000000000004</v>
      </c>
      <c r="AY228" s="379" t="str">
        <f t="shared" ca="1" si="23"/>
        <v>BŐRDÍSZMŰ</v>
      </c>
      <c r="AZ228" s="384" t="str">
        <f t="shared" si="21"/>
        <v>Kiss Ernő</v>
      </c>
      <c r="BA228" s="642"/>
    </row>
    <row r="229" spans="1:53" ht="12.75" customHeight="1" x14ac:dyDescent="0.2">
      <c r="A229" s="867"/>
      <c r="C229" s="758"/>
      <c r="D229" s="757"/>
      <c r="E229" s="747"/>
      <c r="F229" s="703"/>
      <c r="G229" s="703"/>
      <c r="H229" s="703"/>
      <c r="I229" s="703"/>
      <c r="J229" s="703"/>
      <c r="K229" s="703"/>
      <c r="L229" s="703"/>
      <c r="M229" s="703"/>
      <c r="N229" s="703"/>
      <c r="O229" s="703"/>
      <c r="P229" s="703"/>
      <c r="Q229" s="703"/>
      <c r="R229" s="703"/>
      <c r="S229" s="703"/>
      <c r="T229" s="703"/>
      <c r="U229" s="703"/>
      <c r="V229" s="703"/>
      <c r="W229" s="703"/>
      <c r="X229" s="703"/>
      <c r="Y229" s="703"/>
      <c r="Z229" s="703"/>
      <c r="AA229" s="703"/>
      <c r="AB229" s="703"/>
      <c r="AC229" s="703"/>
      <c r="AD229" s="703"/>
      <c r="AE229" s="703"/>
      <c r="AF229" s="703"/>
      <c r="AG229" s="703"/>
      <c r="AH229" s="703"/>
      <c r="AI229" s="703"/>
      <c r="AJ229" s="703"/>
      <c r="AK229" s="703"/>
      <c r="AL229" s="703"/>
      <c r="AM229" s="703"/>
      <c r="AN229" s="703"/>
      <c r="AO229" s="704"/>
      <c r="AP229" s="705"/>
      <c r="AQ229" s="763" t="str">
        <f t="shared" si="22"/>
        <v/>
      </c>
      <c r="AS229" s="268"/>
      <c r="AV229" s="699"/>
      <c r="AW229" s="700">
        <v>1.6299999999999999E-2</v>
      </c>
      <c r="AX229" s="382">
        <f t="shared" si="20"/>
        <v>0</v>
      </c>
      <c r="AY229" s="379" t="str">
        <f t="shared" ca="1" si="23"/>
        <v>BŐRDÍSZMŰ</v>
      </c>
      <c r="AZ229" s="384">
        <f t="shared" si="21"/>
        <v>0</v>
      </c>
      <c r="BA229" s="642"/>
    </row>
    <row r="230" spans="1:53" ht="12.75" customHeight="1" x14ac:dyDescent="0.2">
      <c r="A230" s="867"/>
      <c r="C230" s="758"/>
      <c r="D230" s="757"/>
      <c r="E230" s="747"/>
      <c r="F230" s="703"/>
      <c r="G230" s="703"/>
      <c r="H230" s="703"/>
      <c r="I230" s="703"/>
      <c r="J230" s="703"/>
      <c r="K230" s="703"/>
      <c r="L230" s="703"/>
      <c r="M230" s="703"/>
      <c r="N230" s="703"/>
      <c r="O230" s="703"/>
      <c r="P230" s="703"/>
      <c r="Q230" s="703"/>
      <c r="R230" s="703"/>
      <c r="S230" s="703"/>
      <c r="T230" s="703"/>
      <c r="U230" s="703"/>
      <c r="V230" s="703"/>
      <c r="W230" s="703"/>
      <c r="X230" s="703"/>
      <c r="Y230" s="703"/>
      <c r="Z230" s="703"/>
      <c r="AA230" s="703"/>
      <c r="AB230" s="703"/>
      <c r="AC230" s="703"/>
      <c r="AD230" s="703"/>
      <c r="AE230" s="703"/>
      <c r="AF230" s="703"/>
      <c r="AG230" s="703"/>
      <c r="AH230" s="703"/>
      <c r="AI230" s="703"/>
      <c r="AJ230" s="703"/>
      <c r="AK230" s="703"/>
      <c r="AL230" s="703"/>
      <c r="AM230" s="703"/>
      <c r="AN230" s="703"/>
      <c r="AO230" s="704"/>
      <c r="AP230" s="705"/>
      <c r="AQ230" s="763" t="str">
        <f t="shared" si="22"/>
        <v/>
      </c>
      <c r="AS230" s="268"/>
      <c r="AV230" s="699"/>
      <c r="AW230" s="700">
        <v>1.6400000000000001E-2</v>
      </c>
      <c r="AX230" s="382">
        <f t="shared" si="20"/>
        <v>0</v>
      </c>
      <c r="AY230" s="379" t="str">
        <f t="shared" ca="1" si="23"/>
        <v>BŐRDÍSZMŰ</v>
      </c>
      <c r="AZ230" s="384">
        <f t="shared" si="21"/>
        <v>0</v>
      </c>
      <c r="BA230" s="642"/>
    </row>
    <row r="231" spans="1:53" ht="12.75" customHeight="1" x14ac:dyDescent="0.2">
      <c r="A231" s="867"/>
      <c r="C231" s="758"/>
      <c r="D231" s="757"/>
      <c r="E231" s="747"/>
      <c r="F231" s="703"/>
      <c r="G231" s="703"/>
      <c r="H231" s="703"/>
      <c r="I231" s="703"/>
      <c r="J231" s="703"/>
      <c r="K231" s="703"/>
      <c r="L231" s="703"/>
      <c r="M231" s="703"/>
      <c r="N231" s="703"/>
      <c r="O231" s="703"/>
      <c r="P231" s="703"/>
      <c r="Q231" s="703"/>
      <c r="R231" s="703"/>
      <c r="S231" s="703"/>
      <c r="T231" s="703"/>
      <c r="U231" s="703"/>
      <c r="V231" s="703"/>
      <c r="W231" s="703"/>
      <c r="X231" s="703"/>
      <c r="Y231" s="703"/>
      <c r="Z231" s="703"/>
      <c r="AA231" s="703"/>
      <c r="AB231" s="703"/>
      <c r="AC231" s="703"/>
      <c r="AD231" s="703"/>
      <c r="AE231" s="703"/>
      <c r="AF231" s="703"/>
      <c r="AG231" s="703"/>
      <c r="AH231" s="703"/>
      <c r="AI231" s="703"/>
      <c r="AJ231" s="703"/>
      <c r="AK231" s="703"/>
      <c r="AL231" s="703"/>
      <c r="AM231" s="703"/>
      <c r="AN231" s="703"/>
      <c r="AO231" s="704"/>
      <c r="AP231" s="705"/>
      <c r="AQ231" s="763" t="str">
        <f t="shared" si="22"/>
        <v/>
      </c>
      <c r="AS231" s="268"/>
      <c r="AV231" s="699"/>
      <c r="AW231" s="700">
        <v>1.6500000000000001E-2</v>
      </c>
      <c r="AX231" s="382">
        <f t="shared" si="20"/>
        <v>0</v>
      </c>
      <c r="AY231" s="379" t="str">
        <f t="shared" ca="1" si="23"/>
        <v>BŐRDÍSZMŰ</v>
      </c>
      <c r="AZ231" s="384">
        <f t="shared" si="21"/>
        <v>0</v>
      </c>
      <c r="BA231" s="642"/>
    </row>
    <row r="232" spans="1:53" ht="12.75" customHeight="1" x14ac:dyDescent="0.2">
      <c r="A232" s="867"/>
      <c r="C232" s="758"/>
      <c r="D232" s="757"/>
      <c r="E232" s="747"/>
      <c r="F232" s="703"/>
      <c r="G232" s="703"/>
      <c r="H232" s="703"/>
      <c r="I232" s="703"/>
      <c r="J232" s="703"/>
      <c r="K232" s="703"/>
      <c r="L232" s="703"/>
      <c r="M232" s="703"/>
      <c r="N232" s="703"/>
      <c r="O232" s="703"/>
      <c r="P232" s="703"/>
      <c r="Q232" s="703"/>
      <c r="R232" s="703"/>
      <c r="S232" s="703"/>
      <c r="T232" s="703"/>
      <c r="U232" s="703"/>
      <c r="V232" s="703"/>
      <c r="W232" s="703"/>
      <c r="X232" s="703"/>
      <c r="Y232" s="703"/>
      <c r="Z232" s="703"/>
      <c r="AA232" s="703"/>
      <c r="AB232" s="703"/>
      <c r="AC232" s="703"/>
      <c r="AD232" s="703"/>
      <c r="AE232" s="703"/>
      <c r="AF232" s="703"/>
      <c r="AG232" s="703"/>
      <c r="AH232" s="703"/>
      <c r="AI232" s="703"/>
      <c r="AJ232" s="703"/>
      <c r="AK232" s="703"/>
      <c r="AL232" s="703"/>
      <c r="AM232" s="703"/>
      <c r="AN232" s="703"/>
      <c r="AO232" s="704"/>
      <c r="AP232" s="705"/>
      <c r="AQ232" s="763" t="str">
        <f t="shared" si="22"/>
        <v/>
      </c>
      <c r="AS232" s="268"/>
      <c r="AV232" s="699"/>
      <c r="AW232" s="700">
        <v>1.66E-2</v>
      </c>
      <c r="AX232" s="382">
        <f t="shared" si="20"/>
        <v>0</v>
      </c>
      <c r="AY232" s="379" t="str">
        <f t="shared" ca="1" si="23"/>
        <v>BŐRDÍSZMŰ</v>
      </c>
      <c r="AZ232" s="384">
        <f t="shared" si="21"/>
        <v>0</v>
      </c>
      <c r="BA232" s="642"/>
    </row>
    <row r="233" spans="1:53" ht="12.75" customHeight="1" x14ac:dyDescent="0.2">
      <c r="A233" s="867"/>
      <c r="C233" s="758"/>
      <c r="D233" s="757"/>
      <c r="E233" s="747"/>
      <c r="F233" s="703"/>
      <c r="G233" s="703"/>
      <c r="H233" s="703"/>
      <c r="I233" s="703"/>
      <c r="J233" s="703"/>
      <c r="K233" s="703"/>
      <c r="L233" s="703"/>
      <c r="M233" s="703"/>
      <c r="N233" s="703"/>
      <c r="O233" s="703"/>
      <c r="P233" s="703"/>
      <c r="Q233" s="703"/>
      <c r="R233" s="703"/>
      <c r="S233" s="703"/>
      <c r="T233" s="703"/>
      <c r="U233" s="703"/>
      <c r="V233" s="703"/>
      <c r="W233" s="703"/>
      <c r="X233" s="703"/>
      <c r="Y233" s="703"/>
      <c r="Z233" s="703"/>
      <c r="AA233" s="703"/>
      <c r="AB233" s="703"/>
      <c r="AC233" s="703"/>
      <c r="AD233" s="703"/>
      <c r="AE233" s="703"/>
      <c r="AF233" s="703"/>
      <c r="AG233" s="703"/>
      <c r="AH233" s="703"/>
      <c r="AI233" s="703"/>
      <c r="AJ233" s="703"/>
      <c r="AK233" s="703"/>
      <c r="AL233" s="703"/>
      <c r="AM233" s="703"/>
      <c r="AN233" s="703"/>
      <c r="AO233" s="704"/>
      <c r="AP233" s="705"/>
      <c r="AQ233" s="763" t="str">
        <f t="shared" si="22"/>
        <v/>
      </c>
      <c r="AS233" s="268"/>
      <c r="AV233" s="699"/>
      <c r="AW233" s="700">
        <v>1.67E-2</v>
      </c>
      <c r="AX233" s="382">
        <f t="shared" si="20"/>
        <v>0</v>
      </c>
      <c r="AY233" s="379" t="str">
        <f t="shared" ca="1" si="23"/>
        <v>BŐRDÍSZMŰ</v>
      </c>
      <c r="AZ233" s="384">
        <f t="shared" si="21"/>
        <v>0</v>
      </c>
      <c r="BA233" s="642"/>
    </row>
    <row r="234" spans="1:53" ht="12.75" customHeight="1" x14ac:dyDescent="0.2">
      <c r="A234" s="867"/>
      <c r="C234" s="758"/>
      <c r="D234" s="757"/>
      <c r="E234" s="747"/>
      <c r="F234" s="703"/>
      <c r="G234" s="703"/>
      <c r="H234" s="703"/>
      <c r="I234" s="703"/>
      <c r="J234" s="703"/>
      <c r="K234" s="703"/>
      <c r="L234" s="703"/>
      <c r="M234" s="703"/>
      <c r="N234" s="703"/>
      <c r="O234" s="703"/>
      <c r="P234" s="703"/>
      <c r="Q234" s="703"/>
      <c r="R234" s="703"/>
      <c r="S234" s="703"/>
      <c r="T234" s="703"/>
      <c r="U234" s="703"/>
      <c r="V234" s="703"/>
      <c r="W234" s="703"/>
      <c r="X234" s="703"/>
      <c r="Y234" s="703"/>
      <c r="Z234" s="703"/>
      <c r="AA234" s="703"/>
      <c r="AB234" s="703"/>
      <c r="AC234" s="703"/>
      <c r="AD234" s="703"/>
      <c r="AE234" s="703"/>
      <c r="AF234" s="703"/>
      <c r="AG234" s="703"/>
      <c r="AH234" s="703"/>
      <c r="AI234" s="703"/>
      <c r="AJ234" s="703"/>
      <c r="AK234" s="703"/>
      <c r="AL234" s="703"/>
      <c r="AM234" s="703"/>
      <c r="AN234" s="703"/>
      <c r="AO234" s="704"/>
      <c r="AP234" s="705"/>
      <c r="AQ234" s="763" t="str">
        <f t="shared" si="22"/>
        <v/>
      </c>
      <c r="AS234" s="268"/>
      <c r="AV234" s="699"/>
      <c r="AW234" s="700">
        <v>1.6799999999999999E-2</v>
      </c>
      <c r="AX234" s="382">
        <f t="shared" si="20"/>
        <v>0</v>
      </c>
      <c r="AY234" s="379" t="str">
        <f t="shared" ca="1" si="23"/>
        <v>BŐRDÍSZMŰ</v>
      </c>
      <c r="AZ234" s="384">
        <f t="shared" si="21"/>
        <v>0</v>
      </c>
      <c r="BA234" s="642"/>
    </row>
    <row r="235" spans="1:53" ht="12.75" customHeight="1" x14ac:dyDescent="0.2">
      <c r="A235" s="867"/>
      <c r="C235" s="758"/>
      <c r="D235" s="757"/>
      <c r="E235" s="747"/>
      <c r="F235" s="703"/>
      <c r="G235" s="703"/>
      <c r="H235" s="703"/>
      <c r="I235" s="703"/>
      <c r="J235" s="703"/>
      <c r="K235" s="703"/>
      <c r="L235" s="703"/>
      <c r="M235" s="703"/>
      <c r="N235" s="703"/>
      <c r="O235" s="703"/>
      <c r="P235" s="703"/>
      <c r="Q235" s="703"/>
      <c r="R235" s="703"/>
      <c r="S235" s="703"/>
      <c r="T235" s="703"/>
      <c r="U235" s="703"/>
      <c r="V235" s="703"/>
      <c r="W235" s="703"/>
      <c r="X235" s="703"/>
      <c r="Y235" s="703"/>
      <c r="Z235" s="703"/>
      <c r="AA235" s="703"/>
      <c r="AB235" s="703"/>
      <c r="AC235" s="703"/>
      <c r="AD235" s="703"/>
      <c r="AE235" s="703"/>
      <c r="AF235" s="703"/>
      <c r="AG235" s="703"/>
      <c r="AH235" s="703"/>
      <c r="AI235" s="703"/>
      <c r="AJ235" s="703"/>
      <c r="AK235" s="703"/>
      <c r="AL235" s="703"/>
      <c r="AM235" s="703"/>
      <c r="AN235" s="703"/>
      <c r="AO235" s="704"/>
      <c r="AP235" s="705"/>
      <c r="AQ235" s="763" t="str">
        <f t="shared" si="22"/>
        <v/>
      </c>
      <c r="AS235" s="268"/>
      <c r="AV235" s="699"/>
      <c r="AW235" s="700">
        <v>1.6899999999999998E-2</v>
      </c>
      <c r="AX235" s="382">
        <f t="shared" si="20"/>
        <v>0</v>
      </c>
      <c r="AY235" s="379" t="str">
        <f t="shared" ca="1" si="23"/>
        <v>BŐRDÍSZMŰ</v>
      </c>
      <c r="AZ235" s="384">
        <f t="shared" si="21"/>
        <v>0</v>
      </c>
      <c r="BA235" s="642"/>
    </row>
    <row r="236" spans="1:53" ht="11.25" hidden="1" customHeight="1" x14ac:dyDescent="0.2">
      <c r="A236" s="867"/>
      <c r="C236" s="758"/>
      <c r="D236" s="757"/>
      <c r="E236" s="747"/>
      <c r="F236" s="703"/>
      <c r="G236" s="703"/>
      <c r="H236" s="703"/>
      <c r="I236" s="703"/>
      <c r="J236" s="703"/>
      <c r="K236" s="703"/>
      <c r="L236" s="703"/>
      <c r="M236" s="703"/>
      <c r="N236" s="703"/>
      <c r="O236" s="703"/>
      <c r="P236" s="703"/>
      <c r="Q236" s="703"/>
      <c r="R236" s="703"/>
      <c r="S236" s="703"/>
      <c r="T236" s="703"/>
      <c r="U236" s="703"/>
      <c r="V236" s="703"/>
      <c r="W236" s="703"/>
      <c r="X236" s="703"/>
      <c r="Y236" s="703"/>
      <c r="Z236" s="703"/>
      <c r="AA236" s="703"/>
      <c r="AB236" s="703"/>
      <c r="AC236" s="703"/>
      <c r="AD236" s="703"/>
      <c r="AE236" s="703"/>
      <c r="AF236" s="703"/>
      <c r="AG236" s="703"/>
      <c r="AH236" s="703"/>
      <c r="AI236" s="703"/>
      <c r="AJ236" s="703"/>
      <c r="AK236" s="703"/>
      <c r="AL236" s="703"/>
      <c r="AM236" s="703"/>
      <c r="AN236" s="703"/>
      <c r="AO236" s="704"/>
      <c r="AP236" s="705"/>
      <c r="AQ236" s="763" t="str">
        <f t="shared" si="22"/>
        <v/>
      </c>
      <c r="AS236" s="268"/>
      <c r="AV236" s="699"/>
      <c r="AW236" s="700">
        <v>1.7000000000000001E-2</v>
      </c>
      <c r="AX236" s="382">
        <f t="shared" si="20"/>
        <v>0</v>
      </c>
      <c r="AY236" s="379" t="str">
        <f t="shared" ca="1" si="23"/>
        <v>BŐRDÍSZMŰ</v>
      </c>
      <c r="AZ236" s="384">
        <f t="shared" si="21"/>
        <v>0</v>
      </c>
      <c r="BA236" s="642"/>
    </row>
    <row r="237" spans="1:53" ht="11.25" hidden="1" customHeight="1" x14ac:dyDescent="0.2">
      <c r="A237" s="867"/>
      <c r="C237" s="758"/>
      <c r="D237" s="757"/>
      <c r="E237" s="747"/>
      <c r="F237" s="703"/>
      <c r="G237" s="703"/>
      <c r="H237" s="703"/>
      <c r="I237" s="703"/>
      <c r="J237" s="703"/>
      <c r="K237" s="703"/>
      <c r="L237" s="703"/>
      <c r="M237" s="703"/>
      <c r="N237" s="703"/>
      <c r="O237" s="703"/>
      <c r="P237" s="703"/>
      <c r="Q237" s="703"/>
      <c r="R237" s="703"/>
      <c r="S237" s="703"/>
      <c r="T237" s="703"/>
      <c r="U237" s="703"/>
      <c r="V237" s="703"/>
      <c r="W237" s="703"/>
      <c r="X237" s="703"/>
      <c r="Y237" s="703"/>
      <c r="Z237" s="703"/>
      <c r="AA237" s="703"/>
      <c r="AB237" s="703"/>
      <c r="AC237" s="703"/>
      <c r="AD237" s="703"/>
      <c r="AE237" s="703"/>
      <c r="AF237" s="703"/>
      <c r="AG237" s="703"/>
      <c r="AH237" s="703"/>
      <c r="AI237" s="703"/>
      <c r="AJ237" s="703"/>
      <c r="AK237" s="703"/>
      <c r="AL237" s="703"/>
      <c r="AM237" s="703"/>
      <c r="AN237" s="703"/>
      <c r="AO237" s="704"/>
      <c r="AP237" s="705"/>
      <c r="AQ237" s="763" t="str">
        <f t="shared" si="22"/>
        <v/>
      </c>
      <c r="AS237" s="268"/>
      <c r="AV237" s="699"/>
      <c r="AW237" s="700">
        <v>1.7100000000000001E-2</v>
      </c>
      <c r="AX237" s="382">
        <f t="shared" si="20"/>
        <v>0</v>
      </c>
      <c r="AY237" s="379" t="str">
        <f t="shared" ca="1" si="23"/>
        <v>BŐRDÍSZMŰ</v>
      </c>
      <c r="AZ237" s="384">
        <f t="shared" si="21"/>
        <v>0</v>
      </c>
      <c r="BA237" s="642"/>
    </row>
    <row r="238" spans="1:53" ht="11.25" hidden="1" customHeight="1" x14ac:dyDescent="0.2">
      <c r="A238" s="867"/>
      <c r="C238" s="758"/>
      <c r="D238" s="757"/>
      <c r="E238" s="747"/>
      <c r="F238" s="703"/>
      <c r="G238" s="703"/>
      <c r="H238" s="703"/>
      <c r="I238" s="703"/>
      <c r="J238" s="703"/>
      <c r="K238" s="703"/>
      <c r="L238" s="703"/>
      <c r="M238" s="703"/>
      <c r="N238" s="703"/>
      <c r="O238" s="703"/>
      <c r="P238" s="703"/>
      <c r="Q238" s="703"/>
      <c r="R238" s="703"/>
      <c r="S238" s="703"/>
      <c r="T238" s="703"/>
      <c r="U238" s="703"/>
      <c r="V238" s="703"/>
      <c r="W238" s="703"/>
      <c r="X238" s="703"/>
      <c r="Y238" s="703"/>
      <c r="Z238" s="703"/>
      <c r="AA238" s="703"/>
      <c r="AB238" s="703"/>
      <c r="AC238" s="703"/>
      <c r="AD238" s="703"/>
      <c r="AE238" s="703"/>
      <c r="AF238" s="703"/>
      <c r="AG238" s="703"/>
      <c r="AH238" s="703"/>
      <c r="AI238" s="703"/>
      <c r="AJ238" s="703"/>
      <c r="AK238" s="703"/>
      <c r="AL238" s="703"/>
      <c r="AM238" s="703"/>
      <c r="AN238" s="703"/>
      <c r="AO238" s="704"/>
      <c r="AP238" s="705"/>
      <c r="AQ238" s="763" t="str">
        <f t="shared" si="22"/>
        <v/>
      </c>
      <c r="AS238" s="268"/>
      <c r="AV238" s="699"/>
      <c r="AW238" s="700">
        <v>1.72E-2</v>
      </c>
      <c r="AX238" s="382">
        <f t="shared" si="20"/>
        <v>0</v>
      </c>
      <c r="AY238" s="379" t="str">
        <f t="shared" ca="1" si="23"/>
        <v>BŐRDÍSZMŰ</v>
      </c>
      <c r="AZ238" s="384">
        <f t="shared" si="21"/>
        <v>0</v>
      </c>
      <c r="BA238" s="642"/>
    </row>
    <row r="239" spans="1:53" ht="11.25" hidden="1" customHeight="1" x14ac:dyDescent="0.2">
      <c r="A239" s="867"/>
      <c r="C239" s="758"/>
      <c r="D239" s="757"/>
      <c r="E239" s="747"/>
      <c r="F239" s="703"/>
      <c r="G239" s="703"/>
      <c r="H239" s="703"/>
      <c r="I239" s="703"/>
      <c r="J239" s="703"/>
      <c r="K239" s="703"/>
      <c r="L239" s="703"/>
      <c r="M239" s="703"/>
      <c r="N239" s="703"/>
      <c r="O239" s="703"/>
      <c r="P239" s="703"/>
      <c r="Q239" s="703"/>
      <c r="R239" s="703"/>
      <c r="S239" s="703"/>
      <c r="T239" s="703"/>
      <c r="U239" s="703"/>
      <c r="V239" s="703"/>
      <c r="W239" s="703"/>
      <c r="X239" s="703"/>
      <c r="Y239" s="703"/>
      <c r="Z239" s="703"/>
      <c r="AA239" s="703"/>
      <c r="AB239" s="703"/>
      <c r="AC239" s="703"/>
      <c r="AD239" s="703"/>
      <c r="AE239" s="703"/>
      <c r="AF239" s="703"/>
      <c r="AG239" s="703"/>
      <c r="AH239" s="703"/>
      <c r="AI239" s="703"/>
      <c r="AJ239" s="703"/>
      <c r="AK239" s="703"/>
      <c r="AL239" s="703"/>
      <c r="AM239" s="703"/>
      <c r="AN239" s="703"/>
      <c r="AO239" s="704"/>
      <c r="AP239" s="705"/>
      <c r="AQ239" s="763" t="str">
        <f t="shared" si="22"/>
        <v/>
      </c>
      <c r="AS239" s="268"/>
      <c r="AV239" s="699"/>
      <c r="AW239" s="700">
        <v>1.7299999999999999E-2</v>
      </c>
      <c r="AX239" s="382">
        <f t="shared" si="20"/>
        <v>0</v>
      </c>
      <c r="AY239" s="379" t="str">
        <f t="shared" ca="1" si="23"/>
        <v>BŐRDÍSZMŰ</v>
      </c>
      <c r="AZ239" s="384">
        <f t="shared" si="21"/>
        <v>0</v>
      </c>
      <c r="BA239" s="642"/>
    </row>
    <row r="240" spans="1:53" ht="11.25" hidden="1" customHeight="1" x14ac:dyDescent="0.2">
      <c r="A240" s="867"/>
      <c r="C240" s="758"/>
      <c r="D240" s="757"/>
      <c r="E240" s="747"/>
      <c r="F240" s="703"/>
      <c r="G240" s="703"/>
      <c r="H240" s="703"/>
      <c r="I240" s="703"/>
      <c r="J240" s="703"/>
      <c r="K240" s="703"/>
      <c r="L240" s="703"/>
      <c r="M240" s="703"/>
      <c r="N240" s="703"/>
      <c r="O240" s="703"/>
      <c r="P240" s="703"/>
      <c r="Q240" s="703"/>
      <c r="R240" s="703"/>
      <c r="S240" s="703"/>
      <c r="T240" s="703"/>
      <c r="U240" s="703"/>
      <c r="V240" s="703"/>
      <c r="W240" s="703"/>
      <c r="X240" s="703"/>
      <c r="Y240" s="703"/>
      <c r="Z240" s="703"/>
      <c r="AA240" s="703"/>
      <c r="AB240" s="703"/>
      <c r="AC240" s="703"/>
      <c r="AD240" s="703"/>
      <c r="AE240" s="703"/>
      <c r="AF240" s="703"/>
      <c r="AG240" s="703"/>
      <c r="AH240" s="703"/>
      <c r="AI240" s="703"/>
      <c r="AJ240" s="703"/>
      <c r="AK240" s="703"/>
      <c r="AL240" s="703"/>
      <c r="AM240" s="703"/>
      <c r="AN240" s="703"/>
      <c r="AO240" s="704"/>
      <c r="AP240" s="705"/>
      <c r="AQ240" s="763" t="str">
        <f t="shared" si="22"/>
        <v/>
      </c>
      <c r="AS240" s="268"/>
      <c r="AV240" s="699"/>
      <c r="AW240" s="700">
        <v>1.7399999999999999E-2</v>
      </c>
      <c r="AX240" s="382">
        <f t="shared" si="20"/>
        <v>0</v>
      </c>
      <c r="AY240" s="379" t="str">
        <f t="shared" ca="1" si="23"/>
        <v>BŐRDÍSZMŰ</v>
      </c>
      <c r="AZ240" s="384">
        <f t="shared" si="21"/>
        <v>0</v>
      </c>
      <c r="BA240" s="642"/>
    </row>
    <row r="241" spans="1:54" ht="11.25" hidden="1" customHeight="1" x14ac:dyDescent="0.2">
      <c r="A241" s="867"/>
      <c r="C241" s="758"/>
      <c r="D241" s="757"/>
      <c r="E241" s="747"/>
      <c r="F241" s="703"/>
      <c r="G241" s="703"/>
      <c r="H241" s="703"/>
      <c r="I241" s="703"/>
      <c r="J241" s="703"/>
      <c r="K241" s="703"/>
      <c r="L241" s="703"/>
      <c r="M241" s="703"/>
      <c r="N241" s="703"/>
      <c r="O241" s="703"/>
      <c r="P241" s="703"/>
      <c r="Q241" s="703"/>
      <c r="R241" s="703"/>
      <c r="S241" s="703"/>
      <c r="T241" s="703"/>
      <c r="U241" s="703"/>
      <c r="V241" s="703"/>
      <c r="W241" s="703"/>
      <c r="X241" s="703"/>
      <c r="Y241" s="703"/>
      <c r="Z241" s="703"/>
      <c r="AA241" s="703"/>
      <c r="AB241" s="703"/>
      <c r="AC241" s="703"/>
      <c r="AD241" s="703"/>
      <c r="AE241" s="703"/>
      <c r="AF241" s="703"/>
      <c r="AG241" s="703"/>
      <c r="AH241" s="703"/>
      <c r="AI241" s="703"/>
      <c r="AJ241" s="703"/>
      <c r="AK241" s="703"/>
      <c r="AL241" s="703"/>
      <c r="AM241" s="703"/>
      <c r="AN241" s="703"/>
      <c r="AO241" s="704"/>
      <c r="AP241" s="705"/>
      <c r="AQ241" s="763" t="str">
        <f t="shared" si="22"/>
        <v/>
      </c>
      <c r="AS241" s="268"/>
      <c r="AV241" s="699"/>
      <c r="AW241" s="700">
        <v>1.7500000000000002E-2</v>
      </c>
      <c r="AX241" s="382">
        <f t="shared" si="20"/>
        <v>0</v>
      </c>
      <c r="AY241" s="379" t="str">
        <f t="shared" ca="1" si="23"/>
        <v>BŐRDÍSZMŰ</v>
      </c>
      <c r="AZ241" s="384">
        <f t="shared" si="21"/>
        <v>0</v>
      </c>
      <c r="BA241" s="642"/>
    </row>
    <row r="242" spans="1:54" ht="11.25" hidden="1" customHeight="1" x14ac:dyDescent="0.2">
      <c r="A242" s="867"/>
      <c r="C242" s="758"/>
      <c r="D242" s="757"/>
      <c r="E242" s="747"/>
      <c r="F242" s="703"/>
      <c r="G242" s="703"/>
      <c r="H242" s="703"/>
      <c r="I242" s="703"/>
      <c r="J242" s="703"/>
      <c r="K242" s="703"/>
      <c r="L242" s="703"/>
      <c r="M242" s="703"/>
      <c r="N242" s="703"/>
      <c r="O242" s="703"/>
      <c r="P242" s="703"/>
      <c r="Q242" s="703"/>
      <c r="R242" s="703"/>
      <c r="S242" s="703"/>
      <c r="T242" s="703"/>
      <c r="U242" s="703"/>
      <c r="V242" s="703"/>
      <c r="W242" s="703"/>
      <c r="X242" s="703"/>
      <c r="Y242" s="703"/>
      <c r="Z242" s="703"/>
      <c r="AA242" s="703"/>
      <c r="AB242" s="703"/>
      <c r="AC242" s="703"/>
      <c r="AD242" s="703"/>
      <c r="AE242" s="703"/>
      <c r="AF242" s="703"/>
      <c r="AG242" s="703"/>
      <c r="AH242" s="703"/>
      <c r="AI242" s="703"/>
      <c r="AJ242" s="703"/>
      <c r="AK242" s="703"/>
      <c r="AL242" s="703"/>
      <c r="AM242" s="703"/>
      <c r="AN242" s="703"/>
      <c r="AO242" s="704"/>
      <c r="AP242" s="705"/>
      <c r="AQ242" s="763" t="str">
        <f t="shared" si="22"/>
        <v/>
      </c>
      <c r="AS242" s="268"/>
      <c r="AV242" s="699"/>
      <c r="AW242" s="700">
        <v>1.7600000000000001E-2</v>
      </c>
      <c r="AX242" s="382">
        <f t="shared" si="20"/>
        <v>0</v>
      </c>
      <c r="AY242" s="379" t="str">
        <f t="shared" ca="1" si="23"/>
        <v>BŐRDÍSZMŰ</v>
      </c>
      <c r="AZ242" s="384">
        <f t="shared" si="21"/>
        <v>0</v>
      </c>
      <c r="BA242" s="642"/>
    </row>
    <row r="243" spans="1:54" ht="11.25" hidden="1" customHeight="1" x14ac:dyDescent="0.2">
      <c r="A243" s="867"/>
      <c r="C243" s="758"/>
      <c r="D243" s="757"/>
      <c r="E243" s="747"/>
      <c r="F243" s="703"/>
      <c r="G243" s="703"/>
      <c r="H243" s="703"/>
      <c r="I243" s="703"/>
      <c r="J243" s="703"/>
      <c r="K243" s="703"/>
      <c r="L243" s="703"/>
      <c r="M243" s="703"/>
      <c r="N243" s="703"/>
      <c r="O243" s="703"/>
      <c r="P243" s="703"/>
      <c r="Q243" s="703"/>
      <c r="R243" s="703"/>
      <c r="S243" s="703"/>
      <c r="T243" s="703"/>
      <c r="U243" s="703"/>
      <c r="V243" s="703"/>
      <c r="W243" s="703"/>
      <c r="X243" s="703"/>
      <c r="Y243" s="703"/>
      <c r="Z243" s="703"/>
      <c r="AA243" s="703"/>
      <c r="AB243" s="703"/>
      <c r="AC243" s="703"/>
      <c r="AD243" s="703"/>
      <c r="AE243" s="703"/>
      <c r="AF243" s="703"/>
      <c r="AG243" s="703"/>
      <c r="AH243" s="703"/>
      <c r="AI243" s="703"/>
      <c r="AJ243" s="703"/>
      <c r="AK243" s="703"/>
      <c r="AL243" s="703"/>
      <c r="AM243" s="703"/>
      <c r="AN243" s="703"/>
      <c r="AO243" s="704"/>
      <c r="AP243" s="705"/>
      <c r="AQ243" s="763" t="str">
        <f t="shared" si="22"/>
        <v/>
      </c>
      <c r="AS243" s="268"/>
      <c r="AV243" s="699"/>
      <c r="AW243" s="700">
        <v>1.77E-2</v>
      </c>
      <c r="AX243" s="382">
        <f t="shared" si="20"/>
        <v>0</v>
      </c>
      <c r="AY243" s="379" t="str">
        <f t="shared" ca="1" si="23"/>
        <v>BŐRDÍSZMŰ</v>
      </c>
      <c r="AZ243" s="384">
        <f t="shared" si="21"/>
        <v>0</v>
      </c>
      <c r="BA243" s="642"/>
    </row>
    <row r="244" spans="1:54" ht="11.25" hidden="1" customHeight="1" x14ac:dyDescent="0.2">
      <c r="A244" s="867"/>
      <c r="C244" s="758"/>
      <c r="D244" s="757"/>
      <c r="E244" s="747"/>
      <c r="F244" s="703"/>
      <c r="G244" s="703"/>
      <c r="H244" s="703"/>
      <c r="I244" s="703"/>
      <c r="J244" s="703"/>
      <c r="K244" s="703"/>
      <c r="L244" s="703"/>
      <c r="M244" s="703"/>
      <c r="N244" s="703"/>
      <c r="O244" s="703"/>
      <c r="P244" s="703"/>
      <c r="Q244" s="703"/>
      <c r="R244" s="703"/>
      <c r="S244" s="703"/>
      <c r="T244" s="703"/>
      <c r="U244" s="703"/>
      <c r="V244" s="703"/>
      <c r="W244" s="703"/>
      <c r="X244" s="703"/>
      <c r="Y244" s="703"/>
      <c r="Z244" s="703"/>
      <c r="AA244" s="703"/>
      <c r="AB244" s="703"/>
      <c r="AC244" s="703"/>
      <c r="AD244" s="703"/>
      <c r="AE244" s="703"/>
      <c r="AF244" s="703"/>
      <c r="AG244" s="703"/>
      <c r="AH244" s="703"/>
      <c r="AI244" s="703"/>
      <c r="AJ244" s="703"/>
      <c r="AK244" s="703"/>
      <c r="AL244" s="703"/>
      <c r="AM244" s="703"/>
      <c r="AN244" s="703"/>
      <c r="AO244" s="704"/>
      <c r="AP244" s="705"/>
      <c r="AQ244" s="763" t="str">
        <f t="shared" si="22"/>
        <v/>
      </c>
      <c r="AS244" s="268"/>
      <c r="AV244" s="699"/>
      <c r="AW244" s="700">
        <v>1.78E-2</v>
      </c>
      <c r="AX244" s="382">
        <f t="shared" si="20"/>
        <v>0</v>
      </c>
      <c r="AY244" s="379" t="str">
        <f t="shared" ca="1" si="23"/>
        <v>BŐRDÍSZMŰ</v>
      </c>
      <c r="AZ244" s="384">
        <f t="shared" si="21"/>
        <v>0</v>
      </c>
      <c r="BA244" s="642"/>
    </row>
    <row r="245" spans="1:54" ht="11.25" hidden="1" customHeight="1" x14ac:dyDescent="0.2">
      <c r="A245" s="867"/>
      <c r="C245" s="758"/>
      <c r="D245" s="757"/>
      <c r="E245" s="747"/>
      <c r="F245" s="703"/>
      <c r="G245" s="703"/>
      <c r="H245" s="703"/>
      <c r="I245" s="703"/>
      <c r="J245" s="703"/>
      <c r="K245" s="703"/>
      <c r="L245" s="703"/>
      <c r="M245" s="703"/>
      <c r="N245" s="703"/>
      <c r="O245" s="703"/>
      <c r="P245" s="703"/>
      <c r="Q245" s="703"/>
      <c r="R245" s="703"/>
      <c r="S245" s="703"/>
      <c r="T245" s="703"/>
      <c r="U245" s="703"/>
      <c r="V245" s="703"/>
      <c r="W245" s="703"/>
      <c r="X245" s="703"/>
      <c r="Y245" s="703"/>
      <c r="Z245" s="703"/>
      <c r="AA245" s="703"/>
      <c r="AB245" s="703"/>
      <c r="AC245" s="703"/>
      <c r="AD245" s="703"/>
      <c r="AE245" s="703"/>
      <c r="AF245" s="703"/>
      <c r="AG245" s="703"/>
      <c r="AH245" s="703"/>
      <c r="AI245" s="703"/>
      <c r="AJ245" s="703"/>
      <c r="AK245" s="703"/>
      <c r="AL245" s="703"/>
      <c r="AM245" s="703"/>
      <c r="AN245" s="703"/>
      <c r="AO245" s="704"/>
      <c r="AP245" s="705"/>
      <c r="AQ245" s="763" t="str">
        <f t="shared" si="22"/>
        <v/>
      </c>
      <c r="AS245" s="268"/>
      <c r="AV245" s="699"/>
      <c r="AW245" s="700">
        <v>1.7899999999999999E-2</v>
      </c>
      <c r="AX245" s="382">
        <f t="shared" si="20"/>
        <v>0</v>
      </c>
      <c r="AY245" s="379" t="str">
        <f t="shared" ca="1" si="23"/>
        <v>BŐRDÍSZMŰ</v>
      </c>
      <c r="AZ245" s="384">
        <f t="shared" si="21"/>
        <v>0</v>
      </c>
      <c r="BA245" s="642"/>
    </row>
    <row r="246" spans="1:54" ht="12.75" customHeight="1" x14ac:dyDescent="0.2">
      <c r="A246" s="867"/>
      <c r="C246" s="759"/>
      <c r="D246" s="760"/>
      <c r="E246" s="748"/>
      <c r="F246" s="708"/>
      <c r="G246" s="708"/>
      <c r="H246" s="708"/>
      <c r="I246" s="708"/>
      <c r="J246" s="708"/>
      <c r="K246" s="708"/>
      <c r="L246" s="708"/>
      <c r="M246" s="708"/>
      <c r="N246" s="708"/>
      <c r="O246" s="708"/>
      <c r="P246" s="708"/>
      <c r="Q246" s="708"/>
      <c r="R246" s="708"/>
      <c r="S246" s="708"/>
      <c r="T246" s="708"/>
      <c r="U246" s="708"/>
      <c r="V246" s="708"/>
      <c r="W246" s="708"/>
      <c r="X246" s="708"/>
      <c r="Y246" s="708"/>
      <c r="Z246" s="708"/>
      <c r="AA246" s="708"/>
      <c r="AB246" s="708"/>
      <c r="AC246" s="708"/>
      <c r="AD246" s="708"/>
      <c r="AE246" s="708"/>
      <c r="AF246" s="708"/>
      <c r="AG246" s="708"/>
      <c r="AH246" s="708"/>
      <c r="AI246" s="708"/>
      <c r="AJ246" s="708"/>
      <c r="AK246" s="708"/>
      <c r="AL246" s="708"/>
      <c r="AM246" s="708"/>
      <c r="AN246" s="708"/>
      <c r="AO246" s="709"/>
      <c r="AP246" s="710"/>
      <c r="AQ246" s="763" t="str">
        <f t="shared" si="22"/>
        <v/>
      </c>
      <c r="AS246" s="268"/>
      <c r="AV246" s="699"/>
      <c r="AW246" s="700">
        <v>1.7999999999999999E-2</v>
      </c>
      <c r="AX246" s="382">
        <f t="shared" si="20"/>
        <v>0</v>
      </c>
      <c r="AY246" s="379" t="str">
        <f t="shared" ca="1" si="23"/>
        <v>BŐRDÍSZMŰ</v>
      </c>
      <c r="AZ246" s="384">
        <f t="shared" si="21"/>
        <v>0</v>
      </c>
      <c r="BA246" s="642"/>
    </row>
    <row r="247" spans="1:54" ht="13.5" customHeight="1" x14ac:dyDescent="0.2">
      <c r="A247" s="867"/>
      <c r="AV247" s="699"/>
      <c r="AW247" s="700">
        <v>1.8100000000000002E-2</v>
      </c>
      <c r="AX247" s="642"/>
      <c r="AY247" s="642"/>
      <c r="BA247" s="642"/>
    </row>
    <row r="248" spans="1:54" ht="1.5" customHeight="1" x14ac:dyDescent="0.2">
      <c r="A248" s="867"/>
      <c r="AV248" s="699"/>
      <c r="AW248" s="700">
        <v>1.8200000000000001E-2</v>
      </c>
    </row>
    <row r="249" spans="1:54" s="186" customFormat="1" ht="11.25" hidden="1" customHeight="1" x14ac:dyDescent="0.2">
      <c r="A249" s="867"/>
      <c r="AS249" s="672"/>
      <c r="AU249" s="669"/>
      <c r="AV249" s="699"/>
      <c r="AW249" s="700">
        <v>1.83E-2</v>
      </c>
      <c r="AX249" s="643"/>
      <c r="AY249" s="643"/>
      <c r="AZ249" s="671"/>
      <c r="BA249" s="643"/>
      <c r="BB249" s="669"/>
    </row>
    <row r="250" spans="1:54" s="673" customFormat="1" ht="13.5" hidden="1" customHeight="1" x14ac:dyDescent="0.2">
      <c r="A250" s="867"/>
      <c r="D250" s="674"/>
      <c r="E250" s="674"/>
      <c r="F250" s="674"/>
      <c r="G250" s="674"/>
      <c r="H250" s="674"/>
      <c r="I250" s="674"/>
      <c r="J250" s="674"/>
      <c r="K250" s="674"/>
      <c r="L250" s="674"/>
      <c r="M250" s="674"/>
      <c r="N250" s="674"/>
      <c r="O250" s="674"/>
      <c r="P250" s="674"/>
      <c r="Q250" s="674"/>
      <c r="R250" s="674"/>
      <c r="S250" s="674"/>
      <c r="T250" s="674"/>
      <c r="U250" s="674"/>
      <c r="V250" s="674"/>
      <c r="W250" s="674"/>
      <c r="X250" s="674"/>
      <c r="Y250" s="674"/>
      <c r="Z250" s="674"/>
      <c r="AA250" s="674"/>
      <c r="AB250" s="674"/>
      <c r="AC250" s="674"/>
      <c r="AD250" s="674"/>
      <c r="AE250" s="674"/>
      <c r="AF250" s="674"/>
      <c r="AG250" s="674"/>
      <c r="AH250" s="674"/>
      <c r="AI250" s="674"/>
      <c r="AJ250" s="674"/>
      <c r="AK250" s="674"/>
      <c r="AL250" s="674"/>
      <c r="AM250" s="674"/>
      <c r="AN250" s="674"/>
      <c r="AO250" s="674"/>
      <c r="AP250" s="674"/>
      <c r="AS250" s="675"/>
      <c r="AU250" s="643"/>
      <c r="AV250" s="699"/>
      <c r="AW250" s="700">
        <v>1.84E-2</v>
      </c>
      <c r="AX250" s="643"/>
      <c r="AY250" s="643"/>
      <c r="AZ250" s="671"/>
      <c r="BA250" s="643"/>
      <c r="BB250" s="643"/>
    </row>
    <row r="251" spans="1:54" s="673" customFormat="1" ht="13.5" hidden="1" customHeight="1" x14ac:dyDescent="0.2">
      <c r="A251" s="867"/>
      <c r="C251" s="324">
        <f>C201+1</f>
        <v>5</v>
      </c>
      <c r="D251" s="383"/>
      <c r="E251" s="383">
        <v>1</v>
      </c>
      <c r="F251" s="383">
        <v>2</v>
      </c>
      <c r="G251" s="383">
        <v>3</v>
      </c>
      <c r="H251" s="383">
        <v>4</v>
      </c>
      <c r="I251" s="383">
        <v>5</v>
      </c>
      <c r="J251" s="383">
        <v>6</v>
      </c>
      <c r="K251" s="383">
        <v>7</v>
      </c>
      <c r="L251" s="383">
        <v>8</v>
      </c>
      <c r="M251" s="383">
        <v>9</v>
      </c>
      <c r="N251" s="383">
        <v>10</v>
      </c>
      <c r="O251" s="383">
        <v>11</v>
      </c>
      <c r="P251" s="383">
        <v>12</v>
      </c>
      <c r="Q251" s="383">
        <v>13</v>
      </c>
      <c r="R251" s="383">
        <v>14</v>
      </c>
      <c r="S251" s="383">
        <v>15</v>
      </c>
      <c r="T251" s="383">
        <v>16</v>
      </c>
      <c r="U251" s="383">
        <v>17</v>
      </c>
      <c r="V251" s="383">
        <v>18</v>
      </c>
      <c r="W251" s="383">
        <v>19</v>
      </c>
      <c r="X251" s="383">
        <v>20</v>
      </c>
      <c r="Y251" s="383">
        <v>21</v>
      </c>
      <c r="Z251" s="751">
        <v>22</v>
      </c>
      <c r="AA251" s="383">
        <v>23</v>
      </c>
      <c r="AB251" s="383">
        <v>24</v>
      </c>
      <c r="AC251" s="383">
        <v>25</v>
      </c>
      <c r="AD251" s="383">
        <v>26</v>
      </c>
      <c r="AE251" s="383">
        <v>27</v>
      </c>
      <c r="AF251" s="383"/>
      <c r="AG251" s="383"/>
      <c r="AH251" s="383"/>
      <c r="AI251" s="383"/>
      <c r="AJ251" s="383"/>
      <c r="AK251" s="383"/>
      <c r="AL251" s="383"/>
      <c r="AM251" s="383"/>
      <c r="AN251" s="383"/>
      <c r="AO251" s="383"/>
      <c r="AP251" s="674"/>
      <c r="AS251" s="675"/>
      <c r="AU251" s="643"/>
      <c r="AV251" s="699"/>
      <c r="AW251" s="700">
        <v>1.8499999999999999E-2</v>
      </c>
      <c r="AX251" s="643"/>
      <c r="AY251" s="643"/>
      <c r="AZ251" s="671"/>
      <c r="BA251" s="643"/>
      <c r="BB251" s="643"/>
    </row>
    <row r="252" spans="1:54" s="673" customFormat="1" ht="13.5" hidden="1" customHeight="1" x14ac:dyDescent="0.2">
      <c r="A252" s="867"/>
      <c r="D252" s="383"/>
      <c r="E252" s="383"/>
      <c r="F252" s="383"/>
      <c r="G252" s="383"/>
      <c r="H252" s="383"/>
      <c r="I252" s="383"/>
      <c r="J252" s="383"/>
      <c r="K252" s="383"/>
      <c r="L252" s="383"/>
      <c r="M252" s="383"/>
      <c r="N252" s="383"/>
      <c r="O252" s="383"/>
      <c r="P252" s="383"/>
      <c r="Q252" s="383"/>
      <c r="R252" s="383"/>
      <c r="S252" s="383"/>
      <c r="T252" s="383"/>
      <c r="U252" s="383"/>
      <c r="V252" s="383"/>
      <c r="W252" s="383"/>
      <c r="X252" s="383"/>
      <c r="Y252" s="383"/>
      <c r="Z252" s="751"/>
      <c r="AA252" s="383"/>
      <c r="AB252" s="383"/>
      <c r="AC252" s="383"/>
      <c r="AD252" s="383"/>
      <c r="AE252" s="383"/>
      <c r="AF252" s="383"/>
      <c r="AG252" s="383"/>
      <c r="AH252" s="383"/>
      <c r="AI252" s="383"/>
      <c r="AJ252" s="383"/>
      <c r="AK252" s="383"/>
      <c r="AL252" s="383"/>
      <c r="AM252" s="383"/>
      <c r="AN252" s="383"/>
      <c r="AO252" s="383"/>
      <c r="AP252" s="674"/>
      <c r="AS252" s="675"/>
      <c r="AU252" s="643"/>
      <c r="AV252" s="699"/>
      <c r="AW252" s="700">
        <v>1.8599999999999998E-2</v>
      </c>
      <c r="AX252" s="643"/>
      <c r="AY252" s="643"/>
      <c r="AZ252" s="671"/>
      <c r="BA252" s="643"/>
      <c r="BB252" s="643"/>
    </row>
    <row r="253" spans="1:54" s="673" customFormat="1" ht="13.5" hidden="1" customHeight="1" x14ac:dyDescent="0.2">
      <c r="A253" s="867"/>
      <c r="D253" s="676"/>
      <c r="E253" s="676">
        <f t="shared" ref="E253:AE253" si="24">E$53</f>
        <v>1</v>
      </c>
      <c r="F253" s="676">
        <f t="shared" si="24"/>
        <v>17</v>
      </c>
      <c r="G253" s="676">
        <f t="shared" si="24"/>
        <v>33</v>
      </c>
      <c r="H253" s="676">
        <f t="shared" si="24"/>
        <v>49</v>
      </c>
      <c r="I253" s="676">
        <f t="shared" si="24"/>
        <v>65</v>
      </c>
      <c r="J253" s="676">
        <f t="shared" si="24"/>
        <v>81</v>
      </c>
      <c r="K253" s="676">
        <f t="shared" si="24"/>
        <v>97</v>
      </c>
      <c r="L253" s="676">
        <f t="shared" si="24"/>
        <v>113</v>
      </c>
      <c r="M253" s="676">
        <f t="shared" si="24"/>
        <v>129</v>
      </c>
      <c r="N253" s="676">
        <f t="shared" si="24"/>
        <v>145</v>
      </c>
      <c r="O253" s="676">
        <f t="shared" si="24"/>
        <v>161</v>
      </c>
      <c r="P253" s="676">
        <f t="shared" si="24"/>
        <v>177</v>
      </c>
      <c r="Q253" s="676">
        <f t="shared" si="24"/>
        <v>193</v>
      </c>
      <c r="R253" s="676">
        <f t="shared" si="24"/>
        <v>209</v>
      </c>
      <c r="S253" s="676">
        <f t="shared" si="24"/>
        <v>225</v>
      </c>
      <c r="T253" s="676">
        <f t="shared" si="24"/>
        <v>241</v>
      </c>
      <c r="U253" s="676">
        <f t="shared" si="24"/>
        <v>257</v>
      </c>
      <c r="V253" s="676">
        <f t="shared" si="24"/>
        <v>273</v>
      </c>
      <c r="W253" s="676">
        <f t="shared" si="24"/>
        <v>289</v>
      </c>
      <c r="X253" s="676">
        <f t="shared" si="24"/>
        <v>305</v>
      </c>
      <c r="Y253" s="676">
        <f t="shared" si="24"/>
        <v>321</v>
      </c>
      <c r="Z253" s="676">
        <f t="shared" si="24"/>
        <v>337</v>
      </c>
      <c r="AA253" s="676">
        <f t="shared" si="24"/>
        <v>1</v>
      </c>
      <c r="AB253" s="676">
        <f t="shared" si="24"/>
        <v>19</v>
      </c>
      <c r="AC253" s="676">
        <f t="shared" si="24"/>
        <v>37</v>
      </c>
      <c r="AD253" s="676">
        <f t="shared" si="24"/>
        <v>55</v>
      </c>
      <c r="AE253" s="676">
        <f t="shared" si="24"/>
        <v>73</v>
      </c>
      <c r="AF253" s="676"/>
      <c r="AG253" s="676"/>
      <c r="AH253" s="676"/>
      <c r="AI253" s="676"/>
      <c r="AJ253" s="676"/>
      <c r="AK253" s="676"/>
      <c r="AL253" s="676"/>
      <c r="AM253" s="676"/>
      <c r="AN253" s="676"/>
      <c r="AO253" s="676"/>
      <c r="AP253" s="674"/>
      <c r="AS253" s="675"/>
      <c r="AU253" s="643"/>
      <c r="AV253" s="699"/>
      <c r="AW253" s="700">
        <v>1.8700000000000001E-2</v>
      </c>
      <c r="AX253" s="643"/>
      <c r="AY253" s="643"/>
      <c r="AZ253" s="671"/>
      <c r="BA253" s="643"/>
      <c r="BB253" s="643"/>
    </row>
    <row r="254" spans="1:54" s="673" customFormat="1" ht="13.5" hidden="1" customHeight="1" x14ac:dyDescent="0.2">
      <c r="A254" s="867"/>
      <c r="D254" s="677"/>
      <c r="E254" s="749" t="b">
        <f ca="1">COUNTIF(OFFSET(ASZ!$AB$42,E253,-4,12,2),$C262)=0</f>
        <v>0</v>
      </c>
      <c r="F254" s="749" t="b">
        <f ca="1">COUNTIF(OFFSET(ASZ!$AB$42,F253,-4,12,2),$C262)=0</f>
        <v>0</v>
      </c>
      <c r="G254" s="749" t="b">
        <f ca="1">COUNTIF(OFFSET(ASZ!$AB$42,G253,-4,12,2),$C262)=0</f>
        <v>0</v>
      </c>
      <c r="H254" s="749" t="b">
        <f ca="1">COUNTIF(OFFSET(ASZ!$AB$42,H253,-4,12,2),$C262)=0</f>
        <v>0</v>
      </c>
      <c r="I254" s="749" t="b">
        <f ca="1">COUNTIF(OFFSET(ASZ!$AB$42,I253,-4,12,2),$C262)=0</f>
        <v>0</v>
      </c>
      <c r="J254" s="749" t="b">
        <f ca="1">COUNTIF(OFFSET(ASZ!$AB$42,J253,-4,12,2),$C262)=0</f>
        <v>0</v>
      </c>
      <c r="K254" s="749" t="b">
        <f ca="1">COUNTIF(OFFSET(ASZ!$AB$42,K253,-4,12,2),$C262)=0</f>
        <v>0</v>
      </c>
      <c r="L254" s="749" t="b">
        <f ca="1">COUNTIF(OFFSET(ASZ!$AB$42,L253,-4,12,2),$C262)=0</f>
        <v>0</v>
      </c>
      <c r="M254" s="749" t="b">
        <f ca="1">COUNTIF(OFFSET(ASZ!$AB$42,M253,-4,12,2),$C262)=0</f>
        <v>0</v>
      </c>
      <c r="N254" s="749" t="b">
        <f ca="1">COUNTIF(OFFSET(ASZ!$AB$42,N253,-4,12,2),$C262)=0</f>
        <v>0</v>
      </c>
      <c r="O254" s="749" t="b">
        <f ca="1">COUNTIF(OFFSET(ASZ!$AB$42,O253,-4,12,2),$C262)=0</f>
        <v>0</v>
      </c>
      <c r="P254" s="749" t="b">
        <f ca="1">COUNTIF(OFFSET(ASZ!$AB$42,P253,-4,12,2),$C262)=0</f>
        <v>0</v>
      </c>
      <c r="Q254" s="749" t="b">
        <f ca="1">COUNTIF(OFFSET(ASZ!$AB$42,Q253,-4,12,2),$C262)=0</f>
        <v>0</v>
      </c>
      <c r="R254" s="749" t="b">
        <f ca="1">COUNTIF(OFFSET(ASZ!$AB$42,R253,-4,12,2),$C262)=0</f>
        <v>0</v>
      </c>
      <c r="S254" s="749" t="b">
        <f ca="1">COUNTIF(OFFSET(ASZ!$AB$42,S253,-4,12,2),$C262)=0</f>
        <v>0</v>
      </c>
      <c r="T254" s="749" t="b">
        <f ca="1">COUNTIF(OFFSET(ASZ!$AB$42,T253,-4,12,2),$C262)=0</f>
        <v>0</v>
      </c>
      <c r="U254" s="749" t="b">
        <f ca="1">COUNTIF(OFFSET(ASZ!$AB$42,U253,-4,12,2),$C262)=0</f>
        <v>0</v>
      </c>
      <c r="V254" s="749" t="b">
        <f ca="1">COUNTIF(OFFSET(ASZ!$AB$42,V253,-4,12,2),$C262)=0</f>
        <v>0</v>
      </c>
      <c r="W254" s="749" t="b">
        <f ca="1">COUNTIF(OFFSET(ASZ!$AB$42,W253,-4,12,2),$C262)=0</f>
        <v>0</v>
      </c>
      <c r="X254" s="749" t="b">
        <f ca="1">COUNTIF(OFFSET(ASZ!$AB$42,X253,-4,12,2),$C262)=0</f>
        <v>0</v>
      </c>
      <c r="Y254" s="749" t="b">
        <f ca="1">COUNTIF(OFFSET(ASZ!$AB$42,Y253,-4,12,2),$C262)=0</f>
        <v>0</v>
      </c>
      <c r="Z254" s="753" t="b">
        <f ca="1">COUNTIF(OFFSET(ASZ!$AB$42,Z253,-4,12,2),$C262)=0</f>
        <v>0</v>
      </c>
      <c r="AA254" s="749" t="b">
        <f ca="1">COUNTIF(OFFSET(RCSOP!$AF$56,AA253,-4,14,2),$C262)=0</f>
        <v>0</v>
      </c>
      <c r="AB254" s="749" t="b">
        <f ca="1">COUNTIF(OFFSET(RCSOP!$AF$56,AB253,-4,14,2),$C262)=0</f>
        <v>0</v>
      </c>
      <c r="AC254" s="749" t="b">
        <f ca="1">COUNTIF(OFFSET(RCSOP!$AF$56,AC253,-4,14,2),$C262)=0</f>
        <v>0</v>
      </c>
      <c r="AD254" s="749" t="b">
        <f ca="1">COUNTIF(OFFSET(RCSOP!$AF$56,AD253,-4,14,2),$C262)=0</f>
        <v>0</v>
      </c>
      <c r="AE254" s="749" t="b">
        <f ca="1">COUNTIF(OFFSET(RCSOP!$AF$56,AE253,-4,14,2),$C262)=0</f>
        <v>0</v>
      </c>
      <c r="AF254" s="677"/>
      <c r="AG254" s="677"/>
      <c r="AH254" s="677"/>
      <c r="AI254" s="677"/>
      <c r="AJ254" s="677"/>
      <c r="AK254" s="677"/>
      <c r="AL254" s="677"/>
      <c r="AM254" s="677"/>
      <c r="AN254" s="677"/>
      <c r="AO254" s="677"/>
      <c r="AP254" s="674"/>
      <c r="AS254" s="675"/>
      <c r="AU254" s="643"/>
      <c r="AV254" s="699"/>
      <c r="AW254" s="700">
        <v>1.8800000000000001E-2</v>
      </c>
      <c r="AY254" s="643"/>
      <c r="AZ254" s="671"/>
      <c r="BA254" s="643"/>
      <c r="BB254" s="643"/>
    </row>
    <row r="255" spans="1:54" s="673" customFormat="1" ht="13.5" hidden="1" customHeight="1" x14ac:dyDescent="0.2">
      <c r="A255" s="867"/>
      <c r="D255" s="677"/>
      <c r="E255" s="749" t="b">
        <f ca="1">COUNTIF(OFFSET(ASZ!$AB$42,E253,-4,12,1),$C262)=1</f>
        <v>0</v>
      </c>
      <c r="F255" s="749" t="b">
        <f ca="1">COUNTIF(OFFSET(ASZ!$AB$42,F253,-4,12,1),$C262)=1</f>
        <v>0</v>
      </c>
      <c r="G255" s="749" t="b">
        <f ca="1">COUNTIF(OFFSET(ASZ!$AB$42,G253,-4,12,1),$C262)=1</f>
        <v>0</v>
      </c>
      <c r="H255" s="749" t="b">
        <f ca="1">COUNTIF(OFFSET(ASZ!$AB$42,H253,-4,12,1),$C262)=1</f>
        <v>0</v>
      </c>
      <c r="I255" s="749" t="b">
        <f ca="1">COUNTIF(OFFSET(ASZ!$AB$42,I253,-4,12,1),$C262)=1</f>
        <v>0</v>
      </c>
      <c r="J255" s="749" t="b">
        <f ca="1">COUNTIF(OFFSET(ASZ!$AB$42,J253,-4,12,1),$C262)=1</f>
        <v>0</v>
      </c>
      <c r="K255" s="749" t="b">
        <f ca="1">COUNTIF(OFFSET(ASZ!$AB$42,K253,-4,12,1),$C262)=1</f>
        <v>0</v>
      </c>
      <c r="L255" s="749" t="b">
        <f ca="1">COUNTIF(OFFSET(ASZ!$AB$42,L253,-4,12,1),$C262)=1</f>
        <v>0</v>
      </c>
      <c r="M255" s="749" t="b">
        <f ca="1">COUNTIF(OFFSET(ASZ!$AB$42,M253,-4,12,1),$C262)=1</f>
        <v>0</v>
      </c>
      <c r="N255" s="749" t="b">
        <f ca="1">COUNTIF(OFFSET(ASZ!$AB$42,N253,-4,12,1),$C262)=1</f>
        <v>0</v>
      </c>
      <c r="O255" s="749" t="b">
        <f ca="1">COUNTIF(OFFSET(ASZ!$AB$42,O253,-4,12,1),$C262)=1</f>
        <v>1</v>
      </c>
      <c r="P255" s="749" t="b">
        <f ca="1">COUNTIF(OFFSET(ASZ!$AB$42,P253,-4,12,1),$C262)=1</f>
        <v>1</v>
      </c>
      <c r="Q255" s="749" t="b">
        <f ca="1">COUNTIF(OFFSET(ASZ!$AB$42,Q253,-4,12,1),$C262)=1</f>
        <v>1</v>
      </c>
      <c r="R255" s="749" t="b">
        <f ca="1">COUNTIF(OFFSET(ASZ!$AB$42,R253,-4,12,1),$C262)=1</f>
        <v>1</v>
      </c>
      <c r="S255" s="749" t="b">
        <f ca="1">COUNTIF(OFFSET(ASZ!$AB$42,S253,-4,12,1),$C262)=1</f>
        <v>1</v>
      </c>
      <c r="T255" s="749" t="b">
        <f ca="1">COUNTIF(OFFSET(ASZ!$AB$42,T253,-4,12,1),$C262)=1</f>
        <v>1</v>
      </c>
      <c r="U255" s="749" t="b">
        <f ca="1">COUNTIF(OFFSET(ASZ!$AB$42,U253,-4,12,1),$C262)=1</f>
        <v>1</v>
      </c>
      <c r="V255" s="749" t="b">
        <f ca="1">COUNTIF(OFFSET(ASZ!$AB$42,V253,-4,12,1),$C262)=1</f>
        <v>1</v>
      </c>
      <c r="W255" s="749" t="b">
        <f ca="1">COUNTIF(OFFSET(ASZ!$AB$42,W253,-4,12,1),$C262)=1</f>
        <v>1</v>
      </c>
      <c r="X255" s="749" t="b">
        <f ca="1">COUNTIF(OFFSET(ASZ!$AB$42,X253,-4,12,1),$C262)=1</f>
        <v>1</v>
      </c>
      <c r="Y255" s="749" t="b">
        <f ca="1">COUNTIF(OFFSET(ASZ!$AB$42,Y253,-4,12,1),$C262)=1</f>
        <v>1</v>
      </c>
      <c r="Z255" s="753" t="b">
        <f ca="1">COUNTIF(OFFSET(ASZ!$AB$42,Z253,-4,12,1),$C262)=1</f>
        <v>1</v>
      </c>
      <c r="AA255" s="749" t="b">
        <f ca="1">COUNTIF(OFFSET(RCSOP!$AF$56,AA253,-4,14,1),$C262)=1</f>
        <v>1</v>
      </c>
      <c r="AB255" s="749" t="b">
        <f ca="1">COUNTIF(OFFSET(RCSOP!$AF$56,AB253,-4,14,1),$C262)=1</f>
        <v>1</v>
      </c>
      <c r="AC255" s="749" t="b">
        <f ca="1">COUNTIF(OFFSET(RCSOP!$AF$56,AC253,-4,14,1),$C262)=1</f>
        <v>0</v>
      </c>
      <c r="AD255" s="749" t="b">
        <f ca="1">COUNTIF(OFFSET(RCSOP!$AF$56,AD253,-4,14,1),$C262)=1</f>
        <v>0</v>
      </c>
      <c r="AE255" s="749" t="b">
        <f ca="1">COUNTIF(OFFSET(RCSOP!$AF$56,AE253,-4,14,1),$C262)=1</f>
        <v>1</v>
      </c>
      <c r="AF255" s="677"/>
      <c r="AG255" s="677"/>
      <c r="AH255" s="677"/>
      <c r="AI255" s="677"/>
      <c r="AJ255" s="677"/>
      <c r="AK255" s="677"/>
      <c r="AL255" s="677"/>
      <c r="AM255" s="677"/>
      <c r="AN255" s="677"/>
      <c r="AO255" s="677"/>
      <c r="AP255" s="674"/>
      <c r="AS255" s="675"/>
      <c r="AU255" s="643"/>
      <c r="AV255" s="699"/>
      <c r="AW255" s="700">
        <v>1.89E-2</v>
      </c>
      <c r="AX255" s="643"/>
      <c r="AY255" s="643"/>
      <c r="AZ255" s="671"/>
      <c r="BA255" s="643"/>
      <c r="BB255" s="643"/>
    </row>
    <row r="256" spans="1:54" s="673" customFormat="1" ht="13.5" hidden="1" customHeight="1" x14ac:dyDescent="0.2">
      <c r="A256" s="867"/>
      <c r="D256" s="674"/>
      <c r="E256" s="674"/>
      <c r="F256" s="674"/>
      <c r="G256" s="674"/>
      <c r="H256" s="674"/>
      <c r="I256" s="674"/>
      <c r="J256" s="674"/>
      <c r="K256" s="674"/>
      <c r="L256" s="674"/>
      <c r="M256" s="674"/>
      <c r="N256" s="674"/>
      <c r="O256" s="674"/>
      <c r="P256" s="674"/>
      <c r="Q256" s="674"/>
      <c r="R256" s="674"/>
      <c r="S256" s="674"/>
      <c r="T256" s="674"/>
      <c r="U256" s="674"/>
      <c r="V256" s="674"/>
      <c r="W256" s="674"/>
      <c r="X256" s="674"/>
      <c r="Y256" s="674"/>
      <c r="Z256" s="674"/>
      <c r="AA256" s="674"/>
      <c r="AB256" s="674"/>
      <c r="AC256" s="674"/>
      <c r="AD256" s="674"/>
      <c r="AE256" s="674"/>
      <c r="AF256" s="674"/>
      <c r="AG256" s="674"/>
      <c r="AH256" s="674"/>
      <c r="AI256" s="674"/>
      <c r="AJ256" s="674"/>
      <c r="AK256" s="674"/>
      <c r="AL256" s="674"/>
      <c r="AM256" s="674"/>
      <c r="AN256" s="674"/>
      <c r="AO256" s="674"/>
      <c r="AP256" s="674"/>
      <c r="AS256" s="675"/>
      <c r="AU256" s="643"/>
      <c r="AV256" s="699"/>
      <c r="AW256" s="700">
        <v>1.9E-2</v>
      </c>
      <c r="AX256" s="643"/>
      <c r="AY256" s="643"/>
      <c r="AZ256" s="671"/>
      <c r="BA256" s="643"/>
      <c r="BB256" s="643"/>
    </row>
    <row r="257" spans="1:54" s="673" customFormat="1" ht="13.5" hidden="1" customHeight="1" x14ac:dyDescent="0.2">
      <c r="A257" s="867"/>
      <c r="D257" s="674"/>
      <c r="E257" s="674"/>
      <c r="F257" s="674"/>
      <c r="G257" s="674"/>
      <c r="H257" s="674"/>
      <c r="I257" s="674"/>
      <c r="J257" s="674"/>
      <c r="K257" s="674"/>
      <c r="L257" s="674"/>
      <c r="M257" s="674"/>
      <c r="N257" s="674"/>
      <c r="O257" s="674"/>
      <c r="P257" s="674"/>
      <c r="Q257" s="674"/>
      <c r="R257" s="674"/>
      <c r="S257" s="674"/>
      <c r="T257" s="674"/>
      <c r="U257" s="674"/>
      <c r="V257" s="674"/>
      <c r="W257" s="674"/>
      <c r="X257" s="674"/>
      <c r="Y257" s="674"/>
      <c r="Z257" s="674"/>
      <c r="AA257" s="674"/>
      <c r="AB257" s="674"/>
      <c r="AC257" s="674"/>
      <c r="AD257" s="674"/>
      <c r="AE257" s="674"/>
      <c r="AF257" s="674"/>
      <c r="AG257" s="674"/>
      <c r="AH257" s="674"/>
      <c r="AI257" s="674"/>
      <c r="AJ257" s="674"/>
      <c r="AK257" s="674"/>
      <c r="AL257" s="674"/>
      <c r="AM257" s="674"/>
      <c r="AN257" s="674"/>
      <c r="AO257" s="674"/>
      <c r="AP257" s="674"/>
      <c r="AS257" s="675"/>
      <c r="AU257" s="643"/>
      <c r="AV257" s="699"/>
      <c r="AW257" s="700">
        <v>1.9099999999999999E-2</v>
      </c>
      <c r="AX257" s="643"/>
      <c r="AY257" s="643"/>
      <c r="AZ257" s="671"/>
      <c r="BA257" s="643"/>
      <c r="BB257" s="643"/>
    </row>
    <row r="258" spans="1:54" s="673" customFormat="1" ht="13.5" hidden="1" customHeight="1" x14ac:dyDescent="0.2">
      <c r="A258" s="867"/>
      <c r="D258" s="674"/>
      <c r="E258" s="674"/>
      <c r="F258" s="674"/>
      <c r="G258" s="674"/>
      <c r="H258" s="674"/>
      <c r="I258" s="674"/>
      <c r="J258" s="674"/>
      <c r="K258" s="674"/>
      <c r="L258" s="674"/>
      <c r="M258" s="674"/>
      <c r="N258" s="674"/>
      <c r="O258" s="674"/>
      <c r="P258" s="674"/>
      <c r="Q258" s="674"/>
      <c r="R258" s="674"/>
      <c r="S258" s="674"/>
      <c r="T258" s="674"/>
      <c r="U258" s="674"/>
      <c r="V258" s="674"/>
      <c r="W258" s="674"/>
      <c r="X258" s="674"/>
      <c r="Y258" s="674"/>
      <c r="Z258" s="674"/>
      <c r="AA258" s="674"/>
      <c r="AB258" s="674"/>
      <c r="AC258" s="674"/>
      <c r="AD258" s="674"/>
      <c r="AE258" s="674"/>
      <c r="AF258" s="674"/>
      <c r="AG258" s="674"/>
      <c r="AH258" s="674"/>
      <c r="AI258" s="674"/>
      <c r="AJ258" s="674"/>
      <c r="AK258" s="674"/>
      <c r="AL258" s="674"/>
      <c r="AM258" s="674"/>
      <c r="AN258" s="674"/>
      <c r="AO258" s="674"/>
      <c r="AP258" s="674"/>
      <c r="AS258" s="675"/>
      <c r="AU258" s="643"/>
      <c r="AV258" s="699"/>
      <c r="AW258" s="700">
        <v>1.9199999999999998E-2</v>
      </c>
      <c r="AX258" s="643"/>
      <c r="AY258" s="643"/>
      <c r="AZ258" s="671"/>
      <c r="BA258" s="643"/>
      <c r="BB258" s="643"/>
    </row>
    <row r="259" spans="1:54" s="673" customFormat="1" ht="13.5" hidden="1" customHeight="1" x14ac:dyDescent="0.2">
      <c r="A259" s="867"/>
      <c r="D259" s="674"/>
      <c r="E259" s="674"/>
      <c r="F259" s="674"/>
      <c r="G259" s="674"/>
      <c r="H259" s="674"/>
      <c r="I259" s="674"/>
      <c r="J259" s="674"/>
      <c r="K259" s="674"/>
      <c r="L259" s="674"/>
      <c r="M259" s="674"/>
      <c r="N259" s="674"/>
      <c r="O259" s="674"/>
      <c r="P259" s="674"/>
      <c r="Q259" s="674"/>
      <c r="R259" s="674"/>
      <c r="S259" s="674"/>
      <c r="T259" s="674"/>
      <c r="U259" s="674"/>
      <c r="V259" s="674"/>
      <c r="W259" s="674"/>
      <c r="X259" s="674"/>
      <c r="Y259" s="674"/>
      <c r="Z259" s="674"/>
      <c r="AA259" s="674"/>
      <c r="AB259" s="674"/>
      <c r="AC259" s="674"/>
      <c r="AD259" s="674"/>
      <c r="AE259" s="674"/>
      <c r="AF259" s="674"/>
      <c r="AG259" s="674"/>
      <c r="AH259" s="674"/>
      <c r="AI259" s="674"/>
      <c r="AJ259" s="674"/>
      <c r="AK259" s="674"/>
      <c r="AL259" s="674"/>
      <c r="AM259" s="674"/>
      <c r="AN259" s="674"/>
      <c r="AO259" s="674"/>
      <c r="AP259" s="674"/>
      <c r="AS259" s="675"/>
      <c r="AU259" s="643"/>
      <c r="AV259" s="699"/>
      <c r="AW259" s="700">
        <v>1.9300000000000001E-2</v>
      </c>
      <c r="AX259" s="643"/>
      <c r="AY259" s="643"/>
      <c r="AZ259" s="671"/>
      <c r="BA259" s="643"/>
      <c r="BB259" s="643"/>
    </row>
    <row r="260" spans="1:54" s="673" customFormat="1" ht="13.5" hidden="1" customHeight="1" x14ac:dyDescent="0.2">
      <c r="A260" s="867"/>
      <c r="D260" s="674"/>
      <c r="E260" s="674"/>
      <c r="F260" s="674"/>
      <c r="G260" s="674"/>
      <c r="H260" s="674"/>
      <c r="I260" s="674"/>
      <c r="J260" s="674"/>
      <c r="K260" s="674"/>
      <c r="L260" s="674"/>
      <c r="M260" s="674"/>
      <c r="N260" s="674"/>
      <c r="O260" s="674"/>
      <c r="P260" s="674"/>
      <c r="Q260" s="674"/>
      <c r="R260" s="674"/>
      <c r="S260" s="674"/>
      <c r="T260" s="674"/>
      <c r="U260" s="674"/>
      <c r="V260" s="674"/>
      <c r="W260" s="674"/>
      <c r="X260" s="674"/>
      <c r="Y260" s="674"/>
      <c r="Z260" s="674"/>
      <c r="AA260" s="674"/>
      <c r="AB260" s="674"/>
      <c r="AC260" s="674"/>
      <c r="AD260" s="674"/>
      <c r="AE260" s="674"/>
      <c r="AF260" s="674"/>
      <c r="AG260" s="674"/>
      <c r="AH260" s="674"/>
      <c r="AI260" s="674"/>
      <c r="AJ260" s="674"/>
      <c r="AK260" s="674"/>
      <c r="AL260" s="674"/>
      <c r="AM260" s="674"/>
      <c r="AN260" s="674"/>
      <c r="AO260" s="674"/>
      <c r="AP260" s="674"/>
      <c r="AS260" s="675"/>
      <c r="AU260" s="643"/>
      <c r="AV260" s="699"/>
      <c r="AW260" s="700">
        <v>1.9400000000000001E-2</v>
      </c>
      <c r="AX260" s="643"/>
      <c r="AY260" s="643"/>
      <c r="AZ260" s="671"/>
      <c r="BA260" s="643"/>
      <c r="BB260" s="643"/>
    </row>
    <row r="261" spans="1:54" s="186" customFormat="1" ht="11.25" hidden="1" customHeight="1" x14ac:dyDescent="0.2">
      <c r="A261" s="867"/>
      <c r="D261" s="678"/>
      <c r="E261" s="678"/>
      <c r="F261" s="678"/>
      <c r="G261" s="678"/>
      <c r="H261" s="678"/>
      <c r="I261" s="678"/>
      <c r="J261" s="678"/>
      <c r="K261" s="678"/>
      <c r="L261" s="678"/>
      <c r="M261" s="678"/>
      <c r="N261" s="678"/>
      <c r="O261" s="678"/>
      <c r="P261" s="678"/>
      <c r="Q261" s="678"/>
      <c r="R261" s="678"/>
      <c r="S261" s="678"/>
      <c r="T261" s="678"/>
      <c r="U261" s="678"/>
      <c r="V261" s="678"/>
      <c r="W261" s="678"/>
      <c r="X261" s="678"/>
      <c r="Y261" s="678"/>
      <c r="Z261" s="678"/>
      <c r="AA261" s="678"/>
      <c r="AB261" s="678"/>
      <c r="AC261" s="678"/>
      <c r="AD261" s="678"/>
      <c r="AE261" s="678"/>
      <c r="AF261" s="678"/>
      <c r="AG261" s="678"/>
      <c r="AH261" s="678"/>
      <c r="AI261" s="678"/>
      <c r="AJ261" s="678"/>
      <c r="AK261" s="678"/>
      <c r="AL261" s="678"/>
      <c r="AM261" s="678"/>
      <c r="AN261" s="678"/>
      <c r="AO261" s="678"/>
      <c r="AP261" s="678"/>
      <c r="AS261" s="672"/>
      <c r="AU261" s="669"/>
      <c r="AV261" s="699"/>
      <c r="AW261" s="700">
        <v>1.95E-2</v>
      </c>
      <c r="AX261" s="643"/>
      <c r="AY261" s="643"/>
      <c r="AZ261" s="671"/>
      <c r="BA261" s="643"/>
      <c r="BB261" s="669"/>
    </row>
    <row r="262" spans="1:54" ht="30" customHeight="1" x14ac:dyDescent="0.2">
      <c r="A262" s="867"/>
      <c r="C262" s="679" t="str">
        <f ca="1">UPPER(INDEX(teams.a,C251,1))</f>
        <v>CARBONÁSZ</v>
      </c>
      <c r="D262" s="743"/>
      <c r="E262" s="743">
        <f ca="1">IF(E254,"",VLOOKUP($C262,OFFSET(ASZ!$AB$42,E253,IF(E255,-4,-3),12,12),IF(E255,12,11),FALSE))</f>
        <v>42088</v>
      </c>
      <c r="F262" s="743">
        <f ca="1">IF(F254,"",VLOOKUP($C262,OFFSET(ASZ!$AB$42,F253,IF(F255,-4,-3),12,12),IF(F255,12,11),FALSE))</f>
        <v>42095</v>
      </c>
      <c r="G262" s="743">
        <f ca="1">IF(G254,"",VLOOKUP($C262,OFFSET(ASZ!$AB$42,G253,IF(G255,-4,-3),12,12),IF(G255,12,11),FALSE))</f>
        <v>42102</v>
      </c>
      <c r="H262" s="743">
        <f ca="1">IF(H254,"",VLOOKUP($C262,OFFSET(ASZ!$AB$42,H253,IF(H255,-4,-3),12,12),IF(H255,12,11),FALSE))</f>
        <v>42109</v>
      </c>
      <c r="I262" s="743">
        <f ca="1">IF(I254,"",VLOOKUP($C262,OFFSET(ASZ!$AB$42,I253,IF(I255,-4,-3),12,12),IF(I255,12,11),FALSE))</f>
        <v>42116</v>
      </c>
      <c r="J262" s="743">
        <f ca="1">IF(J254,"",VLOOKUP($C262,OFFSET(ASZ!$AB$42,J253,IF(J255,-4,-3),12,12),IF(J255,12,11),FALSE))</f>
        <v>42123</v>
      </c>
      <c r="K262" s="743">
        <f ca="1">IF(K254,"",VLOOKUP($C262,OFFSET(ASZ!$AB$42,K253,IF(K255,-4,-3),12,12),IF(K255,12,11),FALSE))</f>
        <v>42130</v>
      </c>
      <c r="L262" s="743">
        <f ca="1">IF(L254,"",VLOOKUP($C262,OFFSET(ASZ!$AB$42,L253,IF(L255,-4,-3),12,12),IF(L255,12,11),FALSE))</f>
        <v>42137</v>
      </c>
      <c r="M262" s="743">
        <f ca="1">IF(M254,"",VLOOKUP($C262,OFFSET(ASZ!$AB$42,M253,IF(M255,-4,-3),12,12),IF(M255,12,11),FALSE))</f>
        <v>42144</v>
      </c>
      <c r="N262" s="743">
        <f ca="1">IF(N254,"",VLOOKUP($C262,OFFSET(ASZ!$AB$42,N253,IF(N255,-4,-3),12,12),IF(N255,12,11),FALSE))</f>
        <v>42151</v>
      </c>
      <c r="O262" s="743">
        <f ca="1">IF(O254,"",VLOOKUP($C262,OFFSET(ASZ!$AB$42,O253,IF(O255,-4,-3),12,12),IF(O255,12,11),FALSE))</f>
        <v>42158</v>
      </c>
      <c r="P262" s="743">
        <f ca="1">IF(P254,"",VLOOKUP($C262,OFFSET(ASZ!$AB$42,P253,IF(P255,-4,-3),12,12),IF(P255,12,11),FALSE))</f>
        <v>42165</v>
      </c>
      <c r="Q262" s="743">
        <f ca="1">IF(Q254,"",VLOOKUP($C262,OFFSET(ASZ!$AB$42,Q253,IF(Q255,-4,-3),12,12),IF(Q255,12,11),FALSE))</f>
        <v>42172</v>
      </c>
      <c r="R262" s="743">
        <f ca="1">IF(R254,"",VLOOKUP($C262,OFFSET(ASZ!$AB$42,R253,IF(R255,-4,-3),12,12),IF(R255,12,11),FALSE))</f>
        <v>42179</v>
      </c>
      <c r="S262" s="743">
        <f ca="1">IF(S254,"",VLOOKUP($C262,OFFSET(ASZ!$AB$42,S253,IF(S255,-4,-3),12,12),IF(S255,12,11),FALSE))</f>
        <v>42242</v>
      </c>
      <c r="T262" s="743">
        <f ca="1">IF(T254,"",VLOOKUP($C262,OFFSET(ASZ!$AB$42,T253,IF(T255,-4,-3),12,12),IF(T255,12,11),FALSE))</f>
        <v>42249</v>
      </c>
      <c r="U262" s="743">
        <f ca="1">IF(U254,"",VLOOKUP($C262,OFFSET(ASZ!$AB$42,U253,IF(U255,-4,-3),12,12),IF(U255,12,11),FALSE))</f>
        <v>42256</v>
      </c>
      <c r="V262" s="743">
        <f ca="1">IF(V254,"",VLOOKUP($C262,OFFSET(ASZ!$AB$42,V253,IF(V255,-4,-3),12,12),IF(V255,12,11),FALSE))</f>
        <v>42263</v>
      </c>
      <c r="W262" s="743">
        <f ca="1">IF(W254,"",VLOOKUP($C262,OFFSET(ASZ!$AB$42,W253,IF(W255,-4,-3),12,12),IF(W255,12,11),FALSE))</f>
        <v>42270</v>
      </c>
      <c r="X262" s="743">
        <f ca="1">IF(X254,"",VLOOKUP($C262,OFFSET(ASZ!$AB$42,X253,IF(X255,-4,-3),12,12),IF(X255,12,11),FALSE))</f>
        <v>42277</v>
      </c>
      <c r="Y262" s="743">
        <f ca="1">IF(Y254,"",VLOOKUP($C262,OFFSET(ASZ!$AB$42,Y253,IF(Y255,-4,-3),12,12),IF(Y255,12,11),FALSE))</f>
        <v>42284</v>
      </c>
      <c r="Z262" s="743">
        <f ca="1">IF(Z254,"",VLOOKUP($C262,OFFSET(ASZ!$AB$42,Z253,IF(Z255,-4,-3),12,12),IF(Z255,12,11),FALSE))</f>
        <v>42291</v>
      </c>
      <c r="AA262" s="743">
        <f ca="1">IF(AA254,"",VLOOKUP($C262,OFFSET(RCSOP!$AF$56,AA253,IF(AA255,-4,-3),14,12),IF(AA255,12,11),FALSE))</f>
        <v>42298</v>
      </c>
      <c r="AB262" s="743">
        <f ca="1">IF(AB254,"",VLOOKUP($C262,OFFSET(RCSOP!$AF$56,AB253,IF(AB255,-4,-3),14,12),IF(AB255,12,11),FALSE))</f>
        <v>42305</v>
      </c>
      <c r="AC262" s="743">
        <f ca="1">IF(AC254,"",VLOOKUP($C262,OFFSET(RCSOP!$AF$56,AC253,IF(AC255,-4,-3),14,12),IF(AC255,12,11),FALSE))</f>
        <v>42312</v>
      </c>
      <c r="AD262" s="743">
        <f ca="1">IF(AD254,"",VLOOKUP($C262,OFFSET(RCSOP!$AF$56,AD253,IF(AD255,-4,-3),14,12),IF(AD255,12,11),FALSE))</f>
        <v>42319</v>
      </c>
      <c r="AE262" s="743">
        <f ca="1">IF(AE254,"",VLOOKUP($C262,OFFSET(RCSOP!$AF$56,AE253,IF(AE255,-4,-3),14,12),IF(AE255,12,11),FALSE))</f>
        <v>42326</v>
      </c>
      <c r="AF262" s="743"/>
      <c r="AG262" s="743"/>
      <c r="AH262" s="743"/>
      <c r="AI262" s="743"/>
      <c r="AJ262" s="743"/>
      <c r="AK262" s="743"/>
      <c r="AL262" s="743"/>
      <c r="AM262" s="743"/>
      <c r="AN262" s="743"/>
      <c r="AO262" s="743"/>
      <c r="AP262" s="869" t="s">
        <v>518</v>
      </c>
      <c r="AV262" s="699"/>
      <c r="AW262" s="700">
        <v>1.9599999999999999E-2</v>
      </c>
    </row>
    <row r="263" spans="1:54" ht="12.75" customHeight="1" x14ac:dyDescent="0.2">
      <c r="A263" s="867"/>
      <c r="C263" s="224"/>
      <c r="D263" s="224" t="s">
        <v>519</v>
      </c>
      <c r="E263" s="692">
        <f ca="1">IF(E254,"",VLOOKUP($C262,OFFSET(ASZ!$AB$42,E253,IF(E255,-4,-3),12,3),3,FALSE))</f>
        <v>1</v>
      </c>
      <c r="F263" s="692">
        <f ca="1">IF(F254,"",VLOOKUP($C262,OFFSET(ASZ!$AB$42,F253,IF(F255,-4,-3),12,3),3,FALSE))</f>
        <v>1</v>
      </c>
      <c r="G263" s="692">
        <f ca="1">IF(G254,"",VLOOKUP($C262,OFFSET(ASZ!$AB$42,G253,IF(G255,-4,-3),12,3),3,FALSE))</f>
        <v>3</v>
      </c>
      <c r="H263" s="692">
        <f ca="1">IF(H254,"",VLOOKUP($C262,OFFSET(ASZ!$AB$42,H253,IF(H255,-4,-3),12,3),3,FALSE))</f>
        <v>2</v>
      </c>
      <c r="I263" s="692">
        <f ca="1">IF(I254,"",VLOOKUP($C262,OFFSET(ASZ!$AB$42,I253,IF(I255,-4,-3),12,3),3,FALSE))</f>
        <v>4</v>
      </c>
      <c r="J263" s="692">
        <f ca="1">IF(J254,"",VLOOKUP($C262,OFFSET(ASZ!$AB$42,J253,IF(J255,-4,-3),12,3),3,FALSE))</f>
        <v>2</v>
      </c>
      <c r="K263" s="692">
        <f ca="1">IF(K254,"",VLOOKUP($C262,OFFSET(ASZ!$AB$42,K253,IF(K255,-4,-3),12,3),3,FALSE))</f>
        <v>0</v>
      </c>
      <c r="L263" s="692">
        <f ca="1">IF(L254,"",VLOOKUP($C262,OFFSET(ASZ!$AB$42,L253,IF(L255,-4,-3),12,3),3,FALSE))</f>
        <v>1</v>
      </c>
      <c r="M263" s="692">
        <f ca="1">IF(M254,"",VLOOKUP($C262,OFFSET(ASZ!$AB$42,M253,IF(M255,-4,-3),12,3),3,FALSE))</f>
        <v>3</v>
      </c>
      <c r="N263" s="692">
        <f ca="1">IF(N254,"",VLOOKUP($C262,OFFSET(ASZ!$AB$42,N253,IF(N255,-4,-3),12,3),3,FALSE))</f>
        <v>3</v>
      </c>
      <c r="O263" s="692" t="str">
        <f ca="1">IF(O254,"",VLOOKUP($C262,OFFSET(ASZ!$AB$42,O253,IF(O255,-4,-3),12,3),3,FALSE))</f>
        <v/>
      </c>
      <c r="P263" s="692">
        <f ca="1">IF(P254,"",VLOOKUP($C262,OFFSET(ASZ!$AB$42,P253,IF(P255,-4,-3),12,3),3,FALSE))</f>
        <v>0</v>
      </c>
      <c r="Q263" s="692">
        <f ca="1">IF(Q254,"",VLOOKUP($C262,OFFSET(ASZ!$AB$42,Q253,IF(Q255,-4,-3),12,3),3,FALSE))</f>
        <v>1</v>
      </c>
      <c r="R263" s="692">
        <f ca="1">IF(R254,"",VLOOKUP($C262,OFFSET(ASZ!$AB$42,R253,IF(R255,-4,-3),12,3),3,FALSE))</f>
        <v>4</v>
      </c>
      <c r="S263" s="692">
        <f ca="1">IF(S254,"",VLOOKUP($C262,OFFSET(ASZ!$AB$42,S253,IF(S255,-4,-3),12,3),3,FALSE))</f>
        <v>3</v>
      </c>
      <c r="T263" s="692">
        <f ca="1">IF(T254,"",VLOOKUP($C262,OFFSET(ASZ!$AB$42,T253,IF(T255,-4,-3),12,3),3,FALSE))</f>
        <v>4</v>
      </c>
      <c r="U263" s="692">
        <f ca="1">IF(U254,"",VLOOKUP($C262,OFFSET(ASZ!$AB$42,U253,IF(U255,-4,-3),12,3),3,FALSE))</f>
        <v>2</v>
      </c>
      <c r="V263" s="692">
        <f ca="1">IF(V254,"",VLOOKUP($C262,OFFSET(ASZ!$AB$42,V253,IF(V255,-4,-3),12,3),3,FALSE))</f>
        <v>3</v>
      </c>
      <c r="W263" s="692">
        <f ca="1">IF(W254,"",VLOOKUP($C262,OFFSET(ASZ!$AB$42,W253,IF(W255,-4,-3),12,3),3,FALSE))</f>
        <v>2</v>
      </c>
      <c r="X263" s="692">
        <f ca="1">IF(X254,"",VLOOKUP($C262,OFFSET(ASZ!$AB$42,X253,IF(X255,-4,-3),12,3),3,FALSE))</f>
        <v>0</v>
      </c>
      <c r="Y263" s="692">
        <f ca="1">IF(Y254,"",VLOOKUP($C262,OFFSET(ASZ!$AB$42,Y253,IF(Y255,-4,-3),12,3),3,FALSE))</f>
        <v>5</v>
      </c>
      <c r="Z263" s="692" t="str">
        <f ca="1">IF(Z254,"",VLOOKUP($C262,OFFSET(ASZ!$AB$42,Z253,IF(Z255,-4,-3),12,3),3,FALSE))</f>
        <v/>
      </c>
      <c r="AA263" s="692">
        <f ca="1">IF(AA254,"",VLOOKUP($C262,OFFSET(RCSOP!$AF$56,AA253,IF(AA255,-4,-3),14,3),3,FALSE))</f>
        <v>1</v>
      </c>
      <c r="AB263" s="692" t="str">
        <f ca="1">IF(AB254,"",VLOOKUP($C262,OFFSET(RCSOP!$AF$56,AB253,IF(AB255,-4,-3),14,3),3,FALSE))</f>
        <v/>
      </c>
      <c r="AC263" s="692">
        <f ca="1">IF(AC254,"",VLOOKUP($C262,OFFSET(RCSOP!$AF$56,AC253,IF(AC255,-4,-3),14,3),3,FALSE))</f>
        <v>2</v>
      </c>
      <c r="AD263" s="692">
        <f ca="1">IF(AD254,"",VLOOKUP($C262,OFFSET(RCSOP!$AF$56,AD253,IF(AD255,-4,-3),14,3),3,FALSE))</f>
        <v>1</v>
      </c>
      <c r="AE263" s="692">
        <f ca="1">IF(AE254,"",VLOOKUP($C262,OFFSET(RCSOP!$AF$56,AE253,IF(AE255,-4,-3),14,3),3,FALSE))</f>
        <v>2</v>
      </c>
      <c r="AF263" s="692"/>
      <c r="AG263" s="692"/>
      <c r="AH263" s="692"/>
      <c r="AI263" s="692"/>
      <c r="AJ263" s="692"/>
      <c r="AK263" s="692"/>
      <c r="AL263" s="692"/>
      <c r="AM263" s="692"/>
      <c r="AN263" s="692"/>
      <c r="AO263" s="692"/>
      <c r="AP263" s="869"/>
      <c r="AQ263" s="683">
        <f ca="1">IF(SUM(D263:AO263)=0,"",SUM(D263:AO263))</f>
        <v>50</v>
      </c>
      <c r="AV263" s="699"/>
      <c r="AW263" s="700">
        <v>1.9699999999999999E-2</v>
      </c>
    </row>
    <row r="264" spans="1:54" ht="12.75" customHeight="1" x14ac:dyDescent="0.2">
      <c r="A264" s="867"/>
      <c r="C264" s="737"/>
      <c r="D264" s="737" t="s">
        <v>520</v>
      </c>
      <c r="E264" s="739"/>
      <c r="F264" s="740"/>
      <c r="G264" s="740"/>
      <c r="H264" s="740"/>
      <c r="I264" s="740"/>
      <c r="J264" s="740"/>
      <c r="K264" s="740"/>
      <c r="L264" s="740"/>
      <c r="M264" s="740"/>
      <c r="N264" s="740"/>
      <c r="O264" s="740"/>
      <c r="P264" s="740"/>
      <c r="Q264" s="740"/>
      <c r="R264" s="740"/>
      <c r="S264" s="740"/>
      <c r="T264" s="740"/>
      <c r="U264" s="740"/>
      <c r="V264" s="740"/>
      <c r="W264" s="740"/>
      <c r="X264" s="740"/>
      <c r="Y264" s="740"/>
      <c r="Z264" s="740"/>
      <c r="AA264" s="740"/>
      <c r="AB264" s="740"/>
      <c r="AC264" s="740"/>
      <c r="AD264" s="740"/>
      <c r="AE264" s="740"/>
      <c r="AF264" s="740"/>
      <c r="AG264" s="740"/>
      <c r="AH264" s="740"/>
      <c r="AI264" s="740"/>
      <c r="AJ264" s="740"/>
      <c r="AK264" s="740"/>
      <c r="AL264" s="740"/>
      <c r="AM264" s="740"/>
      <c r="AN264" s="740"/>
      <c r="AO264" s="741"/>
      <c r="AP264" s="869"/>
      <c r="AQ264" s="762" t="str">
        <f>IF(SUM(D264:AP264)=0,"",SUM(D264:AP264))</f>
        <v/>
      </c>
      <c r="AV264" s="699"/>
      <c r="AW264" s="700">
        <v>1.9800000000000002E-2</v>
      </c>
    </row>
    <row r="265" spans="1:54" ht="12.75" customHeight="1" x14ac:dyDescent="0.2">
      <c r="A265" s="867"/>
      <c r="C265" s="738"/>
      <c r="D265" s="738" t="s">
        <v>521</v>
      </c>
      <c r="E265" s="742" t="str">
        <f t="shared" ref="E265:AE265" ca="1" si="25">IF(E263="","",IF(SUM(E267:E296)+E264=E263,"–",SUM(E267:E296)+E264-E263))</f>
        <v>–</v>
      </c>
      <c r="F265" s="742" t="str">
        <f t="shared" ca="1" si="25"/>
        <v>–</v>
      </c>
      <c r="G265" s="742" t="str">
        <f t="shared" ca="1" si="25"/>
        <v>–</v>
      </c>
      <c r="H265" s="742" t="str">
        <f t="shared" ca="1" si="25"/>
        <v>–</v>
      </c>
      <c r="I265" s="742" t="str">
        <f t="shared" ca="1" si="25"/>
        <v>–</v>
      </c>
      <c r="J265" s="742" t="str">
        <f t="shared" ca="1" si="25"/>
        <v>–</v>
      </c>
      <c r="K265" s="742" t="str">
        <f t="shared" ca="1" si="25"/>
        <v>–</v>
      </c>
      <c r="L265" s="742" t="str">
        <f t="shared" ca="1" si="25"/>
        <v>–</v>
      </c>
      <c r="M265" s="742" t="str">
        <f t="shared" ca="1" si="25"/>
        <v>–</v>
      </c>
      <c r="N265" s="742" t="str">
        <f t="shared" ca="1" si="25"/>
        <v>–</v>
      </c>
      <c r="O265" s="742" t="str">
        <f t="shared" ca="1" si="25"/>
        <v/>
      </c>
      <c r="P265" s="742" t="str">
        <f t="shared" ca="1" si="25"/>
        <v>–</v>
      </c>
      <c r="Q265" s="742" t="str">
        <f t="shared" ca="1" si="25"/>
        <v>–</v>
      </c>
      <c r="R265" s="742" t="str">
        <f t="shared" ca="1" si="25"/>
        <v>–</v>
      </c>
      <c r="S265" s="742" t="str">
        <f t="shared" ca="1" si="25"/>
        <v>–</v>
      </c>
      <c r="T265" s="742" t="str">
        <f t="shared" ca="1" si="25"/>
        <v>–</v>
      </c>
      <c r="U265" s="742" t="str">
        <f t="shared" ca="1" si="25"/>
        <v>–</v>
      </c>
      <c r="V265" s="742" t="str">
        <f t="shared" ca="1" si="25"/>
        <v>–</v>
      </c>
      <c r="W265" s="742" t="str">
        <f t="shared" ca="1" si="25"/>
        <v>–</v>
      </c>
      <c r="X265" s="742" t="str">
        <f t="shared" ca="1" si="25"/>
        <v>–</v>
      </c>
      <c r="Y265" s="742" t="str">
        <f t="shared" ca="1" si="25"/>
        <v>–</v>
      </c>
      <c r="Z265" s="742" t="str">
        <f t="shared" ca="1" si="25"/>
        <v/>
      </c>
      <c r="AA265" s="742" t="str">
        <f t="shared" ca="1" si="25"/>
        <v>–</v>
      </c>
      <c r="AB265" s="742" t="str">
        <f t="shared" ca="1" si="25"/>
        <v/>
      </c>
      <c r="AC265" s="742" t="str">
        <f t="shared" ca="1" si="25"/>
        <v>–</v>
      </c>
      <c r="AD265" s="742" t="str">
        <f t="shared" ca="1" si="25"/>
        <v>–</v>
      </c>
      <c r="AE265" s="742" t="str">
        <f t="shared" ca="1" si="25"/>
        <v>–</v>
      </c>
      <c r="AF265" s="742"/>
      <c r="AG265" s="742"/>
      <c r="AH265" s="742"/>
      <c r="AI265" s="742"/>
      <c r="AJ265" s="742"/>
      <c r="AK265" s="742"/>
      <c r="AL265" s="742"/>
      <c r="AM265" s="742"/>
      <c r="AN265" s="742"/>
      <c r="AO265" s="742"/>
      <c r="AP265" s="691" t="s">
        <v>522</v>
      </c>
      <c r="AS265" s="761" t="s">
        <v>285</v>
      </c>
      <c r="AV265" s="699"/>
      <c r="AW265" s="700">
        <v>1.9900000000000001E-2</v>
      </c>
    </row>
    <row r="266" spans="1:54" ht="4.5" customHeight="1" x14ac:dyDescent="0.2">
      <c r="A266" s="867"/>
      <c r="AV266" s="699"/>
      <c r="AW266" s="700">
        <v>0.02</v>
      </c>
    </row>
    <row r="267" spans="1:54" ht="12.75" customHeight="1" x14ac:dyDescent="0.2">
      <c r="A267" s="867"/>
      <c r="C267" s="755" t="s">
        <v>613</v>
      </c>
      <c r="D267" s="756">
        <v>2</v>
      </c>
      <c r="E267" s="746"/>
      <c r="F267" s="695"/>
      <c r="G267" s="695">
        <v>1</v>
      </c>
      <c r="H267" s="695"/>
      <c r="I267" s="695">
        <v>1</v>
      </c>
      <c r="J267" s="695"/>
      <c r="K267" s="695"/>
      <c r="L267" s="695"/>
      <c r="M267" s="695"/>
      <c r="N267" s="695">
        <v>1</v>
      </c>
      <c r="O267" s="695"/>
      <c r="P267" s="695"/>
      <c r="Q267" s="695"/>
      <c r="R267" s="695">
        <v>1</v>
      </c>
      <c r="S267" s="695"/>
      <c r="T267" s="695"/>
      <c r="U267" s="695"/>
      <c r="V267" s="695"/>
      <c r="W267" s="695"/>
      <c r="X267" s="695"/>
      <c r="Y267" s="695"/>
      <c r="Z267" s="695"/>
      <c r="AA267" s="695"/>
      <c r="AB267" s="695"/>
      <c r="AC267" s="695"/>
      <c r="AD267" s="695"/>
      <c r="AE267" s="695">
        <v>1</v>
      </c>
      <c r="AF267" s="695"/>
      <c r="AG267" s="695"/>
      <c r="AH267" s="695"/>
      <c r="AI267" s="695"/>
      <c r="AJ267" s="695"/>
      <c r="AK267" s="695"/>
      <c r="AL267" s="695"/>
      <c r="AM267" s="695"/>
      <c r="AN267" s="695"/>
      <c r="AO267" s="696"/>
      <c r="AP267" s="697"/>
      <c r="AQ267" s="763">
        <f>IF(SUM(E267:AP267)=0,"",SUM(E267:AP267))</f>
        <v>5</v>
      </c>
      <c r="AS267" s="267"/>
      <c r="AV267" s="699"/>
      <c r="AW267" s="700">
        <v>2.01E-2</v>
      </c>
      <c r="AX267" s="382">
        <f t="shared" ref="AX267:AX296" si="26">IF(OR(C267="",AQ267=""),0,AQ267+AW267)</f>
        <v>5.0201000000000002</v>
      </c>
      <c r="AY267" s="379" t="str">
        <f ca="1">C262</f>
        <v>CARBONÁSZ</v>
      </c>
      <c r="AZ267" s="384" t="str">
        <f t="shared" ref="AZ267:AZ296" si="27">C267</f>
        <v>Hornyák Endre</v>
      </c>
      <c r="BA267" s="642"/>
    </row>
    <row r="268" spans="1:54" ht="12.75" customHeight="1" x14ac:dyDescent="0.2">
      <c r="A268" s="867"/>
      <c r="C268" s="758" t="s">
        <v>723</v>
      </c>
      <c r="D268" s="757">
        <v>4</v>
      </c>
      <c r="E268" s="747"/>
      <c r="F268" s="703"/>
      <c r="G268" s="703"/>
      <c r="H268" s="703"/>
      <c r="I268" s="703"/>
      <c r="J268" s="703"/>
      <c r="K268" s="703"/>
      <c r="L268" s="703"/>
      <c r="M268" s="703"/>
      <c r="N268" s="703"/>
      <c r="O268" s="703"/>
      <c r="P268" s="703"/>
      <c r="Q268" s="703">
        <v>1</v>
      </c>
      <c r="R268" s="703">
        <v>1</v>
      </c>
      <c r="S268" s="703"/>
      <c r="T268" s="703">
        <v>1</v>
      </c>
      <c r="U268" s="703"/>
      <c r="V268" s="703"/>
      <c r="W268" s="703"/>
      <c r="X268" s="703"/>
      <c r="Y268" s="703">
        <v>1</v>
      </c>
      <c r="Z268" s="703"/>
      <c r="AA268" s="703"/>
      <c r="AB268" s="703"/>
      <c r="AC268" s="703"/>
      <c r="AD268" s="703"/>
      <c r="AE268" s="703">
        <v>1</v>
      </c>
      <c r="AF268" s="703"/>
      <c r="AG268" s="703"/>
      <c r="AH268" s="703"/>
      <c r="AI268" s="703"/>
      <c r="AJ268" s="703"/>
      <c r="AK268" s="703"/>
      <c r="AL268" s="703"/>
      <c r="AM268" s="703"/>
      <c r="AN268" s="703"/>
      <c r="AO268" s="704"/>
      <c r="AP268" s="705"/>
      <c r="AQ268" s="763">
        <f t="shared" ref="AQ268:AQ296" si="28">IF(SUM(E268:AP268)=0,"",SUM(E268:AP268))</f>
        <v>5</v>
      </c>
      <c r="AS268" s="268"/>
      <c r="AV268" s="699"/>
      <c r="AW268" s="700">
        <v>2.0199999999999999E-2</v>
      </c>
      <c r="AX268" s="382">
        <f t="shared" si="26"/>
        <v>5.0202</v>
      </c>
      <c r="AY268" s="379" t="str">
        <f t="shared" ref="AY268:AY296" ca="1" si="29">AY267</f>
        <v>CARBONÁSZ</v>
      </c>
      <c r="AZ268" s="384" t="str">
        <f t="shared" si="27"/>
        <v>Carbonász ismeretlen 4-es</v>
      </c>
      <c r="BA268" s="642"/>
    </row>
    <row r="269" spans="1:54" ht="12.75" customHeight="1" x14ac:dyDescent="0.2">
      <c r="A269" s="867"/>
      <c r="C269" s="758" t="s">
        <v>614</v>
      </c>
      <c r="D269" s="757">
        <v>6</v>
      </c>
      <c r="E269" s="747"/>
      <c r="F269" s="703"/>
      <c r="G269" s="703">
        <v>1</v>
      </c>
      <c r="H269" s="703">
        <v>2</v>
      </c>
      <c r="I269" s="703">
        <v>1</v>
      </c>
      <c r="J269" s="703"/>
      <c r="K269" s="703"/>
      <c r="L269" s="703"/>
      <c r="M269" s="703">
        <v>2</v>
      </c>
      <c r="N269" s="703"/>
      <c r="O269" s="703"/>
      <c r="P269" s="703"/>
      <c r="Q269" s="703"/>
      <c r="R269" s="703">
        <v>1</v>
      </c>
      <c r="S269" s="703"/>
      <c r="T269" s="703"/>
      <c r="U269" s="703">
        <v>1</v>
      </c>
      <c r="V269" s="703"/>
      <c r="W269" s="703"/>
      <c r="X269" s="703"/>
      <c r="Y269" s="703"/>
      <c r="Z269" s="703"/>
      <c r="AA269" s="703"/>
      <c r="AB269" s="703"/>
      <c r="AC269" s="703"/>
      <c r="AD269" s="703"/>
      <c r="AE269" s="703"/>
      <c r="AF269" s="703"/>
      <c r="AG269" s="703"/>
      <c r="AH269" s="703"/>
      <c r="AI269" s="703"/>
      <c r="AJ269" s="703"/>
      <c r="AK269" s="703"/>
      <c r="AL269" s="703"/>
      <c r="AM269" s="703"/>
      <c r="AN269" s="703"/>
      <c r="AO269" s="704"/>
      <c r="AP269" s="705"/>
      <c r="AQ269" s="763">
        <f t="shared" si="28"/>
        <v>8</v>
      </c>
      <c r="AS269" s="268"/>
      <c r="AV269" s="699"/>
      <c r="AW269" s="700">
        <v>2.0299999999999999E-2</v>
      </c>
      <c r="AX269" s="382">
        <f t="shared" si="26"/>
        <v>8.0203000000000007</v>
      </c>
      <c r="AY269" s="379" t="str">
        <f t="shared" ca="1" si="29"/>
        <v>CARBONÁSZ</v>
      </c>
      <c r="AZ269" s="384" t="str">
        <f t="shared" si="27"/>
        <v>Tokár Zoltán</v>
      </c>
      <c r="BA269" s="642"/>
    </row>
    <row r="270" spans="1:54" ht="12.75" customHeight="1" x14ac:dyDescent="0.2">
      <c r="A270" s="867"/>
      <c r="C270" s="758" t="s">
        <v>724</v>
      </c>
      <c r="D270" s="757">
        <v>7</v>
      </c>
      <c r="E270" s="747"/>
      <c r="F270" s="703"/>
      <c r="G270" s="703"/>
      <c r="H270" s="703"/>
      <c r="I270" s="703"/>
      <c r="J270" s="703"/>
      <c r="K270" s="703"/>
      <c r="L270" s="703"/>
      <c r="M270" s="703">
        <v>1</v>
      </c>
      <c r="N270" s="703"/>
      <c r="O270" s="703"/>
      <c r="P270" s="703"/>
      <c r="Q270" s="703"/>
      <c r="R270" s="703"/>
      <c r="S270" s="703">
        <v>1</v>
      </c>
      <c r="T270" s="703"/>
      <c r="U270" s="703"/>
      <c r="V270" s="703">
        <v>2</v>
      </c>
      <c r="W270" s="703"/>
      <c r="X270" s="703"/>
      <c r="Y270" s="703"/>
      <c r="Z270" s="703"/>
      <c r="AA270" s="703"/>
      <c r="AB270" s="703"/>
      <c r="AC270" s="703"/>
      <c r="AD270" s="703"/>
      <c r="AE270" s="703"/>
      <c r="AF270" s="703"/>
      <c r="AG270" s="703"/>
      <c r="AH270" s="703"/>
      <c r="AI270" s="703"/>
      <c r="AJ270" s="703"/>
      <c r="AK270" s="703"/>
      <c r="AL270" s="703"/>
      <c r="AM270" s="703"/>
      <c r="AN270" s="703"/>
      <c r="AO270" s="704"/>
      <c r="AP270" s="705"/>
      <c r="AQ270" s="763">
        <f t="shared" si="28"/>
        <v>4</v>
      </c>
      <c r="AS270" s="268"/>
      <c r="AV270" s="699"/>
      <c r="AW270" s="700">
        <v>2.0400000000000001E-2</v>
      </c>
      <c r="AX270" s="382">
        <f t="shared" si="26"/>
        <v>4.0204000000000004</v>
      </c>
      <c r="AY270" s="379" t="str">
        <f t="shared" ca="1" si="29"/>
        <v>CARBONÁSZ</v>
      </c>
      <c r="AZ270" s="384" t="str">
        <f t="shared" si="27"/>
        <v>Carbonász ismeretlen 7-es</v>
      </c>
      <c r="BA270" s="642"/>
    </row>
    <row r="271" spans="1:54" ht="12.75" customHeight="1" x14ac:dyDescent="0.2">
      <c r="A271" s="867"/>
      <c r="C271" s="758" t="s">
        <v>615</v>
      </c>
      <c r="D271" s="757">
        <v>8</v>
      </c>
      <c r="E271" s="747"/>
      <c r="F271" s="703">
        <v>1</v>
      </c>
      <c r="G271" s="703"/>
      <c r="H271" s="703"/>
      <c r="I271" s="703">
        <v>1</v>
      </c>
      <c r="J271" s="703">
        <v>1</v>
      </c>
      <c r="K271" s="703"/>
      <c r="L271" s="703"/>
      <c r="M271" s="703"/>
      <c r="N271" s="703">
        <v>1</v>
      </c>
      <c r="O271" s="703"/>
      <c r="P271" s="703"/>
      <c r="Q271" s="703"/>
      <c r="R271" s="703">
        <v>1</v>
      </c>
      <c r="S271" s="703">
        <v>2</v>
      </c>
      <c r="T271" s="703">
        <v>1</v>
      </c>
      <c r="U271" s="703">
        <v>1</v>
      </c>
      <c r="V271" s="703">
        <v>1</v>
      </c>
      <c r="W271" s="703">
        <v>2</v>
      </c>
      <c r="X271" s="703"/>
      <c r="Y271" s="703">
        <v>1</v>
      </c>
      <c r="Z271" s="703"/>
      <c r="AA271" s="703"/>
      <c r="AB271" s="703"/>
      <c r="AC271" s="703"/>
      <c r="AD271" s="703"/>
      <c r="AE271" s="703"/>
      <c r="AF271" s="703"/>
      <c r="AG271" s="703"/>
      <c r="AH271" s="703"/>
      <c r="AI271" s="703"/>
      <c r="AJ271" s="703"/>
      <c r="AK271" s="703"/>
      <c r="AL271" s="703"/>
      <c r="AM271" s="703"/>
      <c r="AN271" s="703"/>
      <c r="AO271" s="704"/>
      <c r="AP271" s="705"/>
      <c r="AQ271" s="763">
        <f t="shared" si="28"/>
        <v>13</v>
      </c>
      <c r="AS271" s="268"/>
      <c r="AV271" s="699"/>
      <c r="AW271" s="700">
        <v>2.0500000000000001E-2</v>
      </c>
      <c r="AX271" s="382">
        <f t="shared" si="26"/>
        <v>13.0205</v>
      </c>
      <c r="AY271" s="379" t="str">
        <f t="shared" ca="1" si="29"/>
        <v>CARBONÁSZ</v>
      </c>
      <c r="AZ271" s="384" t="str">
        <f t="shared" si="27"/>
        <v>Oláh Sándor</v>
      </c>
      <c r="BA271" s="642"/>
    </row>
    <row r="272" spans="1:54" ht="12.75" customHeight="1" x14ac:dyDescent="0.2">
      <c r="A272" s="867"/>
      <c r="C272" s="758" t="s">
        <v>616</v>
      </c>
      <c r="D272" s="757">
        <v>9</v>
      </c>
      <c r="E272" s="747"/>
      <c r="F272" s="703"/>
      <c r="G272" s="703"/>
      <c r="H272" s="703"/>
      <c r="I272" s="703"/>
      <c r="J272" s="703"/>
      <c r="K272" s="703"/>
      <c r="L272" s="703">
        <v>1</v>
      </c>
      <c r="M272" s="703"/>
      <c r="N272" s="703"/>
      <c r="O272" s="703"/>
      <c r="P272" s="703"/>
      <c r="Q272" s="703"/>
      <c r="R272" s="703"/>
      <c r="S272" s="703"/>
      <c r="T272" s="703">
        <v>2</v>
      </c>
      <c r="U272" s="703"/>
      <c r="V272" s="703"/>
      <c r="W272" s="703"/>
      <c r="X272" s="703"/>
      <c r="Y272" s="703">
        <v>1</v>
      </c>
      <c r="Z272" s="703"/>
      <c r="AA272" s="703"/>
      <c r="AB272" s="703"/>
      <c r="AC272" s="703"/>
      <c r="AD272" s="703"/>
      <c r="AE272" s="703"/>
      <c r="AF272" s="703"/>
      <c r="AG272" s="703"/>
      <c r="AH272" s="703"/>
      <c r="AI272" s="703"/>
      <c r="AJ272" s="703"/>
      <c r="AK272" s="703"/>
      <c r="AL272" s="703"/>
      <c r="AM272" s="703"/>
      <c r="AN272" s="703"/>
      <c r="AO272" s="704"/>
      <c r="AP272" s="705"/>
      <c r="AQ272" s="763">
        <f t="shared" si="28"/>
        <v>4</v>
      </c>
      <c r="AS272" s="268"/>
      <c r="AV272" s="699"/>
      <c r="AW272" s="700">
        <v>2.06E-2</v>
      </c>
      <c r="AX272" s="382">
        <f t="shared" si="26"/>
        <v>4.0206</v>
      </c>
      <c r="AY272" s="379" t="str">
        <f t="shared" ca="1" si="29"/>
        <v>CARBONÁSZ</v>
      </c>
      <c r="AZ272" s="384" t="str">
        <f t="shared" si="27"/>
        <v>Szabó Szabolcs</v>
      </c>
      <c r="BA272" s="642"/>
    </row>
    <row r="273" spans="1:53" ht="12.75" customHeight="1" x14ac:dyDescent="0.2">
      <c r="A273" s="867"/>
      <c r="C273" s="758" t="s">
        <v>617</v>
      </c>
      <c r="D273" s="757">
        <v>10</v>
      </c>
      <c r="E273" s="747"/>
      <c r="F273" s="703"/>
      <c r="G273" s="703">
        <v>1</v>
      </c>
      <c r="H273" s="703"/>
      <c r="I273" s="703"/>
      <c r="J273" s="703"/>
      <c r="K273" s="703"/>
      <c r="L273" s="703"/>
      <c r="M273" s="703"/>
      <c r="N273" s="703"/>
      <c r="O273" s="703"/>
      <c r="P273" s="703"/>
      <c r="Q273" s="703"/>
      <c r="R273" s="703"/>
      <c r="S273" s="703"/>
      <c r="T273" s="703"/>
      <c r="U273" s="703"/>
      <c r="V273" s="703"/>
      <c r="W273" s="703"/>
      <c r="X273" s="703"/>
      <c r="Y273" s="703"/>
      <c r="Z273" s="703"/>
      <c r="AA273" s="703">
        <v>1</v>
      </c>
      <c r="AB273" s="703"/>
      <c r="AC273" s="703">
        <v>1</v>
      </c>
      <c r="AD273" s="703"/>
      <c r="AE273" s="703"/>
      <c r="AF273" s="703"/>
      <c r="AG273" s="703"/>
      <c r="AH273" s="703"/>
      <c r="AI273" s="703"/>
      <c r="AJ273" s="703"/>
      <c r="AK273" s="703"/>
      <c r="AL273" s="703"/>
      <c r="AM273" s="703"/>
      <c r="AN273" s="703"/>
      <c r="AO273" s="704"/>
      <c r="AP273" s="705"/>
      <c r="AQ273" s="763">
        <f t="shared" si="28"/>
        <v>3</v>
      </c>
      <c r="AS273" s="268"/>
      <c r="AV273" s="699"/>
      <c r="AW273" s="700">
        <v>2.07E-2</v>
      </c>
      <c r="AX273" s="382">
        <f t="shared" si="26"/>
        <v>3.0207000000000002</v>
      </c>
      <c r="AY273" s="379" t="str">
        <f t="shared" ca="1" si="29"/>
        <v>CARBONÁSZ</v>
      </c>
      <c r="AZ273" s="384" t="str">
        <f t="shared" si="27"/>
        <v>Schutz Ferenc</v>
      </c>
      <c r="BA273" s="642"/>
    </row>
    <row r="274" spans="1:53" ht="12.75" customHeight="1" x14ac:dyDescent="0.2">
      <c r="A274" s="867"/>
      <c r="C274" s="758" t="s">
        <v>618</v>
      </c>
      <c r="D274" s="757">
        <v>11</v>
      </c>
      <c r="E274" s="747">
        <v>1</v>
      </c>
      <c r="F274" s="703"/>
      <c r="G274" s="703"/>
      <c r="H274" s="703"/>
      <c r="I274" s="703">
        <v>1</v>
      </c>
      <c r="J274" s="703">
        <v>1</v>
      </c>
      <c r="K274" s="703"/>
      <c r="L274" s="703"/>
      <c r="M274" s="703"/>
      <c r="N274" s="703">
        <v>1</v>
      </c>
      <c r="O274" s="703"/>
      <c r="P274" s="703"/>
      <c r="Q274" s="703"/>
      <c r="R274" s="703"/>
      <c r="S274" s="703"/>
      <c r="T274" s="703"/>
      <c r="U274" s="703"/>
      <c r="V274" s="703"/>
      <c r="W274" s="703"/>
      <c r="X274" s="703"/>
      <c r="Y274" s="703">
        <v>1</v>
      </c>
      <c r="Z274" s="703"/>
      <c r="AA274" s="703"/>
      <c r="AB274" s="703"/>
      <c r="AC274" s="703">
        <v>1</v>
      </c>
      <c r="AD274" s="703"/>
      <c r="AE274" s="703"/>
      <c r="AF274" s="703"/>
      <c r="AG274" s="703"/>
      <c r="AH274" s="703"/>
      <c r="AI274" s="703"/>
      <c r="AJ274" s="703"/>
      <c r="AK274" s="703"/>
      <c r="AL274" s="703"/>
      <c r="AM274" s="703"/>
      <c r="AN274" s="703"/>
      <c r="AO274" s="704"/>
      <c r="AP274" s="705"/>
      <c r="AQ274" s="763">
        <f t="shared" si="28"/>
        <v>6</v>
      </c>
      <c r="AS274" s="268"/>
      <c r="AV274" s="699"/>
      <c r="AW274" s="700">
        <v>2.0799999999999999E-2</v>
      </c>
      <c r="AX274" s="382">
        <f t="shared" si="26"/>
        <v>6.0208000000000004</v>
      </c>
      <c r="AY274" s="379" t="str">
        <f t="shared" ca="1" si="29"/>
        <v>CARBONÁSZ</v>
      </c>
      <c r="AZ274" s="384" t="str">
        <f t="shared" si="27"/>
        <v>Berényi Ádám</v>
      </c>
      <c r="BA274" s="642"/>
    </row>
    <row r="275" spans="1:53" ht="12.75" customHeight="1" x14ac:dyDescent="0.2">
      <c r="A275" s="867"/>
      <c r="C275" s="758" t="s">
        <v>683</v>
      </c>
      <c r="D275" s="757"/>
      <c r="E275" s="747"/>
      <c r="F275" s="703"/>
      <c r="G275" s="703"/>
      <c r="H275" s="703"/>
      <c r="I275" s="703"/>
      <c r="J275" s="703"/>
      <c r="K275" s="703"/>
      <c r="L275" s="703"/>
      <c r="M275" s="703"/>
      <c r="N275" s="703"/>
      <c r="O275" s="703"/>
      <c r="P275" s="703"/>
      <c r="Q275" s="703"/>
      <c r="R275" s="703"/>
      <c r="S275" s="703"/>
      <c r="T275" s="703"/>
      <c r="U275" s="703"/>
      <c r="V275" s="703"/>
      <c r="W275" s="703"/>
      <c r="X275" s="703"/>
      <c r="Y275" s="703"/>
      <c r="Z275" s="703"/>
      <c r="AA275" s="703"/>
      <c r="AB275" s="703"/>
      <c r="AC275" s="703"/>
      <c r="AD275" s="703"/>
      <c r="AE275" s="703"/>
      <c r="AF275" s="703"/>
      <c r="AG275" s="703"/>
      <c r="AH275" s="703"/>
      <c r="AI275" s="703"/>
      <c r="AJ275" s="703"/>
      <c r="AK275" s="703"/>
      <c r="AL275" s="703"/>
      <c r="AM275" s="703"/>
      <c r="AN275" s="703"/>
      <c r="AO275" s="704"/>
      <c r="AP275" s="705"/>
      <c r="AQ275" s="763" t="str">
        <f t="shared" si="28"/>
        <v/>
      </c>
      <c r="AS275" s="268"/>
      <c r="AV275" s="699"/>
      <c r="AW275" s="700">
        <v>2.0899999999999998E-2</v>
      </c>
      <c r="AX275" s="382">
        <f t="shared" si="26"/>
        <v>0</v>
      </c>
      <c r="AY275" s="379" t="str">
        <f t="shared" ca="1" si="29"/>
        <v>CARBONÁSZ</v>
      </c>
      <c r="AZ275" s="384" t="str">
        <f t="shared" si="27"/>
        <v>Bajzát Péter</v>
      </c>
      <c r="BA275" s="642"/>
    </row>
    <row r="276" spans="1:53" ht="12.75" customHeight="1" x14ac:dyDescent="0.2">
      <c r="A276" s="867"/>
      <c r="C276" s="758" t="s">
        <v>680</v>
      </c>
      <c r="D276" s="757"/>
      <c r="E276" s="747"/>
      <c r="F276" s="703"/>
      <c r="G276" s="703"/>
      <c r="H276" s="703"/>
      <c r="I276" s="703"/>
      <c r="J276" s="703"/>
      <c r="K276" s="703"/>
      <c r="L276" s="703"/>
      <c r="M276" s="703"/>
      <c r="N276" s="703"/>
      <c r="O276" s="703"/>
      <c r="P276" s="703"/>
      <c r="Q276" s="703"/>
      <c r="R276" s="703"/>
      <c r="S276" s="703"/>
      <c r="T276" s="703"/>
      <c r="U276" s="703"/>
      <c r="V276" s="703"/>
      <c r="W276" s="703"/>
      <c r="X276" s="703"/>
      <c r="Y276" s="703"/>
      <c r="Z276" s="703"/>
      <c r="AA276" s="703"/>
      <c r="AB276" s="703"/>
      <c r="AC276" s="703"/>
      <c r="AD276" s="703"/>
      <c r="AE276" s="703"/>
      <c r="AF276" s="703"/>
      <c r="AG276" s="703"/>
      <c r="AH276" s="703"/>
      <c r="AI276" s="703"/>
      <c r="AJ276" s="703"/>
      <c r="AK276" s="703"/>
      <c r="AL276" s="703"/>
      <c r="AM276" s="703"/>
      <c r="AN276" s="703"/>
      <c r="AO276" s="704"/>
      <c r="AP276" s="705"/>
      <c r="AQ276" s="763" t="str">
        <f t="shared" si="28"/>
        <v/>
      </c>
      <c r="AS276" s="268"/>
      <c r="AV276" s="699"/>
      <c r="AW276" s="700">
        <v>2.1000000000000001E-2</v>
      </c>
      <c r="AX276" s="382">
        <f t="shared" si="26"/>
        <v>0</v>
      </c>
      <c r="AY276" s="379" t="str">
        <f t="shared" ca="1" si="29"/>
        <v>CARBONÁSZ</v>
      </c>
      <c r="AZ276" s="384" t="str">
        <f t="shared" si="27"/>
        <v>Bálint Szilárd</v>
      </c>
      <c r="BA276" s="642"/>
    </row>
    <row r="277" spans="1:53" ht="12.75" customHeight="1" x14ac:dyDescent="0.2">
      <c r="A277" s="867"/>
      <c r="C277" s="758" t="s">
        <v>682</v>
      </c>
      <c r="D277" s="757"/>
      <c r="E277" s="747"/>
      <c r="F277" s="703"/>
      <c r="G277" s="703"/>
      <c r="H277" s="703"/>
      <c r="I277" s="703"/>
      <c r="J277" s="703"/>
      <c r="K277" s="703"/>
      <c r="L277" s="703"/>
      <c r="M277" s="703"/>
      <c r="N277" s="703"/>
      <c r="O277" s="703"/>
      <c r="P277" s="703"/>
      <c r="Q277" s="703"/>
      <c r="R277" s="703"/>
      <c r="S277" s="703"/>
      <c r="T277" s="703"/>
      <c r="U277" s="703"/>
      <c r="V277" s="703"/>
      <c r="W277" s="703"/>
      <c r="X277" s="703"/>
      <c r="Y277" s="703"/>
      <c r="Z277" s="703"/>
      <c r="AA277" s="703"/>
      <c r="AB277" s="703"/>
      <c r="AC277" s="703"/>
      <c r="AD277" s="703"/>
      <c r="AE277" s="703"/>
      <c r="AF277" s="703"/>
      <c r="AG277" s="703"/>
      <c r="AH277" s="703"/>
      <c r="AI277" s="703"/>
      <c r="AJ277" s="703"/>
      <c r="AK277" s="703"/>
      <c r="AL277" s="703"/>
      <c r="AM277" s="703"/>
      <c r="AN277" s="703"/>
      <c r="AO277" s="704"/>
      <c r="AP277" s="705"/>
      <c r="AQ277" s="763" t="str">
        <f t="shared" si="28"/>
        <v/>
      </c>
      <c r="AS277" s="268"/>
      <c r="AV277" s="699"/>
      <c r="AW277" s="700">
        <v>2.1100000000000001E-2</v>
      </c>
      <c r="AX277" s="382">
        <f t="shared" si="26"/>
        <v>0</v>
      </c>
      <c r="AY277" s="379" t="str">
        <f t="shared" ca="1" si="29"/>
        <v>CARBONÁSZ</v>
      </c>
      <c r="AZ277" s="384" t="str">
        <f t="shared" si="27"/>
        <v>Bics István</v>
      </c>
      <c r="BA277" s="642"/>
    </row>
    <row r="278" spans="1:53" ht="12.75" customHeight="1" x14ac:dyDescent="0.2">
      <c r="A278" s="867"/>
      <c r="C278" s="758" t="s">
        <v>681</v>
      </c>
      <c r="D278" s="757"/>
      <c r="E278" s="747"/>
      <c r="F278" s="703"/>
      <c r="G278" s="703"/>
      <c r="H278" s="703"/>
      <c r="I278" s="703"/>
      <c r="J278" s="703"/>
      <c r="K278" s="703"/>
      <c r="L278" s="703"/>
      <c r="M278" s="703"/>
      <c r="N278" s="703"/>
      <c r="O278" s="703"/>
      <c r="P278" s="703"/>
      <c r="Q278" s="703"/>
      <c r="R278" s="703"/>
      <c r="S278" s="703"/>
      <c r="T278" s="703"/>
      <c r="U278" s="703"/>
      <c r="V278" s="703"/>
      <c r="W278" s="703"/>
      <c r="X278" s="703"/>
      <c r="Y278" s="703"/>
      <c r="Z278" s="703"/>
      <c r="AA278" s="703"/>
      <c r="AB278" s="703"/>
      <c r="AC278" s="703"/>
      <c r="AD278" s="703"/>
      <c r="AE278" s="703"/>
      <c r="AF278" s="703"/>
      <c r="AG278" s="703"/>
      <c r="AH278" s="703"/>
      <c r="AI278" s="703"/>
      <c r="AJ278" s="703"/>
      <c r="AK278" s="703"/>
      <c r="AL278" s="703"/>
      <c r="AM278" s="703"/>
      <c r="AN278" s="703"/>
      <c r="AO278" s="704"/>
      <c r="AP278" s="705"/>
      <c r="AQ278" s="763" t="str">
        <f t="shared" si="28"/>
        <v/>
      </c>
      <c r="AS278" s="268"/>
      <c r="AV278" s="699"/>
      <c r="AW278" s="700">
        <v>2.12E-2</v>
      </c>
      <c r="AX278" s="382">
        <f t="shared" si="26"/>
        <v>0</v>
      </c>
      <c r="AY278" s="379" t="str">
        <f t="shared" ca="1" si="29"/>
        <v>CARBONÁSZ</v>
      </c>
      <c r="AZ278" s="384" t="str">
        <f t="shared" si="27"/>
        <v>Korsós János</v>
      </c>
      <c r="BA278" s="642"/>
    </row>
    <row r="279" spans="1:53" ht="12.75" customHeight="1" x14ac:dyDescent="0.2">
      <c r="A279" s="867"/>
      <c r="C279" s="758" t="s">
        <v>717</v>
      </c>
      <c r="D279" s="757">
        <v>3</v>
      </c>
      <c r="E279" s="747"/>
      <c r="F279" s="703"/>
      <c r="G279" s="703"/>
      <c r="H279" s="703"/>
      <c r="I279" s="703"/>
      <c r="J279" s="703"/>
      <c r="K279" s="703"/>
      <c r="L279" s="703"/>
      <c r="M279" s="703"/>
      <c r="N279" s="703"/>
      <c r="O279" s="703"/>
      <c r="P279" s="703"/>
      <c r="Q279" s="703"/>
      <c r="R279" s="703"/>
      <c r="S279" s="703"/>
      <c r="T279" s="703"/>
      <c r="U279" s="703"/>
      <c r="V279" s="703"/>
      <c r="W279" s="703"/>
      <c r="X279" s="703"/>
      <c r="Y279" s="703">
        <v>1</v>
      </c>
      <c r="Z279" s="703"/>
      <c r="AA279" s="703"/>
      <c r="AB279" s="703"/>
      <c r="AC279" s="703"/>
      <c r="AD279" s="703">
        <v>1</v>
      </c>
      <c r="AE279" s="703"/>
      <c r="AF279" s="703"/>
      <c r="AG279" s="703"/>
      <c r="AH279" s="703"/>
      <c r="AI279" s="703"/>
      <c r="AJ279" s="703"/>
      <c r="AK279" s="703"/>
      <c r="AL279" s="703"/>
      <c r="AM279" s="703"/>
      <c r="AN279" s="703"/>
      <c r="AO279" s="704"/>
      <c r="AP279" s="705"/>
      <c r="AQ279" s="763">
        <f t="shared" si="28"/>
        <v>2</v>
      </c>
      <c r="AS279" s="268"/>
      <c r="AV279" s="699"/>
      <c r="AW279" s="700">
        <v>2.1299999999999999E-2</v>
      </c>
      <c r="AX279" s="382">
        <f t="shared" si="26"/>
        <v>2.0213000000000001</v>
      </c>
      <c r="AY279" s="379" t="str">
        <f t="shared" ca="1" si="29"/>
        <v>CARBONÁSZ</v>
      </c>
      <c r="AZ279" s="384" t="str">
        <f t="shared" si="27"/>
        <v>Carbonász ismeretlen 3-as</v>
      </c>
      <c r="BA279" s="642"/>
    </row>
    <row r="280" spans="1:53" ht="12.75" customHeight="1" x14ac:dyDescent="0.2">
      <c r="A280" s="867"/>
      <c r="C280" s="758"/>
      <c r="D280" s="757"/>
      <c r="E280" s="747"/>
      <c r="F280" s="703"/>
      <c r="G280" s="703"/>
      <c r="H280" s="703"/>
      <c r="I280" s="703"/>
      <c r="J280" s="703"/>
      <c r="K280" s="703"/>
      <c r="L280" s="703"/>
      <c r="M280" s="703"/>
      <c r="N280" s="703"/>
      <c r="O280" s="703"/>
      <c r="P280" s="703"/>
      <c r="Q280" s="703"/>
      <c r="R280" s="703"/>
      <c r="S280" s="703"/>
      <c r="T280" s="703"/>
      <c r="U280" s="703"/>
      <c r="V280" s="703"/>
      <c r="W280" s="703"/>
      <c r="X280" s="703"/>
      <c r="Y280" s="703"/>
      <c r="Z280" s="703"/>
      <c r="AA280" s="703"/>
      <c r="AB280" s="703"/>
      <c r="AC280" s="703"/>
      <c r="AD280" s="703"/>
      <c r="AE280" s="703"/>
      <c r="AF280" s="703"/>
      <c r="AG280" s="703"/>
      <c r="AH280" s="703"/>
      <c r="AI280" s="703"/>
      <c r="AJ280" s="703"/>
      <c r="AK280" s="703"/>
      <c r="AL280" s="703"/>
      <c r="AM280" s="703"/>
      <c r="AN280" s="703"/>
      <c r="AO280" s="704"/>
      <c r="AP280" s="705"/>
      <c r="AQ280" s="763" t="str">
        <f t="shared" si="28"/>
        <v/>
      </c>
      <c r="AS280" s="268"/>
      <c r="AV280" s="699"/>
      <c r="AW280" s="700">
        <v>2.1399999999999999E-2</v>
      </c>
      <c r="AX280" s="382">
        <f t="shared" si="26"/>
        <v>0</v>
      </c>
      <c r="AY280" s="379" t="str">
        <f t="shared" ca="1" si="29"/>
        <v>CARBONÁSZ</v>
      </c>
      <c r="AZ280" s="384">
        <f t="shared" si="27"/>
        <v>0</v>
      </c>
      <c r="BA280" s="642"/>
    </row>
    <row r="281" spans="1:53" ht="12.75" customHeight="1" x14ac:dyDescent="0.2">
      <c r="A281" s="867"/>
      <c r="C281" s="758"/>
      <c r="D281" s="757"/>
      <c r="E281" s="747"/>
      <c r="F281" s="703"/>
      <c r="G281" s="703"/>
      <c r="H281" s="703"/>
      <c r="I281" s="703"/>
      <c r="J281" s="703"/>
      <c r="K281" s="703"/>
      <c r="L281" s="703"/>
      <c r="M281" s="703"/>
      <c r="N281" s="703"/>
      <c r="O281" s="703"/>
      <c r="P281" s="703"/>
      <c r="Q281" s="703"/>
      <c r="R281" s="703"/>
      <c r="S281" s="703"/>
      <c r="T281" s="703"/>
      <c r="U281" s="703"/>
      <c r="V281" s="703"/>
      <c r="W281" s="703"/>
      <c r="X281" s="703"/>
      <c r="Y281" s="703"/>
      <c r="Z281" s="703"/>
      <c r="AA281" s="703"/>
      <c r="AB281" s="703"/>
      <c r="AC281" s="703"/>
      <c r="AD281" s="703"/>
      <c r="AE281" s="703"/>
      <c r="AF281" s="703"/>
      <c r="AG281" s="703"/>
      <c r="AH281" s="703"/>
      <c r="AI281" s="703"/>
      <c r="AJ281" s="703"/>
      <c r="AK281" s="703"/>
      <c r="AL281" s="703"/>
      <c r="AM281" s="703"/>
      <c r="AN281" s="703"/>
      <c r="AO281" s="704"/>
      <c r="AP281" s="705"/>
      <c r="AQ281" s="763" t="str">
        <f t="shared" si="28"/>
        <v/>
      </c>
      <c r="AS281" s="268"/>
      <c r="AV281" s="699"/>
      <c r="AW281" s="700">
        <v>2.1499999999999998E-2</v>
      </c>
      <c r="AX281" s="382">
        <f t="shared" si="26"/>
        <v>0</v>
      </c>
      <c r="AY281" s="379" t="str">
        <f t="shared" ca="1" si="29"/>
        <v>CARBONÁSZ</v>
      </c>
      <c r="AZ281" s="384">
        <f t="shared" si="27"/>
        <v>0</v>
      </c>
      <c r="BA281" s="642"/>
    </row>
    <row r="282" spans="1:53" ht="12.75" customHeight="1" x14ac:dyDescent="0.2">
      <c r="A282" s="867"/>
      <c r="C282" s="758"/>
      <c r="D282" s="757"/>
      <c r="E282" s="747"/>
      <c r="F282" s="703"/>
      <c r="G282" s="703"/>
      <c r="H282" s="703"/>
      <c r="I282" s="703"/>
      <c r="J282" s="703"/>
      <c r="K282" s="703"/>
      <c r="L282" s="703"/>
      <c r="M282" s="703"/>
      <c r="N282" s="703"/>
      <c r="O282" s="703"/>
      <c r="P282" s="703"/>
      <c r="Q282" s="703"/>
      <c r="R282" s="703"/>
      <c r="S282" s="703"/>
      <c r="T282" s="703"/>
      <c r="U282" s="703"/>
      <c r="V282" s="703"/>
      <c r="W282" s="703"/>
      <c r="X282" s="703"/>
      <c r="Y282" s="703"/>
      <c r="Z282" s="703"/>
      <c r="AA282" s="703"/>
      <c r="AB282" s="703"/>
      <c r="AC282" s="703"/>
      <c r="AD282" s="703"/>
      <c r="AE282" s="703"/>
      <c r="AF282" s="703"/>
      <c r="AG282" s="703"/>
      <c r="AH282" s="703"/>
      <c r="AI282" s="703"/>
      <c r="AJ282" s="703"/>
      <c r="AK282" s="703"/>
      <c r="AL282" s="703"/>
      <c r="AM282" s="703"/>
      <c r="AN282" s="703"/>
      <c r="AO282" s="704"/>
      <c r="AP282" s="705"/>
      <c r="AQ282" s="763" t="str">
        <f t="shared" si="28"/>
        <v/>
      </c>
      <c r="AS282" s="268"/>
      <c r="AV282" s="699"/>
      <c r="AW282" s="700">
        <v>2.1600000000000001E-2</v>
      </c>
      <c r="AX282" s="382">
        <f t="shared" si="26"/>
        <v>0</v>
      </c>
      <c r="AY282" s="379" t="str">
        <f t="shared" ca="1" si="29"/>
        <v>CARBONÁSZ</v>
      </c>
      <c r="AZ282" s="384">
        <f t="shared" si="27"/>
        <v>0</v>
      </c>
      <c r="BA282" s="642"/>
    </row>
    <row r="283" spans="1:53" ht="12.75" customHeight="1" x14ac:dyDescent="0.2">
      <c r="A283" s="867"/>
      <c r="C283" s="758"/>
      <c r="D283" s="757"/>
      <c r="E283" s="747"/>
      <c r="F283" s="703"/>
      <c r="G283" s="703"/>
      <c r="H283" s="703"/>
      <c r="I283" s="703"/>
      <c r="J283" s="703"/>
      <c r="K283" s="703"/>
      <c r="L283" s="703"/>
      <c r="M283" s="703"/>
      <c r="N283" s="703"/>
      <c r="O283" s="703"/>
      <c r="P283" s="703"/>
      <c r="Q283" s="703"/>
      <c r="R283" s="703"/>
      <c r="S283" s="703"/>
      <c r="T283" s="703"/>
      <c r="U283" s="703"/>
      <c r="V283" s="703"/>
      <c r="W283" s="703"/>
      <c r="X283" s="703"/>
      <c r="Y283" s="703"/>
      <c r="Z283" s="703"/>
      <c r="AA283" s="703"/>
      <c r="AB283" s="703"/>
      <c r="AC283" s="703"/>
      <c r="AD283" s="703"/>
      <c r="AE283" s="703"/>
      <c r="AF283" s="703"/>
      <c r="AG283" s="703"/>
      <c r="AH283" s="703"/>
      <c r="AI283" s="703"/>
      <c r="AJ283" s="703"/>
      <c r="AK283" s="703"/>
      <c r="AL283" s="703"/>
      <c r="AM283" s="703"/>
      <c r="AN283" s="703"/>
      <c r="AO283" s="704"/>
      <c r="AP283" s="705"/>
      <c r="AQ283" s="763" t="str">
        <f t="shared" si="28"/>
        <v/>
      </c>
      <c r="AS283" s="268"/>
      <c r="AV283" s="699"/>
      <c r="AW283" s="700">
        <v>2.1700000000000001E-2</v>
      </c>
      <c r="AX283" s="382">
        <f t="shared" si="26"/>
        <v>0</v>
      </c>
      <c r="AY283" s="379" t="str">
        <f t="shared" ca="1" si="29"/>
        <v>CARBONÁSZ</v>
      </c>
      <c r="AZ283" s="384">
        <f t="shared" si="27"/>
        <v>0</v>
      </c>
      <c r="BA283" s="642"/>
    </row>
    <row r="284" spans="1:53" ht="12.75" customHeight="1" x14ac:dyDescent="0.2">
      <c r="A284" s="867"/>
      <c r="C284" s="758"/>
      <c r="D284" s="757"/>
      <c r="E284" s="747"/>
      <c r="F284" s="703"/>
      <c r="G284" s="703"/>
      <c r="H284" s="703"/>
      <c r="I284" s="703"/>
      <c r="J284" s="703"/>
      <c r="K284" s="703"/>
      <c r="L284" s="703"/>
      <c r="M284" s="703"/>
      <c r="N284" s="703"/>
      <c r="O284" s="703"/>
      <c r="P284" s="703"/>
      <c r="Q284" s="703"/>
      <c r="R284" s="703"/>
      <c r="S284" s="703"/>
      <c r="T284" s="703"/>
      <c r="U284" s="703"/>
      <c r="V284" s="703"/>
      <c r="W284" s="703"/>
      <c r="X284" s="703"/>
      <c r="Y284" s="703"/>
      <c r="Z284" s="703"/>
      <c r="AA284" s="703"/>
      <c r="AB284" s="703"/>
      <c r="AC284" s="703"/>
      <c r="AD284" s="703"/>
      <c r="AE284" s="703"/>
      <c r="AF284" s="703"/>
      <c r="AG284" s="703"/>
      <c r="AH284" s="703"/>
      <c r="AI284" s="703"/>
      <c r="AJ284" s="703"/>
      <c r="AK284" s="703"/>
      <c r="AL284" s="703"/>
      <c r="AM284" s="703"/>
      <c r="AN284" s="703"/>
      <c r="AO284" s="704"/>
      <c r="AP284" s="705"/>
      <c r="AQ284" s="763" t="str">
        <f t="shared" si="28"/>
        <v/>
      </c>
      <c r="AS284" s="268"/>
      <c r="AV284" s="699"/>
      <c r="AW284" s="700">
        <v>2.18E-2</v>
      </c>
      <c r="AX284" s="382">
        <f t="shared" si="26"/>
        <v>0</v>
      </c>
      <c r="AY284" s="379" t="str">
        <f t="shared" ca="1" si="29"/>
        <v>CARBONÁSZ</v>
      </c>
      <c r="AZ284" s="384">
        <f t="shared" si="27"/>
        <v>0</v>
      </c>
      <c r="BA284" s="642"/>
    </row>
    <row r="285" spans="1:53" ht="12.75" customHeight="1" x14ac:dyDescent="0.2">
      <c r="A285" s="867"/>
      <c r="C285" s="758"/>
      <c r="D285" s="757"/>
      <c r="E285" s="747"/>
      <c r="F285" s="703"/>
      <c r="G285" s="703"/>
      <c r="H285" s="703"/>
      <c r="I285" s="703"/>
      <c r="J285" s="703"/>
      <c r="K285" s="703"/>
      <c r="L285" s="703"/>
      <c r="M285" s="703"/>
      <c r="N285" s="703"/>
      <c r="O285" s="703"/>
      <c r="P285" s="703"/>
      <c r="Q285" s="703"/>
      <c r="R285" s="703"/>
      <c r="S285" s="703"/>
      <c r="T285" s="703"/>
      <c r="U285" s="703"/>
      <c r="V285" s="703"/>
      <c r="W285" s="703"/>
      <c r="X285" s="703"/>
      <c r="Y285" s="703"/>
      <c r="Z285" s="703"/>
      <c r="AA285" s="703"/>
      <c r="AB285" s="703"/>
      <c r="AC285" s="703"/>
      <c r="AD285" s="703"/>
      <c r="AE285" s="703"/>
      <c r="AF285" s="703"/>
      <c r="AG285" s="703"/>
      <c r="AH285" s="703"/>
      <c r="AI285" s="703"/>
      <c r="AJ285" s="703"/>
      <c r="AK285" s="703"/>
      <c r="AL285" s="703"/>
      <c r="AM285" s="703"/>
      <c r="AN285" s="703"/>
      <c r="AO285" s="704"/>
      <c r="AP285" s="705"/>
      <c r="AQ285" s="763" t="str">
        <f t="shared" si="28"/>
        <v/>
      </c>
      <c r="AS285" s="268"/>
      <c r="AV285" s="699"/>
      <c r="AW285" s="700">
        <v>2.1899999999999999E-2</v>
      </c>
      <c r="AX285" s="382">
        <f t="shared" si="26"/>
        <v>0</v>
      </c>
      <c r="AY285" s="379" t="str">
        <f t="shared" ca="1" si="29"/>
        <v>CARBONÁSZ</v>
      </c>
      <c r="AZ285" s="384">
        <f t="shared" si="27"/>
        <v>0</v>
      </c>
      <c r="BA285" s="642"/>
    </row>
    <row r="286" spans="1:53" ht="11.25" hidden="1" customHeight="1" x14ac:dyDescent="0.2">
      <c r="A286" s="867"/>
      <c r="C286" s="758"/>
      <c r="D286" s="757"/>
      <c r="E286" s="747"/>
      <c r="F286" s="703"/>
      <c r="G286" s="703"/>
      <c r="H286" s="703"/>
      <c r="I286" s="703"/>
      <c r="J286" s="703"/>
      <c r="K286" s="703"/>
      <c r="L286" s="703"/>
      <c r="M286" s="703"/>
      <c r="N286" s="703"/>
      <c r="O286" s="703"/>
      <c r="P286" s="703"/>
      <c r="Q286" s="703"/>
      <c r="R286" s="703"/>
      <c r="S286" s="703"/>
      <c r="T286" s="703"/>
      <c r="U286" s="703"/>
      <c r="V286" s="703"/>
      <c r="W286" s="703"/>
      <c r="X286" s="703"/>
      <c r="Y286" s="703"/>
      <c r="Z286" s="703"/>
      <c r="AA286" s="703"/>
      <c r="AB286" s="703"/>
      <c r="AC286" s="703"/>
      <c r="AD286" s="703"/>
      <c r="AE286" s="703"/>
      <c r="AF286" s="703"/>
      <c r="AG286" s="703"/>
      <c r="AH286" s="703"/>
      <c r="AI286" s="703"/>
      <c r="AJ286" s="703"/>
      <c r="AK286" s="703"/>
      <c r="AL286" s="703"/>
      <c r="AM286" s="703"/>
      <c r="AN286" s="703"/>
      <c r="AO286" s="704"/>
      <c r="AP286" s="705"/>
      <c r="AQ286" s="763" t="str">
        <f t="shared" si="28"/>
        <v/>
      </c>
      <c r="AS286" s="268"/>
      <c r="AV286" s="699"/>
      <c r="AW286" s="700">
        <v>2.1999999999999999E-2</v>
      </c>
      <c r="AX286" s="382">
        <f t="shared" si="26"/>
        <v>0</v>
      </c>
      <c r="AY286" s="379" t="str">
        <f t="shared" ca="1" si="29"/>
        <v>CARBONÁSZ</v>
      </c>
      <c r="AZ286" s="384">
        <f t="shared" si="27"/>
        <v>0</v>
      </c>
      <c r="BA286" s="642"/>
    </row>
    <row r="287" spans="1:53" ht="11.25" hidden="1" customHeight="1" x14ac:dyDescent="0.2">
      <c r="A287" s="867"/>
      <c r="C287" s="758"/>
      <c r="D287" s="757"/>
      <c r="E287" s="747"/>
      <c r="F287" s="703"/>
      <c r="G287" s="703"/>
      <c r="H287" s="703"/>
      <c r="I287" s="703"/>
      <c r="J287" s="703"/>
      <c r="K287" s="703"/>
      <c r="L287" s="703"/>
      <c r="M287" s="703"/>
      <c r="N287" s="703"/>
      <c r="O287" s="703"/>
      <c r="P287" s="703"/>
      <c r="Q287" s="703"/>
      <c r="R287" s="703"/>
      <c r="S287" s="703"/>
      <c r="T287" s="703"/>
      <c r="U287" s="703"/>
      <c r="V287" s="703"/>
      <c r="W287" s="703"/>
      <c r="X287" s="703"/>
      <c r="Y287" s="703"/>
      <c r="Z287" s="703"/>
      <c r="AA287" s="703"/>
      <c r="AB287" s="703"/>
      <c r="AC287" s="703"/>
      <c r="AD287" s="703"/>
      <c r="AE287" s="703"/>
      <c r="AF287" s="703"/>
      <c r="AG287" s="703"/>
      <c r="AH287" s="703"/>
      <c r="AI287" s="703"/>
      <c r="AJ287" s="703"/>
      <c r="AK287" s="703"/>
      <c r="AL287" s="703"/>
      <c r="AM287" s="703"/>
      <c r="AN287" s="703"/>
      <c r="AO287" s="704"/>
      <c r="AP287" s="705"/>
      <c r="AQ287" s="763" t="str">
        <f t="shared" si="28"/>
        <v/>
      </c>
      <c r="AS287" s="268"/>
      <c r="AV287" s="699"/>
      <c r="AW287" s="700">
        <v>2.2100000000000002E-2</v>
      </c>
      <c r="AX287" s="382">
        <f t="shared" si="26"/>
        <v>0</v>
      </c>
      <c r="AY287" s="379" t="str">
        <f t="shared" ca="1" si="29"/>
        <v>CARBONÁSZ</v>
      </c>
      <c r="AZ287" s="384">
        <f t="shared" si="27"/>
        <v>0</v>
      </c>
      <c r="BA287" s="642"/>
    </row>
    <row r="288" spans="1:53" ht="11.25" hidden="1" customHeight="1" x14ac:dyDescent="0.2">
      <c r="A288" s="867"/>
      <c r="C288" s="758"/>
      <c r="D288" s="757"/>
      <c r="E288" s="747"/>
      <c r="F288" s="703"/>
      <c r="G288" s="703"/>
      <c r="H288" s="703"/>
      <c r="I288" s="703"/>
      <c r="J288" s="703"/>
      <c r="K288" s="703"/>
      <c r="L288" s="703"/>
      <c r="M288" s="703"/>
      <c r="N288" s="703"/>
      <c r="O288" s="703"/>
      <c r="P288" s="703"/>
      <c r="Q288" s="703"/>
      <c r="R288" s="703"/>
      <c r="S288" s="703"/>
      <c r="T288" s="703"/>
      <c r="U288" s="703"/>
      <c r="V288" s="703"/>
      <c r="W288" s="703"/>
      <c r="X288" s="703"/>
      <c r="Y288" s="703"/>
      <c r="Z288" s="703"/>
      <c r="AA288" s="703"/>
      <c r="AB288" s="703"/>
      <c r="AC288" s="703"/>
      <c r="AD288" s="703"/>
      <c r="AE288" s="703"/>
      <c r="AF288" s="703"/>
      <c r="AG288" s="703"/>
      <c r="AH288" s="703"/>
      <c r="AI288" s="703"/>
      <c r="AJ288" s="703"/>
      <c r="AK288" s="703"/>
      <c r="AL288" s="703"/>
      <c r="AM288" s="703"/>
      <c r="AN288" s="703"/>
      <c r="AO288" s="704"/>
      <c r="AP288" s="705"/>
      <c r="AQ288" s="763" t="str">
        <f t="shared" si="28"/>
        <v/>
      </c>
      <c r="AS288" s="268"/>
      <c r="AV288" s="699"/>
      <c r="AW288" s="700">
        <v>2.2200000000000001E-2</v>
      </c>
      <c r="AX288" s="382">
        <f t="shared" si="26"/>
        <v>0</v>
      </c>
      <c r="AY288" s="379" t="str">
        <f t="shared" ca="1" si="29"/>
        <v>CARBONÁSZ</v>
      </c>
      <c r="AZ288" s="384">
        <f t="shared" si="27"/>
        <v>0</v>
      </c>
      <c r="BA288" s="642"/>
    </row>
    <row r="289" spans="1:54" ht="11.25" hidden="1" customHeight="1" x14ac:dyDescent="0.2">
      <c r="A289" s="867"/>
      <c r="C289" s="758"/>
      <c r="D289" s="757"/>
      <c r="E289" s="747"/>
      <c r="F289" s="703"/>
      <c r="G289" s="703"/>
      <c r="H289" s="703"/>
      <c r="I289" s="703"/>
      <c r="J289" s="703"/>
      <c r="K289" s="703"/>
      <c r="L289" s="703"/>
      <c r="M289" s="703"/>
      <c r="N289" s="703"/>
      <c r="O289" s="703"/>
      <c r="P289" s="703"/>
      <c r="Q289" s="703"/>
      <c r="R289" s="703"/>
      <c r="S289" s="703"/>
      <c r="T289" s="703"/>
      <c r="U289" s="703"/>
      <c r="V289" s="703"/>
      <c r="W289" s="703"/>
      <c r="X289" s="703"/>
      <c r="Y289" s="703"/>
      <c r="Z289" s="703"/>
      <c r="AA289" s="703"/>
      <c r="AB289" s="703"/>
      <c r="AC289" s="703"/>
      <c r="AD289" s="703"/>
      <c r="AE289" s="703"/>
      <c r="AF289" s="703"/>
      <c r="AG289" s="703"/>
      <c r="AH289" s="703"/>
      <c r="AI289" s="703"/>
      <c r="AJ289" s="703"/>
      <c r="AK289" s="703"/>
      <c r="AL289" s="703"/>
      <c r="AM289" s="703"/>
      <c r="AN289" s="703"/>
      <c r="AO289" s="704"/>
      <c r="AP289" s="705"/>
      <c r="AQ289" s="763" t="str">
        <f t="shared" si="28"/>
        <v/>
      </c>
      <c r="AS289" s="268"/>
      <c r="AV289" s="699"/>
      <c r="AW289" s="700">
        <v>2.23E-2</v>
      </c>
      <c r="AX289" s="382">
        <f t="shared" si="26"/>
        <v>0</v>
      </c>
      <c r="AY289" s="379" t="str">
        <f t="shared" ca="1" si="29"/>
        <v>CARBONÁSZ</v>
      </c>
      <c r="AZ289" s="384">
        <f t="shared" si="27"/>
        <v>0</v>
      </c>
      <c r="BA289" s="642"/>
    </row>
    <row r="290" spans="1:54" ht="11.25" hidden="1" customHeight="1" x14ac:dyDescent="0.2">
      <c r="A290" s="867"/>
      <c r="C290" s="758"/>
      <c r="D290" s="757"/>
      <c r="E290" s="747"/>
      <c r="F290" s="703"/>
      <c r="G290" s="703"/>
      <c r="H290" s="703"/>
      <c r="I290" s="703"/>
      <c r="J290" s="703"/>
      <c r="K290" s="703"/>
      <c r="L290" s="703"/>
      <c r="M290" s="703"/>
      <c r="N290" s="703"/>
      <c r="O290" s="703"/>
      <c r="P290" s="703"/>
      <c r="Q290" s="703"/>
      <c r="R290" s="703"/>
      <c r="S290" s="703"/>
      <c r="T290" s="703"/>
      <c r="U290" s="703"/>
      <c r="V290" s="703"/>
      <c r="W290" s="703"/>
      <c r="X290" s="703"/>
      <c r="Y290" s="703"/>
      <c r="Z290" s="703"/>
      <c r="AA290" s="703"/>
      <c r="AB290" s="703"/>
      <c r="AC290" s="703"/>
      <c r="AD290" s="703"/>
      <c r="AE290" s="703"/>
      <c r="AF290" s="703"/>
      <c r="AG290" s="703"/>
      <c r="AH290" s="703"/>
      <c r="AI290" s="703"/>
      <c r="AJ290" s="703"/>
      <c r="AK290" s="703"/>
      <c r="AL290" s="703"/>
      <c r="AM290" s="703"/>
      <c r="AN290" s="703"/>
      <c r="AO290" s="704"/>
      <c r="AP290" s="705"/>
      <c r="AQ290" s="763" t="str">
        <f t="shared" si="28"/>
        <v/>
      </c>
      <c r="AS290" s="268"/>
      <c r="AV290" s="699"/>
      <c r="AW290" s="700">
        <v>2.24E-2</v>
      </c>
      <c r="AX290" s="382">
        <f t="shared" si="26"/>
        <v>0</v>
      </c>
      <c r="AY290" s="379" t="str">
        <f t="shared" ca="1" si="29"/>
        <v>CARBONÁSZ</v>
      </c>
      <c r="AZ290" s="384">
        <f t="shared" si="27"/>
        <v>0</v>
      </c>
      <c r="BA290" s="642"/>
    </row>
    <row r="291" spans="1:54" ht="11.25" hidden="1" customHeight="1" x14ac:dyDescent="0.2">
      <c r="A291" s="867"/>
      <c r="C291" s="758"/>
      <c r="D291" s="757"/>
      <c r="E291" s="747"/>
      <c r="F291" s="703"/>
      <c r="G291" s="703"/>
      <c r="H291" s="703"/>
      <c r="I291" s="703"/>
      <c r="J291" s="703"/>
      <c r="K291" s="703"/>
      <c r="L291" s="703"/>
      <c r="M291" s="703"/>
      <c r="N291" s="703"/>
      <c r="O291" s="703"/>
      <c r="P291" s="703"/>
      <c r="Q291" s="703"/>
      <c r="R291" s="703"/>
      <c r="S291" s="703"/>
      <c r="T291" s="703"/>
      <c r="U291" s="703"/>
      <c r="V291" s="703"/>
      <c r="W291" s="703"/>
      <c r="X291" s="703"/>
      <c r="Y291" s="703"/>
      <c r="Z291" s="703"/>
      <c r="AA291" s="703"/>
      <c r="AB291" s="703"/>
      <c r="AC291" s="703"/>
      <c r="AD291" s="703"/>
      <c r="AE291" s="703"/>
      <c r="AF291" s="703"/>
      <c r="AG291" s="703"/>
      <c r="AH291" s="703"/>
      <c r="AI291" s="703"/>
      <c r="AJ291" s="703"/>
      <c r="AK291" s="703"/>
      <c r="AL291" s="703"/>
      <c r="AM291" s="703"/>
      <c r="AN291" s="703"/>
      <c r="AO291" s="704"/>
      <c r="AP291" s="705"/>
      <c r="AQ291" s="763" t="str">
        <f t="shared" si="28"/>
        <v/>
      </c>
      <c r="AS291" s="268"/>
      <c r="AV291" s="699"/>
      <c r="AW291" s="700">
        <v>2.2499999999999999E-2</v>
      </c>
      <c r="AX291" s="382">
        <f t="shared" si="26"/>
        <v>0</v>
      </c>
      <c r="AY291" s="379" t="str">
        <f t="shared" ca="1" si="29"/>
        <v>CARBONÁSZ</v>
      </c>
      <c r="AZ291" s="384">
        <f t="shared" si="27"/>
        <v>0</v>
      </c>
      <c r="BA291" s="642"/>
    </row>
    <row r="292" spans="1:54" ht="11.25" hidden="1" customHeight="1" x14ac:dyDescent="0.2">
      <c r="A292" s="867"/>
      <c r="C292" s="758"/>
      <c r="D292" s="757"/>
      <c r="E292" s="747"/>
      <c r="F292" s="703"/>
      <c r="G292" s="703"/>
      <c r="H292" s="703"/>
      <c r="I292" s="703"/>
      <c r="J292" s="703"/>
      <c r="K292" s="703"/>
      <c r="L292" s="703"/>
      <c r="M292" s="703"/>
      <c r="N292" s="703"/>
      <c r="O292" s="703"/>
      <c r="P292" s="703"/>
      <c r="Q292" s="703"/>
      <c r="R292" s="703"/>
      <c r="S292" s="703"/>
      <c r="T292" s="703"/>
      <c r="U292" s="703"/>
      <c r="V292" s="703"/>
      <c r="W292" s="703"/>
      <c r="X292" s="703"/>
      <c r="Y292" s="703"/>
      <c r="Z292" s="703"/>
      <c r="AA292" s="703"/>
      <c r="AB292" s="703"/>
      <c r="AC292" s="703"/>
      <c r="AD292" s="703"/>
      <c r="AE292" s="703"/>
      <c r="AF292" s="703"/>
      <c r="AG292" s="703"/>
      <c r="AH292" s="703"/>
      <c r="AI292" s="703"/>
      <c r="AJ292" s="703"/>
      <c r="AK292" s="703"/>
      <c r="AL292" s="703"/>
      <c r="AM292" s="703"/>
      <c r="AN292" s="703"/>
      <c r="AO292" s="704"/>
      <c r="AP292" s="705"/>
      <c r="AQ292" s="763" t="str">
        <f t="shared" si="28"/>
        <v/>
      </c>
      <c r="AS292" s="268"/>
      <c r="AV292" s="699"/>
      <c r="AW292" s="700">
        <v>2.2599999999999999E-2</v>
      </c>
      <c r="AX292" s="382">
        <f t="shared" si="26"/>
        <v>0</v>
      </c>
      <c r="AY292" s="379" t="str">
        <f t="shared" ca="1" si="29"/>
        <v>CARBONÁSZ</v>
      </c>
      <c r="AZ292" s="384">
        <f t="shared" si="27"/>
        <v>0</v>
      </c>
      <c r="BA292" s="642"/>
    </row>
    <row r="293" spans="1:54" ht="11.25" hidden="1" customHeight="1" x14ac:dyDescent="0.2">
      <c r="A293" s="867"/>
      <c r="C293" s="758"/>
      <c r="D293" s="757"/>
      <c r="E293" s="747"/>
      <c r="F293" s="703"/>
      <c r="G293" s="703"/>
      <c r="H293" s="703"/>
      <c r="I293" s="703"/>
      <c r="J293" s="703"/>
      <c r="K293" s="703"/>
      <c r="L293" s="703"/>
      <c r="M293" s="703"/>
      <c r="N293" s="703"/>
      <c r="O293" s="703"/>
      <c r="P293" s="703"/>
      <c r="Q293" s="703"/>
      <c r="R293" s="703"/>
      <c r="S293" s="703"/>
      <c r="T293" s="703"/>
      <c r="U293" s="703"/>
      <c r="V293" s="703"/>
      <c r="W293" s="703"/>
      <c r="X293" s="703"/>
      <c r="Y293" s="703"/>
      <c r="Z293" s="703"/>
      <c r="AA293" s="703"/>
      <c r="AB293" s="703"/>
      <c r="AC293" s="703"/>
      <c r="AD293" s="703"/>
      <c r="AE293" s="703"/>
      <c r="AF293" s="703"/>
      <c r="AG293" s="703"/>
      <c r="AH293" s="703"/>
      <c r="AI293" s="703"/>
      <c r="AJ293" s="703"/>
      <c r="AK293" s="703"/>
      <c r="AL293" s="703"/>
      <c r="AM293" s="703"/>
      <c r="AN293" s="703"/>
      <c r="AO293" s="704"/>
      <c r="AP293" s="705"/>
      <c r="AQ293" s="763" t="str">
        <f t="shared" si="28"/>
        <v/>
      </c>
      <c r="AS293" s="268"/>
      <c r="AV293" s="699"/>
      <c r="AW293" s="700">
        <v>2.2700000000000001E-2</v>
      </c>
      <c r="AX293" s="382">
        <f t="shared" si="26"/>
        <v>0</v>
      </c>
      <c r="AY293" s="379" t="str">
        <f t="shared" ca="1" si="29"/>
        <v>CARBONÁSZ</v>
      </c>
      <c r="AZ293" s="384">
        <f t="shared" si="27"/>
        <v>0</v>
      </c>
      <c r="BA293" s="642"/>
    </row>
    <row r="294" spans="1:54" ht="11.25" hidden="1" customHeight="1" x14ac:dyDescent="0.2">
      <c r="A294" s="867"/>
      <c r="C294" s="758"/>
      <c r="D294" s="757"/>
      <c r="E294" s="747"/>
      <c r="F294" s="703"/>
      <c r="G294" s="703"/>
      <c r="H294" s="703"/>
      <c r="I294" s="703"/>
      <c r="J294" s="703"/>
      <c r="K294" s="703"/>
      <c r="L294" s="703"/>
      <c r="M294" s="703"/>
      <c r="N294" s="703"/>
      <c r="O294" s="703"/>
      <c r="P294" s="703"/>
      <c r="Q294" s="703"/>
      <c r="R294" s="703"/>
      <c r="S294" s="703"/>
      <c r="T294" s="703"/>
      <c r="U294" s="703"/>
      <c r="V294" s="703"/>
      <c r="W294" s="703"/>
      <c r="X294" s="703"/>
      <c r="Y294" s="703"/>
      <c r="Z294" s="703"/>
      <c r="AA294" s="703"/>
      <c r="AB294" s="703"/>
      <c r="AC294" s="703"/>
      <c r="AD294" s="703"/>
      <c r="AE294" s="703"/>
      <c r="AF294" s="703"/>
      <c r="AG294" s="703"/>
      <c r="AH294" s="703"/>
      <c r="AI294" s="703"/>
      <c r="AJ294" s="703"/>
      <c r="AK294" s="703"/>
      <c r="AL294" s="703"/>
      <c r="AM294" s="703"/>
      <c r="AN294" s="703"/>
      <c r="AO294" s="704"/>
      <c r="AP294" s="705"/>
      <c r="AQ294" s="763" t="str">
        <f t="shared" si="28"/>
        <v/>
      </c>
      <c r="AS294" s="268"/>
      <c r="AV294" s="699"/>
      <c r="AW294" s="700">
        <v>2.2800000000000001E-2</v>
      </c>
      <c r="AX294" s="382">
        <f t="shared" si="26"/>
        <v>0</v>
      </c>
      <c r="AY294" s="379" t="str">
        <f t="shared" ca="1" si="29"/>
        <v>CARBONÁSZ</v>
      </c>
      <c r="AZ294" s="384">
        <f t="shared" si="27"/>
        <v>0</v>
      </c>
      <c r="BA294" s="642"/>
    </row>
    <row r="295" spans="1:54" ht="11.25" hidden="1" customHeight="1" x14ac:dyDescent="0.2">
      <c r="A295" s="867"/>
      <c r="C295" s="758"/>
      <c r="D295" s="757"/>
      <c r="E295" s="747"/>
      <c r="F295" s="703"/>
      <c r="G295" s="703"/>
      <c r="H295" s="703"/>
      <c r="I295" s="703"/>
      <c r="J295" s="703"/>
      <c r="K295" s="703"/>
      <c r="L295" s="703"/>
      <c r="M295" s="703"/>
      <c r="N295" s="703"/>
      <c r="O295" s="703"/>
      <c r="P295" s="703"/>
      <c r="Q295" s="703"/>
      <c r="R295" s="703"/>
      <c r="S295" s="703"/>
      <c r="T295" s="703"/>
      <c r="U295" s="703"/>
      <c r="V295" s="703"/>
      <c r="W295" s="703"/>
      <c r="X295" s="703"/>
      <c r="Y295" s="703"/>
      <c r="Z295" s="703"/>
      <c r="AA295" s="703"/>
      <c r="AB295" s="703"/>
      <c r="AC295" s="703"/>
      <c r="AD295" s="703"/>
      <c r="AE295" s="703"/>
      <c r="AF295" s="703"/>
      <c r="AG295" s="703"/>
      <c r="AH295" s="703"/>
      <c r="AI295" s="703"/>
      <c r="AJ295" s="703"/>
      <c r="AK295" s="703"/>
      <c r="AL295" s="703"/>
      <c r="AM295" s="703"/>
      <c r="AN295" s="703"/>
      <c r="AO295" s="704"/>
      <c r="AP295" s="705"/>
      <c r="AQ295" s="763" t="str">
        <f t="shared" si="28"/>
        <v/>
      </c>
      <c r="AS295" s="268"/>
      <c r="AV295" s="699"/>
      <c r="AW295" s="700">
        <v>2.29E-2</v>
      </c>
      <c r="AX295" s="382">
        <f t="shared" si="26"/>
        <v>0</v>
      </c>
      <c r="AY295" s="379" t="str">
        <f t="shared" ca="1" si="29"/>
        <v>CARBONÁSZ</v>
      </c>
      <c r="AZ295" s="384">
        <f t="shared" si="27"/>
        <v>0</v>
      </c>
      <c r="BA295" s="642"/>
    </row>
    <row r="296" spans="1:54" ht="12.75" customHeight="1" x14ac:dyDescent="0.2">
      <c r="A296" s="867"/>
      <c r="C296" s="759"/>
      <c r="D296" s="760"/>
      <c r="E296" s="748"/>
      <c r="F296" s="708"/>
      <c r="G296" s="708"/>
      <c r="H296" s="708"/>
      <c r="I296" s="708"/>
      <c r="J296" s="708"/>
      <c r="K296" s="708"/>
      <c r="L296" s="708"/>
      <c r="M296" s="708"/>
      <c r="N296" s="708"/>
      <c r="O296" s="708"/>
      <c r="P296" s="708"/>
      <c r="Q296" s="708"/>
      <c r="R296" s="708"/>
      <c r="S296" s="708"/>
      <c r="T296" s="708"/>
      <c r="U296" s="708"/>
      <c r="V296" s="708"/>
      <c r="W296" s="708"/>
      <c r="X296" s="708"/>
      <c r="Y296" s="708"/>
      <c r="Z296" s="708"/>
      <c r="AA296" s="708"/>
      <c r="AB296" s="708"/>
      <c r="AC296" s="708"/>
      <c r="AD296" s="708"/>
      <c r="AE296" s="708"/>
      <c r="AF296" s="708"/>
      <c r="AG296" s="708"/>
      <c r="AH296" s="708"/>
      <c r="AI296" s="708"/>
      <c r="AJ296" s="708"/>
      <c r="AK296" s="708"/>
      <c r="AL296" s="708"/>
      <c r="AM296" s="708"/>
      <c r="AN296" s="708"/>
      <c r="AO296" s="709"/>
      <c r="AP296" s="710"/>
      <c r="AQ296" s="763" t="str">
        <f t="shared" si="28"/>
        <v/>
      </c>
      <c r="AS296" s="268"/>
      <c r="AV296" s="699"/>
      <c r="AW296" s="700">
        <v>2.3E-2</v>
      </c>
      <c r="AX296" s="382">
        <f t="shared" si="26"/>
        <v>0</v>
      </c>
      <c r="AY296" s="379" t="str">
        <f t="shared" ca="1" si="29"/>
        <v>CARBONÁSZ</v>
      </c>
      <c r="AZ296" s="384">
        <f t="shared" si="27"/>
        <v>0</v>
      </c>
      <c r="BA296" s="642"/>
    </row>
    <row r="297" spans="1:54" ht="13.5" customHeight="1" x14ac:dyDescent="0.2">
      <c r="A297" s="867"/>
      <c r="AV297" s="699"/>
      <c r="AW297" s="700">
        <v>2.3099999999999999E-2</v>
      </c>
      <c r="AX297" s="642"/>
      <c r="AY297" s="642"/>
      <c r="BA297" s="642"/>
    </row>
    <row r="298" spans="1:54" ht="1.5" customHeight="1" x14ac:dyDescent="0.2">
      <c r="A298" s="867"/>
      <c r="AV298" s="699"/>
      <c r="AW298" s="700">
        <v>2.3199999999999998E-2</v>
      </c>
    </row>
    <row r="299" spans="1:54" s="186" customFormat="1" ht="11.25" hidden="1" customHeight="1" x14ac:dyDescent="0.2">
      <c r="A299" s="867"/>
      <c r="AS299" s="672"/>
      <c r="AU299" s="669"/>
      <c r="AV299" s="699"/>
      <c r="AW299" s="700">
        <v>2.3300000000000001E-2</v>
      </c>
      <c r="AX299" s="643"/>
      <c r="AY299" s="643"/>
      <c r="AZ299" s="671"/>
      <c r="BA299" s="643"/>
      <c r="BB299" s="669"/>
    </row>
    <row r="300" spans="1:54" s="673" customFormat="1" ht="13.5" hidden="1" customHeight="1" x14ac:dyDescent="0.2">
      <c r="A300" s="867"/>
      <c r="D300" s="674"/>
      <c r="E300" s="674"/>
      <c r="F300" s="674"/>
      <c r="G300" s="674"/>
      <c r="H300" s="674"/>
      <c r="I300" s="674"/>
      <c r="J300" s="674"/>
      <c r="K300" s="674"/>
      <c r="L300" s="674"/>
      <c r="M300" s="674"/>
      <c r="N300" s="674"/>
      <c r="O300" s="674"/>
      <c r="P300" s="674"/>
      <c r="Q300" s="674"/>
      <c r="R300" s="674"/>
      <c r="S300" s="674"/>
      <c r="T300" s="674"/>
      <c r="U300" s="674"/>
      <c r="V300" s="674"/>
      <c r="W300" s="674"/>
      <c r="X300" s="674"/>
      <c r="Y300" s="674"/>
      <c r="Z300" s="674"/>
      <c r="AA300" s="674"/>
      <c r="AB300" s="674"/>
      <c r="AC300" s="674"/>
      <c r="AD300" s="674"/>
      <c r="AE300" s="674"/>
      <c r="AF300" s="674"/>
      <c r="AG300" s="674"/>
      <c r="AH300" s="674"/>
      <c r="AI300" s="674"/>
      <c r="AJ300" s="674"/>
      <c r="AK300" s="674"/>
      <c r="AL300" s="674"/>
      <c r="AM300" s="674"/>
      <c r="AN300" s="674"/>
      <c r="AO300" s="674"/>
      <c r="AP300" s="674"/>
      <c r="AS300" s="675"/>
      <c r="AU300" s="643"/>
      <c r="AV300" s="699"/>
      <c r="AW300" s="700">
        <v>2.3400000000000001E-2</v>
      </c>
      <c r="AX300" s="643"/>
      <c r="AY300" s="643"/>
      <c r="AZ300" s="671"/>
      <c r="BA300" s="643"/>
      <c r="BB300" s="643"/>
    </row>
    <row r="301" spans="1:54" s="673" customFormat="1" ht="13.5" hidden="1" customHeight="1" x14ac:dyDescent="0.2">
      <c r="A301" s="867"/>
      <c r="C301" s="324">
        <f>C251+1</f>
        <v>6</v>
      </c>
      <c r="D301" s="383"/>
      <c r="E301" s="383">
        <v>1</v>
      </c>
      <c r="F301" s="383">
        <v>2</v>
      </c>
      <c r="G301" s="383">
        <v>3</v>
      </c>
      <c r="H301" s="383">
        <v>4</v>
      </c>
      <c r="I301" s="383">
        <v>5</v>
      </c>
      <c r="J301" s="383">
        <v>6</v>
      </c>
      <c r="K301" s="383">
        <v>7</v>
      </c>
      <c r="L301" s="383">
        <v>8</v>
      </c>
      <c r="M301" s="383">
        <v>9</v>
      </c>
      <c r="N301" s="383">
        <v>10</v>
      </c>
      <c r="O301" s="383">
        <v>11</v>
      </c>
      <c r="P301" s="383">
        <v>12</v>
      </c>
      <c r="Q301" s="383">
        <v>13</v>
      </c>
      <c r="R301" s="383">
        <v>14</v>
      </c>
      <c r="S301" s="383">
        <v>15</v>
      </c>
      <c r="T301" s="383">
        <v>16</v>
      </c>
      <c r="U301" s="383">
        <v>17</v>
      </c>
      <c r="V301" s="383">
        <v>18</v>
      </c>
      <c r="W301" s="383">
        <v>19</v>
      </c>
      <c r="X301" s="383">
        <v>20</v>
      </c>
      <c r="Y301" s="383">
        <v>21</v>
      </c>
      <c r="Z301" s="751">
        <v>22</v>
      </c>
      <c r="AA301" s="383">
        <v>23</v>
      </c>
      <c r="AB301" s="383">
        <v>24</v>
      </c>
      <c r="AC301" s="383">
        <v>25</v>
      </c>
      <c r="AD301" s="383">
        <v>26</v>
      </c>
      <c r="AE301" s="383">
        <v>27</v>
      </c>
      <c r="AF301" s="383"/>
      <c r="AG301" s="383"/>
      <c r="AH301" s="383"/>
      <c r="AI301" s="383"/>
      <c r="AJ301" s="383"/>
      <c r="AK301" s="383"/>
      <c r="AL301" s="383"/>
      <c r="AM301" s="383"/>
      <c r="AN301" s="383"/>
      <c r="AO301" s="383"/>
      <c r="AP301" s="674"/>
      <c r="AS301" s="675"/>
      <c r="AU301" s="643"/>
      <c r="AV301" s="699"/>
      <c r="AW301" s="700">
        <v>2.35E-2</v>
      </c>
      <c r="AX301" s="643"/>
      <c r="AY301" s="643"/>
      <c r="AZ301" s="671"/>
      <c r="BA301" s="643"/>
      <c r="BB301" s="643"/>
    </row>
    <row r="302" spans="1:54" s="673" customFormat="1" ht="13.5" hidden="1" customHeight="1" x14ac:dyDescent="0.2">
      <c r="A302" s="867"/>
      <c r="D302" s="383"/>
      <c r="E302" s="383"/>
      <c r="F302" s="383"/>
      <c r="G302" s="383"/>
      <c r="H302" s="383"/>
      <c r="I302" s="383"/>
      <c r="J302" s="383"/>
      <c r="K302" s="383"/>
      <c r="L302" s="383"/>
      <c r="M302" s="383"/>
      <c r="N302" s="383"/>
      <c r="O302" s="383"/>
      <c r="P302" s="383"/>
      <c r="Q302" s="383"/>
      <c r="R302" s="383"/>
      <c r="S302" s="383"/>
      <c r="T302" s="383"/>
      <c r="U302" s="383"/>
      <c r="V302" s="383"/>
      <c r="W302" s="383"/>
      <c r="X302" s="383"/>
      <c r="Y302" s="383"/>
      <c r="Z302" s="751"/>
      <c r="AA302" s="383"/>
      <c r="AB302" s="383"/>
      <c r="AC302" s="383"/>
      <c r="AD302" s="383"/>
      <c r="AE302" s="383"/>
      <c r="AF302" s="383"/>
      <c r="AG302" s="383"/>
      <c r="AH302" s="383"/>
      <c r="AI302" s="383"/>
      <c r="AJ302" s="383"/>
      <c r="AK302" s="383"/>
      <c r="AL302" s="383"/>
      <c r="AM302" s="383"/>
      <c r="AN302" s="383"/>
      <c r="AO302" s="383"/>
      <c r="AP302" s="674"/>
      <c r="AS302" s="675"/>
      <c r="AU302" s="643"/>
      <c r="AV302" s="699"/>
      <c r="AW302" s="700">
        <v>2.3599999999999999E-2</v>
      </c>
      <c r="AX302" s="643"/>
      <c r="AY302" s="643"/>
      <c r="AZ302" s="671"/>
      <c r="BA302" s="643"/>
      <c r="BB302" s="643"/>
    </row>
    <row r="303" spans="1:54" s="673" customFormat="1" ht="13.5" hidden="1" customHeight="1" x14ac:dyDescent="0.2">
      <c r="A303" s="867"/>
      <c r="D303" s="676"/>
      <c r="E303" s="676">
        <f t="shared" ref="E303:AE303" si="30">E$53</f>
        <v>1</v>
      </c>
      <c r="F303" s="676">
        <f t="shared" si="30"/>
        <v>17</v>
      </c>
      <c r="G303" s="676">
        <f t="shared" si="30"/>
        <v>33</v>
      </c>
      <c r="H303" s="676">
        <f t="shared" si="30"/>
        <v>49</v>
      </c>
      <c r="I303" s="676">
        <f t="shared" si="30"/>
        <v>65</v>
      </c>
      <c r="J303" s="676">
        <f t="shared" si="30"/>
        <v>81</v>
      </c>
      <c r="K303" s="676">
        <f t="shared" si="30"/>
        <v>97</v>
      </c>
      <c r="L303" s="676">
        <f t="shared" si="30"/>
        <v>113</v>
      </c>
      <c r="M303" s="676">
        <f t="shared" si="30"/>
        <v>129</v>
      </c>
      <c r="N303" s="676">
        <f t="shared" si="30"/>
        <v>145</v>
      </c>
      <c r="O303" s="676">
        <f t="shared" si="30"/>
        <v>161</v>
      </c>
      <c r="P303" s="676">
        <f t="shared" si="30"/>
        <v>177</v>
      </c>
      <c r="Q303" s="676">
        <f t="shared" si="30"/>
        <v>193</v>
      </c>
      <c r="R303" s="676">
        <f t="shared" si="30"/>
        <v>209</v>
      </c>
      <c r="S303" s="676">
        <f t="shared" si="30"/>
        <v>225</v>
      </c>
      <c r="T303" s="676">
        <f t="shared" si="30"/>
        <v>241</v>
      </c>
      <c r="U303" s="676">
        <f t="shared" si="30"/>
        <v>257</v>
      </c>
      <c r="V303" s="676">
        <f t="shared" si="30"/>
        <v>273</v>
      </c>
      <c r="W303" s="676">
        <f t="shared" si="30"/>
        <v>289</v>
      </c>
      <c r="X303" s="676">
        <f t="shared" si="30"/>
        <v>305</v>
      </c>
      <c r="Y303" s="676">
        <f t="shared" si="30"/>
        <v>321</v>
      </c>
      <c r="Z303" s="676">
        <f t="shared" si="30"/>
        <v>337</v>
      </c>
      <c r="AA303" s="676">
        <f t="shared" si="30"/>
        <v>1</v>
      </c>
      <c r="AB303" s="676">
        <f t="shared" si="30"/>
        <v>19</v>
      </c>
      <c r="AC303" s="676">
        <f t="shared" si="30"/>
        <v>37</v>
      </c>
      <c r="AD303" s="676">
        <f t="shared" si="30"/>
        <v>55</v>
      </c>
      <c r="AE303" s="676">
        <f t="shared" si="30"/>
        <v>73</v>
      </c>
      <c r="AF303" s="676"/>
      <c r="AG303" s="676"/>
      <c r="AH303" s="676"/>
      <c r="AI303" s="676"/>
      <c r="AJ303" s="676"/>
      <c r="AK303" s="676"/>
      <c r="AL303" s="676"/>
      <c r="AM303" s="676"/>
      <c r="AN303" s="676"/>
      <c r="AO303" s="676"/>
      <c r="AP303" s="674"/>
      <c r="AS303" s="675"/>
      <c r="AU303" s="643"/>
      <c r="AV303" s="699"/>
      <c r="AW303" s="700">
        <v>2.3699999999999999E-2</v>
      </c>
      <c r="AX303" s="643"/>
      <c r="AY303" s="643"/>
      <c r="AZ303" s="671"/>
      <c r="BA303" s="643"/>
      <c r="BB303" s="643"/>
    </row>
    <row r="304" spans="1:54" s="673" customFormat="1" ht="13.5" hidden="1" customHeight="1" x14ac:dyDescent="0.2">
      <c r="A304" s="867"/>
      <c r="D304" s="677"/>
      <c r="E304" s="749" t="b">
        <f ca="1">COUNTIF(OFFSET(ASZ!$AB$42,E303,-4,12,2),$C312)=0</f>
        <v>0</v>
      </c>
      <c r="F304" s="749" t="b">
        <f ca="1">COUNTIF(OFFSET(ASZ!$AB$42,F303,-4,12,2),$C312)=0</f>
        <v>0</v>
      </c>
      <c r="G304" s="749" t="b">
        <f ca="1">COUNTIF(OFFSET(ASZ!$AB$42,G303,-4,12,2),$C312)=0</f>
        <v>0</v>
      </c>
      <c r="H304" s="749" t="b">
        <f ca="1">COUNTIF(OFFSET(ASZ!$AB$42,H303,-4,12,2),$C312)=0</f>
        <v>0</v>
      </c>
      <c r="I304" s="749" t="b">
        <f ca="1">COUNTIF(OFFSET(ASZ!$AB$42,I303,-4,12,2),$C312)=0</f>
        <v>0</v>
      </c>
      <c r="J304" s="749" t="b">
        <f ca="1">COUNTIF(OFFSET(ASZ!$AB$42,J303,-4,12,2),$C312)=0</f>
        <v>0</v>
      </c>
      <c r="K304" s="749" t="b">
        <f ca="1">COUNTIF(OFFSET(ASZ!$AB$42,K303,-4,12,2),$C312)=0</f>
        <v>0</v>
      </c>
      <c r="L304" s="749" t="b">
        <f ca="1">COUNTIF(OFFSET(ASZ!$AB$42,L303,-4,12,2),$C312)=0</f>
        <v>0</v>
      </c>
      <c r="M304" s="749" t="b">
        <f ca="1">COUNTIF(OFFSET(ASZ!$AB$42,M303,-4,12,2),$C312)=0</f>
        <v>0</v>
      </c>
      <c r="N304" s="749" t="b">
        <f ca="1">COUNTIF(OFFSET(ASZ!$AB$42,N303,-4,12,2),$C312)=0</f>
        <v>0</v>
      </c>
      <c r="O304" s="749" t="b">
        <f ca="1">COUNTIF(OFFSET(ASZ!$AB$42,O303,-4,12,2),$C312)=0</f>
        <v>0</v>
      </c>
      <c r="P304" s="749" t="b">
        <f ca="1">COUNTIF(OFFSET(ASZ!$AB$42,P303,-4,12,2),$C312)=0</f>
        <v>0</v>
      </c>
      <c r="Q304" s="749" t="b">
        <f ca="1">COUNTIF(OFFSET(ASZ!$AB$42,Q303,-4,12,2),$C312)=0</f>
        <v>0</v>
      </c>
      <c r="R304" s="749" t="b">
        <f ca="1">COUNTIF(OFFSET(ASZ!$AB$42,R303,-4,12,2),$C312)=0</f>
        <v>0</v>
      </c>
      <c r="S304" s="749" t="b">
        <f ca="1">COUNTIF(OFFSET(ASZ!$AB$42,S303,-4,12,2),$C312)=0</f>
        <v>0</v>
      </c>
      <c r="T304" s="749" t="b">
        <f ca="1">COUNTIF(OFFSET(ASZ!$AB$42,T303,-4,12,2),$C312)=0</f>
        <v>0</v>
      </c>
      <c r="U304" s="749" t="b">
        <f ca="1">COUNTIF(OFFSET(ASZ!$AB$42,U303,-4,12,2),$C312)=0</f>
        <v>0</v>
      </c>
      <c r="V304" s="749" t="b">
        <f ca="1">COUNTIF(OFFSET(ASZ!$AB$42,V303,-4,12,2),$C312)=0</f>
        <v>0</v>
      </c>
      <c r="W304" s="749" t="b">
        <f ca="1">COUNTIF(OFFSET(ASZ!$AB$42,W303,-4,12,2),$C312)=0</f>
        <v>0</v>
      </c>
      <c r="X304" s="749" t="b">
        <f ca="1">COUNTIF(OFFSET(ASZ!$AB$42,X303,-4,12,2),$C312)=0</f>
        <v>0</v>
      </c>
      <c r="Y304" s="749" t="b">
        <f ca="1">COUNTIF(OFFSET(ASZ!$AB$42,Y303,-4,12,2),$C312)=0</f>
        <v>0</v>
      </c>
      <c r="Z304" s="753" t="b">
        <f ca="1">COUNTIF(OFFSET(ASZ!$AB$42,Z303,-4,12,2),$C312)=0</f>
        <v>0</v>
      </c>
      <c r="AA304" s="749" t="b">
        <f ca="1">COUNTIF(OFFSET(RCSOP!$AF$56,AA303,-4,14,2),$C312)=0</f>
        <v>0</v>
      </c>
      <c r="AB304" s="749" t="b">
        <f ca="1">COUNTIF(OFFSET(RCSOP!$AF$56,AB303,-4,14,2),$C312)=0</f>
        <v>0</v>
      </c>
      <c r="AC304" s="749" t="b">
        <f ca="1">COUNTIF(OFFSET(RCSOP!$AF$56,AC303,-4,14,2),$C312)=0</f>
        <v>0</v>
      </c>
      <c r="AD304" s="749" t="b">
        <f ca="1">COUNTIF(OFFSET(RCSOP!$AF$56,AD303,-4,14,2),$C312)=0</f>
        <v>0</v>
      </c>
      <c r="AE304" s="749" t="b">
        <f ca="1">COUNTIF(OFFSET(RCSOP!$AF$56,AE303,-4,14,2),$C312)=0</f>
        <v>0</v>
      </c>
      <c r="AF304" s="677"/>
      <c r="AG304" s="677"/>
      <c r="AH304" s="677"/>
      <c r="AI304" s="677"/>
      <c r="AJ304" s="677"/>
      <c r="AK304" s="677"/>
      <c r="AL304" s="677"/>
      <c r="AM304" s="677"/>
      <c r="AN304" s="677"/>
      <c r="AO304" s="677"/>
      <c r="AP304" s="674"/>
      <c r="AS304" s="675"/>
      <c r="AU304" s="643"/>
      <c r="AV304" s="699"/>
      <c r="AW304" s="700">
        <v>2.3800000000000002E-2</v>
      </c>
      <c r="AY304" s="643"/>
      <c r="AZ304" s="671"/>
      <c r="BA304" s="643"/>
      <c r="BB304" s="643"/>
    </row>
    <row r="305" spans="1:54" s="673" customFormat="1" ht="13.5" hidden="1" customHeight="1" x14ac:dyDescent="0.2">
      <c r="A305" s="867"/>
      <c r="D305" s="677"/>
      <c r="E305" s="749" t="b">
        <f ca="1">COUNTIF(OFFSET(ASZ!$AB$42,E303,-4,12,1),$C312)=1</f>
        <v>1</v>
      </c>
      <c r="F305" s="749" t="b">
        <f ca="1">COUNTIF(OFFSET(ASZ!$AB$42,F303,-4,12,1),$C312)=1</f>
        <v>1</v>
      </c>
      <c r="G305" s="749" t="b">
        <f ca="1">COUNTIF(OFFSET(ASZ!$AB$42,G303,-4,12,1),$C312)=1</f>
        <v>1</v>
      </c>
      <c r="H305" s="749" t="b">
        <f ca="1">COUNTIF(OFFSET(ASZ!$AB$42,H303,-4,12,1),$C312)=1</f>
        <v>1</v>
      </c>
      <c r="I305" s="749" t="b">
        <f ca="1">COUNTIF(OFFSET(ASZ!$AB$42,I303,-4,12,1),$C312)=1</f>
        <v>1</v>
      </c>
      <c r="J305" s="749" t="b">
        <f ca="1">COUNTIF(OFFSET(ASZ!$AB$42,J303,-4,12,1),$C312)=1</f>
        <v>1</v>
      </c>
      <c r="K305" s="749" t="b">
        <f ca="1">COUNTIF(OFFSET(ASZ!$AB$42,K303,-4,12,1),$C312)=1</f>
        <v>1</v>
      </c>
      <c r="L305" s="749" t="b">
        <f ca="1">COUNTIF(OFFSET(ASZ!$AB$42,L303,-4,12,1),$C312)=1</f>
        <v>0</v>
      </c>
      <c r="M305" s="749" t="b">
        <f ca="1">COUNTIF(OFFSET(ASZ!$AB$42,M303,-4,12,1),$C312)=1</f>
        <v>1</v>
      </c>
      <c r="N305" s="749" t="b">
        <f ca="1">COUNTIF(OFFSET(ASZ!$AB$42,N303,-4,12,1),$C312)=1</f>
        <v>0</v>
      </c>
      <c r="O305" s="749" t="b">
        <f ca="1">COUNTIF(OFFSET(ASZ!$AB$42,O303,-4,12,1),$C312)=1</f>
        <v>1</v>
      </c>
      <c r="P305" s="749" t="b">
        <f ca="1">COUNTIF(OFFSET(ASZ!$AB$42,P303,-4,12,1),$C312)=1</f>
        <v>0</v>
      </c>
      <c r="Q305" s="749" t="b">
        <f ca="1">COUNTIF(OFFSET(ASZ!$AB$42,Q303,-4,12,1),$C312)=1</f>
        <v>0</v>
      </c>
      <c r="R305" s="749" t="b">
        <f ca="1">COUNTIF(OFFSET(ASZ!$AB$42,R303,-4,12,1),$C312)=1</f>
        <v>1</v>
      </c>
      <c r="S305" s="749" t="b">
        <f ca="1">COUNTIF(OFFSET(ASZ!$AB$42,S303,-4,12,1),$C312)=1</f>
        <v>0</v>
      </c>
      <c r="T305" s="749" t="b">
        <f ca="1">COUNTIF(OFFSET(ASZ!$AB$42,T303,-4,12,1),$C312)=1</f>
        <v>0</v>
      </c>
      <c r="U305" s="749" t="b">
        <f ca="1">COUNTIF(OFFSET(ASZ!$AB$42,U303,-4,12,1),$C312)=1</f>
        <v>0</v>
      </c>
      <c r="V305" s="749" t="b">
        <f ca="1">COUNTIF(OFFSET(ASZ!$AB$42,V303,-4,12,1),$C312)=1</f>
        <v>0</v>
      </c>
      <c r="W305" s="749" t="b">
        <f ca="1">COUNTIF(OFFSET(ASZ!$AB$42,W303,-4,12,1),$C312)=1</f>
        <v>1</v>
      </c>
      <c r="X305" s="749" t="b">
        <f ca="1">COUNTIF(OFFSET(ASZ!$AB$42,X303,-4,12,1),$C312)=1</f>
        <v>0</v>
      </c>
      <c r="Y305" s="749" t="b">
        <f ca="1">COUNTIF(OFFSET(ASZ!$AB$42,Y303,-4,12,1),$C312)=1</f>
        <v>1</v>
      </c>
      <c r="Z305" s="753" t="b">
        <f ca="1">COUNTIF(OFFSET(ASZ!$AB$42,Z303,-4,12,1),$C312)=1</f>
        <v>0</v>
      </c>
      <c r="AA305" s="749" t="b">
        <f ca="1">COUNTIF(OFFSET(RCSOP!$AF$56,AA303,-4,14,1),$C312)=1</f>
        <v>0</v>
      </c>
      <c r="AB305" s="749" t="b">
        <f ca="1">COUNTIF(OFFSET(RCSOP!$AF$56,AB303,-4,14,1),$C312)=1</f>
        <v>0</v>
      </c>
      <c r="AC305" s="749" t="b">
        <f ca="1">COUNTIF(OFFSET(RCSOP!$AF$56,AC303,-4,14,1),$C312)=1</f>
        <v>1</v>
      </c>
      <c r="AD305" s="749" t="b">
        <f ca="1">COUNTIF(OFFSET(RCSOP!$AF$56,AD303,-4,14,1),$C312)=1</f>
        <v>0</v>
      </c>
      <c r="AE305" s="749" t="b">
        <f ca="1">COUNTIF(OFFSET(RCSOP!$AF$56,AE303,-4,14,1),$C312)=1</f>
        <v>0</v>
      </c>
      <c r="AF305" s="677"/>
      <c r="AG305" s="677"/>
      <c r="AH305" s="677"/>
      <c r="AI305" s="677"/>
      <c r="AJ305" s="677"/>
      <c r="AK305" s="677"/>
      <c r="AL305" s="677"/>
      <c r="AM305" s="677"/>
      <c r="AN305" s="677"/>
      <c r="AO305" s="677"/>
      <c r="AP305" s="674"/>
      <c r="AS305" s="675"/>
      <c r="AU305" s="643"/>
      <c r="AV305" s="699"/>
      <c r="AW305" s="700">
        <v>2.3900000000000001E-2</v>
      </c>
      <c r="AX305" s="643"/>
      <c r="AY305" s="643"/>
      <c r="AZ305" s="671"/>
      <c r="BA305" s="643"/>
      <c r="BB305" s="643"/>
    </row>
    <row r="306" spans="1:54" s="673" customFormat="1" ht="13.5" hidden="1" customHeight="1" x14ac:dyDescent="0.2">
      <c r="A306" s="867"/>
      <c r="D306" s="674"/>
      <c r="E306" s="674"/>
      <c r="F306" s="674"/>
      <c r="G306" s="674"/>
      <c r="H306" s="674"/>
      <c r="I306" s="674"/>
      <c r="J306" s="674"/>
      <c r="K306" s="674"/>
      <c r="L306" s="674"/>
      <c r="M306" s="674"/>
      <c r="N306" s="674"/>
      <c r="O306" s="674"/>
      <c r="P306" s="674"/>
      <c r="Q306" s="674"/>
      <c r="R306" s="674"/>
      <c r="S306" s="674"/>
      <c r="T306" s="674"/>
      <c r="U306" s="674"/>
      <c r="V306" s="674"/>
      <c r="W306" s="674"/>
      <c r="X306" s="674"/>
      <c r="Y306" s="674"/>
      <c r="Z306" s="674"/>
      <c r="AA306" s="674"/>
      <c r="AB306" s="674"/>
      <c r="AC306" s="674"/>
      <c r="AD306" s="674"/>
      <c r="AE306" s="674"/>
      <c r="AF306" s="674"/>
      <c r="AG306" s="674"/>
      <c r="AH306" s="674"/>
      <c r="AI306" s="674"/>
      <c r="AJ306" s="674"/>
      <c r="AK306" s="674"/>
      <c r="AL306" s="674"/>
      <c r="AM306" s="674"/>
      <c r="AN306" s="674"/>
      <c r="AO306" s="674"/>
      <c r="AP306" s="674"/>
      <c r="AS306" s="675"/>
      <c r="AU306" s="643"/>
      <c r="AV306" s="699"/>
      <c r="AW306" s="700">
        <v>2.4E-2</v>
      </c>
      <c r="AX306" s="643"/>
      <c r="AY306" s="643"/>
      <c r="AZ306" s="671"/>
      <c r="BA306" s="643"/>
      <c r="BB306" s="643"/>
    </row>
    <row r="307" spans="1:54" s="673" customFormat="1" ht="13.5" hidden="1" customHeight="1" x14ac:dyDescent="0.2">
      <c r="A307" s="867"/>
      <c r="D307" s="674"/>
      <c r="E307" s="674"/>
      <c r="F307" s="674"/>
      <c r="G307" s="674"/>
      <c r="H307" s="674"/>
      <c r="I307" s="674"/>
      <c r="J307" s="674"/>
      <c r="K307" s="674"/>
      <c r="L307" s="674"/>
      <c r="M307" s="674"/>
      <c r="N307" s="674"/>
      <c r="O307" s="674"/>
      <c r="P307" s="674"/>
      <c r="Q307" s="674"/>
      <c r="R307" s="674"/>
      <c r="S307" s="674"/>
      <c r="T307" s="674"/>
      <c r="U307" s="674"/>
      <c r="V307" s="674"/>
      <c r="W307" s="674"/>
      <c r="X307" s="674"/>
      <c r="Y307" s="674"/>
      <c r="Z307" s="674"/>
      <c r="AA307" s="674"/>
      <c r="AB307" s="674"/>
      <c r="AC307" s="674"/>
      <c r="AD307" s="674"/>
      <c r="AE307" s="674"/>
      <c r="AF307" s="674"/>
      <c r="AG307" s="674"/>
      <c r="AH307" s="674"/>
      <c r="AI307" s="674"/>
      <c r="AJ307" s="674"/>
      <c r="AK307" s="674"/>
      <c r="AL307" s="674"/>
      <c r="AM307" s="674"/>
      <c r="AN307" s="674"/>
      <c r="AO307" s="674"/>
      <c r="AP307" s="674"/>
      <c r="AS307" s="675"/>
      <c r="AU307" s="643"/>
      <c r="AV307" s="699"/>
      <c r="AW307" s="700">
        <v>2.41E-2</v>
      </c>
      <c r="AX307" s="643"/>
      <c r="AY307" s="643"/>
      <c r="AZ307" s="671"/>
      <c r="BA307" s="643"/>
      <c r="BB307" s="643"/>
    </row>
    <row r="308" spans="1:54" s="673" customFormat="1" ht="13.5" hidden="1" customHeight="1" x14ac:dyDescent="0.2">
      <c r="A308" s="867"/>
      <c r="D308" s="674"/>
      <c r="E308" s="674"/>
      <c r="F308" s="674"/>
      <c r="G308" s="674"/>
      <c r="H308" s="674"/>
      <c r="I308" s="674"/>
      <c r="J308" s="674"/>
      <c r="K308" s="674"/>
      <c r="L308" s="674"/>
      <c r="M308" s="674"/>
      <c r="N308" s="674"/>
      <c r="O308" s="674"/>
      <c r="P308" s="674"/>
      <c r="Q308" s="674"/>
      <c r="R308" s="674"/>
      <c r="S308" s="674"/>
      <c r="T308" s="674"/>
      <c r="U308" s="674"/>
      <c r="V308" s="674"/>
      <c r="W308" s="674"/>
      <c r="X308" s="674"/>
      <c r="Y308" s="674"/>
      <c r="Z308" s="674"/>
      <c r="AA308" s="674"/>
      <c r="AB308" s="674"/>
      <c r="AC308" s="674"/>
      <c r="AD308" s="674"/>
      <c r="AE308" s="674"/>
      <c r="AF308" s="674"/>
      <c r="AG308" s="674"/>
      <c r="AH308" s="674"/>
      <c r="AI308" s="674"/>
      <c r="AJ308" s="674"/>
      <c r="AK308" s="674"/>
      <c r="AL308" s="674"/>
      <c r="AM308" s="674"/>
      <c r="AN308" s="674"/>
      <c r="AO308" s="674"/>
      <c r="AP308" s="674"/>
      <c r="AS308" s="675"/>
      <c r="AU308" s="643"/>
      <c r="AV308" s="699"/>
      <c r="AW308" s="700">
        <v>2.4199999999999999E-2</v>
      </c>
      <c r="AX308" s="643"/>
      <c r="AY308" s="643"/>
      <c r="AZ308" s="671"/>
      <c r="BA308" s="643"/>
      <c r="BB308" s="643"/>
    </row>
    <row r="309" spans="1:54" s="673" customFormat="1" ht="13.5" hidden="1" customHeight="1" x14ac:dyDescent="0.2">
      <c r="A309" s="867"/>
      <c r="D309" s="674"/>
      <c r="E309" s="674"/>
      <c r="F309" s="674"/>
      <c r="G309" s="674"/>
      <c r="H309" s="674"/>
      <c r="I309" s="674"/>
      <c r="J309" s="674"/>
      <c r="K309" s="674"/>
      <c r="L309" s="674"/>
      <c r="M309" s="674"/>
      <c r="N309" s="674"/>
      <c r="O309" s="674"/>
      <c r="P309" s="674"/>
      <c r="Q309" s="674"/>
      <c r="R309" s="674"/>
      <c r="S309" s="674"/>
      <c r="T309" s="674"/>
      <c r="U309" s="674"/>
      <c r="V309" s="674"/>
      <c r="W309" s="674"/>
      <c r="X309" s="674"/>
      <c r="Y309" s="674"/>
      <c r="Z309" s="674"/>
      <c r="AA309" s="674"/>
      <c r="AB309" s="674"/>
      <c r="AC309" s="674"/>
      <c r="AD309" s="674"/>
      <c r="AE309" s="674"/>
      <c r="AF309" s="674"/>
      <c r="AG309" s="674"/>
      <c r="AH309" s="674"/>
      <c r="AI309" s="674"/>
      <c r="AJ309" s="674"/>
      <c r="AK309" s="674"/>
      <c r="AL309" s="674"/>
      <c r="AM309" s="674"/>
      <c r="AN309" s="674"/>
      <c r="AO309" s="674"/>
      <c r="AP309" s="674"/>
      <c r="AS309" s="675"/>
      <c r="AU309" s="643"/>
      <c r="AV309" s="699"/>
      <c r="AW309" s="700">
        <v>2.4299999999999999E-2</v>
      </c>
      <c r="AX309" s="643"/>
      <c r="AY309" s="643"/>
      <c r="AZ309" s="671"/>
      <c r="BA309" s="643"/>
      <c r="BB309" s="643"/>
    </row>
    <row r="310" spans="1:54" s="673" customFormat="1" ht="13.5" hidden="1" customHeight="1" x14ac:dyDescent="0.2">
      <c r="A310" s="867"/>
      <c r="D310" s="674"/>
      <c r="E310" s="674"/>
      <c r="F310" s="674"/>
      <c r="G310" s="674"/>
      <c r="H310" s="674"/>
      <c r="I310" s="674"/>
      <c r="J310" s="674"/>
      <c r="K310" s="674"/>
      <c r="L310" s="674"/>
      <c r="M310" s="674"/>
      <c r="N310" s="674"/>
      <c r="O310" s="674"/>
      <c r="P310" s="674"/>
      <c r="Q310" s="674"/>
      <c r="R310" s="674"/>
      <c r="S310" s="674"/>
      <c r="T310" s="674"/>
      <c r="U310" s="674"/>
      <c r="V310" s="674"/>
      <c r="W310" s="674"/>
      <c r="X310" s="674"/>
      <c r="Y310" s="674"/>
      <c r="Z310" s="674"/>
      <c r="AA310" s="674"/>
      <c r="AB310" s="674"/>
      <c r="AC310" s="674"/>
      <c r="AD310" s="674"/>
      <c r="AE310" s="674"/>
      <c r="AF310" s="674"/>
      <c r="AG310" s="674"/>
      <c r="AH310" s="674"/>
      <c r="AI310" s="674"/>
      <c r="AJ310" s="674"/>
      <c r="AK310" s="674"/>
      <c r="AL310" s="674"/>
      <c r="AM310" s="674"/>
      <c r="AN310" s="674"/>
      <c r="AO310" s="674"/>
      <c r="AP310" s="674"/>
      <c r="AS310" s="675"/>
      <c r="AU310" s="643"/>
      <c r="AV310" s="699"/>
      <c r="AW310" s="700">
        <v>2.4400000000000002E-2</v>
      </c>
      <c r="AX310" s="643"/>
      <c r="AY310" s="643"/>
      <c r="AZ310" s="671"/>
      <c r="BA310" s="643"/>
      <c r="BB310" s="643"/>
    </row>
    <row r="311" spans="1:54" s="186" customFormat="1" ht="11.25" hidden="1" customHeight="1" x14ac:dyDescent="0.2">
      <c r="A311" s="867"/>
      <c r="D311" s="678"/>
      <c r="E311" s="678"/>
      <c r="F311" s="678"/>
      <c r="G311" s="678"/>
      <c r="H311" s="678"/>
      <c r="I311" s="678"/>
      <c r="J311" s="678"/>
      <c r="K311" s="678"/>
      <c r="L311" s="678"/>
      <c r="M311" s="678"/>
      <c r="N311" s="678"/>
      <c r="O311" s="678"/>
      <c r="P311" s="678"/>
      <c r="Q311" s="678"/>
      <c r="R311" s="678"/>
      <c r="S311" s="678"/>
      <c r="T311" s="678"/>
      <c r="U311" s="678"/>
      <c r="V311" s="678"/>
      <c r="W311" s="678"/>
      <c r="X311" s="678"/>
      <c r="Y311" s="678"/>
      <c r="Z311" s="678"/>
      <c r="AA311" s="678"/>
      <c r="AB311" s="678"/>
      <c r="AC311" s="678"/>
      <c r="AD311" s="678"/>
      <c r="AE311" s="678"/>
      <c r="AF311" s="678"/>
      <c r="AG311" s="678"/>
      <c r="AH311" s="678"/>
      <c r="AI311" s="678"/>
      <c r="AJ311" s="678"/>
      <c r="AK311" s="678"/>
      <c r="AL311" s="678"/>
      <c r="AM311" s="678"/>
      <c r="AN311" s="678"/>
      <c r="AO311" s="678"/>
      <c r="AP311" s="678"/>
      <c r="AS311" s="672"/>
      <c r="AU311" s="669"/>
      <c r="AV311" s="699"/>
      <c r="AW311" s="700">
        <v>2.4500000000000001E-2</v>
      </c>
      <c r="AX311" s="643"/>
      <c r="AY311" s="643"/>
      <c r="AZ311" s="671"/>
      <c r="BA311" s="643"/>
      <c r="BB311" s="669"/>
    </row>
    <row r="312" spans="1:54" ht="30" customHeight="1" x14ac:dyDescent="0.2">
      <c r="A312" s="867"/>
      <c r="C312" s="679" t="str">
        <f ca="1">UPPER(INDEX(teams.a,C301,1))</f>
        <v>ÉLELMESEK</v>
      </c>
      <c r="D312" s="743"/>
      <c r="E312" s="743">
        <f ca="1">IF(E304,"",VLOOKUP($C312,OFFSET(ASZ!$AB$42,E303,IF(E305,-4,-3),12,12),IF(E305,12,11),FALSE))</f>
        <v>42088</v>
      </c>
      <c r="F312" s="743">
        <f ca="1">IF(F304,"",VLOOKUP($C312,OFFSET(ASZ!$AB$42,F303,IF(F305,-4,-3),12,12),IF(F305,12,11),FALSE))</f>
        <v>42095</v>
      </c>
      <c r="G312" s="743">
        <f ca="1">IF(G304,"",VLOOKUP($C312,OFFSET(ASZ!$AB$42,G303,IF(G305,-4,-3),12,12),IF(G305,12,11),FALSE))</f>
        <v>42102</v>
      </c>
      <c r="H312" s="743">
        <f ca="1">IF(H304,"",VLOOKUP($C312,OFFSET(ASZ!$AB$42,H303,IF(H305,-4,-3),12,12),IF(H305,12,11),FALSE))</f>
        <v>42109</v>
      </c>
      <c r="I312" s="743">
        <f ca="1">IF(I304,"",VLOOKUP($C312,OFFSET(ASZ!$AB$42,I303,IF(I305,-4,-3),12,12),IF(I305,12,11),FALSE))</f>
        <v>42116</v>
      </c>
      <c r="J312" s="743">
        <f ca="1">IF(J304,"",VLOOKUP($C312,OFFSET(ASZ!$AB$42,J303,IF(J305,-4,-3),12,12),IF(J305,12,11),FALSE))</f>
        <v>42123</v>
      </c>
      <c r="K312" s="743">
        <f ca="1">IF(K304,"",VLOOKUP($C312,OFFSET(ASZ!$AB$42,K303,IF(K305,-4,-3),12,12),IF(K305,12,11),FALSE))</f>
        <v>42130</v>
      </c>
      <c r="L312" s="743">
        <f ca="1">IF(L304,"",VLOOKUP($C312,OFFSET(ASZ!$AB$42,L303,IF(L305,-4,-3),12,12),IF(L305,12,11),FALSE))</f>
        <v>42137</v>
      </c>
      <c r="M312" s="743">
        <f ca="1">IF(M304,"",VLOOKUP($C312,OFFSET(ASZ!$AB$42,M303,IF(M305,-4,-3),12,12),IF(M305,12,11),FALSE))</f>
        <v>42144</v>
      </c>
      <c r="N312" s="743">
        <f ca="1">IF(N304,"",VLOOKUP($C312,OFFSET(ASZ!$AB$42,N303,IF(N305,-4,-3),12,12),IF(N305,12,11),FALSE))</f>
        <v>42151</v>
      </c>
      <c r="O312" s="743">
        <f ca="1">IF(O304,"",VLOOKUP($C312,OFFSET(ASZ!$AB$42,O303,IF(O305,-4,-3),12,12),IF(O305,12,11),FALSE))</f>
        <v>42158</v>
      </c>
      <c r="P312" s="743">
        <f ca="1">IF(P304,"",VLOOKUP($C312,OFFSET(ASZ!$AB$42,P303,IF(P305,-4,-3),12,12),IF(P305,12,11),FALSE))</f>
        <v>42165</v>
      </c>
      <c r="Q312" s="743">
        <f ca="1">IF(Q304,"",VLOOKUP($C312,OFFSET(ASZ!$AB$42,Q303,IF(Q305,-4,-3),12,12),IF(Q305,12,11),FALSE))</f>
        <v>42172</v>
      </c>
      <c r="R312" s="743">
        <f ca="1">IF(R304,"",VLOOKUP($C312,OFFSET(ASZ!$AB$42,R303,IF(R305,-4,-3),12,12),IF(R305,12,11),FALSE))</f>
        <v>42179</v>
      </c>
      <c r="S312" s="743">
        <f ca="1">IF(S304,"",VLOOKUP($C312,OFFSET(ASZ!$AB$42,S303,IF(S305,-4,-3),12,12),IF(S305,12,11),FALSE))</f>
        <v>42242</v>
      </c>
      <c r="T312" s="743">
        <f ca="1">IF(T304,"",VLOOKUP($C312,OFFSET(ASZ!$AB$42,T303,IF(T305,-4,-3),12,12),IF(T305,12,11),FALSE))</f>
        <v>42249</v>
      </c>
      <c r="U312" s="743">
        <f ca="1">IF(U304,"",VLOOKUP($C312,OFFSET(ASZ!$AB$42,U303,IF(U305,-4,-3),12,12),IF(U305,12,11),FALSE))</f>
        <v>42256</v>
      </c>
      <c r="V312" s="743">
        <f ca="1">IF(V304,"",VLOOKUP($C312,OFFSET(ASZ!$AB$42,V303,IF(V305,-4,-3),12,12),IF(V305,12,11),FALSE))</f>
        <v>42263</v>
      </c>
      <c r="W312" s="743">
        <f ca="1">IF(W304,"",VLOOKUP($C312,OFFSET(ASZ!$AB$42,W303,IF(W305,-4,-3),12,12),IF(W305,12,11),FALSE))</f>
        <v>42270</v>
      </c>
      <c r="X312" s="743">
        <f ca="1">IF(X304,"",VLOOKUP($C312,OFFSET(ASZ!$AB$42,X303,IF(X305,-4,-3),12,12),IF(X305,12,11),FALSE))</f>
        <v>42277</v>
      </c>
      <c r="Y312" s="743">
        <f ca="1">IF(Y304,"",VLOOKUP($C312,OFFSET(ASZ!$AB$42,Y303,IF(Y305,-4,-3),12,12),IF(Y305,12,11),FALSE))</f>
        <v>42284</v>
      </c>
      <c r="Z312" s="743">
        <f ca="1">IF(Z304,"",VLOOKUP($C312,OFFSET(ASZ!$AB$42,Z303,IF(Z305,-4,-3),12,12),IF(Z305,12,11),FALSE))</f>
        <v>42291</v>
      </c>
      <c r="AA312" s="743">
        <f ca="1">IF(AA304,"",VLOOKUP($C312,OFFSET(RCSOP!$AF$56,AA303,IF(AA305,-4,-3),14,12),IF(AA305,12,11),FALSE))</f>
        <v>42298</v>
      </c>
      <c r="AB312" s="743">
        <f ca="1">IF(AB304,"",VLOOKUP($C312,OFFSET(RCSOP!$AF$56,AB303,IF(AB305,-4,-3),14,12),IF(AB305,12,11),FALSE))</f>
        <v>42305</v>
      </c>
      <c r="AC312" s="743">
        <f ca="1">IF(AC304,"",VLOOKUP($C312,OFFSET(RCSOP!$AF$56,AC303,IF(AC305,-4,-3),14,12),IF(AC305,12,11),FALSE))</f>
        <v>42312</v>
      </c>
      <c r="AD312" s="743">
        <f ca="1">IF(AD304,"",VLOOKUP($C312,OFFSET(RCSOP!$AF$56,AD303,IF(AD305,-4,-3),14,12),IF(AD305,12,11),FALSE))</f>
        <v>42319</v>
      </c>
      <c r="AE312" s="743">
        <f ca="1">IF(AE304,"",VLOOKUP($C312,OFFSET(RCSOP!$AF$56,AE303,IF(AE305,-4,-3),14,12),IF(AE305,12,11),FALSE))</f>
        <v>42326</v>
      </c>
      <c r="AF312" s="743"/>
      <c r="AG312" s="743"/>
      <c r="AH312" s="743"/>
      <c r="AI312" s="743"/>
      <c r="AJ312" s="743"/>
      <c r="AK312" s="743"/>
      <c r="AL312" s="743"/>
      <c r="AM312" s="743"/>
      <c r="AN312" s="743"/>
      <c r="AO312" s="743"/>
      <c r="AP312" s="869" t="s">
        <v>518</v>
      </c>
      <c r="AV312" s="699"/>
      <c r="AW312" s="700">
        <v>2.46E-2</v>
      </c>
    </row>
    <row r="313" spans="1:54" ht="12.75" customHeight="1" x14ac:dyDescent="0.2">
      <c r="A313" s="867"/>
      <c r="C313" s="224"/>
      <c r="D313" s="224" t="s">
        <v>519</v>
      </c>
      <c r="E313" s="692">
        <f ca="1">IF(E304,"",VLOOKUP($C312,OFFSET(ASZ!$AB$42,E303,IF(E305,-4,-3),12,3),3,FALSE))</f>
        <v>5</v>
      </c>
      <c r="F313" s="692">
        <f ca="1">IF(F304,"",VLOOKUP($C312,OFFSET(ASZ!$AB$42,F303,IF(F305,-4,-3),12,3),3,FALSE))</f>
        <v>4</v>
      </c>
      <c r="G313" s="692" t="str">
        <f ca="1">IF(G304,"",VLOOKUP($C312,OFFSET(ASZ!$AB$42,G303,IF(G305,-4,-3),12,3),3,FALSE))</f>
        <v/>
      </c>
      <c r="H313" s="692">
        <f ca="1">IF(H304,"",VLOOKUP($C312,OFFSET(ASZ!$AB$42,H303,IF(H305,-4,-3),12,3),3,FALSE))</f>
        <v>1</v>
      </c>
      <c r="I313" s="692">
        <f ca="1">IF(I304,"",VLOOKUP($C312,OFFSET(ASZ!$AB$42,I303,IF(I305,-4,-3),12,3),3,FALSE))</f>
        <v>1</v>
      </c>
      <c r="J313" s="692">
        <f ca="1">IF(J304,"",VLOOKUP($C312,OFFSET(ASZ!$AB$42,J303,IF(J305,-4,-3),12,3),3,FALSE))</f>
        <v>2</v>
      </c>
      <c r="K313" s="692">
        <f ca="1">IF(K304,"",VLOOKUP($C312,OFFSET(ASZ!$AB$42,K303,IF(K305,-4,-3),12,3),3,FALSE))</f>
        <v>1</v>
      </c>
      <c r="L313" s="692">
        <f ca="1">IF(L304,"",VLOOKUP($C312,OFFSET(ASZ!$AB$42,L303,IF(L305,-4,-3),12,3),3,FALSE))</f>
        <v>1</v>
      </c>
      <c r="M313" s="692">
        <f ca="1">IF(M304,"",VLOOKUP($C312,OFFSET(ASZ!$AB$42,M303,IF(M305,-4,-3),12,3),3,FALSE))</f>
        <v>3</v>
      </c>
      <c r="N313" s="692">
        <f ca="1">IF(N304,"",VLOOKUP($C312,OFFSET(ASZ!$AB$42,N303,IF(N305,-4,-3),12,3),3,FALSE))</f>
        <v>1</v>
      </c>
      <c r="O313" s="692">
        <f ca="1">IF(O304,"",VLOOKUP($C312,OFFSET(ASZ!$AB$42,O303,IF(O305,-4,-3),12,3),3,FALSE))</f>
        <v>6</v>
      </c>
      <c r="P313" s="692">
        <f ca="1">IF(P304,"",VLOOKUP($C312,OFFSET(ASZ!$AB$42,P303,IF(P305,-4,-3),12,3),3,FALSE))</f>
        <v>6</v>
      </c>
      <c r="Q313" s="692">
        <f ca="1">IF(Q304,"",VLOOKUP($C312,OFFSET(ASZ!$AB$42,Q303,IF(Q305,-4,-3),12,3),3,FALSE))</f>
        <v>1</v>
      </c>
      <c r="R313" s="692" t="str">
        <f ca="1">IF(R304,"",VLOOKUP($C312,OFFSET(ASZ!$AB$42,R303,IF(R305,-4,-3),12,3),3,FALSE))</f>
        <v/>
      </c>
      <c r="S313" s="692">
        <f ca="1">IF(S304,"",VLOOKUP($C312,OFFSET(ASZ!$AB$42,S303,IF(S305,-4,-3),12,3),3,FALSE))</f>
        <v>3</v>
      </c>
      <c r="T313" s="692">
        <f ca="1">IF(T304,"",VLOOKUP($C312,OFFSET(ASZ!$AB$42,T303,IF(T305,-4,-3),12,3),3,FALSE))</f>
        <v>3</v>
      </c>
      <c r="U313" s="692">
        <f ca="1">IF(U304,"",VLOOKUP($C312,OFFSET(ASZ!$AB$42,U303,IF(U305,-4,-3),12,3),3,FALSE))</f>
        <v>10</v>
      </c>
      <c r="V313" s="692">
        <f ca="1">IF(V304,"",VLOOKUP($C312,OFFSET(ASZ!$AB$42,V303,IF(V305,-4,-3),12,3),3,FALSE))</f>
        <v>0</v>
      </c>
      <c r="W313" s="692">
        <f ca="1">IF(W304,"",VLOOKUP($C312,OFFSET(ASZ!$AB$42,W303,IF(W305,-4,-3),12,3),3,FALSE))</f>
        <v>2</v>
      </c>
      <c r="X313" s="692">
        <f ca="1">IF(X304,"",VLOOKUP($C312,OFFSET(ASZ!$AB$42,X303,IF(X305,-4,-3),12,3),3,FALSE))</f>
        <v>2</v>
      </c>
      <c r="Y313" s="692">
        <f ca="1">IF(Y304,"",VLOOKUP($C312,OFFSET(ASZ!$AB$42,Y303,IF(Y305,-4,-3),12,3),3,FALSE))</f>
        <v>2</v>
      </c>
      <c r="Z313" s="692">
        <f ca="1">IF(Z304,"",VLOOKUP($C312,OFFSET(ASZ!$AB$42,Z303,IF(Z305,-4,-3),12,3),3,FALSE))</f>
        <v>1</v>
      </c>
      <c r="AA313" s="692">
        <f ca="1">IF(AA304,"",VLOOKUP($C312,OFFSET(RCSOP!$AF$56,AA303,IF(AA305,-4,-3),14,3),3,FALSE))</f>
        <v>2</v>
      </c>
      <c r="AB313" s="692">
        <f ca="1">IF(AB304,"",VLOOKUP($C312,OFFSET(RCSOP!$AF$56,AB303,IF(AB305,-4,-3),14,3),3,FALSE))</f>
        <v>2</v>
      </c>
      <c r="AC313" s="692">
        <f ca="1">IF(AC304,"",VLOOKUP($C312,OFFSET(RCSOP!$AF$56,AC303,IF(AC305,-4,-3),14,3),3,FALSE))</f>
        <v>3</v>
      </c>
      <c r="AD313" s="692">
        <f ca="1">IF(AD304,"",VLOOKUP($C312,OFFSET(RCSOP!$AF$56,AD303,IF(AD305,-4,-3),14,3),3,FALSE))</f>
        <v>2</v>
      </c>
      <c r="AE313" s="692">
        <f ca="1">IF(AE304,"",VLOOKUP($C312,OFFSET(RCSOP!$AF$56,AE303,IF(AE305,-4,-3),14,3),3,FALSE))</f>
        <v>4</v>
      </c>
      <c r="AF313" s="692"/>
      <c r="AG313" s="692"/>
      <c r="AH313" s="692"/>
      <c r="AI313" s="692"/>
      <c r="AJ313" s="692"/>
      <c r="AK313" s="692"/>
      <c r="AL313" s="692"/>
      <c r="AM313" s="692"/>
      <c r="AN313" s="692"/>
      <c r="AO313" s="692"/>
      <c r="AP313" s="869"/>
      <c r="AQ313" s="683">
        <f ca="1">IF(SUM(D313:AO313)=0,"",SUM(D313:AO313))</f>
        <v>68</v>
      </c>
      <c r="AV313" s="699"/>
      <c r="AW313" s="700">
        <v>2.47E-2</v>
      </c>
    </row>
    <row r="314" spans="1:54" ht="12.75" customHeight="1" x14ac:dyDescent="0.2">
      <c r="A314" s="867"/>
      <c r="C314" s="737"/>
      <c r="D314" s="737" t="s">
        <v>520</v>
      </c>
      <c r="E314" s="739"/>
      <c r="F314" s="740"/>
      <c r="G314" s="740"/>
      <c r="H314" s="740"/>
      <c r="I314" s="740"/>
      <c r="J314" s="740"/>
      <c r="K314" s="740"/>
      <c r="L314" s="740"/>
      <c r="M314" s="740"/>
      <c r="N314" s="740"/>
      <c r="O314" s="740"/>
      <c r="P314" s="740"/>
      <c r="Q314" s="740"/>
      <c r="R314" s="740"/>
      <c r="S314" s="740"/>
      <c r="T314" s="740"/>
      <c r="U314" s="740"/>
      <c r="V314" s="740"/>
      <c r="W314" s="740"/>
      <c r="X314" s="740"/>
      <c r="Y314" s="740"/>
      <c r="Z314" s="740"/>
      <c r="AA314" s="740"/>
      <c r="AB314" s="740"/>
      <c r="AC314" s="740"/>
      <c r="AD314" s="740"/>
      <c r="AE314" s="740"/>
      <c r="AF314" s="740"/>
      <c r="AG314" s="740"/>
      <c r="AH314" s="740"/>
      <c r="AI314" s="740"/>
      <c r="AJ314" s="740"/>
      <c r="AK314" s="740"/>
      <c r="AL314" s="740"/>
      <c r="AM314" s="740"/>
      <c r="AN314" s="740"/>
      <c r="AO314" s="741"/>
      <c r="AP314" s="869"/>
      <c r="AQ314" s="762" t="str">
        <f>IF(SUM(D314:AP314)=0,"",SUM(D314:AP314))</f>
        <v/>
      </c>
      <c r="AV314" s="699"/>
      <c r="AW314" s="700">
        <v>2.4799999999999999E-2</v>
      </c>
    </row>
    <row r="315" spans="1:54" ht="12.75" customHeight="1" x14ac:dyDescent="0.2">
      <c r="A315" s="867"/>
      <c r="C315" s="738"/>
      <c r="D315" s="738" t="s">
        <v>521</v>
      </c>
      <c r="E315" s="742" t="str">
        <f t="shared" ref="E315:AE315" ca="1" si="31">IF(E313="","",IF(SUM(E317:E346)+E314=E313,"–",SUM(E317:E346)+E314-E313))</f>
        <v>–</v>
      </c>
      <c r="F315" s="742" t="str">
        <f t="shared" ca="1" si="31"/>
        <v>–</v>
      </c>
      <c r="G315" s="742" t="str">
        <f t="shared" ca="1" si="31"/>
        <v/>
      </c>
      <c r="H315" s="742" t="str">
        <f t="shared" ca="1" si="31"/>
        <v>–</v>
      </c>
      <c r="I315" s="742" t="str">
        <f t="shared" ca="1" si="31"/>
        <v>–</v>
      </c>
      <c r="J315" s="742" t="str">
        <f t="shared" ca="1" si="31"/>
        <v>–</v>
      </c>
      <c r="K315" s="742" t="str">
        <f t="shared" ca="1" si="31"/>
        <v>–</v>
      </c>
      <c r="L315" s="742" t="str">
        <f t="shared" ca="1" si="31"/>
        <v>–</v>
      </c>
      <c r="M315" s="742" t="str">
        <f t="shared" ca="1" si="31"/>
        <v>–</v>
      </c>
      <c r="N315" s="742" t="str">
        <f t="shared" ca="1" si="31"/>
        <v>–</v>
      </c>
      <c r="O315" s="742" t="str">
        <f t="shared" ca="1" si="31"/>
        <v>–</v>
      </c>
      <c r="P315" s="742" t="str">
        <f t="shared" ca="1" si="31"/>
        <v>–</v>
      </c>
      <c r="Q315" s="742" t="str">
        <f t="shared" ca="1" si="31"/>
        <v>–</v>
      </c>
      <c r="R315" s="742" t="str">
        <f t="shared" ca="1" si="31"/>
        <v/>
      </c>
      <c r="S315" s="742" t="str">
        <f t="shared" ca="1" si="31"/>
        <v>–</v>
      </c>
      <c r="T315" s="742" t="str">
        <f t="shared" ca="1" si="31"/>
        <v>–</v>
      </c>
      <c r="U315" s="742" t="str">
        <f t="shared" ca="1" si="31"/>
        <v>–</v>
      </c>
      <c r="V315" s="742" t="str">
        <f t="shared" ca="1" si="31"/>
        <v>–</v>
      </c>
      <c r="W315" s="742" t="str">
        <f t="shared" ca="1" si="31"/>
        <v>–</v>
      </c>
      <c r="X315" s="742" t="str">
        <f t="shared" ca="1" si="31"/>
        <v>–</v>
      </c>
      <c r="Y315" s="742" t="str">
        <f t="shared" ca="1" si="31"/>
        <v>–</v>
      </c>
      <c r="Z315" s="742" t="str">
        <f t="shared" ca="1" si="31"/>
        <v>–</v>
      </c>
      <c r="AA315" s="742" t="str">
        <f t="shared" ca="1" si="31"/>
        <v>–</v>
      </c>
      <c r="AB315" s="742" t="str">
        <f t="shared" ca="1" si="31"/>
        <v>–</v>
      </c>
      <c r="AC315" s="742" t="str">
        <f t="shared" ca="1" si="31"/>
        <v>–</v>
      </c>
      <c r="AD315" s="742" t="str">
        <f t="shared" ca="1" si="31"/>
        <v>–</v>
      </c>
      <c r="AE315" s="742" t="str">
        <f t="shared" ca="1" si="31"/>
        <v>–</v>
      </c>
      <c r="AF315" s="742"/>
      <c r="AG315" s="742"/>
      <c r="AH315" s="742"/>
      <c r="AI315" s="742"/>
      <c r="AJ315" s="742"/>
      <c r="AK315" s="742"/>
      <c r="AL315" s="742"/>
      <c r="AM315" s="742"/>
      <c r="AN315" s="742"/>
      <c r="AO315" s="742"/>
      <c r="AP315" s="691" t="s">
        <v>522</v>
      </c>
      <c r="AS315" s="761" t="s">
        <v>285</v>
      </c>
      <c r="AV315" s="699"/>
      <c r="AW315" s="700">
        <v>2.4899999999999999E-2</v>
      </c>
    </row>
    <row r="316" spans="1:54" ht="4.5" customHeight="1" x14ac:dyDescent="0.2">
      <c r="A316" s="867"/>
      <c r="AV316" s="699"/>
      <c r="AW316" s="700">
        <v>2.5000000000000001E-2</v>
      </c>
    </row>
    <row r="317" spans="1:54" ht="12.75" customHeight="1" x14ac:dyDescent="0.2">
      <c r="A317" s="867"/>
      <c r="C317" s="755" t="s">
        <v>669</v>
      </c>
      <c r="D317" s="756">
        <v>2</v>
      </c>
      <c r="E317" s="746"/>
      <c r="F317" s="695"/>
      <c r="G317" s="695"/>
      <c r="H317" s="695"/>
      <c r="I317" s="695"/>
      <c r="J317" s="695"/>
      <c r="K317" s="695"/>
      <c r="L317" s="695"/>
      <c r="M317" s="695"/>
      <c r="N317" s="695"/>
      <c r="O317" s="695"/>
      <c r="P317" s="695"/>
      <c r="Q317" s="695"/>
      <c r="R317" s="695"/>
      <c r="S317" s="695"/>
      <c r="T317" s="695"/>
      <c r="U317" s="695"/>
      <c r="V317" s="695"/>
      <c r="W317" s="695"/>
      <c r="X317" s="695"/>
      <c r="Y317" s="695"/>
      <c r="Z317" s="695"/>
      <c r="AA317" s="695"/>
      <c r="AB317" s="695"/>
      <c r="AC317" s="695"/>
      <c r="AD317" s="695"/>
      <c r="AE317" s="695"/>
      <c r="AF317" s="695"/>
      <c r="AG317" s="695"/>
      <c r="AH317" s="695"/>
      <c r="AI317" s="695"/>
      <c r="AJ317" s="695"/>
      <c r="AK317" s="695"/>
      <c r="AL317" s="695"/>
      <c r="AM317" s="695"/>
      <c r="AN317" s="695"/>
      <c r="AO317" s="696"/>
      <c r="AP317" s="697"/>
      <c r="AQ317" s="763" t="str">
        <f>IF(SUM(E317:AP317)=0,"",SUM(E317:AP317))</f>
        <v/>
      </c>
      <c r="AS317" s="267"/>
      <c r="AV317" s="699"/>
      <c r="AW317" s="700">
        <v>2.5100000000000001E-2</v>
      </c>
      <c r="AX317" s="382">
        <f t="shared" ref="AX317:AX346" si="32">IF(OR(C317="",AQ317=""),0,AQ317+AW317)</f>
        <v>0</v>
      </c>
      <c r="AY317" s="379" t="str">
        <f ca="1">C312</f>
        <v>ÉLELMESEK</v>
      </c>
      <c r="AZ317" s="384" t="str">
        <f t="shared" ref="AZ317:AZ346" si="33">C317</f>
        <v>Nagy Gábor</v>
      </c>
      <c r="BA317" s="642"/>
    </row>
    <row r="318" spans="1:54" ht="12.75" customHeight="1" x14ac:dyDescent="0.2">
      <c r="A318" s="867"/>
      <c r="C318" s="758" t="s">
        <v>582</v>
      </c>
      <c r="D318" s="757">
        <v>3</v>
      </c>
      <c r="E318" s="747"/>
      <c r="F318" s="703"/>
      <c r="G318" s="703"/>
      <c r="H318" s="703"/>
      <c r="I318" s="703">
        <v>1</v>
      </c>
      <c r="J318" s="703"/>
      <c r="K318" s="703"/>
      <c r="L318" s="703"/>
      <c r="M318" s="703">
        <v>2</v>
      </c>
      <c r="N318" s="703"/>
      <c r="O318" s="703"/>
      <c r="P318" s="703"/>
      <c r="Q318" s="703"/>
      <c r="R318" s="703"/>
      <c r="S318" s="703"/>
      <c r="T318" s="703">
        <v>1</v>
      </c>
      <c r="U318" s="703">
        <v>5</v>
      </c>
      <c r="V318" s="703"/>
      <c r="W318" s="703"/>
      <c r="X318" s="703"/>
      <c r="Y318" s="703"/>
      <c r="Z318" s="703">
        <v>1</v>
      </c>
      <c r="AA318" s="703"/>
      <c r="AB318" s="703"/>
      <c r="AC318" s="703"/>
      <c r="AD318" s="703">
        <v>1</v>
      </c>
      <c r="AE318" s="703"/>
      <c r="AF318" s="703"/>
      <c r="AG318" s="703"/>
      <c r="AH318" s="703"/>
      <c r="AI318" s="703"/>
      <c r="AJ318" s="703"/>
      <c r="AK318" s="703"/>
      <c r="AL318" s="703"/>
      <c r="AM318" s="703"/>
      <c r="AN318" s="703"/>
      <c r="AO318" s="704"/>
      <c r="AP318" s="705"/>
      <c r="AQ318" s="763">
        <f t="shared" ref="AQ318:AQ346" si="34">IF(SUM(E318:AP318)=0,"",SUM(E318:AP318))</f>
        <v>11</v>
      </c>
      <c r="AS318" s="268"/>
      <c r="AV318" s="699"/>
      <c r="AW318" s="700">
        <v>2.52E-2</v>
      </c>
      <c r="AX318" s="382">
        <f t="shared" si="32"/>
        <v>11.0252</v>
      </c>
      <c r="AY318" s="379" t="str">
        <f t="shared" ref="AY318:AY346" ca="1" si="35">AY317</f>
        <v>ÉLELMESEK</v>
      </c>
      <c r="AZ318" s="384" t="str">
        <f t="shared" si="33"/>
        <v>Domokos László</v>
      </c>
      <c r="BA318" s="642"/>
    </row>
    <row r="319" spans="1:54" ht="12.75" customHeight="1" x14ac:dyDescent="0.2">
      <c r="A319" s="867"/>
      <c r="C319" s="758" t="s">
        <v>670</v>
      </c>
      <c r="D319" s="757">
        <v>4</v>
      </c>
      <c r="E319" s="747"/>
      <c r="F319" s="703"/>
      <c r="G319" s="703"/>
      <c r="H319" s="703"/>
      <c r="I319" s="703"/>
      <c r="J319" s="703"/>
      <c r="K319" s="703"/>
      <c r="L319" s="703"/>
      <c r="M319" s="703"/>
      <c r="N319" s="703"/>
      <c r="O319" s="703"/>
      <c r="P319" s="703"/>
      <c r="Q319" s="703"/>
      <c r="R319" s="703"/>
      <c r="S319" s="703"/>
      <c r="T319" s="703"/>
      <c r="U319" s="703"/>
      <c r="V319" s="703"/>
      <c r="W319" s="703"/>
      <c r="X319" s="703"/>
      <c r="Y319" s="703"/>
      <c r="Z319" s="703"/>
      <c r="AA319" s="703">
        <v>1</v>
      </c>
      <c r="AB319" s="703"/>
      <c r="AC319" s="703"/>
      <c r="AD319" s="703"/>
      <c r="AE319" s="703">
        <v>1</v>
      </c>
      <c r="AF319" s="703"/>
      <c r="AG319" s="703"/>
      <c r="AH319" s="703"/>
      <c r="AI319" s="703"/>
      <c r="AJ319" s="703"/>
      <c r="AK319" s="703"/>
      <c r="AL319" s="703"/>
      <c r="AM319" s="703"/>
      <c r="AN319" s="703"/>
      <c r="AO319" s="704"/>
      <c r="AP319" s="705"/>
      <c r="AQ319" s="763">
        <f t="shared" si="34"/>
        <v>2</v>
      </c>
      <c r="AS319" s="268"/>
      <c r="AV319" s="699"/>
      <c r="AW319" s="700">
        <v>2.53E-2</v>
      </c>
      <c r="AX319" s="382">
        <f t="shared" si="32"/>
        <v>2.0253000000000001</v>
      </c>
      <c r="AY319" s="379" t="str">
        <f t="shared" ca="1" si="35"/>
        <v>ÉLELMESEK</v>
      </c>
      <c r="AZ319" s="384" t="str">
        <f t="shared" si="33"/>
        <v>Horváth Zsolt</v>
      </c>
      <c r="BA319" s="642"/>
    </row>
    <row r="320" spans="1:54" ht="12.75" customHeight="1" x14ac:dyDescent="0.2">
      <c r="A320" s="867"/>
      <c r="C320" s="758" t="s">
        <v>583</v>
      </c>
      <c r="D320" s="757">
        <v>7</v>
      </c>
      <c r="E320" s="747"/>
      <c r="F320" s="703"/>
      <c r="G320" s="703"/>
      <c r="H320" s="703"/>
      <c r="I320" s="703"/>
      <c r="J320" s="703"/>
      <c r="K320" s="703"/>
      <c r="L320" s="703"/>
      <c r="M320" s="703"/>
      <c r="N320" s="703"/>
      <c r="O320" s="703">
        <v>1</v>
      </c>
      <c r="P320" s="703">
        <v>1</v>
      </c>
      <c r="Q320" s="703"/>
      <c r="R320" s="703"/>
      <c r="S320" s="703"/>
      <c r="T320" s="703"/>
      <c r="U320" s="703">
        <v>2</v>
      </c>
      <c r="V320" s="703"/>
      <c r="W320" s="703"/>
      <c r="X320" s="703">
        <v>1</v>
      </c>
      <c r="Y320" s="703"/>
      <c r="Z320" s="703"/>
      <c r="AA320" s="703"/>
      <c r="AB320" s="703"/>
      <c r="AC320" s="703"/>
      <c r="AD320" s="703"/>
      <c r="AE320" s="703"/>
      <c r="AF320" s="703"/>
      <c r="AG320" s="703"/>
      <c r="AH320" s="703"/>
      <c r="AI320" s="703"/>
      <c r="AJ320" s="703"/>
      <c r="AK320" s="703"/>
      <c r="AL320" s="703"/>
      <c r="AM320" s="703"/>
      <c r="AN320" s="703"/>
      <c r="AO320" s="704"/>
      <c r="AP320" s="705"/>
      <c r="AQ320" s="763">
        <f t="shared" si="34"/>
        <v>5</v>
      </c>
      <c r="AS320" s="268"/>
      <c r="AV320" s="699"/>
      <c r="AW320" s="700">
        <v>2.5399999999999999E-2</v>
      </c>
      <c r="AX320" s="382">
        <f t="shared" si="32"/>
        <v>5.0254000000000003</v>
      </c>
      <c r="AY320" s="379" t="str">
        <f t="shared" ca="1" si="35"/>
        <v>ÉLELMESEK</v>
      </c>
      <c r="AZ320" s="384" t="str">
        <f t="shared" si="33"/>
        <v>Békési Zsolt</v>
      </c>
      <c r="BA320" s="642"/>
    </row>
    <row r="321" spans="1:53" ht="12.75" customHeight="1" x14ac:dyDescent="0.2">
      <c r="A321" s="867"/>
      <c r="C321" s="758" t="s">
        <v>584</v>
      </c>
      <c r="D321" s="757">
        <v>8</v>
      </c>
      <c r="E321" s="747">
        <v>1</v>
      </c>
      <c r="F321" s="703"/>
      <c r="G321" s="703"/>
      <c r="H321" s="703"/>
      <c r="I321" s="703"/>
      <c r="J321" s="703"/>
      <c r="K321" s="703"/>
      <c r="L321" s="703"/>
      <c r="M321" s="703"/>
      <c r="N321" s="703"/>
      <c r="O321" s="703">
        <v>1</v>
      </c>
      <c r="P321" s="703">
        <v>1</v>
      </c>
      <c r="Q321" s="703"/>
      <c r="R321" s="703"/>
      <c r="S321" s="703">
        <v>1</v>
      </c>
      <c r="T321" s="703"/>
      <c r="U321" s="703">
        <v>1</v>
      </c>
      <c r="V321" s="703"/>
      <c r="W321" s="703">
        <v>1</v>
      </c>
      <c r="X321" s="703"/>
      <c r="Y321" s="703">
        <v>1</v>
      </c>
      <c r="Z321" s="703"/>
      <c r="AA321" s="703"/>
      <c r="AB321" s="703"/>
      <c r="AC321" s="703"/>
      <c r="AD321" s="703"/>
      <c r="AE321" s="703"/>
      <c r="AF321" s="703"/>
      <c r="AG321" s="703"/>
      <c r="AH321" s="703"/>
      <c r="AI321" s="703"/>
      <c r="AJ321" s="703"/>
      <c r="AK321" s="703"/>
      <c r="AL321" s="703"/>
      <c r="AM321" s="703"/>
      <c r="AN321" s="703"/>
      <c r="AO321" s="704"/>
      <c r="AP321" s="705"/>
      <c r="AQ321" s="763">
        <f t="shared" si="34"/>
        <v>7</v>
      </c>
      <c r="AS321" s="268"/>
      <c r="AV321" s="699"/>
      <c r="AW321" s="700">
        <v>2.5499999999999998E-2</v>
      </c>
      <c r="AX321" s="382">
        <f t="shared" si="32"/>
        <v>7.0255000000000001</v>
      </c>
      <c r="AY321" s="379" t="str">
        <f t="shared" ca="1" si="35"/>
        <v>ÉLELMESEK</v>
      </c>
      <c r="AZ321" s="384" t="str">
        <f t="shared" si="33"/>
        <v>Szaulik György</v>
      </c>
      <c r="BA321" s="642"/>
    </row>
    <row r="322" spans="1:53" ht="12.75" customHeight="1" x14ac:dyDescent="0.2">
      <c r="A322" s="867"/>
      <c r="C322" s="758" t="s">
        <v>585</v>
      </c>
      <c r="D322" s="757">
        <v>9</v>
      </c>
      <c r="E322" s="747">
        <v>1</v>
      </c>
      <c r="F322" s="703"/>
      <c r="G322" s="703"/>
      <c r="H322" s="703">
        <v>1</v>
      </c>
      <c r="I322" s="703"/>
      <c r="J322" s="703"/>
      <c r="K322" s="703"/>
      <c r="L322" s="703"/>
      <c r="M322" s="703"/>
      <c r="N322" s="703"/>
      <c r="O322" s="703"/>
      <c r="P322" s="703">
        <v>1</v>
      </c>
      <c r="Q322" s="703">
        <v>1</v>
      </c>
      <c r="R322" s="703"/>
      <c r="S322" s="703"/>
      <c r="T322" s="703">
        <v>1</v>
      </c>
      <c r="U322" s="703"/>
      <c r="V322" s="703"/>
      <c r="W322" s="703"/>
      <c r="X322" s="703"/>
      <c r="Y322" s="703"/>
      <c r="Z322" s="703"/>
      <c r="AA322" s="703"/>
      <c r="AB322" s="703"/>
      <c r="AC322" s="703"/>
      <c r="AD322" s="703"/>
      <c r="AE322" s="703"/>
      <c r="AF322" s="703"/>
      <c r="AG322" s="703"/>
      <c r="AH322" s="703"/>
      <c r="AI322" s="703"/>
      <c r="AJ322" s="703"/>
      <c r="AK322" s="703"/>
      <c r="AL322" s="703"/>
      <c r="AM322" s="703"/>
      <c r="AN322" s="703"/>
      <c r="AO322" s="704"/>
      <c r="AP322" s="705"/>
      <c r="AQ322" s="763">
        <f t="shared" si="34"/>
        <v>5</v>
      </c>
      <c r="AS322" s="268"/>
      <c r="AV322" s="699"/>
      <c r="AW322" s="700">
        <v>2.5600000000000001E-2</v>
      </c>
      <c r="AX322" s="382">
        <f t="shared" si="32"/>
        <v>5.0255999999999998</v>
      </c>
      <c r="AY322" s="379" t="str">
        <f t="shared" ca="1" si="35"/>
        <v>ÉLELMESEK</v>
      </c>
      <c r="AZ322" s="384" t="str">
        <f t="shared" si="33"/>
        <v>Tátrai Tibor</v>
      </c>
      <c r="BA322" s="642"/>
    </row>
    <row r="323" spans="1:53" ht="12.75" customHeight="1" x14ac:dyDescent="0.2">
      <c r="A323" s="867"/>
      <c r="C323" s="758" t="s">
        <v>586</v>
      </c>
      <c r="D323" s="757">
        <v>12</v>
      </c>
      <c r="E323" s="747"/>
      <c r="F323" s="703">
        <v>1</v>
      </c>
      <c r="G323" s="703"/>
      <c r="H323" s="703"/>
      <c r="I323" s="703"/>
      <c r="J323" s="703"/>
      <c r="K323" s="703"/>
      <c r="L323" s="703"/>
      <c r="M323" s="703"/>
      <c r="N323" s="703"/>
      <c r="O323" s="703"/>
      <c r="P323" s="703"/>
      <c r="Q323" s="703"/>
      <c r="R323" s="703"/>
      <c r="S323" s="703"/>
      <c r="T323" s="703"/>
      <c r="U323" s="703"/>
      <c r="V323" s="703"/>
      <c r="W323" s="703"/>
      <c r="X323" s="703"/>
      <c r="Y323" s="703"/>
      <c r="Z323" s="703"/>
      <c r="AA323" s="703"/>
      <c r="AB323" s="703"/>
      <c r="AC323" s="703"/>
      <c r="AD323" s="703"/>
      <c r="AE323" s="703"/>
      <c r="AF323" s="703"/>
      <c r="AG323" s="703"/>
      <c r="AH323" s="703"/>
      <c r="AI323" s="703"/>
      <c r="AJ323" s="703"/>
      <c r="AK323" s="703"/>
      <c r="AL323" s="703"/>
      <c r="AM323" s="703"/>
      <c r="AN323" s="703"/>
      <c r="AO323" s="704"/>
      <c r="AP323" s="705"/>
      <c r="AQ323" s="763">
        <f t="shared" si="34"/>
        <v>1</v>
      </c>
      <c r="AS323" s="268"/>
      <c r="AV323" s="699"/>
      <c r="AW323" s="700">
        <v>2.5700000000000001E-2</v>
      </c>
      <c r="AX323" s="382">
        <f t="shared" si="32"/>
        <v>1.0257000000000001</v>
      </c>
      <c r="AY323" s="379" t="str">
        <f t="shared" ca="1" si="35"/>
        <v>ÉLELMESEK</v>
      </c>
      <c r="AZ323" s="384" t="str">
        <f t="shared" si="33"/>
        <v>Szántó Tamás</v>
      </c>
      <c r="BA323" s="642"/>
    </row>
    <row r="324" spans="1:53" ht="12.75" customHeight="1" x14ac:dyDescent="0.2">
      <c r="A324" s="867"/>
      <c r="C324" s="758" t="s">
        <v>587</v>
      </c>
      <c r="D324" s="757">
        <v>13</v>
      </c>
      <c r="E324" s="747"/>
      <c r="F324" s="703"/>
      <c r="G324" s="703"/>
      <c r="H324" s="703"/>
      <c r="I324" s="703"/>
      <c r="J324" s="703">
        <v>1</v>
      </c>
      <c r="K324" s="703">
        <v>1</v>
      </c>
      <c r="L324" s="703"/>
      <c r="M324" s="703"/>
      <c r="N324" s="703"/>
      <c r="O324" s="703"/>
      <c r="P324" s="703">
        <v>1</v>
      </c>
      <c r="Q324" s="703"/>
      <c r="R324" s="703"/>
      <c r="S324" s="703">
        <v>1</v>
      </c>
      <c r="T324" s="703"/>
      <c r="U324" s="703"/>
      <c r="V324" s="703"/>
      <c r="W324" s="703"/>
      <c r="X324" s="703"/>
      <c r="Y324" s="703"/>
      <c r="Z324" s="703"/>
      <c r="AA324" s="703"/>
      <c r="AB324" s="703"/>
      <c r="AC324" s="703"/>
      <c r="AD324" s="703"/>
      <c r="AE324" s="703"/>
      <c r="AF324" s="703"/>
      <c r="AG324" s="703"/>
      <c r="AH324" s="703"/>
      <c r="AI324" s="703"/>
      <c r="AJ324" s="703"/>
      <c r="AK324" s="703"/>
      <c r="AL324" s="703"/>
      <c r="AM324" s="703"/>
      <c r="AN324" s="703"/>
      <c r="AO324" s="704"/>
      <c r="AP324" s="705"/>
      <c r="AQ324" s="763">
        <f t="shared" si="34"/>
        <v>4</v>
      </c>
      <c r="AS324" s="268"/>
      <c r="AV324" s="699"/>
      <c r="AW324" s="700">
        <v>2.58E-2</v>
      </c>
      <c r="AX324" s="382">
        <f t="shared" si="32"/>
        <v>4.0258000000000003</v>
      </c>
      <c r="AY324" s="379" t="str">
        <f t="shared" ca="1" si="35"/>
        <v>ÉLELMESEK</v>
      </c>
      <c r="AZ324" s="384" t="str">
        <f t="shared" si="33"/>
        <v>Sándor Roland</v>
      </c>
      <c r="BA324" s="642"/>
    </row>
    <row r="325" spans="1:53" ht="12.75" customHeight="1" x14ac:dyDescent="0.2">
      <c r="A325" s="867"/>
      <c r="C325" s="758" t="s">
        <v>588</v>
      </c>
      <c r="D325" s="757">
        <v>20</v>
      </c>
      <c r="E325" s="747">
        <v>2</v>
      </c>
      <c r="F325" s="703"/>
      <c r="G325" s="703"/>
      <c r="H325" s="703"/>
      <c r="I325" s="703"/>
      <c r="J325" s="703"/>
      <c r="K325" s="703"/>
      <c r="L325" s="703"/>
      <c r="M325" s="703"/>
      <c r="N325" s="703"/>
      <c r="O325" s="703"/>
      <c r="P325" s="703"/>
      <c r="Q325" s="703"/>
      <c r="R325" s="703"/>
      <c r="S325" s="703"/>
      <c r="T325" s="703">
        <v>1</v>
      </c>
      <c r="U325" s="703"/>
      <c r="V325" s="703"/>
      <c r="W325" s="703"/>
      <c r="X325" s="703"/>
      <c r="Y325" s="703"/>
      <c r="Z325" s="703"/>
      <c r="AA325" s="703"/>
      <c r="AB325" s="703">
        <v>1</v>
      </c>
      <c r="AC325" s="703">
        <v>3</v>
      </c>
      <c r="AD325" s="703"/>
      <c r="AE325" s="703"/>
      <c r="AF325" s="703"/>
      <c r="AG325" s="703"/>
      <c r="AH325" s="703"/>
      <c r="AI325" s="703"/>
      <c r="AJ325" s="703"/>
      <c r="AK325" s="703"/>
      <c r="AL325" s="703"/>
      <c r="AM325" s="703"/>
      <c r="AN325" s="703"/>
      <c r="AO325" s="704"/>
      <c r="AP325" s="705"/>
      <c r="AQ325" s="763">
        <f t="shared" si="34"/>
        <v>7</v>
      </c>
      <c r="AS325" s="268"/>
      <c r="AV325" s="699"/>
      <c r="AW325" s="700">
        <v>2.5899999999999999E-2</v>
      </c>
      <c r="AX325" s="382">
        <f t="shared" si="32"/>
        <v>7.0259</v>
      </c>
      <c r="AY325" s="379" t="str">
        <f t="shared" ca="1" si="35"/>
        <v>ÉLELMESEK</v>
      </c>
      <c r="AZ325" s="384" t="str">
        <f t="shared" si="33"/>
        <v>Takács Jenő György</v>
      </c>
      <c r="BA325" s="642"/>
    </row>
    <row r="326" spans="1:53" ht="12.75" customHeight="1" x14ac:dyDescent="0.2">
      <c r="A326" s="867"/>
      <c r="C326" s="758" t="s">
        <v>589</v>
      </c>
      <c r="D326" s="757">
        <v>25</v>
      </c>
      <c r="E326" s="747"/>
      <c r="F326" s="703">
        <v>1</v>
      </c>
      <c r="G326" s="703"/>
      <c r="H326" s="703"/>
      <c r="I326" s="703"/>
      <c r="J326" s="703">
        <v>1</v>
      </c>
      <c r="K326" s="703"/>
      <c r="L326" s="703"/>
      <c r="M326" s="703"/>
      <c r="N326" s="703"/>
      <c r="O326" s="703">
        <v>3</v>
      </c>
      <c r="P326" s="703">
        <v>1</v>
      </c>
      <c r="Q326" s="703"/>
      <c r="R326" s="703"/>
      <c r="S326" s="703"/>
      <c r="T326" s="703"/>
      <c r="U326" s="703"/>
      <c r="V326" s="703"/>
      <c r="W326" s="703">
        <v>1</v>
      </c>
      <c r="X326" s="703">
        <v>1</v>
      </c>
      <c r="Y326" s="703">
        <v>1</v>
      </c>
      <c r="Z326" s="703"/>
      <c r="AA326" s="703"/>
      <c r="AB326" s="703"/>
      <c r="AC326" s="703"/>
      <c r="AD326" s="703"/>
      <c r="AE326" s="703"/>
      <c r="AF326" s="703"/>
      <c r="AG326" s="703"/>
      <c r="AH326" s="703"/>
      <c r="AI326" s="703"/>
      <c r="AJ326" s="703"/>
      <c r="AK326" s="703"/>
      <c r="AL326" s="703"/>
      <c r="AM326" s="703"/>
      <c r="AN326" s="703"/>
      <c r="AO326" s="704"/>
      <c r="AP326" s="705"/>
      <c r="AQ326" s="763">
        <f t="shared" si="34"/>
        <v>9</v>
      </c>
      <c r="AS326" s="268"/>
      <c r="AV326" s="699"/>
      <c r="AW326" s="700">
        <v>2.5999999999999999E-2</v>
      </c>
      <c r="AX326" s="382">
        <f t="shared" si="32"/>
        <v>9.0259999999999998</v>
      </c>
      <c r="AY326" s="379" t="str">
        <f t="shared" ca="1" si="35"/>
        <v>ÉLELMESEK</v>
      </c>
      <c r="AZ326" s="384" t="str">
        <f t="shared" si="33"/>
        <v>Lengyel Ákos</v>
      </c>
      <c r="BA326" s="642"/>
    </row>
    <row r="327" spans="1:53" ht="12.75" customHeight="1" x14ac:dyDescent="0.2">
      <c r="A327" s="867"/>
      <c r="C327" s="758" t="s">
        <v>590</v>
      </c>
      <c r="D327" s="757">
        <v>69</v>
      </c>
      <c r="E327" s="747">
        <v>1</v>
      </c>
      <c r="F327" s="703">
        <v>2</v>
      </c>
      <c r="G327" s="703"/>
      <c r="H327" s="703"/>
      <c r="I327" s="703"/>
      <c r="J327" s="703"/>
      <c r="K327" s="703"/>
      <c r="L327" s="703">
        <v>1</v>
      </c>
      <c r="M327" s="703">
        <v>1</v>
      </c>
      <c r="N327" s="703">
        <v>1</v>
      </c>
      <c r="O327" s="703">
        <v>1</v>
      </c>
      <c r="P327" s="703">
        <v>1</v>
      </c>
      <c r="Q327" s="703"/>
      <c r="R327" s="703"/>
      <c r="S327" s="703">
        <v>1</v>
      </c>
      <c r="T327" s="703"/>
      <c r="U327" s="703">
        <v>2</v>
      </c>
      <c r="V327" s="703"/>
      <c r="W327" s="703"/>
      <c r="X327" s="703"/>
      <c r="Y327" s="703"/>
      <c r="Z327" s="703"/>
      <c r="AA327" s="703">
        <v>1</v>
      </c>
      <c r="AB327" s="703"/>
      <c r="AC327" s="703"/>
      <c r="AD327" s="703"/>
      <c r="AE327" s="703">
        <v>2</v>
      </c>
      <c r="AF327" s="703"/>
      <c r="AG327" s="703"/>
      <c r="AH327" s="703"/>
      <c r="AI327" s="703"/>
      <c r="AJ327" s="703"/>
      <c r="AK327" s="703"/>
      <c r="AL327" s="703"/>
      <c r="AM327" s="703"/>
      <c r="AN327" s="703"/>
      <c r="AO327" s="704"/>
      <c r="AP327" s="705"/>
      <c r="AQ327" s="763">
        <f t="shared" si="34"/>
        <v>14</v>
      </c>
      <c r="AS327" s="268"/>
      <c r="AV327" s="699"/>
      <c r="AW327" s="700">
        <v>2.6100000000000002E-2</v>
      </c>
      <c r="AX327" s="382">
        <f t="shared" si="32"/>
        <v>14.0261</v>
      </c>
      <c r="AY327" s="379" t="str">
        <f t="shared" ca="1" si="35"/>
        <v>ÉLELMESEK</v>
      </c>
      <c r="AZ327" s="384" t="str">
        <f t="shared" si="33"/>
        <v>Horváth Attila</v>
      </c>
      <c r="BA327" s="642"/>
    </row>
    <row r="328" spans="1:53" ht="12.75" customHeight="1" x14ac:dyDescent="0.2">
      <c r="A328" s="867"/>
      <c r="C328" s="758" t="s">
        <v>671</v>
      </c>
      <c r="D328" s="757">
        <v>88</v>
      </c>
      <c r="E328" s="747"/>
      <c r="F328" s="703"/>
      <c r="G328" s="703"/>
      <c r="H328" s="703"/>
      <c r="I328" s="703"/>
      <c r="J328" s="703"/>
      <c r="K328" s="703"/>
      <c r="L328" s="703"/>
      <c r="M328" s="703"/>
      <c r="N328" s="703"/>
      <c r="O328" s="703"/>
      <c r="P328" s="703"/>
      <c r="Q328" s="703"/>
      <c r="R328" s="703"/>
      <c r="S328" s="703"/>
      <c r="T328" s="703"/>
      <c r="U328" s="703"/>
      <c r="V328" s="703"/>
      <c r="W328" s="703"/>
      <c r="X328" s="703"/>
      <c r="Y328" s="703"/>
      <c r="Z328" s="703"/>
      <c r="AA328" s="703"/>
      <c r="AB328" s="703">
        <v>1</v>
      </c>
      <c r="AC328" s="703"/>
      <c r="AD328" s="703">
        <v>1</v>
      </c>
      <c r="AE328" s="703"/>
      <c r="AF328" s="703"/>
      <c r="AG328" s="703"/>
      <c r="AH328" s="703"/>
      <c r="AI328" s="703"/>
      <c r="AJ328" s="703"/>
      <c r="AK328" s="703"/>
      <c r="AL328" s="703"/>
      <c r="AM328" s="703"/>
      <c r="AN328" s="703"/>
      <c r="AO328" s="704"/>
      <c r="AP328" s="705"/>
      <c r="AQ328" s="763">
        <f t="shared" si="34"/>
        <v>2</v>
      </c>
      <c r="AS328" s="268"/>
      <c r="AV328" s="699"/>
      <c r="AW328" s="700">
        <v>2.6200000000000001E-2</v>
      </c>
      <c r="AX328" s="382">
        <f t="shared" si="32"/>
        <v>2.0262000000000002</v>
      </c>
      <c r="AY328" s="379" t="str">
        <f t="shared" ca="1" si="35"/>
        <v>ÉLELMESEK</v>
      </c>
      <c r="AZ328" s="384" t="str">
        <f t="shared" si="33"/>
        <v>Ferenczi Attila</v>
      </c>
      <c r="BA328" s="642"/>
    </row>
    <row r="329" spans="1:53" ht="12.75" customHeight="1" x14ac:dyDescent="0.2">
      <c r="A329" s="867"/>
      <c r="C329" s="758" t="s">
        <v>729</v>
      </c>
      <c r="D329" s="757">
        <v>5</v>
      </c>
      <c r="E329" s="747"/>
      <c r="F329" s="703"/>
      <c r="G329" s="703"/>
      <c r="H329" s="703"/>
      <c r="I329" s="703"/>
      <c r="J329" s="703"/>
      <c r="K329" s="703"/>
      <c r="L329" s="703"/>
      <c r="M329" s="703"/>
      <c r="N329" s="703"/>
      <c r="O329" s="703"/>
      <c r="P329" s="703"/>
      <c r="Q329" s="703"/>
      <c r="R329" s="703"/>
      <c r="S329" s="703"/>
      <c r="T329" s="703"/>
      <c r="U329" s="703"/>
      <c r="V329" s="703"/>
      <c r="W329" s="703"/>
      <c r="X329" s="703"/>
      <c r="Y329" s="703"/>
      <c r="Z329" s="703"/>
      <c r="AA329" s="703"/>
      <c r="AB329" s="703"/>
      <c r="AC329" s="703"/>
      <c r="AD329" s="703"/>
      <c r="AE329" s="703">
        <v>1</v>
      </c>
      <c r="AF329" s="703"/>
      <c r="AG329" s="703"/>
      <c r="AH329" s="703"/>
      <c r="AI329" s="703"/>
      <c r="AJ329" s="703"/>
      <c r="AK329" s="703"/>
      <c r="AL329" s="703"/>
      <c r="AM329" s="703"/>
      <c r="AN329" s="703"/>
      <c r="AO329" s="704"/>
      <c r="AP329" s="705"/>
      <c r="AQ329" s="763">
        <f t="shared" si="34"/>
        <v>1</v>
      </c>
      <c r="AS329" s="268"/>
      <c r="AV329" s="699"/>
      <c r="AW329" s="700">
        <v>2.63E-2</v>
      </c>
      <c r="AX329" s="382">
        <f t="shared" si="32"/>
        <v>1.0263</v>
      </c>
      <c r="AY329" s="379" t="str">
        <f t="shared" ca="1" si="35"/>
        <v>ÉLELMESEK</v>
      </c>
      <c r="AZ329" s="384" t="str">
        <f t="shared" si="33"/>
        <v>Ismeretlen 5-ös</v>
      </c>
      <c r="BA329" s="642"/>
    </row>
    <row r="330" spans="1:53" ht="12.75" customHeight="1" x14ac:dyDescent="0.2">
      <c r="A330" s="867"/>
      <c r="C330" s="758"/>
      <c r="D330" s="757"/>
      <c r="E330" s="747"/>
      <c r="F330" s="703"/>
      <c r="G330" s="703"/>
      <c r="H330" s="703"/>
      <c r="I330" s="703"/>
      <c r="J330" s="703"/>
      <c r="K330" s="703"/>
      <c r="L330" s="703"/>
      <c r="M330" s="703"/>
      <c r="N330" s="703"/>
      <c r="O330" s="703"/>
      <c r="P330" s="703"/>
      <c r="Q330" s="703"/>
      <c r="R330" s="703"/>
      <c r="S330" s="703"/>
      <c r="T330" s="703"/>
      <c r="U330" s="703"/>
      <c r="V330" s="703"/>
      <c r="W330" s="703"/>
      <c r="X330" s="703"/>
      <c r="Y330" s="703"/>
      <c r="Z330" s="703"/>
      <c r="AA330" s="703"/>
      <c r="AB330" s="703"/>
      <c r="AC330" s="703"/>
      <c r="AD330" s="703"/>
      <c r="AE330" s="703"/>
      <c r="AF330" s="703"/>
      <c r="AG330" s="703"/>
      <c r="AH330" s="703"/>
      <c r="AI330" s="703"/>
      <c r="AJ330" s="703"/>
      <c r="AK330" s="703"/>
      <c r="AL330" s="703"/>
      <c r="AM330" s="703"/>
      <c r="AN330" s="703"/>
      <c r="AO330" s="704"/>
      <c r="AP330" s="705"/>
      <c r="AQ330" s="763" t="str">
        <f t="shared" si="34"/>
        <v/>
      </c>
      <c r="AS330" s="268"/>
      <c r="AV330" s="699"/>
      <c r="AW330" s="700">
        <v>2.64E-2</v>
      </c>
      <c r="AX330" s="382">
        <f t="shared" si="32"/>
        <v>0</v>
      </c>
      <c r="AY330" s="379" t="str">
        <f t="shared" ca="1" si="35"/>
        <v>ÉLELMESEK</v>
      </c>
      <c r="AZ330" s="384">
        <f t="shared" si="33"/>
        <v>0</v>
      </c>
      <c r="BA330" s="642"/>
    </row>
    <row r="331" spans="1:53" ht="12.75" customHeight="1" x14ac:dyDescent="0.2">
      <c r="A331" s="867"/>
      <c r="C331" s="758"/>
      <c r="D331" s="757"/>
      <c r="E331" s="747"/>
      <c r="F331" s="703"/>
      <c r="G331" s="703"/>
      <c r="H331" s="703"/>
      <c r="I331" s="703"/>
      <c r="J331" s="703"/>
      <c r="K331" s="703"/>
      <c r="L331" s="703"/>
      <c r="M331" s="703"/>
      <c r="N331" s="703"/>
      <c r="O331" s="703"/>
      <c r="P331" s="703"/>
      <c r="Q331" s="703"/>
      <c r="R331" s="703"/>
      <c r="S331" s="703"/>
      <c r="T331" s="703"/>
      <c r="U331" s="703"/>
      <c r="V331" s="703"/>
      <c r="W331" s="703"/>
      <c r="X331" s="703"/>
      <c r="Y331" s="703"/>
      <c r="Z331" s="703"/>
      <c r="AA331" s="703"/>
      <c r="AB331" s="703"/>
      <c r="AC331" s="703"/>
      <c r="AD331" s="703"/>
      <c r="AE331" s="703"/>
      <c r="AF331" s="703"/>
      <c r="AG331" s="703"/>
      <c r="AH331" s="703"/>
      <c r="AI331" s="703"/>
      <c r="AJ331" s="703"/>
      <c r="AK331" s="703"/>
      <c r="AL331" s="703"/>
      <c r="AM331" s="703"/>
      <c r="AN331" s="703"/>
      <c r="AO331" s="704"/>
      <c r="AP331" s="705"/>
      <c r="AQ331" s="763" t="str">
        <f t="shared" si="34"/>
        <v/>
      </c>
      <c r="AS331" s="268"/>
      <c r="AV331" s="699"/>
      <c r="AW331" s="700">
        <v>2.6499999999999999E-2</v>
      </c>
      <c r="AX331" s="382">
        <f t="shared" si="32"/>
        <v>0</v>
      </c>
      <c r="AY331" s="379" t="str">
        <f t="shared" ca="1" si="35"/>
        <v>ÉLELMESEK</v>
      </c>
      <c r="AZ331" s="384">
        <f t="shared" si="33"/>
        <v>0</v>
      </c>
      <c r="BA331" s="642"/>
    </row>
    <row r="332" spans="1:53" ht="12.75" customHeight="1" x14ac:dyDescent="0.2">
      <c r="A332" s="867"/>
      <c r="C332" s="758"/>
      <c r="D332" s="757"/>
      <c r="E332" s="747"/>
      <c r="F332" s="703"/>
      <c r="G332" s="703"/>
      <c r="H332" s="703"/>
      <c r="I332" s="703"/>
      <c r="J332" s="703"/>
      <c r="K332" s="703"/>
      <c r="L332" s="703"/>
      <c r="M332" s="703"/>
      <c r="N332" s="703"/>
      <c r="O332" s="703"/>
      <c r="P332" s="703"/>
      <c r="Q332" s="703"/>
      <c r="R332" s="703"/>
      <c r="S332" s="703"/>
      <c r="T332" s="703"/>
      <c r="U332" s="703"/>
      <c r="V332" s="703"/>
      <c r="W332" s="703"/>
      <c r="X332" s="703"/>
      <c r="Y332" s="703"/>
      <c r="Z332" s="703"/>
      <c r="AA332" s="703"/>
      <c r="AB332" s="703"/>
      <c r="AC332" s="703"/>
      <c r="AD332" s="703"/>
      <c r="AE332" s="703"/>
      <c r="AF332" s="703"/>
      <c r="AG332" s="703"/>
      <c r="AH332" s="703"/>
      <c r="AI332" s="703"/>
      <c r="AJ332" s="703"/>
      <c r="AK332" s="703"/>
      <c r="AL332" s="703"/>
      <c r="AM332" s="703"/>
      <c r="AN332" s="703"/>
      <c r="AO332" s="704"/>
      <c r="AP332" s="705"/>
      <c r="AQ332" s="763" t="str">
        <f t="shared" si="34"/>
        <v/>
      </c>
      <c r="AS332" s="268"/>
      <c r="AV332" s="699"/>
      <c r="AW332" s="700">
        <v>2.6599999999999999E-2</v>
      </c>
      <c r="AX332" s="382">
        <f t="shared" si="32"/>
        <v>0</v>
      </c>
      <c r="AY332" s="379" t="str">
        <f t="shared" ca="1" si="35"/>
        <v>ÉLELMESEK</v>
      </c>
      <c r="AZ332" s="384">
        <f t="shared" si="33"/>
        <v>0</v>
      </c>
      <c r="BA332" s="642"/>
    </row>
    <row r="333" spans="1:53" ht="12.75" customHeight="1" x14ac:dyDescent="0.2">
      <c r="A333" s="867"/>
      <c r="C333" s="758"/>
      <c r="D333" s="757"/>
      <c r="E333" s="747"/>
      <c r="F333" s="703"/>
      <c r="G333" s="703"/>
      <c r="H333" s="703"/>
      <c r="I333" s="703"/>
      <c r="J333" s="703"/>
      <c r="K333" s="703"/>
      <c r="L333" s="703"/>
      <c r="M333" s="703"/>
      <c r="N333" s="703"/>
      <c r="O333" s="703"/>
      <c r="P333" s="703"/>
      <c r="Q333" s="703"/>
      <c r="R333" s="703"/>
      <c r="S333" s="703"/>
      <c r="T333" s="703"/>
      <c r="U333" s="703"/>
      <c r="V333" s="703"/>
      <c r="W333" s="703"/>
      <c r="X333" s="703"/>
      <c r="Y333" s="703"/>
      <c r="Z333" s="703"/>
      <c r="AA333" s="703"/>
      <c r="AB333" s="703"/>
      <c r="AC333" s="703"/>
      <c r="AD333" s="703"/>
      <c r="AE333" s="703"/>
      <c r="AF333" s="703"/>
      <c r="AG333" s="703"/>
      <c r="AH333" s="703"/>
      <c r="AI333" s="703"/>
      <c r="AJ333" s="703"/>
      <c r="AK333" s="703"/>
      <c r="AL333" s="703"/>
      <c r="AM333" s="703"/>
      <c r="AN333" s="703"/>
      <c r="AO333" s="704"/>
      <c r="AP333" s="705"/>
      <c r="AQ333" s="763" t="str">
        <f t="shared" si="34"/>
        <v/>
      </c>
      <c r="AS333" s="268"/>
      <c r="AV333" s="699"/>
      <c r="AW333" s="700">
        <v>2.6700000000000002E-2</v>
      </c>
      <c r="AX333" s="382">
        <f t="shared" si="32"/>
        <v>0</v>
      </c>
      <c r="AY333" s="379" t="str">
        <f t="shared" ca="1" si="35"/>
        <v>ÉLELMESEK</v>
      </c>
      <c r="AZ333" s="384">
        <f t="shared" si="33"/>
        <v>0</v>
      </c>
      <c r="BA333" s="642"/>
    </row>
    <row r="334" spans="1:53" ht="12.75" customHeight="1" x14ac:dyDescent="0.2">
      <c r="A334" s="867"/>
      <c r="C334" s="758"/>
      <c r="D334" s="757"/>
      <c r="E334" s="747"/>
      <c r="F334" s="703"/>
      <c r="G334" s="703"/>
      <c r="H334" s="703"/>
      <c r="I334" s="703"/>
      <c r="J334" s="703"/>
      <c r="K334" s="703"/>
      <c r="L334" s="703"/>
      <c r="M334" s="703"/>
      <c r="N334" s="703"/>
      <c r="O334" s="703"/>
      <c r="P334" s="703"/>
      <c r="Q334" s="703"/>
      <c r="R334" s="703"/>
      <c r="S334" s="703"/>
      <c r="T334" s="703"/>
      <c r="U334" s="703"/>
      <c r="V334" s="703"/>
      <c r="W334" s="703"/>
      <c r="X334" s="703"/>
      <c r="Y334" s="703"/>
      <c r="Z334" s="703"/>
      <c r="AA334" s="703"/>
      <c r="AB334" s="703"/>
      <c r="AC334" s="703"/>
      <c r="AD334" s="703"/>
      <c r="AE334" s="703"/>
      <c r="AF334" s="703"/>
      <c r="AG334" s="703"/>
      <c r="AH334" s="703"/>
      <c r="AI334" s="703"/>
      <c r="AJ334" s="703"/>
      <c r="AK334" s="703"/>
      <c r="AL334" s="703"/>
      <c r="AM334" s="703"/>
      <c r="AN334" s="703"/>
      <c r="AO334" s="704"/>
      <c r="AP334" s="705"/>
      <c r="AQ334" s="763" t="str">
        <f t="shared" si="34"/>
        <v/>
      </c>
      <c r="AS334" s="268"/>
      <c r="AV334" s="699"/>
      <c r="AW334" s="700">
        <v>2.6800000000000001E-2</v>
      </c>
      <c r="AX334" s="382">
        <f t="shared" si="32"/>
        <v>0</v>
      </c>
      <c r="AY334" s="379" t="str">
        <f t="shared" ca="1" si="35"/>
        <v>ÉLELMESEK</v>
      </c>
      <c r="AZ334" s="384">
        <f t="shared" si="33"/>
        <v>0</v>
      </c>
      <c r="BA334" s="642"/>
    </row>
    <row r="335" spans="1:53" ht="12.75" customHeight="1" x14ac:dyDescent="0.2">
      <c r="A335" s="867"/>
      <c r="C335" s="758"/>
      <c r="D335" s="757"/>
      <c r="E335" s="747"/>
      <c r="F335" s="703"/>
      <c r="G335" s="703"/>
      <c r="H335" s="703"/>
      <c r="I335" s="703"/>
      <c r="J335" s="703"/>
      <c r="K335" s="703"/>
      <c r="L335" s="703"/>
      <c r="M335" s="703"/>
      <c r="N335" s="703"/>
      <c r="O335" s="703"/>
      <c r="P335" s="703"/>
      <c r="Q335" s="703"/>
      <c r="R335" s="703"/>
      <c r="S335" s="703"/>
      <c r="T335" s="703"/>
      <c r="U335" s="703"/>
      <c r="V335" s="703"/>
      <c r="W335" s="703"/>
      <c r="X335" s="703"/>
      <c r="Y335" s="703"/>
      <c r="Z335" s="703"/>
      <c r="AA335" s="703"/>
      <c r="AB335" s="703"/>
      <c r="AC335" s="703"/>
      <c r="AD335" s="703"/>
      <c r="AE335" s="703"/>
      <c r="AF335" s="703"/>
      <c r="AG335" s="703"/>
      <c r="AH335" s="703"/>
      <c r="AI335" s="703"/>
      <c r="AJ335" s="703"/>
      <c r="AK335" s="703"/>
      <c r="AL335" s="703"/>
      <c r="AM335" s="703"/>
      <c r="AN335" s="703"/>
      <c r="AO335" s="704"/>
      <c r="AP335" s="705"/>
      <c r="AQ335" s="763" t="str">
        <f t="shared" si="34"/>
        <v/>
      </c>
      <c r="AS335" s="268"/>
      <c r="AV335" s="699"/>
      <c r="AW335" s="700">
        <v>2.69E-2</v>
      </c>
      <c r="AX335" s="382">
        <f t="shared" si="32"/>
        <v>0</v>
      </c>
      <c r="AY335" s="379" t="str">
        <f t="shared" ca="1" si="35"/>
        <v>ÉLELMESEK</v>
      </c>
      <c r="AZ335" s="384">
        <f t="shared" si="33"/>
        <v>0</v>
      </c>
      <c r="BA335" s="642"/>
    </row>
    <row r="336" spans="1:53" ht="11.25" hidden="1" customHeight="1" x14ac:dyDescent="0.2">
      <c r="A336" s="867"/>
      <c r="C336" s="758"/>
      <c r="D336" s="757"/>
      <c r="E336" s="747"/>
      <c r="F336" s="703"/>
      <c r="G336" s="703"/>
      <c r="H336" s="703"/>
      <c r="I336" s="703"/>
      <c r="J336" s="703"/>
      <c r="K336" s="703"/>
      <c r="L336" s="703"/>
      <c r="M336" s="703"/>
      <c r="N336" s="703"/>
      <c r="O336" s="703"/>
      <c r="P336" s="703"/>
      <c r="Q336" s="703"/>
      <c r="R336" s="703"/>
      <c r="S336" s="703"/>
      <c r="T336" s="703"/>
      <c r="U336" s="703"/>
      <c r="V336" s="703"/>
      <c r="W336" s="703"/>
      <c r="X336" s="703"/>
      <c r="Y336" s="703"/>
      <c r="Z336" s="703"/>
      <c r="AA336" s="703"/>
      <c r="AB336" s="703"/>
      <c r="AC336" s="703"/>
      <c r="AD336" s="703"/>
      <c r="AE336" s="703"/>
      <c r="AF336" s="703"/>
      <c r="AG336" s="703"/>
      <c r="AH336" s="703"/>
      <c r="AI336" s="703"/>
      <c r="AJ336" s="703"/>
      <c r="AK336" s="703"/>
      <c r="AL336" s="703"/>
      <c r="AM336" s="703"/>
      <c r="AN336" s="703"/>
      <c r="AO336" s="704"/>
      <c r="AP336" s="705"/>
      <c r="AQ336" s="763" t="str">
        <f t="shared" si="34"/>
        <v/>
      </c>
      <c r="AS336" s="268"/>
      <c r="AV336" s="699"/>
      <c r="AW336" s="700">
        <v>2.7E-2</v>
      </c>
      <c r="AX336" s="382">
        <f t="shared" si="32"/>
        <v>0</v>
      </c>
      <c r="AY336" s="379" t="str">
        <f t="shared" ca="1" si="35"/>
        <v>ÉLELMESEK</v>
      </c>
      <c r="AZ336" s="384">
        <f t="shared" si="33"/>
        <v>0</v>
      </c>
      <c r="BA336" s="642"/>
    </row>
    <row r="337" spans="1:54" ht="11.25" hidden="1" customHeight="1" x14ac:dyDescent="0.2">
      <c r="A337" s="867"/>
      <c r="C337" s="758"/>
      <c r="D337" s="757"/>
      <c r="E337" s="747"/>
      <c r="F337" s="703"/>
      <c r="G337" s="703"/>
      <c r="H337" s="703"/>
      <c r="I337" s="703"/>
      <c r="J337" s="703"/>
      <c r="K337" s="703"/>
      <c r="L337" s="703"/>
      <c r="M337" s="703"/>
      <c r="N337" s="703"/>
      <c r="O337" s="703"/>
      <c r="P337" s="703"/>
      <c r="Q337" s="703"/>
      <c r="R337" s="703"/>
      <c r="S337" s="703"/>
      <c r="T337" s="703"/>
      <c r="U337" s="703"/>
      <c r="V337" s="703"/>
      <c r="W337" s="703"/>
      <c r="X337" s="703"/>
      <c r="Y337" s="703"/>
      <c r="Z337" s="703"/>
      <c r="AA337" s="703"/>
      <c r="AB337" s="703"/>
      <c r="AC337" s="703"/>
      <c r="AD337" s="703"/>
      <c r="AE337" s="703"/>
      <c r="AF337" s="703"/>
      <c r="AG337" s="703"/>
      <c r="AH337" s="703"/>
      <c r="AI337" s="703"/>
      <c r="AJ337" s="703"/>
      <c r="AK337" s="703"/>
      <c r="AL337" s="703"/>
      <c r="AM337" s="703"/>
      <c r="AN337" s="703"/>
      <c r="AO337" s="704"/>
      <c r="AP337" s="705"/>
      <c r="AQ337" s="763" t="str">
        <f t="shared" si="34"/>
        <v/>
      </c>
      <c r="AS337" s="268"/>
      <c r="AV337" s="699"/>
      <c r="AW337" s="700">
        <v>2.7099999999999999E-2</v>
      </c>
      <c r="AX337" s="382">
        <f t="shared" si="32"/>
        <v>0</v>
      </c>
      <c r="AY337" s="379" t="str">
        <f t="shared" ca="1" si="35"/>
        <v>ÉLELMESEK</v>
      </c>
      <c r="AZ337" s="384">
        <f t="shared" si="33"/>
        <v>0</v>
      </c>
      <c r="BA337" s="642"/>
    </row>
    <row r="338" spans="1:54" ht="11.25" hidden="1" customHeight="1" x14ac:dyDescent="0.2">
      <c r="A338" s="867"/>
      <c r="C338" s="758"/>
      <c r="D338" s="757"/>
      <c r="E338" s="747"/>
      <c r="F338" s="703"/>
      <c r="G338" s="703"/>
      <c r="H338" s="703"/>
      <c r="I338" s="703"/>
      <c r="J338" s="703"/>
      <c r="K338" s="703"/>
      <c r="L338" s="703"/>
      <c r="M338" s="703"/>
      <c r="N338" s="703"/>
      <c r="O338" s="703"/>
      <c r="P338" s="703"/>
      <c r="Q338" s="703"/>
      <c r="R338" s="703"/>
      <c r="S338" s="703"/>
      <c r="T338" s="703"/>
      <c r="U338" s="703"/>
      <c r="V338" s="703"/>
      <c r="W338" s="703"/>
      <c r="X338" s="703"/>
      <c r="Y338" s="703"/>
      <c r="Z338" s="703"/>
      <c r="AA338" s="703"/>
      <c r="AB338" s="703"/>
      <c r="AC338" s="703"/>
      <c r="AD338" s="703"/>
      <c r="AE338" s="703"/>
      <c r="AF338" s="703"/>
      <c r="AG338" s="703"/>
      <c r="AH338" s="703"/>
      <c r="AI338" s="703"/>
      <c r="AJ338" s="703"/>
      <c r="AK338" s="703"/>
      <c r="AL338" s="703"/>
      <c r="AM338" s="703"/>
      <c r="AN338" s="703"/>
      <c r="AO338" s="704"/>
      <c r="AP338" s="705"/>
      <c r="AQ338" s="763" t="str">
        <f t="shared" si="34"/>
        <v/>
      </c>
      <c r="AS338" s="268"/>
      <c r="AV338" s="699"/>
      <c r="AW338" s="700">
        <v>2.7199999999999998E-2</v>
      </c>
      <c r="AX338" s="382">
        <f t="shared" si="32"/>
        <v>0</v>
      </c>
      <c r="AY338" s="379" t="str">
        <f t="shared" ca="1" si="35"/>
        <v>ÉLELMESEK</v>
      </c>
      <c r="AZ338" s="384">
        <f t="shared" si="33"/>
        <v>0</v>
      </c>
      <c r="BA338" s="642"/>
    </row>
    <row r="339" spans="1:54" ht="11.25" hidden="1" customHeight="1" x14ac:dyDescent="0.2">
      <c r="A339" s="867"/>
      <c r="C339" s="758"/>
      <c r="D339" s="757"/>
      <c r="E339" s="747"/>
      <c r="F339" s="703"/>
      <c r="G339" s="703"/>
      <c r="H339" s="703"/>
      <c r="I339" s="703"/>
      <c r="J339" s="703"/>
      <c r="K339" s="703"/>
      <c r="L339" s="703"/>
      <c r="M339" s="703"/>
      <c r="N339" s="703"/>
      <c r="O339" s="703"/>
      <c r="P339" s="703"/>
      <c r="Q339" s="703"/>
      <c r="R339" s="703"/>
      <c r="S339" s="703"/>
      <c r="T339" s="703"/>
      <c r="U339" s="703"/>
      <c r="V339" s="703"/>
      <c r="W339" s="703"/>
      <c r="X339" s="703"/>
      <c r="Y339" s="703"/>
      <c r="Z339" s="703"/>
      <c r="AA339" s="703"/>
      <c r="AB339" s="703"/>
      <c r="AC339" s="703"/>
      <c r="AD339" s="703"/>
      <c r="AE339" s="703"/>
      <c r="AF339" s="703"/>
      <c r="AG339" s="703"/>
      <c r="AH339" s="703"/>
      <c r="AI339" s="703"/>
      <c r="AJ339" s="703"/>
      <c r="AK339" s="703"/>
      <c r="AL339" s="703"/>
      <c r="AM339" s="703"/>
      <c r="AN339" s="703"/>
      <c r="AO339" s="704"/>
      <c r="AP339" s="705"/>
      <c r="AQ339" s="763" t="str">
        <f t="shared" si="34"/>
        <v/>
      </c>
      <c r="AS339" s="268"/>
      <c r="AV339" s="699"/>
      <c r="AW339" s="700">
        <v>2.7300000000000001E-2</v>
      </c>
      <c r="AX339" s="382">
        <f t="shared" si="32"/>
        <v>0</v>
      </c>
      <c r="AY339" s="379" t="str">
        <f t="shared" ca="1" si="35"/>
        <v>ÉLELMESEK</v>
      </c>
      <c r="AZ339" s="384">
        <f t="shared" si="33"/>
        <v>0</v>
      </c>
      <c r="BA339" s="642"/>
    </row>
    <row r="340" spans="1:54" ht="11.25" hidden="1" customHeight="1" x14ac:dyDescent="0.2">
      <c r="A340" s="867"/>
      <c r="C340" s="758"/>
      <c r="D340" s="757"/>
      <c r="E340" s="747"/>
      <c r="F340" s="703"/>
      <c r="G340" s="703"/>
      <c r="H340" s="703"/>
      <c r="I340" s="703"/>
      <c r="J340" s="703"/>
      <c r="K340" s="703"/>
      <c r="L340" s="703"/>
      <c r="M340" s="703"/>
      <c r="N340" s="703"/>
      <c r="O340" s="703"/>
      <c r="P340" s="703"/>
      <c r="Q340" s="703"/>
      <c r="R340" s="703"/>
      <c r="S340" s="703"/>
      <c r="T340" s="703"/>
      <c r="U340" s="703"/>
      <c r="V340" s="703"/>
      <c r="W340" s="703"/>
      <c r="X340" s="703"/>
      <c r="Y340" s="703"/>
      <c r="Z340" s="703"/>
      <c r="AA340" s="703"/>
      <c r="AB340" s="703"/>
      <c r="AC340" s="703"/>
      <c r="AD340" s="703"/>
      <c r="AE340" s="703"/>
      <c r="AF340" s="703"/>
      <c r="AG340" s="703"/>
      <c r="AH340" s="703"/>
      <c r="AI340" s="703"/>
      <c r="AJ340" s="703"/>
      <c r="AK340" s="703"/>
      <c r="AL340" s="703"/>
      <c r="AM340" s="703"/>
      <c r="AN340" s="703"/>
      <c r="AO340" s="704"/>
      <c r="AP340" s="705"/>
      <c r="AQ340" s="763" t="str">
        <f t="shared" si="34"/>
        <v/>
      </c>
      <c r="AS340" s="268"/>
      <c r="AV340" s="699"/>
      <c r="AW340" s="700">
        <v>2.7400000000000001E-2</v>
      </c>
      <c r="AX340" s="382">
        <f t="shared" si="32"/>
        <v>0</v>
      </c>
      <c r="AY340" s="379" t="str">
        <f t="shared" ca="1" si="35"/>
        <v>ÉLELMESEK</v>
      </c>
      <c r="AZ340" s="384">
        <f t="shared" si="33"/>
        <v>0</v>
      </c>
      <c r="BA340" s="642"/>
    </row>
    <row r="341" spans="1:54" ht="11.25" hidden="1" customHeight="1" x14ac:dyDescent="0.2">
      <c r="A341" s="867"/>
      <c r="C341" s="758"/>
      <c r="D341" s="757"/>
      <c r="E341" s="747"/>
      <c r="F341" s="703"/>
      <c r="G341" s="703"/>
      <c r="H341" s="703"/>
      <c r="I341" s="703"/>
      <c r="J341" s="703"/>
      <c r="K341" s="703"/>
      <c r="L341" s="703"/>
      <c r="M341" s="703"/>
      <c r="N341" s="703"/>
      <c r="O341" s="703"/>
      <c r="P341" s="703"/>
      <c r="Q341" s="703"/>
      <c r="R341" s="703"/>
      <c r="S341" s="703"/>
      <c r="T341" s="703"/>
      <c r="U341" s="703"/>
      <c r="V341" s="703"/>
      <c r="W341" s="703"/>
      <c r="X341" s="703"/>
      <c r="Y341" s="703"/>
      <c r="Z341" s="703"/>
      <c r="AA341" s="703"/>
      <c r="AB341" s="703"/>
      <c r="AC341" s="703"/>
      <c r="AD341" s="703"/>
      <c r="AE341" s="703"/>
      <c r="AF341" s="703"/>
      <c r="AG341" s="703"/>
      <c r="AH341" s="703"/>
      <c r="AI341" s="703"/>
      <c r="AJ341" s="703"/>
      <c r="AK341" s="703"/>
      <c r="AL341" s="703"/>
      <c r="AM341" s="703"/>
      <c r="AN341" s="703"/>
      <c r="AO341" s="704"/>
      <c r="AP341" s="705"/>
      <c r="AQ341" s="763" t="str">
        <f t="shared" si="34"/>
        <v/>
      </c>
      <c r="AS341" s="268"/>
      <c r="AV341" s="699"/>
      <c r="AW341" s="700">
        <v>2.75E-2</v>
      </c>
      <c r="AX341" s="382">
        <f t="shared" si="32"/>
        <v>0</v>
      </c>
      <c r="AY341" s="379" t="str">
        <f t="shared" ca="1" si="35"/>
        <v>ÉLELMESEK</v>
      </c>
      <c r="AZ341" s="384">
        <f t="shared" si="33"/>
        <v>0</v>
      </c>
      <c r="BA341" s="642"/>
    </row>
    <row r="342" spans="1:54" ht="11.25" hidden="1" customHeight="1" x14ac:dyDescent="0.2">
      <c r="A342" s="867"/>
      <c r="C342" s="758"/>
      <c r="D342" s="757"/>
      <c r="E342" s="747"/>
      <c r="F342" s="703"/>
      <c r="G342" s="703"/>
      <c r="H342" s="703"/>
      <c r="I342" s="703"/>
      <c r="J342" s="703"/>
      <c r="K342" s="703"/>
      <c r="L342" s="703"/>
      <c r="M342" s="703"/>
      <c r="N342" s="703"/>
      <c r="O342" s="703"/>
      <c r="P342" s="703"/>
      <c r="Q342" s="703"/>
      <c r="R342" s="703"/>
      <c r="S342" s="703"/>
      <c r="T342" s="703"/>
      <c r="U342" s="703"/>
      <c r="V342" s="703"/>
      <c r="W342" s="703"/>
      <c r="X342" s="703"/>
      <c r="Y342" s="703"/>
      <c r="Z342" s="703"/>
      <c r="AA342" s="703"/>
      <c r="AB342" s="703"/>
      <c r="AC342" s="703"/>
      <c r="AD342" s="703"/>
      <c r="AE342" s="703"/>
      <c r="AF342" s="703"/>
      <c r="AG342" s="703"/>
      <c r="AH342" s="703"/>
      <c r="AI342" s="703"/>
      <c r="AJ342" s="703"/>
      <c r="AK342" s="703"/>
      <c r="AL342" s="703"/>
      <c r="AM342" s="703"/>
      <c r="AN342" s="703"/>
      <c r="AO342" s="704"/>
      <c r="AP342" s="705"/>
      <c r="AQ342" s="763" t="str">
        <f t="shared" si="34"/>
        <v/>
      </c>
      <c r="AS342" s="268"/>
      <c r="AV342" s="699"/>
      <c r="AW342" s="700">
        <v>2.76E-2</v>
      </c>
      <c r="AX342" s="382">
        <f t="shared" si="32"/>
        <v>0</v>
      </c>
      <c r="AY342" s="379" t="str">
        <f t="shared" ca="1" si="35"/>
        <v>ÉLELMESEK</v>
      </c>
      <c r="AZ342" s="384">
        <f t="shared" si="33"/>
        <v>0</v>
      </c>
      <c r="BA342" s="642"/>
    </row>
    <row r="343" spans="1:54" ht="11.25" hidden="1" customHeight="1" x14ac:dyDescent="0.2">
      <c r="A343" s="867"/>
      <c r="C343" s="758"/>
      <c r="D343" s="757"/>
      <c r="E343" s="747"/>
      <c r="F343" s="703"/>
      <c r="G343" s="703"/>
      <c r="H343" s="703"/>
      <c r="I343" s="703"/>
      <c r="J343" s="703"/>
      <c r="K343" s="703"/>
      <c r="L343" s="703"/>
      <c r="M343" s="703"/>
      <c r="N343" s="703"/>
      <c r="O343" s="703"/>
      <c r="P343" s="703"/>
      <c r="Q343" s="703"/>
      <c r="R343" s="703"/>
      <c r="S343" s="703"/>
      <c r="T343" s="703"/>
      <c r="U343" s="703"/>
      <c r="V343" s="703"/>
      <c r="W343" s="703"/>
      <c r="X343" s="703"/>
      <c r="Y343" s="703"/>
      <c r="Z343" s="703"/>
      <c r="AA343" s="703"/>
      <c r="AB343" s="703"/>
      <c r="AC343" s="703"/>
      <c r="AD343" s="703"/>
      <c r="AE343" s="703"/>
      <c r="AF343" s="703"/>
      <c r="AG343" s="703"/>
      <c r="AH343" s="703"/>
      <c r="AI343" s="703"/>
      <c r="AJ343" s="703"/>
      <c r="AK343" s="703"/>
      <c r="AL343" s="703"/>
      <c r="AM343" s="703"/>
      <c r="AN343" s="703"/>
      <c r="AO343" s="704"/>
      <c r="AP343" s="705"/>
      <c r="AQ343" s="763" t="str">
        <f t="shared" si="34"/>
        <v/>
      </c>
      <c r="AS343" s="268"/>
      <c r="AV343" s="699"/>
      <c r="AW343" s="700">
        <v>2.7699999999999999E-2</v>
      </c>
      <c r="AX343" s="382">
        <f t="shared" si="32"/>
        <v>0</v>
      </c>
      <c r="AY343" s="379" t="str">
        <f t="shared" ca="1" si="35"/>
        <v>ÉLELMESEK</v>
      </c>
      <c r="AZ343" s="384">
        <f t="shared" si="33"/>
        <v>0</v>
      </c>
      <c r="BA343" s="642"/>
    </row>
    <row r="344" spans="1:54" ht="11.25" hidden="1" customHeight="1" x14ac:dyDescent="0.2">
      <c r="A344" s="867"/>
      <c r="C344" s="758"/>
      <c r="D344" s="757"/>
      <c r="E344" s="747"/>
      <c r="F344" s="703"/>
      <c r="G344" s="703"/>
      <c r="H344" s="703"/>
      <c r="I344" s="703"/>
      <c r="J344" s="703"/>
      <c r="K344" s="703"/>
      <c r="L344" s="703"/>
      <c r="M344" s="703"/>
      <c r="N344" s="703"/>
      <c r="O344" s="703"/>
      <c r="P344" s="703"/>
      <c r="Q344" s="703"/>
      <c r="R344" s="703"/>
      <c r="S344" s="703"/>
      <c r="T344" s="703"/>
      <c r="U344" s="703"/>
      <c r="V344" s="703"/>
      <c r="W344" s="703"/>
      <c r="X344" s="703"/>
      <c r="Y344" s="703"/>
      <c r="Z344" s="703"/>
      <c r="AA344" s="703"/>
      <c r="AB344" s="703"/>
      <c r="AC344" s="703"/>
      <c r="AD344" s="703"/>
      <c r="AE344" s="703"/>
      <c r="AF344" s="703"/>
      <c r="AG344" s="703"/>
      <c r="AH344" s="703"/>
      <c r="AI344" s="703"/>
      <c r="AJ344" s="703"/>
      <c r="AK344" s="703"/>
      <c r="AL344" s="703"/>
      <c r="AM344" s="703"/>
      <c r="AN344" s="703"/>
      <c r="AO344" s="704"/>
      <c r="AP344" s="705"/>
      <c r="AQ344" s="763" t="str">
        <f t="shared" si="34"/>
        <v/>
      </c>
      <c r="AS344" s="268"/>
      <c r="AV344" s="699"/>
      <c r="AW344" s="700">
        <v>2.7799999999999998E-2</v>
      </c>
      <c r="AX344" s="382">
        <f t="shared" si="32"/>
        <v>0</v>
      </c>
      <c r="AY344" s="379" t="str">
        <f t="shared" ca="1" si="35"/>
        <v>ÉLELMESEK</v>
      </c>
      <c r="AZ344" s="384">
        <f t="shared" si="33"/>
        <v>0</v>
      </c>
      <c r="BA344" s="642"/>
    </row>
    <row r="345" spans="1:54" ht="11.25" hidden="1" customHeight="1" x14ac:dyDescent="0.2">
      <c r="A345" s="867"/>
      <c r="C345" s="758"/>
      <c r="D345" s="757"/>
      <c r="E345" s="747"/>
      <c r="F345" s="703"/>
      <c r="G345" s="703"/>
      <c r="H345" s="703"/>
      <c r="I345" s="703"/>
      <c r="J345" s="703"/>
      <c r="K345" s="703"/>
      <c r="L345" s="703"/>
      <c r="M345" s="703"/>
      <c r="N345" s="703"/>
      <c r="O345" s="703"/>
      <c r="P345" s="703"/>
      <c r="Q345" s="703"/>
      <c r="R345" s="703"/>
      <c r="S345" s="703"/>
      <c r="T345" s="703"/>
      <c r="U345" s="703"/>
      <c r="V345" s="703"/>
      <c r="W345" s="703"/>
      <c r="X345" s="703"/>
      <c r="Y345" s="703"/>
      <c r="Z345" s="703"/>
      <c r="AA345" s="703"/>
      <c r="AB345" s="703"/>
      <c r="AC345" s="703"/>
      <c r="AD345" s="703"/>
      <c r="AE345" s="703"/>
      <c r="AF345" s="703"/>
      <c r="AG345" s="703"/>
      <c r="AH345" s="703"/>
      <c r="AI345" s="703"/>
      <c r="AJ345" s="703"/>
      <c r="AK345" s="703"/>
      <c r="AL345" s="703"/>
      <c r="AM345" s="703"/>
      <c r="AN345" s="703"/>
      <c r="AO345" s="704"/>
      <c r="AP345" s="705"/>
      <c r="AQ345" s="763" t="str">
        <f t="shared" si="34"/>
        <v/>
      </c>
      <c r="AS345" s="268"/>
      <c r="AV345" s="699"/>
      <c r="AW345" s="700">
        <v>2.7900000000000001E-2</v>
      </c>
      <c r="AX345" s="382">
        <f t="shared" si="32"/>
        <v>0</v>
      </c>
      <c r="AY345" s="379" t="str">
        <f t="shared" ca="1" si="35"/>
        <v>ÉLELMESEK</v>
      </c>
      <c r="AZ345" s="384">
        <f t="shared" si="33"/>
        <v>0</v>
      </c>
      <c r="BA345" s="642"/>
    </row>
    <row r="346" spans="1:54" ht="12.75" customHeight="1" x14ac:dyDescent="0.2">
      <c r="A346" s="867"/>
      <c r="C346" s="759"/>
      <c r="D346" s="760"/>
      <c r="E346" s="748"/>
      <c r="F346" s="708"/>
      <c r="G346" s="708"/>
      <c r="H346" s="708"/>
      <c r="I346" s="708"/>
      <c r="J346" s="708"/>
      <c r="K346" s="708"/>
      <c r="L346" s="708"/>
      <c r="M346" s="708"/>
      <c r="N346" s="708"/>
      <c r="O346" s="708"/>
      <c r="P346" s="708"/>
      <c r="Q346" s="708"/>
      <c r="R346" s="708"/>
      <c r="S346" s="708"/>
      <c r="T346" s="708"/>
      <c r="U346" s="708"/>
      <c r="V346" s="708"/>
      <c r="W346" s="708"/>
      <c r="X346" s="708"/>
      <c r="Y346" s="708"/>
      <c r="Z346" s="708"/>
      <c r="AA346" s="708"/>
      <c r="AB346" s="708"/>
      <c r="AC346" s="708"/>
      <c r="AD346" s="708"/>
      <c r="AE346" s="708"/>
      <c r="AF346" s="708"/>
      <c r="AG346" s="708"/>
      <c r="AH346" s="708"/>
      <c r="AI346" s="708"/>
      <c r="AJ346" s="708"/>
      <c r="AK346" s="708"/>
      <c r="AL346" s="708"/>
      <c r="AM346" s="708"/>
      <c r="AN346" s="708"/>
      <c r="AO346" s="709"/>
      <c r="AP346" s="710"/>
      <c r="AQ346" s="763" t="str">
        <f t="shared" si="34"/>
        <v/>
      </c>
      <c r="AS346" s="268"/>
      <c r="AV346" s="699"/>
      <c r="AW346" s="700">
        <v>2.8000000000000001E-2</v>
      </c>
      <c r="AX346" s="382">
        <f t="shared" si="32"/>
        <v>0</v>
      </c>
      <c r="AY346" s="379" t="str">
        <f t="shared" ca="1" si="35"/>
        <v>ÉLELMESEK</v>
      </c>
      <c r="AZ346" s="384">
        <f t="shared" si="33"/>
        <v>0</v>
      </c>
      <c r="BA346" s="642"/>
    </row>
    <row r="347" spans="1:54" ht="13.5" customHeight="1" x14ac:dyDescent="0.2">
      <c r="A347" s="867"/>
      <c r="AV347" s="699"/>
      <c r="AW347" s="700">
        <v>2.81E-2</v>
      </c>
      <c r="AX347" s="642"/>
      <c r="AY347" s="642"/>
      <c r="BA347" s="642"/>
    </row>
    <row r="348" spans="1:54" ht="1.5" customHeight="1" x14ac:dyDescent="0.2">
      <c r="A348" s="867"/>
      <c r="AV348" s="699"/>
      <c r="AW348" s="700">
        <v>2.8199999999999999E-2</v>
      </c>
    </row>
    <row r="349" spans="1:54" s="186" customFormat="1" ht="11.25" hidden="1" customHeight="1" x14ac:dyDescent="0.2">
      <c r="A349" s="867"/>
      <c r="AS349" s="672"/>
      <c r="AU349" s="669"/>
      <c r="AV349" s="699"/>
      <c r="AW349" s="700">
        <v>2.8299999999999999E-2</v>
      </c>
      <c r="AX349" s="643"/>
      <c r="AY349" s="643"/>
      <c r="AZ349" s="671"/>
      <c r="BA349" s="643"/>
      <c r="BB349" s="669"/>
    </row>
    <row r="350" spans="1:54" s="673" customFormat="1" ht="13.5" hidden="1" customHeight="1" x14ac:dyDescent="0.2">
      <c r="A350" s="867"/>
      <c r="D350" s="674"/>
      <c r="E350" s="674"/>
      <c r="F350" s="674"/>
      <c r="G350" s="674"/>
      <c r="H350" s="674"/>
      <c r="I350" s="674"/>
      <c r="J350" s="674"/>
      <c r="K350" s="674"/>
      <c r="L350" s="674"/>
      <c r="M350" s="674"/>
      <c r="N350" s="674"/>
      <c r="O350" s="674"/>
      <c r="P350" s="674"/>
      <c r="Q350" s="674"/>
      <c r="R350" s="674"/>
      <c r="S350" s="674"/>
      <c r="T350" s="674"/>
      <c r="U350" s="674"/>
      <c r="V350" s="674"/>
      <c r="W350" s="674"/>
      <c r="X350" s="674"/>
      <c r="Y350" s="674"/>
      <c r="Z350" s="674"/>
      <c r="AA350" s="674"/>
      <c r="AB350" s="674"/>
      <c r="AC350" s="674"/>
      <c r="AD350" s="674"/>
      <c r="AE350" s="674"/>
      <c r="AF350" s="674"/>
      <c r="AG350" s="674"/>
      <c r="AH350" s="674"/>
      <c r="AI350" s="674"/>
      <c r="AJ350" s="674"/>
      <c r="AK350" s="674"/>
      <c r="AL350" s="674"/>
      <c r="AM350" s="674"/>
      <c r="AN350" s="674"/>
      <c r="AO350" s="674"/>
      <c r="AP350" s="674"/>
      <c r="AS350" s="675"/>
      <c r="AU350" s="643"/>
      <c r="AV350" s="699"/>
      <c r="AW350" s="700">
        <v>2.8400000000000002E-2</v>
      </c>
      <c r="AX350" s="643"/>
      <c r="AY350" s="643"/>
      <c r="AZ350" s="671"/>
      <c r="BA350" s="643"/>
      <c r="BB350" s="643"/>
    </row>
    <row r="351" spans="1:54" s="673" customFormat="1" ht="13.5" hidden="1" customHeight="1" x14ac:dyDescent="0.2">
      <c r="A351" s="867"/>
      <c r="C351" s="324">
        <f>C301+1</f>
        <v>7</v>
      </c>
      <c r="D351" s="383"/>
      <c r="E351" s="383">
        <v>1</v>
      </c>
      <c r="F351" s="383">
        <v>2</v>
      </c>
      <c r="G351" s="383">
        <v>3</v>
      </c>
      <c r="H351" s="383">
        <v>4</v>
      </c>
      <c r="I351" s="383">
        <v>5</v>
      </c>
      <c r="J351" s="383">
        <v>6</v>
      </c>
      <c r="K351" s="383">
        <v>7</v>
      </c>
      <c r="L351" s="383">
        <v>8</v>
      </c>
      <c r="M351" s="383">
        <v>9</v>
      </c>
      <c r="N351" s="383">
        <v>10</v>
      </c>
      <c r="O351" s="383">
        <v>11</v>
      </c>
      <c r="P351" s="383">
        <v>12</v>
      </c>
      <c r="Q351" s="383">
        <v>13</v>
      </c>
      <c r="R351" s="383">
        <v>14</v>
      </c>
      <c r="S351" s="383">
        <v>15</v>
      </c>
      <c r="T351" s="383">
        <v>16</v>
      </c>
      <c r="U351" s="383">
        <v>17</v>
      </c>
      <c r="V351" s="383">
        <v>18</v>
      </c>
      <c r="W351" s="383">
        <v>19</v>
      </c>
      <c r="X351" s="383">
        <v>20</v>
      </c>
      <c r="Y351" s="383">
        <v>21</v>
      </c>
      <c r="Z351" s="751">
        <v>22</v>
      </c>
      <c r="AA351" s="383">
        <v>23</v>
      </c>
      <c r="AB351" s="383">
        <v>24</v>
      </c>
      <c r="AC351" s="383">
        <v>25</v>
      </c>
      <c r="AD351" s="383">
        <v>26</v>
      </c>
      <c r="AE351" s="383">
        <v>27</v>
      </c>
      <c r="AF351" s="383"/>
      <c r="AG351" s="383"/>
      <c r="AH351" s="383"/>
      <c r="AI351" s="383"/>
      <c r="AJ351" s="383"/>
      <c r="AK351" s="383"/>
      <c r="AL351" s="383"/>
      <c r="AM351" s="383"/>
      <c r="AN351" s="383"/>
      <c r="AO351" s="383"/>
      <c r="AP351" s="674"/>
      <c r="AS351" s="675"/>
      <c r="AU351" s="643"/>
      <c r="AV351" s="699"/>
      <c r="AW351" s="700">
        <v>2.8500000000000001E-2</v>
      </c>
      <c r="AX351" s="643"/>
      <c r="AY351" s="643"/>
      <c r="AZ351" s="671"/>
      <c r="BA351" s="643"/>
      <c r="BB351" s="643"/>
    </row>
    <row r="352" spans="1:54" s="673" customFormat="1" ht="13.5" hidden="1" customHeight="1" x14ac:dyDescent="0.2">
      <c r="A352" s="867"/>
      <c r="D352" s="383"/>
      <c r="E352" s="383"/>
      <c r="F352" s="383"/>
      <c r="G352" s="383"/>
      <c r="H352" s="383"/>
      <c r="I352" s="383"/>
      <c r="J352" s="383"/>
      <c r="K352" s="383"/>
      <c r="L352" s="383"/>
      <c r="M352" s="383"/>
      <c r="N352" s="383"/>
      <c r="O352" s="383"/>
      <c r="P352" s="383"/>
      <c r="Q352" s="383"/>
      <c r="R352" s="383"/>
      <c r="S352" s="383"/>
      <c r="T352" s="383"/>
      <c r="U352" s="383"/>
      <c r="V352" s="383"/>
      <c r="W352" s="383"/>
      <c r="X352" s="383"/>
      <c r="Y352" s="383"/>
      <c r="Z352" s="751"/>
      <c r="AA352" s="383"/>
      <c r="AB352" s="383"/>
      <c r="AC352" s="383"/>
      <c r="AD352" s="383"/>
      <c r="AE352" s="383"/>
      <c r="AF352" s="383"/>
      <c r="AG352" s="383"/>
      <c r="AH352" s="383"/>
      <c r="AI352" s="383"/>
      <c r="AJ352" s="383"/>
      <c r="AK352" s="383"/>
      <c r="AL352" s="383"/>
      <c r="AM352" s="383"/>
      <c r="AN352" s="383"/>
      <c r="AO352" s="383"/>
      <c r="AP352" s="674"/>
      <c r="AS352" s="675"/>
      <c r="AU352" s="643"/>
      <c r="AV352" s="699"/>
      <c r="AW352" s="700">
        <v>2.86E-2</v>
      </c>
      <c r="AX352" s="643"/>
      <c r="AY352" s="643"/>
      <c r="AZ352" s="671"/>
      <c r="BA352" s="643"/>
      <c r="BB352" s="643"/>
    </row>
    <row r="353" spans="1:54" s="673" customFormat="1" ht="13.5" hidden="1" customHeight="1" x14ac:dyDescent="0.2">
      <c r="A353" s="867"/>
      <c r="D353" s="676"/>
      <c r="E353" s="676">
        <f t="shared" ref="E353:AE353" si="36">E$53</f>
        <v>1</v>
      </c>
      <c r="F353" s="676">
        <f t="shared" si="36"/>
        <v>17</v>
      </c>
      <c r="G353" s="676">
        <f t="shared" si="36"/>
        <v>33</v>
      </c>
      <c r="H353" s="676">
        <f t="shared" si="36"/>
        <v>49</v>
      </c>
      <c r="I353" s="676">
        <f t="shared" si="36"/>
        <v>65</v>
      </c>
      <c r="J353" s="676">
        <f t="shared" si="36"/>
        <v>81</v>
      </c>
      <c r="K353" s="676">
        <f t="shared" si="36"/>
        <v>97</v>
      </c>
      <c r="L353" s="676">
        <f t="shared" si="36"/>
        <v>113</v>
      </c>
      <c r="M353" s="676">
        <f t="shared" si="36"/>
        <v>129</v>
      </c>
      <c r="N353" s="676">
        <f t="shared" si="36"/>
        <v>145</v>
      </c>
      <c r="O353" s="676">
        <f t="shared" si="36"/>
        <v>161</v>
      </c>
      <c r="P353" s="676">
        <f t="shared" si="36"/>
        <v>177</v>
      </c>
      <c r="Q353" s="676">
        <f t="shared" si="36"/>
        <v>193</v>
      </c>
      <c r="R353" s="676">
        <f t="shared" si="36"/>
        <v>209</v>
      </c>
      <c r="S353" s="676">
        <f t="shared" si="36"/>
        <v>225</v>
      </c>
      <c r="T353" s="676">
        <f t="shared" si="36"/>
        <v>241</v>
      </c>
      <c r="U353" s="676">
        <f t="shared" si="36"/>
        <v>257</v>
      </c>
      <c r="V353" s="676">
        <f t="shared" si="36"/>
        <v>273</v>
      </c>
      <c r="W353" s="676">
        <f t="shared" si="36"/>
        <v>289</v>
      </c>
      <c r="X353" s="676">
        <f t="shared" si="36"/>
        <v>305</v>
      </c>
      <c r="Y353" s="676">
        <f t="shared" si="36"/>
        <v>321</v>
      </c>
      <c r="Z353" s="676">
        <f t="shared" si="36"/>
        <v>337</v>
      </c>
      <c r="AA353" s="676">
        <f t="shared" si="36"/>
        <v>1</v>
      </c>
      <c r="AB353" s="676">
        <f t="shared" si="36"/>
        <v>19</v>
      </c>
      <c r="AC353" s="676">
        <f t="shared" si="36"/>
        <v>37</v>
      </c>
      <c r="AD353" s="676">
        <f t="shared" si="36"/>
        <v>55</v>
      </c>
      <c r="AE353" s="676">
        <f t="shared" si="36"/>
        <v>73</v>
      </c>
      <c r="AF353" s="676"/>
      <c r="AG353" s="676"/>
      <c r="AH353" s="676"/>
      <c r="AI353" s="676"/>
      <c r="AJ353" s="676"/>
      <c r="AK353" s="676"/>
      <c r="AL353" s="676"/>
      <c r="AM353" s="676"/>
      <c r="AN353" s="676"/>
      <c r="AO353" s="676"/>
      <c r="AP353" s="674"/>
      <c r="AS353" s="675"/>
      <c r="AU353" s="643"/>
      <c r="AV353" s="699"/>
      <c r="AW353" s="700">
        <v>2.87E-2</v>
      </c>
      <c r="AX353" s="643"/>
      <c r="AY353" s="643"/>
      <c r="AZ353" s="671"/>
      <c r="BA353" s="643"/>
      <c r="BB353" s="643"/>
    </row>
    <row r="354" spans="1:54" s="673" customFormat="1" ht="13.5" hidden="1" customHeight="1" x14ac:dyDescent="0.2">
      <c r="A354" s="867"/>
      <c r="D354" s="677"/>
      <c r="E354" s="749" t="b">
        <f ca="1">COUNTIF(OFFSET(ASZ!$AB$42,E353,-4,12,2),$C362)=0</f>
        <v>0</v>
      </c>
      <c r="F354" s="749" t="b">
        <f ca="1">COUNTIF(OFFSET(ASZ!$AB$42,F353,-4,12,2),$C362)=0</f>
        <v>0</v>
      </c>
      <c r="G354" s="749" t="b">
        <f ca="1">COUNTIF(OFFSET(ASZ!$AB$42,G353,-4,12,2),$C362)=0</f>
        <v>0</v>
      </c>
      <c r="H354" s="749" t="b">
        <f ca="1">COUNTIF(OFFSET(ASZ!$AB$42,H353,-4,12,2),$C362)=0</f>
        <v>0</v>
      </c>
      <c r="I354" s="749" t="b">
        <f ca="1">COUNTIF(OFFSET(ASZ!$AB$42,I353,-4,12,2),$C362)=0</f>
        <v>0</v>
      </c>
      <c r="J354" s="749" t="b">
        <f ca="1">COUNTIF(OFFSET(ASZ!$AB$42,J353,-4,12,2),$C362)=0</f>
        <v>0</v>
      </c>
      <c r="K354" s="749" t="b">
        <f ca="1">COUNTIF(OFFSET(ASZ!$AB$42,K353,-4,12,2),$C362)=0</f>
        <v>0</v>
      </c>
      <c r="L354" s="749" t="b">
        <f ca="1">COUNTIF(OFFSET(ASZ!$AB$42,L353,-4,12,2),$C362)=0</f>
        <v>0</v>
      </c>
      <c r="M354" s="749" t="b">
        <f ca="1">COUNTIF(OFFSET(ASZ!$AB$42,M353,-4,12,2),$C362)=0</f>
        <v>0</v>
      </c>
      <c r="N354" s="749" t="b">
        <f ca="1">COUNTIF(OFFSET(ASZ!$AB$42,N353,-4,12,2),$C362)=0</f>
        <v>0</v>
      </c>
      <c r="O354" s="749" t="b">
        <f ca="1">COUNTIF(OFFSET(ASZ!$AB$42,O353,-4,12,2),$C362)=0</f>
        <v>0</v>
      </c>
      <c r="P354" s="749" t="b">
        <f ca="1">COUNTIF(OFFSET(ASZ!$AB$42,P353,-4,12,2),$C362)=0</f>
        <v>0</v>
      </c>
      <c r="Q354" s="749" t="b">
        <f ca="1">COUNTIF(OFFSET(ASZ!$AB$42,Q353,-4,12,2),$C362)=0</f>
        <v>0</v>
      </c>
      <c r="R354" s="749" t="b">
        <f ca="1">COUNTIF(OFFSET(ASZ!$AB$42,R353,-4,12,2),$C362)=0</f>
        <v>0</v>
      </c>
      <c r="S354" s="749" t="b">
        <f ca="1">COUNTIF(OFFSET(ASZ!$AB$42,S353,-4,12,2),$C362)=0</f>
        <v>0</v>
      </c>
      <c r="T354" s="749" t="b">
        <f ca="1">COUNTIF(OFFSET(ASZ!$AB$42,T353,-4,12,2),$C362)=0</f>
        <v>0</v>
      </c>
      <c r="U354" s="749" t="b">
        <f ca="1">COUNTIF(OFFSET(ASZ!$AB$42,U353,-4,12,2),$C362)=0</f>
        <v>0</v>
      </c>
      <c r="V354" s="749" t="b">
        <f ca="1">COUNTIF(OFFSET(ASZ!$AB$42,V353,-4,12,2),$C362)=0</f>
        <v>0</v>
      </c>
      <c r="W354" s="749" t="b">
        <f ca="1">COUNTIF(OFFSET(ASZ!$AB$42,W353,-4,12,2),$C362)=0</f>
        <v>0</v>
      </c>
      <c r="X354" s="749" t="b">
        <f ca="1">COUNTIF(OFFSET(ASZ!$AB$42,X353,-4,12,2),$C362)=0</f>
        <v>0</v>
      </c>
      <c r="Y354" s="749" t="b">
        <f ca="1">COUNTIF(OFFSET(ASZ!$AB$42,Y353,-4,12,2),$C362)=0</f>
        <v>0</v>
      </c>
      <c r="Z354" s="753" t="b">
        <f ca="1">COUNTIF(OFFSET(ASZ!$AB$42,Z353,-4,12,2),$C362)=0</f>
        <v>0</v>
      </c>
      <c r="AA354" s="749" t="b">
        <f ca="1">COUNTIF(OFFSET(RCSOP!$AF$56,AA353,-4,14,2),$C362)=0</f>
        <v>0</v>
      </c>
      <c r="AB354" s="749" t="b">
        <f ca="1">COUNTIF(OFFSET(RCSOP!$AF$56,AB353,-4,14,2),$C362)=0</f>
        <v>0</v>
      </c>
      <c r="AC354" s="749" t="b">
        <f ca="1">COUNTIF(OFFSET(RCSOP!$AF$56,AC353,-4,14,2),$C362)=0</f>
        <v>0</v>
      </c>
      <c r="AD354" s="749" t="b">
        <f ca="1">COUNTIF(OFFSET(RCSOP!$AF$56,AD353,-4,14,2),$C362)=0</f>
        <v>0</v>
      </c>
      <c r="AE354" s="749" t="b">
        <f ca="1">COUNTIF(OFFSET(RCSOP!$AF$56,AE353,-4,14,2),$C362)=0</f>
        <v>0</v>
      </c>
      <c r="AF354" s="677"/>
      <c r="AG354" s="677"/>
      <c r="AH354" s="677"/>
      <c r="AI354" s="677"/>
      <c r="AJ354" s="677"/>
      <c r="AK354" s="677"/>
      <c r="AL354" s="677"/>
      <c r="AM354" s="677"/>
      <c r="AN354" s="677"/>
      <c r="AO354" s="677"/>
      <c r="AP354" s="674"/>
      <c r="AS354" s="675"/>
      <c r="AU354" s="643"/>
      <c r="AV354" s="699"/>
      <c r="AW354" s="700">
        <v>2.8799999999999999E-2</v>
      </c>
      <c r="AY354" s="643"/>
      <c r="AZ354" s="671"/>
      <c r="BA354" s="643"/>
      <c r="BB354" s="643"/>
    </row>
    <row r="355" spans="1:54" s="673" customFormat="1" ht="13.5" hidden="1" customHeight="1" x14ac:dyDescent="0.2">
      <c r="A355" s="867"/>
      <c r="D355" s="677"/>
      <c r="E355" s="749" t="b">
        <f ca="1">COUNTIF(OFFSET(ASZ!$AB$42,E353,-4,12,1),$C362)=1</f>
        <v>0</v>
      </c>
      <c r="F355" s="749" t="b">
        <f ca="1">COUNTIF(OFFSET(ASZ!$AB$42,F353,-4,12,1),$C362)=1</f>
        <v>0</v>
      </c>
      <c r="G355" s="749" t="b">
        <f ca="1">COUNTIF(OFFSET(ASZ!$AB$42,G353,-4,12,1),$C362)=1</f>
        <v>1</v>
      </c>
      <c r="H355" s="749" t="b">
        <f ca="1">COUNTIF(OFFSET(ASZ!$AB$42,H353,-4,12,1),$C362)=1</f>
        <v>0</v>
      </c>
      <c r="I355" s="749" t="b">
        <f ca="1">COUNTIF(OFFSET(ASZ!$AB$42,I353,-4,12,1),$C362)=1</f>
        <v>1</v>
      </c>
      <c r="J355" s="749" t="b">
        <f ca="1">COUNTIF(OFFSET(ASZ!$AB$42,J353,-4,12,1),$C362)=1</f>
        <v>0</v>
      </c>
      <c r="K355" s="749" t="b">
        <f ca="1">COUNTIF(OFFSET(ASZ!$AB$42,K353,-4,12,1),$C362)=1</f>
        <v>1</v>
      </c>
      <c r="L355" s="749" t="b">
        <f ca="1">COUNTIF(OFFSET(ASZ!$AB$42,L353,-4,12,1),$C362)=1</f>
        <v>0</v>
      </c>
      <c r="M355" s="749" t="b">
        <f ca="1">COUNTIF(OFFSET(ASZ!$AB$42,M353,-4,12,1),$C362)=1</f>
        <v>1</v>
      </c>
      <c r="N355" s="749" t="b">
        <f ca="1">COUNTIF(OFFSET(ASZ!$AB$42,N353,-4,12,1),$C362)=1</f>
        <v>0</v>
      </c>
      <c r="O355" s="749" t="b">
        <f ca="1">COUNTIF(OFFSET(ASZ!$AB$42,O353,-4,12,1),$C362)=1</f>
        <v>1</v>
      </c>
      <c r="P355" s="749" t="b">
        <f ca="1">COUNTIF(OFFSET(ASZ!$AB$42,P353,-4,12,1),$C362)=1</f>
        <v>1</v>
      </c>
      <c r="Q355" s="749" t="b">
        <f ca="1">COUNTIF(OFFSET(ASZ!$AB$42,Q353,-4,12,1),$C362)=1</f>
        <v>1</v>
      </c>
      <c r="R355" s="749" t="b">
        <f ca="1">COUNTIF(OFFSET(ASZ!$AB$42,R353,-4,12,1),$C362)=1</f>
        <v>0</v>
      </c>
      <c r="S355" s="749" t="b">
        <f ca="1">COUNTIF(OFFSET(ASZ!$AB$42,S353,-4,12,1),$C362)=1</f>
        <v>1</v>
      </c>
      <c r="T355" s="749" t="b">
        <f ca="1">COUNTIF(OFFSET(ASZ!$AB$42,T353,-4,12,1),$C362)=1</f>
        <v>0</v>
      </c>
      <c r="U355" s="749" t="b">
        <f ca="1">COUNTIF(OFFSET(ASZ!$AB$42,U353,-4,12,1),$C362)=1</f>
        <v>1</v>
      </c>
      <c r="V355" s="749" t="b">
        <f ca="1">COUNTIF(OFFSET(ASZ!$AB$42,V353,-4,12,1),$C362)=1</f>
        <v>1</v>
      </c>
      <c r="W355" s="749" t="b">
        <f ca="1">COUNTIF(OFFSET(ASZ!$AB$42,W353,-4,12,1),$C362)=1</f>
        <v>1</v>
      </c>
      <c r="X355" s="749" t="b">
        <f ca="1">COUNTIF(OFFSET(ASZ!$AB$42,X353,-4,12,1),$C362)=1</f>
        <v>0</v>
      </c>
      <c r="Y355" s="749" t="b">
        <f ca="1">COUNTIF(OFFSET(ASZ!$AB$42,Y353,-4,12,1),$C362)=1</f>
        <v>1</v>
      </c>
      <c r="Z355" s="753" t="b">
        <f ca="1">COUNTIF(OFFSET(ASZ!$AB$42,Z353,-4,12,1),$C362)=1</f>
        <v>0</v>
      </c>
      <c r="AA355" s="749" t="b">
        <f ca="1">COUNTIF(OFFSET(RCSOP!$AF$56,AA353,-4,14,1),$C362)=1</f>
        <v>0</v>
      </c>
      <c r="AB355" s="749" t="b">
        <f ca="1">COUNTIF(OFFSET(RCSOP!$AF$56,AB353,-4,14,1),$C362)=1</f>
        <v>0</v>
      </c>
      <c r="AC355" s="749" t="b">
        <f ca="1">COUNTIF(OFFSET(RCSOP!$AF$56,AC353,-4,14,1),$C362)=1</f>
        <v>0</v>
      </c>
      <c r="AD355" s="749" t="b">
        <f ca="1">COUNTIF(OFFSET(RCSOP!$AF$56,AD353,-4,14,1),$C362)=1</f>
        <v>0</v>
      </c>
      <c r="AE355" s="749" t="b">
        <f ca="1">COUNTIF(OFFSET(RCSOP!$AF$56,AE353,-4,14,1),$C362)=1</f>
        <v>0</v>
      </c>
      <c r="AF355" s="677"/>
      <c r="AG355" s="677"/>
      <c r="AH355" s="677"/>
      <c r="AI355" s="677"/>
      <c r="AJ355" s="677"/>
      <c r="AK355" s="677"/>
      <c r="AL355" s="677"/>
      <c r="AM355" s="677"/>
      <c r="AN355" s="677"/>
      <c r="AO355" s="677"/>
      <c r="AP355" s="674"/>
      <c r="AS355" s="675"/>
      <c r="AU355" s="643"/>
      <c r="AV355" s="699"/>
      <c r="AW355" s="700">
        <v>2.8899999999999999E-2</v>
      </c>
      <c r="AX355" s="643"/>
      <c r="AY355" s="643"/>
      <c r="AZ355" s="671"/>
      <c r="BA355" s="643"/>
      <c r="BB355" s="643"/>
    </row>
    <row r="356" spans="1:54" s="673" customFormat="1" ht="13.5" hidden="1" customHeight="1" x14ac:dyDescent="0.2">
      <c r="A356" s="867"/>
      <c r="D356" s="674"/>
      <c r="E356" s="674"/>
      <c r="F356" s="674"/>
      <c r="G356" s="674"/>
      <c r="H356" s="674"/>
      <c r="I356" s="674"/>
      <c r="J356" s="674"/>
      <c r="K356" s="674"/>
      <c r="L356" s="674"/>
      <c r="M356" s="674"/>
      <c r="N356" s="674"/>
      <c r="O356" s="674"/>
      <c r="P356" s="674"/>
      <c r="Q356" s="674"/>
      <c r="R356" s="674"/>
      <c r="S356" s="674"/>
      <c r="T356" s="674"/>
      <c r="U356" s="674"/>
      <c r="V356" s="674"/>
      <c r="W356" s="674"/>
      <c r="X356" s="674"/>
      <c r="Y356" s="674"/>
      <c r="Z356" s="674"/>
      <c r="AA356" s="674"/>
      <c r="AB356" s="674"/>
      <c r="AC356" s="674"/>
      <c r="AD356" s="674"/>
      <c r="AE356" s="674"/>
      <c r="AF356" s="674"/>
      <c r="AG356" s="674"/>
      <c r="AH356" s="674"/>
      <c r="AI356" s="674"/>
      <c r="AJ356" s="674"/>
      <c r="AK356" s="674"/>
      <c r="AL356" s="674"/>
      <c r="AM356" s="674"/>
      <c r="AN356" s="674"/>
      <c r="AO356" s="674"/>
      <c r="AP356" s="674"/>
      <c r="AS356" s="675"/>
      <c r="AU356" s="643"/>
      <c r="AV356" s="699"/>
      <c r="AW356" s="700">
        <v>2.9000000000000001E-2</v>
      </c>
      <c r="AX356" s="643"/>
      <c r="AY356" s="643"/>
      <c r="AZ356" s="671"/>
      <c r="BA356" s="643"/>
      <c r="BB356" s="643"/>
    </row>
    <row r="357" spans="1:54" s="673" customFormat="1" ht="13.5" hidden="1" customHeight="1" x14ac:dyDescent="0.2">
      <c r="A357" s="867"/>
      <c r="D357" s="674"/>
      <c r="E357" s="674"/>
      <c r="F357" s="674"/>
      <c r="G357" s="674"/>
      <c r="H357" s="674"/>
      <c r="I357" s="674"/>
      <c r="J357" s="674"/>
      <c r="K357" s="674"/>
      <c r="L357" s="674"/>
      <c r="M357" s="674"/>
      <c r="N357" s="674"/>
      <c r="O357" s="674"/>
      <c r="P357" s="674"/>
      <c r="Q357" s="674"/>
      <c r="R357" s="674"/>
      <c r="S357" s="674"/>
      <c r="T357" s="674"/>
      <c r="U357" s="674"/>
      <c r="V357" s="674"/>
      <c r="W357" s="674"/>
      <c r="X357" s="674"/>
      <c r="Y357" s="674"/>
      <c r="Z357" s="674"/>
      <c r="AA357" s="674"/>
      <c r="AB357" s="674"/>
      <c r="AC357" s="674"/>
      <c r="AD357" s="674"/>
      <c r="AE357" s="674"/>
      <c r="AF357" s="674"/>
      <c r="AG357" s="674"/>
      <c r="AH357" s="674"/>
      <c r="AI357" s="674"/>
      <c r="AJ357" s="674"/>
      <c r="AK357" s="674"/>
      <c r="AL357" s="674"/>
      <c r="AM357" s="674"/>
      <c r="AN357" s="674"/>
      <c r="AO357" s="674"/>
      <c r="AP357" s="674"/>
      <c r="AS357" s="675"/>
      <c r="AU357" s="643"/>
      <c r="AV357" s="699"/>
      <c r="AW357" s="700">
        <v>2.9100000000000001E-2</v>
      </c>
      <c r="AX357" s="643"/>
      <c r="AY357" s="643"/>
      <c r="AZ357" s="671"/>
      <c r="BA357" s="643"/>
      <c r="BB357" s="643"/>
    </row>
    <row r="358" spans="1:54" s="673" customFormat="1" ht="13.5" hidden="1" customHeight="1" x14ac:dyDescent="0.2">
      <c r="A358" s="867"/>
      <c r="D358" s="674"/>
      <c r="E358" s="674"/>
      <c r="F358" s="674"/>
      <c r="G358" s="674"/>
      <c r="H358" s="674"/>
      <c r="I358" s="674"/>
      <c r="J358" s="674"/>
      <c r="K358" s="674"/>
      <c r="L358" s="674"/>
      <c r="M358" s="674"/>
      <c r="N358" s="674"/>
      <c r="O358" s="674"/>
      <c r="P358" s="674"/>
      <c r="Q358" s="674"/>
      <c r="R358" s="674"/>
      <c r="S358" s="674"/>
      <c r="T358" s="674"/>
      <c r="U358" s="674"/>
      <c r="V358" s="674"/>
      <c r="W358" s="674"/>
      <c r="X358" s="674"/>
      <c r="Y358" s="674"/>
      <c r="Z358" s="674"/>
      <c r="AA358" s="674"/>
      <c r="AB358" s="674"/>
      <c r="AC358" s="674"/>
      <c r="AD358" s="674"/>
      <c r="AE358" s="674"/>
      <c r="AF358" s="674"/>
      <c r="AG358" s="674"/>
      <c r="AH358" s="674"/>
      <c r="AI358" s="674"/>
      <c r="AJ358" s="674"/>
      <c r="AK358" s="674"/>
      <c r="AL358" s="674"/>
      <c r="AM358" s="674"/>
      <c r="AN358" s="674"/>
      <c r="AO358" s="674"/>
      <c r="AP358" s="674"/>
      <c r="AS358" s="675"/>
      <c r="AU358" s="643"/>
      <c r="AV358" s="699"/>
      <c r="AW358" s="700">
        <v>2.92E-2</v>
      </c>
      <c r="AX358" s="643"/>
      <c r="AY358" s="643"/>
      <c r="AZ358" s="671"/>
      <c r="BA358" s="643"/>
      <c r="BB358" s="643"/>
    </row>
    <row r="359" spans="1:54" s="673" customFormat="1" ht="13.5" hidden="1" customHeight="1" x14ac:dyDescent="0.2">
      <c r="A359" s="867"/>
      <c r="D359" s="674"/>
      <c r="E359" s="674"/>
      <c r="F359" s="674"/>
      <c r="G359" s="674"/>
      <c r="H359" s="674"/>
      <c r="I359" s="674"/>
      <c r="J359" s="674"/>
      <c r="K359" s="674"/>
      <c r="L359" s="674"/>
      <c r="M359" s="674"/>
      <c r="N359" s="674"/>
      <c r="O359" s="674"/>
      <c r="P359" s="674"/>
      <c r="Q359" s="674"/>
      <c r="R359" s="674"/>
      <c r="S359" s="674"/>
      <c r="T359" s="674"/>
      <c r="U359" s="674"/>
      <c r="V359" s="674"/>
      <c r="W359" s="674"/>
      <c r="X359" s="674"/>
      <c r="Y359" s="674"/>
      <c r="Z359" s="674"/>
      <c r="AA359" s="674"/>
      <c r="AB359" s="674"/>
      <c r="AC359" s="674"/>
      <c r="AD359" s="674"/>
      <c r="AE359" s="674"/>
      <c r="AF359" s="674"/>
      <c r="AG359" s="674"/>
      <c r="AH359" s="674"/>
      <c r="AI359" s="674"/>
      <c r="AJ359" s="674"/>
      <c r="AK359" s="674"/>
      <c r="AL359" s="674"/>
      <c r="AM359" s="674"/>
      <c r="AN359" s="674"/>
      <c r="AO359" s="674"/>
      <c r="AP359" s="674"/>
      <c r="AS359" s="675"/>
      <c r="AU359" s="643"/>
      <c r="AV359" s="699"/>
      <c r="AW359" s="700">
        <v>2.93E-2</v>
      </c>
      <c r="AX359" s="643"/>
      <c r="AY359" s="643"/>
      <c r="AZ359" s="671"/>
      <c r="BA359" s="643"/>
      <c r="BB359" s="643"/>
    </row>
    <row r="360" spans="1:54" s="673" customFormat="1" ht="13.5" hidden="1" customHeight="1" x14ac:dyDescent="0.2">
      <c r="A360" s="867"/>
      <c r="D360" s="674"/>
      <c r="E360" s="674"/>
      <c r="F360" s="674"/>
      <c r="G360" s="674"/>
      <c r="H360" s="674"/>
      <c r="I360" s="674"/>
      <c r="J360" s="674"/>
      <c r="K360" s="674"/>
      <c r="L360" s="674"/>
      <c r="M360" s="674"/>
      <c r="N360" s="674"/>
      <c r="O360" s="674"/>
      <c r="P360" s="674"/>
      <c r="Q360" s="674"/>
      <c r="R360" s="674"/>
      <c r="S360" s="674"/>
      <c r="T360" s="674"/>
      <c r="U360" s="674"/>
      <c r="V360" s="674"/>
      <c r="W360" s="674"/>
      <c r="X360" s="674"/>
      <c r="Y360" s="674"/>
      <c r="Z360" s="674"/>
      <c r="AA360" s="674"/>
      <c r="AB360" s="674"/>
      <c r="AC360" s="674"/>
      <c r="AD360" s="674"/>
      <c r="AE360" s="674"/>
      <c r="AF360" s="674"/>
      <c r="AG360" s="674"/>
      <c r="AH360" s="674"/>
      <c r="AI360" s="674"/>
      <c r="AJ360" s="674"/>
      <c r="AK360" s="674"/>
      <c r="AL360" s="674"/>
      <c r="AM360" s="674"/>
      <c r="AN360" s="674"/>
      <c r="AO360" s="674"/>
      <c r="AP360" s="674"/>
      <c r="AS360" s="675"/>
      <c r="AU360" s="643"/>
      <c r="AV360" s="699"/>
      <c r="AW360" s="700">
        <v>2.9399999999999999E-2</v>
      </c>
      <c r="AX360" s="643"/>
      <c r="AY360" s="643"/>
      <c r="AZ360" s="671"/>
      <c r="BA360" s="643"/>
      <c r="BB360" s="643"/>
    </row>
    <row r="361" spans="1:54" s="186" customFormat="1" ht="11.25" hidden="1" customHeight="1" x14ac:dyDescent="0.2">
      <c r="A361" s="867"/>
      <c r="D361" s="678"/>
      <c r="E361" s="678"/>
      <c r="F361" s="678"/>
      <c r="G361" s="678"/>
      <c r="H361" s="678"/>
      <c r="I361" s="678"/>
      <c r="J361" s="678"/>
      <c r="K361" s="678"/>
      <c r="L361" s="678"/>
      <c r="M361" s="678"/>
      <c r="N361" s="678"/>
      <c r="O361" s="678"/>
      <c r="P361" s="678"/>
      <c r="Q361" s="678"/>
      <c r="R361" s="678"/>
      <c r="S361" s="678"/>
      <c r="T361" s="678"/>
      <c r="U361" s="678"/>
      <c r="V361" s="678"/>
      <c r="W361" s="678"/>
      <c r="X361" s="678"/>
      <c r="Y361" s="678"/>
      <c r="Z361" s="678"/>
      <c r="AA361" s="678"/>
      <c r="AB361" s="678"/>
      <c r="AC361" s="678"/>
      <c r="AD361" s="678"/>
      <c r="AE361" s="678"/>
      <c r="AF361" s="678"/>
      <c r="AG361" s="678"/>
      <c r="AH361" s="678"/>
      <c r="AI361" s="678"/>
      <c r="AJ361" s="678"/>
      <c r="AK361" s="678"/>
      <c r="AL361" s="678"/>
      <c r="AM361" s="678"/>
      <c r="AN361" s="678"/>
      <c r="AO361" s="678"/>
      <c r="AP361" s="678"/>
      <c r="AS361" s="672"/>
      <c r="AU361" s="669"/>
      <c r="AV361" s="699"/>
      <c r="AW361" s="700">
        <v>2.9499999999999998E-2</v>
      </c>
      <c r="AX361" s="643"/>
      <c r="AY361" s="643"/>
      <c r="AZ361" s="671"/>
      <c r="BA361" s="643"/>
      <c r="BB361" s="669"/>
    </row>
    <row r="362" spans="1:54" ht="30" customHeight="1" x14ac:dyDescent="0.2">
      <c r="A362" s="867"/>
      <c r="C362" s="679" t="str">
        <f ca="1">UPPER(INDEX(teams.a,C351,1))</f>
        <v>HERCULES-LUDOVIKA</v>
      </c>
      <c r="D362" s="743"/>
      <c r="E362" s="743">
        <f ca="1">IF(E354,"",VLOOKUP($C362,OFFSET(ASZ!$AB$42,E353,IF(E355,-4,-3),12,12),IF(E355,12,11),FALSE))</f>
        <v>42088</v>
      </c>
      <c r="F362" s="743">
        <f ca="1">IF(F354,"",VLOOKUP($C362,OFFSET(ASZ!$AB$42,F353,IF(F355,-4,-3),12,12),IF(F355,12,11),FALSE))</f>
        <v>42095</v>
      </c>
      <c r="G362" s="743">
        <f ca="1">IF(G354,"",VLOOKUP($C362,OFFSET(ASZ!$AB$42,G353,IF(G355,-4,-3),12,12),IF(G355,12,11),FALSE))</f>
        <v>42102</v>
      </c>
      <c r="H362" s="743">
        <f ca="1">IF(H354,"",VLOOKUP($C362,OFFSET(ASZ!$AB$42,H353,IF(H355,-4,-3),12,12),IF(H355,12,11),FALSE))</f>
        <v>42109</v>
      </c>
      <c r="I362" s="743">
        <f ca="1">IF(I354,"",VLOOKUP($C362,OFFSET(ASZ!$AB$42,I353,IF(I355,-4,-3),12,12),IF(I355,12,11),FALSE))</f>
        <v>42116</v>
      </c>
      <c r="J362" s="743">
        <f ca="1">IF(J354,"",VLOOKUP($C362,OFFSET(ASZ!$AB$42,J353,IF(J355,-4,-3),12,12),IF(J355,12,11),FALSE))</f>
        <v>42123</v>
      </c>
      <c r="K362" s="743">
        <f ca="1">IF(K354,"",VLOOKUP($C362,OFFSET(ASZ!$AB$42,K353,IF(K355,-4,-3),12,12),IF(K355,12,11),FALSE))</f>
        <v>42130</v>
      </c>
      <c r="L362" s="743">
        <f ca="1">IF(L354,"",VLOOKUP($C362,OFFSET(ASZ!$AB$42,L353,IF(L355,-4,-3),12,12),IF(L355,12,11),FALSE))</f>
        <v>42137</v>
      </c>
      <c r="M362" s="743">
        <f ca="1">IF(M354,"",VLOOKUP($C362,OFFSET(ASZ!$AB$42,M353,IF(M355,-4,-3),12,12),IF(M355,12,11),FALSE))</f>
        <v>42158</v>
      </c>
      <c r="N362" s="743">
        <f ca="1">IF(N354,"",VLOOKUP($C362,OFFSET(ASZ!$AB$42,N353,IF(N355,-4,-3),12,12),IF(N355,12,11),FALSE))</f>
        <v>42151</v>
      </c>
      <c r="O362" s="743">
        <f ca="1">IF(O354,"",VLOOKUP($C362,OFFSET(ASZ!$AB$42,O353,IF(O355,-4,-3),12,12),IF(O355,12,11),FALSE))</f>
        <v>42158</v>
      </c>
      <c r="P362" s="743">
        <f ca="1">IF(P354,"",VLOOKUP($C362,OFFSET(ASZ!$AB$42,P353,IF(P355,-4,-3),12,12),IF(P355,12,11),FALSE))</f>
        <v>42165</v>
      </c>
      <c r="Q362" s="743">
        <f ca="1">IF(Q354,"",VLOOKUP($C362,OFFSET(ASZ!$AB$42,Q353,IF(Q355,-4,-3),12,12),IF(Q355,12,11),FALSE))</f>
        <v>42172</v>
      </c>
      <c r="R362" s="743">
        <f ca="1">IF(R354,"",VLOOKUP($C362,OFFSET(ASZ!$AB$42,R353,IF(R355,-4,-3),12,12),IF(R355,12,11),FALSE))</f>
        <v>42277</v>
      </c>
      <c r="S362" s="743">
        <f ca="1">IF(S354,"",VLOOKUP($C362,OFFSET(ASZ!$AB$42,S353,IF(S355,-4,-3),12,12),IF(S355,12,11),FALSE))</f>
        <v>42242</v>
      </c>
      <c r="T362" s="743">
        <f ca="1">IF(T354,"",VLOOKUP($C362,OFFSET(ASZ!$AB$42,T353,IF(T355,-4,-3),12,12),IF(T355,12,11),FALSE))</f>
        <v>42249</v>
      </c>
      <c r="U362" s="743">
        <f ca="1">IF(U354,"",VLOOKUP($C362,OFFSET(ASZ!$AB$42,U353,IF(U355,-4,-3),12,12),IF(U355,12,11),FALSE))</f>
        <v>42256</v>
      </c>
      <c r="V362" s="743">
        <f ca="1">IF(V354,"",VLOOKUP($C362,OFFSET(ASZ!$AB$42,V353,IF(V355,-4,-3),12,12),IF(V355,12,11),FALSE))</f>
        <v>42263</v>
      </c>
      <c r="W362" s="743">
        <f ca="1">IF(W354,"",VLOOKUP($C362,OFFSET(ASZ!$AB$42,W353,IF(W355,-4,-3),12,12),IF(W355,12,11),FALSE))</f>
        <v>42270</v>
      </c>
      <c r="X362" s="743">
        <f ca="1">IF(X354,"",VLOOKUP($C362,OFFSET(ASZ!$AB$42,X353,IF(X355,-4,-3),12,12),IF(X355,12,11),FALSE))</f>
        <v>42277</v>
      </c>
      <c r="Y362" s="743">
        <f ca="1">IF(Y354,"",VLOOKUP($C362,OFFSET(ASZ!$AB$42,Y353,IF(Y355,-4,-3),12,12),IF(Y355,12,11),FALSE))</f>
        <v>42284</v>
      </c>
      <c r="Z362" s="743">
        <f ca="1">IF(Z354,"",VLOOKUP($C362,OFFSET(ASZ!$AB$42,Z353,IF(Z355,-4,-3),12,12),IF(Z355,12,11),FALSE))</f>
        <v>42291</v>
      </c>
      <c r="AA362" s="743">
        <f ca="1">IF(AA354,"",VLOOKUP($C362,OFFSET(RCSOP!$AF$56,AA353,IF(AA355,-4,-3),14,12),IF(AA355,12,11),FALSE))</f>
        <v>42298</v>
      </c>
      <c r="AB362" s="743">
        <f ca="1">IF(AB354,"",VLOOKUP($C362,OFFSET(RCSOP!$AF$56,AB353,IF(AB355,-4,-3),14,12),IF(AB355,12,11),FALSE))</f>
        <v>42305</v>
      </c>
      <c r="AC362" s="743">
        <f ca="1">IF(AC354,"",VLOOKUP($C362,OFFSET(RCSOP!$AF$56,AC353,IF(AC355,-4,-3),14,12),IF(AC355,12,11),FALSE))</f>
        <v>42312</v>
      </c>
      <c r="AD362" s="743">
        <f ca="1">IF(AD354,"",VLOOKUP($C362,OFFSET(RCSOP!$AF$56,AD353,IF(AD355,-4,-3),14,12),IF(AD355,12,11),FALSE))</f>
        <v>42319</v>
      </c>
      <c r="AE362" s="743">
        <f ca="1">IF(AE354,"",VLOOKUP($C362,OFFSET(RCSOP!$AF$56,AE353,IF(AE355,-4,-3),14,12),IF(AE355,12,11),FALSE))</f>
        <v>42326</v>
      </c>
      <c r="AF362" s="743"/>
      <c r="AG362" s="743"/>
      <c r="AH362" s="743"/>
      <c r="AI362" s="743"/>
      <c r="AJ362" s="743"/>
      <c r="AK362" s="743"/>
      <c r="AL362" s="743"/>
      <c r="AM362" s="743"/>
      <c r="AN362" s="743"/>
      <c r="AO362" s="743"/>
      <c r="AP362" s="869" t="s">
        <v>518</v>
      </c>
      <c r="AV362" s="699"/>
      <c r="AW362" s="700">
        <v>2.9600000000000001E-2</v>
      </c>
    </row>
    <row r="363" spans="1:54" ht="12.75" customHeight="1" x14ac:dyDescent="0.2">
      <c r="A363" s="867"/>
      <c r="C363" s="224"/>
      <c r="D363" s="224" t="s">
        <v>519</v>
      </c>
      <c r="E363" s="692">
        <f ca="1">IF(E354,"",VLOOKUP($C362,OFFSET(ASZ!$AB$42,E353,IF(E355,-4,-3),12,3),3,FALSE))</f>
        <v>0</v>
      </c>
      <c r="F363" s="692">
        <f ca="1">IF(F354,"",VLOOKUP($C362,OFFSET(ASZ!$AB$42,F353,IF(F355,-4,-3),12,3),3,FALSE))</f>
        <v>1</v>
      </c>
      <c r="G363" s="692">
        <f ca="1">IF(G354,"",VLOOKUP($C362,OFFSET(ASZ!$AB$42,G353,IF(G355,-4,-3),12,3),3,FALSE))</f>
        <v>1</v>
      </c>
      <c r="H363" s="692">
        <f ca="1">IF(H354,"",VLOOKUP($C362,OFFSET(ASZ!$AB$42,H353,IF(H355,-4,-3),12,3),3,FALSE))</f>
        <v>1</v>
      </c>
      <c r="I363" s="692">
        <f ca="1">IF(I354,"",VLOOKUP($C362,OFFSET(ASZ!$AB$42,I353,IF(I355,-4,-3),12,3),3,FALSE))</f>
        <v>7</v>
      </c>
      <c r="J363" s="692">
        <f ca="1">IF(J354,"",VLOOKUP($C362,OFFSET(ASZ!$AB$42,J353,IF(J355,-4,-3),12,3),3,FALSE))</f>
        <v>1</v>
      </c>
      <c r="K363" s="692" t="str">
        <f ca="1">IF(K354,"",VLOOKUP($C362,OFFSET(ASZ!$AB$42,K353,IF(K355,-4,-3),12,3),3,FALSE))</f>
        <v/>
      </c>
      <c r="L363" s="692">
        <f ca="1">IF(L354,"",VLOOKUP($C362,OFFSET(ASZ!$AB$42,L353,IF(L355,-4,-3),12,3),3,FALSE))</f>
        <v>11</v>
      </c>
      <c r="M363" s="692">
        <f ca="1">IF(M354,"",VLOOKUP($C362,OFFSET(ASZ!$AB$42,M353,IF(M355,-4,-3),12,3),3,FALSE))</f>
        <v>10</v>
      </c>
      <c r="N363" s="692">
        <f ca="1">IF(N354,"",VLOOKUP($C362,OFFSET(ASZ!$AB$42,N353,IF(N355,-4,-3),12,3),3,FALSE))</f>
        <v>1</v>
      </c>
      <c r="O363" s="692">
        <f ca="1">IF(O354,"",VLOOKUP($C362,OFFSET(ASZ!$AB$42,O353,IF(O355,-4,-3),12,3),3,FALSE))</f>
        <v>2</v>
      </c>
      <c r="P363" s="692">
        <f ca="1">IF(P354,"",VLOOKUP($C362,OFFSET(ASZ!$AB$42,P353,IF(P355,-4,-3),12,3),3,FALSE))</f>
        <v>4</v>
      </c>
      <c r="Q363" s="692">
        <f ca="1">IF(Q354,"",VLOOKUP($C362,OFFSET(ASZ!$AB$42,Q353,IF(Q355,-4,-3),12,3),3,FALSE))</f>
        <v>5</v>
      </c>
      <c r="R363" s="692">
        <f ca="1">IF(R354,"",VLOOKUP($C362,OFFSET(ASZ!$AB$42,R353,IF(R355,-4,-3),12,3),3,FALSE))</f>
        <v>2</v>
      </c>
      <c r="S363" s="692">
        <f ca="1">IF(S354,"",VLOOKUP($C362,OFFSET(ASZ!$AB$42,S353,IF(S355,-4,-3),12,3),3,FALSE))</f>
        <v>1</v>
      </c>
      <c r="T363" s="692">
        <f ca="1">IF(T354,"",VLOOKUP($C362,OFFSET(ASZ!$AB$42,T353,IF(T355,-4,-3),12,3),3,FALSE))</f>
        <v>3</v>
      </c>
      <c r="U363" s="692">
        <f ca="1">IF(U354,"",VLOOKUP($C362,OFFSET(ASZ!$AB$42,U353,IF(U355,-4,-3),12,3),3,FALSE))</f>
        <v>0</v>
      </c>
      <c r="V363" s="692" t="str">
        <f ca="1">IF(V354,"",VLOOKUP($C362,OFFSET(ASZ!$AB$42,V353,IF(V355,-4,-3),12,3),3,FALSE))</f>
        <v/>
      </c>
      <c r="W363" s="692">
        <f ca="1">IF(W354,"",VLOOKUP($C362,OFFSET(ASZ!$AB$42,W353,IF(W355,-4,-3),12,3),3,FALSE))</f>
        <v>2</v>
      </c>
      <c r="X363" s="692">
        <f ca="1">IF(X354,"",VLOOKUP($C362,OFFSET(ASZ!$AB$42,X353,IF(X355,-4,-3),12,3),3,FALSE))</f>
        <v>2</v>
      </c>
      <c r="Y363" s="692">
        <f ca="1">IF(Y354,"",VLOOKUP($C362,OFFSET(ASZ!$AB$42,Y353,IF(Y355,-4,-3),12,3),3,FALSE))</f>
        <v>2</v>
      </c>
      <c r="Z363" s="692">
        <f ca="1">IF(Z354,"",VLOOKUP($C362,OFFSET(ASZ!$AB$42,Z353,IF(Z355,-4,-3),12,3),3,FALSE))</f>
        <v>0</v>
      </c>
      <c r="AA363" s="692">
        <f ca="1">IF(AA354,"",VLOOKUP($C362,OFFSET(RCSOP!$AF$56,AA353,IF(AA355,-4,-3),14,3),3,FALSE))</f>
        <v>0</v>
      </c>
      <c r="AB363" s="692">
        <f ca="1">IF(AB354,"",VLOOKUP($C362,OFFSET(RCSOP!$AF$56,AB353,IF(AB355,-4,-3),14,3),3,FALSE))</f>
        <v>0</v>
      </c>
      <c r="AC363" s="692">
        <f ca="1">IF(AC354,"",VLOOKUP($C362,OFFSET(RCSOP!$AF$56,AC353,IF(AC355,-4,-3),14,3),3,FALSE))</f>
        <v>7</v>
      </c>
      <c r="AD363" s="692">
        <f ca="1">IF(AD354,"",VLOOKUP($C362,OFFSET(RCSOP!$AF$56,AD353,IF(AD355,-4,-3),14,3),3,FALSE))</f>
        <v>0</v>
      </c>
      <c r="AE363" s="692">
        <f ca="1">IF(AE354,"",VLOOKUP($C362,OFFSET(RCSOP!$AF$56,AE353,IF(AE355,-4,-3),14,3),3,FALSE))</f>
        <v>2</v>
      </c>
      <c r="AF363" s="692"/>
      <c r="AG363" s="692"/>
      <c r="AH363" s="692"/>
      <c r="AI363" s="692"/>
      <c r="AJ363" s="692"/>
      <c r="AK363" s="692"/>
      <c r="AL363" s="692"/>
      <c r="AM363" s="692"/>
      <c r="AN363" s="692"/>
      <c r="AO363" s="692"/>
      <c r="AP363" s="869"/>
      <c r="AQ363" s="683">
        <f ca="1">IF(SUM(D363:AO363)=0,"",SUM(D363:AO363))</f>
        <v>65</v>
      </c>
      <c r="AV363" s="699"/>
      <c r="AW363" s="700">
        <v>2.9700000000000001E-2</v>
      </c>
    </row>
    <row r="364" spans="1:54" ht="12.75" customHeight="1" x14ac:dyDescent="0.2">
      <c r="A364" s="867"/>
      <c r="C364" s="737"/>
      <c r="D364" s="737" t="s">
        <v>520</v>
      </c>
      <c r="E364" s="739"/>
      <c r="F364" s="740"/>
      <c r="G364" s="740"/>
      <c r="H364" s="740"/>
      <c r="I364" s="740"/>
      <c r="J364" s="740"/>
      <c r="K364" s="740"/>
      <c r="L364" s="740"/>
      <c r="M364" s="740"/>
      <c r="N364" s="740"/>
      <c r="O364" s="740"/>
      <c r="P364" s="740"/>
      <c r="Q364" s="740"/>
      <c r="R364" s="740"/>
      <c r="S364" s="740"/>
      <c r="T364" s="740"/>
      <c r="U364" s="740"/>
      <c r="V364" s="740"/>
      <c r="W364" s="740"/>
      <c r="X364" s="740"/>
      <c r="Y364" s="740"/>
      <c r="Z364" s="740"/>
      <c r="AA364" s="740"/>
      <c r="AB364" s="740"/>
      <c r="AC364" s="740"/>
      <c r="AD364" s="740"/>
      <c r="AE364" s="740"/>
      <c r="AF364" s="740"/>
      <c r="AG364" s="740"/>
      <c r="AH364" s="740"/>
      <c r="AI364" s="740"/>
      <c r="AJ364" s="740"/>
      <c r="AK364" s="740"/>
      <c r="AL364" s="740"/>
      <c r="AM364" s="740"/>
      <c r="AN364" s="740"/>
      <c r="AO364" s="741"/>
      <c r="AP364" s="869"/>
      <c r="AQ364" s="762" t="str">
        <f>IF(SUM(D364:AP364)=0,"",SUM(D364:AP364))</f>
        <v/>
      </c>
      <c r="AV364" s="699"/>
      <c r="AW364" s="700">
        <v>2.98E-2</v>
      </c>
    </row>
    <row r="365" spans="1:54" ht="12.75" customHeight="1" x14ac:dyDescent="0.2">
      <c r="A365" s="867"/>
      <c r="C365" s="738"/>
      <c r="D365" s="738" t="s">
        <v>521</v>
      </c>
      <c r="E365" s="742" t="str">
        <f t="shared" ref="E365:AE365" ca="1" si="37">IF(E363="","",IF(SUM(E367:E396)+E364=E363,"–",SUM(E367:E396)+E364-E363))</f>
        <v>–</v>
      </c>
      <c r="F365" s="742" t="str">
        <f t="shared" ca="1" si="37"/>
        <v>–</v>
      </c>
      <c r="G365" s="742" t="str">
        <f t="shared" ca="1" si="37"/>
        <v>–</v>
      </c>
      <c r="H365" s="742" t="str">
        <f t="shared" ca="1" si="37"/>
        <v>–</v>
      </c>
      <c r="I365" s="742" t="str">
        <f t="shared" ca="1" si="37"/>
        <v>–</v>
      </c>
      <c r="J365" s="742" t="str">
        <f t="shared" ca="1" si="37"/>
        <v>–</v>
      </c>
      <c r="K365" s="742" t="str">
        <f t="shared" ca="1" si="37"/>
        <v/>
      </c>
      <c r="L365" s="742" t="str">
        <f t="shared" ca="1" si="37"/>
        <v>–</v>
      </c>
      <c r="M365" s="742" t="str">
        <f t="shared" ca="1" si="37"/>
        <v>–</v>
      </c>
      <c r="N365" s="742" t="str">
        <f t="shared" ca="1" si="37"/>
        <v>–</v>
      </c>
      <c r="O365" s="742" t="str">
        <f t="shared" ca="1" si="37"/>
        <v>–</v>
      </c>
      <c r="P365" s="742" t="str">
        <f t="shared" ca="1" si="37"/>
        <v>–</v>
      </c>
      <c r="Q365" s="742" t="str">
        <f t="shared" ca="1" si="37"/>
        <v>–</v>
      </c>
      <c r="R365" s="742" t="str">
        <f t="shared" ca="1" si="37"/>
        <v>–</v>
      </c>
      <c r="S365" s="742" t="str">
        <f t="shared" ca="1" si="37"/>
        <v>–</v>
      </c>
      <c r="T365" s="742" t="str">
        <f t="shared" ca="1" si="37"/>
        <v>–</v>
      </c>
      <c r="U365" s="742" t="str">
        <f t="shared" ca="1" si="37"/>
        <v>–</v>
      </c>
      <c r="V365" s="742" t="str">
        <f t="shared" ca="1" si="37"/>
        <v/>
      </c>
      <c r="W365" s="742" t="str">
        <f t="shared" ca="1" si="37"/>
        <v>–</v>
      </c>
      <c r="X365" s="742" t="str">
        <f t="shared" ca="1" si="37"/>
        <v>–</v>
      </c>
      <c r="Y365" s="742" t="str">
        <f t="shared" ca="1" si="37"/>
        <v>–</v>
      </c>
      <c r="Z365" s="742" t="str">
        <f t="shared" ca="1" si="37"/>
        <v>–</v>
      </c>
      <c r="AA365" s="742" t="str">
        <f t="shared" ca="1" si="37"/>
        <v>–</v>
      </c>
      <c r="AB365" s="742" t="str">
        <f t="shared" ca="1" si="37"/>
        <v>–</v>
      </c>
      <c r="AC365" s="742" t="str">
        <f t="shared" ca="1" si="37"/>
        <v>–</v>
      </c>
      <c r="AD365" s="742" t="str">
        <f t="shared" ca="1" si="37"/>
        <v>–</v>
      </c>
      <c r="AE365" s="742" t="str">
        <f t="shared" ca="1" si="37"/>
        <v>–</v>
      </c>
      <c r="AF365" s="742"/>
      <c r="AG365" s="742"/>
      <c r="AH365" s="742"/>
      <c r="AI365" s="742"/>
      <c r="AJ365" s="742"/>
      <c r="AK365" s="742"/>
      <c r="AL365" s="742"/>
      <c r="AM365" s="742"/>
      <c r="AN365" s="742"/>
      <c r="AO365" s="742"/>
      <c r="AP365" s="691" t="s">
        <v>522</v>
      </c>
      <c r="AS365" s="761" t="s">
        <v>285</v>
      </c>
      <c r="AV365" s="699"/>
      <c r="AW365" s="700">
        <v>2.9899999999999999E-2</v>
      </c>
    </row>
    <row r="366" spans="1:54" ht="4.5" customHeight="1" x14ac:dyDescent="0.2">
      <c r="A366" s="867"/>
      <c r="AV366" s="699"/>
      <c r="AW366" s="700">
        <v>0.03</v>
      </c>
    </row>
    <row r="367" spans="1:54" ht="12.75" customHeight="1" x14ac:dyDescent="0.2">
      <c r="A367" s="867"/>
      <c r="C367" s="755" t="s">
        <v>672</v>
      </c>
      <c r="D367" s="756">
        <v>1</v>
      </c>
      <c r="E367" s="746"/>
      <c r="F367" s="695"/>
      <c r="G367" s="695"/>
      <c r="H367" s="695"/>
      <c r="I367" s="695"/>
      <c r="J367" s="695"/>
      <c r="K367" s="695"/>
      <c r="L367" s="695"/>
      <c r="M367" s="695"/>
      <c r="N367" s="695"/>
      <c r="O367" s="695"/>
      <c r="P367" s="695"/>
      <c r="Q367" s="695"/>
      <c r="R367" s="695"/>
      <c r="S367" s="695"/>
      <c r="T367" s="695"/>
      <c r="U367" s="695"/>
      <c r="V367" s="695"/>
      <c r="W367" s="695"/>
      <c r="X367" s="695"/>
      <c r="Y367" s="695"/>
      <c r="Z367" s="695"/>
      <c r="AA367" s="695"/>
      <c r="AB367" s="695"/>
      <c r="AC367" s="695"/>
      <c r="AD367" s="695"/>
      <c r="AE367" s="695"/>
      <c r="AF367" s="695"/>
      <c r="AG367" s="695"/>
      <c r="AH367" s="695"/>
      <c r="AI367" s="695"/>
      <c r="AJ367" s="695"/>
      <c r="AK367" s="695"/>
      <c r="AL367" s="695"/>
      <c r="AM367" s="695"/>
      <c r="AN367" s="695"/>
      <c r="AO367" s="696"/>
      <c r="AP367" s="697"/>
      <c r="AQ367" s="763" t="str">
        <f>IF(SUM(E367:AP367)=0,"",SUM(E367:AP367))</f>
        <v/>
      </c>
      <c r="AS367" s="267"/>
      <c r="AV367" s="699"/>
      <c r="AW367" s="700">
        <v>3.0099999999999998E-2</v>
      </c>
      <c r="AX367" s="382">
        <f t="shared" ref="AX367:AX396" si="38">IF(OR(C367="",AQ367=""),0,AQ367+AW367)</f>
        <v>0</v>
      </c>
      <c r="AY367" s="379" t="str">
        <f ca="1">C362</f>
        <v>HERCULES-LUDOVIKA</v>
      </c>
      <c r="AZ367" s="384" t="str">
        <f t="shared" ref="AZ367:AZ396" si="39">C367</f>
        <v>Szalai János</v>
      </c>
      <c r="BA367" s="642"/>
    </row>
    <row r="368" spans="1:54" ht="12.75" customHeight="1" x14ac:dyDescent="0.2">
      <c r="A368" s="867"/>
      <c r="C368" s="758" t="s">
        <v>575</v>
      </c>
      <c r="D368" s="757">
        <v>2</v>
      </c>
      <c r="E368" s="747"/>
      <c r="F368" s="703">
        <v>1</v>
      </c>
      <c r="G368" s="703"/>
      <c r="H368" s="703"/>
      <c r="I368" s="703"/>
      <c r="J368" s="703"/>
      <c r="K368" s="703"/>
      <c r="L368" s="703"/>
      <c r="M368" s="703">
        <v>2</v>
      </c>
      <c r="N368" s="703"/>
      <c r="O368" s="703">
        <v>1</v>
      </c>
      <c r="P368" s="703"/>
      <c r="Q368" s="703"/>
      <c r="R368" s="703"/>
      <c r="S368" s="703"/>
      <c r="T368" s="703"/>
      <c r="U368" s="703"/>
      <c r="V368" s="703"/>
      <c r="W368" s="703"/>
      <c r="X368" s="703"/>
      <c r="Y368" s="703">
        <v>1</v>
      </c>
      <c r="Z368" s="703"/>
      <c r="AA368" s="703"/>
      <c r="AB368" s="703"/>
      <c r="AC368" s="703"/>
      <c r="AD368" s="703"/>
      <c r="AE368" s="703"/>
      <c r="AF368" s="703"/>
      <c r="AG368" s="703"/>
      <c r="AH368" s="703"/>
      <c r="AI368" s="703"/>
      <c r="AJ368" s="703"/>
      <c r="AK368" s="703"/>
      <c r="AL368" s="703"/>
      <c r="AM368" s="703"/>
      <c r="AN368" s="703"/>
      <c r="AO368" s="704"/>
      <c r="AP368" s="705"/>
      <c r="AQ368" s="763">
        <f t="shared" ref="AQ368:AQ396" si="40">IF(SUM(E368:AP368)=0,"",SUM(E368:AP368))</f>
        <v>5</v>
      </c>
      <c r="AS368" s="268"/>
      <c r="AV368" s="699"/>
      <c r="AW368" s="700">
        <v>3.0200000000000001E-2</v>
      </c>
      <c r="AX368" s="382">
        <f t="shared" si="38"/>
        <v>5.0301999999999998</v>
      </c>
      <c r="AY368" s="379" t="str">
        <f t="shared" ref="AY368:AY396" ca="1" si="41">AY367</f>
        <v>HERCULES-LUDOVIKA</v>
      </c>
      <c r="AZ368" s="384" t="str">
        <f t="shared" si="39"/>
        <v>Szűcs Ottó</v>
      </c>
      <c r="BA368" s="642"/>
    </row>
    <row r="369" spans="1:53" ht="12.75" customHeight="1" x14ac:dyDescent="0.2">
      <c r="A369" s="867"/>
      <c r="C369" s="758" t="s">
        <v>673</v>
      </c>
      <c r="D369" s="757">
        <v>4</v>
      </c>
      <c r="E369" s="747"/>
      <c r="F369" s="703"/>
      <c r="G369" s="703"/>
      <c r="H369" s="703"/>
      <c r="I369" s="703"/>
      <c r="J369" s="703"/>
      <c r="K369" s="703"/>
      <c r="L369" s="703"/>
      <c r="M369" s="703"/>
      <c r="N369" s="703"/>
      <c r="O369" s="703"/>
      <c r="P369" s="703"/>
      <c r="Q369" s="703"/>
      <c r="R369" s="703"/>
      <c r="S369" s="703"/>
      <c r="T369" s="703"/>
      <c r="U369" s="703"/>
      <c r="V369" s="703"/>
      <c r="W369" s="703"/>
      <c r="X369" s="703"/>
      <c r="Y369" s="703"/>
      <c r="Z369" s="703"/>
      <c r="AA369" s="703"/>
      <c r="AB369" s="703"/>
      <c r="AC369" s="703"/>
      <c r="AD369" s="703"/>
      <c r="AE369" s="703"/>
      <c r="AF369" s="703"/>
      <c r="AG369" s="703"/>
      <c r="AH369" s="703"/>
      <c r="AI369" s="703"/>
      <c r="AJ369" s="703"/>
      <c r="AK369" s="703"/>
      <c r="AL369" s="703"/>
      <c r="AM369" s="703"/>
      <c r="AN369" s="703"/>
      <c r="AO369" s="704"/>
      <c r="AP369" s="705"/>
      <c r="AQ369" s="763" t="str">
        <f t="shared" si="40"/>
        <v/>
      </c>
      <c r="AS369" s="268"/>
      <c r="AV369" s="699"/>
      <c r="AW369" s="700">
        <v>3.0300000000000001E-2</v>
      </c>
      <c r="AX369" s="382">
        <f t="shared" si="38"/>
        <v>0</v>
      </c>
      <c r="AY369" s="379" t="str">
        <f t="shared" ca="1" si="41"/>
        <v>HERCULES-LUDOVIKA</v>
      </c>
      <c r="AZ369" s="384" t="str">
        <f t="shared" si="39"/>
        <v>Józan Csaba</v>
      </c>
      <c r="BA369" s="642"/>
    </row>
    <row r="370" spans="1:53" ht="12.75" customHeight="1" x14ac:dyDescent="0.2">
      <c r="A370" s="867"/>
      <c r="C370" s="758" t="s">
        <v>576</v>
      </c>
      <c r="D370" s="757">
        <v>5</v>
      </c>
      <c r="E370" s="747"/>
      <c r="F370" s="703"/>
      <c r="G370" s="703">
        <v>1</v>
      </c>
      <c r="H370" s="703">
        <v>1</v>
      </c>
      <c r="I370" s="703">
        <v>5</v>
      </c>
      <c r="J370" s="703"/>
      <c r="K370" s="703"/>
      <c r="L370" s="703">
        <v>2</v>
      </c>
      <c r="M370" s="703">
        <v>4</v>
      </c>
      <c r="N370" s="703">
        <v>1</v>
      </c>
      <c r="O370" s="703">
        <v>1</v>
      </c>
      <c r="P370" s="703">
        <v>2</v>
      </c>
      <c r="Q370" s="703">
        <v>2</v>
      </c>
      <c r="R370" s="703">
        <v>1</v>
      </c>
      <c r="S370" s="703"/>
      <c r="T370" s="703">
        <v>2</v>
      </c>
      <c r="U370" s="703"/>
      <c r="V370" s="703"/>
      <c r="W370" s="703">
        <v>1</v>
      </c>
      <c r="X370" s="703">
        <v>1</v>
      </c>
      <c r="Y370" s="703"/>
      <c r="Z370" s="703"/>
      <c r="AA370" s="703"/>
      <c r="AB370" s="703"/>
      <c r="AC370" s="703">
        <v>1</v>
      </c>
      <c r="AD370" s="703"/>
      <c r="AE370" s="703">
        <v>2</v>
      </c>
      <c r="AF370" s="703"/>
      <c r="AG370" s="703"/>
      <c r="AH370" s="703"/>
      <c r="AI370" s="703"/>
      <c r="AJ370" s="703"/>
      <c r="AK370" s="703"/>
      <c r="AL370" s="703"/>
      <c r="AM370" s="703"/>
      <c r="AN370" s="703"/>
      <c r="AO370" s="704"/>
      <c r="AP370" s="705"/>
      <c r="AQ370" s="763">
        <f t="shared" si="40"/>
        <v>27</v>
      </c>
      <c r="AS370" s="268"/>
      <c r="AV370" s="699"/>
      <c r="AW370" s="700">
        <v>3.04E-2</v>
      </c>
      <c r="AX370" s="382">
        <f t="shared" si="38"/>
        <v>27.0304</v>
      </c>
      <c r="AY370" s="379" t="str">
        <f t="shared" ca="1" si="41"/>
        <v>HERCULES-LUDOVIKA</v>
      </c>
      <c r="AZ370" s="384" t="str">
        <f t="shared" si="39"/>
        <v>Nagy Gergő</v>
      </c>
      <c r="BA370" s="642"/>
    </row>
    <row r="371" spans="1:53" ht="12.75" customHeight="1" x14ac:dyDescent="0.2">
      <c r="A371" s="867"/>
      <c r="C371" s="758" t="s">
        <v>674</v>
      </c>
      <c r="D371" s="757">
        <v>7</v>
      </c>
      <c r="E371" s="747"/>
      <c r="F371" s="703"/>
      <c r="G371" s="703"/>
      <c r="H371" s="703"/>
      <c r="I371" s="703"/>
      <c r="J371" s="703"/>
      <c r="K371" s="703"/>
      <c r="L371" s="703"/>
      <c r="M371" s="703"/>
      <c r="N371" s="703"/>
      <c r="O371" s="703"/>
      <c r="P371" s="703"/>
      <c r="Q371" s="703"/>
      <c r="R371" s="703"/>
      <c r="S371" s="703"/>
      <c r="T371" s="703"/>
      <c r="U371" s="703"/>
      <c r="V371" s="703"/>
      <c r="W371" s="703"/>
      <c r="X371" s="703"/>
      <c r="Y371" s="703"/>
      <c r="Z371" s="703"/>
      <c r="AA371" s="703"/>
      <c r="AB371" s="703"/>
      <c r="AC371" s="703">
        <v>1</v>
      </c>
      <c r="AD371" s="703"/>
      <c r="AE371" s="703"/>
      <c r="AF371" s="703"/>
      <c r="AG371" s="703"/>
      <c r="AH371" s="703"/>
      <c r="AI371" s="703"/>
      <c r="AJ371" s="703"/>
      <c r="AK371" s="703"/>
      <c r="AL371" s="703"/>
      <c r="AM371" s="703"/>
      <c r="AN371" s="703"/>
      <c r="AO371" s="704"/>
      <c r="AP371" s="705"/>
      <c r="AQ371" s="763">
        <f t="shared" si="40"/>
        <v>1</v>
      </c>
      <c r="AS371" s="268"/>
      <c r="AV371" s="699"/>
      <c r="AW371" s="700">
        <v>3.0499999999999999E-2</v>
      </c>
      <c r="AX371" s="382">
        <f t="shared" si="38"/>
        <v>1.0305</v>
      </c>
      <c r="AY371" s="379" t="str">
        <f t="shared" ca="1" si="41"/>
        <v>HERCULES-LUDOVIKA</v>
      </c>
      <c r="AZ371" s="384" t="str">
        <f t="shared" si="39"/>
        <v>Katona Krisztián</v>
      </c>
      <c r="BA371" s="642"/>
    </row>
    <row r="372" spans="1:53" ht="12.75" customHeight="1" x14ac:dyDescent="0.2">
      <c r="A372" s="867"/>
      <c r="C372" s="758" t="s">
        <v>675</v>
      </c>
      <c r="D372" s="757">
        <v>8</v>
      </c>
      <c r="E372" s="747"/>
      <c r="F372" s="703"/>
      <c r="G372" s="703"/>
      <c r="H372" s="703"/>
      <c r="I372" s="703"/>
      <c r="J372" s="703"/>
      <c r="K372" s="703"/>
      <c r="L372" s="703"/>
      <c r="M372" s="703"/>
      <c r="N372" s="703"/>
      <c r="O372" s="703"/>
      <c r="P372" s="703"/>
      <c r="Q372" s="703"/>
      <c r="R372" s="703"/>
      <c r="S372" s="703"/>
      <c r="T372" s="703"/>
      <c r="U372" s="703"/>
      <c r="V372" s="703"/>
      <c r="W372" s="703"/>
      <c r="X372" s="703"/>
      <c r="Y372" s="703"/>
      <c r="Z372" s="703"/>
      <c r="AA372" s="703"/>
      <c r="AB372" s="703"/>
      <c r="AC372" s="703"/>
      <c r="AD372" s="703"/>
      <c r="AE372" s="703"/>
      <c r="AF372" s="703"/>
      <c r="AG372" s="703"/>
      <c r="AH372" s="703"/>
      <c r="AI372" s="703"/>
      <c r="AJ372" s="703"/>
      <c r="AK372" s="703"/>
      <c r="AL372" s="703"/>
      <c r="AM372" s="703"/>
      <c r="AN372" s="703"/>
      <c r="AO372" s="704"/>
      <c r="AP372" s="705"/>
      <c r="AQ372" s="763" t="str">
        <f t="shared" si="40"/>
        <v/>
      </c>
      <c r="AS372" s="268"/>
      <c r="AV372" s="699"/>
      <c r="AW372" s="700">
        <v>3.0599999999999999E-2</v>
      </c>
      <c r="AX372" s="382">
        <f t="shared" si="38"/>
        <v>0</v>
      </c>
      <c r="AY372" s="379" t="str">
        <f t="shared" ca="1" si="41"/>
        <v>HERCULES-LUDOVIKA</v>
      </c>
      <c r="AZ372" s="384" t="str">
        <f t="shared" si="39"/>
        <v>Kis László</v>
      </c>
      <c r="BA372" s="642"/>
    </row>
    <row r="373" spans="1:53" ht="12.75" customHeight="1" x14ac:dyDescent="0.2">
      <c r="A373" s="867"/>
      <c r="C373" s="758" t="s">
        <v>579</v>
      </c>
      <c r="D373" s="757">
        <v>12</v>
      </c>
      <c r="E373" s="747"/>
      <c r="F373" s="703"/>
      <c r="G373" s="703"/>
      <c r="H373" s="703"/>
      <c r="I373" s="703"/>
      <c r="J373" s="703"/>
      <c r="K373" s="703"/>
      <c r="L373" s="703"/>
      <c r="M373" s="703">
        <v>2</v>
      </c>
      <c r="N373" s="703"/>
      <c r="O373" s="703"/>
      <c r="P373" s="703"/>
      <c r="Q373" s="703"/>
      <c r="R373" s="703"/>
      <c r="S373" s="703"/>
      <c r="T373" s="703"/>
      <c r="U373" s="703"/>
      <c r="V373" s="703"/>
      <c r="W373" s="703"/>
      <c r="X373" s="703"/>
      <c r="Y373" s="703"/>
      <c r="Z373" s="703"/>
      <c r="AA373" s="703"/>
      <c r="AB373" s="703"/>
      <c r="AC373" s="703"/>
      <c r="AD373" s="703"/>
      <c r="AE373" s="703"/>
      <c r="AF373" s="703"/>
      <c r="AG373" s="703"/>
      <c r="AH373" s="703"/>
      <c r="AI373" s="703"/>
      <c r="AJ373" s="703"/>
      <c r="AK373" s="703"/>
      <c r="AL373" s="703"/>
      <c r="AM373" s="703"/>
      <c r="AN373" s="703"/>
      <c r="AO373" s="704"/>
      <c r="AP373" s="705"/>
      <c r="AQ373" s="763">
        <f t="shared" si="40"/>
        <v>2</v>
      </c>
      <c r="AS373" s="268"/>
      <c r="AV373" s="699"/>
      <c r="AW373" s="700">
        <v>3.0700000000000002E-2</v>
      </c>
      <c r="AX373" s="382">
        <f t="shared" si="38"/>
        <v>2.0306999999999999</v>
      </c>
      <c r="AY373" s="379" t="str">
        <f t="shared" ca="1" si="41"/>
        <v>HERCULES-LUDOVIKA</v>
      </c>
      <c r="AZ373" s="384" t="str">
        <f t="shared" si="39"/>
        <v>Ács János</v>
      </c>
      <c r="BA373" s="642"/>
    </row>
    <row r="374" spans="1:53" ht="12.75" customHeight="1" x14ac:dyDescent="0.2">
      <c r="A374" s="867"/>
      <c r="C374" s="758" t="s">
        <v>577</v>
      </c>
      <c r="D374" s="757">
        <v>13</v>
      </c>
      <c r="E374" s="747"/>
      <c r="F374" s="703"/>
      <c r="G374" s="703"/>
      <c r="H374" s="703"/>
      <c r="I374" s="703"/>
      <c r="J374" s="703"/>
      <c r="K374" s="703"/>
      <c r="L374" s="703"/>
      <c r="M374" s="703"/>
      <c r="N374" s="703"/>
      <c r="O374" s="703"/>
      <c r="P374" s="703">
        <v>1</v>
      </c>
      <c r="Q374" s="703">
        <v>1</v>
      </c>
      <c r="R374" s="703">
        <v>1</v>
      </c>
      <c r="S374" s="703">
        <v>1</v>
      </c>
      <c r="T374" s="703"/>
      <c r="U374" s="703"/>
      <c r="V374" s="703"/>
      <c r="W374" s="703"/>
      <c r="X374" s="703"/>
      <c r="Y374" s="703">
        <v>1</v>
      </c>
      <c r="Z374" s="703"/>
      <c r="AA374" s="703"/>
      <c r="AB374" s="703"/>
      <c r="AC374" s="703">
        <v>1</v>
      </c>
      <c r="AD374" s="703"/>
      <c r="AE374" s="703"/>
      <c r="AF374" s="703"/>
      <c r="AG374" s="703"/>
      <c r="AH374" s="703"/>
      <c r="AI374" s="703"/>
      <c r="AJ374" s="703"/>
      <c r="AK374" s="703"/>
      <c r="AL374" s="703"/>
      <c r="AM374" s="703"/>
      <c r="AN374" s="703"/>
      <c r="AO374" s="704"/>
      <c r="AP374" s="705"/>
      <c r="AQ374" s="763">
        <f t="shared" si="40"/>
        <v>6</v>
      </c>
      <c r="AS374" s="268"/>
      <c r="AV374" s="699"/>
      <c r="AW374" s="700">
        <v>3.0800000000000001E-2</v>
      </c>
      <c r="AX374" s="382">
        <f t="shared" si="38"/>
        <v>6.0308000000000002</v>
      </c>
      <c r="AY374" s="379" t="str">
        <f t="shared" ca="1" si="41"/>
        <v>HERCULES-LUDOVIKA</v>
      </c>
      <c r="AZ374" s="384" t="str">
        <f t="shared" si="39"/>
        <v>Motkó Dávid</v>
      </c>
      <c r="BA374" s="642"/>
    </row>
    <row r="375" spans="1:53" ht="12.75" customHeight="1" x14ac:dyDescent="0.2">
      <c r="A375" s="867"/>
      <c r="C375" s="758" t="s">
        <v>578</v>
      </c>
      <c r="D375" s="757">
        <v>15</v>
      </c>
      <c r="E375" s="747"/>
      <c r="F375" s="703"/>
      <c r="G375" s="703"/>
      <c r="H375" s="703"/>
      <c r="I375" s="703"/>
      <c r="J375" s="703"/>
      <c r="K375" s="703"/>
      <c r="L375" s="703">
        <v>1</v>
      </c>
      <c r="M375" s="703">
        <v>1</v>
      </c>
      <c r="N375" s="703"/>
      <c r="O375" s="703"/>
      <c r="P375" s="703"/>
      <c r="Q375" s="703">
        <v>2</v>
      </c>
      <c r="R375" s="703"/>
      <c r="S375" s="703"/>
      <c r="T375" s="703">
        <v>1</v>
      </c>
      <c r="U375" s="703"/>
      <c r="V375" s="703"/>
      <c r="W375" s="703"/>
      <c r="X375" s="703">
        <v>1</v>
      </c>
      <c r="Y375" s="703"/>
      <c r="Z375" s="703"/>
      <c r="AA375" s="703"/>
      <c r="AB375" s="703"/>
      <c r="AC375" s="703">
        <v>1</v>
      </c>
      <c r="AD375" s="703"/>
      <c r="AE375" s="703"/>
      <c r="AF375" s="703"/>
      <c r="AG375" s="703"/>
      <c r="AH375" s="703"/>
      <c r="AI375" s="703"/>
      <c r="AJ375" s="703"/>
      <c r="AK375" s="703"/>
      <c r="AL375" s="703"/>
      <c r="AM375" s="703"/>
      <c r="AN375" s="703"/>
      <c r="AO375" s="704"/>
      <c r="AP375" s="705"/>
      <c r="AQ375" s="763">
        <f t="shared" si="40"/>
        <v>7</v>
      </c>
      <c r="AS375" s="268"/>
      <c r="AV375" s="699"/>
      <c r="AW375" s="700">
        <v>3.09E-2</v>
      </c>
      <c r="AX375" s="382">
        <f t="shared" si="38"/>
        <v>7.0308999999999999</v>
      </c>
      <c r="AY375" s="379" t="str">
        <f t="shared" ca="1" si="41"/>
        <v>HERCULES-LUDOVIKA</v>
      </c>
      <c r="AZ375" s="384" t="str">
        <f t="shared" si="39"/>
        <v>Karászi Olivér</v>
      </c>
      <c r="BA375" s="642"/>
    </row>
    <row r="376" spans="1:53" ht="12.75" customHeight="1" x14ac:dyDescent="0.2">
      <c r="A376" s="867"/>
      <c r="C376" s="758" t="s">
        <v>580</v>
      </c>
      <c r="D376" s="757">
        <v>19</v>
      </c>
      <c r="E376" s="747"/>
      <c r="F376" s="703"/>
      <c r="G376" s="703"/>
      <c r="H376" s="703"/>
      <c r="I376" s="703"/>
      <c r="J376" s="703"/>
      <c r="K376" s="703"/>
      <c r="L376" s="703">
        <v>5</v>
      </c>
      <c r="M376" s="703"/>
      <c r="N376" s="703"/>
      <c r="O376" s="703"/>
      <c r="P376" s="703"/>
      <c r="Q376" s="703"/>
      <c r="R376" s="703"/>
      <c r="S376" s="703"/>
      <c r="T376" s="703"/>
      <c r="U376" s="703"/>
      <c r="V376" s="703"/>
      <c r="W376" s="703"/>
      <c r="X376" s="703"/>
      <c r="Y376" s="703"/>
      <c r="Z376" s="703"/>
      <c r="AA376" s="703"/>
      <c r="AB376" s="703"/>
      <c r="AC376" s="703"/>
      <c r="AD376" s="703"/>
      <c r="AE376" s="703"/>
      <c r="AF376" s="703"/>
      <c r="AG376" s="703"/>
      <c r="AH376" s="703"/>
      <c r="AI376" s="703"/>
      <c r="AJ376" s="703"/>
      <c r="AK376" s="703"/>
      <c r="AL376" s="703"/>
      <c r="AM376" s="703"/>
      <c r="AN376" s="703"/>
      <c r="AO376" s="704"/>
      <c r="AP376" s="705"/>
      <c r="AQ376" s="763">
        <f t="shared" si="40"/>
        <v>5</v>
      </c>
      <c r="AS376" s="268"/>
      <c r="AV376" s="699"/>
      <c r="AW376" s="700">
        <v>3.1E-2</v>
      </c>
      <c r="AX376" s="382">
        <f t="shared" si="38"/>
        <v>5.0309999999999997</v>
      </c>
      <c r="AY376" s="379" t="str">
        <f t="shared" ca="1" si="41"/>
        <v>HERCULES-LUDOVIKA</v>
      </c>
      <c r="AZ376" s="384" t="str">
        <f t="shared" si="39"/>
        <v>Vatai Nándor</v>
      </c>
      <c r="BA376" s="642"/>
    </row>
    <row r="377" spans="1:53" ht="12.75" customHeight="1" x14ac:dyDescent="0.2">
      <c r="A377" s="867"/>
      <c r="C377" s="758" t="s">
        <v>581</v>
      </c>
      <c r="D377" s="757">
        <v>20</v>
      </c>
      <c r="E377" s="747"/>
      <c r="F377" s="703"/>
      <c r="G377" s="703"/>
      <c r="H377" s="703"/>
      <c r="I377" s="703">
        <v>2</v>
      </c>
      <c r="J377" s="703">
        <v>1</v>
      </c>
      <c r="K377" s="703"/>
      <c r="L377" s="703">
        <v>3</v>
      </c>
      <c r="M377" s="703">
        <v>1</v>
      </c>
      <c r="N377" s="703"/>
      <c r="O377" s="703"/>
      <c r="P377" s="703">
        <v>1</v>
      </c>
      <c r="Q377" s="703"/>
      <c r="R377" s="703"/>
      <c r="S377" s="703"/>
      <c r="T377" s="703"/>
      <c r="U377" s="703"/>
      <c r="V377" s="703"/>
      <c r="W377" s="703">
        <v>1</v>
      </c>
      <c r="X377" s="703"/>
      <c r="Y377" s="703"/>
      <c r="Z377" s="703"/>
      <c r="AA377" s="703"/>
      <c r="AB377" s="703"/>
      <c r="AC377" s="703"/>
      <c r="AD377" s="703"/>
      <c r="AE377" s="703"/>
      <c r="AF377" s="703"/>
      <c r="AG377" s="703"/>
      <c r="AH377" s="703"/>
      <c r="AI377" s="703"/>
      <c r="AJ377" s="703"/>
      <c r="AK377" s="703"/>
      <c r="AL377" s="703"/>
      <c r="AM377" s="703"/>
      <c r="AN377" s="703"/>
      <c r="AO377" s="704"/>
      <c r="AP377" s="705"/>
      <c r="AQ377" s="763">
        <f t="shared" si="40"/>
        <v>9</v>
      </c>
      <c r="AS377" s="268"/>
      <c r="AV377" s="699"/>
      <c r="AW377" s="700">
        <v>3.1099999999999999E-2</v>
      </c>
      <c r="AX377" s="382">
        <f t="shared" si="38"/>
        <v>9.0311000000000003</v>
      </c>
      <c r="AY377" s="379" t="str">
        <f t="shared" ca="1" si="41"/>
        <v>HERCULES-LUDOVIKA</v>
      </c>
      <c r="AZ377" s="384" t="str">
        <f t="shared" si="39"/>
        <v>Soós Mihály</v>
      </c>
      <c r="BA377" s="642"/>
    </row>
    <row r="378" spans="1:53" ht="12.75" customHeight="1" x14ac:dyDescent="0.2">
      <c r="A378" s="867"/>
      <c r="C378" s="758" t="s">
        <v>728</v>
      </c>
      <c r="D378" s="757">
        <v>17</v>
      </c>
      <c r="E378" s="747"/>
      <c r="F378" s="703"/>
      <c r="G378" s="703"/>
      <c r="H378" s="703"/>
      <c r="I378" s="703"/>
      <c r="J378" s="703"/>
      <c r="K378" s="703"/>
      <c r="L378" s="703"/>
      <c r="M378" s="703"/>
      <c r="N378" s="703"/>
      <c r="O378" s="703"/>
      <c r="P378" s="703"/>
      <c r="Q378" s="703"/>
      <c r="R378" s="703"/>
      <c r="S378" s="703"/>
      <c r="T378" s="703"/>
      <c r="U378" s="703"/>
      <c r="V378" s="703"/>
      <c r="W378" s="703"/>
      <c r="X378" s="703"/>
      <c r="Y378" s="703"/>
      <c r="Z378" s="703"/>
      <c r="AA378" s="703"/>
      <c r="AB378" s="703"/>
      <c r="AC378" s="703">
        <v>3</v>
      </c>
      <c r="AD378" s="703"/>
      <c r="AE378" s="703"/>
      <c r="AF378" s="703"/>
      <c r="AG378" s="703"/>
      <c r="AH378" s="703"/>
      <c r="AI378" s="703"/>
      <c r="AJ378" s="703"/>
      <c r="AK378" s="703"/>
      <c r="AL378" s="703"/>
      <c r="AM378" s="703"/>
      <c r="AN378" s="703"/>
      <c r="AO378" s="704"/>
      <c r="AP378" s="705"/>
      <c r="AQ378" s="763">
        <f t="shared" si="40"/>
        <v>3</v>
      </c>
      <c r="AS378" s="268"/>
      <c r="AV378" s="699"/>
      <c r="AW378" s="700">
        <v>3.1199999999999999E-2</v>
      </c>
      <c r="AX378" s="382">
        <f t="shared" si="38"/>
        <v>3.0312000000000001</v>
      </c>
      <c r="AY378" s="379" t="str">
        <f t="shared" ca="1" si="41"/>
        <v>HERCULES-LUDOVIKA</v>
      </c>
      <c r="AZ378" s="384" t="str">
        <f t="shared" si="39"/>
        <v>Ismeretlen 17-es</v>
      </c>
      <c r="BA378" s="642"/>
    </row>
    <row r="379" spans="1:53" ht="12.75" customHeight="1" x14ac:dyDescent="0.2">
      <c r="A379" s="867"/>
      <c r="C379" s="758"/>
      <c r="D379" s="757"/>
      <c r="E379" s="747"/>
      <c r="F379" s="703"/>
      <c r="G379" s="703"/>
      <c r="H379" s="703"/>
      <c r="I379" s="703"/>
      <c r="J379" s="703"/>
      <c r="K379" s="703"/>
      <c r="L379" s="703"/>
      <c r="M379" s="703"/>
      <c r="N379" s="703"/>
      <c r="O379" s="703"/>
      <c r="P379" s="703"/>
      <c r="Q379" s="703"/>
      <c r="R379" s="703"/>
      <c r="S379" s="703"/>
      <c r="T379" s="703"/>
      <c r="U379" s="703"/>
      <c r="V379" s="703"/>
      <c r="W379" s="703"/>
      <c r="X379" s="703"/>
      <c r="Y379" s="703"/>
      <c r="Z379" s="703"/>
      <c r="AA379" s="703"/>
      <c r="AB379" s="703"/>
      <c r="AC379" s="703"/>
      <c r="AD379" s="703"/>
      <c r="AE379" s="703"/>
      <c r="AF379" s="703"/>
      <c r="AG379" s="703"/>
      <c r="AH379" s="703"/>
      <c r="AI379" s="703"/>
      <c r="AJ379" s="703"/>
      <c r="AK379" s="703"/>
      <c r="AL379" s="703"/>
      <c r="AM379" s="703"/>
      <c r="AN379" s="703"/>
      <c r="AO379" s="704"/>
      <c r="AP379" s="705"/>
      <c r="AQ379" s="763" t="str">
        <f t="shared" si="40"/>
        <v/>
      </c>
      <c r="AS379" s="268"/>
      <c r="AV379" s="699"/>
      <c r="AW379" s="700">
        <v>3.1300000000000001E-2</v>
      </c>
      <c r="AX379" s="382">
        <f t="shared" si="38"/>
        <v>0</v>
      </c>
      <c r="AY379" s="379" t="str">
        <f t="shared" ca="1" si="41"/>
        <v>HERCULES-LUDOVIKA</v>
      </c>
      <c r="AZ379" s="384">
        <f t="shared" si="39"/>
        <v>0</v>
      </c>
      <c r="BA379" s="642"/>
    </row>
    <row r="380" spans="1:53" ht="12.75" customHeight="1" x14ac:dyDescent="0.2">
      <c r="A380" s="867"/>
      <c r="C380" s="758"/>
      <c r="D380" s="757"/>
      <c r="E380" s="747"/>
      <c r="F380" s="703"/>
      <c r="G380" s="703"/>
      <c r="H380" s="703"/>
      <c r="I380" s="703"/>
      <c r="J380" s="703"/>
      <c r="K380" s="703"/>
      <c r="L380" s="703"/>
      <c r="M380" s="703"/>
      <c r="N380" s="703"/>
      <c r="O380" s="703"/>
      <c r="P380" s="703"/>
      <c r="Q380" s="703"/>
      <c r="R380" s="703"/>
      <c r="S380" s="703"/>
      <c r="T380" s="703"/>
      <c r="U380" s="703"/>
      <c r="V380" s="703"/>
      <c r="W380" s="703"/>
      <c r="X380" s="703"/>
      <c r="Y380" s="703"/>
      <c r="Z380" s="703"/>
      <c r="AA380" s="703"/>
      <c r="AB380" s="703"/>
      <c r="AC380" s="703"/>
      <c r="AD380" s="703"/>
      <c r="AE380" s="703"/>
      <c r="AF380" s="703"/>
      <c r="AG380" s="703"/>
      <c r="AH380" s="703"/>
      <c r="AI380" s="703"/>
      <c r="AJ380" s="703"/>
      <c r="AK380" s="703"/>
      <c r="AL380" s="703"/>
      <c r="AM380" s="703"/>
      <c r="AN380" s="703"/>
      <c r="AO380" s="704"/>
      <c r="AP380" s="705"/>
      <c r="AQ380" s="763" t="str">
        <f t="shared" si="40"/>
        <v/>
      </c>
      <c r="AS380" s="268"/>
      <c r="AV380" s="699"/>
      <c r="AW380" s="700">
        <v>3.1399999999999997E-2</v>
      </c>
      <c r="AX380" s="382">
        <f t="shared" si="38"/>
        <v>0</v>
      </c>
      <c r="AY380" s="379" t="str">
        <f t="shared" ca="1" si="41"/>
        <v>HERCULES-LUDOVIKA</v>
      </c>
      <c r="AZ380" s="384">
        <f t="shared" si="39"/>
        <v>0</v>
      </c>
      <c r="BA380" s="642"/>
    </row>
    <row r="381" spans="1:53" ht="12.75" customHeight="1" x14ac:dyDescent="0.2">
      <c r="A381" s="867"/>
      <c r="C381" s="758"/>
      <c r="D381" s="757"/>
      <c r="E381" s="747"/>
      <c r="F381" s="703"/>
      <c r="G381" s="703"/>
      <c r="H381" s="703"/>
      <c r="I381" s="703"/>
      <c r="J381" s="703"/>
      <c r="K381" s="703"/>
      <c r="L381" s="703"/>
      <c r="M381" s="703"/>
      <c r="N381" s="703"/>
      <c r="O381" s="703"/>
      <c r="P381" s="703"/>
      <c r="Q381" s="703"/>
      <c r="R381" s="703"/>
      <c r="S381" s="703"/>
      <c r="T381" s="703"/>
      <c r="U381" s="703"/>
      <c r="V381" s="703"/>
      <c r="W381" s="703"/>
      <c r="X381" s="703"/>
      <c r="Y381" s="703"/>
      <c r="Z381" s="703"/>
      <c r="AA381" s="703"/>
      <c r="AB381" s="703"/>
      <c r="AC381" s="703"/>
      <c r="AD381" s="703"/>
      <c r="AE381" s="703"/>
      <c r="AF381" s="703"/>
      <c r="AG381" s="703"/>
      <c r="AH381" s="703"/>
      <c r="AI381" s="703"/>
      <c r="AJ381" s="703"/>
      <c r="AK381" s="703"/>
      <c r="AL381" s="703"/>
      <c r="AM381" s="703"/>
      <c r="AN381" s="703"/>
      <c r="AO381" s="704"/>
      <c r="AP381" s="705"/>
      <c r="AQ381" s="763" t="str">
        <f t="shared" si="40"/>
        <v/>
      </c>
      <c r="AS381" s="268"/>
      <c r="AV381" s="699"/>
      <c r="AW381" s="700">
        <v>3.15E-2</v>
      </c>
      <c r="AX381" s="382">
        <f t="shared" si="38"/>
        <v>0</v>
      </c>
      <c r="AY381" s="379" t="str">
        <f t="shared" ca="1" si="41"/>
        <v>HERCULES-LUDOVIKA</v>
      </c>
      <c r="AZ381" s="384">
        <f t="shared" si="39"/>
        <v>0</v>
      </c>
      <c r="BA381" s="642"/>
    </row>
    <row r="382" spans="1:53" ht="12.75" customHeight="1" x14ac:dyDescent="0.2">
      <c r="A382" s="867"/>
      <c r="C382" s="758"/>
      <c r="D382" s="757"/>
      <c r="E382" s="747"/>
      <c r="F382" s="703"/>
      <c r="G382" s="703"/>
      <c r="H382" s="703"/>
      <c r="I382" s="703"/>
      <c r="J382" s="703"/>
      <c r="K382" s="703"/>
      <c r="L382" s="703"/>
      <c r="M382" s="703"/>
      <c r="N382" s="703"/>
      <c r="O382" s="703"/>
      <c r="P382" s="703"/>
      <c r="Q382" s="703"/>
      <c r="R382" s="703"/>
      <c r="S382" s="703"/>
      <c r="T382" s="703"/>
      <c r="U382" s="703"/>
      <c r="V382" s="703"/>
      <c r="W382" s="703"/>
      <c r="X382" s="703"/>
      <c r="Y382" s="703"/>
      <c r="Z382" s="703"/>
      <c r="AA382" s="703"/>
      <c r="AB382" s="703"/>
      <c r="AC382" s="703"/>
      <c r="AD382" s="703"/>
      <c r="AE382" s="703"/>
      <c r="AF382" s="703"/>
      <c r="AG382" s="703"/>
      <c r="AH382" s="703"/>
      <c r="AI382" s="703"/>
      <c r="AJ382" s="703"/>
      <c r="AK382" s="703"/>
      <c r="AL382" s="703"/>
      <c r="AM382" s="703"/>
      <c r="AN382" s="703"/>
      <c r="AO382" s="704"/>
      <c r="AP382" s="705"/>
      <c r="AQ382" s="763" t="str">
        <f t="shared" si="40"/>
        <v/>
      </c>
      <c r="AS382" s="268"/>
      <c r="AV382" s="699"/>
      <c r="AW382" s="700">
        <v>3.1600000000000003E-2</v>
      </c>
      <c r="AX382" s="382">
        <f t="shared" si="38"/>
        <v>0</v>
      </c>
      <c r="AY382" s="379" t="str">
        <f t="shared" ca="1" si="41"/>
        <v>HERCULES-LUDOVIKA</v>
      </c>
      <c r="AZ382" s="384">
        <f t="shared" si="39"/>
        <v>0</v>
      </c>
      <c r="BA382" s="642"/>
    </row>
    <row r="383" spans="1:53" ht="12.75" customHeight="1" x14ac:dyDescent="0.2">
      <c r="A383" s="867"/>
      <c r="C383" s="758"/>
      <c r="D383" s="757"/>
      <c r="E383" s="747"/>
      <c r="F383" s="703"/>
      <c r="G383" s="703"/>
      <c r="H383" s="703"/>
      <c r="I383" s="703"/>
      <c r="J383" s="703"/>
      <c r="K383" s="703"/>
      <c r="L383" s="703"/>
      <c r="M383" s="703"/>
      <c r="N383" s="703"/>
      <c r="O383" s="703"/>
      <c r="P383" s="703"/>
      <c r="Q383" s="703"/>
      <c r="R383" s="703"/>
      <c r="S383" s="703"/>
      <c r="T383" s="703"/>
      <c r="U383" s="703"/>
      <c r="V383" s="703"/>
      <c r="W383" s="703"/>
      <c r="X383" s="703"/>
      <c r="Y383" s="703"/>
      <c r="Z383" s="703"/>
      <c r="AA383" s="703"/>
      <c r="AB383" s="703"/>
      <c r="AC383" s="703"/>
      <c r="AD383" s="703"/>
      <c r="AE383" s="703"/>
      <c r="AF383" s="703"/>
      <c r="AG383" s="703"/>
      <c r="AH383" s="703"/>
      <c r="AI383" s="703"/>
      <c r="AJ383" s="703"/>
      <c r="AK383" s="703"/>
      <c r="AL383" s="703"/>
      <c r="AM383" s="703"/>
      <c r="AN383" s="703"/>
      <c r="AO383" s="704"/>
      <c r="AP383" s="705"/>
      <c r="AQ383" s="763" t="str">
        <f t="shared" si="40"/>
        <v/>
      </c>
      <c r="AS383" s="268"/>
      <c r="AV383" s="699"/>
      <c r="AW383" s="700">
        <v>3.1699999999999999E-2</v>
      </c>
      <c r="AX383" s="382">
        <f t="shared" si="38"/>
        <v>0</v>
      </c>
      <c r="AY383" s="379" t="str">
        <f t="shared" ca="1" si="41"/>
        <v>HERCULES-LUDOVIKA</v>
      </c>
      <c r="AZ383" s="384">
        <f t="shared" si="39"/>
        <v>0</v>
      </c>
      <c r="BA383" s="642"/>
    </row>
    <row r="384" spans="1:53" ht="12.75" customHeight="1" x14ac:dyDescent="0.2">
      <c r="A384" s="867"/>
      <c r="C384" s="758"/>
      <c r="D384" s="757"/>
      <c r="E384" s="747"/>
      <c r="F384" s="703"/>
      <c r="G384" s="703"/>
      <c r="H384" s="703"/>
      <c r="I384" s="703"/>
      <c r="J384" s="703"/>
      <c r="K384" s="703"/>
      <c r="L384" s="703"/>
      <c r="M384" s="703"/>
      <c r="N384" s="703"/>
      <c r="O384" s="703"/>
      <c r="P384" s="703"/>
      <c r="Q384" s="703"/>
      <c r="R384" s="703"/>
      <c r="S384" s="703"/>
      <c r="T384" s="703"/>
      <c r="U384" s="703"/>
      <c r="V384" s="703"/>
      <c r="W384" s="703"/>
      <c r="X384" s="703"/>
      <c r="Y384" s="703"/>
      <c r="Z384" s="703"/>
      <c r="AA384" s="703"/>
      <c r="AB384" s="703"/>
      <c r="AC384" s="703"/>
      <c r="AD384" s="703"/>
      <c r="AE384" s="703"/>
      <c r="AF384" s="703"/>
      <c r="AG384" s="703"/>
      <c r="AH384" s="703"/>
      <c r="AI384" s="703"/>
      <c r="AJ384" s="703"/>
      <c r="AK384" s="703"/>
      <c r="AL384" s="703"/>
      <c r="AM384" s="703"/>
      <c r="AN384" s="703"/>
      <c r="AO384" s="704"/>
      <c r="AP384" s="705"/>
      <c r="AQ384" s="763" t="str">
        <f t="shared" si="40"/>
        <v/>
      </c>
      <c r="AS384" s="268"/>
      <c r="AV384" s="699"/>
      <c r="AW384" s="700">
        <v>3.1800000000000002E-2</v>
      </c>
      <c r="AX384" s="382">
        <f t="shared" si="38"/>
        <v>0</v>
      </c>
      <c r="AY384" s="379" t="str">
        <f t="shared" ca="1" si="41"/>
        <v>HERCULES-LUDOVIKA</v>
      </c>
      <c r="AZ384" s="384">
        <f t="shared" si="39"/>
        <v>0</v>
      </c>
      <c r="BA384" s="642"/>
    </row>
    <row r="385" spans="1:54" ht="12.75" customHeight="1" x14ac:dyDescent="0.2">
      <c r="A385" s="867"/>
      <c r="C385" s="758"/>
      <c r="D385" s="757"/>
      <c r="E385" s="747"/>
      <c r="F385" s="703"/>
      <c r="G385" s="703"/>
      <c r="H385" s="703"/>
      <c r="I385" s="703"/>
      <c r="J385" s="703"/>
      <c r="K385" s="703"/>
      <c r="L385" s="703"/>
      <c r="M385" s="703"/>
      <c r="N385" s="703"/>
      <c r="O385" s="703"/>
      <c r="P385" s="703"/>
      <c r="Q385" s="703"/>
      <c r="R385" s="703"/>
      <c r="S385" s="703"/>
      <c r="T385" s="703"/>
      <c r="U385" s="703"/>
      <c r="V385" s="703"/>
      <c r="W385" s="703"/>
      <c r="X385" s="703"/>
      <c r="Y385" s="703"/>
      <c r="Z385" s="703"/>
      <c r="AA385" s="703"/>
      <c r="AB385" s="703"/>
      <c r="AC385" s="703"/>
      <c r="AD385" s="703"/>
      <c r="AE385" s="703"/>
      <c r="AF385" s="703"/>
      <c r="AG385" s="703"/>
      <c r="AH385" s="703"/>
      <c r="AI385" s="703"/>
      <c r="AJ385" s="703"/>
      <c r="AK385" s="703"/>
      <c r="AL385" s="703"/>
      <c r="AM385" s="703"/>
      <c r="AN385" s="703"/>
      <c r="AO385" s="704"/>
      <c r="AP385" s="705"/>
      <c r="AQ385" s="763" t="str">
        <f t="shared" si="40"/>
        <v/>
      </c>
      <c r="AS385" s="268"/>
      <c r="AV385" s="699"/>
      <c r="AW385" s="700">
        <v>3.1899999999999998E-2</v>
      </c>
      <c r="AX385" s="382">
        <f t="shared" si="38"/>
        <v>0</v>
      </c>
      <c r="AY385" s="379" t="str">
        <f t="shared" ca="1" si="41"/>
        <v>HERCULES-LUDOVIKA</v>
      </c>
      <c r="AZ385" s="384">
        <f t="shared" si="39"/>
        <v>0</v>
      </c>
      <c r="BA385" s="642"/>
    </row>
    <row r="386" spans="1:54" ht="11.25" hidden="1" customHeight="1" x14ac:dyDescent="0.2">
      <c r="A386" s="867"/>
      <c r="C386" s="758"/>
      <c r="D386" s="757"/>
      <c r="E386" s="747"/>
      <c r="F386" s="703"/>
      <c r="G386" s="703"/>
      <c r="H386" s="703"/>
      <c r="I386" s="703"/>
      <c r="J386" s="703"/>
      <c r="K386" s="703"/>
      <c r="L386" s="703"/>
      <c r="M386" s="703"/>
      <c r="N386" s="703"/>
      <c r="O386" s="703"/>
      <c r="P386" s="703"/>
      <c r="Q386" s="703"/>
      <c r="R386" s="703"/>
      <c r="S386" s="703"/>
      <c r="T386" s="703"/>
      <c r="U386" s="703"/>
      <c r="V386" s="703"/>
      <c r="W386" s="703"/>
      <c r="X386" s="703"/>
      <c r="Y386" s="703"/>
      <c r="Z386" s="703"/>
      <c r="AA386" s="703"/>
      <c r="AB386" s="703"/>
      <c r="AC386" s="703"/>
      <c r="AD386" s="703"/>
      <c r="AE386" s="703"/>
      <c r="AF386" s="703"/>
      <c r="AG386" s="703"/>
      <c r="AH386" s="703"/>
      <c r="AI386" s="703"/>
      <c r="AJ386" s="703"/>
      <c r="AK386" s="703"/>
      <c r="AL386" s="703"/>
      <c r="AM386" s="703"/>
      <c r="AN386" s="703"/>
      <c r="AO386" s="704"/>
      <c r="AP386" s="705"/>
      <c r="AQ386" s="763" t="str">
        <f t="shared" si="40"/>
        <v/>
      </c>
      <c r="AS386" s="268"/>
      <c r="AV386" s="699"/>
      <c r="AW386" s="700">
        <v>3.2000000000000001E-2</v>
      </c>
      <c r="AX386" s="382">
        <f t="shared" si="38"/>
        <v>0</v>
      </c>
      <c r="AY386" s="379" t="str">
        <f t="shared" ca="1" si="41"/>
        <v>HERCULES-LUDOVIKA</v>
      </c>
      <c r="AZ386" s="384">
        <f t="shared" si="39"/>
        <v>0</v>
      </c>
      <c r="BA386" s="642"/>
    </row>
    <row r="387" spans="1:54" ht="11.25" hidden="1" customHeight="1" x14ac:dyDescent="0.2">
      <c r="A387" s="867"/>
      <c r="C387" s="758"/>
      <c r="D387" s="757"/>
      <c r="E387" s="747"/>
      <c r="F387" s="703"/>
      <c r="G387" s="703"/>
      <c r="H387" s="703"/>
      <c r="I387" s="703"/>
      <c r="J387" s="703"/>
      <c r="K387" s="703"/>
      <c r="L387" s="703"/>
      <c r="M387" s="703"/>
      <c r="N387" s="703"/>
      <c r="O387" s="703"/>
      <c r="P387" s="703"/>
      <c r="Q387" s="703"/>
      <c r="R387" s="703"/>
      <c r="S387" s="703"/>
      <c r="T387" s="703"/>
      <c r="U387" s="703"/>
      <c r="V387" s="703"/>
      <c r="W387" s="703"/>
      <c r="X387" s="703"/>
      <c r="Y387" s="703"/>
      <c r="Z387" s="703"/>
      <c r="AA387" s="703"/>
      <c r="AB387" s="703"/>
      <c r="AC387" s="703"/>
      <c r="AD387" s="703"/>
      <c r="AE387" s="703"/>
      <c r="AF387" s="703"/>
      <c r="AG387" s="703"/>
      <c r="AH387" s="703"/>
      <c r="AI387" s="703"/>
      <c r="AJ387" s="703"/>
      <c r="AK387" s="703"/>
      <c r="AL387" s="703"/>
      <c r="AM387" s="703"/>
      <c r="AN387" s="703"/>
      <c r="AO387" s="704"/>
      <c r="AP387" s="705"/>
      <c r="AQ387" s="763" t="str">
        <f t="shared" si="40"/>
        <v/>
      </c>
      <c r="AS387" s="268"/>
      <c r="AV387" s="699"/>
      <c r="AW387" s="700">
        <v>3.2099999999999997E-2</v>
      </c>
      <c r="AX387" s="382">
        <f t="shared" si="38"/>
        <v>0</v>
      </c>
      <c r="AY387" s="379" t="str">
        <f t="shared" ca="1" si="41"/>
        <v>HERCULES-LUDOVIKA</v>
      </c>
      <c r="AZ387" s="384">
        <f t="shared" si="39"/>
        <v>0</v>
      </c>
      <c r="BA387" s="642"/>
    </row>
    <row r="388" spans="1:54" ht="11.25" hidden="1" customHeight="1" x14ac:dyDescent="0.2">
      <c r="A388" s="867"/>
      <c r="C388" s="758"/>
      <c r="D388" s="757"/>
      <c r="E388" s="747"/>
      <c r="F388" s="703"/>
      <c r="G388" s="703"/>
      <c r="H388" s="703"/>
      <c r="I388" s="703"/>
      <c r="J388" s="703"/>
      <c r="K388" s="703"/>
      <c r="L388" s="703"/>
      <c r="M388" s="703"/>
      <c r="N388" s="703"/>
      <c r="O388" s="703"/>
      <c r="P388" s="703"/>
      <c r="Q388" s="703"/>
      <c r="R388" s="703"/>
      <c r="S388" s="703"/>
      <c r="T388" s="703"/>
      <c r="U388" s="703"/>
      <c r="V388" s="703"/>
      <c r="W388" s="703"/>
      <c r="X388" s="703"/>
      <c r="Y388" s="703"/>
      <c r="Z388" s="703"/>
      <c r="AA388" s="703"/>
      <c r="AB388" s="703"/>
      <c r="AC388" s="703"/>
      <c r="AD388" s="703"/>
      <c r="AE388" s="703"/>
      <c r="AF388" s="703"/>
      <c r="AG388" s="703"/>
      <c r="AH388" s="703"/>
      <c r="AI388" s="703"/>
      <c r="AJ388" s="703"/>
      <c r="AK388" s="703"/>
      <c r="AL388" s="703"/>
      <c r="AM388" s="703"/>
      <c r="AN388" s="703"/>
      <c r="AO388" s="704"/>
      <c r="AP388" s="705"/>
      <c r="AQ388" s="763" t="str">
        <f t="shared" si="40"/>
        <v/>
      </c>
      <c r="AS388" s="268"/>
      <c r="AV388" s="699"/>
      <c r="AW388" s="700">
        <v>3.2199999999999999E-2</v>
      </c>
      <c r="AX388" s="382">
        <f t="shared" si="38"/>
        <v>0</v>
      </c>
      <c r="AY388" s="379" t="str">
        <f t="shared" ca="1" si="41"/>
        <v>HERCULES-LUDOVIKA</v>
      </c>
      <c r="AZ388" s="384">
        <f t="shared" si="39"/>
        <v>0</v>
      </c>
      <c r="BA388" s="642"/>
    </row>
    <row r="389" spans="1:54" ht="11.25" hidden="1" customHeight="1" x14ac:dyDescent="0.2">
      <c r="A389" s="867"/>
      <c r="C389" s="758"/>
      <c r="D389" s="757"/>
      <c r="E389" s="747"/>
      <c r="F389" s="703"/>
      <c r="G389" s="703"/>
      <c r="H389" s="703"/>
      <c r="I389" s="703"/>
      <c r="J389" s="703"/>
      <c r="K389" s="703"/>
      <c r="L389" s="703"/>
      <c r="M389" s="703"/>
      <c r="N389" s="703"/>
      <c r="O389" s="703"/>
      <c r="P389" s="703"/>
      <c r="Q389" s="703"/>
      <c r="R389" s="703"/>
      <c r="S389" s="703"/>
      <c r="T389" s="703"/>
      <c r="U389" s="703"/>
      <c r="V389" s="703"/>
      <c r="W389" s="703"/>
      <c r="X389" s="703"/>
      <c r="Y389" s="703"/>
      <c r="Z389" s="703"/>
      <c r="AA389" s="703"/>
      <c r="AB389" s="703"/>
      <c r="AC389" s="703"/>
      <c r="AD389" s="703"/>
      <c r="AE389" s="703"/>
      <c r="AF389" s="703"/>
      <c r="AG389" s="703"/>
      <c r="AH389" s="703"/>
      <c r="AI389" s="703"/>
      <c r="AJ389" s="703"/>
      <c r="AK389" s="703"/>
      <c r="AL389" s="703"/>
      <c r="AM389" s="703"/>
      <c r="AN389" s="703"/>
      <c r="AO389" s="704"/>
      <c r="AP389" s="705"/>
      <c r="AQ389" s="763" t="str">
        <f t="shared" si="40"/>
        <v/>
      </c>
      <c r="AS389" s="268"/>
      <c r="AV389" s="699"/>
      <c r="AW389" s="700">
        <v>3.2300000000000002E-2</v>
      </c>
      <c r="AX389" s="382">
        <f t="shared" si="38"/>
        <v>0</v>
      </c>
      <c r="AY389" s="379" t="str">
        <f t="shared" ca="1" si="41"/>
        <v>HERCULES-LUDOVIKA</v>
      </c>
      <c r="AZ389" s="384">
        <f t="shared" si="39"/>
        <v>0</v>
      </c>
      <c r="BA389" s="642"/>
    </row>
    <row r="390" spans="1:54" ht="11.25" hidden="1" customHeight="1" x14ac:dyDescent="0.2">
      <c r="A390" s="867"/>
      <c r="C390" s="758"/>
      <c r="D390" s="757"/>
      <c r="E390" s="747"/>
      <c r="F390" s="703"/>
      <c r="G390" s="703"/>
      <c r="H390" s="703"/>
      <c r="I390" s="703"/>
      <c r="J390" s="703"/>
      <c r="K390" s="703"/>
      <c r="L390" s="703"/>
      <c r="M390" s="703"/>
      <c r="N390" s="703"/>
      <c r="O390" s="703"/>
      <c r="P390" s="703"/>
      <c r="Q390" s="703"/>
      <c r="R390" s="703"/>
      <c r="S390" s="703"/>
      <c r="T390" s="703"/>
      <c r="U390" s="703"/>
      <c r="V390" s="703"/>
      <c r="W390" s="703"/>
      <c r="X390" s="703"/>
      <c r="Y390" s="703"/>
      <c r="Z390" s="703"/>
      <c r="AA390" s="703"/>
      <c r="AB390" s="703"/>
      <c r="AC390" s="703"/>
      <c r="AD390" s="703"/>
      <c r="AE390" s="703"/>
      <c r="AF390" s="703"/>
      <c r="AG390" s="703"/>
      <c r="AH390" s="703"/>
      <c r="AI390" s="703"/>
      <c r="AJ390" s="703"/>
      <c r="AK390" s="703"/>
      <c r="AL390" s="703"/>
      <c r="AM390" s="703"/>
      <c r="AN390" s="703"/>
      <c r="AO390" s="704"/>
      <c r="AP390" s="705"/>
      <c r="AQ390" s="763" t="str">
        <f t="shared" si="40"/>
        <v/>
      </c>
      <c r="AS390" s="268"/>
      <c r="AV390" s="699"/>
      <c r="AW390" s="700">
        <v>3.2399999999999998E-2</v>
      </c>
      <c r="AX390" s="382">
        <f t="shared" si="38"/>
        <v>0</v>
      </c>
      <c r="AY390" s="379" t="str">
        <f t="shared" ca="1" si="41"/>
        <v>HERCULES-LUDOVIKA</v>
      </c>
      <c r="AZ390" s="384">
        <f t="shared" si="39"/>
        <v>0</v>
      </c>
      <c r="BA390" s="642"/>
    </row>
    <row r="391" spans="1:54" ht="11.25" hidden="1" customHeight="1" x14ac:dyDescent="0.2">
      <c r="A391" s="867"/>
      <c r="C391" s="758"/>
      <c r="D391" s="757"/>
      <c r="E391" s="747"/>
      <c r="F391" s="703"/>
      <c r="G391" s="703"/>
      <c r="H391" s="703"/>
      <c r="I391" s="703"/>
      <c r="J391" s="703"/>
      <c r="K391" s="703"/>
      <c r="L391" s="703"/>
      <c r="M391" s="703"/>
      <c r="N391" s="703"/>
      <c r="O391" s="703"/>
      <c r="P391" s="703"/>
      <c r="Q391" s="703"/>
      <c r="R391" s="703"/>
      <c r="S391" s="703"/>
      <c r="T391" s="703"/>
      <c r="U391" s="703"/>
      <c r="V391" s="703"/>
      <c r="W391" s="703"/>
      <c r="X391" s="703"/>
      <c r="Y391" s="703"/>
      <c r="Z391" s="703"/>
      <c r="AA391" s="703"/>
      <c r="AB391" s="703"/>
      <c r="AC391" s="703"/>
      <c r="AD391" s="703"/>
      <c r="AE391" s="703"/>
      <c r="AF391" s="703"/>
      <c r="AG391" s="703"/>
      <c r="AH391" s="703"/>
      <c r="AI391" s="703"/>
      <c r="AJ391" s="703"/>
      <c r="AK391" s="703"/>
      <c r="AL391" s="703"/>
      <c r="AM391" s="703"/>
      <c r="AN391" s="703"/>
      <c r="AO391" s="704"/>
      <c r="AP391" s="705"/>
      <c r="AQ391" s="763" t="str">
        <f t="shared" si="40"/>
        <v/>
      </c>
      <c r="AS391" s="268"/>
      <c r="AV391" s="699"/>
      <c r="AW391" s="700">
        <v>3.2500000000000001E-2</v>
      </c>
      <c r="AX391" s="382">
        <f t="shared" si="38"/>
        <v>0</v>
      </c>
      <c r="AY391" s="379" t="str">
        <f t="shared" ca="1" si="41"/>
        <v>HERCULES-LUDOVIKA</v>
      </c>
      <c r="AZ391" s="384">
        <f t="shared" si="39"/>
        <v>0</v>
      </c>
      <c r="BA391" s="642"/>
    </row>
    <row r="392" spans="1:54" ht="11.25" hidden="1" customHeight="1" x14ac:dyDescent="0.2">
      <c r="A392" s="867"/>
      <c r="C392" s="758"/>
      <c r="D392" s="757"/>
      <c r="E392" s="747"/>
      <c r="F392" s="703"/>
      <c r="G392" s="703"/>
      <c r="H392" s="703"/>
      <c r="I392" s="703"/>
      <c r="J392" s="703"/>
      <c r="K392" s="703"/>
      <c r="L392" s="703"/>
      <c r="M392" s="703"/>
      <c r="N392" s="703"/>
      <c r="O392" s="703"/>
      <c r="P392" s="703"/>
      <c r="Q392" s="703"/>
      <c r="R392" s="703"/>
      <c r="S392" s="703"/>
      <c r="T392" s="703"/>
      <c r="U392" s="703"/>
      <c r="V392" s="703"/>
      <c r="W392" s="703"/>
      <c r="X392" s="703"/>
      <c r="Y392" s="703"/>
      <c r="Z392" s="703"/>
      <c r="AA392" s="703"/>
      <c r="AB392" s="703"/>
      <c r="AC392" s="703"/>
      <c r="AD392" s="703"/>
      <c r="AE392" s="703"/>
      <c r="AF392" s="703"/>
      <c r="AG392" s="703"/>
      <c r="AH392" s="703"/>
      <c r="AI392" s="703"/>
      <c r="AJ392" s="703"/>
      <c r="AK392" s="703"/>
      <c r="AL392" s="703"/>
      <c r="AM392" s="703"/>
      <c r="AN392" s="703"/>
      <c r="AO392" s="704"/>
      <c r="AP392" s="705"/>
      <c r="AQ392" s="763" t="str">
        <f t="shared" si="40"/>
        <v/>
      </c>
      <c r="AS392" s="268"/>
      <c r="AV392" s="699"/>
      <c r="AW392" s="700">
        <v>3.2599999999999997E-2</v>
      </c>
      <c r="AX392" s="382">
        <f t="shared" si="38"/>
        <v>0</v>
      </c>
      <c r="AY392" s="379" t="str">
        <f t="shared" ca="1" si="41"/>
        <v>HERCULES-LUDOVIKA</v>
      </c>
      <c r="AZ392" s="384">
        <f t="shared" si="39"/>
        <v>0</v>
      </c>
      <c r="BA392" s="642"/>
    </row>
    <row r="393" spans="1:54" ht="11.25" hidden="1" customHeight="1" x14ac:dyDescent="0.2">
      <c r="A393" s="867"/>
      <c r="C393" s="758"/>
      <c r="D393" s="757"/>
      <c r="E393" s="747"/>
      <c r="F393" s="703"/>
      <c r="G393" s="703"/>
      <c r="H393" s="703"/>
      <c r="I393" s="703"/>
      <c r="J393" s="703"/>
      <c r="K393" s="703"/>
      <c r="L393" s="703"/>
      <c r="M393" s="703"/>
      <c r="N393" s="703"/>
      <c r="O393" s="703"/>
      <c r="P393" s="703"/>
      <c r="Q393" s="703"/>
      <c r="R393" s="703"/>
      <c r="S393" s="703"/>
      <c r="T393" s="703"/>
      <c r="U393" s="703"/>
      <c r="V393" s="703"/>
      <c r="W393" s="703"/>
      <c r="X393" s="703"/>
      <c r="Y393" s="703"/>
      <c r="Z393" s="703"/>
      <c r="AA393" s="703"/>
      <c r="AB393" s="703"/>
      <c r="AC393" s="703"/>
      <c r="AD393" s="703"/>
      <c r="AE393" s="703"/>
      <c r="AF393" s="703"/>
      <c r="AG393" s="703"/>
      <c r="AH393" s="703"/>
      <c r="AI393" s="703"/>
      <c r="AJ393" s="703"/>
      <c r="AK393" s="703"/>
      <c r="AL393" s="703"/>
      <c r="AM393" s="703"/>
      <c r="AN393" s="703"/>
      <c r="AO393" s="704"/>
      <c r="AP393" s="705"/>
      <c r="AQ393" s="763" t="str">
        <f t="shared" si="40"/>
        <v/>
      </c>
      <c r="AS393" s="268"/>
      <c r="AV393" s="699"/>
      <c r="AW393" s="700">
        <v>3.27E-2</v>
      </c>
      <c r="AX393" s="382">
        <f t="shared" si="38"/>
        <v>0</v>
      </c>
      <c r="AY393" s="379" t="str">
        <f t="shared" ca="1" si="41"/>
        <v>HERCULES-LUDOVIKA</v>
      </c>
      <c r="AZ393" s="384">
        <f t="shared" si="39"/>
        <v>0</v>
      </c>
      <c r="BA393" s="642"/>
    </row>
    <row r="394" spans="1:54" ht="11.25" hidden="1" customHeight="1" x14ac:dyDescent="0.2">
      <c r="A394" s="867"/>
      <c r="C394" s="758"/>
      <c r="D394" s="757"/>
      <c r="E394" s="747"/>
      <c r="F394" s="703"/>
      <c r="G394" s="703"/>
      <c r="H394" s="703"/>
      <c r="I394" s="703"/>
      <c r="J394" s="703"/>
      <c r="K394" s="703"/>
      <c r="L394" s="703"/>
      <c r="M394" s="703"/>
      <c r="N394" s="703"/>
      <c r="O394" s="703"/>
      <c r="P394" s="703"/>
      <c r="Q394" s="703"/>
      <c r="R394" s="703"/>
      <c r="S394" s="703"/>
      <c r="T394" s="703"/>
      <c r="U394" s="703"/>
      <c r="V394" s="703"/>
      <c r="W394" s="703"/>
      <c r="X394" s="703"/>
      <c r="Y394" s="703"/>
      <c r="Z394" s="703"/>
      <c r="AA394" s="703"/>
      <c r="AB394" s="703"/>
      <c r="AC394" s="703"/>
      <c r="AD394" s="703"/>
      <c r="AE394" s="703"/>
      <c r="AF394" s="703"/>
      <c r="AG394" s="703"/>
      <c r="AH394" s="703"/>
      <c r="AI394" s="703"/>
      <c r="AJ394" s="703"/>
      <c r="AK394" s="703"/>
      <c r="AL394" s="703"/>
      <c r="AM394" s="703"/>
      <c r="AN394" s="703"/>
      <c r="AO394" s="704"/>
      <c r="AP394" s="705"/>
      <c r="AQ394" s="763" t="str">
        <f t="shared" si="40"/>
        <v/>
      </c>
      <c r="AS394" s="268"/>
      <c r="AV394" s="699"/>
      <c r="AW394" s="700">
        <v>3.2800000000000003E-2</v>
      </c>
      <c r="AX394" s="382">
        <f t="shared" si="38"/>
        <v>0</v>
      </c>
      <c r="AY394" s="379" t="str">
        <f t="shared" ca="1" si="41"/>
        <v>HERCULES-LUDOVIKA</v>
      </c>
      <c r="AZ394" s="384">
        <f t="shared" si="39"/>
        <v>0</v>
      </c>
      <c r="BA394" s="642"/>
    </row>
    <row r="395" spans="1:54" ht="11.25" hidden="1" customHeight="1" x14ac:dyDescent="0.2">
      <c r="A395" s="867"/>
      <c r="C395" s="758"/>
      <c r="D395" s="757"/>
      <c r="E395" s="747"/>
      <c r="F395" s="703"/>
      <c r="G395" s="703"/>
      <c r="H395" s="703"/>
      <c r="I395" s="703"/>
      <c r="J395" s="703"/>
      <c r="K395" s="703"/>
      <c r="L395" s="703"/>
      <c r="M395" s="703"/>
      <c r="N395" s="703"/>
      <c r="O395" s="703"/>
      <c r="P395" s="703"/>
      <c r="Q395" s="703"/>
      <c r="R395" s="703"/>
      <c r="S395" s="703"/>
      <c r="T395" s="703"/>
      <c r="U395" s="703"/>
      <c r="V395" s="703"/>
      <c r="W395" s="703"/>
      <c r="X395" s="703"/>
      <c r="Y395" s="703"/>
      <c r="Z395" s="703"/>
      <c r="AA395" s="703"/>
      <c r="AB395" s="703"/>
      <c r="AC395" s="703"/>
      <c r="AD395" s="703"/>
      <c r="AE395" s="703"/>
      <c r="AF395" s="703"/>
      <c r="AG395" s="703"/>
      <c r="AH395" s="703"/>
      <c r="AI395" s="703"/>
      <c r="AJ395" s="703"/>
      <c r="AK395" s="703"/>
      <c r="AL395" s="703"/>
      <c r="AM395" s="703"/>
      <c r="AN395" s="703"/>
      <c r="AO395" s="704"/>
      <c r="AP395" s="705"/>
      <c r="AQ395" s="763" t="str">
        <f t="shared" si="40"/>
        <v/>
      </c>
      <c r="AS395" s="268"/>
      <c r="AV395" s="699"/>
      <c r="AW395" s="700">
        <v>3.2899999999999999E-2</v>
      </c>
      <c r="AX395" s="382">
        <f t="shared" si="38"/>
        <v>0</v>
      </c>
      <c r="AY395" s="379" t="str">
        <f t="shared" ca="1" si="41"/>
        <v>HERCULES-LUDOVIKA</v>
      </c>
      <c r="AZ395" s="384">
        <f t="shared" si="39"/>
        <v>0</v>
      </c>
      <c r="BA395" s="642"/>
    </row>
    <row r="396" spans="1:54" ht="12.75" customHeight="1" x14ac:dyDescent="0.2">
      <c r="A396" s="867"/>
      <c r="C396" s="759"/>
      <c r="D396" s="760"/>
      <c r="E396" s="748"/>
      <c r="F396" s="708"/>
      <c r="G396" s="708"/>
      <c r="H396" s="708"/>
      <c r="I396" s="708"/>
      <c r="J396" s="708"/>
      <c r="K396" s="708"/>
      <c r="L396" s="708"/>
      <c r="M396" s="708"/>
      <c r="N396" s="708"/>
      <c r="O396" s="708"/>
      <c r="P396" s="708"/>
      <c r="Q396" s="708"/>
      <c r="R396" s="708"/>
      <c r="S396" s="708"/>
      <c r="T396" s="708"/>
      <c r="U396" s="708"/>
      <c r="V396" s="708"/>
      <c r="W396" s="708"/>
      <c r="X396" s="708"/>
      <c r="Y396" s="708"/>
      <c r="Z396" s="708"/>
      <c r="AA396" s="708"/>
      <c r="AB396" s="708"/>
      <c r="AC396" s="708"/>
      <c r="AD396" s="708"/>
      <c r="AE396" s="708"/>
      <c r="AF396" s="708"/>
      <c r="AG396" s="708"/>
      <c r="AH396" s="708"/>
      <c r="AI396" s="708"/>
      <c r="AJ396" s="708"/>
      <c r="AK396" s="708"/>
      <c r="AL396" s="708"/>
      <c r="AM396" s="708"/>
      <c r="AN396" s="708"/>
      <c r="AO396" s="709"/>
      <c r="AP396" s="710"/>
      <c r="AQ396" s="763" t="str">
        <f t="shared" si="40"/>
        <v/>
      </c>
      <c r="AS396" s="268"/>
      <c r="AV396" s="699"/>
      <c r="AW396" s="700">
        <v>3.3000000000000002E-2</v>
      </c>
      <c r="AX396" s="382">
        <f t="shared" si="38"/>
        <v>0</v>
      </c>
      <c r="AY396" s="379" t="str">
        <f t="shared" ca="1" si="41"/>
        <v>HERCULES-LUDOVIKA</v>
      </c>
      <c r="AZ396" s="384">
        <f t="shared" si="39"/>
        <v>0</v>
      </c>
      <c r="BA396" s="642"/>
    </row>
    <row r="397" spans="1:54" ht="13.5" customHeight="1" x14ac:dyDescent="0.2">
      <c r="A397" s="867"/>
      <c r="AV397" s="699"/>
      <c r="AW397" s="700">
        <v>3.3099999999999997E-2</v>
      </c>
      <c r="AX397" s="642"/>
      <c r="AY397" s="642"/>
      <c r="BA397" s="642"/>
    </row>
    <row r="398" spans="1:54" ht="1.5" customHeight="1" x14ac:dyDescent="0.2">
      <c r="A398" s="867"/>
      <c r="AV398" s="699"/>
      <c r="AW398" s="700">
        <v>3.32E-2</v>
      </c>
    </row>
    <row r="399" spans="1:54" s="186" customFormat="1" ht="11.25" hidden="1" customHeight="1" x14ac:dyDescent="0.2">
      <c r="A399" s="867"/>
      <c r="AS399" s="672"/>
      <c r="AU399" s="669"/>
      <c r="AV399" s="699"/>
      <c r="AW399" s="700">
        <v>3.3300000000000003E-2</v>
      </c>
      <c r="AX399" s="643"/>
      <c r="AY399" s="643"/>
      <c r="AZ399" s="671"/>
      <c r="BA399" s="643"/>
      <c r="BB399" s="669"/>
    </row>
    <row r="400" spans="1:54" s="673" customFormat="1" ht="13.5" hidden="1" customHeight="1" x14ac:dyDescent="0.2">
      <c r="A400" s="867"/>
      <c r="D400" s="674"/>
      <c r="E400" s="674"/>
      <c r="F400" s="674"/>
      <c r="G400" s="674"/>
      <c r="H400" s="674"/>
      <c r="I400" s="674"/>
      <c r="J400" s="674"/>
      <c r="K400" s="674"/>
      <c r="L400" s="674"/>
      <c r="M400" s="674"/>
      <c r="N400" s="674"/>
      <c r="O400" s="674"/>
      <c r="P400" s="674"/>
      <c r="Q400" s="674"/>
      <c r="R400" s="674"/>
      <c r="S400" s="674"/>
      <c r="T400" s="674"/>
      <c r="U400" s="674"/>
      <c r="V400" s="674"/>
      <c r="W400" s="674"/>
      <c r="X400" s="674"/>
      <c r="Y400" s="674"/>
      <c r="Z400" s="674"/>
      <c r="AA400" s="674"/>
      <c r="AB400" s="674"/>
      <c r="AC400" s="674"/>
      <c r="AD400" s="674"/>
      <c r="AE400" s="674"/>
      <c r="AF400" s="674"/>
      <c r="AG400" s="674"/>
      <c r="AH400" s="674"/>
      <c r="AI400" s="674"/>
      <c r="AJ400" s="674"/>
      <c r="AK400" s="674"/>
      <c r="AL400" s="674"/>
      <c r="AM400" s="674"/>
      <c r="AN400" s="674"/>
      <c r="AO400" s="674"/>
      <c r="AP400" s="674"/>
      <c r="AS400" s="675"/>
      <c r="AU400" s="643"/>
      <c r="AV400" s="699"/>
      <c r="AW400" s="700">
        <v>3.3399999999999999E-2</v>
      </c>
      <c r="AX400" s="643"/>
      <c r="AY400" s="643"/>
      <c r="AZ400" s="671"/>
      <c r="BA400" s="643"/>
      <c r="BB400" s="643"/>
    </row>
    <row r="401" spans="1:54" s="673" customFormat="1" ht="13.5" hidden="1" customHeight="1" x14ac:dyDescent="0.2">
      <c r="A401" s="867"/>
      <c r="C401" s="324">
        <f>C351+1</f>
        <v>8</v>
      </c>
      <c r="D401" s="383"/>
      <c r="E401" s="383">
        <v>1</v>
      </c>
      <c r="F401" s="383">
        <v>2</v>
      </c>
      <c r="G401" s="383">
        <v>3</v>
      </c>
      <c r="H401" s="383">
        <v>4</v>
      </c>
      <c r="I401" s="383">
        <v>5</v>
      </c>
      <c r="J401" s="383">
        <v>6</v>
      </c>
      <c r="K401" s="383">
        <v>7</v>
      </c>
      <c r="L401" s="383">
        <v>8</v>
      </c>
      <c r="M401" s="383">
        <v>9</v>
      </c>
      <c r="N401" s="383">
        <v>10</v>
      </c>
      <c r="O401" s="383">
        <v>11</v>
      </c>
      <c r="P401" s="383">
        <v>12</v>
      </c>
      <c r="Q401" s="383">
        <v>13</v>
      </c>
      <c r="R401" s="383">
        <v>14</v>
      </c>
      <c r="S401" s="383">
        <v>15</v>
      </c>
      <c r="T401" s="383">
        <v>16</v>
      </c>
      <c r="U401" s="383">
        <v>17</v>
      </c>
      <c r="V401" s="383">
        <v>18</v>
      </c>
      <c r="W401" s="383">
        <v>19</v>
      </c>
      <c r="X401" s="383">
        <v>20</v>
      </c>
      <c r="Y401" s="383">
        <v>21</v>
      </c>
      <c r="Z401" s="751">
        <v>22</v>
      </c>
      <c r="AA401" s="383">
        <v>23</v>
      </c>
      <c r="AB401" s="383">
        <v>24</v>
      </c>
      <c r="AC401" s="383">
        <v>25</v>
      </c>
      <c r="AD401" s="383">
        <v>26</v>
      </c>
      <c r="AE401" s="383">
        <v>27</v>
      </c>
      <c r="AF401" s="383"/>
      <c r="AG401" s="383"/>
      <c r="AH401" s="383"/>
      <c r="AI401" s="383"/>
      <c r="AJ401" s="383"/>
      <c r="AK401" s="383"/>
      <c r="AL401" s="383"/>
      <c r="AM401" s="383"/>
      <c r="AN401" s="383"/>
      <c r="AO401" s="383"/>
      <c r="AP401" s="674"/>
      <c r="AS401" s="675"/>
      <c r="AU401" s="643"/>
      <c r="AV401" s="699"/>
      <c r="AW401" s="700">
        <v>3.3500000000000002E-2</v>
      </c>
      <c r="AX401" s="643"/>
      <c r="AY401" s="643"/>
      <c r="AZ401" s="671"/>
      <c r="BA401" s="643"/>
      <c r="BB401" s="643"/>
    </row>
    <row r="402" spans="1:54" s="673" customFormat="1" ht="13.5" hidden="1" customHeight="1" x14ac:dyDescent="0.2">
      <c r="A402" s="867"/>
      <c r="D402" s="383"/>
      <c r="E402" s="383"/>
      <c r="F402" s="383"/>
      <c r="G402" s="383"/>
      <c r="H402" s="383"/>
      <c r="I402" s="383"/>
      <c r="J402" s="383"/>
      <c r="K402" s="383"/>
      <c r="L402" s="383"/>
      <c r="M402" s="383"/>
      <c r="N402" s="383"/>
      <c r="O402" s="383"/>
      <c r="P402" s="383"/>
      <c r="Q402" s="383"/>
      <c r="R402" s="383"/>
      <c r="S402" s="383"/>
      <c r="T402" s="383"/>
      <c r="U402" s="383"/>
      <c r="V402" s="383"/>
      <c r="W402" s="383"/>
      <c r="X402" s="383"/>
      <c r="Y402" s="383"/>
      <c r="Z402" s="751"/>
      <c r="AA402" s="383"/>
      <c r="AB402" s="383"/>
      <c r="AC402" s="383"/>
      <c r="AD402" s="383"/>
      <c r="AE402" s="383"/>
      <c r="AF402" s="383"/>
      <c r="AG402" s="383"/>
      <c r="AH402" s="383"/>
      <c r="AI402" s="383"/>
      <c r="AJ402" s="383"/>
      <c r="AK402" s="383"/>
      <c r="AL402" s="383"/>
      <c r="AM402" s="383"/>
      <c r="AN402" s="383"/>
      <c r="AO402" s="383"/>
      <c r="AP402" s="674"/>
      <c r="AS402" s="675"/>
      <c r="AU402" s="643"/>
      <c r="AV402" s="699"/>
      <c r="AW402" s="700">
        <v>3.3599999999999998E-2</v>
      </c>
      <c r="AX402" s="643"/>
      <c r="AY402" s="643"/>
      <c r="AZ402" s="671"/>
      <c r="BA402" s="643"/>
      <c r="BB402" s="643"/>
    </row>
    <row r="403" spans="1:54" s="673" customFormat="1" ht="13.5" hidden="1" customHeight="1" x14ac:dyDescent="0.2">
      <c r="A403" s="867"/>
      <c r="D403" s="676"/>
      <c r="E403" s="676">
        <f t="shared" ref="E403:AE403" si="42">E$53</f>
        <v>1</v>
      </c>
      <c r="F403" s="676">
        <f t="shared" si="42"/>
        <v>17</v>
      </c>
      <c r="G403" s="676">
        <f t="shared" si="42"/>
        <v>33</v>
      </c>
      <c r="H403" s="676">
        <f t="shared" si="42"/>
        <v>49</v>
      </c>
      <c r="I403" s="676">
        <f t="shared" si="42"/>
        <v>65</v>
      </c>
      <c r="J403" s="676">
        <f t="shared" si="42"/>
        <v>81</v>
      </c>
      <c r="K403" s="676">
        <f t="shared" si="42"/>
        <v>97</v>
      </c>
      <c r="L403" s="676">
        <f t="shared" si="42"/>
        <v>113</v>
      </c>
      <c r="M403" s="676">
        <f t="shared" si="42"/>
        <v>129</v>
      </c>
      <c r="N403" s="676">
        <f t="shared" si="42"/>
        <v>145</v>
      </c>
      <c r="O403" s="676">
        <f t="shared" si="42"/>
        <v>161</v>
      </c>
      <c r="P403" s="676">
        <f t="shared" si="42"/>
        <v>177</v>
      </c>
      <c r="Q403" s="676">
        <f t="shared" si="42"/>
        <v>193</v>
      </c>
      <c r="R403" s="676">
        <f t="shared" si="42"/>
        <v>209</v>
      </c>
      <c r="S403" s="676">
        <f t="shared" si="42"/>
        <v>225</v>
      </c>
      <c r="T403" s="676">
        <f t="shared" si="42"/>
        <v>241</v>
      </c>
      <c r="U403" s="676">
        <f t="shared" si="42"/>
        <v>257</v>
      </c>
      <c r="V403" s="676">
        <f t="shared" si="42"/>
        <v>273</v>
      </c>
      <c r="W403" s="676">
        <f t="shared" si="42"/>
        <v>289</v>
      </c>
      <c r="X403" s="676">
        <f t="shared" si="42"/>
        <v>305</v>
      </c>
      <c r="Y403" s="676">
        <f t="shared" si="42"/>
        <v>321</v>
      </c>
      <c r="Z403" s="676">
        <f t="shared" si="42"/>
        <v>337</v>
      </c>
      <c r="AA403" s="676">
        <f t="shared" si="42"/>
        <v>1</v>
      </c>
      <c r="AB403" s="676">
        <f t="shared" si="42"/>
        <v>19</v>
      </c>
      <c r="AC403" s="676">
        <f t="shared" si="42"/>
        <v>37</v>
      </c>
      <c r="AD403" s="676">
        <f t="shared" si="42"/>
        <v>55</v>
      </c>
      <c r="AE403" s="676">
        <f t="shared" si="42"/>
        <v>73</v>
      </c>
      <c r="AF403" s="676"/>
      <c r="AG403" s="676"/>
      <c r="AH403" s="676"/>
      <c r="AI403" s="676"/>
      <c r="AJ403" s="676"/>
      <c r="AK403" s="676"/>
      <c r="AL403" s="676"/>
      <c r="AM403" s="676"/>
      <c r="AN403" s="676"/>
      <c r="AO403" s="676"/>
      <c r="AP403" s="674"/>
      <c r="AS403" s="675"/>
      <c r="AU403" s="643"/>
      <c r="AV403" s="699"/>
      <c r="AW403" s="700">
        <v>3.3700000000000001E-2</v>
      </c>
      <c r="AX403" s="643"/>
      <c r="AY403" s="643"/>
      <c r="AZ403" s="671"/>
      <c r="BA403" s="643"/>
      <c r="BB403" s="643"/>
    </row>
    <row r="404" spans="1:54" s="673" customFormat="1" ht="13.5" hidden="1" customHeight="1" x14ac:dyDescent="0.2">
      <c r="A404" s="867"/>
      <c r="D404" s="677"/>
      <c r="E404" s="749" t="b">
        <f ca="1">COUNTIF(OFFSET(ASZ!$AB$42,E403,-4,12,2),$C412)=0</f>
        <v>0</v>
      </c>
      <c r="F404" s="749" t="b">
        <f ca="1">COUNTIF(OFFSET(ASZ!$AB$42,F403,-4,12,2),$C412)=0</f>
        <v>0</v>
      </c>
      <c r="G404" s="749" t="b">
        <f ca="1">COUNTIF(OFFSET(ASZ!$AB$42,G403,-4,12,2),$C412)=0</f>
        <v>0</v>
      </c>
      <c r="H404" s="749" t="b">
        <f ca="1">COUNTIF(OFFSET(ASZ!$AB$42,H403,-4,12,2),$C412)=0</f>
        <v>0</v>
      </c>
      <c r="I404" s="749" t="b">
        <f ca="1">COUNTIF(OFFSET(ASZ!$AB$42,I403,-4,12,2),$C412)=0</f>
        <v>0</v>
      </c>
      <c r="J404" s="749" t="b">
        <f ca="1">COUNTIF(OFFSET(ASZ!$AB$42,J403,-4,12,2),$C412)=0</f>
        <v>0</v>
      </c>
      <c r="K404" s="749" t="b">
        <f ca="1">COUNTIF(OFFSET(ASZ!$AB$42,K403,-4,12,2),$C412)=0</f>
        <v>0</v>
      </c>
      <c r="L404" s="749" t="b">
        <f ca="1">COUNTIF(OFFSET(ASZ!$AB$42,L403,-4,12,2),$C412)=0</f>
        <v>0</v>
      </c>
      <c r="M404" s="749" t="b">
        <f ca="1">COUNTIF(OFFSET(ASZ!$AB$42,M403,-4,12,2),$C412)=0</f>
        <v>0</v>
      </c>
      <c r="N404" s="749" t="b">
        <f ca="1">COUNTIF(OFFSET(ASZ!$AB$42,N403,-4,12,2),$C412)=0</f>
        <v>0</v>
      </c>
      <c r="O404" s="749" t="b">
        <f ca="1">COUNTIF(OFFSET(ASZ!$AB$42,O403,-4,12,2),$C412)=0</f>
        <v>0</v>
      </c>
      <c r="P404" s="749" t="b">
        <f ca="1">COUNTIF(OFFSET(ASZ!$AB$42,P403,-4,12,2),$C412)=0</f>
        <v>0</v>
      </c>
      <c r="Q404" s="749" t="b">
        <f ca="1">COUNTIF(OFFSET(ASZ!$AB$42,Q403,-4,12,2),$C412)=0</f>
        <v>0</v>
      </c>
      <c r="R404" s="749" t="b">
        <f ca="1">COUNTIF(OFFSET(ASZ!$AB$42,R403,-4,12,2),$C412)=0</f>
        <v>0</v>
      </c>
      <c r="S404" s="749" t="b">
        <f ca="1">COUNTIF(OFFSET(ASZ!$AB$42,S403,-4,12,2),$C412)=0</f>
        <v>0</v>
      </c>
      <c r="T404" s="749" t="b">
        <f ca="1">COUNTIF(OFFSET(ASZ!$AB$42,T403,-4,12,2),$C412)=0</f>
        <v>0</v>
      </c>
      <c r="U404" s="749" t="b">
        <f ca="1">COUNTIF(OFFSET(ASZ!$AB$42,U403,-4,12,2),$C412)=0</f>
        <v>0</v>
      </c>
      <c r="V404" s="749" t="b">
        <f ca="1">COUNTIF(OFFSET(ASZ!$AB$42,V403,-4,12,2),$C412)=0</f>
        <v>0</v>
      </c>
      <c r="W404" s="749" t="b">
        <f ca="1">COUNTIF(OFFSET(ASZ!$AB$42,W403,-4,12,2),$C412)=0</f>
        <v>0</v>
      </c>
      <c r="X404" s="749" t="b">
        <f ca="1">COUNTIF(OFFSET(ASZ!$AB$42,X403,-4,12,2),$C412)=0</f>
        <v>0</v>
      </c>
      <c r="Y404" s="749" t="b">
        <f ca="1">COUNTIF(OFFSET(ASZ!$AB$42,Y403,-4,12,2),$C412)=0</f>
        <v>0</v>
      </c>
      <c r="Z404" s="753" t="b">
        <f ca="1">COUNTIF(OFFSET(ASZ!$AB$42,Z403,-4,12,2),$C412)=0</f>
        <v>0</v>
      </c>
      <c r="AA404" s="749" t="b">
        <f ca="1">COUNTIF(OFFSET(RCSOP!$AF$56,AA403,-4,14,2),$C412)=0</f>
        <v>0</v>
      </c>
      <c r="AB404" s="749" t="b">
        <f ca="1">COUNTIF(OFFSET(RCSOP!$AF$56,AB403,-4,14,2),$C412)=0</f>
        <v>0</v>
      </c>
      <c r="AC404" s="749" t="b">
        <f ca="1">COUNTIF(OFFSET(RCSOP!$AF$56,AC403,-4,14,2),$C412)=0</f>
        <v>0</v>
      </c>
      <c r="AD404" s="749" t="b">
        <f ca="1">COUNTIF(OFFSET(RCSOP!$AF$56,AD403,-4,14,2),$C412)=0</f>
        <v>0</v>
      </c>
      <c r="AE404" s="749" t="b">
        <f ca="1">COUNTIF(OFFSET(RCSOP!$AF$56,AE403,-4,14,2),$C412)=0</f>
        <v>0</v>
      </c>
      <c r="AF404" s="677"/>
      <c r="AG404" s="677"/>
      <c r="AH404" s="677"/>
      <c r="AI404" s="677"/>
      <c r="AJ404" s="677"/>
      <c r="AK404" s="677"/>
      <c r="AL404" s="677"/>
      <c r="AM404" s="677"/>
      <c r="AN404" s="677"/>
      <c r="AO404" s="677"/>
      <c r="AP404" s="674"/>
      <c r="AS404" s="675"/>
      <c r="AU404" s="643"/>
      <c r="AV404" s="699"/>
      <c r="AW404" s="700">
        <v>3.3799999999999997E-2</v>
      </c>
      <c r="AY404" s="643"/>
      <c r="AZ404" s="671"/>
      <c r="BA404" s="643"/>
      <c r="BB404" s="643"/>
    </row>
    <row r="405" spans="1:54" s="673" customFormat="1" ht="13.5" hidden="1" customHeight="1" x14ac:dyDescent="0.2">
      <c r="A405" s="867"/>
      <c r="D405" s="677"/>
      <c r="E405" s="749" t="b">
        <f ca="1">COUNTIF(OFFSET(ASZ!$AB$42,E403,-4,12,1),$C412)=1</f>
        <v>1</v>
      </c>
      <c r="F405" s="749" t="b">
        <f ca="1">COUNTIF(OFFSET(ASZ!$AB$42,F403,-4,12,1),$C412)=1</f>
        <v>1</v>
      </c>
      <c r="G405" s="749" t="b">
        <f ca="1">COUNTIF(OFFSET(ASZ!$AB$42,G403,-4,12,1),$C412)=1</f>
        <v>1</v>
      </c>
      <c r="H405" s="749" t="b">
        <f ca="1">COUNTIF(OFFSET(ASZ!$AB$42,H403,-4,12,1),$C412)=1</f>
        <v>1</v>
      </c>
      <c r="I405" s="749" t="b">
        <f ca="1">COUNTIF(OFFSET(ASZ!$AB$42,I403,-4,12,1),$C412)=1</f>
        <v>1</v>
      </c>
      <c r="J405" s="749" t="b">
        <f ca="1">COUNTIF(OFFSET(ASZ!$AB$42,J403,-4,12,1),$C412)=1</f>
        <v>1</v>
      </c>
      <c r="K405" s="749" t="b">
        <f ca="1">COUNTIF(OFFSET(ASZ!$AB$42,K403,-4,12,1),$C412)=1</f>
        <v>1</v>
      </c>
      <c r="L405" s="749" t="b">
        <f ca="1">COUNTIF(OFFSET(ASZ!$AB$42,L403,-4,12,1),$C412)=1</f>
        <v>1</v>
      </c>
      <c r="M405" s="749" t="b">
        <f ca="1">COUNTIF(OFFSET(ASZ!$AB$42,M403,-4,12,1),$C412)=1</f>
        <v>1</v>
      </c>
      <c r="N405" s="749" t="b">
        <f ca="1">COUNTIF(OFFSET(ASZ!$AB$42,N403,-4,12,1),$C412)=1</f>
        <v>1</v>
      </c>
      <c r="O405" s="749" t="b">
        <f ca="1">COUNTIF(OFFSET(ASZ!$AB$42,O403,-4,12,1),$C412)=1</f>
        <v>1</v>
      </c>
      <c r="P405" s="749" t="b">
        <f ca="1">COUNTIF(OFFSET(ASZ!$AB$42,P403,-4,12,1),$C412)=1</f>
        <v>1</v>
      </c>
      <c r="Q405" s="749" t="b">
        <f ca="1">COUNTIF(OFFSET(ASZ!$AB$42,Q403,-4,12,1),$C412)=1</f>
        <v>0</v>
      </c>
      <c r="R405" s="749" t="b">
        <f ca="1">COUNTIF(OFFSET(ASZ!$AB$42,R403,-4,12,1),$C412)=1</f>
        <v>0</v>
      </c>
      <c r="S405" s="749" t="b">
        <f ca="1">COUNTIF(OFFSET(ASZ!$AB$42,S403,-4,12,1),$C412)=1</f>
        <v>0</v>
      </c>
      <c r="T405" s="749" t="b">
        <f ca="1">COUNTIF(OFFSET(ASZ!$AB$42,T403,-4,12,1),$C412)=1</f>
        <v>0</v>
      </c>
      <c r="U405" s="749" t="b">
        <f ca="1">COUNTIF(OFFSET(ASZ!$AB$42,U403,-4,12,1),$C412)=1</f>
        <v>0</v>
      </c>
      <c r="V405" s="749" t="b">
        <f ca="1">COUNTIF(OFFSET(ASZ!$AB$42,V403,-4,12,1),$C412)=1</f>
        <v>0</v>
      </c>
      <c r="W405" s="749" t="b">
        <f ca="1">COUNTIF(OFFSET(ASZ!$AB$42,W403,-4,12,1),$C412)=1</f>
        <v>0</v>
      </c>
      <c r="X405" s="749" t="b">
        <f ca="1">COUNTIF(OFFSET(ASZ!$AB$42,X403,-4,12,1),$C412)=1</f>
        <v>0</v>
      </c>
      <c r="Y405" s="749" t="b">
        <f ca="1">COUNTIF(OFFSET(ASZ!$AB$42,Y403,-4,12,1),$C412)=1</f>
        <v>0</v>
      </c>
      <c r="Z405" s="753" t="b">
        <f ca="1">COUNTIF(OFFSET(ASZ!$AB$42,Z403,-4,12,1),$C412)=1</f>
        <v>0</v>
      </c>
      <c r="AA405" s="749" t="b">
        <f ca="1">COUNTIF(OFFSET(RCSOP!$AF$56,AA403,-4,14,1),$C412)=1</f>
        <v>1</v>
      </c>
      <c r="AB405" s="749" t="b">
        <f ca="1">COUNTIF(OFFSET(RCSOP!$AF$56,AB403,-4,14,1),$C412)=1</f>
        <v>1</v>
      </c>
      <c r="AC405" s="749" t="b">
        <f ca="1">COUNTIF(OFFSET(RCSOP!$AF$56,AC403,-4,14,1),$C412)=1</f>
        <v>1</v>
      </c>
      <c r="AD405" s="749" t="b">
        <f ca="1">COUNTIF(OFFSET(RCSOP!$AF$56,AD403,-4,14,1),$C412)=1</f>
        <v>1</v>
      </c>
      <c r="AE405" s="749" t="b">
        <f ca="1">COUNTIF(OFFSET(RCSOP!$AF$56,AE403,-4,14,1),$C412)=1</f>
        <v>0</v>
      </c>
      <c r="AF405" s="677"/>
      <c r="AG405" s="677"/>
      <c r="AH405" s="677"/>
      <c r="AI405" s="677"/>
      <c r="AJ405" s="677"/>
      <c r="AK405" s="677"/>
      <c r="AL405" s="677"/>
      <c r="AM405" s="677"/>
      <c r="AN405" s="677"/>
      <c r="AO405" s="677"/>
      <c r="AP405" s="674"/>
      <c r="AS405" s="675"/>
      <c r="AU405" s="643"/>
      <c r="AV405" s="699"/>
      <c r="AW405" s="700">
        <v>3.39E-2</v>
      </c>
      <c r="AX405" s="643"/>
      <c r="AY405" s="643"/>
      <c r="AZ405" s="671"/>
      <c r="BA405" s="643"/>
      <c r="BB405" s="643"/>
    </row>
    <row r="406" spans="1:54" s="673" customFormat="1" ht="13.5" hidden="1" customHeight="1" x14ac:dyDescent="0.2">
      <c r="A406" s="867"/>
      <c r="D406" s="674"/>
      <c r="E406" s="674"/>
      <c r="F406" s="674"/>
      <c r="G406" s="674"/>
      <c r="H406" s="674"/>
      <c r="I406" s="674"/>
      <c r="J406" s="674"/>
      <c r="K406" s="674"/>
      <c r="L406" s="674"/>
      <c r="M406" s="674"/>
      <c r="N406" s="674"/>
      <c r="O406" s="674"/>
      <c r="P406" s="674"/>
      <c r="Q406" s="674"/>
      <c r="R406" s="674"/>
      <c r="S406" s="674"/>
      <c r="T406" s="674"/>
      <c r="U406" s="674"/>
      <c r="V406" s="674"/>
      <c r="W406" s="674"/>
      <c r="X406" s="674"/>
      <c r="Y406" s="674"/>
      <c r="Z406" s="674"/>
      <c r="AA406" s="674"/>
      <c r="AB406" s="674"/>
      <c r="AC406" s="674"/>
      <c r="AD406" s="674"/>
      <c r="AE406" s="674"/>
      <c r="AF406" s="674"/>
      <c r="AG406" s="674"/>
      <c r="AH406" s="674"/>
      <c r="AI406" s="674"/>
      <c r="AJ406" s="674"/>
      <c r="AK406" s="674"/>
      <c r="AL406" s="674"/>
      <c r="AM406" s="674"/>
      <c r="AN406" s="674"/>
      <c r="AO406" s="674"/>
      <c r="AP406" s="674"/>
      <c r="AS406" s="675"/>
      <c r="AU406" s="643"/>
      <c r="AV406" s="699"/>
      <c r="AW406" s="700">
        <v>3.4000000000000002E-2</v>
      </c>
      <c r="AX406" s="643"/>
      <c r="AY406" s="643"/>
      <c r="AZ406" s="671"/>
      <c r="BA406" s="643"/>
      <c r="BB406" s="643"/>
    </row>
    <row r="407" spans="1:54" s="673" customFormat="1" ht="13.5" hidden="1" customHeight="1" x14ac:dyDescent="0.2">
      <c r="A407" s="867"/>
      <c r="D407" s="674"/>
      <c r="E407" s="674"/>
      <c r="F407" s="674"/>
      <c r="G407" s="674"/>
      <c r="H407" s="674"/>
      <c r="I407" s="674"/>
      <c r="J407" s="674"/>
      <c r="K407" s="674"/>
      <c r="L407" s="674"/>
      <c r="M407" s="674"/>
      <c r="N407" s="674"/>
      <c r="O407" s="674"/>
      <c r="P407" s="674"/>
      <c r="Q407" s="674"/>
      <c r="R407" s="674"/>
      <c r="S407" s="674"/>
      <c r="T407" s="674"/>
      <c r="U407" s="674"/>
      <c r="V407" s="674"/>
      <c r="W407" s="674"/>
      <c r="X407" s="674"/>
      <c r="Y407" s="674"/>
      <c r="Z407" s="674"/>
      <c r="AA407" s="674"/>
      <c r="AB407" s="674"/>
      <c r="AC407" s="674"/>
      <c r="AD407" s="674"/>
      <c r="AE407" s="674"/>
      <c r="AF407" s="674"/>
      <c r="AG407" s="674"/>
      <c r="AH407" s="674"/>
      <c r="AI407" s="674"/>
      <c r="AJ407" s="674"/>
      <c r="AK407" s="674"/>
      <c r="AL407" s="674"/>
      <c r="AM407" s="674"/>
      <c r="AN407" s="674"/>
      <c r="AO407" s="674"/>
      <c r="AP407" s="674"/>
      <c r="AS407" s="675"/>
      <c r="AU407" s="643"/>
      <c r="AV407" s="699"/>
      <c r="AW407" s="700">
        <v>3.4099999999999998E-2</v>
      </c>
      <c r="AX407" s="643"/>
      <c r="AY407" s="643"/>
      <c r="AZ407" s="671"/>
      <c r="BA407" s="643"/>
      <c r="BB407" s="643"/>
    </row>
    <row r="408" spans="1:54" s="673" customFormat="1" ht="13.5" hidden="1" customHeight="1" x14ac:dyDescent="0.2">
      <c r="A408" s="867"/>
      <c r="D408" s="674"/>
      <c r="E408" s="674"/>
      <c r="F408" s="674"/>
      <c r="G408" s="674"/>
      <c r="H408" s="674"/>
      <c r="I408" s="674"/>
      <c r="J408" s="674"/>
      <c r="K408" s="674"/>
      <c r="L408" s="674"/>
      <c r="M408" s="674"/>
      <c r="N408" s="674"/>
      <c r="O408" s="674"/>
      <c r="P408" s="674"/>
      <c r="Q408" s="674"/>
      <c r="R408" s="674"/>
      <c r="S408" s="674"/>
      <c r="T408" s="674"/>
      <c r="U408" s="674"/>
      <c r="V408" s="674"/>
      <c r="W408" s="674"/>
      <c r="X408" s="674"/>
      <c r="Y408" s="674"/>
      <c r="Z408" s="674"/>
      <c r="AA408" s="674"/>
      <c r="AB408" s="674"/>
      <c r="AC408" s="674"/>
      <c r="AD408" s="674"/>
      <c r="AE408" s="674"/>
      <c r="AF408" s="674"/>
      <c r="AG408" s="674"/>
      <c r="AH408" s="674"/>
      <c r="AI408" s="674"/>
      <c r="AJ408" s="674"/>
      <c r="AK408" s="674"/>
      <c r="AL408" s="674"/>
      <c r="AM408" s="674"/>
      <c r="AN408" s="674"/>
      <c r="AO408" s="674"/>
      <c r="AP408" s="674"/>
      <c r="AS408" s="675"/>
      <c r="AU408" s="643"/>
      <c r="AV408" s="699"/>
      <c r="AW408" s="700">
        <v>3.4200000000000001E-2</v>
      </c>
      <c r="AX408" s="643"/>
      <c r="AY408" s="643"/>
      <c r="AZ408" s="671"/>
      <c r="BA408" s="643"/>
      <c r="BB408" s="643"/>
    </row>
    <row r="409" spans="1:54" s="673" customFormat="1" ht="13.5" hidden="1" customHeight="1" x14ac:dyDescent="0.2">
      <c r="A409" s="867"/>
      <c r="D409" s="674"/>
      <c r="E409" s="674"/>
      <c r="F409" s="674"/>
      <c r="G409" s="674"/>
      <c r="H409" s="674"/>
      <c r="I409" s="674"/>
      <c r="J409" s="674"/>
      <c r="K409" s="674"/>
      <c r="L409" s="674"/>
      <c r="M409" s="674"/>
      <c r="N409" s="674"/>
      <c r="O409" s="674"/>
      <c r="P409" s="674"/>
      <c r="Q409" s="674"/>
      <c r="R409" s="674"/>
      <c r="S409" s="674"/>
      <c r="T409" s="674"/>
      <c r="U409" s="674"/>
      <c r="V409" s="674"/>
      <c r="W409" s="674"/>
      <c r="X409" s="674"/>
      <c r="Y409" s="674"/>
      <c r="Z409" s="674"/>
      <c r="AA409" s="674"/>
      <c r="AB409" s="674"/>
      <c r="AC409" s="674"/>
      <c r="AD409" s="674"/>
      <c r="AE409" s="674"/>
      <c r="AF409" s="674"/>
      <c r="AG409" s="674"/>
      <c r="AH409" s="674"/>
      <c r="AI409" s="674"/>
      <c r="AJ409" s="674"/>
      <c r="AK409" s="674"/>
      <c r="AL409" s="674"/>
      <c r="AM409" s="674"/>
      <c r="AN409" s="674"/>
      <c r="AO409" s="674"/>
      <c r="AP409" s="674"/>
      <c r="AS409" s="675"/>
      <c r="AU409" s="643"/>
      <c r="AV409" s="699"/>
      <c r="AW409" s="700">
        <v>3.4299999999999997E-2</v>
      </c>
      <c r="AX409" s="643"/>
      <c r="AY409" s="643"/>
      <c r="AZ409" s="671"/>
      <c r="BA409" s="643"/>
      <c r="BB409" s="643"/>
    </row>
    <row r="410" spans="1:54" s="673" customFormat="1" ht="13.5" hidden="1" customHeight="1" x14ac:dyDescent="0.2">
      <c r="A410" s="867"/>
      <c r="D410" s="674"/>
      <c r="E410" s="674"/>
      <c r="F410" s="674"/>
      <c r="G410" s="674"/>
      <c r="H410" s="674"/>
      <c r="I410" s="674"/>
      <c r="J410" s="674"/>
      <c r="K410" s="674"/>
      <c r="L410" s="674"/>
      <c r="M410" s="674"/>
      <c r="N410" s="674"/>
      <c r="O410" s="674"/>
      <c r="P410" s="674"/>
      <c r="Q410" s="674"/>
      <c r="R410" s="674"/>
      <c r="S410" s="674"/>
      <c r="T410" s="674"/>
      <c r="U410" s="674"/>
      <c r="V410" s="674"/>
      <c r="W410" s="674"/>
      <c r="X410" s="674"/>
      <c r="Y410" s="674"/>
      <c r="Z410" s="674"/>
      <c r="AA410" s="674"/>
      <c r="AB410" s="674"/>
      <c r="AC410" s="674"/>
      <c r="AD410" s="674"/>
      <c r="AE410" s="674"/>
      <c r="AF410" s="674"/>
      <c r="AG410" s="674"/>
      <c r="AH410" s="674"/>
      <c r="AI410" s="674"/>
      <c r="AJ410" s="674"/>
      <c r="AK410" s="674"/>
      <c r="AL410" s="674"/>
      <c r="AM410" s="674"/>
      <c r="AN410" s="674"/>
      <c r="AO410" s="674"/>
      <c r="AP410" s="674"/>
      <c r="AS410" s="675"/>
      <c r="AU410" s="643"/>
      <c r="AV410" s="699"/>
      <c r="AW410" s="700">
        <v>3.44E-2</v>
      </c>
      <c r="AX410" s="643"/>
      <c r="AY410" s="643"/>
      <c r="AZ410" s="671"/>
      <c r="BA410" s="643"/>
      <c r="BB410" s="643"/>
    </row>
    <row r="411" spans="1:54" s="186" customFormat="1" ht="11.25" hidden="1" customHeight="1" x14ac:dyDescent="0.2">
      <c r="A411" s="867"/>
      <c r="D411" s="678"/>
      <c r="E411" s="678"/>
      <c r="F411" s="678"/>
      <c r="G411" s="678"/>
      <c r="H411" s="678"/>
      <c r="I411" s="678"/>
      <c r="J411" s="678"/>
      <c r="K411" s="678"/>
      <c r="L411" s="678"/>
      <c r="M411" s="678"/>
      <c r="N411" s="678"/>
      <c r="O411" s="678"/>
      <c r="P411" s="678"/>
      <c r="Q411" s="678"/>
      <c r="R411" s="678"/>
      <c r="S411" s="678"/>
      <c r="T411" s="678"/>
      <c r="U411" s="678"/>
      <c r="V411" s="678"/>
      <c r="W411" s="678"/>
      <c r="X411" s="678"/>
      <c r="Y411" s="678"/>
      <c r="Z411" s="678"/>
      <c r="AA411" s="678"/>
      <c r="AB411" s="678"/>
      <c r="AC411" s="678"/>
      <c r="AD411" s="678"/>
      <c r="AE411" s="678"/>
      <c r="AF411" s="678"/>
      <c r="AG411" s="678"/>
      <c r="AH411" s="678"/>
      <c r="AI411" s="678"/>
      <c r="AJ411" s="678"/>
      <c r="AK411" s="678"/>
      <c r="AL411" s="678"/>
      <c r="AM411" s="678"/>
      <c r="AN411" s="678"/>
      <c r="AO411" s="678"/>
      <c r="AP411" s="678"/>
      <c r="AS411" s="672"/>
      <c r="AU411" s="669"/>
      <c r="AV411" s="699"/>
      <c r="AW411" s="700">
        <v>3.4500000000000003E-2</v>
      </c>
      <c r="AX411" s="643"/>
      <c r="AY411" s="643"/>
      <c r="AZ411" s="671"/>
      <c r="BA411" s="643"/>
      <c r="BB411" s="669"/>
    </row>
    <row r="412" spans="1:54" ht="30" customHeight="1" x14ac:dyDescent="0.2">
      <c r="A412" s="867"/>
      <c r="C412" s="679" t="str">
        <f ca="1">UPPER(INDEX(teams.a,C401,1))</f>
        <v>K&amp;H</v>
      </c>
      <c r="D412" s="743"/>
      <c r="E412" s="743">
        <f ca="1">IF(E404,"",VLOOKUP($C412,OFFSET(ASZ!$AB$42,E403,IF(E405,-4,-3),12,12),IF(E405,12,11),FALSE))</f>
        <v>42088</v>
      </c>
      <c r="F412" s="743">
        <f ca="1">IF(F404,"",VLOOKUP($C412,OFFSET(ASZ!$AB$42,F403,IF(F405,-4,-3),12,12),IF(F405,12,11),FALSE))</f>
        <v>42095</v>
      </c>
      <c r="G412" s="743">
        <f ca="1">IF(G404,"",VLOOKUP($C412,OFFSET(ASZ!$AB$42,G403,IF(G405,-4,-3),12,12),IF(G405,12,11),FALSE))</f>
        <v>42088</v>
      </c>
      <c r="H412" s="743">
        <f ca="1">IF(H404,"",VLOOKUP($C412,OFFSET(ASZ!$AB$42,H403,IF(H405,-4,-3),12,12),IF(H405,12,11),FALSE))</f>
        <v>42109</v>
      </c>
      <c r="I412" s="743">
        <f ca="1">IF(I404,"",VLOOKUP($C412,OFFSET(ASZ!$AB$42,I403,IF(I405,-4,-3),12,12),IF(I405,12,11),FALSE))</f>
        <v>42116</v>
      </c>
      <c r="J412" s="743">
        <f ca="1">IF(J404,"",VLOOKUP($C412,OFFSET(ASZ!$AB$42,J403,IF(J405,-4,-3),12,12),IF(J405,12,11),FALSE))</f>
        <v>42123</v>
      </c>
      <c r="K412" s="743">
        <f ca="1">IF(K404,"",VLOOKUP($C412,OFFSET(ASZ!$AB$42,K403,IF(K405,-4,-3),12,12),IF(K405,12,11),FALSE))</f>
        <v>42130</v>
      </c>
      <c r="L412" s="743">
        <f ca="1">IF(L404,"",VLOOKUP($C412,OFFSET(ASZ!$AB$42,L403,IF(L405,-4,-3),12,12),IF(L405,12,11),FALSE))</f>
        <v>42137</v>
      </c>
      <c r="M412" s="743">
        <f ca="1">IF(M404,"",VLOOKUP($C412,OFFSET(ASZ!$AB$42,M403,IF(M405,-4,-3),12,12),IF(M405,12,11),FALSE))</f>
        <v>42144</v>
      </c>
      <c r="N412" s="743">
        <f ca="1">IF(N404,"",VLOOKUP($C412,OFFSET(ASZ!$AB$42,N403,IF(N405,-4,-3),12,12),IF(N405,12,11),FALSE))</f>
        <v>42151</v>
      </c>
      <c r="O412" s="743">
        <f ca="1">IF(O404,"",VLOOKUP($C412,OFFSET(ASZ!$AB$42,O403,IF(O405,-4,-3),12,12),IF(O405,12,11),FALSE))</f>
        <v>42158</v>
      </c>
      <c r="P412" s="743">
        <f ca="1">IF(P404,"",VLOOKUP($C412,OFFSET(ASZ!$AB$42,P403,IF(P405,-4,-3),12,12),IF(P405,12,11),FALSE))</f>
        <v>42165</v>
      </c>
      <c r="Q412" s="743">
        <f ca="1">IF(Q404,"",VLOOKUP($C412,OFFSET(ASZ!$AB$42,Q403,IF(Q405,-4,-3),12,12),IF(Q405,12,11),FALSE))</f>
        <v>42172</v>
      </c>
      <c r="R412" s="743">
        <f ca="1">IF(R404,"",VLOOKUP($C412,OFFSET(ASZ!$AB$42,R403,IF(R405,-4,-3),12,12),IF(R405,12,11),FALSE))</f>
        <v>42270</v>
      </c>
      <c r="S412" s="743">
        <f ca="1">IF(S404,"",VLOOKUP($C412,OFFSET(ASZ!$AB$42,S403,IF(S405,-4,-3),12,12),IF(S405,12,11),FALSE))</f>
        <v>42242</v>
      </c>
      <c r="T412" s="743">
        <f ca="1">IF(T404,"",VLOOKUP($C412,OFFSET(ASZ!$AB$42,T403,IF(T405,-4,-3),12,12),IF(T405,12,11),FALSE))</f>
        <v>42249</v>
      </c>
      <c r="U412" s="743">
        <f ca="1">IF(U404,"",VLOOKUP($C412,OFFSET(ASZ!$AB$42,U403,IF(U405,-4,-3),12,12),IF(U405,12,11),FALSE))</f>
        <v>42256</v>
      </c>
      <c r="V412" s="743">
        <f ca="1">IF(V404,"",VLOOKUP($C412,OFFSET(ASZ!$AB$42,V403,IF(V405,-4,-3),12,12),IF(V405,12,11),FALSE))</f>
        <v>42263</v>
      </c>
      <c r="W412" s="743">
        <f ca="1">IF(W404,"",VLOOKUP($C412,OFFSET(ASZ!$AB$42,W403,IF(W405,-4,-3),12,12),IF(W405,12,11),FALSE))</f>
        <v>42270</v>
      </c>
      <c r="X412" s="743">
        <f ca="1">IF(X404,"",VLOOKUP($C412,OFFSET(ASZ!$AB$42,X403,IF(X405,-4,-3),12,12),IF(X405,12,11),FALSE))</f>
        <v>42277</v>
      </c>
      <c r="Y412" s="743">
        <f ca="1">IF(Y404,"",VLOOKUP($C412,OFFSET(ASZ!$AB$42,Y403,IF(Y405,-4,-3),12,12),IF(Y405,12,11),FALSE))</f>
        <v>42284</v>
      </c>
      <c r="Z412" s="743">
        <f ca="1">IF(Z404,"",VLOOKUP($C412,OFFSET(ASZ!$AB$42,Z403,IF(Z405,-4,-3),12,12),IF(Z405,12,11),FALSE))</f>
        <v>42291</v>
      </c>
      <c r="AA412" s="743">
        <f ca="1">IF(AA404,"",VLOOKUP($C412,OFFSET(RCSOP!$AF$56,AA403,IF(AA405,-4,-3),14,12),IF(AA405,12,11),FALSE))</f>
        <v>42298</v>
      </c>
      <c r="AB412" s="743">
        <f ca="1">IF(AB404,"",VLOOKUP($C412,OFFSET(RCSOP!$AF$56,AB403,IF(AB405,-4,-3),14,12),IF(AB405,12,11),FALSE))</f>
        <v>42305</v>
      </c>
      <c r="AC412" s="743">
        <f ca="1">IF(AC404,"",VLOOKUP($C412,OFFSET(RCSOP!$AF$56,AC403,IF(AC405,-4,-3),14,12),IF(AC405,12,11),FALSE))</f>
        <v>42312</v>
      </c>
      <c r="AD412" s="743">
        <f ca="1">IF(AD404,"",VLOOKUP($C412,OFFSET(RCSOP!$AF$56,AD403,IF(AD405,-4,-3),14,12),IF(AD405,12,11),FALSE))</f>
        <v>42319</v>
      </c>
      <c r="AE412" s="743">
        <f ca="1">IF(AE404,"",VLOOKUP($C412,OFFSET(RCSOP!$AF$56,AE403,IF(AE405,-4,-3),14,12),IF(AE405,12,11),FALSE))</f>
        <v>42326</v>
      </c>
      <c r="AF412" s="743"/>
      <c r="AG412" s="743"/>
      <c r="AH412" s="743"/>
      <c r="AI412" s="743"/>
      <c r="AJ412" s="743"/>
      <c r="AK412" s="743"/>
      <c r="AL412" s="743"/>
      <c r="AM412" s="743"/>
      <c r="AN412" s="743"/>
      <c r="AO412" s="743"/>
      <c r="AP412" s="869" t="s">
        <v>518</v>
      </c>
      <c r="AV412" s="699"/>
      <c r="AW412" s="700">
        <v>3.4599999999999999E-2</v>
      </c>
    </row>
    <row r="413" spans="1:54" ht="12.75" customHeight="1" x14ac:dyDescent="0.2">
      <c r="A413" s="867"/>
      <c r="C413" s="224"/>
      <c r="D413" s="224" t="s">
        <v>519</v>
      </c>
      <c r="E413" s="692" t="str">
        <f ca="1">IF(E404,"",VLOOKUP($C412,OFFSET(ASZ!$AB$42,E403,IF(E405,-4,-3),12,3),3,FALSE))</f>
        <v/>
      </c>
      <c r="F413" s="692">
        <f ca="1">IF(F404,"",VLOOKUP($C412,OFFSET(ASZ!$AB$42,F403,IF(F405,-4,-3),12,3),3,FALSE))</f>
        <v>2</v>
      </c>
      <c r="G413" s="692">
        <f ca="1">IF(G404,"",VLOOKUP($C412,OFFSET(ASZ!$AB$42,G403,IF(G405,-4,-3),12,3),3,FALSE))</f>
        <v>10</v>
      </c>
      <c r="H413" s="692">
        <f ca="1">IF(H404,"",VLOOKUP($C412,OFFSET(ASZ!$AB$42,H403,IF(H405,-4,-3),12,3),3,FALSE))</f>
        <v>7</v>
      </c>
      <c r="I413" s="692">
        <f ca="1">IF(I404,"",VLOOKUP($C412,OFFSET(ASZ!$AB$42,I403,IF(I405,-4,-3),12,3),3,FALSE))</f>
        <v>2</v>
      </c>
      <c r="J413" s="692">
        <f ca="1">IF(J404,"",VLOOKUP($C412,OFFSET(ASZ!$AB$42,J403,IF(J405,-4,-3),12,3),3,FALSE))</f>
        <v>8</v>
      </c>
      <c r="K413" s="692">
        <f ca="1">IF(K404,"",VLOOKUP($C412,OFFSET(ASZ!$AB$42,K403,IF(K405,-4,-3),12,3),3,FALSE))</f>
        <v>2</v>
      </c>
      <c r="L413" s="692">
        <f ca="1">IF(L404,"",VLOOKUP($C412,OFFSET(ASZ!$AB$42,L403,IF(L405,-4,-3),12,3),3,FALSE))</f>
        <v>5</v>
      </c>
      <c r="M413" s="692">
        <f ca="1">IF(M404,"",VLOOKUP($C412,OFFSET(ASZ!$AB$42,M403,IF(M405,-4,-3),12,3),3,FALSE))</f>
        <v>3</v>
      </c>
      <c r="N413" s="692">
        <f ca="1">IF(N404,"",VLOOKUP($C412,OFFSET(ASZ!$AB$42,N403,IF(N405,-4,-3),12,3),3,FALSE))</f>
        <v>4</v>
      </c>
      <c r="O413" s="692">
        <f ca="1">IF(O404,"",VLOOKUP($C412,OFFSET(ASZ!$AB$42,O403,IF(O405,-4,-3),12,3),3,FALSE))</f>
        <v>8</v>
      </c>
      <c r="P413" s="692" t="str">
        <f ca="1">IF(P404,"",VLOOKUP($C412,OFFSET(ASZ!$AB$42,P403,IF(P405,-4,-3),12,3),3,FALSE))</f>
        <v/>
      </c>
      <c r="Q413" s="692">
        <f ca="1">IF(Q404,"",VLOOKUP($C412,OFFSET(ASZ!$AB$42,Q403,IF(Q405,-4,-3),12,3),3,FALSE))</f>
        <v>12</v>
      </c>
      <c r="R413" s="692">
        <f ca="1">IF(R404,"",VLOOKUP($C412,OFFSET(ASZ!$AB$42,R403,IF(R405,-4,-3),12,3),3,FALSE))</f>
        <v>3</v>
      </c>
      <c r="S413" s="692">
        <f ca="1">IF(S404,"",VLOOKUP($C412,OFFSET(ASZ!$AB$42,S403,IF(S405,-4,-3),12,3),3,FALSE))</f>
        <v>7</v>
      </c>
      <c r="T413" s="692">
        <f ca="1">IF(T404,"",VLOOKUP($C412,OFFSET(ASZ!$AB$42,T403,IF(T405,-4,-3),12,3),3,FALSE))</f>
        <v>7</v>
      </c>
      <c r="U413" s="692">
        <f ca="1">IF(U404,"",VLOOKUP($C412,OFFSET(ASZ!$AB$42,U403,IF(U405,-4,-3),12,3),3,FALSE))</f>
        <v>7</v>
      </c>
      <c r="V413" s="692">
        <f ca="1">IF(V404,"",VLOOKUP($C412,OFFSET(ASZ!$AB$42,V403,IF(V405,-4,-3),12,3),3,FALSE))</f>
        <v>2</v>
      </c>
      <c r="W413" s="692">
        <f ca="1">IF(W404,"",VLOOKUP($C412,OFFSET(ASZ!$AB$42,W403,IF(W405,-4,-3),12,3),3,FALSE))</f>
        <v>6</v>
      </c>
      <c r="X413" s="692">
        <f ca="1">IF(X404,"",VLOOKUP($C412,OFFSET(ASZ!$AB$42,X403,IF(X405,-4,-3),12,3),3,FALSE))</f>
        <v>3</v>
      </c>
      <c r="Y413" s="692">
        <f ca="1">IF(Y404,"",VLOOKUP($C412,OFFSET(ASZ!$AB$42,Y403,IF(Y405,-4,-3),12,3),3,FALSE))</f>
        <v>4</v>
      </c>
      <c r="Z413" s="692">
        <f ca="1">IF(Z404,"",VLOOKUP($C412,OFFSET(ASZ!$AB$42,Z403,IF(Z405,-4,-3),12,3),3,FALSE))</f>
        <v>5</v>
      </c>
      <c r="AA413" s="692">
        <f ca="1">IF(AA404,"",VLOOKUP($C412,OFFSET(RCSOP!$AF$56,AA403,IF(AA405,-4,-3),14,3),3,FALSE))</f>
        <v>5</v>
      </c>
      <c r="AB413" s="692">
        <f ca="1">IF(AB404,"",VLOOKUP($C412,OFFSET(RCSOP!$AF$56,AB403,IF(AB405,-4,-3),14,3),3,FALSE))</f>
        <v>1</v>
      </c>
      <c r="AC413" s="692">
        <f ca="1">IF(AC404,"",VLOOKUP($C412,OFFSET(RCSOP!$AF$56,AC403,IF(AC405,-4,-3),14,3),3,FALSE))</f>
        <v>0</v>
      </c>
      <c r="AD413" s="692">
        <f ca="1">IF(AD404,"",VLOOKUP($C412,OFFSET(RCSOP!$AF$56,AD403,IF(AD405,-4,-3),14,3),3,FALSE))</f>
        <v>1</v>
      </c>
      <c r="AE413" s="692">
        <f ca="1">IF(AE404,"",VLOOKUP($C412,OFFSET(RCSOP!$AF$56,AE403,IF(AE405,-4,-3),14,3),3,FALSE))</f>
        <v>1</v>
      </c>
      <c r="AF413" s="692"/>
      <c r="AG413" s="692"/>
      <c r="AH413" s="692"/>
      <c r="AI413" s="692"/>
      <c r="AJ413" s="692"/>
      <c r="AK413" s="692"/>
      <c r="AL413" s="692"/>
      <c r="AM413" s="692"/>
      <c r="AN413" s="692"/>
      <c r="AO413" s="692"/>
      <c r="AP413" s="869"/>
      <c r="AQ413" s="683">
        <f ca="1">IF(SUM(D413:AO413)=0,"",SUM(D413:AO413))</f>
        <v>115</v>
      </c>
      <c r="AV413" s="699"/>
      <c r="AW413" s="700">
        <v>3.4700000000000002E-2</v>
      </c>
    </row>
    <row r="414" spans="1:54" ht="12.75" customHeight="1" x14ac:dyDescent="0.2">
      <c r="A414" s="867"/>
      <c r="C414" s="737"/>
      <c r="D414" s="737" t="s">
        <v>520</v>
      </c>
      <c r="E414" s="739"/>
      <c r="F414" s="740"/>
      <c r="G414" s="740"/>
      <c r="H414" s="740"/>
      <c r="I414" s="740"/>
      <c r="J414" s="740"/>
      <c r="K414" s="740"/>
      <c r="L414" s="740"/>
      <c r="M414" s="740"/>
      <c r="N414" s="740"/>
      <c r="O414" s="740"/>
      <c r="P414" s="740"/>
      <c r="Q414" s="740"/>
      <c r="R414" s="740"/>
      <c r="S414" s="740"/>
      <c r="T414" s="740"/>
      <c r="U414" s="740"/>
      <c r="V414" s="740"/>
      <c r="W414" s="740"/>
      <c r="X414" s="740"/>
      <c r="Y414" s="740"/>
      <c r="Z414" s="740"/>
      <c r="AA414" s="740"/>
      <c r="AB414" s="740"/>
      <c r="AC414" s="740"/>
      <c r="AD414" s="740"/>
      <c r="AE414" s="740"/>
      <c r="AF414" s="740"/>
      <c r="AG414" s="740"/>
      <c r="AH414" s="740"/>
      <c r="AI414" s="740"/>
      <c r="AJ414" s="740"/>
      <c r="AK414" s="740"/>
      <c r="AL414" s="740"/>
      <c r="AM414" s="740"/>
      <c r="AN414" s="740"/>
      <c r="AO414" s="741"/>
      <c r="AP414" s="869"/>
      <c r="AQ414" s="762" t="str">
        <f>IF(SUM(D414:AP414)=0,"",SUM(D414:AP414))</f>
        <v/>
      </c>
      <c r="AV414" s="699"/>
      <c r="AW414" s="700">
        <v>3.4799999999999998E-2</v>
      </c>
    </row>
    <row r="415" spans="1:54" ht="12.75" customHeight="1" x14ac:dyDescent="0.2">
      <c r="A415" s="867"/>
      <c r="C415" s="738"/>
      <c r="D415" s="738" t="s">
        <v>521</v>
      </c>
      <c r="E415" s="742" t="str">
        <f t="shared" ref="E415:AE415" ca="1" si="43">IF(E413="","",IF(SUM(E417:E446)+E414=E413,"–",SUM(E417:E446)+E414-E413))</f>
        <v/>
      </c>
      <c r="F415" s="742" t="str">
        <f t="shared" ca="1" si="43"/>
        <v>–</v>
      </c>
      <c r="G415" s="742" t="str">
        <f t="shared" ca="1" si="43"/>
        <v>–</v>
      </c>
      <c r="H415" s="742" t="str">
        <f t="shared" ca="1" si="43"/>
        <v>–</v>
      </c>
      <c r="I415" s="742" t="str">
        <f t="shared" ca="1" si="43"/>
        <v>–</v>
      </c>
      <c r="J415" s="742" t="str">
        <f t="shared" ca="1" si="43"/>
        <v>–</v>
      </c>
      <c r="K415" s="742" t="str">
        <f t="shared" ca="1" si="43"/>
        <v>–</v>
      </c>
      <c r="L415" s="742" t="str">
        <f t="shared" ca="1" si="43"/>
        <v>–</v>
      </c>
      <c r="M415" s="742" t="str">
        <f t="shared" ca="1" si="43"/>
        <v>–</v>
      </c>
      <c r="N415" s="742" t="str">
        <f t="shared" ca="1" si="43"/>
        <v>–</v>
      </c>
      <c r="O415" s="742" t="str">
        <f t="shared" ca="1" si="43"/>
        <v>–</v>
      </c>
      <c r="P415" s="742" t="str">
        <f t="shared" ca="1" si="43"/>
        <v/>
      </c>
      <c r="Q415" s="742" t="str">
        <f t="shared" ca="1" si="43"/>
        <v>–</v>
      </c>
      <c r="R415" s="742" t="str">
        <f t="shared" ca="1" si="43"/>
        <v>–</v>
      </c>
      <c r="S415" s="742" t="str">
        <f t="shared" ca="1" si="43"/>
        <v>–</v>
      </c>
      <c r="T415" s="742" t="str">
        <f t="shared" ca="1" si="43"/>
        <v>–</v>
      </c>
      <c r="U415" s="742" t="str">
        <f t="shared" ca="1" si="43"/>
        <v>–</v>
      </c>
      <c r="V415" s="742" t="str">
        <f t="shared" ca="1" si="43"/>
        <v>–</v>
      </c>
      <c r="W415" s="742" t="str">
        <f t="shared" ca="1" si="43"/>
        <v>–</v>
      </c>
      <c r="X415" s="742">
        <f t="shared" ca="1" si="43"/>
        <v>-3</v>
      </c>
      <c r="Y415" s="742" t="str">
        <f t="shared" ca="1" si="43"/>
        <v>–</v>
      </c>
      <c r="Z415" s="742" t="str">
        <f t="shared" ca="1" si="43"/>
        <v>–</v>
      </c>
      <c r="AA415" s="742" t="str">
        <f t="shared" ca="1" si="43"/>
        <v>–</v>
      </c>
      <c r="AB415" s="742" t="str">
        <f t="shared" ca="1" si="43"/>
        <v>–</v>
      </c>
      <c r="AC415" s="742" t="str">
        <f t="shared" ca="1" si="43"/>
        <v>–</v>
      </c>
      <c r="AD415" s="742" t="str">
        <f t="shared" ca="1" si="43"/>
        <v>–</v>
      </c>
      <c r="AE415" s="742" t="str">
        <f t="shared" ca="1" si="43"/>
        <v>–</v>
      </c>
      <c r="AF415" s="742"/>
      <c r="AG415" s="742"/>
      <c r="AH415" s="742"/>
      <c r="AI415" s="742"/>
      <c r="AJ415" s="742"/>
      <c r="AK415" s="742"/>
      <c r="AL415" s="742"/>
      <c r="AM415" s="742"/>
      <c r="AN415" s="742"/>
      <c r="AO415" s="742"/>
      <c r="AP415" s="691" t="s">
        <v>522</v>
      </c>
      <c r="AS415" s="761" t="s">
        <v>285</v>
      </c>
      <c r="AV415" s="699"/>
      <c r="AW415" s="700">
        <v>3.49E-2</v>
      </c>
    </row>
    <row r="416" spans="1:54" ht="4.5" customHeight="1" x14ac:dyDescent="0.2">
      <c r="A416" s="867"/>
      <c r="AV416" s="699"/>
      <c r="AW416" s="700">
        <v>3.5000000000000003E-2</v>
      </c>
    </row>
    <row r="417" spans="1:53" ht="12.75" customHeight="1" x14ac:dyDescent="0.2">
      <c r="A417" s="867"/>
      <c r="C417" s="755" t="s">
        <v>667</v>
      </c>
      <c r="D417" s="756">
        <v>1</v>
      </c>
      <c r="E417" s="746"/>
      <c r="F417" s="695"/>
      <c r="G417" s="695"/>
      <c r="H417" s="695"/>
      <c r="I417" s="695"/>
      <c r="J417" s="695"/>
      <c r="K417" s="695"/>
      <c r="L417" s="695"/>
      <c r="M417" s="695"/>
      <c r="N417" s="695"/>
      <c r="O417" s="695"/>
      <c r="P417" s="695"/>
      <c r="Q417" s="695"/>
      <c r="R417" s="695"/>
      <c r="S417" s="695"/>
      <c r="T417" s="695"/>
      <c r="U417" s="695"/>
      <c r="V417" s="695"/>
      <c r="W417" s="695"/>
      <c r="X417" s="695"/>
      <c r="Y417" s="695"/>
      <c r="Z417" s="695">
        <v>1</v>
      </c>
      <c r="AA417" s="695"/>
      <c r="AB417" s="695"/>
      <c r="AC417" s="695"/>
      <c r="AD417" s="695"/>
      <c r="AE417" s="695"/>
      <c r="AF417" s="695"/>
      <c r="AG417" s="695"/>
      <c r="AH417" s="695"/>
      <c r="AI417" s="695"/>
      <c r="AJ417" s="695"/>
      <c r="AK417" s="695"/>
      <c r="AL417" s="695"/>
      <c r="AM417" s="695"/>
      <c r="AN417" s="695"/>
      <c r="AO417" s="696"/>
      <c r="AP417" s="697"/>
      <c r="AQ417" s="763">
        <f>IF(SUM(E417:AP417)=0,"",SUM(E417:AP417))</f>
        <v>1</v>
      </c>
      <c r="AS417" s="267"/>
      <c r="AV417" s="699"/>
      <c r="AW417" s="700">
        <v>3.5099999999999999E-2</v>
      </c>
      <c r="AX417" s="382">
        <f t="shared" ref="AX417:AX446" si="44">IF(OR(C417="",AQ417=""),0,AQ417+AW417)</f>
        <v>1.0350999999999999</v>
      </c>
      <c r="AY417" s="379" t="str">
        <f ca="1">C412</f>
        <v>K&amp;H</v>
      </c>
      <c r="AZ417" s="384" t="str">
        <f t="shared" ref="AZ417:AZ446" si="45">C417</f>
        <v>Szabó Dénes</v>
      </c>
      <c r="BA417" s="642"/>
    </row>
    <row r="418" spans="1:53" ht="12.75" customHeight="1" x14ac:dyDescent="0.2">
      <c r="A418" s="867"/>
      <c r="C418" s="758" t="s">
        <v>666</v>
      </c>
      <c r="D418" s="757">
        <v>2</v>
      </c>
      <c r="E418" s="747"/>
      <c r="F418" s="703"/>
      <c r="G418" s="703"/>
      <c r="H418" s="703"/>
      <c r="I418" s="703"/>
      <c r="J418" s="703"/>
      <c r="K418" s="703"/>
      <c r="L418" s="703"/>
      <c r="M418" s="703">
        <v>1</v>
      </c>
      <c r="N418" s="703">
        <v>1</v>
      </c>
      <c r="O418" s="703"/>
      <c r="P418" s="703"/>
      <c r="Q418" s="703">
        <v>1</v>
      </c>
      <c r="R418" s="703"/>
      <c r="S418" s="703"/>
      <c r="T418" s="703">
        <v>1</v>
      </c>
      <c r="U418" s="703"/>
      <c r="V418" s="703"/>
      <c r="W418" s="703">
        <v>1</v>
      </c>
      <c r="X418" s="703"/>
      <c r="Y418" s="703">
        <v>1</v>
      </c>
      <c r="Z418" s="703"/>
      <c r="AA418" s="703">
        <v>2</v>
      </c>
      <c r="AB418" s="703"/>
      <c r="AC418" s="703"/>
      <c r="AD418" s="703"/>
      <c r="AE418" s="703"/>
      <c r="AF418" s="703"/>
      <c r="AG418" s="703"/>
      <c r="AH418" s="703"/>
      <c r="AI418" s="703"/>
      <c r="AJ418" s="703"/>
      <c r="AK418" s="703"/>
      <c r="AL418" s="703"/>
      <c r="AM418" s="703"/>
      <c r="AN418" s="703"/>
      <c r="AO418" s="704"/>
      <c r="AP418" s="705"/>
      <c r="AQ418" s="763">
        <f t="shared" ref="AQ418:AQ446" si="46">IF(SUM(E418:AP418)=0,"",SUM(E418:AP418))</f>
        <v>8</v>
      </c>
      <c r="AS418" s="268"/>
      <c r="AV418" s="699"/>
      <c r="AW418" s="700">
        <v>3.5200000000000002E-2</v>
      </c>
      <c r="AX418" s="382">
        <f t="shared" si="44"/>
        <v>8.0351999999999997</v>
      </c>
      <c r="AY418" s="379" t="str">
        <f t="shared" ref="AY418:AY446" ca="1" si="47">AY417</f>
        <v>K&amp;H</v>
      </c>
      <c r="AZ418" s="384" t="str">
        <f t="shared" si="45"/>
        <v>Demeter Róbert</v>
      </c>
      <c r="BA418" s="642"/>
    </row>
    <row r="419" spans="1:53" ht="12.75" customHeight="1" x14ac:dyDescent="0.2">
      <c r="A419" s="867"/>
      <c r="C419" s="758" t="s">
        <v>547</v>
      </c>
      <c r="D419" s="757">
        <v>3</v>
      </c>
      <c r="E419" s="747"/>
      <c r="F419" s="703"/>
      <c r="G419" s="703">
        <v>1</v>
      </c>
      <c r="H419" s="703">
        <v>1</v>
      </c>
      <c r="I419" s="703"/>
      <c r="J419" s="703">
        <v>1</v>
      </c>
      <c r="K419" s="703"/>
      <c r="L419" s="703"/>
      <c r="M419" s="703"/>
      <c r="N419" s="703"/>
      <c r="O419" s="703"/>
      <c r="P419" s="703"/>
      <c r="Q419" s="703">
        <v>2</v>
      </c>
      <c r="R419" s="703"/>
      <c r="S419" s="703">
        <v>2</v>
      </c>
      <c r="T419" s="703">
        <v>1</v>
      </c>
      <c r="U419" s="703">
        <v>3</v>
      </c>
      <c r="V419" s="703"/>
      <c r="W419" s="703">
        <v>1</v>
      </c>
      <c r="X419" s="703"/>
      <c r="Y419" s="703"/>
      <c r="Z419" s="703"/>
      <c r="AA419" s="703"/>
      <c r="AB419" s="703"/>
      <c r="AC419" s="703"/>
      <c r="AD419" s="703">
        <v>1</v>
      </c>
      <c r="AE419" s="703"/>
      <c r="AF419" s="703"/>
      <c r="AG419" s="703"/>
      <c r="AH419" s="703"/>
      <c r="AI419" s="703"/>
      <c r="AJ419" s="703"/>
      <c r="AK419" s="703"/>
      <c r="AL419" s="703"/>
      <c r="AM419" s="703"/>
      <c r="AN419" s="703"/>
      <c r="AO419" s="704"/>
      <c r="AP419" s="705"/>
      <c r="AQ419" s="763">
        <f t="shared" si="46"/>
        <v>13</v>
      </c>
      <c r="AS419" s="268"/>
      <c r="AV419" s="699"/>
      <c r="AW419" s="700">
        <v>3.5299999999999998E-2</v>
      </c>
      <c r="AX419" s="382">
        <f t="shared" si="44"/>
        <v>13.035299999999999</v>
      </c>
      <c r="AY419" s="379" t="str">
        <f t="shared" ca="1" si="47"/>
        <v>K&amp;H</v>
      </c>
      <c r="AZ419" s="384" t="str">
        <f t="shared" si="45"/>
        <v>Kiss Tamás</v>
      </c>
      <c r="BA419" s="642"/>
    </row>
    <row r="420" spans="1:53" ht="12.75" customHeight="1" x14ac:dyDescent="0.2">
      <c r="A420" s="867"/>
      <c r="C420" s="758" t="s">
        <v>548</v>
      </c>
      <c r="D420" s="757">
        <v>4</v>
      </c>
      <c r="E420" s="747"/>
      <c r="F420" s="703"/>
      <c r="G420" s="703"/>
      <c r="H420" s="703">
        <v>1</v>
      </c>
      <c r="I420" s="703"/>
      <c r="J420" s="703"/>
      <c r="K420" s="703"/>
      <c r="L420" s="703"/>
      <c r="M420" s="703"/>
      <c r="N420" s="703"/>
      <c r="O420" s="703">
        <v>1</v>
      </c>
      <c r="P420" s="703"/>
      <c r="Q420" s="703"/>
      <c r="R420" s="703"/>
      <c r="S420" s="703">
        <v>1</v>
      </c>
      <c r="T420" s="703"/>
      <c r="U420" s="703"/>
      <c r="V420" s="703">
        <v>2</v>
      </c>
      <c r="W420" s="703">
        <v>1</v>
      </c>
      <c r="X420" s="703"/>
      <c r="Y420" s="703"/>
      <c r="Z420" s="703"/>
      <c r="AA420" s="703">
        <v>1</v>
      </c>
      <c r="AB420" s="703"/>
      <c r="AC420" s="703"/>
      <c r="AD420" s="703"/>
      <c r="AE420" s="703"/>
      <c r="AF420" s="703"/>
      <c r="AG420" s="703"/>
      <c r="AH420" s="703"/>
      <c r="AI420" s="703"/>
      <c r="AJ420" s="703"/>
      <c r="AK420" s="703"/>
      <c r="AL420" s="703"/>
      <c r="AM420" s="703"/>
      <c r="AN420" s="703"/>
      <c r="AO420" s="704"/>
      <c r="AP420" s="705"/>
      <c r="AQ420" s="763">
        <f t="shared" si="46"/>
        <v>7</v>
      </c>
      <c r="AS420" s="268"/>
      <c r="AV420" s="699"/>
      <c r="AW420" s="700">
        <v>3.5400000000000001E-2</v>
      </c>
      <c r="AX420" s="382">
        <f t="shared" si="44"/>
        <v>7.0354000000000001</v>
      </c>
      <c r="AY420" s="379" t="str">
        <f t="shared" ca="1" si="47"/>
        <v>K&amp;H</v>
      </c>
      <c r="AZ420" s="384" t="str">
        <f t="shared" si="45"/>
        <v>Máté Ferenc</v>
      </c>
      <c r="BA420" s="642"/>
    </row>
    <row r="421" spans="1:53" ht="12.75" customHeight="1" x14ac:dyDescent="0.2">
      <c r="A421" s="867"/>
      <c r="C421" s="758" t="s">
        <v>549</v>
      </c>
      <c r="D421" s="757">
        <v>6</v>
      </c>
      <c r="E421" s="747"/>
      <c r="F421" s="703"/>
      <c r="G421" s="703">
        <v>1</v>
      </c>
      <c r="H421" s="703"/>
      <c r="I421" s="703"/>
      <c r="J421" s="703"/>
      <c r="K421" s="703"/>
      <c r="L421" s="703"/>
      <c r="M421" s="703"/>
      <c r="N421" s="703">
        <v>2</v>
      </c>
      <c r="O421" s="703"/>
      <c r="P421" s="703"/>
      <c r="Q421" s="703">
        <v>1</v>
      </c>
      <c r="R421" s="703"/>
      <c r="S421" s="703"/>
      <c r="T421" s="703"/>
      <c r="U421" s="703"/>
      <c r="V421" s="703"/>
      <c r="W421" s="703"/>
      <c r="X421" s="703"/>
      <c r="Y421" s="703"/>
      <c r="Z421" s="703">
        <v>1</v>
      </c>
      <c r="AA421" s="703"/>
      <c r="AB421" s="703">
        <v>1</v>
      </c>
      <c r="AC421" s="703"/>
      <c r="AD421" s="703"/>
      <c r="AE421" s="703"/>
      <c r="AF421" s="703"/>
      <c r="AG421" s="703"/>
      <c r="AH421" s="703"/>
      <c r="AI421" s="703"/>
      <c r="AJ421" s="703"/>
      <c r="AK421" s="703"/>
      <c r="AL421" s="703"/>
      <c r="AM421" s="703"/>
      <c r="AN421" s="703"/>
      <c r="AO421" s="704"/>
      <c r="AP421" s="705"/>
      <c r="AQ421" s="763">
        <f t="shared" si="46"/>
        <v>6</v>
      </c>
      <c r="AS421" s="268"/>
      <c r="AV421" s="699"/>
      <c r="AW421" s="700">
        <v>3.5499999999999997E-2</v>
      </c>
      <c r="AX421" s="382">
        <f t="shared" si="44"/>
        <v>6.0354999999999999</v>
      </c>
      <c r="AY421" s="379" t="str">
        <f t="shared" ca="1" si="47"/>
        <v>K&amp;H</v>
      </c>
      <c r="AZ421" s="384" t="str">
        <f t="shared" si="45"/>
        <v>Cellár Imre</v>
      </c>
      <c r="BA421" s="642"/>
    </row>
    <row r="422" spans="1:53" ht="12.75" customHeight="1" x14ac:dyDescent="0.2">
      <c r="A422" s="867"/>
      <c r="C422" s="758" t="s">
        <v>550</v>
      </c>
      <c r="D422" s="757">
        <v>8</v>
      </c>
      <c r="E422" s="747"/>
      <c r="F422" s="703">
        <v>1</v>
      </c>
      <c r="G422" s="703">
        <v>1</v>
      </c>
      <c r="H422" s="703">
        <v>1</v>
      </c>
      <c r="I422" s="703"/>
      <c r="J422" s="703">
        <v>1</v>
      </c>
      <c r="K422" s="703"/>
      <c r="L422" s="703"/>
      <c r="M422" s="703"/>
      <c r="N422" s="703"/>
      <c r="O422" s="703">
        <v>1</v>
      </c>
      <c r="P422" s="703"/>
      <c r="Q422" s="703"/>
      <c r="R422" s="703"/>
      <c r="S422" s="703"/>
      <c r="T422" s="703"/>
      <c r="U422" s="703">
        <v>3</v>
      </c>
      <c r="V422" s="703"/>
      <c r="W422" s="703"/>
      <c r="X422" s="703"/>
      <c r="Y422" s="703"/>
      <c r="Z422" s="703"/>
      <c r="AA422" s="703"/>
      <c r="AB422" s="703"/>
      <c r="AC422" s="703"/>
      <c r="AD422" s="703"/>
      <c r="AE422" s="703"/>
      <c r="AF422" s="703"/>
      <c r="AG422" s="703"/>
      <c r="AH422" s="703"/>
      <c r="AI422" s="703"/>
      <c r="AJ422" s="703"/>
      <c r="AK422" s="703"/>
      <c r="AL422" s="703"/>
      <c r="AM422" s="703"/>
      <c r="AN422" s="703"/>
      <c r="AO422" s="704"/>
      <c r="AP422" s="705"/>
      <c r="AQ422" s="763">
        <f t="shared" si="46"/>
        <v>8</v>
      </c>
      <c r="AS422" s="268"/>
      <c r="AV422" s="699"/>
      <c r="AW422" s="700">
        <v>3.56E-2</v>
      </c>
      <c r="AX422" s="382">
        <f t="shared" si="44"/>
        <v>8.0356000000000005</v>
      </c>
      <c r="AY422" s="379" t="str">
        <f t="shared" ca="1" si="47"/>
        <v>K&amp;H</v>
      </c>
      <c r="AZ422" s="384" t="str">
        <f t="shared" si="45"/>
        <v>Revák Sándor</v>
      </c>
      <c r="BA422" s="642"/>
    </row>
    <row r="423" spans="1:53" ht="12.75" customHeight="1" x14ac:dyDescent="0.2">
      <c r="A423" s="867"/>
      <c r="C423" s="758" t="s">
        <v>551</v>
      </c>
      <c r="D423" s="757">
        <v>9</v>
      </c>
      <c r="E423" s="747"/>
      <c r="F423" s="703"/>
      <c r="G423" s="703">
        <v>2</v>
      </c>
      <c r="H423" s="703"/>
      <c r="I423" s="703"/>
      <c r="J423" s="703">
        <v>2</v>
      </c>
      <c r="K423" s="703"/>
      <c r="L423" s="703">
        <v>1</v>
      </c>
      <c r="M423" s="703"/>
      <c r="N423" s="703">
        <v>1</v>
      </c>
      <c r="O423" s="703"/>
      <c r="P423" s="703"/>
      <c r="Q423" s="703">
        <v>3</v>
      </c>
      <c r="R423" s="703"/>
      <c r="S423" s="703">
        <v>2</v>
      </c>
      <c r="T423" s="703"/>
      <c r="U423" s="703"/>
      <c r="V423" s="703"/>
      <c r="W423" s="703"/>
      <c r="X423" s="703"/>
      <c r="Y423" s="703"/>
      <c r="Z423" s="703"/>
      <c r="AA423" s="703"/>
      <c r="AB423" s="703"/>
      <c r="AC423" s="703"/>
      <c r="AD423" s="703"/>
      <c r="AE423" s="703"/>
      <c r="AF423" s="703"/>
      <c r="AG423" s="703"/>
      <c r="AH423" s="703"/>
      <c r="AI423" s="703"/>
      <c r="AJ423" s="703"/>
      <c r="AK423" s="703"/>
      <c r="AL423" s="703"/>
      <c r="AM423" s="703"/>
      <c r="AN423" s="703"/>
      <c r="AO423" s="704"/>
      <c r="AP423" s="705"/>
      <c r="AQ423" s="763">
        <f t="shared" si="46"/>
        <v>11</v>
      </c>
      <c r="AS423" s="268"/>
      <c r="AV423" s="699"/>
      <c r="AW423" s="700">
        <v>3.5700000000000003E-2</v>
      </c>
      <c r="AX423" s="382">
        <f t="shared" si="44"/>
        <v>11.0357</v>
      </c>
      <c r="AY423" s="379" t="str">
        <f t="shared" ca="1" si="47"/>
        <v>K&amp;H</v>
      </c>
      <c r="AZ423" s="384" t="str">
        <f t="shared" si="45"/>
        <v>Kapala Krisztián</v>
      </c>
      <c r="BA423" s="642"/>
    </row>
    <row r="424" spans="1:53" ht="12.75" customHeight="1" x14ac:dyDescent="0.2">
      <c r="A424" s="867"/>
      <c r="C424" s="758" t="s">
        <v>668</v>
      </c>
      <c r="D424" s="757">
        <v>11</v>
      </c>
      <c r="E424" s="747"/>
      <c r="F424" s="703"/>
      <c r="G424" s="703"/>
      <c r="H424" s="703"/>
      <c r="I424" s="703"/>
      <c r="J424" s="703"/>
      <c r="K424" s="703"/>
      <c r="L424" s="703"/>
      <c r="M424" s="703"/>
      <c r="N424" s="703"/>
      <c r="O424" s="703"/>
      <c r="P424" s="703"/>
      <c r="Q424" s="703"/>
      <c r="R424" s="703"/>
      <c r="S424" s="703"/>
      <c r="T424" s="703"/>
      <c r="U424" s="703"/>
      <c r="V424" s="703"/>
      <c r="W424" s="703"/>
      <c r="X424" s="703"/>
      <c r="Y424" s="703">
        <v>3</v>
      </c>
      <c r="Z424" s="703"/>
      <c r="AA424" s="703"/>
      <c r="AB424" s="703"/>
      <c r="AC424" s="703"/>
      <c r="AD424" s="703"/>
      <c r="AE424" s="703">
        <v>1</v>
      </c>
      <c r="AF424" s="703"/>
      <c r="AG424" s="703"/>
      <c r="AH424" s="703"/>
      <c r="AI424" s="703"/>
      <c r="AJ424" s="703"/>
      <c r="AK424" s="703"/>
      <c r="AL424" s="703"/>
      <c r="AM424" s="703"/>
      <c r="AN424" s="703"/>
      <c r="AO424" s="704"/>
      <c r="AP424" s="705"/>
      <c r="AQ424" s="763">
        <f t="shared" si="46"/>
        <v>4</v>
      </c>
      <c r="AS424" s="268"/>
      <c r="AV424" s="699"/>
      <c r="AW424" s="700">
        <v>3.5799999999999998E-2</v>
      </c>
      <c r="AX424" s="382">
        <f t="shared" si="44"/>
        <v>4.0358000000000001</v>
      </c>
      <c r="AY424" s="379" t="str">
        <f t="shared" ca="1" si="47"/>
        <v>K&amp;H</v>
      </c>
      <c r="AZ424" s="384" t="str">
        <f t="shared" si="45"/>
        <v>Illés Bálint</v>
      </c>
      <c r="BA424" s="642"/>
    </row>
    <row r="425" spans="1:53" ht="12.75" customHeight="1" x14ac:dyDescent="0.2">
      <c r="A425" s="867"/>
      <c r="C425" s="758" t="s">
        <v>552</v>
      </c>
      <c r="D425" s="757">
        <v>12</v>
      </c>
      <c r="E425" s="747"/>
      <c r="F425" s="703">
        <v>1</v>
      </c>
      <c r="G425" s="703">
        <v>3</v>
      </c>
      <c r="H425" s="703">
        <v>3</v>
      </c>
      <c r="I425" s="703"/>
      <c r="J425" s="703"/>
      <c r="K425" s="703">
        <v>1</v>
      </c>
      <c r="L425" s="703"/>
      <c r="M425" s="703"/>
      <c r="N425" s="703"/>
      <c r="O425" s="703"/>
      <c r="P425" s="703"/>
      <c r="Q425" s="703">
        <v>1</v>
      </c>
      <c r="R425" s="703">
        <v>3</v>
      </c>
      <c r="S425" s="703">
        <v>2</v>
      </c>
      <c r="T425" s="703">
        <v>2</v>
      </c>
      <c r="U425" s="703">
        <v>1</v>
      </c>
      <c r="V425" s="703"/>
      <c r="W425" s="703">
        <v>3</v>
      </c>
      <c r="X425" s="703"/>
      <c r="Y425" s="703"/>
      <c r="Z425" s="703"/>
      <c r="AA425" s="703"/>
      <c r="AB425" s="703"/>
      <c r="AC425" s="703"/>
      <c r="AD425" s="703"/>
      <c r="AE425" s="703"/>
      <c r="AF425" s="703"/>
      <c r="AG425" s="703"/>
      <c r="AH425" s="703"/>
      <c r="AI425" s="703"/>
      <c r="AJ425" s="703"/>
      <c r="AK425" s="703"/>
      <c r="AL425" s="703"/>
      <c r="AM425" s="703"/>
      <c r="AN425" s="703"/>
      <c r="AO425" s="704"/>
      <c r="AP425" s="705"/>
      <c r="AQ425" s="763">
        <f t="shared" si="46"/>
        <v>20</v>
      </c>
      <c r="AS425" s="268"/>
      <c r="AV425" s="699"/>
      <c r="AW425" s="700">
        <v>3.5900000000000001E-2</v>
      </c>
      <c r="AX425" s="382">
        <f t="shared" si="44"/>
        <v>20.035900000000002</v>
      </c>
      <c r="AY425" s="379" t="str">
        <f t="shared" ca="1" si="47"/>
        <v>K&amp;H</v>
      </c>
      <c r="AZ425" s="384" t="str">
        <f t="shared" si="45"/>
        <v>Pap Zoltán</v>
      </c>
      <c r="BA425" s="642"/>
    </row>
    <row r="426" spans="1:53" ht="12.75" customHeight="1" x14ac:dyDescent="0.2">
      <c r="A426" s="867"/>
      <c r="C426" s="758" t="s">
        <v>553</v>
      </c>
      <c r="D426" s="757">
        <v>14</v>
      </c>
      <c r="E426" s="747"/>
      <c r="F426" s="703"/>
      <c r="G426" s="703"/>
      <c r="H426" s="703"/>
      <c r="I426" s="703">
        <v>2</v>
      </c>
      <c r="J426" s="703">
        <v>2</v>
      </c>
      <c r="K426" s="703">
        <v>1</v>
      </c>
      <c r="L426" s="703"/>
      <c r="M426" s="703"/>
      <c r="N426" s="703"/>
      <c r="O426" s="703">
        <v>5</v>
      </c>
      <c r="P426" s="703"/>
      <c r="Q426" s="703">
        <v>4</v>
      </c>
      <c r="R426" s="703"/>
      <c r="S426" s="703"/>
      <c r="T426" s="703">
        <v>3</v>
      </c>
      <c r="U426" s="703"/>
      <c r="V426" s="703"/>
      <c r="W426" s="703"/>
      <c r="X426" s="703"/>
      <c r="Y426" s="703"/>
      <c r="Z426" s="703"/>
      <c r="AA426" s="703"/>
      <c r="AB426" s="703"/>
      <c r="AC426" s="703"/>
      <c r="AD426" s="703"/>
      <c r="AE426" s="703"/>
      <c r="AF426" s="703"/>
      <c r="AG426" s="703"/>
      <c r="AH426" s="703"/>
      <c r="AI426" s="703"/>
      <c r="AJ426" s="703"/>
      <c r="AK426" s="703"/>
      <c r="AL426" s="703"/>
      <c r="AM426" s="703"/>
      <c r="AN426" s="703"/>
      <c r="AO426" s="704"/>
      <c r="AP426" s="705"/>
      <c r="AQ426" s="763">
        <f t="shared" si="46"/>
        <v>17</v>
      </c>
      <c r="AS426" s="268"/>
      <c r="AV426" s="699"/>
      <c r="AW426" s="700">
        <v>3.5999999999999997E-2</v>
      </c>
      <c r="AX426" s="382">
        <f t="shared" si="44"/>
        <v>17.036000000000001</v>
      </c>
      <c r="AY426" s="379" t="str">
        <f t="shared" ca="1" si="47"/>
        <v>K&amp;H</v>
      </c>
      <c r="AZ426" s="384" t="str">
        <f t="shared" si="45"/>
        <v>Koczák Attila</v>
      </c>
      <c r="BA426" s="642"/>
    </row>
    <row r="427" spans="1:53" ht="12.75" customHeight="1" x14ac:dyDescent="0.2">
      <c r="A427" s="867"/>
      <c r="C427" s="758" t="s">
        <v>533</v>
      </c>
      <c r="D427" s="757">
        <v>15</v>
      </c>
      <c r="E427" s="747"/>
      <c r="F427" s="703"/>
      <c r="G427" s="703">
        <v>2</v>
      </c>
      <c r="H427" s="703">
        <v>1</v>
      </c>
      <c r="I427" s="703"/>
      <c r="J427" s="703">
        <v>2</v>
      </c>
      <c r="K427" s="703"/>
      <c r="L427" s="703">
        <v>2</v>
      </c>
      <c r="M427" s="703"/>
      <c r="N427" s="703"/>
      <c r="O427" s="703">
        <v>1</v>
      </c>
      <c r="P427" s="703"/>
      <c r="Q427" s="703"/>
      <c r="R427" s="703"/>
      <c r="S427" s="703"/>
      <c r="T427" s="703"/>
      <c r="U427" s="703"/>
      <c r="V427" s="703"/>
      <c r="W427" s="703"/>
      <c r="X427" s="703"/>
      <c r="Y427" s="703"/>
      <c r="Z427" s="703"/>
      <c r="AA427" s="703"/>
      <c r="AB427" s="703"/>
      <c r="AC427" s="703"/>
      <c r="AD427" s="703"/>
      <c r="AE427" s="703"/>
      <c r="AF427" s="703"/>
      <c r="AG427" s="703"/>
      <c r="AH427" s="703"/>
      <c r="AI427" s="703"/>
      <c r="AJ427" s="703"/>
      <c r="AK427" s="703"/>
      <c r="AL427" s="703"/>
      <c r="AM427" s="703"/>
      <c r="AN427" s="703"/>
      <c r="AO427" s="704"/>
      <c r="AP427" s="705">
        <v>-8</v>
      </c>
      <c r="AQ427" s="763" t="str">
        <f t="shared" si="46"/>
        <v/>
      </c>
      <c r="AS427" s="268" t="s">
        <v>725</v>
      </c>
      <c r="AV427" s="699"/>
      <c r="AW427" s="700">
        <v>3.61E-2</v>
      </c>
      <c r="AX427" s="382">
        <f t="shared" si="44"/>
        <v>0</v>
      </c>
      <c r="AY427" s="379" t="str">
        <f t="shared" ca="1" si="47"/>
        <v>K&amp;H</v>
      </c>
      <c r="AZ427" s="384" t="str">
        <f t="shared" si="45"/>
        <v>Nagy József</v>
      </c>
      <c r="BA427" s="642"/>
    </row>
    <row r="428" spans="1:53" ht="12.75" customHeight="1" x14ac:dyDescent="0.2">
      <c r="A428" s="867"/>
      <c r="C428" s="758" t="s">
        <v>554</v>
      </c>
      <c r="D428" s="757">
        <v>88</v>
      </c>
      <c r="E428" s="747"/>
      <c r="F428" s="703"/>
      <c r="G428" s="703"/>
      <c r="H428" s="703"/>
      <c r="I428" s="703"/>
      <c r="J428" s="703"/>
      <c r="K428" s="703"/>
      <c r="L428" s="703">
        <v>2</v>
      </c>
      <c r="M428" s="703">
        <v>2</v>
      </c>
      <c r="N428" s="703"/>
      <c r="O428" s="703"/>
      <c r="P428" s="703"/>
      <c r="Q428" s="703"/>
      <c r="R428" s="703"/>
      <c r="S428" s="703"/>
      <c r="T428" s="703"/>
      <c r="U428" s="703"/>
      <c r="V428" s="703"/>
      <c r="W428" s="703"/>
      <c r="X428" s="703"/>
      <c r="Y428" s="703"/>
      <c r="Z428" s="703"/>
      <c r="AA428" s="703"/>
      <c r="AB428" s="703"/>
      <c r="AC428" s="703"/>
      <c r="AD428" s="703"/>
      <c r="AE428" s="703"/>
      <c r="AF428" s="703"/>
      <c r="AG428" s="703"/>
      <c r="AH428" s="703"/>
      <c r="AI428" s="703"/>
      <c r="AJ428" s="703"/>
      <c r="AK428" s="703"/>
      <c r="AL428" s="703"/>
      <c r="AM428" s="703"/>
      <c r="AN428" s="703"/>
      <c r="AO428" s="704"/>
      <c r="AP428" s="705">
        <v>-4</v>
      </c>
      <c r="AQ428" s="763" t="str">
        <f t="shared" si="46"/>
        <v/>
      </c>
      <c r="AS428" s="268" t="s">
        <v>725</v>
      </c>
      <c r="AV428" s="699"/>
      <c r="AW428" s="700">
        <v>3.6200000000000003E-2</v>
      </c>
      <c r="AX428" s="382">
        <f t="shared" si="44"/>
        <v>0</v>
      </c>
      <c r="AY428" s="379" t="str">
        <f t="shared" ca="1" si="47"/>
        <v>K&amp;H</v>
      </c>
      <c r="AZ428" s="384" t="str">
        <f t="shared" si="45"/>
        <v>Kiss Ernő</v>
      </c>
      <c r="BA428" s="642"/>
    </row>
    <row r="429" spans="1:53" ht="12.75" customHeight="1" x14ac:dyDescent="0.2">
      <c r="A429" s="867"/>
      <c r="C429" s="758" t="s">
        <v>722</v>
      </c>
      <c r="D429" s="757">
        <v>7</v>
      </c>
      <c r="E429" s="747"/>
      <c r="F429" s="703"/>
      <c r="G429" s="703"/>
      <c r="H429" s="703"/>
      <c r="I429" s="703"/>
      <c r="J429" s="703"/>
      <c r="K429" s="703"/>
      <c r="L429" s="703"/>
      <c r="M429" s="703"/>
      <c r="N429" s="703"/>
      <c r="O429" s="703"/>
      <c r="P429" s="703"/>
      <c r="Q429" s="703"/>
      <c r="R429" s="703"/>
      <c r="S429" s="703"/>
      <c r="T429" s="703"/>
      <c r="U429" s="703"/>
      <c r="V429" s="703"/>
      <c r="W429" s="703"/>
      <c r="X429" s="703"/>
      <c r="Y429" s="703"/>
      <c r="Z429" s="703">
        <v>1</v>
      </c>
      <c r="AA429" s="703">
        <v>1</v>
      </c>
      <c r="AB429" s="703"/>
      <c r="AC429" s="703"/>
      <c r="AD429" s="703"/>
      <c r="AE429" s="703"/>
      <c r="AF429" s="703"/>
      <c r="AG429" s="703"/>
      <c r="AH429" s="703"/>
      <c r="AI429" s="703"/>
      <c r="AJ429" s="703"/>
      <c r="AK429" s="703"/>
      <c r="AL429" s="703"/>
      <c r="AM429" s="703"/>
      <c r="AN429" s="703"/>
      <c r="AO429" s="704"/>
      <c r="AP429" s="705"/>
      <c r="AQ429" s="763">
        <f t="shared" si="46"/>
        <v>2</v>
      </c>
      <c r="AS429" s="268"/>
      <c r="AV429" s="699"/>
      <c r="AW429" s="700">
        <v>3.6299999999999999E-2</v>
      </c>
      <c r="AX429" s="382">
        <f t="shared" si="44"/>
        <v>2.0362999999999998</v>
      </c>
      <c r="AY429" s="379" t="str">
        <f t="shared" ca="1" si="47"/>
        <v>K&amp;H</v>
      </c>
      <c r="AZ429" s="384" t="str">
        <f t="shared" si="45"/>
        <v>Ismeretlen 7-es</v>
      </c>
      <c r="BA429" s="642"/>
    </row>
    <row r="430" spans="1:53" ht="12.75" customHeight="1" x14ac:dyDescent="0.2">
      <c r="A430" s="867"/>
      <c r="C430" s="758" t="s">
        <v>726</v>
      </c>
      <c r="D430" s="757">
        <v>15</v>
      </c>
      <c r="E430" s="747"/>
      <c r="F430" s="703"/>
      <c r="G430" s="703"/>
      <c r="H430" s="703"/>
      <c r="I430" s="703"/>
      <c r="J430" s="703"/>
      <c r="K430" s="703"/>
      <c r="L430" s="703"/>
      <c r="M430" s="703"/>
      <c r="N430" s="703"/>
      <c r="O430" s="703"/>
      <c r="P430" s="703"/>
      <c r="Q430" s="703"/>
      <c r="R430" s="703"/>
      <c r="S430" s="703"/>
      <c r="T430" s="703"/>
      <c r="U430" s="703"/>
      <c r="V430" s="703"/>
      <c r="W430" s="703"/>
      <c r="X430" s="703"/>
      <c r="Y430" s="703"/>
      <c r="Z430" s="703">
        <v>2</v>
      </c>
      <c r="AA430" s="703"/>
      <c r="AB430" s="703"/>
      <c r="AC430" s="703"/>
      <c r="AD430" s="703"/>
      <c r="AE430" s="703"/>
      <c r="AF430" s="703"/>
      <c r="AG430" s="703"/>
      <c r="AH430" s="703"/>
      <c r="AI430" s="703"/>
      <c r="AJ430" s="703"/>
      <c r="AK430" s="703"/>
      <c r="AL430" s="703"/>
      <c r="AM430" s="703"/>
      <c r="AN430" s="703"/>
      <c r="AO430" s="704"/>
      <c r="AP430" s="705"/>
      <c r="AQ430" s="763">
        <f t="shared" si="46"/>
        <v>2</v>
      </c>
      <c r="AS430" s="268"/>
      <c r="AV430" s="699"/>
      <c r="AW430" s="700">
        <v>3.6400000000000002E-2</v>
      </c>
      <c r="AX430" s="382">
        <f t="shared" si="44"/>
        <v>2.0364</v>
      </c>
      <c r="AY430" s="379" t="str">
        <f t="shared" ca="1" si="47"/>
        <v>K&amp;H</v>
      </c>
      <c r="AZ430" s="384" t="str">
        <f t="shared" si="45"/>
        <v>Németh Zsolt</v>
      </c>
      <c r="BA430" s="642"/>
    </row>
    <row r="431" spans="1:53" ht="12.75" customHeight="1" x14ac:dyDescent="0.2">
      <c r="A431" s="867"/>
      <c r="C431" s="758" t="s">
        <v>566</v>
      </c>
      <c r="D431" s="757">
        <v>16</v>
      </c>
      <c r="E431" s="747"/>
      <c r="F431" s="703"/>
      <c r="G431" s="703"/>
      <c r="H431" s="703"/>
      <c r="I431" s="703"/>
      <c r="J431" s="703"/>
      <c r="K431" s="703"/>
      <c r="L431" s="703"/>
      <c r="M431" s="703"/>
      <c r="N431" s="703"/>
      <c r="O431" s="703"/>
      <c r="P431" s="703"/>
      <c r="Q431" s="703"/>
      <c r="R431" s="703"/>
      <c r="S431" s="703"/>
      <c r="T431" s="703"/>
      <c r="U431" s="703"/>
      <c r="V431" s="703"/>
      <c r="W431" s="703"/>
      <c r="X431" s="703"/>
      <c r="Y431" s="703"/>
      <c r="Z431" s="703"/>
      <c r="AA431" s="703">
        <v>1</v>
      </c>
      <c r="AB431" s="703"/>
      <c r="AC431" s="703"/>
      <c r="AD431" s="703"/>
      <c r="AE431" s="703"/>
      <c r="AF431" s="703"/>
      <c r="AG431" s="703"/>
      <c r="AH431" s="703"/>
      <c r="AI431" s="703"/>
      <c r="AJ431" s="703"/>
      <c r="AK431" s="703"/>
      <c r="AL431" s="703"/>
      <c r="AM431" s="703"/>
      <c r="AN431" s="703"/>
      <c r="AO431" s="704"/>
      <c r="AP431" s="705"/>
      <c r="AQ431" s="763">
        <f t="shared" si="46"/>
        <v>1</v>
      </c>
      <c r="AS431" s="268"/>
      <c r="AV431" s="699"/>
      <c r="AW431" s="700">
        <v>3.6499999999999998E-2</v>
      </c>
      <c r="AX431" s="382">
        <f t="shared" si="44"/>
        <v>1.0365</v>
      </c>
      <c r="AY431" s="379" t="str">
        <f t="shared" ca="1" si="47"/>
        <v>K&amp;H</v>
      </c>
      <c r="AZ431" s="384" t="str">
        <f t="shared" si="45"/>
        <v>Török János</v>
      </c>
      <c r="BA431" s="642"/>
    </row>
    <row r="432" spans="1:53" ht="12.75" customHeight="1" x14ac:dyDescent="0.2">
      <c r="A432" s="867"/>
      <c r="C432" s="758"/>
      <c r="D432" s="757"/>
      <c r="E432" s="747"/>
      <c r="F432" s="703"/>
      <c r="G432" s="703"/>
      <c r="H432" s="703"/>
      <c r="I432" s="703"/>
      <c r="J432" s="703"/>
      <c r="K432" s="703"/>
      <c r="L432" s="703"/>
      <c r="M432" s="703"/>
      <c r="N432" s="703"/>
      <c r="O432" s="703"/>
      <c r="P432" s="703"/>
      <c r="Q432" s="703"/>
      <c r="R432" s="703"/>
      <c r="S432" s="703"/>
      <c r="T432" s="703"/>
      <c r="U432" s="703"/>
      <c r="V432" s="703"/>
      <c r="W432" s="703"/>
      <c r="X432" s="703"/>
      <c r="Y432" s="703"/>
      <c r="Z432" s="703"/>
      <c r="AA432" s="703"/>
      <c r="AB432" s="703"/>
      <c r="AC432" s="703"/>
      <c r="AD432" s="703"/>
      <c r="AE432" s="703"/>
      <c r="AF432" s="703"/>
      <c r="AG432" s="703"/>
      <c r="AH432" s="703"/>
      <c r="AI432" s="703"/>
      <c r="AJ432" s="703"/>
      <c r="AK432" s="703"/>
      <c r="AL432" s="703"/>
      <c r="AM432" s="703"/>
      <c r="AN432" s="703"/>
      <c r="AO432" s="704"/>
      <c r="AP432" s="705"/>
      <c r="AQ432" s="763" t="str">
        <f t="shared" si="46"/>
        <v/>
      </c>
      <c r="AS432" s="268"/>
      <c r="AV432" s="699"/>
      <c r="AW432" s="700">
        <v>3.6600000000000001E-2</v>
      </c>
      <c r="AX432" s="382">
        <f t="shared" si="44"/>
        <v>0</v>
      </c>
      <c r="AY432" s="379" t="str">
        <f t="shared" ca="1" si="47"/>
        <v>K&amp;H</v>
      </c>
      <c r="AZ432" s="384">
        <f t="shared" si="45"/>
        <v>0</v>
      </c>
      <c r="BA432" s="642"/>
    </row>
    <row r="433" spans="1:53" ht="12.75" customHeight="1" x14ac:dyDescent="0.2">
      <c r="A433" s="867"/>
      <c r="C433" s="758"/>
      <c r="D433" s="757"/>
      <c r="E433" s="747"/>
      <c r="F433" s="703"/>
      <c r="G433" s="703"/>
      <c r="H433" s="703"/>
      <c r="I433" s="703"/>
      <c r="J433" s="703"/>
      <c r="K433" s="703"/>
      <c r="L433" s="703"/>
      <c r="M433" s="703"/>
      <c r="N433" s="703"/>
      <c r="O433" s="703"/>
      <c r="P433" s="703"/>
      <c r="Q433" s="703"/>
      <c r="R433" s="703"/>
      <c r="S433" s="703"/>
      <c r="T433" s="703"/>
      <c r="U433" s="703"/>
      <c r="V433" s="703"/>
      <c r="W433" s="703"/>
      <c r="X433" s="703"/>
      <c r="Y433" s="703"/>
      <c r="Z433" s="703"/>
      <c r="AA433" s="703"/>
      <c r="AB433" s="703"/>
      <c r="AC433" s="703"/>
      <c r="AD433" s="703"/>
      <c r="AE433" s="703"/>
      <c r="AF433" s="703"/>
      <c r="AG433" s="703"/>
      <c r="AH433" s="703"/>
      <c r="AI433" s="703"/>
      <c r="AJ433" s="703"/>
      <c r="AK433" s="703"/>
      <c r="AL433" s="703"/>
      <c r="AM433" s="703"/>
      <c r="AN433" s="703"/>
      <c r="AO433" s="704"/>
      <c r="AP433" s="705"/>
      <c r="AQ433" s="763" t="str">
        <f t="shared" si="46"/>
        <v/>
      </c>
      <c r="AS433" s="268"/>
      <c r="AV433" s="699"/>
      <c r="AW433" s="700">
        <v>3.6700000000000003E-2</v>
      </c>
      <c r="AX433" s="382">
        <f t="shared" si="44"/>
        <v>0</v>
      </c>
      <c r="AY433" s="379" t="str">
        <f t="shared" ca="1" si="47"/>
        <v>K&amp;H</v>
      </c>
      <c r="AZ433" s="384">
        <f t="shared" si="45"/>
        <v>0</v>
      </c>
      <c r="BA433" s="642"/>
    </row>
    <row r="434" spans="1:53" ht="12.75" customHeight="1" x14ac:dyDescent="0.2">
      <c r="A434" s="867"/>
      <c r="C434" s="758"/>
      <c r="D434" s="757"/>
      <c r="E434" s="747"/>
      <c r="F434" s="703"/>
      <c r="G434" s="703"/>
      <c r="H434" s="703"/>
      <c r="I434" s="703"/>
      <c r="J434" s="703"/>
      <c r="K434" s="703"/>
      <c r="L434" s="703"/>
      <c r="M434" s="703"/>
      <c r="N434" s="703"/>
      <c r="O434" s="703"/>
      <c r="P434" s="703"/>
      <c r="Q434" s="703"/>
      <c r="R434" s="703"/>
      <c r="S434" s="703"/>
      <c r="T434" s="703"/>
      <c r="U434" s="703"/>
      <c r="V434" s="703"/>
      <c r="W434" s="703"/>
      <c r="X434" s="703"/>
      <c r="Y434" s="703"/>
      <c r="Z434" s="703"/>
      <c r="AA434" s="703"/>
      <c r="AB434" s="703"/>
      <c r="AC434" s="703"/>
      <c r="AD434" s="703"/>
      <c r="AE434" s="703"/>
      <c r="AF434" s="703"/>
      <c r="AG434" s="703"/>
      <c r="AH434" s="703"/>
      <c r="AI434" s="703"/>
      <c r="AJ434" s="703"/>
      <c r="AK434" s="703"/>
      <c r="AL434" s="703"/>
      <c r="AM434" s="703"/>
      <c r="AN434" s="703"/>
      <c r="AO434" s="704"/>
      <c r="AP434" s="705"/>
      <c r="AQ434" s="763" t="str">
        <f t="shared" si="46"/>
        <v/>
      </c>
      <c r="AS434" s="268"/>
      <c r="AV434" s="699"/>
      <c r="AW434" s="700">
        <v>3.6799999999999999E-2</v>
      </c>
      <c r="AX434" s="382">
        <f t="shared" si="44"/>
        <v>0</v>
      </c>
      <c r="AY434" s="379" t="str">
        <f t="shared" ca="1" si="47"/>
        <v>K&amp;H</v>
      </c>
      <c r="AZ434" s="384">
        <f t="shared" si="45"/>
        <v>0</v>
      </c>
      <c r="BA434" s="642"/>
    </row>
    <row r="435" spans="1:53" ht="12.75" customHeight="1" x14ac:dyDescent="0.2">
      <c r="A435" s="867"/>
      <c r="C435" s="758"/>
      <c r="D435" s="757"/>
      <c r="E435" s="747"/>
      <c r="F435" s="703"/>
      <c r="G435" s="703"/>
      <c r="H435" s="703"/>
      <c r="I435" s="703"/>
      <c r="J435" s="703"/>
      <c r="K435" s="703"/>
      <c r="L435" s="703"/>
      <c r="M435" s="703"/>
      <c r="N435" s="703"/>
      <c r="O435" s="703"/>
      <c r="P435" s="703"/>
      <c r="Q435" s="703"/>
      <c r="R435" s="703"/>
      <c r="S435" s="703"/>
      <c r="T435" s="703"/>
      <c r="U435" s="703"/>
      <c r="V435" s="703"/>
      <c r="W435" s="703"/>
      <c r="X435" s="703"/>
      <c r="Y435" s="703"/>
      <c r="Z435" s="703"/>
      <c r="AA435" s="703"/>
      <c r="AB435" s="703"/>
      <c r="AC435" s="703"/>
      <c r="AD435" s="703"/>
      <c r="AE435" s="703"/>
      <c r="AF435" s="703"/>
      <c r="AG435" s="703"/>
      <c r="AH435" s="703"/>
      <c r="AI435" s="703"/>
      <c r="AJ435" s="703"/>
      <c r="AK435" s="703"/>
      <c r="AL435" s="703"/>
      <c r="AM435" s="703"/>
      <c r="AN435" s="703"/>
      <c r="AO435" s="704"/>
      <c r="AP435" s="705"/>
      <c r="AQ435" s="763" t="str">
        <f t="shared" si="46"/>
        <v/>
      </c>
      <c r="AS435" s="268"/>
      <c r="AV435" s="699"/>
      <c r="AW435" s="700">
        <v>3.6900000000000002E-2</v>
      </c>
      <c r="AX435" s="382">
        <f t="shared" si="44"/>
        <v>0</v>
      </c>
      <c r="AY435" s="379" t="str">
        <f t="shared" ca="1" si="47"/>
        <v>K&amp;H</v>
      </c>
      <c r="AZ435" s="384">
        <f t="shared" si="45"/>
        <v>0</v>
      </c>
      <c r="BA435" s="642"/>
    </row>
    <row r="436" spans="1:53" ht="11.25" hidden="1" customHeight="1" x14ac:dyDescent="0.2">
      <c r="A436" s="867"/>
      <c r="C436" s="758"/>
      <c r="D436" s="757"/>
      <c r="E436" s="747"/>
      <c r="F436" s="703"/>
      <c r="G436" s="703"/>
      <c r="H436" s="703"/>
      <c r="I436" s="703"/>
      <c r="J436" s="703"/>
      <c r="K436" s="703"/>
      <c r="L436" s="703"/>
      <c r="M436" s="703"/>
      <c r="N436" s="703"/>
      <c r="O436" s="703"/>
      <c r="P436" s="703"/>
      <c r="Q436" s="703"/>
      <c r="R436" s="703"/>
      <c r="S436" s="703"/>
      <c r="T436" s="703"/>
      <c r="U436" s="703"/>
      <c r="V436" s="703"/>
      <c r="W436" s="703"/>
      <c r="X436" s="703"/>
      <c r="Y436" s="703"/>
      <c r="Z436" s="703"/>
      <c r="AA436" s="703"/>
      <c r="AB436" s="703"/>
      <c r="AC436" s="703"/>
      <c r="AD436" s="703"/>
      <c r="AE436" s="703"/>
      <c r="AF436" s="703"/>
      <c r="AG436" s="703"/>
      <c r="AH436" s="703"/>
      <c r="AI436" s="703"/>
      <c r="AJ436" s="703"/>
      <c r="AK436" s="703"/>
      <c r="AL436" s="703"/>
      <c r="AM436" s="703"/>
      <c r="AN436" s="703"/>
      <c r="AO436" s="704"/>
      <c r="AP436" s="705"/>
      <c r="AQ436" s="763" t="str">
        <f t="shared" si="46"/>
        <v/>
      </c>
      <c r="AS436" s="268"/>
      <c r="AV436" s="699"/>
      <c r="AW436" s="700">
        <v>3.6999999999999998E-2</v>
      </c>
      <c r="AX436" s="382">
        <f t="shared" si="44"/>
        <v>0</v>
      </c>
      <c r="AY436" s="379" t="str">
        <f t="shared" ca="1" si="47"/>
        <v>K&amp;H</v>
      </c>
      <c r="AZ436" s="384">
        <f t="shared" si="45"/>
        <v>0</v>
      </c>
      <c r="BA436" s="642"/>
    </row>
    <row r="437" spans="1:53" ht="11.25" hidden="1" customHeight="1" x14ac:dyDescent="0.2">
      <c r="A437" s="867"/>
      <c r="C437" s="758"/>
      <c r="D437" s="757"/>
      <c r="E437" s="747"/>
      <c r="F437" s="703"/>
      <c r="G437" s="703"/>
      <c r="H437" s="703"/>
      <c r="I437" s="703"/>
      <c r="J437" s="703"/>
      <c r="K437" s="703"/>
      <c r="L437" s="703"/>
      <c r="M437" s="703"/>
      <c r="N437" s="703"/>
      <c r="O437" s="703"/>
      <c r="P437" s="703"/>
      <c r="Q437" s="703"/>
      <c r="R437" s="703"/>
      <c r="S437" s="703"/>
      <c r="T437" s="703"/>
      <c r="U437" s="703"/>
      <c r="V437" s="703"/>
      <c r="W437" s="703"/>
      <c r="X437" s="703"/>
      <c r="Y437" s="703"/>
      <c r="Z437" s="703"/>
      <c r="AA437" s="703"/>
      <c r="AB437" s="703"/>
      <c r="AC437" s="703"/>
      <c r="AD437" s="703"/>
      <c r="AE437" s="703"/>
      <c r="AF437" s="703"/>
      <c r="AG437" s="703"/>
      <c r="AH437" s="703"/>
      <c r="AI437" s="703"/>
      <c r="AJ437" s="703"/>
      <c r="AK437" s="703"/>
      <c r="AL437" s="703"/>
      <c r="AM437" s="703"/>
      <c r="AN437" s="703"/>
      <c r="AO437" s="704"/>
      <c r="AP437" s="705"/>
      <c r="AQ437" s="763" t="str">
        <f t="shared" si="46"/>
        <v/>
      </c>
      <c r="AS437" s="268"/>
      <c r="AV437" s="699"/>
      <c r="AW437" s="700">
        <v>3.7100000000000001E-2</v>
      </c>
      <c r="AX437" s="382">
        <f t="shared" si="44"/>
        <v>0</v>
      </c>
      <c r="AY437" s="379" t="str">
        <f t="shared" ca="1" si="47"/>
        <v>K&amp;H</v>
      </c>
      <c r="AZ437" s="384">
        <f t="shared" si="45"/>
        <v>0</v>
      </c>
      <c r="BA437" s="642"/>
    </row>
    <row r="438" spans="1:53" ht="11.25" hidden="1" customHeight="1" x14ac:dyDescent="0.2">
      <c r="A438" s="867"/>
      <c r="C438" s="758"/>
      <c r="D438" s="757"/>
      <c r="E438" s="747"/>
      <c r="F438" s="703"/>
      <c r="G438" s="703"/>
      <c r="H438" s="703"/>
      <c r="I438" s="703"/>
      <c r="J438" s="703"/>
      <c r="K438" s="703"/>
      <c r="L438" s="703"/>
      <c r="M438" s="703"/>
      <c r="N438" s="703"/>
      <c r="O438" s="703"/>
      <c r="P438" s="703"/>
      <c r="Q438" s="703"/>
      <c r="R438" s="703"/>
      <c r="S438" s="703"/>
      <c r="T438" s="703"/>
      <c r="U438" s="703"/>
      <c r="V438" s="703"/>
      <c r="W438" s="703"/>
      <c r="X438" s="703"/>
      <c r="Y438" s="703"/>
      <c r="Z438" s="703"/>
      <c r="AA438" s="703"/>
      <c r="AB438" s="703"/>
      <c r="AC438" s="703"/>
      <c r="AD438" s="703"/>
      <c r="AE438" s="703"/>
      <c r="AF438" s="703"/>
      <c r="AG438" s="703"/>
      <c r="AH438" s="703"/>
      <c r="AI438" s="703"/>
      <c r="AJ438" s="703"/>
      <c r="AK438" s="703"/>
      <c r="AL438" s="703"/>
      <c r="AM438" s="703"/>
      <c r="AN438" s="703"/>
      <c r="AO438" s="704"/>
      <c r="AP438" s="705"/>
      <c r="AQ438" s="763" t="str">
        <f t="shared" si="46"/>
        <v/>
      </c>
      <c r="AS438" s="268"/>
      <c r="AV438" s="699"/>
      <c r="AW438" s="700">
        <v>3.7199999999999997E-2</v>
      </c>
      <c r="AX438" s="382">
        <f t="shared" si="44"/>
        <v>0</v>
      </c>
      <c r="AY438" s="379" t="str">
        <f t="shared" ca="1" si="47"/>
        <v>K&amp;H</v>
      </c>
      <c r="AZ438" s="384">
        <f t="shared" si="45"/>
        <v>0</v>
      </c>
      <c r="BA438" s="642"/>
    </row>
    <row r="439" spans="1:53" ht="11.25" hidden="1" customHeight="1" x14ac:dyDescent="0.2">
      <c r="A439" s="867"/>
      <c r="C439" s="758"/>
      <c r="D439" s="757"/>
      <c r="E439" s="747"/>
      <c r="F439" s="703"/>
      <c r="G439" s="703"/>
      <c r="H439" s="703"/>
      <c r="I439" s="703"/>
      <c r="J439" s="703"/>
      <c r="K439" s="703"/>
      <c r="L439" s="703"/>
      <c r="M439" s="703"/>
      <c r="N439" s="703"/>
      <c r="O439" s="703"/>
      <c r="P439" s="703"/>
      <c r="Q439" s="703"/>
      <c r="R439" s="703"/>
      <c r="S439" s="703"/>
      <c r="T439" s="703"/>
      <c r="U439" s="703"/>
      <c r="V439" s="703"/>
      <c r="W439" s="703"/>
      <c r="X439" s="703"/>
      <c r="Y439" s="703"/>
      <c r="Z439" s="703"/>
      <c r="AA439" s="703"/>
      <c r="AB439" s="703"/>
      <c r="AC439" s="703"/>
      <c r="AD439" s="703"/>
      <c r="AE439" s="703"/>
      <c r="AF439" s="703"/>
      <c r="AG439" s="703"/>
      <c r="AH439" s="703"/>
      <c r="AI439" s="703"/>
      <c r="AJ439" s="703"/>
      <c r="AK439" s="703"/>
      <c r="AL439" s="703"/>
      <c r="AM439" s="703"/>
      <c r="AN439" s="703"/>
      <c r="AO439" s="704"/>
      <c r="AP439" s="705"/>
      <c r="AQ439" s="763" t="str">
        <f t="shared" si="46"/>
        <v/>
      </c>
      <c r="AS439" s="268"/>
      <c r="AV439" s="699"/>
      <c r="AW439" s="700">
        <v>3.73E-2</v>
      </c>
      <c r="AX439" s="382">
        <f t="shared" si="44"/>
        <v>0</v>
      </c>
      <c r="AY439" s="379" t="str">
        <f t="shared" ca="1" si="47"/>
        <v>K&amp;H</v>
      </c>
      <c r="AZ439" s="384">
        <f t="shared" si="45"/>
        <v>0</v>
      </c>
      <c r="BA439" s="642"/>
    </row>
    <row r="440" spans="1:53" ht="11.25" hidden="1" customHeight="1" x14ac:dyDescent="0.2">
      <c r="A440" s="867"/>
      <c r="C440" s="758"/>
      <c r="D440" s="757"/>
      <c r="E440" s="747"/>
      <c r="F440" s="703"/>
      <c r="G440" s="703"/>
      <c r="H440" s="703"/>
      <c r="I440" s="703"/>
      <c r="J440" s="703"/>
      <c r="K440" s="703"/>
      <c r="L440" s="703"/>
      <c r="M440" s="703"/>
      <c r="N440" s="703"/>
      <c r="O440" s="703"/>
      <c r="P440" s="703"/>
      <c r="Q440" s="703"/>
      <c r="R440" s="703"/>
      <c r="S440" s="703"/>
      <c r="T440" s="703"/>
      <c r="U440" s="703"/>
      <c r="V440" s="703"/>
      <c r="W440" s="703"/>
      <c r="X440" s="703"/>
      <c r="Y440" s="703"/>
      <c r="Z440" s="703"/>
      <c r="AA440" s="703"/>
      <c r="AB440" s="703"/>
      <c r="AC440" s="703"/>
      <c r="AD440" s="703"/>
      <c r="AE440" s="703"/>
      <c r="AF440" s="703"/>
      <c r="AG440" s="703"/>
      <c r="AH440" s="703"/>
      <c r="AI440" s="703"/>
      <c r="AJ440" s="703"/>
      <c r="AK440" s="703"/>
      <c r="AL440" s="703"/>
      <c r="AM440" s="703"/>
      <c r="AN440" s="703"/>
      <c r="AO440" s="704"/>
      <c r="AP440" s="705"/>
      <c r="AQ440" s="763" t="str">
        <f t="shared" si="46"/>
        <v/>
      </c>
      <c r="AS440" s="268"/>
      <c r="AV440" s="699"/>
      <c r="AW440" s="700">
        <v>3.7400000000000003E-2</v>
      </c>
      <c r="AX440" s="382">
        <f t="shared" si="44"/>
        <v>0</v>
      </c>
      <c r="AY440" s="379" t="str">
        <f t="shared" ca="1" si="47"/>
        <v>K&amp;H</v>
      </c>
      <c r="AZ440" s="384">
        <f t="shared" si="45"/>
        <v>0</v>
      </c>
      <c r="BA440" s="642"/>
    </row>
    <row r="441" spans="1:53" ht="11.25" hidden="1" customHeight="1" x14ac:dyDescent="0.2">
      <c r="A441" s="867"/>
      <c r="C441" s="758"/>
      <c r="D441" s="757"/>
      <c r="E441" s="747"/>
      <c r="F441" s="703"/>
      <c r="G441" s="703"/>
      <c r="H441" s="703"/>
      <c r="I441" s="703"/>
      <c r="J441" s="703"/>
      <c r="K441" s="703"/>
      <c r="L441" s="703"/>
      <c r="M441" s="703"/>
      <c r="N441" s="703"/>
      <c r="O441" s="703"/>
      <c r="P441" s="703"/>
      <c r="Q441" s="703"/>
      <c r="R441" s="703"/>
      <c r="S441" s="703"/>
      <c r="T441" s="703"/>
      <c r="U441" s="703"/>
      <c r="V441" s="703"/>
      <c r="W441" s="703"/>
      <c r="X441" s="703"/>
      <c r="Y441" s="703"/>
      <c r="Z441" s="703"/>
      <c r="AA441" s="703"/>
      <c r="AB441" s="703"/>
      <c r="AC441" s="703"/>
      <c r="AD441" s="703"/>
      <c r="AE441" s="703"/>
      <c r="AF441" s="703"/>
      <c r="AG441" s="703"/>
      <c r="AH441" s="703"/>
      <c r="AI441" s="703"/>
      <c r="AJ441" s="703"/>
      <c r="AK441" s="703"/>
      <c r="AL441" s="703"/>
      <c r="AM441" s="703"/>
      <c r="AN441" s="703"/>
      <c r="AO441" s="704"/>
      <c r="AP441" s="705"/>
      <c r="AQ441" s="763" t="str">
        <f t="shared" si="46"/>
        <v/>
      </c>
      <c r="AS441" s="268"/>
      <c r="AV441" s="699"/>
      <c r="AW441" s="700">
        <v>3.7499999999999999E-2</v>
      </c>
      <c r="AX441" s="382">
        <f t="shared" si="44"/>
        <v>0</v>
      </c>
      <c r="AY441" s="379" t="str">
        <f t="shared" ca="1" si="47"/>
        <v>K&amp;H</v>
      </c>
      <c r="AZ441" s="384">
        <f t="shared" si="45"/>
        <v>0</v>
      </c>
      <c r="BA441" s="642"/>
    </row>
    <row r="442" spans="1:53" ht="11.25" hidden="1" customHeight="1" x14ac:dyDescent="0.2">
      <c r="A442" s="867"/>
      <c r="C442" s="758"/>
      <c r="D442" s="757"/>
      <c r="E442" s="747"/>
      <c r="F442" s="703"/>
      <c r="G442" s="703"/>
      <c r="H442" s="703"/>
      <c r="I442" s="703"/>
      <c r="J442" s="703"/>
      <c r="K442" s="703"/>
      <c r="L442" s="703"/>
      <c r="M442" s="703"/>
      <c r="N442" s="703"/>
      <c r="O442" s="703"/>
      <c r="P442" s="703"/>
      <c r="Q442" s="703"/>
      <c r="R442" s="703"/>
      <c r="S442" s="703"/>
      <c r="T442" s="703"/>
      <c r="U442" s="703"/>
      <c r="V442" s="703"/>
      <c r="W442" s="703"/>
      <c r="X442" s="703"/>
      <c r="Y442" s="703"/>
      <c r="Z442" s="703"/>
      <c r="AA442" s="703"/>
      <c r="AB442" s="703"/>
      <c r="AC442" s="703"/>
      <c r="AD442" s="703"/>
      <c r="AE442" s="703"/>
      <c r="AF442" s="703"/>
      <c r="AG442" s="703"/>
      <c r="AH442" s="703"/>
      <c r="AI442" s="703"/>
      <c r="AJ442" s="703"/>
      <c r="AK442" s="703"/>
      <c r="AL442" s="703"/>
      <c r="AM442" s="703"/>
      <c r="AN442" s="703"/>
      <c r="AO442" s="704"/>
      <c r="AP442" s="705"/>
      <c r="AQ442" s="763" t="str">
        <f t="shared" si="46"/>
        <v/>
      </c>
      <c r="AS442" s="268"/>
      <c r="AV442" s="699"/>
      <c r="AW442" s="700">
        <v>3.7600000000000001E-2</v>
      </c>
      <c r="AX442" s="382">
        <f t="shared" si="44"/>
        <v>0</v>
      </c>
      <c r="AY442" s="379" t="str">
        <f t="shared" ca="1" si="47"/>
        <v>K&amp;H</v>
      </c>
      <c r="AZ442" s="384">
        <f t="shared" si="45"/>
        <v>0</v>
      </c>
      <c r="BA442" s="642"/>
    </row>
    <row r="443" spans="1:53" ht="11.25" hidden="1" customHeight="1" x14ac:dyDescent="0.2">
      <c r="A443" s="867"/>
      <c r="C443" s="758"/>
      <c r="D443" s="757"/>
      <c r="E443" s="747"/>
      <c r="F443" s="703"/>
      <c r="G443" s="703"/>
      <c r="H443" s="703"/>
      <c r="I443" s="703"/>
      <c r="J443" s="703"/>
      <c r="K443" s="703"/>
      <c r="L443" s="703"/>
      <c r="M443" s="703"/>
      <c r="N443" s="703"/>
      <c r="O443" s="703"/>
      <c r="P443" s="703"/>
      <c r="Q443" s="703"/>
      <c r="R443" s="703"/>
      <c r="S443" s="703"/>
      <c r="T443" s="703"/>
      <c r="U443" s="703"/>
      <c r="V443" s="703"/>
      <c r="W443" s="703"/>
      <c r="X443" s="703"/>
      <c r="Y443" s="703"/>
      <c r="Z443" s="703"/>
      <c r="AA443" s="703"/>
      <c r="AB443" s="703"/>
      <c r="AC443" s="703"/>
      <c r="AD443" s="703"/>
      <c r="AE443" s="703"/>
      <c r="AF443" s="703"/>
      <c r="AG443" s="703"/>
      <c r="AH443" s="703"/>
      <c r="AI443" s="703"/>
      <c r="AJ443" s="703"/>
      <c r="AK443" s="703"/>
      <c r="AL443" s="703"/>
      <c r="AM443" s="703"/>
      <c r="AN443" s="703"/>
      <c r="AO443" s="704"/>
      <c r="AP443" s="705"/>
      <c r="AQ443" s="763" t="str">
        <f t="shared" si="46"/>
        <v/>
      </c>
      <c r="AS443" s="268"/>
      <c r="AV443" s="699"/>
      <c r="AW443" s="700">
        <v>3.7699999999999997E-2</v>
      </c>
      <c r="AX443" s="382">
        <f t="shared" si="44"/>
        <v>0</v>
      </c>
      <c r="AY443" s="379" t="str">
        <f t="shared" ca="1" si="47"/>
        <v>K&amp;H</v>
      </c>
      <c r="AZ443" s="384">
        <f t="shared" si="45"/>
        <v>0</v>
      </c>
      <c r="BA443" s="642"/>
    </row>
    <row r="444" spans="1:53" ht="11.25" hidden="1" customHeight="1" x14ac:dyDescent="0.2">
      <c r="A444" s="867"/>
      <c r="C444" s="758"/>
      <c r="D444" s="757"/>
      <c r="E444" s="747"/>
      <c r="F444" s="703"/>
      <c r="G444" s="703"/>
      <c r="H444" s="703"/>
      <c r="I444" s="703"/>
      <c r="J444" s="703"/>
      <c r="K444" s="703"/>
      <c r="L444" s="703"/>
      <c r="M444" s="703"/>
      <c r="N444" s="703"/>
      <c r="O444" s="703"/>
      <c r="P444" s="703"/>
      <c r="Q444" s="703"/>
      <c r="R444" s="703"/>
      <c r="S444" s="703"/>
      <c r="T444" s="703"/>
      <c r="U444" s="703"/>
      <c r="V444" s="703"/>
      <c r="W444" s="703"/>
      <c r="X444" s="703"/>
      <c r="Y444" s="703"/>
      <c r="Z444" s="703"/>
      <c r="AA444" s="703"/>
      <c r="AB444" s="703"/>
      <c r="AC444" s="703"/>
      <c r="AD444" s="703"/>
      <c r="AE444" s="703"/>
      <c r="AF444" s="703"/>
      <c r="AG444" s="703"/>
      <c r="AH444" s="703"/>
      <c r="AI444" s="703"/>
      <c r="AJ444" s="703"/>
      <c r="AK444" s="703"/>
      <c r="AL444" s="703"/>
      <c r="AM444" s="703"/>
      <c r="AN444" s="703"/>
      <c r="AO444" s="704"/>
      <c r="AP444" s="705"/>
      <c r="AQ444" s="763" t="str">
        <f t="shared" si="46"/>
        <v/>
      </c>
      <c r="AS444" s="268"/>
      <c r="AV444" s="699"/>
      <c r="AW444" s="700">
        <v>3.78E-2</v>
      </c>
      <c r="AX444" s="382">
        <f t="shared" si="44"/>
        <v>0</v>
      </c>
      <c r="AY444" s="379" t="str">
        <f t="shared" ca="1" si="47"/>
        <v>K&amp;H</v>
      </c>
      <c r="AZ444" s="384">
        <f t="shared" si="45"/>
        <v>0</v>
      </c>
      <c r="BA444" s="642"/>
    </row>
    <row r="445" spans="1:53" ht="11.25" hidden="1" customHeight="1" x14ac:dyDescent="0.2">
      <c r="A445" s="867"/>
      <c r="C445" s="758"/>
      <c r="D445" s="757"/>
      <c r="E445" s="747"/>
      <c r="F445" s="703"/>
      <c r="G445" s="703"/>
      <c r="H445" s="703"/>
      <c r="I445" s="703"/>
      <c r="J445" s="703"/>
      <c r="K445" s="703"/>
      <c r="L445" s="703"/>
      <c r="M445" s="703"/>
      <c r="N445" s="703"/>
      <c r="O445" s="703"/>
      <c r="P445" s="703"/>
      <c r="Q445" s="703"/>
      <c r="R445" s="703"/>
      <c r="S445" s="703"/>
      <c r="T445" s="703"/>
      <c r="U445" s="703"/>
      <c r="V445" s="703"/>
      <c r="W445" s="703"/>
      <c r="X445" s="703"/>
      <c r="Y445" s="703"/>
      <c r="Z445" s="703"/>
      <c r="AA445" s="703"/>
      <c r="AB445" s="703"/>
      <c r="AC445" s="703"/>
      <c r="AD445" s="703"/>
      <c r="AE445" s="703"/>
      <c r="AF445" s="703"/>
      <c r="AG445" s="703"/>
      <c r="AH445" s="703"/>
      <c r="AI445" s="703"/>
      <c r="AJ445" s="703"/>
      <c r="AK445" s="703"/>
      <c r="AL445" s="703"/>
      <c r="AM445" s="703"/>
      <c r="AN445" s="703"/>
      <c r="AO445" s="704"/>
      <c r="AP445" s="705"/>
      <c r="AQ445" s="763" t="str">
        <f t="shared" si="46"/>
        <v/>
      </c>
      <c r="AS445" s="268"/>
      <c r="AV445" s="699"/>
      <c r="AW445" s="700">
        <v>3.7900000000000003E-2</v>
      </c>
      <c r="AX445" s="382">
        <f t="shared" si="44"/>
        <v>0</v>
      </c>
      <c r="AY445" s="379" t="str">
        <f t="shared" ca="1" si="47"/>
        <v>K&amp;H</v>
      </c>
      <c r="AZ445" s="384">
        <f t="shared" si="45"/>
        <v>0</v>
      </c>
      <c r="BA445" s="642"/>
    </row>
    <row r="446" spans="1:53" ht="12.75" customHeight="1" x14ac:dyDescent="0.2">
      <c r="A446" s="867"/>
      <c r="C446" s="759"/>
      <c r="D446" s="760"/>
      <c r="E446" s="748"/>
      <c r="F446" s="708"/>
      <c r="G446" s="708"/>
      <c r="H446" s="708"/>
      <c r="I446" s="708"/>
      <c r="J446" s="708"/>
      <c r="K446" s="708"/>
      <c r="L446" s="708"/>
      <c r="M446" s="708"/>
      <c r="N446" s="708"/>
      <c r="O446" s="708"/>
      <c r="P446" s="708"/>
      <c r="Q446" s="708"/>
      <c r="R446" s="708"/>
      <c r="S446" s="708"/>
      <c r="T446" s="708"/>
      <c r="U446" s="708"/>
      <c r="V446" s="708"/>
      <c r="W446" s="708"/>
      <c r="X446" s="708"/>
      <c r="Y446" s="708"/>
      <c r="Z446" s="708"/>
      <c r="AA446" s="708"/>
      <c r="AB446" s="708"/>
      <c r="AC446" s="708"/>
      <c r="AD446" s="708"/>
      <c r="AE446" s="708"/>
      <c r="AF446" s="708"/>
      <c r="AG446" s="708"/>
      <c r="AH446" s="708"/>
      <c r="AI446" s="708"/>
      <c r="AJ446" s="708"/>
      <c r="AK446" s="708"/>
      <c r="AL446" s="708"/>
      <c r="AM446" s="708"/>
      <c r="AN446" s="708"/>
      <c r="AO446" s="709"/>
      <c r="AP446" s="710"/>
      <c r="AQ446" s="763" t="str">
        <f t="shared" si="46"/>
        <v/>
      </c>
      <c r="AS446" s="268"/>
      <c r="AV446" s="699"/>
      <c r="AW446" s="700">
        <v>3.7999999999999999E-2</v>
      </c>
      <c r="AX446" s="382">
        <f t="shared" si="44"/>
        <v>0</v>
      </c>
      <c r="AY446" s="379" t="str">
        <f t="shared" ca="1" si="47"/>
        <v>K&amp;H</v>
      </c>
      <c r="AZ446" s="384">
        <f t="shared" si="45"/>
        <v>0</v>
      </c>
      <c r="BA446" s="642"/>
    </row>
    <row r="447" spans="1:53" ht="13.5" customHeight="1" x14ac:dyDescent="0.2">
      <c r="A447" s="867"/>
      <c r="AV447" s="699"/>
      <c r="AW447" s="700">
        <v>3.8100000000000002E-2</v>
      </c>
      <c r="AX447" s="642"/>
      <c r="AY447" s="642"/>
      <c r="BA447" s="642"/>
    </row>
    <row r="448" spans="1:53" ht="1.5" customHeight="1" x14ac:dyDescent="0.2">
      <c r="A448" s="867"/>
      <c r="AV448" s="699"/>
      <c r="AW448" s="700">
        <v>3.8199999999999998E-2</v>
      </c>
    </row>
    <row r="449" spans="1:54" s="186" customFormat="1" ht="11.25" hidden="1" customHeight="1" x14ac:dyDescent="0.2">
      <c r="A449" s="867"/>
      <c r="AS449" s="672"/>
      <c r="AU449" s="669"/>
      <c r="AV449" s="699"/>
      <c r="AW449" s="700">
        <v>3.8300000000000001E-2</v>
      </c>
      <c r="AX449" s="643"/>
      <c r="AY449" s="643"/>
      <c r="AZ449" s="671"/>
      <c r="BA449" s="643"/>
      <c r="BB449" s="669"/>
    </row>
    <row r="450" spans="1:54" s="673" customFormat="1" ht="13.5" hidden="1" customHeight="1" x14ac:dyDescent="0.2">
      <c r="A450" s="867"/>
      <c r="D450" s="674"/>
      <c r="E450" s="674"/>
      <c r="F450" s="674"/>
      <c r="G450" s="674"/>
      <c r="H450" s="674"/>
      <c r="I450" s="674"/>
      <c r="J450" s="674"/>
      <c r="K450" s="674"/>
      <c r="L450" s="674"/>
      <c r="M450" s="674"/>
      <c r="N450" s="674"/>
      <c r="O450" s="674"/>
      <c r="P450" s="674"/>
      <c r="Q450" s="674"/>
      <c r="R450" s="674"/>
      <c r="S450" s="674"/>
      <c r="T450" s="674"/>
      <c r="U450" s="674"/>
      <c r="V450" s="674"/>
      <c r="W450" s="674"/>
      <c r="X450" s="674"/>
      <c r="Y450" s="674"/>
      <c r="Z450" s="674"/>
      <c r="AA450" s="674"/>
      <c r="AB450" s="674"/>
      <c r="AC450" s="674"/>
      <c r="AD450" s="674"/>
      <c r="AE450" s="674"/>
      <c r="AF450" s="674"/>
      <c r="AG450" s="674"/>
      <c r="AH450" s="674"/>
      <c r="AI450" s="674"/>
      <c r="AJ450" s="674"/>
      <c r="AK450" s="674"/>
      <c r="AL450" s="674"/>
      <c r="AM450" s="674"/>
      <c r="AN450" s="674"/>
      <c r="AO450" s="674"/>
      <c r="AP450" s="674"/>
      <c r="AS450" s="675"/>
      <c r="AU450" s="643"/>
      <c r="AV450" s="699"/>
      <c r="AW450" s="700">
        <v>3.8399999999999997E-2</v>
      </c>
      <c r="AX450" s="643"/>
      <c r="AY450" s="643"/>
      <c r="AZ450" s="671"/>
      <c r="BA450" s="643"/>
      <c r="BB450" s="643"/>
    </row>
    <row r="451" spans="1:54" s="673" customFormat="1" ht="13.5" hidden="1" customHeight="1" x14ac:dyDescent="0.2">
      <c r="A451" s="867"/>
      <c r="C451" s="324">
        <f>C401+1</f>
        <v>9</v>
      </c>
      <c r="D451" s="383"/>
      <c r="E451" s="383">
        <v>1</v>
      </c>
      <c r="F451" s="383">
        <v>2</v>
      </c>
      <c r="G451" s="383">
        <v>3</v>
      </c>
      <c r="H451" s="383">
        <v>4</v>
      </c>
      <c r="I451" s="383">
        <v>5</v>
      </c>
      <c r="J451" s="383">
        <v>6</v>
      </c>
      <c r="K451" s="383">
        <v>7</v>
      </c>
      <c r="L451" s="383">
        <v>8</v>
      </c>
      <c r="M451" s="383">
        <v>9</v>
      </c>
      <c r="N451" s="383">
        <v>10</v>
      </c>
      <c r="O451" s="383">
        <v>11</v>
      </c>
      <c r="P451" s="383">
        <v>12</v>
      </c>
      <c r="Q451" s="383">
        <v>13</v>
      </c>
      <c r="R451" s="383">
        <v>14</v>
      </c>
      <c r="S451" s="383">
        <v>15</v>
      </c>
      <c r="T451" s="383">
        <v>16</v>
      </c>
      <c r="U451" s="383">
        <v>17</v>
      </c>
      <c r="V451" s="383">
        <v>18</v>
      </c>
      <c r="W451" s="383">
        <v>19</v>
      </c>
      <c r="X451" s="383">
        <v>20</v>
      </c>
      <c r="Y451" s="383">
        <v>21</v>
      </c>
      <c r="Z451" s="751">
        <v>22</v>
      </c>
      <c r="AA451" s="383">
        <v>23</v>
      </c>
      <c r="AB451" s="383">
        <v>24</v>
      </c>
      <c r="AC451" s="383">
        <v>25</v>
      </c>
      <c r="AD451" s="383">
        <v>26</v>
      </c>
      <c r="AE451" s="383">
        <v>27</v>
      </c>
      <c r="AF451" s="383"/>
      <c r="AG451" s="383"/>
      <c r="AH451" s="383"/>
      <c r="AI451" s="383"/>
      <c r="AJ451" s="383"/>
      <c r="AK451" s="383"/>
      <c r="AL451" s="383"/>
      <c r="AM451" s="383"/>
      <c r="AN451" s="383"/>
      <c r="AO451" s="383"/>
      <c r="AP451" s="674"/>
      <c r="AS451" s="675"/>
      <c r="AU451" s="643"/>
      <c r="AV451" s="699"/>
      <c r="AW451" s="700">
        <v>3.85E-2</v>
      </c>
      <c r="AX451" s="643"/>
      <c r="AY451" s="643"/>
      <c r="AZ451" s="671"/>
      <c r="BA451" s="643"/>
      <c r="BB451" s="643"/>
    </row>
    <row r="452" spans="1:54" s="673" customFormat="1" ht="13.5" hidden="1" customHeight="1" x14ac:dyDescent="0.2">
      <c r="A452" s="867"/>
      <c r="D452" s="383"/>
      <c r="E452" s="383"/>
      <c r="F452" s="383"/>
      <c r="G452" s="383"/>
      <c r="H452" s="383"/>
      <c r="I452" s="383"/>
      <c r="J452" s="383"/>
      <c r="K452" s="383"/>
      <c r="L452" s="383"/>
      <c r="M452" s="383"/>
      <c r="N452" s="383"/>
      <c r="O452" s="383"/>
      <c r="P452" s="383"/>
      <c r="Q452" s="383"/>
      <c r="R452" s="383"/>
      <c r="S452" s="383"/>
      <c r="T452" s="383"/>
      <c r="U452" s="383"/>
      <c r="V452" s="383"/>
      <c r="W452" s="383"/>
      <c r="X452" s="383"/>
      <c r="Y452" s="383"/>
      <c r="Z452" s="751"/>
      <c r="AA452" s="383"/>
      <c r="AB452" s="383"/>
      <c r="AC452" s="383"/>
      <c r="AD452" s="383"/>
      <c r="AE452" s="383"/>
      <c r="AF452" s="383"/>
      <c r="AG452" s="383"/>
      <c r="AH452" s="383"/>
      <c r="AI452" s="383"/>
      <c r="AJ452" s="383"/>
      <c r="AK452" s="383"/>
      <c r="AL452" s="383"/>
      <c r="AM452" s="383"/>
      <c r="AN452" s="383"/>
      <c r="AO452" s="383"/>
      <c r="AP452" s="674"/>
      <c r="AS452" s="675"/>
      <c r="AU452" s="643"/>
      <c r="AV452" s="699"/>
      <c r="AW452" s="700">
        <v>3.8600000000000002E-2</v>
      </c>
      <c r="AX452" s="643"/>
      <c r="AY452" s="643"/>
      <c r="AZ452" s="671"/>
      <c r="BA452" s="643"/>
      <c r="BB452" s="643"/>
    </row>
    <row r="453" spans="1:54" s="673" customFormat="1" ht="13.5" hidden="1" customHeight="1" x14ac:dyDescent="0.2">
      <c r="A453" s="867"/>
      <c r="D453" s="676"/>
      <c r="E453" s="676">
        <f t="shared" ref="E453:AE453" si="48">E$53</f>
        <v>1</v>
      </c>
      <c r="F453" s="676">
        <f t="shared" si="48"/>
        <v>17</v>
      </c>
      <c r="G453" s="676">
        <f t="shared" si="48"/>
        <v>33</v>
      </c>
      <c r="H453" s="676">
        <f t="shared" si="48"/>
        <v>49</v>
      </c>
      <c r="I453" s="676">
        <f t="shared" si="48"/>
        <v>65</v>
      </c>
      <c r="J453" s="676">
        <f t="shared" si="48"/>
        <v>81</v>
      </c>
      <c r="K453" s="676">
        <f t="shared" si="48"/>
        <v>97</v>
      </c>
      <c r="L453" s="676">
        <f t="shared" si="48"/>
        <v>113</v>
      </c>
      <c r="M453" s="676">
        <f t="shared" si="48"/>
        <v>129</v>
      </c>
      <c r="N453" s="676">
        <f t="shared" si="48"/>
        <v>145</v>
      </c>
      <c r="O453" s="676">
        <f t="shared" si="48"/>
        <v>161</v>
      </c>
      <c r="P453" s="676">
        <f t="shared" si="48"/>
        <v>177</v>
      </c>
      <c r="Q453" s="676">
        <f t="shared" si="48"/>
        <v>193</v>
      </c>
      <c r="R453" s="676">
        <f t="shared" si="48"/>
        <v>209</v>
      </c>
      <c r="S453" s="676">
        <f t="shared" si="48"/>
        <v>225</v>
      </c>
      <c r="T453" s="676">
        <f t="shared" si="48"/>
        <v>241</v>
      </c>
      <c r="U453" s="676">
        <f t="shared" si="48"/>
        <v>257</v>
      </c>
      <c r="V453" s="676">
        <f t="shared" si="48"/>
        <v>273</v>
      </c>
      <c r="W453" s="676">
        <f t="shared" si="48"/>
        <v>289</v>
      </c>
      <c r="X453" s="676">
        <f t="shared" si="48"/>
        <v>305</v>
      </c>
      <c r="Y453" s="676">
        <f t="shared" si="48"/>
        <v>321</v>
      </c>
      <c r="Z453" s="676">
        <f t="shared" si="48"/>
        <v>337</v>
      </c>
      <c r="AA453" s="676">
        <f t="shared" si="48"/>
        <v>1</v>
      </c>
      <c r="AB453" s="676">
        <f t="shared" si="48"/>
        <v>19</v>
      </c>
      <c r="AC453" s="676">
        <f t="shared" si="48"/>
        <v>37</v>
      </c>
      <c r="AD453" s="676">
        <f t="shared" si="48"/>
        <v>55</v>
      </c>
      <c r="AE453" s="676">
        <f t="shared" si="48"/>
        <v>73</v>
      </c>
      <c r="AF453" s="676"/>
      <c r="AG453" s="676"/>
      <c r="AH453" s="676"/>
      <c r="AI453" s="676"/>
      <c r="AJ453" s="676"/>
      <c r="AK453" s="676"/>
      <c r="AL453" s="676"/>
      <c r="AM453" s="676"/>
      <c r="AN453" s="676"/>
      <c r="AO453" s="676"/>
      <c r="AP453" s="674"/>
      <c r="AS453" s="675"/>
      <c r="AU453" s="643"/>
      <c r="AV453" s="699"/>
      <c r="AW453" s="700">
        <v>3.8699999999999998E-2</v>
      </c>
      <c r="AX453" s="643"/>
      <c r="AY453" s="643"/>
      <c r="AZ453" s="671"/>
      <c r="BA453" s="643"/>
      <c r="BB453" s="643"/>
    </row>
    <row r="454" spans="1:54" s="673" customFormat="1" ht="13.5" hidden="1" customHeight="1" x14ac:dyDescent="0.2">
      <c r="A454" s="867"/>
      <c r="D454" s="677"/>
      <c r="E454" s="749" t="b">
        <f ca="1">COUNTIF(OFFSET(ASZ!$AB$42,E453,-4,12,2),$C462)=0</f>
        <v>0</v>
      </c>
      <c r="F454" s="749" t="b">
        <f ca="1">COUNTIF(OFFSET(ASZ!$AB$42,F453,-4,12,2),$C462)=0</f>
        <v>0</v>
      </c>
      <c r="G454" s="749" t="b">
        <f ca="1">COUNTIF(OFFSET(ASZ!$AB$42,G453,-4,12,2),$C462)=0</f>
        <v>0</v>
      </c>
      <c r="H454" s="749" t="b">
        <f ca="1">COUNTIF(OFFSET(ASZ!$AB$42,H453,-4,12,2),$C462)=0</f>
        <v>0</v>
      </c>
      <c r="I454" s="749" t="b">
        <f ca="1">COUNTIF(OFFSET(ASZ!$AB$42,I453,-4,12,2),$C462)=0</f>
        <v>0</v>
      </c>
      <c r="J454" s="749" t="b">
        <f ca="1">COUNTIF(OFFSET(ASZ!$AB$42,J453,-4,12,2),$C462)=0</f>
        <v>0</v>
      </c>
      <c r="K454" s="749" t="b">
        <f ca="1">COUNTIF(OFFSET(ASZ!$AB$42,K453,-4,12,2),$C462)=0</f>
        <v>0</v>
      </c>
      <c r="L454" s="749" t="b">
        <f ca="1">COUNTIF(OFFSET(ASZ!$AB$42,L453,-4,12,2),$C462)=0</f>
        <v>0</v>
      </c>
      <c r="M454" s="749" t="b">
        <f ca="1">COUNTIF(OFFSET(ASZ!$AB$42,M453,-4,12,2),$C462)=0</f>
        <v>0</v>
      </c>
      <c r="N454" s="749" t="b">
        <f ca="1">COUNTIF(OFFSET(ASZ!$AB$42,N453,-4,12,2),$C462)=0</f>
        <v>0</v>
      </c>
      <c r="O454" s="749" t="b">
        <f ca="1">COUNTIF(OFFSET(ASZ!$AB$42,O453,-4,12,2),$C462)=0</f>
        <v>0</v>
      </c>
      <c r="P454" s="749" t="b">
        <f ca="1">COUNTIF(OFFSET(ASZ!$AB$42,P453,-4,12,2),$C462)=0</f>
        <v>0</v>
      </c>
      <c r="Q454" s="749" t="b">
        <f ca="1">COUNTIF(OFFSET(ASZ!$AB$42,Q453,-4,12,2),$C462)=0</f>
        <v>0</v>
      </c>
      <c r="R454" s="749" t="b">
        <f ca="1">COUNTIF(OFFSET(ASZ!$AB$42,R453,-4,12,2),$C462)=0</f>
        <v>0</v>
      </c>
      <c r="S454" s="749" t="b">
        <f ca="1">COUNTIF(OFFSET(ASZ!$AB$42,S453,-4,12,2),$C462)=0</f>
        <v>0</v>
      </c>
      <c r="T454" s="749" t="b">
        <f ca="1">COUNTIF(OFFSET(ASZ!$AB$42,T453,-4,12,2),$C462)=0</f>
        <v>0</v>
      </c>
      <c r="U454" s="749" t="b">
        <f ca="1">COUNTIF(OFFSET(ASZ!$AB$42,U453,-4,12,2),$C462)=0</f>
        <v>0</v>
      </c>
      <c r="V454" s="749" t="b">
        <f ca="1">COUNTIF(OFFSET(ASZ!$AB$42,V453,-4,12,2),$C462)=0</f>
        <v>0</v>
      </c>
      <c r="W454" s="749" t="b">
        <f ca="1">COUNTIF(OFFSET(ASZ!$AB$42,W453,-4,12,2),$C462)=0</f>
        <v>0</v>
      </c>
      <c r="X454" s="749" t="b">
        <f ca="1">COUNTIF(OFFSET(ASZ!$AB$42,X453,-4,12,2),$C462)=0</f>
        <v>0</v>
      </c>
      <c r="Y454" s="749" t="b">
        <f ca="1">COUNTIF(OFFSET(ASZ!$AB$42,Y453,-4,12,2),$C462)=0</f>
        <v>0</v>
      </c>
      <c r="Z454" s="753" t="b">
        <f ca="1">COUNTIF(OFFSET(ASZ!$AB$42,Z453,-4,12,2),$C462)=0</f>
        <v>0</v>
      </c>
      <c r="AA454" s="749" t="b">
        <f ca="1">COUNTIF(OFFSET(RCSOP!$AF$56,AA453,-4,14,2),$C462)=0</f>
        <v>0</v>
      </c>
      <c r="AB454" s="749" t="b">
        <f ca="1">COUNTIF(OFFSET(RCSOP!$AF$56,AB453,-4,14,2),$C462)=0</f>
        <v>0</v>
      </c>
      <c r="AC454" s="749" t="b">
        <f ca="1">COUNTIF(OFFSET(RCSOP!$AF$56,AC453,-4,14,2),$C462)=0</f>
        <v>0</v>
      </c>
      <c r="AD454" s="749" t="b">
        <f ca="1">COUNTIF(OFFSET(RCSOP!$AF$56,AD453,-4,14,2),$C462)=0</f>
        <v>0</v>
      </c>
      <c r="AE454" s="749" t="b">
        <f ca="1">COUNTIF(OFFSET(RCSOP!$AF$56,AE453,-4,14,2),$C462)=0</f>
        <v>0</v>
      </c>
      <c r="AF454" s="677"/>
      <c r="AG454" s="677"/>
      <c r="AH454" s="677"/>
      <c r="AI454" s="677"/>
      <c r="AJ454" s="677"/>
      <c r="AK454" s="677"/>
      <c r="AL454" s="677"/>
      <c r="AM454" s="677"/>
      <c r="AN454" s="677"/>
      <c r="AO454" s="677"/>
      <c r="AP454" s="674"/>
      <c r="AS454" s="675"/>
      <c r="AU454" s="643"/>
      <c r="AV454" s="699"/>
      <c r="AW454" s="700">
        <v>3.8800000000000001E-2</v>
      </c>
      <c r="AY454" s="643"/>
      <c r="AZ454" s="671"/>
      <c r="BA454" s="643"/>
      <c r="BB454" s="643"/>
    </row>
    <row r="455" spans="1:54" s="673" customFormat="1" ht="13.5" hidden="1" customHeight="1" x14ac:dyDescent="0.2">
      <c r="A455" s="867"/>
      <c r="D455" s="677"/>
      <c r="E455" s="749" t="b">
        <f ca="1">COUNTIF(OFFSET(ASZ!$AB$42,E453,-4,12,1),$C462)=1</f>
        <v>0</v>
      </c>
      <c r="F455" s="749" t="b">
        <f ca="1">COUNTIF(OFFSET(ASZ!$AB$42,F453,-4,12,1),$C462)=1</f>
        <v>0</v>
      </c>
      <c r="G455" s="749" t="b">
        <f ca="1">COUNTIF(OFFSET(ASZ!$AB$42,G453,-4,12,1),$C462)=1</f>
        <v>0</v>
      </c>
      <c r="H455" s="749" t="b">
        <f ca="1">COUNTIF(OFFSET(ASZ!$AB$42,H453,-4,12,1),$C462)=1</f>
        <v>0</v>
      </c>
      <c r="I455" s="749" t="b">
        <f ca="1">COUNTIF(OFFSET(ASZ!$AB$42,I453,-4,12,1),$C462)=1</f>
        <v>0</v>
      </c>
      <c r="J455" s="749" t="b">
        <f ca="1">COUNTIF(OFFSET(ASZ!$AB$42,J453,-4,12,1),$C462)=1</f>
        <v>0</v>
      </c>
      <c r="K455" s="749" t="b">
        <f ca="1">COUNTIF(OFFSET(ASZ!$AB$42,K453,-4,12,1),$C462)=1</f>
        <v>0</v>
      </c>
      <c r="L455" s="749" t="b">
        <f ca="1">COUNTIF(OFFSET(ASZ!$AB$42,L453,-4,12,1),$C462)=1</f>
        <v>1</v>
      </c>
      <c r="M455" s="749" t="b">
        <f ca="1">COUNTIF(OFFSET(ASZ!$AB$42,M453,-4,12,1),$C462)=1</f>
        <v>0</v>
      </c>
      <c r="N455" s="749" t="b">
        <f ca="1">COUNTIF(OFFSET(ASZ!$AB$42,N453,-4,12,1),$C462)=1</f>
        <v>1</v>
      </c>
      <c r="O455" s="749" t="b">
        <f ca="1">COUNTIF(OFFSET(ASZ!$AB$42,O453,-4,12,1),$C462)=1</f>
        <v>0</v>
      </c>
      <c r="P455" s="749" t="b">
        <f ca="1">COUNTIF(OFFSET(ASZ!$AB$42,P453,-4,12,1),$C462)=1</f>
        <v>1</v>
      </c>
      <c r="Q455" s="749" t="b">
        <f ca="1">COUNTIF(OFFSET(ASZ!$AB$42,Q453,-4,12,1),$C462)=1</f>
        <v>1</v>
      </c>
      <c r="R455" s="749" t="b">
        <f ca="1">COUNTIF(OFFSET(ASZ!$AB$42,R453,-4,12,1),$C462)=1</f>
        <v>1</v>
      </c>
      <c r="S455" s="749" t="b">
        <f ca="1">COUNTIF(OFFSET(ASZ!$AB$42,S453,-4,12,1),$C462)=1</f>
        <v>1</v>
      </c>
      <c r="T455" s="749" t="b">
        <f ca="1">COUNTIF(OFFSET(ASZ!$AB$42,T453,-4,12,1),$C462)=1</f>
        <v>1</v>
      </c>
      <c r="U455" s="749" t="b">
        <f ca="1">COUNTIF(OFFSET(ASZ!$AB$42,U453,-4,12,1),$C462)=1</f>
        <v>1</v>
      </c>
      <c r="V455" s="749" t="b">
        <f ca="1">COUNTIF(OFFSET(ASZ!$AB$42,V453,-4,12,1),$C462)=1</f>
        <v>1</v>
      </c>
      <c r="W455" s="749" t="b">
        <f ca="1">COUNTIF(OFFSET(ASZ!$AB$42,W453,-4,12,1),$C462)=1</f>
        <v>1</v>
      </c>
      <c r="X455" s="749" t="b">
        <f ca="1">COUNTIF(OFFSET(ASZ!$AB$42,X453,-4,12,1),$C462)=1</f>
        <v>1</v>
      </c>
      <c r="Y455" s="749" t="b">
        <f ca="1">COUNTIF(OFFSET(ASZ!$AB$42,Y453,-4,12,1),$C462)=1</f>
        <v>0</v>
      </c>
      <c r="Z455" s="753" t="b">
        <f ca="1">COUNTIF(OFFSET(ASZ!$AB$42,Z453,-4,12,1),$C462)=1</f>
        <v>1</v>
      </c>
      <c r="AA455" s="749" t="b">
        <f ca="1">COUNTIF(OFFSET(RCSOP!$AF$56,AA453,-4,14,1),$C462)=1</f>
        <v>0</v>
      </c>
      <c r="AB455" s="749" t="b">
        <f ca="1">COUNTIF(OFFSET(RCSOP!$AF$56,AB453,-4,14,1),$C462)=1</f>
        <v>0</v>
      </c>
      <c r="AC455" s="749" t="b">
        <f ca="1">COUNTIF(OFFSET(RCSOP!$AF$56,AC453,-4,14,1),$C462)=1</f>
        <v>1</v>
      </c>
      <c r="AD455" s="749" t="b">
        <f ca="1">COUNTIF(OFFSET(RCSOP!$AF$56,AD453,-4,14,1),$C462)=1</f>
        <v>0</v>
      </c>
      <c r="AE455" s="749" t="b">
        <f ca="1">COUNTIF(OFFSET(RCSOP!$AF$56,AE453,-4,14,1),$C462)=1</f>
        <v>0</v>
      </c>
      <c r="AF455" s="677"/>
      <c r="AG455" s="677"/>
      <c r="AH455" s="677"/>
      <c r="AI455" s="677"/>
      <c r="AJ455" s="677"/>
      <c r="AK455" s="677"/>
      <c r="AL455" s="677"/>
      <c r="AM455" s="677"/>
      <c r="AN455" s="677"/>
      <c r="AO455" s="677"/>
      <c r="AP455" s="674"/>
      <c r="AS455" s="675"/>
      <c r="AU455" s="643"/>
      <c r="AV455" s="699"/>
      <c r="AW455" s="700">
        <v>3.8899999999999997E-2</v>
      </c>
      <c r="AX455" s="643"/>
      <c r="AY455" s="643"/>
      <c r="AZ455" s="671"/>
      <c r="BA455" s="643"/>
      <c r="BB455" s="643"/>
    </row>
    <row r="456" spans="1:54" s="673" customFormat="1" ht="13.5" hidden="1" customHeight="1" x14ac:dyDescent="0.2">
      <c r="A456" s="867"/>
      <c r="D456" s="674"/>
      <c r="E456" s="674"/>
      <c r="F456" s="674"/>
      <c r="G456" s="674"/>
      <c r="H456" s="674"/>
      <c r="I456" s="674"/>
      <c r="J456" s="674"/>
      <c r="K456" s="674"/>
      <c r="L456" s="674"/>
      <c r="M456" s="674"/>
      <c r="N456" s="674"/>
      <c r="O456" s="674"/>
      <c r="P456" s="674"/>
      <c r="Q456" s="674"/>
      <c r="R456" s="674"/>
      <c r="S456" s="674"/>
      <c r="T456" s="674"/>
      <c r="U456" s="674"/>
      <c r="V456" s="674"/>
      <c r="W456" s="674"/>
      <c r="X456" s="674"/>
      <c r="Y456" s="674"/>
      <c r="Z456" s="674"/>
      <c r="AA456" s="674"/>
      <c r="AB456" s="674"/>
      <c r="AC456" s="674"/>
      <c r="AD456" s="674"/>
      <c r="AE456" s="674"/>
      <c r="AF456" s="674"/>
      <c r="AG456" s="674"/>
      <c r="AH456" s="674"/>
      <c r="AI456" s="674"/>
      <c r="AJ456" s="674"/>
      <c r="AK456" s="674"/>
      <c r="AL456" s="674"/>
      <c r="AM456" s="674"/>
      <c r="AN456" s="674"/>
      <c r="AO456" s="674"/>
      <c r="AP456" s="674"/>
      <c r="AS456" s="675"/>
      <c r="AU456" s="643"/>
      <c r="AV456" s="699"/>
      <c r="AW456" s="700">
        <v>3.9E-2</v>
      </c>
      <c r="AX456" s="643"/>
      <c r="AY456" s="643"/>
      <c r="AZ456" s="671"/>
      <c r="BA456" s="643"/>
      <c r="BB456" s="643"/>
    </row>
    <row r="457" spans="1:54" s="673" customFormat="1" ht="13.5" hidden="1" customHeight="1" x14ac:dyDescent="0.2">
      <c r="A457" s="867"/>
      <c r="D457" s="674"/>
      <c r="E457" s="674"/>
      <c r="F457" s="674"/>
      <c r="G457" s="674"/>
      <c r="H457" s="674"/>
      <c r="I457" s="674"/>
      <c r="J457" s="674"/>
      <c r="K457" s="674"/>
      <c r="L457" s="674"/>
      <c r="M457" s="674"/>
      <c r="N457" s="674"/>
      <c r="O457" s="674"/>
      <c r="P457" s="674"/>
      <c r="Q457" s="674"/>
      <c r="R457" s="674"/>
      <c r="S457" s="674"/>
      <c r="T457" s="674"/>
      <c r="U457" s="674"/>
      <c r="V457" s="674"/>
      <c r="W457" s="674"/>
      <c r="X457" s="674"/>
      <c r="Y457" s="674"/>
      <c r="Z457" s="674"/>
      <c r="AA457" s="674"/>
      <c r="AB457" s="674"/>
      <c r="AC457" s="674"/>
      <c r="AD457" s="674"/>
      <c r="AE457" s="674"/>
      <c r="AF457" s="674"/>
      <c r="AG457" s="674"/>
      <c r="AH457" s="674"/>
      <c r="AI457" s="674"/>
      <c r="AJ457" s="674"/>
      <c r="AK457" s="674"/>
      <c r="AL457" s="674"/>
      <c r="AM457" s="674"/>
      <c r="AN457" s="674"/>
      <c r="AO457" s="674"/>
      <c r="AP457" s="674"/>
      <c r="AS457" s="675"/>
      <c r="AU457" s="643"/>
      <c r="AV457" s="699"/>
      <c r="AW457" s="700">
        <v>3.9100000000000003E-2</v>
      </c>
      <c r="AX457" s="643"/>
      <c r="AY457" s="643"/>
      <c r="AZ457" s="671"/>
      <c r="BA457" s="643"/>
      <c r="BB457" s="643"/>
    </row>
    <row r="458" spans="1:54" s="673" customFormat="1" ht="13.5" hidden="1" customHeight="1" x14ac:dyDescent="0.2">
      <c r="A458" s="867"/>
      <c r="D458" s="674"/>
      <c r="E458" s="674"/>
      <c r="F458" s="674"/>
      <c r="G458" s="674"/>
      <c r="H458" s="674"/>
      <c r="I458" s="674"/>
      <c r="J458" s="674"/>
      <c r="K458" s="674"/>
      <c r="L458" s="674"/>
      <c r="M458" s="674"/>
      <c r="N458" s="674"/>
      <c r="O458" s="674"/>
      <c r="P458" s="674"/>
      <c r="Q458" s="674"/>
      <c r="R458" s="674"/>
      <c r="S458" s="674"/>
      <c r="T458" s="674"/>
      <c r="U458" s="674"/>
      <c r="V458" s="674"/>
      <c r="W458" s="674"/>
      <c r="X458" s="674"/>
      <c r="Y458" s="674"/>
      <c r="Z458" s="674"/>
      <c r="AA458" s="674"/>
      <c r="AB458" s="674"/>
      <c r="AC458" s="674"/>
      <c r="AD458" s="674"/>
      <c r="AE458" s="674"/>
      <c r="AF458" s="674"/>
      <c r="AG458" s="674"/>
      <c r="AH458" s="674"/>
      <c r="AI458" s="674"/>
      <c r="AJ458" s="674"/>
      <c r="AK458" s="674"/>
      <c r="AL458" s="674"/>
      <c r="AM458" s="674"/>
      <c r="AN458" s="674"/>
      <c r="AO458" s="674"/>
      <c r="AP458" s="674"/>
      <c r="AS458" s="675"/>
      <c r="AU458" s="643"/>
      <c r="AV458" s="699"/>
      <c r="AW458" s="700">
        <v>3.9199999999999999E-2</v>
      </c>
      <c r="AX458" s="643"/>
      <c r="AY458" s="643"/>
      <c r="AZ458" s="671"/>
      <c r="BA458" s="643"/>
      <c r="BB458" s="643"/>
    </row>
    <row r="459" spans="1:54" s="673" customFormat="1" ht="13.5" hidden="1" customHeight="1" x14ac:dyDescent="0.2">
      <c r="A459" s="867"/>
      <c r="D459" s="674"/>
      <c r="E459" s="674"/>
      <c r="F459" s="674"/>
      <c r="G459" s="674"/>
      <c r="H459" s="674"/>
      <c r="I459" s="674"/>
      <c r="J459" s="674"/>
      <c r="K459" s="674"/>
      <c r="L459" s="674"/>
      <c r="M459" s="674"/>
      <c r="N459" s="674"/>
      <c r="O459" s="674"/>
      <c r="P459" s="674"/>
      <c r="Q459" s="674"/>
      <c r="R459" s="674"/>
      <c r="S459" s="674"/>
      <c r="T459" s="674"/>
      <c r="U459" s="674"/>
      <c r="V459" s="674"/>
      <c r="W459" s="674"/>
      <c r="X459" s="674"/>
      <c r="Y459" s="674"/>
      <c r="Z459" s="674"/>
      <c r="AA459" s="674"/>
      <c r="AB459" s="674"/>
      <c r="AC459" s="674"/>
      <c r="AD459" s="674"/>
      <c r="AE459" s="674"/>
      <c r="AF459" s="674"/>
      <c r="AG459" s="674"/>
      <c r="AH459" s="674"/>
      <c r="AI459" s="674"/>
      <c r="AJ459" s="674"/>
      <c r="AK459" s="674"/>
      <c r="AL459" s="674"/>
      <c r="AM459" s="674"/>
      <c r="AN459" s="674"/>
      <c r="AO459" s="674"/>
      <c r="AP459" s="674"/>
      <c r="AS459" s="675"/>
      <c r="AU459" s="643"/>
      <c r="AV459" s="699"/>
      <c r="AW459" s="700">
        <v>3.9300000000000002E-2</v>
      </c>
      <c r="AX459" s="643"/>
      <c r="AY459" s="643"/>
      <c r="AZ459" s="671"/>
      <c r="BA459" s="643"/>
      <c r="BB459" s="643"/>
    </row>
    <row r="460" spans="1:54" s="673" customFormat="1" ht="13.5" hidden="1" customHeight="1" x14ac:dyDescent="0.2">
      <c r="A460" s="867"/>
      <c r="D460" s="674"/>
      <c r="E460" s="674"/>
      <c r="F460" s="674"/>
      <c r="G460" s="674"/>
      <c r="H460" s="674"/>
      <c r="I460" s="674"/>
      <c r="J460" s="674"/>
      <c r="K460" s="674"/>
      <c r="L460" s="674"/>
      <c r="M460" s="674"/>
      <c r="N460" s="674"/>
      <c r="O460" s="674"/>
      <c r="P460" s="674"/>
      <c r="Q460" s="674"/>
      <c r="R460" s="674"/>
      <c r="S460" s="674"/>
      <c r="T460" s="674"/>
      <c r="U460" s="674"/>
      <c r="V460" s="674"/>
      <c r="W460" s="674"/>
      <c r="X460" s="674"/>
      <c r="Y460" s="674"/>
      <c r="Z460" s="674"/>
      <c r="AA460" s="674"/>
      <c r="AB460" s="674"/>
      <c r="AC460" s="674"/>
      <c r="AD460" s="674"/>
      <c r="AE460" s="674"/>
      <c r="AF460" s="674"/>
      <c r="AG460" s="674"/>
      <c r="AH460" s="674"/>
      <c r="AI460" s="674"/>
      <c r="AJ460" s="674"/>
      <c r="AK460" s="674"/>
      <c r="AL460" s="674"/>
      <c r="AM460" s="674"/>
      <c r="AN460" s="674"/>
      <c r="AO460" s="674"/>
      <c r="AP460" s="674"/>
      <c r="AS460" s="675"/>
      <c r="AU460" s="643"/>
      <c r="AV460" s="699"/>
      <c r="AW460" s="700">
        <v>3.9399999999999998E-2</v>
      </c>
      <c r="AX460" s="643"/>
      <c r="AY460" s="643"/>
      <c r="AZ460" s="671"/>
      <c r="BA460" s="643"/>
      <c r="BB460" s="643"/>
    </row>
    <row r="461" spans="1:54" s="186" customFormat="1" ht="11.25" hidden="1" customHeight="1" x14ac:dyDescent="0.2">
      <c r="A461" s="867"/>
      <c r="D461" s="678"/>
      <c r="E461" s="678"/>
      <c r="F461" s="678"/>
      <c r="G461" s="678"/>
      <c r="H461" s="678"/>
      <c r="I461" s="678"/>
      <c r="J461" s="678"/>
      <c r="K461" s="678"/>
      <c r="L461" s="678"/>
      <c r="M461" s="678"/>
      <c r="N461" s="678"/>
      <c r="O461" s="678"/>
      <c r="P461" s="678"/>
      <c r="Q461" s="678"/>
      <c r="R461" s="678"/>
      <c r="S461" s="678"/>
      <c r="T461" s="678"/>
      <c r="U461" s="678"/>
      <c r="V461" s="678"/>
      <c r="W461" s="678"/>
      <c r="X461" s="678"/>
      <c r="Y461" s="678"/>
      <c r="Z461" s="678"/>
      <c r="AA461" s="678"/>
      <c r="AB461" s="678"/>
      <c r="AC461" s="678"/>
      <c r="AD461" s="678"/>
      <c r="AE461" s="678"/>
      <c r="AF461" s="678"/>
      <c r="AG461" s="678"/>
      <c r="AH461" s="678"/>
      <c r="AI461" s="678"/>
      <c r="AJ461" s="678"/>
      <c r="AK461" s="678"/>
      <c r="AL461" s="678"/>
      <c r="AM461" s="678"/>
      <c r="AN461" s="678"/>
      <c r="AO461" s="678"/>
      <c r="AP461" s="678"/>
      <c r="AS461" s="672"/>
      <c r="AU461" s="669"/>
      <c r="AV461" s="699"/>
      <c r="AW461" s="700">
        <v>3.95E-2</v>
      </c>
      <c r="AX461" s="643"/>
      <c r="AY461" s="643"/>
      <c r="AZ461" s="671"/>
      <c r="BA461" s="643"/>
      <c r="BB461" s="669"/>
    </row>
    <row r="462" spans="1:54" ht="30" customHeight="1" x14ac:dyDescent="0.2">
      <c r="A462" s="867"/>
      <c r="C462" s="679" t="str">
        <f ca="1">UPPER(INDEX(teams.a,C451,1))</f>
        <v>ROYAL GUARD'S</v>
      </c>
      <c r="D462" s="743"/>
      <c r="E462" s="743">
        <f ca="1">IF(E454,"",VLOOKUP($C462,OFFSET(ASZ!$AB$42,E453,IF(E455,-4,-3),12,12),IF(E455,12,11),FALSE))</f>
        <v>42088</v>
      </c>
      <c r="F462" s="743">
        <f ca="1">IF(F454,"",VLOOKUP($C462,OFFSET(ASZ!$AB$42,F453,IF(F455,-4,-3),12,12),IF(F455,12,11),FALSE))</f>
        <v>42095</v>
      </c>
      <c r="G462" s="743">
        <f ca="1">IF(G454,"",VLOOKUP($C462,OFFSET(ASZ!$AB$42,G453,IF(G455,-4,-3),12,12),IF(G455,12,11),FALSE))</f>
        <v>42088</v>
      </c>
      <c r="H462" s="743">
        <f ca="1">IF(H454,"",VLOOKUP($C462,OFFSET(ASZ!$AB$42,H453,IF(H455,-4,-3),12,12),IF(H455,12,11),FALSE))</f>
        <v>42123</v>
      </c>
      <c r="I462" s="743">
        <f ca="1">IF(I454,"",VLOOKUP($C462,OFFSET(ASZ!$AB$42,I453,IF(I455,-4,-3),12,12),IF(I455,12,11),FALSE))</f>
        <v>42116</v>
      </c>
      <c r="J462" s="743">
        <f ca="1">IF(J454,"",VLOOKUP($C462,OFFSET(ASZ!$AB$42,J453,IF(J455,-4,-3),12,12),IF(J455,12,11),FALSE))</f>
        <v>42123</v>
      </c>
      <c r="K462" s="743">
        <f ca="1">IF(K454,"",VLOOKUP($C462,OFFSET(ASZ!$AB$42,K453,IF(K455,-4,-3),12,12),IF(K455,12,11),FALSE))</f>
        <v>42130</v>
      </c>
      <c r="L462" s="743">
        <f ca="1">IF(L454,"",VLOOKUP($C462,OFFSET(ASZ!$AB$42,L453,IF(L455,-4,-3),12,12),IF(L455,12,11),FALSE))</f>
        <v>42137</v>
      </c>
      <c r="M462" s="743">
        <f ca="1">IF(M454,"",VLOOKUP($C462,OFFSET(ASZ!$AB$42,M453,IF(M455,-4,-3),12,12),IF(M455,12,11),FALSE))</f>
        <v>42158</v>
      </c>
      <c r="N462" s="743">
        <f ca="1">IF(N454,"",VLOOKUP($C462,OFFSET(ASZ!$AB$42,N453,IF(N455,-4,-3),12,12),IF(N455,12,11),FALSE))</f>
        <v>42151</v>
      </c>
      <c r="O462" s="743">
        <f ca="1">IF(O454,"",VLOOKUP($C462,OFFSET(ASZ!$AB$42,O453,IF(O455,-4,-3),12,12),IF(O455,12,11),FALSE))</f>
        <v>42158</v>
      </c>
      <c r="P462" s="743">
        <f ca="1">IF(P454,"",VLOOKUP($C462,OFFSET(ASZ!$AB$42,P453,IF(P455,-4,-3),12,12),IF(P455,12,11),FALSE))</f>
        <v>42165</v>
      </c>
      <c r="Q462" s="743">
        <f ca="1">IF(Q454,"",VLOOKUP($C462,OFFSET(ASZ!$AB$42,Q453,IF(Q455,-4,-3),12,12),IF(Q455,12,11),FALSE))</f>
        <v>42242</v>
      </c>
      <c r="R462" s="743">
        <f ca="1">IF(R454,"",VLOOKUP($C462,OFFSET(ASZ!$AB$42,R453,IF(R455,-4,-3),12,12),IF(R455,12,11),FALSE))</f>
        <v>42270</v>
      </c>
      <c r="S462" s="743">
        <f ca="1">IF(S454,"",VLOOKUP($C462,OFFSET(ASZ!$AB$42,S453,IF(S455,-4,-3),12,12),IF(S455,12,11),FALSE))</f>
        <v>42242</v>
      </c>
      <c r="T462" s="743">
        <f ca="1">IF(T454,"",VLOOKUP($C462,OFFSET(ASZ!$AB$42,T453,IF(T455,-4,-3),12,12),IF(T455,12,11),FALSE))</f>
        <v>42249</v>
      </c>
      <c r="U462" s="743">
        <f ca="1">IF(U454,"",VLOOKUP($C462,OFFSET(ASZ!$AB$42,U453,IF(U455,-4,-3),12,12),IF(U455,12,11),FALSE))</f>
        <v>42256</v>
      </c>
      <c r="V462" s="743">
        <f ca="1">IF(V454,"",VLOOKUP($C462,OFFSET(ASZ!$AB$42,V453,IF(V455,-4,-3),12,12),IF(V455,12,11),FALSE))</f>
        <v>42263</v>
      </c>
      <c r="W462" s="743">
        <f ca="1">IF(W454,"",VLOOKUP($C462,OFFSET(ASZ!$AB$42,W453,IF(W455,-4,-3),12,12),IF(W455,12,11),FALSE))</f>
        <v>42270</v>
      </c>
      <c r="X462" s="743">
        <f ca="1">IF(X454,"",VLOOKUP($C462,OFFSET(ASZ!$AB$42,X453,IF(X455,-4,-3),12,12),IF(X455,12,11),FALSE))</f>
        <v>42277</v>
      </c>
      <c r="Y462" s="743">
        <f ca="1">IF(Y454,"",VLOOKUP($C462,OFFSET(ASZ!$AB$42,Y453,IF(Y455,-4,-3),12,12),IF(Y455,12,11),FALSE))</f>
        <v>42284</v>
      </c>
      <c r="Z462" s="743">
        <f ca="1">IF(Z454,"",VLOOKUP($C462,OFFSET(ASZ!$AB$42,Z453,IF(Z455,-4,-3),12,12),IF(Z455,12,11),FALSE))</f>
        <v>42291</v>
      </c>
      <c r="AA462" s="743">
        <f ca="1">IF(AA454,"",VLOOKUP($C462,OFFSET(RCSOP!$AF$56,AA453,IF(AA455,-4,-3),14,12),IF(AA455,12,11),FALSE))</f>
        <v>42298</v>
      </c>
      <c r="AB462" s="743">
        <f ca="1">IF(AB454,"",VLOOKUP($C462,OFFSET(RCSOP!$AF$56,AB453,IF(AB455,-4,-3),14,12),IF(AB455,12,11),FALSE))</f>
        <v>42305</v>
      </c>
      <c r="AC462" s="743">
        <f ca="1">IF(AC454,"",VLOOKUP($C462,OFFSET(RCSOP!$AF$56,AC453,IF(AC455,-4,-3),14,12),IF(AC455,12,11),FALSE))</f>
        <v>42312</v>
      </c>
      <c r="AD462" s="743">
        <f ca="1">IF(AD454,"",VLOOKUP($C462,OFFSET(RCSOP!$AF$56,AD453,IF(AD455,-4,-3),14,12),IF(AD455,12,11),FALSE))</f>
        <v>42319</v>
      </c>
      <c r="AE462" s="743">
        <f ca="1">IF(AE454,"",VLOOKUP($C462,OFFSET(RCSOP!$AF$56,AE453,IF(AE455,-4,-3),14,12),IF(AE455,12,11),FALSE))</f>
        <v>42326</v>
      </c>
      <c r="AF462" s="743"/>
      <c r="AG462" s="743"/>
      <c r="AH462" s="743"/>
      <c r="AI462" s="743"/>
      <c r="AJ462" s="743"/>
      <c r="AK462" s="743"/>
      <c r="AL462" s="743"/>
      <c r="AM462" s="743"/>
      <c r="AN462" s="743"/>
      <c r="AO462" s="743"/>
      <c r="AP462" s="869" t="s">
        <v>518</v>
      </c>
      <c r="AV462" s="699"/>
      <c r="AW462" s="700">
        <v>3.9600000000000003E-2</v>
      </c>
    </row>
    <row r="463" spans="1:54" ht="12.75" customHeight="1" x14ac:dyDescent="0.2">
      <c r="A463" s="867"/>
      <c r="C463" s="224"/>
      <c r="D463" s="224" t="s">
        <v>519</v>
      </c>
      <c r="E463" s="692">
        <f ca="1">IF(E454,"",VLOOKUP($C462,OFFSET(ASZ!$AB$42,E453,IF(E455,-4,-3),12,3),3,FALSE))</f>
        <v>1</v>
      </c>
      <c r="F463" s="692">
        <f ca="1">IF(F454,"",VLOOKUP($C462,OFFSET(ASZ!$AB$42,F453,IF(F455,-4,-3),12,3),3,FALSE))</f>
        <v>0</v>
      </c>
      <c r="G463" s="692">
        <f ca="1">IF(G454,"",VLOOKUP($C462,OFFSET(ASZ!$AB$42,G453,IF(G455,-4,-3),12,3),3,FALSE))</f>
        <v>0</v>
      </c>
      <c r="H463" s="692">
        <f ca="1">IF(H454,"",VLOOKUP($C462,OFFSET(ASZ!$AB$42,H453,IF(H455,-4,-3),12,3),3,FALSE))</f>
        <v>2</v>
      </c>
      <c r="I463" s="692">
        <f ca="1">IF(I454,"",VLOOKUP($C462,OFFSET(ASZ!$AB$42,I453,IF(I455,-4,-3),12,3),3,FALSE))</f>
        <v>1</v>
      </c>
      <c r="J463" s="692">
        <f ca="1">IF(J454,"",VLOOKUP($C462,OFFSET(ASZ!$AB$42,J453,IF(J455,-4,-3),12,3),3,FALSE))</f>
        <v>1</v>
      </c>
      <c r="K463" s="692">
        <f ca="1">IF(K454,"",VLOOKUP($C462,OFFSET(ASZ!$AB$42,K453,IF(K455,-4,-3),12,3),3,FALSE))</f>
        <v>3</v>
      </c>
      <c r="L463" s="692" t="str">
        <f ca="1">IF(L454,"",VLOOKUP($C462,OFFSET(ASZ!$AB$42,L453,IF(L455,-4,-3),12,3),3,FALSE))</f>
        <v/>
      </c>
      <c r="M463" s="692">
        <f ca="1">IF(M454,"",VLOOKUP($C462,OFFSET(ASZ!$AB$42,M453,IF(M455,-4,-3),12,3),3,FALSE))</f>
        <v>0</v>
      </c>
      <c r="N463" s="692">
        <f ca="1">IF(N454,"",VLOOKUP($C462,OFFSET(ASZ!$AB$42,N453,IF(N455,-4,-3),12,3),3,FALSE))</f>
        <v>3</v>
      </c>
      <c r="O463" s="692">
        <f ca="1">IF(O454,"",VLOOKUP($C462,OFFSET(ASZ!$AB$42,O453,IF(O455,-4,-3),12,3),3,FALSE))</f>
        <v>2</v>
      </c>
      <c r="P463" s="692">
        <f ca="1">IF(P454,"",VLOOKUP($C462,OFFSET(ASZ!$AB$42,P453,IF(P455,-4,-3),12,3),3,FALSE))</f>
        <v>1</v>
      </c>
      <c r="Q463" s="692">
        <f ca="1">IF(Q454,"",VLOOKUP($C462,OFFSET(ASZ!$AB$42,Q453,IF(Q455,-4,-3),12,3),3,FALSE))</f>
        <v>1</v>
      </c>
      <c r="R463" s="692">
        <f ca="1">IF(R454,"",VLOOKUP($C462,OFFSET(ASZ!$AB$42,R453,IF(R455,-4,-3),12,3),3,FALSE))</f>
        <v>0</v>
      </c>
      <c r="S463" s="692">
        <f ca="1">IF(S454,"",VLOOKUP($C462,OFFSET(ASZ!$AB$42,S453,IF(S455,-4,-3),12,3),3,FALSE))</f>
        <v>0</v>
      </c>
      <c r="T463" s="692">
        <f ca="1">IF(T454,"",VLOOKUP($C462,OFFSET(ASZ!$AB$42,T453,IF(T455,-4,-3),12,3),3,FALSE))</f>
        <v>1</v>
      </c>
      <c r="U463" s="692">
        <f ca="1">IF(U454,"",VLOOKUP($C462,OFFSET(ASZ!$AB$42,U453,IF(U455,-4,-3),12,3),3,FALSE))</f>
        <v>1</v>
      </c>
      <c r="V463" s="692">
        <f ca="1">IF(V454,"",VLOOKUP($C462,OFFSET(ASZ!$AB$42,V453,IF(V455,-4,-3),12,3),3,FALSE))</f>
        <v>2</v>
      </c>
      <c r="W463" s="692" t="str">
        <f ca="1">IF(W454,"",VLOOKUP($C462,OFFSET(ASZ!$AB$42,W453,IF(W455,-4,-3),12,3),3,FALSE))</f>
        <v/>
      </c>
      <c r="X463" s="692">
        <f ca="1">IF(X454,"",VLOOKUP($C462,OFFSET(ASZ!$AB$42,X453,IF(X455,-4,-3),12,3),3,FALSE))</f>
        <v>3</v>
      </c>
      <c r="Y463" s="692">
        <f ca="1">IF(Y454,"",VLOOKUP($C462,OFFSET(ASZ!$AB$42,Y453,IF(Y455,-4,-3),12,3),3,FALSE))</f>
        <v>2</v>
      </c>
      <c r="Z463" s="692">
        <f ca="1">IF(Z454,"",VLOOKUP($C462,OFFSET(ASZ!$AB$42,Z453,IF(Z455,-4,-3),12,3),3,FALSE))</f>
        <v>3</v>
      </c>
      <c r="AA463" s="692">
        <f ca="1">IF(AA454,"",VLOOKUP($C462,OFFSET(RCSOP!$AF$56,AA453,IF(AA455,-4,-3),14,3),3,FALSE))</f>
        <v>2</v>
      </c>
      <c r="AB463" s="692">
        <f ca="1">IF(AB454,"",VLOOKUP($C462,OFFSET(RCSOP!$AF$56,AB453,IF(AB455,-4,-3),14,3),3,FALSE))</f>
        <v>2</v>
      </c>
      <c r="AC463" s="692" t="str">
        <f ca="1">IF(AC454,"",VLOOKUP($C462,OFFSET(RCSOP!$AF$56,AC453,IF(AC455,-4,-3),14,3),3,FALSE))</f>
        <v/>
      </c>
      <c r="AD463" s="692">
        <f ca="1">IF(AD454,"",VLOOKUP($C462,OFFSET(RCSOP!$AF$56,AD453,IF(AD455,-4,-3),14,3),3,FALSE))</f>
        <v>2</v>
      </c>
      <c r="AE463" s="692">
        <f ca="1">IF(AE454,"",VLOOKUP($C462,OFFSET(RCSOP!$AF$56,AE453,IF(AE455,-4,-3),14,3),3,FALSE))</f>
        <v>2</v>
      </c>
      <c r="AF463" s="692"/>
      <c r="AG463" s="692"/>
      <c r="AH463" s="692"/>
      <c r="AI463" s="692"/>
      <c r="AJ463" s="692"/>
      <c r="AK463" s="692"/>
      <c r="AL463" s="692"/>
      <c r="AM463" s="692"/>
      <c r="AN463" s="692"/>
      <c r="AO463" s="692"/>
      <c r="AP463" s="869"/>
      <c r="AQ463" s="683">
        <f ca="1">IF(SUM(D463:AO463)=0,"",SUM(D463:AO463))</f>
        <v>35</v>
      </c>
      <c r="AV463" s="699"/>
      <c r="AW463" s="700">
        <v>3.9699999999999999E-2</v>
      </c>
    </row>
    <row r="464" spans="1:54" ht="12.75" customHeight="1" x14ac:dyDescent="0.2">
      <c r="A464" s="867"/>
      <c r="C464" s="737"/>
      <c r="D464" s="737" t="s">
        <v>520</v>
      </c>
      <c r="E464" s="739"/>
      <c r="F464" s="740"/>
      <c r="G464" s="740"/>
      <c r="H464" s="740"/>
      <c r="I464" s="740"/>
      <c r="J464" s="740"/>
      <c r="K464" s="740"/>
      <c r="L464" s="740"/>
      <c r="M464" s="740"/>
      <c r="N464" s="740"/>
      <c r="O464" s="740"/>
      <c r="P464" s="740"/>
      <c r="Q464" s="740"/>
      <c r="R464" s="740"/>
      <c r="S464" s="740"/>
      <c r="T464" s="740"/>
      <c r="U464" s="740"/>
      <c r="V464" s="740"/>
      <c r="W464" s="740"/>
      <c r="X464" s="740"/>
      <c r="Y464" s="740"/>
      <c r="Z464" s="740"/>
      <c r="AA464" s="740"/>
      <c r="AB464" s="740"/>
      <c r="AC464" s="740"/>
      <c r="AD464" s="740"/>
      <c r="AE464" s="740"/>
      <c r="AF464" s="740"/>
      <c r="AG464" s="740"/>
      <c r="AH464" s="740"/>
      <c r="AI464" s="740"/>
      <c r="AJ464" s="740"/>
      <c r="AK464" s="740"/>
      <c r="AL464" s="740"/>
      <c r="AM464" s="740"/>
      <c r="AN464" s="740"/>
      <c r="AO464" s="741"/>
      <c r="AP464" s="869"/>
      <c r="AQ464" s="762" t="str">
        <f>IF(SUM(D464:AP464)=0,"",SUM(D464:AP464))</f>
        <v/>
      </c>
      <c r="AV464" s="699"/>
      <c r="AW464" s="700">
        <v>3.9800000000000002E-2</v>
      </c>
    </row>
    <row r="465" spans="1:53" ht="12.75" customHeight="1" x14ac:dyDescent="0.2">
      <c r="A465" s="867"/>
      <c r="C465" s="738"/>
      <c r="D465" s="738" t="s">
        <v>521</v>
      </c>
      <c r="E465" s="742" t="str">
        <f t="shared" ref="E465:AE465" ca="1" si="49">IF(E463="","",IF(SUM(E467:E496)+E464=E463,"–",SUM(E467:E496)+E464-E463))</f>
        <v>–</v>
      </c>
      <c r="F465" s="742" t="str">
        <f t="shared" ca="1" si="49"/>
        <v>–</v>
      </c>
      <c r="G465" s="742" t="str">
        <f t="shared" ca="1" si="49"/>
        <v>–</v>
      </c>
      <c r="H465" s="742" t="str">
        <f t="shared" ca="1" si="49"/>
        <v>–</v>
      </c>
      <c r="I465" s="742" t="str">
        <f t="shared" ca="1" si="49"/>
        <v>–</v>
      </c>
      <c r="J465" s="742" t="str">
        <f t="shared" ca="1" si="49"/>
        <v>–</v>
      </c>
      <c r="K465" s="742" t="str">
        <f t="shared" ca="1" si="49"/>
        <v>–</v>
      </c>
      <c r="L465" s="742" t="str">
        <f t="shared" ca="1" si="49"/>
        <v/>
      </c>
      <c r="M465" s="742" t="str">
        <f t="shared" ca="1" si="49"/>
        <v>–</v>
      </c>
      <c r="N465" s="742" t="str">
        <f t="shared" ca="1" si="49"/>
        <v>–</v>
      </c>
      <c r="O465" s="742" t="str">
        <f t="shared" ca="1" si="49"/>
        <v>–</v>
      </c>
      <c r="P465" s="742" t="str">
        <f t="shared" ca="1" si="49"/>
        <v>–</v>
      </c>
      <c r="Q465" s="742" t="str">
        <f t="shared" ca="1" si="49"/>
        <v>–</v>
      </c>
      <c r="R465" s="742" t="str">
        <f t="shared" ca="1" si="49"/>
        <v>–</v>
      </c>
      <c r="S465" s="742" t="str">
        <f t="shared" ca="1" si="49"/>
        <v>–</v>
      </c>
      <c r="T465" s="742" t="str">
        <f t="shared" ca="1" si="49"/>
        <v>–</v>
      </c>
      <c r="U465" s="742" t="str">
        <f t="shared" ca="1" si="49"/>
        <v>–</v>
      </c>
      <c r="V465" s="742" t="str">
        <f t="shared" ca="1" si="49"/>
        <v>–</v>
      </c>
      <c r="W465" s="742" t="str">
        <f t="shared" ca="1" si="49"/>
        <v/>
      </c>
      <c r="X465" s="742" t="str">
        <f t="shared" ca="1" si="49"/>
        <v>–</v>
      </c>
      <c r="Y465" s="742" t="str">
        <f t="shared" ca="1" si="49"/>
        <v>–</v>
      </c>
      <c r="Z465" s="742" t="str">
        <f t="shared" ca="1" si="49"/>
        <v>–</v>
      </c>
      <c r="AA465" s="742" t="str">
        <f t="shared" ca="1" si="49"/>
        <v>–</v>
      </c>
      <c r="AB465" s="742" t="str">
        <f t="shared" ca="1" si="49"/>
        <v>–</v>
      </c>
      <c r="AC465" s="742" t="str">
        <f t="shared" ca="1" si="49"/>
        <v/>
      </c>
      <c r="AD465" s="742" t="str">
        <f t="shared" ca="1" si="49"/>
        <v>–</v>
      </c>
      <c r="AE465" s="742" t="str">
        <f t="shared" ca="1" si="49"/>
        <v>–</v>
      </c>
      <c r="AF465" s="742"/>
      <c r="AG465" s="742"/>
      <c r="AH465" s="742"/>
      <c r="AI465" s="742"/>
      <c r="AJ465" s="742"/>
      <c r="AK465" s="742"/>
      <c r="AL465" s="742"/>
      <c r="AM465" s="742"/>
      <c r="AN465" s="742"/>
      <c r="AO465" s="742"/>
      <c r="AP465" s="691" t="s">
        <v>522</v>
      </c>
      <c r="AS465" s="761" t="s">
        <v>285</v>
      </c>
      <c r="AV465" s="699"/>
      <c r="AW465" s="700">
        <v>3.9899999999999998E-2</v>
      </c>
    </row>
    <row r="466" spans="1:53" ht="4.5" customHeight="1" x14ac:dyDescent="0.2">
      <c r="A466" s="867"/>
      <c r="AV466" s="699"/>
      <c r="AW466" s="700">
        <v>0.04</v>
      </c>
    </row>
    <row r="467" spans="1:53" ht="12.75" customHeight="1" x14ac:dyDescent="0.2">
      <c r="A467" s="867"/>
      <c r="C467" s="755" t="s">
        <v>534</v>
      </c>
      <c r="D467" s="756">
        <v>3</v>
      </c>
      <c r="E467" s="746"/>
      <c r="F467" s="695"/>
      <c r="G467" s="695"/>
      <c r="H467" s="695"/>
      <c r="I467" s="695"/>
      <c r="J467" s="695"/>
      <c r="K467" s="695"/>
      <c r="L467" s="695"/>
      <c r="M467" s="695"/>
      <c r="N467" s="695"/>
      <c r="O467" s="695"/>
      <c r="P467" s="695"/>
      <c r="Q467" s="695"/>
      <c r="R467" s="695"/>
      <c r="S467" s="695"/>
      <c r="T467" s="695"/>
      <c r="U467" s="695"/>
      <c r="V467" s="695"/>
      <c r="W467" s="695"/>
      <c r="X467" s="695"/>
      <c r="Y467" s="695"/>
      <c r="Z467" s="695"/>
      <c r="AA467" s="695"/>
      <c r="AB467" s="695"/>
      <c r="AC467" s="695"/>
      <c r="AD467" s="695"/>
      <c r="AE467" s="695"/>
      <c r="AF467" s="695"/>
      <c r="AG467" s="695"/>
      <c r="AH467" s="695"/>
      <c r="AI467" s="695"/>
      <c r="AJ467" s="695"/>
      <c r="AK467" s="695"/>
      <c r="AL467" s="695"/>
      <c r="AM467" s="695"/>
      <c r="AN467" s="695"/>
      <c r="AO467" s="696"/>
      <c r="AP467" s="697"/>
      <c r="AQ467" s="763" t="str">
        <f>IF(SUM(E467:AP467)=0,"",SUM(E467:AP467))</f>
        <v/>
      </c>
      <c r="AS467" s="267"/>
      <c r="AV467" s="699"/>
      <c r="AW467" s="700">
        <v>4.0099999999999997E-2</v>
      </c>
      <c r="AX467" s="382">
        <f t="shared" ref="AX467:AX496" si="50">IF(OR(C467="",AQ467=""),0,AQ467+AW467)</f>
        <v>0</v>
      </c>
      <c r="AY467" s="379" t="str">
        <f ca="1">C462</f>
        <v>ROYAL GUARD'S</v>
      </c>
      <c r="AZ467" s="384" t="str">
        <f t="shared" ref="AZ467:AZ496" si="51">C467</f>
        <v>Fekete Ákos</v>
      </c>
      <c r="BA467" s="642"/>
    </row>
    <row r="468" spans="1:53" ht="12.75" customHeight="1" x14ac:dyDescent="0.2">
      <c r="A468" s="867"/>
      <c r="C468" s="758" t="s">
        <v>535</v>
      </c>
      <c r="D468" s="757">
        <v>5</v>
      </c>
      <c r="E468" s="747"/>
      <c r="F468" s="703"/>
      <c r="G468" s="703"/>
      <c r="H468" s="703"/>
      <c r="I468" s="703"/>
      <c r="J468" s="703"/>
      <c r="K468" s="703"/>
      <c r="L468" s="703"/>
      <c r="M468" s="703"/>
      <c r="N468" s="703"/>
      <c r="O468" s="703"/>
      <c r="P468" s="703"/>
      <c r="Q468" s="703"/>
      <c r="R468" s="703"/>
      <c r="S468" s="703"/>
      <c r="T468" s="703"/>
      <c r="U468" s="703"/>
      <c r="V468" s="703"/>
      <c r="W468" s="703"/>
      <c r="X468" s="703"/>
      <c r="Y468" s="703"/>
      <c r="Z468" s="703"/>
      <c r="AA468" s="703"/>
      <c r="AB468" s="703"/>
      <c r="AC468" s="703"/>
      <c r="AD468" s="703"/>
      <c r="AE468" s="703"/>
      <c r="AF468" s="703"/>
      <c r="AG468" s="703"/>
      <c r="AH468" s="703"/>
      <c r="AI468" s="703"/>
      <c r="AJ468" s="703"/>
      <c r="AK468" s="703"/>
      <c r="AL468" s="703"/>
      <c r="AM468" s="703"/>
      <c r="AN468" s="703"/>
      <c r="AO468" s="704"/>
      <c r="AP468" s="705"/>
      <c r="AQ468" s="763" t="str">
        <f t="shared" ref="AQ468:AQ496" si="52">IF(SUM(E468:AP468)=0,"",SUM(E468:AP468))</f>
        <v/>
      </c>
      <c r="AS468" s="268"/>
      <c r="AV468" s="699"/>
      <c r="AW468" s="700">
        <v>4.02E-2</v>
      </c>
      <c r="AX468" s="382">
        <f t="shared" si="50"/>
        <v>0</v>
      </c>
      <c r="AY468" s="379" t="str">
        <f t="shared" ref="AY468:AY496" ca="1" si="53">AY467</f>
        <v>ROYAL GUARD'S</v>
      </c>
      <c r="AZ468" s="384" t="str">
        <f t="shared" si="51"/>
        <v>Buzás Roland</v>
      </c>
      <c r="BA468" s="642"/>
    </row>
    <row r="469" spans="1:53" ht="12.75" customHeight="1" x14ac:dyDescent="0.2">
      <c r="A469" s="867"/>
      <c r="C469" s="758" t="s">
        <v>536</v>
      </c>
      <c r="D469" s="757">
        <v>6</v>
      </c>
      <c r="E469" s="747"/>
      <c r="F469" s="703"/>
      <c r="G469" s="703"/>
      <c r="H469" s="703"/>
      <c r="I469" s="703"/>
      <c r="J469" s="703"/>
      <c r="K469" s="703"/>
      <c r="L469" s="703"/>
      <c r="M469" s="703"/>
      <c r="N469" s="703"/>
      <c r="O469" s="703"/>
      <c r="P469" s="703"/>
      <c r="Q469" s="703"/>
      <c r="R469" s="703"/>
      <c r="S469" s="703"/>
      <c r="T469" s="703"/>
      <c r="U469" s="703"/>
      <c r="V469" s="703">
        <v>1</v>
      </c>
      <c r="W469" s="703"/>
      <c r="X469" s="703"/>
      <c r="Y469" s="703">
        <v>1</v>
      </c>
      <c r="Z469" s="703">
        <v>1</v>
      </c>
      <c r="AA469" s="703">
        <v>1</v>
      </c>
      <c r="AB469" s="703"/>
      <c r="AC469" s="703"/>
      <c r="AD469" s="703"/>
      <c r="AE469" s="703">
        <v>1</v>
      </c>
      <c r="AF469" s="703"/>
      <c r="AG469" s="703"/>
      <c r="AH469" s="703"/>
      <c r="AI469" s="703"/>
      <c r="AJ469" s="703"/>
      <c r="AK469" s="703"/>
      <c r="AL469" s="703"/>
      <c r="AM469" s="703"/>
      <c r="AN469" s="703"/>
      <c r="AO469" s="704"/>
      <c r="AP469" s="705"/>
      <c r="AQ469" s="763">
        <f t="shared" si="52"/>
        <v>5</v>
      </c>
      <c r="AS469" s="268"/>
      <c r="AV469" s="699"/>
      <c r="AW469" s="700">
        <v>4.0300000000000002E-2</v>
      </c>
      <c r="AX469" s="382">
        <f t="shared" si="50"/>
        <v>5.0403000000000002</v>
      </c>
      <c r="AY469" s="379" t="str">
        <f t="shared" ca="1" si="53"/>
        <v>ROYAL GUARD'S</v>
      </c>
      <c r="AZ469" s="384" t="str">
        <f t="shared" si="51"/>
        <v>Matula János</v>
      </c>
      <c r="BA469" s="642"/>
    </row>
    <row r="470" spans="1:53" ht="12.75" customHeight="1" x14ac:dyDescent="0.2">
      <c r="A470" s="867"/>
      <c r="C470" s="758" t="s">
        <v>537</v>
      </c>
      <c r="D470" s="757">
        <v>7</v>
      </c>
      <c r="E470" s="747"/>
      <c r="F470" s="703"/>
      <c r="G470" s="703"/>
      <c r="H470" s="703"/>
      <c r="I470" s="703"/>
      <c r="J470" s="703"/>
      <c r="K470" s="703"/>
      <c r="L470" s="703"/>
      <c r="M470" s="703"/>
      <c r="N470" s="703"/>
      <c r="O470" s="703">
        <v>1</v>
      </c>
      <c r="P470" s="703"/>
      <c r="Q470" s="703"/>
      <c r="R470" s="703"/>
      <c r="S470" s="703"/>
      <c r="T470" s="703"/>
      <c r="U470" s="703"/>
      <c r="V470" s="703"/>
      <c r="W470" s="703"/>
      <c r="X470" s="703"/>
      <c r="Y470" s="703">
        <v>1</v>
      </c>
      <c r="Z470" s="703">
        <v>1</v>
      </c>
      <c r="AA470" s="703"/>
      <c r="AB470" s="703">
        <v>1</v>
      </c>
      <c r="AC470" s="703"/>
      <c r="AD470" s="703">
        <v>1</v>
      </c>
      <c r="AE470" s="703">
        <v>1</v>
      </c>
      <c r="AF470" s="703"/>
      <c r="AG470" s="703"/>
      <c r="AH470" s="703"/>
      <c r="AI470" s="703"/>
      <c r="AJ470" s="703"/>
      <c r="AK470" s="703"/>
      <c r="AL470" s="703"/>
      <c r="AM470" s="703"/>
      <c r="AN470" s="703"/>
      <c r="AO470" s="704"/>
      <c r="AP470" s="705"/>
      <c r="AQ470" s="763">
        <f t="shared" si="52"/>
        <v>6</v>
      </c>
      <c r="AS470" s="268"/>
      <c r="AV470" s="699"/>
      <c r="AW470" s="700">
        <v>4.0399999999999998E-2</v>
      </c>
      <c r="AX470" s="382">
        <f t="shared" si="50"/>
        <v>6.0404</v>
      </c>
      <c r="AY470" s="379" t="str">
        <f t="shared" ca="1" si="53"/>
        <v>ROYAL GUARD'S</v>
      </c>
      <c r="AZ470" s="384" t="str">
        <f t="shared" si="51"/>
        <v>Zoványi Richárd</v>
      </c>
      <c r="BA470" s="642"/>
    </row>
    <row r="471" spans="1:53" ht="12.75" customHeight="1" x14ac:dyDescent="0.2">
      <c r="A471" s="867"/>
      <c r="C471" s="758" t="s">
        <v>538</v>
      </c>
      <c r="D471" s="757">
        <v>8</v>
      </c>
      <c r="E471" s="747"/>
      <c r="F471" s="703"/>
      <c r="G471" s="703"/>
      <c r="H471" s="703"/>
      <c r="I471" s="703"/>
      <c r="J471" s="703"/>
      <c r="K471" s="703"/>
      <c r="L471" s="703"/>
      <c r="M471" s="703"/>
      <c r="N471" s="703"/>
      <c r="O471" s="703"/>
      <c r="P471" s="703"/>
      <c r="Q471" s="703"/>
      <c r="R471" s="703"/>
      <c r="S471" s="703"/>
      <c r="T471" s="703"/>
      <c r="U471" s="703"/>
      <c r="V471" s="703"/>
      <c r="W471" s="703"/>
      <c r="X471" s="703"/>
      <c r="Y471" s="703"/>
      <c r="Z471" s="703"/>
      <c r="AA471" s="703"/>
      <c r="AB471" s="703"/>
      <c r="AC471" s="703"/>
      <c r="AD471" s="703"/>
      <c r="AE471" s="703"/>
      <c r="AF471" s="703"/>
      <c r="AG471" s="703"/>
      <c r="AH471" s="703"/>
      <c r="AI471" s="703"/>
      <c r="AJ471" s="703"/>
      <c r="AK471" s="703"/>
      <c r="AL471" s="703"/>
      <c r="AM471" s="703"/>
      <c r="AN471" s="703"/>
      <c r="AO471" s="704"/>
      <c r="AP471" s="705"/>
      <c r="AQ471" s="763" t="str">
        <f t="shared" si="52"/>
        <v/>
      </c>
      <c r="AS471" s="268"/>
      <c r="AV471" s="699"/>
      <c r="AW471" s="700">
        <v>4.0500000000000001E-2</v>
      </c>
      <c r="AX471" s="382">
        <f t="shared" si="50"/>
        <v>0</v>
      </c>
      <c r="AY471" s="379" t="str">
        <f t="shared" ca="1" si="53"/>
        <v>ROYAL GUARD'S</v>
      </c>
      <c r="AZ471" s="384" t="str">
        <f t="shared" si="51"/>
        <v>Balta Gábor</v>
      </c>
      <c r="BA471" s="642"/>
    </row>
    <row r="472" spans="1:53" ht="12.75" customHeight="1" x14ac:dyDescent="0.2">
      <c r="A472" s="867"/>
      <c r="C472" s="758" t="s">
        <v>539</v>
      </c>
      <c r="D472" s="757">
        <v>9</v>
      </c>
      <c r="E472" s="747"/>
      <c r="F472" s="703"/>
      <c r="G472" s="703"/>
      <c r="H472" s="703"/>
      <c r="I472" s="703"/>
      <c r="J472" s="703"/>
      <c r="K472" s="703">
        <v>1</v>
      </c>
      <c r="L472" s="703"/>
      <c r="M472" s="703"/>
      <c r="N472" s="703"/>
      <c r="O472" s="703"/>
      <c r="P472" s="703"/>
      <c r="Q472" s="703"/>
      <c r="R472" s="703"/>
      <c r="S472" s="703"/>
      <c r="T472" s="703"/>
      <c r="U472" s="703"/>
      <c r="V472" s="703"/>
      <c r="W472" s="703"/>
      <c r="X472" s="703">
        <v>1</v>
      </c>
      <c r="Y472" s="703"/>
      <c r="Z472" s="703"/>
      <c r="AA472" s="703"/>
      <c r="AB472" s="703"/>
      <c r="AC472" s="703"/>
      <c r="AD472" s="703"/>
      <c r="AE472" s="703"/>
      <c r="AF472" s="703"/>
      <c r="AG472" s="703"/>
      <c r="AH472" s="703"/>
      <c r="AI472" s="703"/>
      <c r="AJ472" s="703"/>
      <c r="AK472" s="703"/>
      <c r="AL472" s="703"/>
      <c r="AM472" s="703"/>
      <c r="AN472" s="703"/>
      <c r="AO472" s="704"/>
      <c r="AP472" s="705"/>
      <c r="AQ472" s="763">
        <f t="shared" si="52"/>
        <v>2</v>
      </c>
      <c r="AS472" s="268"/>
      <c r="AV472" s="699"/>
      <c r="AW472" s="700">
        <v>4.0599999999999997E-2</v>
      </c>
      <c r="AX472" s="382">
        <f t="shared" si="50"/>
        <v>2.0406</v>
      </c>
      <c r="AY472" s="379" t="str">
        <f t="shared" ca="1" si="53"/>
        <v>ROYAL GUARD'S</v>
      </c>
      <c r="AZ472" s="384" t="str">
        <f t="shared" si="51"/>
        <v>Takács János</v>
      </c>
      <c r="BA472" s="642"/>
    </row>
    <row r="473" spans="1:53" ht="12.75" customHeight="1" x14ac:dyDescent="0.2">
      <c r="A473" s="867"/>
      <c r="C473" s="758" t="s">
        <v>540</v>
      </c>
      <c r="D473" s="757">
        <v>10</v>
      </c>
      <c r="E473" s="747"/>
      <c r="F473" s="703"/>
      <c r="G473" s="703"/>
      <c r="H473" s="703">
        <v>2</v>
      </c>
      <c r="I473" s="703"/>
      <c r="J473" s="703">
        <v>1</v>
      </c>
      <c r="K473" s="703"/>
      <c r="L473" s="703"/>
      <c r="M473" s="703"/>
      <c r="N473" s="703">
        <v>2</v>
      </c>
      <c r="O473" s="703"/>
      <c r="P473" s="703"/>
      <c r="Q473" s="703"/>
      <c r="R473" s="703"/>
      <c r="S473" s="703"/>
      <c r="T473" s="703">
        <v>1</v>
      </c>
      <c r="U473" s="703"/>
      <c r="V473" s="703"/>
      <c r="W473" s="703"/>
      <c r="X473" s="703"/>
      <c r="Y473" s="703"/>
      <c r="Z473" s="703"/>
      <c r="AA473" s="703">
        <v>1</v>
      </c>
      <c r="AB473" s="703"/>
      <c r="AC473" s="703"/>
      <c r="AD473" s="703"/>
      <c r="AE473" s="703"/>
      <c r="AF473" s="703"/>
      <c r="AG473" s="703"/>
      <c r="AH473" s="703"/>
      <c r="AI473" s="703"/>
      <c r="AJ473" s="703"/>
      <c r="AK473" s="703"/>
      <c r="AL473" s="703"/>
      <c r="AM473" s="703"/>
      <c r="AN473" s="703"/>
      <c r="AO473" s="704"/>
      <c r="AP473" s="705"/>
      <c r="AQ473" s="763">
        <f t="shared" si="52"/>
        <v>7</v>
      </c>
      <c r="AS473" s="268"/>
      <c r="AV473" s="699"/>
      <c r="AW473" s="700">
        <v>4.07E-2</v>
      </c>
      <c r="AX473" s="382">
        <f t="shared" si="50"/>
        <v>7.0407000000000002</v>
      </c>
      <c r="AY473" s="379" t="str">
        <f t="shared" ca="1" si="53"/>
        <v>ROYAL GUARD'S</v>
      </c>
      <c r="AZ473" s="384" t="str">
        <f t="shared" si="51"/>
        <v>Breznyánszky Gracián</v>
      </c>
      <c r="BA473" s="642"/>
    </row>
    <row r="474" spans="1:53" ht="12.75" customHeight="1" x14ac:dyDescent="0.2">
      <c r="A474" s="867"/>
      <c r="C474" s="758" t="s">
        <v>541</v>
      </c>
      <c r="D474" s="757">
        <v>11</v>
      </c>
      <c r="E474" s="747"/>
      <c r="F474" s="703"/>
      <c r="G474" s="703"/>
      <c r="H474" s="703"/>
      <c r="I474" s="703"/>
      <c r="J474" s="703"/>
      <c r="K474" s="703"/>
      <c r="L474" s="703"/>
      <c r="M474" s="703"/>
      <c r="N474" s="703"/>
      <c r="O474" s="703"/>
      <c r="P474" s="703"/>
      <c r="Q474" s="703"/>
      <c r="R474" s="703"/>
      <c r="S474" s="703"/>
      <c r="T474" s="703"/>
      <c r="U474" s="703"/>
      <c r="V474" s="703"/>
      <c r="W474" s="703"/>
      <c r="X474" s="703"/>
      <c r="Y474" s="703"/>
      <c r="Z474" s="703"/>
      <c r="AA474" s="703"/>
      <c r="AB474" s="703"/>
      <c r="AC474" s="703"/>
      <c r="AD474" s="703"/>
      <c r="AE474" s="703"/>
      <c r="AF474" s="703"/>
      <c r="AG474" s="703"/>
      <c r="AH474" s="703"/>
      <c r="AI474" s="703"/>
      <c r="AJ474" s="703"/>
      <c r="AK474" s="703"/>
      <c r="AL474" s="703"/>
      <c r="AM474" s="703"/>
      <c r="AN474" s="703"/>
      <c r="AO474" s="704"/>
      <c r="AP474" s="705"/>
      <c r="AQ474" s="763" t="str">
        <f t="shared" si="52"/>
        <v/>
      </c>
      <c r="AS474" s="268"/>
      <c r="AV474" s="699"/>
      <c r="AW474" s="700">
        <v>4.0800000000000003E-2</v>
      </c>
      <c r="AX474" s="382">
        <f t="shared" si="50"/>
        <v>0</v>
      </c>
      <c r="AY474" s="379" t="str">
        <f t="shared" ca="1" si="53"/>
        <v>ROYAL GUARD'S</v>
      </c>
      <c r="AZ474" s="384" t="str">
        <f t="shared" si="51"/>
        <v>Papp Sándor</v>
      </c>
      <c r="BA474" s="642"/>
    </row>
    <row r="475" spans="1:53" ht="12.75" customHeight="1" x14ac:dyDescent="0.2">
      <c r="A475" s="867"/>
      <c r="C475" s="758" t="s">
        <v>542</v>
      </c>
      <c r="D475" s="757">
        <v>12</v>
      </c>
      <c r="E475" s="747">
        <v>1</v>
      </c>
      <c r="F475" s="703"/>
      <c r="G475" s="703"/>
      <c r="H475" s="703"/>
      <c r="I475" s="703">
        <v>1</v>
      </c>
      <c r="J475" s="703"/>
      <c r="K475" s="703">
        <v>2</v>
      </c>
      <c r="L475" s="703"/>
      <c r="M475" s="703"/>
      <c r="N475" s="703">
        <v>1</v>
      </c>
      <c r="O475" s="703">
        <v>1</v>
      </c>
      <c r="P475" s="703"/>
      <c r="Q475" s="703">
        <v>1</v>
      </c>
      <c r="R475" s="703"/>
      <c r="S475" s="703"/>
      <c r="T475" s="703"/>
      <c r="U475" s="703">
        <v>1</v>
      </c>
      <c r="V475" s="703"/>
      <c r="W475" s="703"/>
      <c r="X475" s="703"/>
      <c r="Y475" s="703"/>
      <c r="Z475" s="703"/>
      <c r="AA475" s="703"/>
      <c r="AB475" s="703"/>
      <c r="AC475" s="703"/>
      <c r="AD475" s="703"/>
      <c r="AE475" s="703"/>
      <c r="AF475" s="703"/>
      <c r="AG475" s="703"/>
      <c r="AH475" s="703"/>
      <c r="AI475" s="703"/>
      <c r="AJ475" s="703"/>
      <c r="AK475" s="703"/>
      <c r="AL475" s="703"/>
      <c r="AM475" s="703"/>
      <c r="AN475" s="703"/>
      <c r="AO475" s="704"/>
      <c r="AP475" s="705"/>
      <c r="AQ475" s="763">
        <f t="shared" si="52"/>
        <v>8</v>
      </c>
      <c r="AS475" s="268"/>
      <c r="AV475" s="699"/>
      <c r="AW475" s="700">
        <v>4.0899999999999999E-2</v>
      </c>
      <c r="AX475" s="382">
        <f t="shared" si="50"/>
        <v>8.0409000000000006</v>
      </c>
      <c r="AY475" s="379" t="str">
        <f t="shared" ca="1" si="53"/>
        <v>ROYAL GUARD'S</v>
      </c>
      <c r="AZ475" s="384" t="str">
        <f t="shared" si="51"/>
        <v>Tóth Gyula</v>
      </c>
      <c r="BA475" s="642"/>
    </row>
    <row r="476" spans="1:53" ht="12.75" customHeight="1" x14ac:dyDescent="0.2">
      <c r="A476" s="867"/>
      <c r="C476" s="758" t="s">
        <v>543</v>
      </c>
      <c r="D476" s="757">
        <v>13</v>
      </c>
      <c r="E476" s="747"/>
      <c r="F476" s="703"/>
      <c r="G476" s="703"/>
      <c r="H476" s="703"/>
      <c r="I476" s="703"/>
      <c r="J476" s="703"/>
      <c r="K476" s="703"/>
      <c r="L476" s="703"/>
      <c r="M476" s="703"/>
      <c r="N476" s="703"/>
      <c r="O476" s="703"/>
      <c r="P476" s="703"/>
      <c r="Q476" s="703"/>
      <c r="R476" s="703"/>
      <c r="S476" s="703"/>
      <c r="T476" s="703"/>
      <c r="U476" s="703"/>
      <c r="V476" s="703"/>
      <c r="W476" s="703"/>
      <c r="X476" s="703">
        <v>1</v>
      </c>
      <c r="Y476" s="703"/>
      <c r="Z476" s="703"/>
      <c r="AA476" s="703"/>
      <c r="AB476" s="703"/>
      <c r="AC476" s="703"/>
      <c r="AD476" s="703"/>
      <c r="AE476" s="703"/>
      <c r="AF476" s="703"/>
      <c r="AG476" s="703"/>
      <c r="AH476" s="703"/>
      <c r="AI476" s="703"/>
      <c r="AJ476" s="703"/>
      <c r="AK476" s="703"/>
      <c r="AL476" s="703"/>
      <c r="AM476" s="703"/>
      <c r="AN476" s="703"/>
      <c r="AO476" s="704"/>
      <c r="AP476" s="705"/>
      <c r="AQ476" s="763">
        <f t="shared" si="52"/>
        <v>1</v>
      </c>
      <c r="AS476" s="268"/>
      <c r="AV476" s="699"/>
      <c r="AW476" s="700">
        <v>4.1000000000000002E-2</v>
      </c>
      <c r="AX476" s="382">
        <f t="shared" si="50"/>
        <v>1.0409999999999999</v>
      </c>
      <c r="AY476" s="379" t="str">
        <f t="shared" ca="1" si="53"/>
        <v>ROYAL GUARD'S</v>
      </c>
      <c r="AZ476" s="384" t="str">
        <f t="shared" si="51"/>
        <v>Horváth Dániel</v>
      </c>
      <c r="BA476" s="642"/>
    </row>
    <row r="477" spans="1:53" ht="12.75" customHeight="1" x14ac:dyDescent="0.2">
      <c r="A477" s="867"/>
      <c r="C477" s="758" t="s">
        <v>544</v>
      </c>
      <c r="D477" s="757">
        <v>14</v>
      </c>
      <c r="E477" s="747"/>
      <c r="F477" s="703"/>
      <c r="G477" s="703"/>
      <c r="H477" s="703"/>
      <c r="I477" s="703"/>
      <c r="J477" s="703"/>
      <c r="K477" s="703"/>
      <c r="L477" s="703"/>
      <c r="M477" s="703"/>
      <c r="N477" s="703"/>
      <c r="O477" s="703"/>
      <c r="P477" s="703">
        <v>1</v>
      </c>
      <c r="Q477" s="703"/>
      <c r="R477" s="703"/>
      <c r="S477" s="703"/>
      <c r="T477" s="703"/>
      <c r="U477" s="703"/>
      <c r="V477" s="703">
        <v>1</v>
      </c>
      <c r="W477" s="703"/>
      <c r="X477" s="703"/>
      <c r="Y477" s="703"/>
      <c r="Z477" s="703"/>
      <c r="AA477" s="703"/>
      <c r="AB477" s="703"/>
      <c r="AC477" s="703"/>
      <c r="AD477" s="703"/>
      <c r="AE477" s="703"/>
      <c r="AF477" s="703"/>
      <c r="AG477" s="703"/>
      <c r="AH477" s="703"/>
      <c r="AI477" s="703"/>
      <c r="AJ477" s="703"/>
      <c r="AK477" s="703"/>
      <c r="AL477" s="703"/>
      <c r="AM477" s="703"/>
      <c r="AN477" s="703"/>
      <c r="AO477" s="704"/>
      <c r="AP477" s="705"/>
      <c r="AQ477" s="763">
        <f t="shared" si="52"/>
        <v>2</v>
      </c>
      <c r="AS477" s="268"/>
      <c r="AV477" s="699"/>
      <c r="AW477" s="700">
        <v>4.1099999999999998E-2</v>
      </c>
      <c r="AX477" s="382">
        <f t="shared" si="50"/>
        <v>2.0411000000000001</v>
      </c>
      <c r="AY477" s="379" t="str">
        <f t="shared" ca="1" si="53"/>
        <v>ROYAL GUARD'S</v>
      </c>
      <c r="AZ477" s="384" t="str">
        <f t="shared" si="51"/>
        <v>Kovács Péter</v>
      </c>
      <c r="BA477" s="642"/>
    </row>
    <row r="478" spans="1:53" ht="12.75" customHeight="1" x14ac:dyDescent="0.2">
      <c r="A478" s="867"/>
      <c r="C478" s="758" t="s">
        <v>545</v>
      </c>
      <c r="D478" s="757">
        <v>19</v>
      </c>
      <c r="E478" s="747"/>
      <c r="F478" s="703"/>
      <c r="G478" s="703"/>
      <c r="H478" s="703"/>
      <c r="I478" s="703"/>
      <c r="J478" s="703"/>
      <c r="K478" s="703"/>
      <c r="L478" s="703"/>
      <c r="M478" s="703"/>
      <c r="N478" s="703"/>
      <c r="O478" s="703"/>
      <c r="P478" s="703"/>
      <c r="Q478" s="703"/>
      <c r="R478" s="703"/>
      <c r="S478" s="703"/>
      <c r="T478" s="703"/>
      <c r="U478" s="703"/>
      <c r="V478" s="703"/>
      <c r="W478" s="703"/>
      <c r="X478" s="703"/>
      <c r="Y478" s="703"/>
      <c r="Z478" s="703"/>
      <c r="AA478" s="703"/>
      <c r="AB478" s="703"/>
      <c r="AC478" s="703"/>
      <c r="AD478" s="703"/>
      <c r="AE478" s="703"/>
      <c r="AF478" s="703"/>
      <c r="AG478" s="703"/>
      <c r="AH478" s="703"/>
      <c r="AI478" s="703"/>
      <c r="AJ478" s="703"/>
      <c r="AK478" s="703"/>
      <c r="AL478" s="703"/>
      <c r="AM478" s="703"/>
      <c r="AN478" s="703"/>
      <c r="AO478" s="704"/>
      <c r="AP478" s="705"/>
      <c r="AQ478" s="763" t="str">
        <f t="shared" si="52"/>
        <v/>
      </c>
      <c r="AS478" s="758" t="s">
        <v>29</v>
      </c>
      <c r="AV478" s="699"/>
      <c r="AW478" s="700">
        <v>4.1200000000000001E-2</v>
      </c>
      <c r="AX478" s="382">
        <f t="shared" si="50"/>
        <v>0</v>
      </c>
      <c r="AY478" s="379" t="str">
        <f t="shared" ca="1" si="53"/>
        <v>ROYAL GUARD'S</v>
      </c>
      <c r="AZ478" s="384" t="str">
        <f t="shared" si="51"/>
        <v>Vajs Ábrahám</v>
      </c>
      <c r="BA478" s="642"/>
    </row>
    <row r="479" spans="1:53" ht="12.75" customHeight="1" x14ac:dyDescent="0.2">
      <c r="A479" s="867"/>
      <c r="C479" s="758" t="s">
        <v>546</v>
      </c>
      <c r="D479" s="757">
        <v>38</v>
      </c>
      <c r="E479" s="747"/>
      <c r="F479" s="703"/>
      <c r="G479" s="703"/>
      <c r="H479" s="703"/>
      <c r="I479" s="703"/>
      <c r="J479" s="703"/>
      <c r="K479" s="703"/>
      <c r="L479" s="703"/>
      <c r="M479" s="703"/>
      <c r="N479" s="703"/>
      <c r="O479" s="703"/>
      <c r="P479" s="703"/>
      <c r="Q479" s="703"/>
      <c r="R479" s="703"/>
      <c r="S479" s="703"/>
      <c r="T479" s="703"/>
      <c r="U479" s="703"/>
      <c r="V479" s="703"/>
      <c r="W479" s="703"/>
      <c r="X479" s="703"/>
      <c r="Y479" s="703"/>
      <c r="Z479" s="703"/>
      <c r="AA479" s="703"/>
      <c r="AB479" s="703"/>
      <c r="AC479" s="703"/>
      <c r="AD479" s="703"/>
      <c r="AE479" s="703"/>
      <c r="AF479" s="703"/>
      <c r="AG479" s="703"/>
      <c r="AH479" s="703"/>
      <c r="AI479" s="703"/>
      <c r="AJ479" s="703"/>
      <c r="AK479" s="703"/>
      <c r="AL479" s="703"/>
      <c r="AM479" s="703"/>
      <c r="AN479" s="703"/>
      <c r="AO479" s="704"/>
      <c r="AP479" s="705"/>
      <c r="AQ479" s="763" t="str">
        <f t="shared" si="52"/>
        <v/>
      </c>
      <c r="AS479" s="268"/>
      <c r="AV479" s="699"/>
      <c r="AW479" s="700">
        <v>4.1300000000000003E-2</v>
      </c>
      <c r="AX479" s="382">
        <f t="shared" si="50"/>
        <v>0</v>
      </c>
      <c r="AY479" s="379" t="str">
        <f t="shared" ca="1" si="53"/>
        <v>ROYAL GUARD'S</v>
      </c>
      <c r="AZ479" s="384" t="str">
        <f t="shared" si="51"/>
        <v>Treszler Dávid</v>
      </c>
      <c r="BA479" s="642"/>
    </row>
    <row r="480" spans="1:53" ht="12.75" customHeight="1" x14ac:dyDescent="0.2">
      <c r="A480" s="867"/>
      <c r="C480" s="758" t="s">
        <v>28</v>
      </c>
      <c r="D480" s="757">
        <v>19</v>
      </c>
      <c r="E480" s="747"/>
      <c r="F480" s="703"/>
      <c r="G480" s="703"/>
      <c r="H480" s="703"/>
      <c r="I480" s="703"/>
      <c r="J480" s="703"/>
      <c r="K480" s="703"/>
      <c r="L480" s="703"/>
      <c r="M480" s="703"/>
      <c r="N480" s="703"/>
      <c r="O480" s="703"/>
      <c r="P480" s="703"/>
      <c r="Q480" s="703"/>
      <c r="R480" s="703"/>
      <c r="S480" s="703"/>
      <c r="T480" s="703"/>
      <c r="U480" s="703"/>
      <c r="V480" s="703"/>
      <c r="W480" s="703"/>
      <c r="X480" s="703">
        <v>1</v>
      </c>
      <c r="Y480" s="703"/>
      <c r="Z480" s="703">
        <v>1</v>
      </c>
      <c r="AA480" s="703"/>
      <c r="AB480" s="703">
        <v>1</v>
      </c>
      <c r="AC480" s="703"/>
      <c r="AD480" s="703"/>
      <c r="AE480" s="703"/>
      <c r="AF480" s="703"/>
      <c r="AG480" s="703"/>
      <c r="AH480" s="703"/>
      <c r="AI480" s="703"/>
      <c r="AJ480" s="703"/>
      <c r="AK480" s="703"/>
      <c r="AL480" s="703"/>
      <c r="AM480" s="703"/>
      <c r="AN480" s="703"/>
      <c r="AO480" s="704"/>
      <c r="AP480" s="705"/>
      <c r="AQ480" s="763">
        <f t="shared" si="52"/>
        <v>3</v>
      </c>
      <c r="AS480" s="268"/>
      <c r="AV480" s="699"/>
      <c r="AW480" s="700">
        <v>4.1399999999999999E-2</v>
      </c>
      <c r="AX480" s="382">
        <f t="shared" si="50"/>
        <v>3.0413999999999999</v>
      </c>
      <c r="AY480" s="379" t="str">
        <f t="shared" ca="1" si="53"/>
        <v>ROYAL GUARD'S</v>
      </c>
      <c r="AZ480" s="384" t="str">
        <f t="shared" si="51"/>
        <v>Káplár Jenő</v>
      </c>
      <c r="BA480" s="642"/>
    </row>
    <row r="481" spans="1:53" ht="12.75" customHeight="1" x14ac:dyDescent="0.2">
      <c r="A481" s="867"/>
      <c r="C481" s="758" t="s">
        <v>30</v>
      </c>
      <c r="D481" s="757">
        <v>20</v>
      </c>
      <c r="E481" s="747"/>
      <c r="F481" s="703"/>
      <c r="G481" s="703"/>
      <c r="H481" s="703"/>
      <c r="I481" s="703"/>
      <c r="J481" s="703"/>
      <c r="K481" s="703"/>
      <c r="L481" s="703"/>
      <c r="M481" s="703"/>
      <c r="N481" s="703"/>
      <c r="O481" s="703"/>
      <c r="P481" s="703"/>
      <c r="Q481" s="703"/>
      <c r="R481" s="703"/>
      <c r="S481" s="703"/>
      <c r="T481" s="703"/>
      <c r="U481" s="703"/>
      <c r="V481" s="703"/>
      <c r="W481" s="703"/>
      <c r="X481" s="703"/>
      <c r="Y481" s="703"/>
      <c r="Z481" s="703"/>
      <c r="AA481" s="703"/>
      <c r="AB481" s="703"/>
      <c r="AC481" s="703"/>
      <c r="AD481" s="703"/>
      <c r="AE481" s="703"/>
      <c r="AF481" s="703"/>
      <c r="AG481" s="703"/>
      <c r="AH481" s="703"/>
      <c r="AI481" s="703"/>
      <c r="AJ481" s="703"/>
      <c r="AK481" s="703"/>
      <c r="AL481" s="703"/>
      <c r="AM481" s="703"/>
      <c r="AN481" s="703"/>
      <c r="AO481" s="704"/>
      <c r="AP481" s="705"/>
      <c r="AQ481" s="763" t="str">
        <f t="shared" si="52"/>
        <v/>
      </c>
      <c r="AS481" s="268"/>
      <c r="AV481" s="699"/>
      <c r="AW481" s="700">
        <v>4.1500000000000002E-2</v>
      </c>
      <c r="AX481" s="382">
        <f t="shared" si="50"/>
        <v>0</v>
      </c>
      <c r="AY481" s="379" t="str">
        <f t="shared" ca="1" si="53"/>
        <v>ROYAL GUARD'S</v>
      </c>
      <c r="AZ481" s="384" t="str">
        <f t="shared" si="51"/>
        <v>Győri Péter</v>
      </c>
      <c r="BA481" s="642"/>
    </row>
    <row r="482" spans="1:53" ht="12.75" customHeight="1" x14ac:dyDescent="0.2">
      <c r="A482" s="867"/>
      <c r="C482" s="758" t="s">
        <v>713</v>
      </c>
      <c r="D482" s="757">
        <v>2</v>
      </c>
      <c r="E482" s="747"/>
      <c r="F482" s="703"/>
      <c r="G482" s="703"/>
      <c r="H482" s="703"/>
      <c r="I482" s="703"/>
      <c r="J482" s="703"/>
      <c r="K482" s="703"/>
      <c r="L482" s="703"/>
      <c r="M482" s="703"/>
      <c r="N482" s="703"/>
      <c r="O482" s="703"/>
      <c r="P482" s="703"/>
      <c r="Q482" s="703"/>
      <c r="R482" s="703"/>
      <c r="S482" s="703"/>
      <c r="T482" s="703"/>
      <c r="U482" s="703"/>
      <c r="V482" s="703"/>
      <c r="W482" s="703"/>
      <c r="X482" s="703"/>
      <c r="Y482" s="703"/>
      <c r="Z482" s="703"/>
      <c r="AA482" s="703"/>
      <c r="AB482" s="703"/>
      <c r="AC482" s="703"/>
      <c r="AD482" s="703">
        <v>1</v>
      </c>
      <c r="AE482" s="703"/>
      <c r="AF482" s="703"/>
      <c r="AG482" s="703"/>
      <c r="AH482" s="703"/>
      <c r="AI482" s="703"/>
      <c r="AJ482" s="703"/>
      <c r="AK482" s="703"/>
      <c r="AL482" s="703"/>
      <c r="AM482" s="703"/>
      <c r="AN482" s="703"/>
      <c r="AO482" s="704"/>
      <c r="AP482" s="705"/>
      <c r="AQ482" s="763">
        <f t="shared" si="52"/>
        <v>1</v>
      </c>
      <c r="AS482" s="268"/>
      <c r="AV482" s="699"/>
      <c r="AW482" s="700">
        <v>4.1599999999999998E-2</v>
      </c>
      <c r="AX482" s="382">
        <f t="shared" si="50"/>
        <v>1.0416000000000001</v>
      </c>
      <c r="AY482" s="379" t="str">
        <f t="shared" ca="1" si="53"/>
        <v>ROYAL GUARD'S</v>
      </c>
      <c r="AZ482" s="384" t="str">
        <f t="shared" si="51"/>
        <v>Horváth Ádám</v>
      </c>
      <c r="BA482" s="642"/>
    </row>
    <row r="483" spans="1:53" ht="12.75" customHeight="1" x14ac:dyDescent="0.2">
      <c r="A483" s="867"/>
      <c r="C483" s="758"/>
      <c r="D483" s="757"/>
      <c r="E483" s="747"/>
      <c r="F483" s="703"/>
      <c r="G483" s="703"/>
      <c r="H483" s="703"/>
      <c r="I483" s="703"/>
      <c r="J483" s="703"/>
      <c r="K483" s="703"/>
      <c r="L483" s="703"/>
      <c r="M483" s="703"/>
      <c r="N483" s="703"/>
      <c r="O483" s="703"/>
      <c r="P483" s="703"/>
      <c r="Q483" s="703"/>
      <c r="R483" s="703"/>
      <c r="S483" s="703"/>
      <c r="T483" s="703"/>
      <c r="U483" s="703"/>
      <c r="V483" s="703"/>
      <c r="W483" s="703"/>
      <c r="X483" s="703"/>
      <c r="Y483" s="703"/>
      <c r="Z483" s="703"/>
      <c r="AA483" s="703"/>
      <c r="AB483" s="703"/>
      <c r="AC483" s="703"/>
      <c r="AD483" s="703"/>
      <c r="AE483" s="703"/>
      <c r="AF483" s="703"/>
      <c r="AG483" s="703"/>
      <c r="AH483" s="703"/>
      <c r="AI483" s="703"/>
      <c r="AJ483" s="703"/>
      <c r="AK483" s="703"/>
      <c r="AL483" s="703"/>
      <c r="AM483" s="703"/>
      <c r="AN483" s="703"/>
      <c r="AO483" s="704"/>
      <c r="AP483" s="705"/>
      <c r="AQ483" s="763" t="str">
        <f t="shared" si="52"/>
        <v/>
      </c>
      <c r="AS483" s="268"/>
      <c r="AV483" s="699"/>
      <c r="AW483" s="700">
        <v>4.1700000000000001E-2</v>
      </c>
      <c r="AX483" s="382">
        <f t="shared" si="50"/>
        <v>0</v>
      </c>
      <c r="AY483" s="379" t="str">
        <f t="shared" ca="1" si="53"/>
        <v>ROYAL GUARD'S</v>
      </c>
      <c r="AZ483" s="384">
        <f t="shared" si="51"/>
        <v>0</v>
      </c>
      <c r="BA483" s="642"/>
    </row>
    <row r="484" spans="1:53" ht="12.75" customHeight="1" x14ac:dyDescent="0.2">
      <c r="A484" s="867"/>
      <c r="C484" s="758"/>
      <c r="D484" s="757"/>
      <c r="E484" s="747"/>
      <c r="F484" s="703"/>
      <c r="G484" s="703"/>
      <c r="H484" s="703"/>
      <c r="I484" s="703"/>
      <c r="J484" s="703"/>
      <c r="K484" s="703"/>
      <c r="L484" s="703"/>
      <c r="M484" s="703"/>
      <c r="N484" s="703"/>
      <c r="O484" s="703"/>
      <c r="P484" s="703"/>
      <c r="Q484" s="703"/>
      <c r="R484" s="703"/>
      <c r="S484" s="703"/>
      <c r="T484" s="703"/>
      <c r="U484" s="703"/>
      <c r="V484" s="703"/>
      <c r="W484" s="703"/>
      <c r="X484" s="703"/>
      <c r="Y484" s="703"/>
      <c r="Z484" s="703"/>
      <c r="AA484" s="703"/>
      <c r="AB484" s="703"/>
      <c r="AC484" s="703"/>
      <c r="AD484" s="703"/>
      <c r="AE484" s="703"/>
      <c r="AF484" s="703"/>
      <c r="AG484" s="703"/>
      <c r="AH484" s="703"/>
      <c r="AI484" s="703"/>
      <c r="AJ484" s="703"/>
      <c r="AK484" s="703"/>
      <c r="AL484" s="703"/>
      <c r="AM484" s="703"/>
      <c r="AN484" s="703"/>
      <c r="AO484" s="704"/>
      <c r="AP484" s="705"/>
      <c r="AQ484" s="763" t="str">
        <f t="shared" si="52"/>
        <v/>
      </c>
      <c r="AS484" s="268"/>
      <c r="AV484" s="699"/>
      <c r="AW484" s="700">
        <v>4.1799999999999997E-2</v>
      </c>
      <c r="AX484" s="382">
        <f t="shared" si="50"/>
        <v>0</v>
      </c>
      <c r="AY484" s="379" t="str">
        <f t="shared" ca="1" si="53"/>
        <v>ROYAL GUARD'S</v>
      </c>
      <c r="AZ484" s="384">
        <f t="shared" si="51"/>
        <v>0</v>
      </c>
      <c r="BA484" s="642"/>
    </row>
    <row r="485" spans="1:53" ht="12.75" customHeight="1" x14ac:dyDescent="0.2">
      <c r="A485" s="867"/>
      <c r="C485" s="758"/>
      <c r="D485" s="757"/>
      <c r="E485" s="747"/>
      <c r="F485" s="703"/>
      <c r="G485" s="703"/>
      <c r="H485" s="703"/>
      <c r="I485" s="703"/>
      <c r="J485" s="703"/>
      <c r="K485" s="703"/>
      <c r="L485" s="703"/>
      <c r="M485" s="703"/>
      <c r="N485" s="703"/>
      <c r="O485" s="703"/>
      <c r="P485" s="703"/>
      <c r="Q485" s="703"/>
      <c r="R485" s="703"/>
      <c r="S485" s="703"/>
      <c r="T485" s="703"/>
      <c r="U485" s="703"/>
      <c r="V485" s="703"/>
      <c r="W485" s="703"/>
      <c r="X485" s="703"/>
      <c r="Y485" s="703"/>
      <c r="Z485" s="703"/>
      <c r="AA485" s="703"/>
      <c r="AB485" s="703"/>
      <c r="AC485" s="703"/>
      <c r="AD485" s="703"/>
      <c r="AE485" s="703"/>
      <c r="AF485" s="703"/>
      <c r="AG485" s="703"/>
      <c r="AH485" s="703"/>
      <c r="AI485" s="703"/>
      <c r="AJ485" s="703"/>
      <c r="AK485" s="703"/>
      <c r="AL485" s="703"/>
      <c r="AM485" s="703"/>
      <c r="AN485" s="703"/>
      <c r="AO485" s="704"/>
      <c r="AP485" s="705"/>
      <c r="AQ485" s="763" t="str">
        <f t="shared" si="52"/>
        <v/>
      </c>
      <c r="AS485" s="268"/>
      <c r="AV485" s="699"/>
      <c r="AW485" s="700">
        <v>4.19E-2</v>
      </c>
      <c r="AX485" s="382">
        <f t="shared" si="50"/>
        <v>0</v>
      </c>
      <c r="AY485" s="379" t="str">
        <f t="shared" ca="1" si="53"/>
        <v>ROYAL GUARD'S</v>
      </c>
      <c r="AZ485" s="384">
        <f t="shared" si="51"/>
        <v>0</v>
      </c>
      <c r="BA485" s="642"/>
    </row>
    <row r="486" spans="1:53" ht="11.25" hidden="1" customHeight="1" x14ac:dyDescent="0.2">
      <c r="A486" s="867"/>
      <c r="C486" s="758"/>
      <c r="D486" s="757"/>
      <c r="E486" s="747"/>
      <c r="F486" s="703"/>
      <c r="G486" s="703"/>
      <c r="H486" s="703"/>
      <c r="I486" s="703"/>
      <c r="J486" s="703"/>
      <c r="K486" s="703"/>
      <c r="L486" s="703"/>
      <c r="M486" s="703"/>
      <c r="N486" s="703"/>
      <c r="O486" s="703"/>
      <c r="P486" s="703"/>
      <c r="Q486" s="703"/>
      <c r="R486" s="703"/>
      <c r="S486" s="703"/>
      <c r="T486" s="703"/>
      <c r="U486" s="703"/>
      <c r="V486" s="703"/>
      <c r="W486" s="703"/>
      <c r="X486" s="703"/>
      <c r="Y486" s="703"/>
      <c r="Z486" s="703"/>
      <c r="AA486" s="703"/>
      <c r="AB486" s="703"/>
      <c r="AC486" s="703"/>
      <c r="AD486" s="703"/>
      <c r="AE486" s="703"/>
      <c r="AF486" s="703"/>
      <c r="AG486" s="703"/>
      <c r="AH486" s="703"/>
      <c r="AI486" s="703"/>
      <c r="AJ486" s="703"/>
      <c r="AK486" s="703"/>
      <c r="AL486" s="703"/>
      <c r="AM486" s="703"/>
      <c r="AN486" s="703"/>
      <c r="AO486" s="704"/>
      <c r="AP486" s="705"/>
      <c r="AQ486" s="763" t="str">
        <f t="shared" si="52"/>
        <v/>
      </c>
      <c r="AS486" s="268"/>
      <c r="AV486" s="699"/>
      <c r="AW486" s="700">
        <v>4.2000000000000003E-2</v>
      </c>
      <c r="AX486" s="382">
        <f t="shared" si="50"/>
        <v>0</v>
      </c>
      <c r="AY486" s="379" t="str">
        <f t="shared" ca="1" si="53"/>
        <v>ROYAL GUARD'S</v>
      </c>
      <c r="AZ486" s="384">
        <f t="shared" si="51"/>
        <v>0</v>
      </c>
      <c r="BA486" s="642"/>
    </row>
    <row r="487" spans="1:53" ht="11.25" hidden="1" customHeight="1" x14ac:dyDescent="0.2">
      <c r="A487" s="867"/>
      <c r="C487" s="758"/>
      <c r="D487" s="757"/>
      <c r="E487" s="747"/>
      <c r="F487" s="703"/>
      <c r="G487" s="703"/>
      <c r="H487" s="703"/>
      <c r="I487" s="703"/>
      <c r="J487" s="703"/>
      <c r="K487" s="703"/>
      <c r="L487" s="703"/>
      <c r="M487" s="703"/>
      <c r="N487" s="703"/>
      <c r="O487" s="703"/>
      <c r="P487" s="703"/>
      <c r="Q487" s="703"/>
      <c r="R487" s="703"/>
      <c r="S487" s="703"/>
      <c r="T487" s="703"/>
      <c r="U487" s="703"/>
      <c r="V487" s="703"/>
      <c r="W487" s="703"/>
      <c r="X487" s="703"/>
      <c r="Y487" s="703"/>
      <c r="Z487" s="703"/>
      <c r="AA487" s="703"/>
      <c r="AB487" s="703"/>
      <c r="AC487" s="703"/>
      <c r="AD487" s="703"/>
      <c r="AE487" s="703"/>
      <c r="AF487" s="703"/>
      <c r="AG487" s="703"/>
      <c r="AH487" s="703"/>
      <c r="AI487" s="703"/>
      <c r="AJ487" s="703"/>
      <c r="AK487" s="703"/>
      <c r="AL487" s="703"/>
      <c r="AM487" s="703"/>
      <c r="AN487" s="703"/>
      <c r="AO487" s="704"/>
      <c r="AP487" s="705"/>
      <c r="AQ487" s="763" t="str">
        <f t="shared" si="52"/>
        <v/>
      </c>
      <c r="AS487" s="268"/>
      <c r="AV487" s="699"/>
      <c r="AW487" s="700">
        <v>4.2099999999999999E-2</v>
      </c>
      <c r="AX487" s="382">
        <f t="shared" si="50"/>
        <v>0</v>
      </c>
      <c r="AY487" s="379" t="str">
        <f t="shared" ca="1" si="53"/>
        <v>ROYAL GUARD'S</v>
      </c>
      <c r="AZ487" s="384">
        <f t="shared" si="51"/>
        <v>0</v>
      </c>
      <c r="BA487" s="642"/>
    </row>
    <row r="488" spans="1:53" ht="11.25" hidden="1" customHeight="1" x14ac:dyDescent="0.2">
      <c r="A488" s="867"/>
      <c r="C488" s="758"/>
      <c r="D488" s="757"/>
      <c r="E488" s="747"/>
      <c r="F488" s="703"/>
      <c r="G488" s="703"/>
      <c r="H488" s="703"/>
      <c r="I488" s="703"/>
      <c r="J488" s="703"/>
      <c r="K488" s="703"/>
      <c r="L488" s="703"/>
      <c r="M488" s="703"/>
      <c r="N488" s="703"/>
      <c r="O488" s="703"/>
      <c r="P488" s="703"/>
      <c r="Q488" s="703"/>
      <c r="R488" s="703"/>
      <c r="S488" s="703"/>
      <c r="T488" s="703"/>
      <c r="U488" s="703"/>
      <c r="V488" s="703"/>
      <c r="W488" s="703"/>
      <c r="X488" s="703"/>
      <c r="Y488" s="703"/>
      <c r="Z488" s="703"/>
      <c r="AA488" s="703"/>
      <c r="AB488" s="703"/>
      <c r="AC488" s="703"/>
      <c r="AD488" s="703"/>
      <c r="AE488" s="703"/>
      <c r="AF488" s="703"/>
      <c r="AG488" s="703"/>
      <c r="AH488" s="703"/>
      <c r="AI488" s="703"/>
      <c r="AJ488" s="703"/>
      <c r="AK488" s="703"/>
      <c r="AL488" s="703"/>
      <c r="AM488" s="703"/>
      <c r="AN488" s="703"/>
      <c r="AO488" s="704"/>
      <c r="AP488" s="705"/>
      <c r="AQ488" s="763" t="str">
        <f t="shared" si="52"/>
        <v/>
      </c>
      <c r="AS488" s="268"/>
      <c r="AV488" s="699"/>
      <c r="AW488" s="700">
        <v>4.2200000000000001E-2</v>
      </c>
      <c r="AX488" s="382">
        <f t="shared" si="50"/>
        <v>0</v>
      </c>
      <c r="AY488" s="379" t="str">
        <f t="shared" ca="1" si="53"/>
        <v>ROYAL GUARD'S</v>
      </c>
      <c r="AZ488" s="384">
        <f t="shared" si="51"/>
        <v>0</v>
      </c>
      <c r="BA488" s="642"/>
    </row>
    <row r="489" spans="1:53" ht="11.25" hidden="1" customHeight="1" x14ac:dyDescent="0.2">
      <c r="A489" s="867"/>
      <c r="C489" s="758"/>
      <c r="D489" s="757"/>
      <c r="E489" s="747"/>
      <c r="F489" s="703"/>
      <c r="G489" s="703"/>
      <c r="H489" s="703"/>
      <c r="I489" s="703"/>
      <c r="J489" s="703"/>
      <c r="K489" s="703"/>
      <c r="L489" s="703"/>
      <c r="M489" s="703"/>
      <c r="N489" s="703"/>
      <c r="O489" s="703"/>
      <c r="P489" s="703"/>
      <c r="Q489" s="703"/>
      <c r="R489" s="703"/>
      <c r="S489" s="703"/>
      <c r="T489" s="703"/>
      <c r="U489" s="703"/>
      <c r="V489" s="703"/>
      <c r="W489" s="703"/>
      <c r="X489" s="703"/>
      <c r="Y489" s="703"/>
      <c r="Z489" s="703"/>
      <c r="AA489" s="703"/>
      <c r="AB489" s="703"/>
      <c r="AC489" s="703"/>
      <c r="AD489" s="703"/>
      <c r="AE489" s="703"/>
      <c r="AF489" s="703"/>
      <c r="AG489" s="703"/>
      <c r="AH489" s="703"/>
      <c r="AI489" s="703"/>
      <c r="AJ489" s="703"/>
      <c r="AK489" s="703"/>
      <c r="AL489" s="703"/>
      <c r="AM489" s="703"/>
      <c r="AN489" s="703"/>
      <c r="AO489" s="704"/>
      <c r="AP489" s="705"/>
      <c r="AQ489" s="763" t="str">
        <f t="shared" si="52"/>
        <v/>
      </c>
      <c r="AS489" s="268"/>
      <c r="AV489" s="699"/>
      <c r="AW489" s="700">
        <v>4.2299999999999997E-2</v>
      </c>
      <c r="AX489" s="382">
        <f t="shared" si="50"/>
        <v>0</v>
      </c>
      <c r="AY489" s="379" t="str">
        <f t="shared" ca="1" si="53"/>
        <v>ROYAL GUARD'S</v>
      </c>
      <c r="AZ489" s="384">
        <f t="shared" si="51"/>
        <v>0</v>
      </c>
      <c r="BA489" s="642"/>
    </row>
    <row r="490" spans="1:53" ht="11.25" hidden="1" customHeight="1" x14ac:dyDescent="0.2">
      <c r="A490" s="867"/>
      <c r="C490" s="758"/>
      <c r="D490" s="757"/>
      <c r="E490" s="747"/>
      <c r="F490" s="703"/>
      <c r="G490" s="703"/>
      <c r="H490" s="703"/>
      <c r="I490" s="703"/>
      <c r="J490" s="703"/>
      <c r="K490" s="703"/>
      <c r="L490" s="703"/>
      <c r="M490" s="703"/>
      <c r="N490" s="703"/>
      <c r="O490" s="703"/>
      <c r="P490" s="703"/>
      <c r="Q490" s="703"/>
      <c r="R490" s="703"/>
      <c r="S490" s="703"/>
      <c r="T490" s="703"/>
      <c r="U490" s="703"/>
      <c r="V490" s="703"/>
      <c r="W490" s="703"/>
      <c r="X490" s="703"/>
      <c r="Y490" s="703"/>
      <c r="Z490" s="703"/>
      <c r="AA490" s="703"/>
      <c r="AB490" s="703"/>
      <c r="AC490" s="703"/>
      <c r="AD490" s="703"/>
      <c r="AE490" s="703"/>
      <c r="AF490" s="703"/>
      <c r="AG490" s="703"/>
      <c r="AH490" s="703"/>
      <c r="AI490" s="703"/>
      <c r="AJ490" s="703"/>
      <c r="AK490" s="703"/>
      <c r="AL490" s="703"/>
      <c r="AM490" s="703"/>
      <c r="AN490" s="703"/>
      <c r="AO490" s="704"/>
      <c r="AP490" s="705"/>
      <c r="AQ490" s="763" t="str">
        <f t="shared" si="52"/>
        <v/>
      </c>
      <c r="AS490" s="268"/>
      <c r="AV490" s="699"/>
      <c r="AW490" s="700">
        <v>4.24E-2</v>
      </c>
      <c r="AX490" s="382">
        <f t="shared" si="50"/>
        <v>0</v>
      </c>
      <c r="AY490" s="379" t="str">
        <f t="shared" ca="1" si="53"/>
        <v>ROYAL GUARD'S</v>
      </c>
      <c r="AZ490" s="384">
        <f t="shared" si="51"/>
        <v>0</v>
      </c>
      <c r="BA490" s="642"/>
    </row>
    <row r="491" spans="1:53" ht="11.25" hidden="1" customHeight="1" x14ac:dyDescent="0.2">
      <c r="A491" s="867"/>
      <c r="C491" s="758"/>
      <c r="D491" s="757"/>
      <c r="E491" s="747"/>
      <c r="F491" s="703"/>
      <c r="G491" s="703"/>
      <c r="H491" s="703"/>
      <c r="I491" s="703"/>
      <c r="J491" s="703"/>
      <c r="K491" s="703"/>
      <c r="L491" s="703"/>
      <c r="M491" s="703"/>
      <c r="N491" s="703"/>
      <c r="O491" s="703"/>
      <c r="P491" s="703"/>
      <c r="Q491" s="703"/>
      <c r="R491" s="703"/>
      <c r="S491" s="703"/>
      <c r="T491" s="703"/>
      <c r="U491" s="703"/>
      <c r="V491" s="703"/>
      <c r="W491" s="703"/>
      <c r="X491" s="703"/>
      <c r="Y491" s="703"/>
      <c r="Z491" s="703"/>
      <c r="AA491" s="703"/>
      <c r="AB491" s="703"/>
      <c r="AC491" s="703"/>
      <c r="AD491" s="703"/>
      <c r="AE491" s="703"/>
      <c r="AF491" s="703"/>
      <c r="AG491" s="703"/>
      <c r="AH491" s="703"/>
      <c r="AI491" s="703"/>
      <c r="AJ491" s="703"/>
      <c r="AK491" s="703"/>
      <c r="AL491" s="703"/>
      <c r="AM491" s="703"/>
      <c r="AN491" s="703"/>
      <c r="AO491" s="704"/>
      <c r="AP491" s="705"/>
      <c r="AQ491" s="763" t="str">
        <f t="shared" si="52"/>
        <v/>
      </c>
      <c r="AS491" s="268"/>
      <c r="AV491" s="699"/>
      <c r="AW491" s="700">
        <v>4.2500000000000003E-2</v>
      </c>
      <c r="AX491" s="382">
        <f t="shared" si="50"/>
        <v>0</v>
      </c>
      <c r="AY491" s="379" t="str">
        <f t="shared" ca="1" si="53"/>
        <v>ROYAL GUARD'S</v>
      </c>
      <c r="AZ491" s="384">
        <f t="shared" si="51"/>
        <v>0</v>
      </c>
      <c r="BA491" s="642"/>
    </row>
    <row r="492" spans="1:53" ht="11.25" hidden="1" customHeight="1" x14ac:dyDescent="0.2">
      <c r="A492" s="867"/>
      <c r="C492" s="758"/>
      <c r="D492" s="757"/>
      <c r="E492" s="747"/>
      <c r="F492" s="703"/>
      <c r="G492" s="703"/>
      <c r="H492" s="703"/>
      <c r="I492" s="703"/>
      <c r="J492" s="703"/>
      <c r="K492" s="703"/>
      <c r="L492" s="703"/>
      <c r="M492" s="703"/>
      <c r="N492" s="703"/>
      <c r="O492" s="703"/>
      <c r="P492" s="703"/>
      <c r="Q492" s="703"/>
      <c r="R492" s="703"/>
      <c r="S492" s="703"/>
      <c r="T492" s="703"/>
      <c r="U492" s="703"/>
      <c r="V492" s="703"/>
      <c r="W492" s="703"/>
      <c r="X492" s="703"/>
      <c r="Y492" s="703"/>
      <c r="Z492" s="703"/>
      <c r="AA492" s="703"/>
      <c r="AB492" s="703"/>
      <c r="AC492" s="703"/>
      <c r="AD492" s="703"/>
      <c r="AE492" s="703"/>
      <c r="AF492" s="703"/>
      <c r="AG492" s="703"/>
      <c r="AH492" s="703"/>
      <c r="AI492" s="703"/>
      <c r="AJ492" s="703"/>
      <c r="AK492" s="703"/>
      <c r="AL492" s="703"/>
      <c r="AM492" s="703"/>
      <c r="AN492" s="703"/>
      <c r="AO492" s="704"/>
      <c r="AP492" s="705"/>
      <c r="AQ492" s="763" t="str">
        <f t="shared" si="52"/>
        <v/>
      </c>
      <c r="AS492" s="268"/>
      <c r="AV492" s="699"/>
      <c r="AW492" s="700">
        <v>4.2599999999999999E-2</v>
      </c>
      <c r="AX492" s="382">
        <f t="shared" si="50"/>
        <v>0</v>
      </c>
      <c r="AY492" s="379" t="str">
        <f t="shared" ca="1" si="53"/>
        <v>ROYAL GUARD'S</v>
      </c>
      <c r="AZ492" s="384">
        <f t="shared" si="51"/>
        <v>0</v>
      </c>
      <c r="BA492" s="642"/>
    </row>
    <row r="493" spans="1:53" ht="11.25" hidden="1" customHeight="1" x14ac:dyDescent="0.2">
      <c r="A493" s="867"/>
      <c r="C493" s="758"/>
      <c r="D493" s="757"/>
      <c r="E493" s="747"/>
      <c r="F493" s="703"/>
      <c r="G493" s="703"/>
      <c r="H493" s="703"/>
      <c r="I493" s="703"/>
      <c r="J493" s="703"/>
      <c r="K493" s="703"/>
      <c r="L493" s="703"/>
      <c r="M493" s="703"/>
      <c r="N493" s="703"/>
      <c r="O493" s="703"/>
      <c r="P493" s="703"/>
      <c r="Q493" s="703"/>
      <c r="R493" s="703"/>
      <c r="S493" s="703"/>
      <c r="T493" s="703"/>
      <c r="U493" s="703"/>
      <c r="V493" s="703"/>
      <c r="W493" s="703"/>
      <c r="X493" s="703"/>
      <c r="Y493" s="703"/>
      <c r="Z493" s="703"/>
      <c r="AA493" s="703"/>
      <c r="AB493" s="703"/>
      <c r="AC493" s="703"/>
      <c r="AD493" s="703"/>
      <c r="AE493" s="703"/>
      <c r="AF493" s="703"/>
      <c r="AG493" s="703"/>
      <c r="AH493" s="703"/>
      <c r="AI493" s="703"/>
      <c r="AJ493" s="703"/>
      <c r="AK493" s="703"/>
      <c r="AL493" s="703"/>
      <c r="AM493" s="703"/>
      <c r="AN493" s="703"/>
      <c r="AO493" s="704"/>
      <c r="AP493" s="705"/>
      <c r="AQ493" s="763" t="str">
        <f t="shared" si="52"/>
        <v/>
      </c>
      <c r="AS493" s="268"/>
      <c r="AV493" s="699"/>
      <c r="AW493" s="700">
        <v>4.2700000000000002E-2</v>
      </c>
      <c r="AX493" s="382">
        <f t="shared" si="50"/>
        <v>0</v>
      </c>
      <c r="AY493" s="379" t="str">
        <f t="shared" ca="1" si="53"/>
        <v>ROYAL GUARD'S</v>
      </c>
      <c r="AZ493" s="384">
        <f t="shared" si="51"/>
        <v>0</v>
      </c>
      <c r="BA493" s="642"/>
    </row>
    <row r="494" spans="1:53" ht="11.25" hidden="1" customHeight="1" x14ac:dyDescent="0.2">
      <c r="A494" s="867"/>
      <c r="C494" s="758"/>
      <c r="D494" s="757"/>
      <c r="E494" s="747"/>
      <c r="F494" s="703"/>
      <c r="G494" s="703"/>
      <c r="H494" s="703"/>
      <c r="I494" s="703"/>
      <c r="J494" s="703"/>
      <c r="K494" s="703"/>
      <c r="L494" s="703"/>
      <c r="M494" s="703"/>
      <c r="N494" s="703"/>
      <c r="O494" s="703"/>
      <c r="P494" s="703"/>
      <c r="Q494" s="703"/>
      <c r="R494" s="703"/>
      <c r="S494" s="703"/>
      <c r="T494" s="703"/>
      <c r="U494" s="703"/>
      <c r="V494" s="703"/>
      <c r="W494" s="703"/>
      <c r="X494" s="703"/>
      <c r="Y494" s="703"/>
      <c r="Z494" s="703"/>
      <c r="AA494" s="703"/>
      <c r="AB494" s="703"/>
      <c r="AC494" s="703"/>
      <c r="AD494" s="703"/>
      <c r="AE494" s="703"/>
      <c r="AF494" s="703"/>
      <c r="AG494" s="703"/>
      <c r="AH494" s="703"/>
      <c r="AI494" s="703"/>
      <c r="AJ494" s="703"/>
      <c r="AK494" s="703"/>
      <c r="AL494" s="703"/>
      <c r="AM494" s="703"/>
      <c r="AN494" s="703"/>
      <c r="AO494" s="704"/>
      <c r="AP494" s="705"/>
      <c r="AQ494" s="763" t="str">
        <f t="shared" si="52"/>
        <v/>
      </c>
      <c r="AS494" s="268"/>
      <c r="AV494" s="699"/>
      <c r="AW494" s="700">
        <v>4.2799999999999998E-2</v>
      </c>
      <c r="AX494" s="382">
        <f t="shared" si="50"/>
        <v>0</v>
      </c>
      <c r="AY494" s="379" t="str">
        <f t="shared" ca="1" si="53"/>
        <v>ROYAL GUARD'S</v>
      </c>
      <c r="AZ494" s="384">
        <f t="shared" si="51"/>
        <v>0</v>
      </c>
      <c r="BA494" s="642"/>
    </row>
    <row r="495" spans="1:53" ht="11.25" hidden="1" customHeight="1" x14ac:dyDescent="0.2">
      <c r="A495" s="867"/>
      <c r="C495" s="758"/>
      <c r="D495" s="757"/>
      <c r="E495" s="747"/>
      <c r="F495" s="703"/>
      <c r="G495" s="703"/>
      <c r="H495" s="703"/>
      <c r="I495" s="703"/>
      <c r="J495" s="703"/>
      <c r="K495" s="703"/>
      <c r="L495" s="703"/>
      <c r="M495" s="703"/>
      <c r="N495" s="703"/>
      <c r="O495" s="703"/>
      <c r="P495" s="703"/>
      <c r="Q495" s="703"/>
      <c r="R495" s="703"/>
      <c r="S495" s="703"/>
      <c r="T495" s="703"/>
      <c r="U495" s="703"/>
      <c r="V495" s="703"/>
      <c r="W495" s="703"/>
      <c r="X495" s="703"/>
      <c r="Y495" s="703"/>
      <c r="Z495" s="703"/>
      <c r="AA495" s="703"/>
      <c r="AB495" s="703"/>
      <c r="AC495" s="703"/>
      <c r="AD495" s="703"/>
      <c r="AE495" s="703"/>
      <c r="AF495" s="703"/>
      <c r="AG495" s="703"/>
      <c r="AH495" s="703"/>
      <c r="AI495" s="703"/>
      <c r="AJ495" s="703"/>
      <c r="AK495" s="703"/>
      <c r="AL495" s="703"/>
      <c r="AM495" s="703"/>
      <c r="AN495" s="703"/>
      <c r="AO495" s="704"/>
      <c r="AP495" s="705"/>
      <c r="AQ495" s="763" t="str">
        <f t="shared" si="52"/>
        <v/>
      </c>
      <c r="AS495" s="268"/>
      <c r="AV495" s="699"/>
      <c r="AW495" s="700">
        <v>4.2900000000000001E-2</v>
      </c>
      <c r="AX495" s="382">
        <f t="shared" si="50"/>
        <v>0</v>
      </c>
      <c r="AY495" s="379" t="str">
        <f t="shared" ca="1" si="53"/>
        <v>ROYAL GUARD'S</v>
      </c>
      <c r="AZ495" s="384">
        <f t="shared" si="51"/>
        <v>0</v>
      </c>
      <c r="BA495" s="642"/>
    </row>
    <row r="496" spans="1:53" ht="12.75" customHeight="1" x14ac:dyDescent="0.2">
      <c r="A496" s="867"/>
      <c r="C496" s="759"/>
      <c r="D496" s="760"/>
      <c r="E496" s="748"/>
      <c r="F496" s="708"/>
      <c r="G496" s="708"/>
      <c r="H496" s="708"/>
      <c r="I496" s="708"/>
      <c r="J496" s="708"/>
      <c r="K496" s="708"/>
      <c r="L496" s="708"/>
      <c r="M496" s="708"/>
      <c r="N496" s="708"/>
      <c r="O496" s="708"/>
      <c r="P496" s="708"/>
      <c r="Q496" s="708"/>
      <c r="R496" s="708"/>
      <c r="S496" s="708"/>
      <c r="T496" s="708"/>
      <c r="U496" s="708"/>
      <c r="V496" s="708"/>
      <c r="W496" s="708"/>
      <c r="X496" s="708"/>
      <c r="Y496" s="708"/>
      <c r="Z496" s="708"/>
      <c r="AA496" s="708"/>
      <c r="AB496" s="708"/>
      <c r="AC496" s="708"/>
      <c r="AD496" s="708"/>
      <c r="AE496" s="708"/>
      <c r="AF496" s="708"/>
      <c r="AG496" s="708"/>
      <c r="AH496" s="708"/>
      <c r="AI496" s="708"/>
      <c r="AJ496" s="708"/>
      <c r="AK496" s="708"/>
      <c r="AL496" s="708"/>
      <c r="AM496" s="708"/>
      <c r="AN496" s="708"/>
      <c r="AO496" s="709"/>
      <c r="AP496" s="710"/>
      <c r="AQ496" s="763" t="str">
        <f t="shared" si="52"/>
        <v/>
      </c>
      <c r="AS496" s="268"/>
      <c r="AV496" s="699"/>
      <c r="AW496" s="700">
        <v>4.2999999999999997E-2</v>
      </c>
      <c r="AX496" s="382">
        <f t="shared" si="50"/>
        <v>0</v>
      </c>
      <c r="AY496" s="379" t="str">
        <f t="shared" ca="1" si="53"/>
        <v>ROYAL GUARD'S</v>
      </c>
      <c r="AZ496" s="384">
        <f t="shared" si="51"/>
        <v>0</v>
      </c>
      <c r="BA496" s="642"/>
    </row>
    <row r="497" spans="1:54" ht="13.5" customHeight="1" x14ac:dyDescent="0.2">
      <c r="A497" s="867"/>
      <c r="AV497" s="699"/>
      <c r="AW497" s="700">
        <v>4.3099999999999999E-2</v>
      </c>
      <c r="AX497" s="642"/>
      <c r="AY497" s="642"/>
      <c r="BA497" s="642"/>
    </row>
    <row r="498" spans="1:54" ht="1.5" customHeight="1" x14ac:dyDescent="0.2">
      <c r="A498" s="867"/>
      <c r="AV498" s="699"/>
      <c r="AW498" s="700">
        <v>4.3200000000000002E-2</v>
      </c>
    </row>
    <row r="499" spans="1:54" s="186" customFormat="1" ht="11.25" hidden="1" customHeight="1" x14ac:dyDescent="0.2">
      <c r="A499" s="867"/>
      <c r="AS499" s="672"/>
      <c r="AU499" s="669"/>
      <c r="AV499" s="699"/>
      <c r="AW499" s="700">
        <v>4.3299999999999998E-2</v>
      </c>
      <c r="AX499" s="643"/>
      <c r="AY499" s="643"/>
      <c r="AZ499" s="671"/>
      <c r="BA499" s="643"/>
      <c r="BB499" s="669"/>
    </row>
    <row r="500" spans="1:54" s="673" customFormat="1" ht="13.5" hidden="1" customHeight="1" x14ac:dyDescent="0.2">
      <c r="A500" s="867"/>
      <c r="D500" s="674"/>
      <c r="E500" s="674"/>
      <c r="F500" s="674"/>
      <c r="G500" s="674"/>
      <c r="H500" s="674"/>
      <c r="I500" s="674"/>
      <c r="J500" s="674"/>
      <c r="K500" s="674"/>
      <c r="L500" s="674"/>
      <c r="M500" s="674"/>
      <c r="N500" s="674"/>
      <c r="O500" s="674"/>
      <c r="P500" s="674"/>
      <c r="Q500" s="674"/>
      <c r="R500" s="674"/>
      <c r="S500" s="674"/>
      <c r="T500" s="674"/>
      <c r="U500" s="674"/>
      <c r="V500" s="674"/>
      <c r="W500" s="674"/>
      <c r="X500" s="674"/>
      <c r="Y500" s="674"/>
      <c r="Z500" s="674"/>
      <c r="AA500" s="674"/>
      <c r="AB500" s="674"/>
      <c r="AC500" s="674"/>
      <c r="AD500" s="674"/>
      <c r="AE500" s="674"/>
      <c r="AF500" s="674"/>
      <c r="AG500" s="674"/>
      <c r="AH500" s="674"/>
      <c r="AI500" s="674"/>
      <c r="AJ500" s="674"/>
      <c r="AK500" s="674"/>
      <c r="AL500" s="674"/>
      <c r="AM500" s="674"/>
      <c r="AN500" s="674"/>
      <c r="AO500" s="674"/>
      <c r="AP500" s="674"/>
      <c r="AS500" s="675"/>
      <c r="AU500" s="643"/>
      <c r="AV500" s="699"/>
      <c r="AW500" s="700">
        <v>4.3400000000000001E-2</v>
      </c>
      <c r="AX500" s="643"/>
      <c r="AY500" s="643"/>
      <c r="AZ500" s="671"/>
      <c r="BA500" s="643"/>
      <c r="BB500" s="643"/>
    </row>
    <row r="501" spans="1:54" s="673" customFormat="1" ht="13.5" hidden="1" customHeight="1" x14ac:dyDescent="0.2">
      <c r="A501" s="867"/>
      <c r="C501" s="324">
        <f>C451+1</f>
        <v>10</v>
      </c>
      <c r="D501" s="383"/>
      <c r="E501" s="383">
        <v>1</v>
      </c>
      <c r="F501" s="383">
        <v>2</v>
      </c>
      <c r="G501" s="383">
        <v>3</v>
      </c>
      <c r="H501" s="383">
        <v>4</v>
      </c>
      <c r="I501" s="383">
        <v>5</v>
      </c>
      <c r="J501" s="383">
        <v>6</v>
      </c>
      <c r="K501" s="383">
        <v>7</v>
      </c>
      <c r="L501" s="383">
        <v>8</v>
      </c>
      <c r="M501" s="383">
        <v>9</v>
      </c>
      <c r="N501" s="383">
        <v>10</v>
      </c>
      <c r="O501" s="383">
        <v>11</v>
      </c>
      <c r="P501" s="383">
        <v>12</v>
      </c>
      <c r="Q501" s="383">
        <v>13</v>
      </c>
      <c r="R501" s="383">
        <v>14</v>
      </c>
      <c r="S501" s="383">
        <v>15</v>
      </c>
      <c r="T501" s="383">
        <v>16</v>
      </c>
      <c r="U501" s="383">
        <v>17</v>
      </c>
      <c r="V501" s="383">
        <v>18</v>
      </c>
      <c r="W501" s="383">
        <v>19</v>
      </c>
      <c r="X501" s="383">
        <v>20</v>
      </c>
      <c r="Y501" s="383">
        <v>21</v>
      </c>
      <c r="Z501" s="751">
        <v>22</v>
      </c>
      <c r="AA501" s="383">
        <v>23</v>
      </c>
      <c r="AB501" s="383">
        <v>24</v>
      </c>
      <c r="AC501" s="383">
        <v>25</v>
      </c>
      <c r="AD501" s="383">
        <v>26</v>
      </c>
      <c r="AE501" s="383">
        <v>27</v>
      </c>
      <c r="AF501" s="383"/>
      <c r="AG501" s="383"/>
      <c r="AH501" s="383"/>
      <c r="AI501" s="383"/>
      <c r="AJ501" s="383"/>
      <c r="AK501" s="383"/>
      <c r="AL501" s="383"/>
      <c r="AM501" s="383"/>
      <c r="AN501" s="383"/>
      <c r="AO501" s="383"/>
      <c r="AP501" s="674"/>
      <c r="AS501" s="675"/>
      <c r="AU501" s="643"/>
      <c r="AV501" s="699"/>
      <c r="AW501" s="700">
        <v>4.3499999999999997E-2</v>
      </c>
      <c r="AX501" s="643"/>
      <c r="AY501" s="643"/>
      <c r="AZ501" s="671"/>
      <c r="BA501" s="643"/>
      <c r="BB501" s="643"/>
    </row>
    <row r="502" spans="1:54" s="673" customFormat="1" ht="13.5" hidden="1" customHeight="1" x14ac:dyDescent="0.2">
      <c r="A502" s="867"/>
      <c r="D502" s="383"/>
      <c r="E502" s="383"/>
      <c r="F502" s="383"/>
      <c r="G502" s="383"/>
      <c r="H502" s="383"/>
      <c r="I502" s="383"/>
      <c r="J502" s="383"/>
      <c r="K502" s="383"/>
      <c r="L502" s="383"/>
      <c r="M502" s="383"/>
      <c r="N502" s="383"/>
      <c r="O502" s="383"/>
      <c r="P502" s="383"/>
      <c r="Q502" s="383"/>
      <c r="R502" s="383"/>
      <c r="S502" s="383"/>
      <c r="T502" s="383"/>
      <c r="U502" s="383"/>
      <c r="V502" s="383"/>
      <c r="W502" s="383"/>
      <c r="X502" s="383"/>
      <c r="Y502" s="383"/>
      <c r="Z502" s="751"/>
      <c r="AA502" s="383"/>
      <c r="AB502" s="383"/>
      <c r="AC502" s="383"/>
      <c r="AD502" s="383"/>
      <c r="AE502" s="383"/>
      <c r="AF502" s="383"/>
      <c r="AG502" s="383"/>
      <c r="AH502" s="383"/>
      <c r="AI502" s="383"/>
      <c r="AJ502" s="383"/>
      <c r="AK502" s="383"/>
      <c r="AL502" s="383"/>
      <c r="AM502" s="383"/>
      <c r="AN502" s="383"/>
      <c r="AO502" s="383"/>
      <c r="AP502" s="674"/>
      <c r="AS502" s="675"/>
      <c r="AU502" s="643"/>
      <c r="AV502" s="699"/>
      <c r="AW502" s="700">
        <v>4.36E-2</v>
      </c>
      <c r="AX502" s="643"/>
      <c r="AY502" s="643"/>
      <c r="AZ502" s="671"/>
      <c r="BA502" s="643"/>
      <c r="BB502" s="643"/>
    </row>
    <row r="503" spans="1:54" s="673" customFormat="1" ht="13.5" hidden="1" customHeight="1" x14ac:dyDescent="0.2">
      <c r="A503" s="867"/>
      <c r="D503" s="676"/>
      <c r="E503" s="676">
        <f t="shared" ref="E503:AE503" si="54">E$53</f>
        <v>1</v>
      </c>
      <c r="F503" s="676">
        <f t="shared" si="54"/>
        <v>17</v>
      </c>
      <c r="G503" s="676">
        <f t="shared" si="54"/>
        <v>33</v>
      </c>
      <c r="H503" s="676">
        <f t="shared" si="54"/>
        <v>49</v>
      </c>
      <c r="I503" s="676">
        <f t="shared" si="54"/>
        <v>65</v>
      </c>
      <c r="J503" s="676">
        <f t="shared" si="54"/>
        <v>81</v>
      </c>
      <c r="K503" s="676">
        <f t="shared" si="54"/>
        <v>97</v>
      </c>
      <c r="L503" s="676">
        <f t="shared" si="54"/>
        <v>113</v>
      </c>
      <c r="M503" s="676">
        <f t="shared" si="54"/>
        <v>129</v>
      </c>
      <c r="N503" s="676">
        <f t="shared" si="54"/>
        <v>145</v>
      </c>
      <c r="O503" s="676">
        <f t="shared" si="54"/>
        <v>161</v>
      </c>
      <c r="P503" s="676">
        <f t="shared" si="54"/>
        <v>177</v>
      </c>
      <c r="Q503" s="676">
        <f t="shared" si="54"/>
        <v>193</v>
      </c>
      <c r="R503" s="676">
        <f t="shared" si="54"/>
        <v>209</v>
      </c>
      <c r="S503" s="676">
        <f t="shared" si="54"/>
        <v>225</v>
      </c>
      <c r="T503" s="676">
        <f t="shared" si="54"/>
        <v>241</v>
      </c>
      <c r="U503" s="676">
        <f t="shared" si="54"/>
        <v>257</v>
      </c>
      <c r="V503" s="676">
        <f t="shared" si="54"/>
        <v>273</v>
      </c>
      <c r="W503" s="676">
        <f t="shared" si="54"/>
        <v>289</v>
      </c>
      <c r="X503" s="676">
        <f t="shared" si="54"/>
        <v>305</v>
      </c>
      <c r="Y503" s="676">
        <f t="shared" si="54"/>
        <v>321</v>
      </c>
      <c r="Z503" s="676">
        <f t="shared" si="54"/>
        <v>337</v>
      </c>
      <c r="AA503" s="676">
        <f t="shared" si="54"/>
        <v>1</v>
      </c>
      <c r="AB503" s="676">
        <f t="shared" si="54"/>
        <v>19</v>
      </c>
      <c r="AC503" s="676">
        <f t="shared" si="54"/>
        <v>37</v>
      </c>
      <c r="AD503" s="676">
        <f t="shared" si="54"/>
        <v>55</v>
      </c>
      <c r="AE503" s="676">
        <f t="shared" si="54"/>
        <v>73</v>
      </c>
      <c r="AF503" s="676"/>
      <c r="AG503" s="676"/>
      <c r="AH503" s="676"/>
      <c r="AI503" s="676"/>
      <c r="AJ503" s="676"/>
      <c r="AK503" s="676"/>
      <c r="AL503" s="676"/>
      <c r="AM503" s="676"/>
      <c r="AN503" s="676"/>
      <c r="AO503" s="676"/>
      <c r="AP503" s="674"/>
      <c r="AS503" s="675"/>
      <c r="AU503" s="643"/>
      <c r="AV503" s="699"/>
      <c r="AW503" s="700">
        <v>4.3700000000000003E-2</v>
      </c>
      <c r="AX503" s="643"/>
      <c r="AY503" s="643"/>
      <c r="AZ503" s="671"/>
      <c r="BA503" s="643"/>
      <c r="BB503" s="643"/>
    </row>
    <row r="504" spans="1:54" s="673" customFormat="1" ht="13.5" hidden="1" customHeight="1" x14ac:dyDescent="0.2">
      <c r="A504" s="867"/>
      <c r="D504" s="677"/>
      <c r="E504" s="749" t="b">
        <f ca="1">COUNTIF(OFFSET(ASZ!$AB$42,E503,-4,12,2),$C512)=0</f>
        <v>0</v>
      </c>
      <c r="F504" s="749" t="b">
        <f ca="1">COUNTIF(OFFSET(ASZ!$AB$42,F503,-4,12,2),$C512)=0</f>
        <v>0</v>
      </c>
      <c r="G504" s="749" t="b">
        <f ca="1">COUNTIF(OFFSET(ASZ!$AB$42,G503,-4,12,2),$C512)=0</f>
        <v>0</v>
      </c>
      <c r="H504" s="749" t="b">
        <f ca="1">COUNTIF(OFFSET(ASZ!$AB$42,H503,-4,12,2),$C512)=0</f>
        <v>0</v>
      </c>
      <c r="I504" s="749" t="b">
        <f ca="1">COUNTIF(OFFSET(ASZ!$AB$42,I503,-4,12,2),$C512)=0</f>
        <v>0</v>
      </c>
      <c r="J504" s="749" t="b">
        <f ca="1">COUNTIF(OFFSET(ASZ!$AB$42,J503,-4,12,2),$C512)=0</f>
        <v>0</v>
      </c>
      <c r="K504" s="749" t="b">
        <f ca="1">COUNTIF(OFFSET(ASZ!$AB$42,K503,-4,12,2),$C512)=0</f>
        <v>0</v>
      </c>
      <c r="L504" s="749" t="b">
        <f ca="1">COUNTIF(OFFSET(ASZ!$AB$42,L503,-4,12,2),$C512)=0</f>
        <v>0</v>
      </c>
      <c r="M504" s="749" t="b">
        <f ca="1">COUNTIF(OFFSET(ASZ!$AB$42,M503,-4,12,2),$C512)=0</f>
        <v>0</v>
      </c>
      <c r="N504" s="749" t="b">
        <f ca="1">COUNTIF(OFFSET(ASZ!$AB$42,N503,-4,12,2),$C512)=0</f>
        <v>0</v>
      </c>
      <c r="O504" s="749" t="b">
        <f ca="1">COUNTIF(OFFSET(ASZ!$AB$42,O503,-4,12,2),$C512)=0</f>
        <v>0</v>
      </c>
      <c r="P504" s="749" t="b">
        <f ca="1">COUNTIF(OFFSET(ASZ!$AB$42,P503,-4,12,2),$C512)=0</f>
        <v>0</v>
      </c>
      <c r="Q504" s="749" t="b">
        <f ca="1">COUNTIF(OFFSET(ASZ!$AB$42,Q503,-4,12,2),$C512)=0</f>
        <v>0</v>
      </c>
      <c r="R504" s="749" t="b">
        <f ca="1">COUNTIF(OFFSET(ASZ!$AB$42,R503,-4,12,2),$C512)=0</f>
        <v>0</v>
      </c>
      <c r="S504" s="749" t="b">
        <f ca="1">COUNTIF(OFFSET(ASZ!$AB$42,S503,-4,12,2),$C512)=0</f>
        <v>0</v>
      </c>
      <c r="T504" s="749" t="b">
        <f ca="1">COUNTIF(OFFSET(ASZ!$AB$42,T503,-4,12,2),$C512)=0</f>
        <v>0</v>
      </c>
      <c r="U504" s="749" t="b">
        <f ca="1">COUNTIF(OFFSET(ASZ!$AB$42,U503,-4,12,2),$C512)=0</f>
        <v>0</v>
      </c>
      <c r="V504" s="749" t="b">
        <f ca="1">COUNTIF(OFFSET(ASZ!$AB$42,V503,-4,12,2),$C512)=0</f>
        <v>0</v>
      </c>
      <c r="W504" s="749" t="b">
        <f ca="1">COUNTIF(OFFSET(ASZ!$AB$42,W503,-4,12,2),$C512)=0</f>
        <v>0</v>
      </c>
      <c r="X504" s="749" t="b">
        <f ca="1">COUNTIF(OFFSET(ASZ!$AB$42,X503,-4,12,2),$C512)=0</f>
        <v>0</v>
      </c>
      <c r="Y504" s="749" t="b">
        <f ca="1">COUNTIF(OFFSET(ASZ!$AB$42,Y503,-4,12,2),$C512)=0</f>
        <v>0</v>
      </c>
      <c r="Z504" s="753" t="b">
        <f ca="1">COUNTIF(OFFSET(ASZ!$AB$42,Z503,-4,12,2),$C512)=0</f>
        <v>0</v>
      </c>
      <c r="AA504" s="749" t="b">
        <f ca="1">COUNTIF(OFFSET(RCSOP!$AF$56,AA503,-4,14,2),$C512)=0</f>
        <v>0</v>
      </c>
      <c r="AB504" s="749" t="b">
        <f ca="1">COUNTIF(OFFSET(RCSOP!$AF$56,AB503,-4,14,2),$C512)=0</f>
        <v>0</v>
      </c>
      <c r="AC504" s="749" t="b">
        <f ca="1">COUNTIF(OFFSET(RCSOP!$AF$56,AC503,-4,14,2),$C512)=0</f>
        <v>0</v>
      </c>
      <c r="AD504" s="749" t="b">
        <f ca="1">COUNTIF(OFFSET(RCSOP!$AF$56,AD503,-4,14,2),$C512)=0</f>
        <v>0</v>
      </c>
      <c r="AE504" s="749" t="b">
        <f ca="1">COUNTIF(OFFSET(RCSOP!$AF$56,AE503,-4,14,2),$C512)=0</f>
        <v>0</v>
      </c>
      <c r="AF504" s="677"/>
      <c r="AG504" s="677"/>
      <c r="AH504" s="677"/>
      <c r="AI504" s="677"/>
      <c r="AJ504" s="677"/>
      <c r="AK504" s="677"/>
      <c r="AL504" s="677"/>
      <c r="AM504" s="677"/>
      <c r="AN504" s="677"/>
      <c r="AO504" s="677"/>
      <c r="AP504" s="674"/>
      <c r="AS504" s="675"/>
      <c r="AU504" s="643"/>
      <c r="AV504" s="699"/>
      <c r="AW504" s="700">
        <v>4.3799999999999999E-2</v>
      </c>
      <c r="AY504" s="643"/>
      <c r="AZ504" s="671"/>
      <c r="BA504" s="643"/>
      <c r="BB504" s="643"/>
    </row>
    <row r="505" spans="1:54" s="673" customFormat="1" ht="13.5" hidden="1" customHeight="1" x14ac:dyDescent="0.2">
      <c r="A505" s="867"/>
      <c r="D505" s="677"/>
      <c r="E505" s="749" t="b">
        <f ca="1">COUNTIF(OFFSET(ASZ!$AB$42,E503,-4,12,1),$C512)=1</f>
        <v>1</v>
      </c>
      <c r="F505" s="749" t="b">
        <f ca="1">COUNTIF(OFFSET(ASZ!$AB$42,F503,-4,12,1),$C512)=1</f>
        <v>1</v>
      </c>
      <c r="G505" s="749" t="b">
        <f ca="1">COUNTIF(OFFSET(ASZ!$AB$42,G503,-4,12,1),$C512)=1</f>
        <v>1</v>
      </c>
      <c r="H505" s="749" t="b">
        <f ca="1">COUNTIF(OFFSET(ASZ!$AB$42,H503,-4,12,1),$C512)=1</f>
        <v>1</v>
      </c>
      <c r="I505" s="749" t="b">
        <f ca="1">COUNTIF(OFFSET(ASZ!$AB$42,I503,-4,12,1),$C512)=1</f>
        <v>1</v>
      </c>
      <c r="J505" s="749" t="b">
        <f ca="1">COUNTIF(OFFSET(ASZ!$AB$42,J503,-4,12,1),$C512)=1</f>
        <v>1</v>
      </c>
      <c r="K505" s="749" t="b">
        <f ca="1">COUNTIF(OFFSET(ASZ!$AB$42,K503,-4,12,1),$C512)=1</f>
        <v>0</v>
      </c>
      <c r="L505" s="749" t="b">
        <f ca="1">COUNTIF(OFFSET(ASZ!$AB$42,L503,-4,12,1),$C512)=1</f>
        <v>1</v>
      </c>
      <c r="M505" s="749" t="b">
        <f ca="1">COUNTIF(OFFSET(ASZ!$AB$42,M503,-4,12,1),$C512)=1</f>
        <v>0</v>
      </c>
      <c r="N505" s="749" t="b">
        <f ca="1">COUNTIF(OFFSET(ASZ!$AB$42,N503,-4,12,1),$C512)=1</f>
        <v>1</v>
      </c>
      <c r="O505" s="749" t="b">
        <f ca="1">COUNTIF(OFFSET(ASZ!$AB$42,O503,-4,12,1),$C512)=1</f>
        <v>0</v>
      </c>
      <c r="P505" s="749" t="b">
        <f ca="1">COUNTIF(OFFSET(ASZ!$AB$42,P503,-4,12,1),$C512)=1</f>
        <v>0</v>
      </c>
      <c r="Q505" s="749" t="b">
        <f ca="1">COUNTIF(OFFSET(ASZ!$AB$42,Q503,-4,12,1),$C512)=1</f>
        <v>1</v>
      </c>
      <c r="R505" s="749" t="b">
        <f ca="1">COUNTIF(OFFSET(ASZ!$AB$42,R503,-4,12,1),$C512)=1</f>
        <v>0</v>
      </c>
      <c r="S505" s="749" t="b">
        <f ca="1">COUNTIF(OFFSET(ASZ!$AB$42,S503,-4,12,1),$C512)=1</f>
        <v>0</v>
      </c>
      <c r="T505" s="749" t="b">
        <f ca="1">COUNTIF(OFFSET(ASZ!$AB$42,T503,-4,12,1),$C512)=1</f>
        <v>0</v>
      </c>
      <c r="U505" s="749" t="b">
        <f ca="1">COUNTIF(OFFSET(ASZ!$AB$42,U503,-4,12,1),$C512)=1</f>
        <v>0</v>
      </c>
      <c r="V505" s="749" t="b">
        <f ca="1">COUNTIF(OFFSET(ASZ!$AB$42,V503,-4,12,1),$C512)=1</f>
        <v>1</v>
      </c>
      <c r="W505" s="749" t="b">
        <f ca="1">COUNTIF(OFFSET(ASZ!$AB$42,W503,-4,12,1),$C512)=1</f>
        <v>0</v>
      </c>
      <c r="X505" s="749" t="b">
        <f ca="1">COUNTIF(OFFSET(ASZ!$AB$42,X503,-4,12,1),$C512)=1</f>
        <v>1</v>
      </c>
      <c r="Y505" s="749" t="b">
        <f ca="1">COUNTIF(OFFSET(ASZ!$AB$42,Y503,-4,12,1),$C512)=1</f>
        <v>0</v>
      </c>
      <c r="Z505" s="753" t="b">
        <f ca="1">COUNTIF(OFFSET(ASZ!$AB$42,Z503,-4,12,1),$C512)=1</f>
        <v>1</v>
      </c>
      <c r="AA505" s="749" t="b">
        <f ca="1">COUNTIF(OFFSET(RCSOP!$AF$56,AA503,-4,14,1),$C512)=1</f>
        <v>1</v>
      </c>
      <c r="AB505" s="749" t="b">
        <f ca="1">COUNTIF(OFFSET(RCSOP!$AF$56,AB503,-4,14,1),$C512)=1</f>
        <v>1</v>
      </c>
      <c r="AC505" s="749" t="b">
        <f ca="1">COUNTIF(OFFSET(RCSOP!$AF$56,AC503,-4,14,1),$C512)=1</f>
        <v>1</v>
      </c>
      <c r="AD505" s="749" t="b">
        <f ca="1">COUNTIF(OFFSET(RCSOP!$AF$56,AD503,-4,14,1),$C512)=1</f>
        <v>1</v>
      </c>
      <c r="AE505" s="749" t="b">
        <f ca="1">COUNTIF(OFFSET(RCSOP!$AF$56,AE503,-4,14,1),$C512)=1</f>
        <v>0</v>
      </c>
      <c r="AF505" s="677"/>
      <c r="AG505" s="677"/>
      <c r="AH505" s="677"/>
      <c r="AI505" s="677"/>
      <c r="AJ505" s="677"/>
      <c r="AK505" s="677"/>
      <c r="AL505" s="677"/>
      <c r="AM505" s="677"/>
      <c r="AN505" s="677"/>
      <c r="AO505" s="677"/>
      <c r="AP505" s="674"/>
      <c r="AS505" s="675"/>
      <c r="AU505" s="643"/>
      <c r="AV505" s="699"/>
      <c r="AW505" s="700">
        <v>4.3900000000000002E-2</v>
      </c>
      <c r="AX505" s="643"/>
      <c r="AY505" s="643"/>
      <c r="AZ505" s="671"/>
      <c r="BA505" s="643"/>
      <c r="BB505" s="643"/>
    </row>
    <row r="506" spans="1:54" s="673" customFormat="1" ht="13.5" hidden="1" customHeight="1" x14ac:dyDescent="0.2">
      <c r="A506" s="867"/>
      <c r="D506" s="674"/>
      <c r="E506" s="674"/>
      <c r="F506" s="674"/>
      <c r="G506" s="674"/>
      <c r="H506" s="674"/>
      <c r="I506" s="674"/>
      <c r="J506" s="674"/>
      <c r="K506" s="674"/>
      <c r="L506" s="674"/>
      <c r="M506" s="674"/>
      <c r="N506" s="674"/>
      <c r="O506" s="674"/>
      <c r="P506" s="674"/>
      <c r="Q506" s="674"/>
      <c r="R506" s="674"/>
      <c r="S506" s="674"/>
      <c r="T506" s="674"/>
      <c r="U506" s="674"/>
      <c r="V506" s="674"/>
      <c r="W506" s="674"/>
      <c r="X506" s="674"/>
      <c r="Y506" s="674"/>
      <c r="Z506" s="674"/>
      <c r="AA506" s="674"/>
      <c r="AB506" s="674"/>
      <c r="AC506" s="674"/>
      <c r="AD506" s="674"/>
      <c r="AE506" s="674"/>
      <c r="AF506" s="674"/>
      <c r="AG506" s="674"/>
      <c r="AH506" s="674"/>
      <c r="AI506" s="674"/>
      <c r="AJ506" s="674"/>
      <c r="AK506" s="674"/>
      <c r="AL506" s="674"/>
      <c r="AM506" s="674"/>
      <c r="AN506" s="674"/>
      <c r="AO506" s="674"/>
      <c r="AP506" s="674"/>
      <c r="AS506" s="675"/>
      <c r="AU506" s="643"/>
      <c r="AV506" s="699"/>
      <c r="AW506" s="700">
        <v>4.3999999999999997E-2</v>
      </c>
      <c r="AX506" s="643"/>
      <c r="AY506" s="643"/>
      <c r="AZ506" s="671"/>
      <c r="BA506" s="643"/>
      <c r="BB506" s="643"/>
    </row>
    <row r="507" spans="1:54" s="673" customFormat="1" ht="13.5" hidden="1" customHeight="1" x14ac:dyDescent="0.2">
      <c r="A507" s="867"/>
      <c r="D507" s="674"/>
      <c r="E507" s="674"/>
      <c r="F507" s="674"/>
      <c r="G507" s="674"/>
      <c r="H507" s="674"/>
      <c r="I507" s="674"/>
      <c r="J507" s="674"/>
      <c r="K507" s="674"/>
      <c r="L507" s="674"/>
      <c r="M507" s="674"/>
      <c r="N507" s="674"/>
      <c r="O507" s="674"/>
      <c r="P507" s="674"/>
      <c r="Q507" s="674"/>
      <c r="R507" s="674"/>
      <c r="S507" s="674"/>
      <c r="T507" s="674"/>
      <c r="U507" s="674"/>
      <c r="V507" s="674"/>
      <c r="W507" s="674"/>
      <c r="X507" s="674"/>
      <c r="Y507" s="674"/>
      <c r="Z507" s="674"/>
      <c r="AA507" s="674"/>
      <c r="AB507" s="674"/>
      <c r="AC507" s="674"/>
      <c r="AD507" s="674"/>
      <c r="AE507" s="674"/>
      <c r="AF507" s="674"/>
      <c r="AG507" s="674"/>
      <c r="AH507" s="674"/>
      <c r="AI507" s="674"/>
      <c r="AJ507" s="674"/>
      <c r="AK507" s="674"/>
      <c r="AL507" s="674"/>
      <c r="AM507" s="674"/>
      <c r="AN507" s="674"/>
      <c r="AO507" s="674"/>
      <c r="AP507" s="674"/>
      <c r="AS507" s="675"/>
      <c r="AU507" s="643"/>
      <c r="AV507" s="699"/>
      <c r="AW507" s="700">
        <v>4.41E-2</v>
      </c>
      <c r="AX507" s="643"/>
      <c r="AY507" s="643"/>
      <c r="AZ507" s="671"/>
      <c r="BA507" s="643"/>
      <c r="BB507" s="643"/>
    </row>
    <row r="508" spans="1:54" s="673" customFormat="1" ht="13.5" hidden="1" customHeight="1" x14ac:dyDescent="0.2">
      <c r="A508" s="867"/>
      <c r="D508" s="674"/>
      <c r="E508" s="674"/>
      <c r="F508" s="674"/>
      <c r="G508" s="674"/>
      <c r="H508" s="674"/>
      <c r="I508" s="674"/>
      <c r="J508" s="674"/>
      <c r="K508" s="674"/>
      <c r="L508" s="674"/>
      <c r="M508" s="674"/>
      <c r="N508" s="674"/>
      <c r="O508" s="674"/>
      <c r="P508" s="674"/>
      <c r="Q508" s="674"/>
      <c r="R508" s="674"/>
      <c r="S508" s="674"/>
      <c r="T508" s="674"/>
      <c r="U508" s="674"/>
      <c r="V508" s="674"/>
      <c r="W508" s="674"/>
      <c r="X508" s="674"/>
      <c r="Y508" s="674"/>
      <c r="Z508" s="674"/>
      <c r="AA508" s="674"/>
      <c r="AB508" s="674"/>
      <c r="AC508" s="674"/>
      <c r="AD508" s="674"/>
      <c r="AE508" s="674"/>
      <c r="AF508" s="674"/>
      <c r="AG508" s="674"/>
      <c r="AH508" s="674"/>
      <c r="AI508" s="674"/>
      <c r="AJ508" s="674"/>
      <c r="AK508" s="674"/>
      <c r="AL508" s="674"/>
      <c r="AM508" s="674"/>
      <c r="AN508" s="674"/>
      <c r="AO508" s="674"/>
      <c r="AP508" s="674"/>
      <c r="AS508" s="675"/>
      <c r="AU508" s="643"/>
      <c r="AV508" s="699"/>
      <c r="AW508" s="700">
        <v>4.4200000000000003E-2</v>
      </c>
      <c r="AX508" s="643"/>
      <c r="AY508" s="643"/>
      <c r="AZ508" s="671"/>
      <c r="BA508" s="643"/>
      <c r="BB508" s="643"/>
    </row>
    <row r="509" spans="1:54" s="673" customFormat="1" ht="13.5" hidden="1" customHeight="1" x14ac:dyDescent="0.2">
      <c r="A509" s="867"/>
      <c r="D509" s="674"/>
      <c r="E509" s="674"/>
      <c r="F509" s="674"/>
      <c r="G509" s="674"/>
      <c r="H509" s="674"/>
      <c r="I509" s="674"/>
      <c r="J509" s="674"/>
      <c r="K509" s="674"/>
      <c r="L509" s="674"/>
      <c r="M509" s="674"/>
      <c r="N509" s="674"/>
      <c r="O509" s="674"/>
      <c r="P509" s="674"/>
      <c r="Q509" s="674"/>
      <c r="R509" s="674"/>
      <c r="S509" s="674"/>
      <c r="T509" s="674"/>
      <c r="U509" s="674"/>
      <c r="V509" s="674"/>
      <c r="W509" s="674"/>
      <c r="X509" s="674"/>
      <c r="Y509" s="674"/>
      <c r="Z509" s="674"/>
      <c r="AA509" s="674"/>
      <c r="AB509" s="674"/>
      <c r="AC509" s="674"/>
      <c r="AD509" s="674"/>
      <c r="AE509" s="674"/>
      <c r="AF509" s="674"/>
      <c r="AG509" s="674"/>
      <c r="AH509" s="674"/>
      <c r="AI509" s="674"/>
      <c r="AJ509" s="674"/>
      <c r="AK509" s="674"/>
      <c r="AL509" s="674"/>
      <c r="AM509" s="674"/>
      <c r="AN509" s="674"/>
      <c r="AO509" s="674"/>
      <c r="AP509" s="674"/>
      <c r="AS509" s="675"/>
      <c r="AU509" s="643"/>
      <c r="AV509" s="699"/>
      <c r="AW509" s="700">
        <v>4.4299999999999999E-2</v>
      </c>
      <c r="AX509" s="643"/>
      <c r="AY509" s="643"/>
      <c r="AZ509" s="671"/>
      <c r="BA509" s="643"/>
      <c r="BB509" s="643"/>
    </row>
    <row r="510" spans="1:54" s="673" customFormat="1" ht="13.5" hidden="1" customHeight="1" x14ac:dyDescent="0.2">
      <c r="A510" s="867"/>
      <c r="D510" s="674"/>
      <c r="E510" s="674"/>
      <c r="F510" s="674"/>
      <c r="G510" s="674"/>
      <c r="H510" s="674"/>
      <c r="I510" s="674"/>
      <c r="J510" s="674"/>
      <c r="K510" s="674"/>
      <c r="L510" s="674"/>
      <c r="M510" s="674"/>
      <c r="N510" s="674"/>
      <c r="O510" s="674"/>
      <c r="P510" s="674"/>
      <c r="Q510" s="674"/>
      <c r="R510" s="674"/>
      <c r="S510" s="674"/>
      <c r="T510" s="674"/>
      <c r="U510" s="674"/>
      <c r="V510" s="674"/>
      <c r="W510" s="674"/>
      <c r="X510" s="674"/>
      <c r="Y510" s="674"/>
      <c r="Z510" s="674"/>
      <c r="AA510" s="674"/>
      <c r="AB510" s="674"/>
      <c r="AC510" s="674"/>
      <c r="AD510" s="674"/>
      <c r="AE510" s="674"/>
      <c r="AF510" s="674"/>
      <c r="AG510" s="674"/>
      <c r="AH510" s="674"/>
      <c r="AI510" s="674"/>
      <c r="AJ510" s="674"/>
      <c r="AK510" s="674"/>
      <c r="AL510" s="674"/>
      <c r="AM510" s="674"/>
      <c r="AN510" s="674"/>
      <c r="AO510" s="674"/>
      <c r="AP510" s="674"/>
      <c r="AS510" s="675"/>
      <c r="AU510" s="643"/>
      <c r="AV510" s="699"/>
      <c r="AW510" s="700">
        <v>4.4400000000000002E-2</v>
      </c>
      <c r="AX510" s="643"/>
      <c r="AY510" s="643"/>
      <c r="AZ510" s="671"/>
      <c r="BA510" s="643"/>
      <c r="BB510" s="643"/>
    </row>
    <row r="511" spans="1:54" s="186" customFormat="1" ht="11.25" hidden="1" customHeight="1" x14ac:dyDescent="0.2">
      <c r="A511" s="867"/>
      <c r="D511" s="678"/>
      <c r="E511" s="678"/>
      <c r="F511" s="678"/>
      <c r="G511" s="678"/>
      <c r="H511" s="678"/>
      <c r="I511" s="678"/>
      <c r="J511" s="678"/>
      <c r="K511" s="678"/>
      <c r="L511" s="678"/>
      <c r="M511" s="678"/>
      <c r="N511" s="678"/>
      <c r="O511" s="678"/>
      <c r="P511" s="678"/>
      <c r="Q511" s="678"/>
      <c r="R511" s="678"/>
      <c r="S511" s="678"/>
      <c r="T511" s="678"/>
      <c r="U511" s="678"/>
      <c r="V511" s="678"/>
      <c r="W511" s="678"/>
      <c r="X511" s="678"/>
      <c r="Y511" s="678"/>
      <c r="Z511" s="678"/>
      <c r="AA511" s="678"/>
      <c r="AB511" s="678"/>
      <c r="AC511" s="678"/>
      <c r="AD511" s="678"/>
      <c r="AE511" s="678"/>
      <c r="AF511" s="678"/>
      <c r="AG511" s="678"/>
      <c r="AH511" s="678"/>
      <c r="AI511" s="678"/>
      <c r="AJ511" s="678"/>
      <c r="AK511" s="678"/>
      <c r="AL511" s="678"/>
      <c r="AM511" s="678"/>
      <c r="AN511" s="678"/>
      <c r="AO511" s="678"/>
      <c r="AP511" s="678"/>
      <c r="AS511" s="672"/>
      <c r="AU511" s="669"/>
      <c r="AV511" s="699"/>
      <c r="AW511" s="700">
        <v>4.4499999999999998E-2</v>
      </c>
      <c r="AX511" s="643"/>
      <c r="AY511" s="643"/>
      <c r="AZ511" s="671"/>
      <c r="BA511" s="643"/>
      <c r="BB511" s="669"/>
    </row>
    <row r="512" spans="1:54" ht="30" customHeight="1" x14ac:dyDescent="0.2">
      <c r="A512" s="867"/>
      <c r="C512" s="679" t="str">
        <f ca="1">UPPER(INDEX(teams.a,C501,1))</f>
        <v>VAKANA</v>
      </c>
      <c r="D512" s="743"/>
      <c r="E512" s="743">
        <f ca="1">IF(E504,"",VLOOKUP($C512,OFFSET(ASZ!$AB$42,E503,IF(E505,-4,-3),12,12),IF(E505,12,11),FALSE))</f>
        <v>42088</v>
      </c>
      <c r="F512" s="743">
        <f ca="1">IF(F504,"",VLOOKUP($C512,OFFSET(ASZ!$AB$42,F503,IF(F505,-4,-3),12,12),IF(F505,12,11),FALSE))</f>
        <v>42095</v>
      </c>
      <c r="G512" s="743">
        <f ca="1">IF(G504,"",VLOOKUP($C512,OFFSET(ASZ!$AB$42,G503,IF(G505,-4,-3),12,12),IF(G505,12,11),FALSE))</f>
        <v>42102</v>
      </c>
      <c r="H512" s="743">
        <f ca="1">IF(H504,"",VLOOKUP($C512,OFFSET(ASZ!$AB$42,H503,IF(H505,-4,-3),12,12),IF(H505,12,11),FALSE))</f>
        <v>42109</v>
      </c>
      <c r="I512" s="743">
        <f ca="1">IF(I504,"",VLOOKUP($C512,OFFSET(ASZ!$AB$42,I503,IF(I505,-4,-3),12,12),IF(I505,12,11),FALSE))</f>
        <v>42116</v>
      </c>
      <c r="J512" s="743">
        <f ca="1">IF(J504,"",VLOOKUP($C512,OFFSET(ASZ!$AB$42,J503,IF(J505,-4,-3),12,12),IF(J505,12,11),FALSE))</f>
        <v>42123</v>
      </c>
      <c r="K512" s="743">
        <f ca="1">IF(K504,"",VLOOKUP($C512,OFFSET(ASZ!$AB$42,K503,IF(K505,-4,-3),12,12),IF(K505,12,11),FALSE))</f>
        <v>42130</v>
      </c>
      <c r="L512" s="743">
        <f ca="1">IF(L504,"",VLOOKUP($C512,OFFSET(ASZ!$AB$42,L503,IF(L505,-4,-3),12,12),IF(L505,12,11),FALSE))</f>
        <v>42137</v>
      </c>
      <c r="M512" s="743">
        <f ca="1">IF(M504,"",VLOOKUP($C512,OFFSET(ASZ!$AB$42,M503,IF(M505,-4,-3),12,12),IF(M505,12,11),FALSE))</f>
        <v>42144</v>
      </c>
      <c r="N512" s="743">
        <f ca="1">IF(N504,"",VLOOKUP($C512,OFFSET(ASZ!$AB$42,N503,IF(N505,-4,-3),12,12),IF(N505,12,11),FALSE))</f>
        <v>42151</v>
      </c>
      <c r="O512" s="743">
        <f ca="1">IF(O504,"",VLOOKUP($C512,OFFSET(ASZ!$AB$42,O503,IF(O505,-4,-3),12,12),IF(O505,12,11),FALSE))</f>
        <v>42158</v>
      </c>
      <c r="P512" s="743">
        <f ca="1">IF(P504,"",VLOOKUP($C512,OFFSET(ASZ!$AB$42,P503,IF(P505,-4,-3),12,12),IF(P505,12,11),FALSE))</f>
        <v>42165</v>
      </c>
      <c r="Q512" s="743">
        <f ca="1">IF(Q504,"",VLOOKUP($C512,OFFSET(ASZ!$AB$42,Q503,IF(Q505,-4,-3),12,12),IF(Q505,12,11),FALSE))</f>
        <v>42172</v>
      </c>
      <c r="R512" s="743">
        <f ca="1">IF(R504,"",VLOOKUP($C512,OFFSET(ASZ!$AB$42,R503,IF(R505,-4,-3),12,12),IF(R505,12,11),FALSE))</f>
        <v>42179</v>
      </c>
      <c r="S512" s="743">
        <f ca="1">IF(S504,"",VLOOKUP($C512,OFFSET(ASZ!$AB$42,S503,IF(S505,-4,-3),12,12),IF(S505,12,11),FALSE))</f>
        <v>42242</v>
      </c>
      <c r="T512" s="743">
        <f ca="1">IF(T504,"",VLOOKUP($C512,OFFSET(ASZ!$AB$42,T503,IF(T505,-4,-3),12,12),IF(T505,12,11),FALSE))</f>
        <v>42249</v>
      </c>
      <c r="U512" s="743">
        <f ca="1">IF(U504,"",VLOOKUP($C512,OFFSET(ASZ!$AB$42,U503,IF(U505,-4,-3),12,12),IF(U505,12,11),FALSE))</f>
        <v>42256</v>
      </c>
      <c r="V512" s="743">
        <f ca="1">IF(V504,"",VLOOKUP($C512,OFFSET(ASZ!$AB$42,V503,IF(V505,-4,-3),12,12),IF(V505,12,11),FALSE))</f>
        <v>42263</v>
      </c>
      <c r="W512" s="743">
        <f ca="1">IF(W504,"",VLOOKUP($C512,OFFSET(ASZ!$AB$42,W503,IF(W505,-4,-3),12,12),IF(W505,12,11),FALSE))</f>
        <v>42270</v>
      </c>
      <c r="X512" s="743">
        <f ca="1">IF(X504,"",VLOOKUP($C512,OFFSET(ASZ!$AB$42,X503,IF(X505,-4,-3),12,12),IF(X505,12,11),FALSE))</f>
        <v>42277</v>
      </c>
      <c r="Y512" s="743">
        <f ca="1">IF(Y504,"",VLOOKUP($C512,OFFSET(ASZ!$AB$42,Y503,IF(Y505,-4,-3),12,12),IF(Y505,12,11),FALSE))</f>
        <v>42284</v>
      </c>
      <c r="Z512" s="743">
        <f ca="1">IF(Z504,"",VLOOKUP($C512,OFFSET(ASZ!$AB$42,Z503,IF(Z505,-4,-3),12,12),IF(Z505,12,11),FALSE))</f>
        <v>42291</v>
      </c>
      <c r="AA512" s="743">
        <f ca="1">IF(AA504,"",VLOOKUP($C512,OFFSET(RCSOP!$AF$56,AA503,IF(AA505,-4,-3),14,12),IF(AA505,12,11),FALSE))</f>
        <v>42298</v>
      </c>
      <c r="AB512" s="743">
        <f ca="1">IF(AB504,"",VLOOKUP($C512,OFFSET(RCSOP!$AF$56,AB503,IF(AB505,-4,-3),14,12),IF(AB505,12,11),FALSE))</f>
        <v>42305</v>
      </c>
      <c r="AC512" s="743">
        <f ca="1">IF(AC504,"",VLOOKUP($C512,OFFSET(RCSOP!$AF$56,AC503,IF(AC505,-4,-3),14,12),IF(AC505,12,11),FALSE))</f>
        <v>42312</v>
      </c>
      <c r="AD512" s="743">
        <f ca="1">IF(AD504,"",VLOOKUP($C512,OFFSET(RCSOP!$AF$56,AD503,IF(AD505,-4,-3),14,12),IF(AD505,12,11),FALSE))</f>
        <v>42319</v>
      </c>
      <c r="AE512" s="743">
        <f ca="1">IF(AE504,"",VLOOKUP($C512,OFFSET(RCSOP!$AF$56,AE503,IF(AE505,-4,-3),14,12),IF(AE505,12,11),FALSE))</f>
        <v>42326</v>
      </c>
      <c r="AF512" s="743"/>
      <c r="AG512" s="743"/>
      <c r="AH512" s="743"/>
      <c r="AI512" s="743"/>
      <c r="AJ512" s="743"/>
      <c r="AK512" s="743"/>
      <c r="AL512" s="743"/>
      <c r="AM512" s="743"/>
      <c r="AN512" s="743"/>
      <c r="AO512" s="743"/>
      <c r="AP512" s="869" t="s">
        <v>518</v>
      </c>
      <c r="AV512" s="699"/>
      <c r="AW512" s="700">
        <v>4.4600000000000001E-2</v>
      </c>
    </row>
    <row r="513" spans="1:53" ht="12.75" customHeight="1" x14ac:dyDescent="0.2">
      <c r="A513" s="867"/>
      <c r="C513" s="224"/>
      <c r="D513" s="224" t="s">
        <v>519</v>
      </c>
      <c r="E513" s="692">
        <f ca="1">IF(E504,"",VLOOKUP($C512,OFFSET(ASZ!$AB$42,E503,IF(E505,-4,-3),12,3),3,FALSE))</f>
        <v>3</v>
      </c>
      <c r="F513" s="692" t="str">
        <f ca="1">IF(F504,"",VLOOKUP($C512,OFFSET(ASZ!$AB$42,F503,IF(F505,-4,-3),12,3),3,FALSE))</f>
        <v/>
      </c>
      <c r="G513" s="692">
        <f ca="1">IF(G504,"",VLOOKUP($C512,OFFSET(ASZ!$AB$42,G503,IF(G505,-4,-3),12,3),3,FALSE))</f>
        <v>0</v>
      </c>
      <c r="H513" s="692">
        <f ca="1">IF(H504,"",VLOOKUP($C512,OFFSET(ASZ!$AB$42,H503,IF(H505,-4,-3),12,3),3,FALSE))</f>
        <v>1</v>
      </c>
      <c r="I513" s="692">
        <f ca="1">IF(I504,"",VLOOKUP($C512,OFFSET(ASZ!$AB$42,I503,IF(I505,-4,-3),12,3),3,FALSE))</f>
        <v>1</v>
      </c>
      <c r="J513" s="692">
        <f ca="1">IF(J504,"",VLOOKUP($C512,OFFSET(ASZ!$AB$42,J503,IF(J505,-4,-3),12,3),3,FALSE))</f>
        <v>0</v>
      </c>
      <c r="K513" s="692">
        <f ca="1">IF(K504,"",VLOOKUP($C512,OFFSET(ASZ!$AB$42,K503,IF(K505,-4,-3),12,3),3,FALSE))</f>
        <v>0</v>
      </c>
      <c r="L513" s="692">
        <f ca="1">IF(L504,"",VLOOKUP($C512,OFFSET(ASZ!$AB$42,L503,IF(L505,-4,-3),12,3),3,FALSE))</f>
        <v>1</v>
      </c>
      <c r="M513" s="692">
        <f ca="1">IF(M504,"",VLOOKUP($C512,OFFSET(ASZ!$AB$42,M503,IF(M505,-4,-3),12,3),3,FALSE))</f>
        <v>1</v>
      </c>
      <c r="N513" s="692">
        <f ca="1">IF(N504,"",VLOOKUP($C512,OFFSET(ASZ!$AB$42,N503,IF(N505,-4,-3),12,3),3,FALSE))</f>
        <v>4</v>
      </c>
      <c r="O513" s="692">
        <f ca="1">IF(O504,"",VLOOKUP($C512,OFFSET(ASZ!$AB$42,O503,IF(O505,-4,-3),12,3),3,FALSE))</f>
        <v>1</v>
      </c>
      <c r="P513" s="692">
        <f ca="1">IF(P504,"",VLOOKUP($C512,OFFSET(ASZ!$AB$42,P503,IF(P505,-4,-3),12,3),3,FALSE))</f>
        <v>1</v>
      </c>
      <c r="Q513" s="692" t="str">
        <f ca="1">IF(Q504,"",VLOOKUP($C512,OFFSET(ASZ!$AB$42,Q503,IF(Q505,-4,-3),12,3),3,FALSE))</f>
        <v/>
      </c>
      <c r="R513" s="692">
        <f ca="1">IF(R504,"",VLOOKUP($C512,OFFSET(ASZ!$AB$42,R503,IF(R505,-4,-3),12,3),3,FALSE))</f>
        <v>1</v>
      </c>
      <c r="S513" s="692">
        <f ca="1">IF(S504,"",VLOOKUP($C512,OFFSET(ASZ!$AB$42,S503,IF(S505,-4,-3),12,3),3,FALSE))</f>
        <v>7</v>
      </c>
      <c r="T513" s="692">
        <f ca="1">IF(T504,"",VLOOKUP($C512,OFFSET(ASZ!$AB$42,T503,IF(T505,-4,-3),12,3),3,FALSE))</f>
        <v>0</v>
      </c>
      <c r="U513" s="692">
        <f ca="1">IF(U504,"",VLOOKUP($C512,OFFSET(ASZ!$AB$42,U503,IF(U505,-4,-3),12,3),3,FALSE))</f>
        <v>4</v>
      </c>
      <c r="V513" s="692">
        <f ca="1">IF(V504,"",VLOOKUP($C512,OFFSET(ASZ!$AB$42,V503,IF(V505,-4,-3),12,3),3,FALSE))</f>
        <v>1</v>
      </c>
      <c r="W513" s="692">
        <f ca="1">IF(W504,"",VLOOKUP($C512,OFFSET(ASZ!$AB$42,W503,IF(W505,-4,-3),12,3),3,FALSE))</f>
        <v>3</v>
      </c>
      <c r="X513" s="692">
        <f ca="1">IF(X504,"",VLOOKUP($C512,OFFSET(ASZ!$AB$42,X503,IF(X505,-4,-3),12,3),3,FALSE))</f>
        <v>0</v>
      </c>
      <c r="Y513" s="692">
        <f ca="1">IF(Y504,"",VLOOKUP($C512,OFFSET(ASZ!$AB$42,Y503,IF(Y505,-4,-3),12,3),3,FALSE))</f>
        <v>2</v>
      </c>
      <c r="Z513" s="692">
        <f ca="1">IF(Z504,"",VLOOKUP($C512,OFFSET(ASZ!$AB$42,Z503,IF(Z505,-4,-3),12,3),3,FALSE))</f>
        <v>3</v>
      </c>
      <c r="AA513" s="692">
        <f ca="1">IF(AA504,"",VLOOKUP($C512,OFFSET(RCSOP!$AF$56,AA503,IF(AA505,-4,-3),14,3),3,FALSE))</f>
        <v>2</v>
      </c>
      <c r="AB513" s="692">
        <f ca="1">IF(AB504,"",VLOOKUP($C512,OFFSET(RCSOP!$AF$56,AB503,IF(AB505,-4,-3),14,3),3,FALSE))</f>
        <v>3</v>
      </c>
      <c r="AC513" s="692">
        <f ca="1">IF(AC504,"",VLOOKUP($C512,OFFSET(RCSOP!$AF$56,AC503,IF(AC505,-4,-3),14,3),3,FALSE))</f>
        <v>5</v>
      </c>
      <c r="AD513" s="692" t="str">
        <f ca="1">IF(AD504,"",VLOOKUP($C512,OFFSET(RCSOP!$AF$56,AD503,IF(AD505,-4,-3),14,3),3,FALSE))</f>
        <v/>
      </c>
      <c r="AE513" s="692">
        <f ca="1">IF(AE504,"",VLOOKUP($C512,OFFSET(RCSOP!$AF$56,AE503,IF(AE505,-4,-3),14,3),3,FALSE))</f>
        <v>3</v>
      </c>
      <c r="AF513" s="692"/>
      <c r="AG513" s="692"/>
      <c r="AH513" s="692"/>
      <c r="AI513" s="692"/>
      <c r="AJ513" s="692"/>
      <c r="AK513" s="692"/>
      <c r="AL513" s="692"/>
      <c r="AM513" s="692"/>
      <c r="AN513" s="692"/>
      <c r="AO513" s="692"/>
      <c r="AP513" s="869"/>
      <c r="AQ513" s="683">
        <f ca="1">IF(SUM(D513:AO513)=0,"",SUM(D513:AO513))</f>
        <v>47</v>
      </c>
      <c r="AV513" s="699"/>
      <c r="AW513" s="700">
        <v>4.4699999999999997E-2</v>
      </c>
    </row>
    <row r="514" spans="1:53" ht="12.75" customHeight="1" x14ac:dyDescent="0.2">
      <c r="A514" s="867"/>
      <c r="C514" s="737"/>
      <c r="D514" s="737" t="s">
        <v>520</v>
      </c>
      <c r="E514" s="739"/>
      <c r="F514" s="740"/>
      <c r="G514" s="740"/>
      <c r="H514" s="740"/>
      <c r="I514" s="740"/>
      <c r="J514" s="740"/>
      <c r="K514" s="740"/>
      <c r="L514" s="740"/>
      <c r="M514" s="740"/>
      <c r="N514" s="740"/>
      <c r="O514" s="740"/>
      <c r="P514" s="740"/>
      <c r="Q514" s="740"/>
      <c r="R514" s="740"/>
      <c r="S514" s="740"/>
      <c r="T514" s="740"/>
      <c r="U514" s="740"/>
      <c r="V514" s="740"/>
      <c r="W514" s="740"/>
      <c r="X514" s="740"/>
      <c r="Y514" s="740"/>
      <c r="Z514" s="740"/>
      <c r="AA514" s="740"/>
      <c r="AB514" s="740"/>
      <c r="AC514" s="740"/>
      <c r="AD514" s="740"/>
      <c r="AE514" s="740"/>
      <c r="AF514" s="740"/>
      <c r="AG514" s="740"/>
      <c r="AH514" s="740"/>
      <c r="AI514" s="740"/>
      <c r="AJ514" s="740"/>
      <c r="AK514" s="740"/>
      <c r="AL514" s="740"/>
      <c r="AM514" s="740"/>
      <c r="AN514" s="740"/>
      <c r="AO514" s="741"/>
      <c r="AP514" s="869"/>
      <c r="AQ514" s="762" t="str">
        <f>IF(SUM(D514:AP514)=0,"",SUM(D514:AP514))</f>
        <v/>
      </c>
      <c r="AV514" s="699"/>
      <c r="AW514" s="700">
        <v>4.48E-2</v>
      </c>
    </row>
    <row r="515" spans="1:53" ht="12.75" customHeight="1" x14ac:dyDescent="0.2">
      <c r="A515" s="867"/>
      <c r="C515" s="738"/>
      <c r="D515" s="738" t="s">
        <v>521</v>
      </c>
      <c r="E515" s="742" t="str">
        <f t="shared" ref="E515:AE515" ca="1" si="55">IF(E513="","",IF(SUM(E517:E546)+E514=E513,"–",SUM(E517:E546)+E514-E513))</f>
        <v>–</v>
      </c>
      <c r="F515" s="742" t="str">
        <f t="shared" ca="1" si="55"/>
        <v/>
      </c>
      <c r="G515" s="742" t="str">
        <f t="shared" ca="1" si="55"/>
        <v>–</v>
      </c>
      <c r="H515" s="742" t="str">
        <f t="shared" ca="1" si="55"/>
        <v>–</v>
      </c>
      <c r="I515" s="742" t="str">
        <f t="shared" ca="1" si="55"/>
        <v>–</v>
      </c>
      <c r="J515" s="742" t="str">
        <f t="shared" ca="1" si="55"/>
        <v>–</v>
      </c>
      <c r="K515" s="742" t="str">
        <f t="shared" ca="1" si="55"/>
        <v>–</v>
      </c>
      <c r="L515" s="742" t="str">
        <f t="shared" ca="1" si="55"/>
        <v>–</v>
      </c>
      <c r="M515" s="742" t="str">
        <f t="shared" ca="1" si="55"/>
        <v>–</v>
      </c>
      <c r="N515" s="742" t="str">
        <f t="shared" ca="1" si="55"/>
        <v>–</v>
      </c>
      <c r="O515" s="742" t="str">
        <f t="shared" ca="1" si="55"/>
        <v>–</v>
      </c>
      <c r="P515" s="742" t="str">
        <f t="shared" ca="1" si="55"/>
        <v>–</v>
      </c>
      <c r="Q515" s="742" t="str">
        <f t="shared" ca="1" si="55"/>
        <v/>
      </c>
      <c r="R515" s="742" t="str">
        <f t="shared" ca="1" si="55"/>
        <v>–</v>
      </c>
      <c r="S515" s="742" t="str">
        <f t="shared" ca="1" si="55"/>
        <v>–</v>
      </c>
      <c r="T515" s="742" t="str">
        <f t="shared" ca="1" si="55"/>
        <v>–</v>
      </c>
      <c r="U515" s="742" t="str">
        <f t="shared" ca="1" si="55"/>
        <v>–</v>
      </c>
      <c r="V515" s="742" t="str">
        <f t="shared" ca="1" si="55"/>
        <v>–</v>
      </c>
      <c r="W515" s="742" t="str">
        <f t="shared" ca="1" si="55"/>
        <v>–</v>
      </c>
      <c r="X515" s="742" t="str">
        <f t="shared" ca="1" si="55"/>
        <v>–</v>
      </c>
      <c r="Y515" s="742" t="str">
        <f t="shared" ca="1" si="55"/>
        <v>–</v>
      </c>
      <c r="Z515" s="742" t="str">
        <f t="shared" ca="1" si="55"/>
        <v>–</v>
      </c>
      <c r="AA515" s="742" t="str">
        <f t="shared" ca="1" si="55"/>
        <v>–</v>
      </c>
      <c r="AB515" s="742" t="str">
        <f t="shared" ca="1" si="55"/>
        <v>–</v>
      </c>
      <c r="AC515" s="742" t="str">
        <f t="shared" ca="1" si="55"/>
        <v>–</v>
      </c>
      <c r="AD515" s="742" t="str">
        <f t="shared" ca="1" si="55"/>
        <v/>
      </c>
      <c r="AE515" s="742" t="str">
        <f t="shared" ca="1" si="55"/>
        <v>–</v>
      </c>
      <c r="AF515" s="742"/>
      <c r="AG515" s="742"/>
      <c r="AH515" s="742"/>
      <c r="AI515" s="742"/>
      <c r="AJ515" s="742"/>
      <c r="AK515" s="742"/>
      <c r="AL515" s="742"/>
      <c r="AM515" s="742"/>
      <c r="AN515" s="742"/>
      <c r="AO515" s="742"/>
      <c r="AP515" s="691" t="s">
        <v>522</v>
      </c>
      <c r="AS515" s="761" t="s">
        <v>285</v>
      </c>
      <c r="AV515" s="699"/>
      <c r="AW515" s="700">
        <v>4.4900000000000002E-2</v>
      </c>
    </row>
    <row r="516" spans="1:53" ht="4.5" customHeight="1" x14ac:dyDescent="0.2">
      <c r="A516" s="867"/>
      <c r="AV516" s="699"/>
      <c r="AW516" s="700">
        <v>4.4999999999999998E-2</v>
      </c>
    </row>
    <row r="517" spans="1:53" ht="12.75" customHeight="1" x14ac:dyDescent="0.2">
      <c r="A517" s="867"/>
      <c r="C517" s="755" t="s">
        <v>660</v>
      </c>
      <c r="D517" s="756">
        <v>1</v>
      </c>
      <c r="E517" s="746"/>
      <c r="F517" s="695"/>
      <c r="G517" s="695"/>
      <c r="H517" s="695"/>
      <c r="I517" s="695"/>
      <c r="J517" s="695"/>
      <c r="K517" s="695"/>
      <c r="L517" s="695"/>
      <c r="M517" s="695"/>
      <c r="N517" s="695"/>
      <c r="O517" s="695"/>
      <c r="P517" s="695"/>
      <c r="Q517" s="695"/>
      <c r="R517" s="695"/>
      <c r="S517" s="695"/>
      <c r="T517" s="695"/>
      <c r="U517" s="695"/>
      <c r="V517" s="695"/>
      <c r="W517" s="695"/>
      <c r="X517" s="695"/>
      <c r="Y517" s="695"/>
      <c r="Z517" s="695"/>
      <c r="AA517" s="695"/>
      <c r="AB517" s="695"/>
      <c r="AC517" s="695"/>
      <c r="AD517" s="695"/>
      <c r="AE517" s="695"/>
      <c r="AF517" s="695"/>
      <c r="AG517" s="695"/>
      <c r="AH517" s="695"/>
      <c r="AI517" s="695"/>
      <c r="AJ517" s="695"/>
      <c r="AK517" s="695"/>
      <c r="AL517" s="695"/>
      <c r="AM517" s="695"/>
      <c r="AN517" s="695"/>
      <c r="AO517" s="696"/>
      <c r="AP517" s="697"/>
      <c r="AQ517" s="763" t="str">
        <f>IF(SUM(E517:AP517)=0,"",SUM(E517:AP517))</f>
        <v/>
      </c>
      <c r="AS517" s="267"/>
      <c r="AV517" s="699"/>
      <c r="AW517" s="700">
        <v>4.5100000000000001E-2</v>
      </c>
      <c r="AX517" s="382">
        <f t="shared" ref="AX517:AX546" si="56">IF(OR(C517="",AQ517=""),0,AQ517+AW517)</f>
        <v>0</v>
      </c>
      <c r="AY517" s="379" t="str">
        <f ca="1">C512</f>
        <v>VAKANA</v>
      </c>
      <c r="AZ517" s="384" t="str">
        <f t="shared" ref="AZ517:AZ546" si="57">C517</f>
        <v>Csehi Attila</v>
      </c>
      <c r="BA517" s="642"/>
    </row>
    <row r="518" spans="1:53" ht="12.75" customHeight="1" x14ac:dyDescent="0.2">
      <c r="A518" s="867"/>
      <c r="C518" s="758" t="s">
        <v>661</v>
      </c>
      <c r="D518" s="757">
        <v>2</v>
      </c>
      <c r="E518" s="747"/>
      <c r="F518" s="703"/>
      <c r="G518" s="703"/>
      <c r="H518" s="703"/>
      <c r="I518" s="703"/>
      <c r="J518" s="703"/>
      <c r="K518" s="703"/>
      <c r="L518" s="703"/>
      <c r="M518" s="703"/>
      <c r="N518" s="703"/>
      <c r="O518" s="703"/>
      <c r="P518" s="703"/>
      <c r="Q518" s="703"/>
      <c r="R518" s="703"/>
      <c r="S518" s="703"/>
      <c r="T518" s="703"/>
      <c r="U518" s="703"/>
      <c r="V518" s="703"/>
      <c r="W518" s="703"/>
      <c r="X518" s="703"/>
      <c r="Y518" s="703"/>
      <c r="Z518" s="703"/>
      <c r="AA518" s="703"/>
      <c r="AB518" s="703"/>
      <c r="AC518" s="703"/>
      <c r="AD518" s="703"/>
      <c r="AE518" s="703"/>
      <c r="AF518" s="703"/>
      <c r="AG518" s="703"/>
      <c r="AH518" s="703"/>
      <c r="AI518" s="703"/>
      <c r="AJ518" s="703"/>
      <c r="AK518" s="703"/>
      <c r="AL518" s="703"/>
      <c r="AM518" s="703"/>
      <c r="AN518" s="703"/>
      <c r="AO518" s="704"/>
      <c r="AP518" s="705"/>
      <c r="AQ518" s="763" t="str">
        <f t="shared" ref="AQ518:AQ546" si="58">IF(SUM(E518:AP518)=0,"",SUM(E518:AP518))</f>
        <v/>
      </c>
      <c r="AS518" s="268"/>
      <c r="AV518" s="699"/>
      <c r="AW518" s="700">
        <v>4.5199999999999997E-2</v>
      </c>
      <c r="AX518" s="382">
        <f t="shared" si="56"/>
        <v>0</v>
      </c>
      <c r="AY518" s="379" t="str">
        <f t="shared" ref="AY518:AY546" ca="1" si="59">AY517</f>
        <v>VAKANA</v>
      </c>
      <c r="AZ518" s="384" t="str">
        <f t="shared" si="57"/>
        <v>Kenyér Jenő</v>
      </c>
      <c r="BA518" s="642"/>
    </row>
    <row r="519" spans="1:53" ht="12.75" customHeight="1" x14ac:dyDescent="0.2">
      <c r="A519" s="867"/>
      <c r="C519" s="758" t="s">
        <v>662</v>
      </c>
      <c r="D519" s="757">
        <v>4</v>
      </c>
      <c r="E519" s="747"/>
      <c r="F519" s="703"/>
      <c r="G519" s="703"/>
      <c r="H519" s="703"/>
      <c r="I519" s="703"/>
      <c r="J519" s="703"/>
      <c r="K519" s="703"/>
      <c r="L519" s="703"/>
      <c r="M519" s="703"/>
      <c r="N519" s="703"/>
      <c r="O519" s="703"/>
      <c r="P519" s="703"/>
      <c r="Q519" s="703"/>
      <c r="R519" s="703"/>
      <c r="S519" s="703"/>
      <c r="T519" s="703"/>
      <c r="U519" s="703"/>
      <c r="V519" s="703"/>
      <c r="W519" s="703"/>
      <c r="X519" s="703"/>
      <c r="Y519" s="703"/>
      <c r="Z519" s="703"/>
      <c r="AA519" s="703">
        <v>1</v>
      </c>
      <c r="AB519" s="703"/>
      <c r="AC519" s="703"/>
      <c r="AD519" s="703"/>
      <c r="AE519" s="703"/>
      <c r="AF519" s="703"/>
      <c r="AG519" s="703"/>
      <c r="AH519" s="703"/>
      <c r="AI519" s="703"/>
      <c r="AJ519" s="703"/>
      <c r="AK519" s="703"/>
      <c r="AL519" s="703"/>
      <c r="AM519" s="703"/>
      <c r="AN519" s="703"/>
      <c r="AO519" s="704"/>
      <c r="AP519" s="705"/>
      <c r="AQ519" s="763">
        <f t="shared" si="58"/>
        <v>1</v>
      </c>
      <c r="AS519" s="268"/>
      <c r="AV519" s="699"/>
      <c r="AW519" s="700">
        <v>4.53E-2</v>
      </c>
      <c r="AX519" s="382">
        <f t="shared" si="56"/>
        <v>1.0452999999999999</v>
      </c>
      <c r="AY519" s="379" t="str">
        <f t="shared" ca="1" si="59"/>
        <v>VAKANA</v>
      </c>
      <c r="AZ519" s="384" t="str">
        <f t="shared" si="57"/>
        <v>Pécsi András</v>
      </c>
      <c r="BA519" s="642"/>
    </row>
    <row r="520" spans="1:53" ht="12.75" customHeight="1" x14ac:dyDescent="0.2">
      <c r="A520" s="867"/>
      <c r="C520" s="758" t="s">
        <v>608</v>
      </c>
      <c r="D520" s="757">
        <v>5</v>
      </c>
      <c r="E520" s="747">
        <v>1</v>
      </c>
      <c r="F520" s="703"/>
      <c r="G520" s="703"/>
      <c r="H520" s="703"/>
      <c r="I520" s="703"/>
      <c r="J520" s="703"/>
      <c r="K520" s="703"/>
      <c r="L520" s="703"/>
      <c r="M520" s="703"/>
      <c r="N520" s="703"/>
      <c r="O520" s="703"/>
      <c r="P520" s="703"/>
      <c r="Q520" s="703"/>
      <c r="R520" s="703"/>
      <c r="S520" s="703"/>
      <c r="T520" s="703"/>
      <c r="U520" s="703">
        <v>4</v>
      </c>
      <c r="V520" s="703"/>
      <c r="W520" s="703">
        <v>3</v>
      </c>
      <c r="X520" s="703"/>
      <c r="Y520" s="703">
        <v>1</v>
      </c>
      <c r="Z520" s="703"/>
      <c r="AA520" s="703"/>
      <c r="AB520" s="703">
        <v>1</v>
      </c>
      <c r="AC520" s="703">
        <v>1</v>
      </c>
      <c r="AD520" s="703"/>
      <c r="AE520" s="703">
        <v>1</v>
      </c>
      <c r="AF520" s="703"/>
      <c r="AG520" s="703"/>
      <c r="AH520" s="703"/>
      <c r="AI520" s="703"/>
      <c r="AJ520" s="703"/>
      <c r="AK520" s="703"/>
      <c r="AL520" s="703"/>
      <c r="AM520" s="703"/>
      <c r="AN520" s="703"/>
      <c r="AO520" s="704"/>
      <c r="AP520" s="705"/>
      <c r="AQ520" s="763">
        <f t="shared" si="58"/>
        <v>12</v>
      </c>
      <c r="AS520" s="268"/>
      <c r="AV520" s="699"/>
      <c r="AW520" s="700">
        <v>4.5400000000000003E-2</v>
      </c>
      <c r="AX520" s="382">
        <f t="shared" si="56"/>
        <v>12.045400000000001</v>
      </c>
      <c r="AY520" s="379" t="str">
        <f t="shared" ca="1" si="59"/>
        <v>VAKANA</v>
      </c>
      <c r="AZ520" s="384" t="str">
        <f t="shared" si="57"/>
        <v>Ballai Péter</v>
      </c>
      <c r="BA520" s="642"/>
    </row>
    <row r="521" spans="1:53" ht="12.75" customHeight="1" x14ac:dyDescent="0.2">
      <c r="A521" s="867"/>
      <c r="C521" s="758" t="s">
        <v>609</v>
      </c>
      <c r="D521" s="757">
        <v>6</v>
      </c>
      <c r="E521" s="747"/>
      <c r="F521" s="703"/>
      <c r="G521" s="703"/>
      <c r="H521" s="703"/>
      <c r="I521" s="703"/>
      <c r="J521" s="703"/>
      <c r="K521" s="703"/>
      <c r="L521" s="703"/>
      <c r="M521" s="703"/>
      <c r="N521" s="703">
        <v>2</v>
      </c>
      <c r="O521" s="703">
        <v>1</v>
      </c>
      <c r="P521" s="703"/>
      <c r="Q521" s="703"/>
      <c r="R521" s="703"/>
      <c r="S521" s="703"/>
      <c r="T521" s="703"/>
      <c r="U521" s="703"/>
      <c r="V521" s="703"/>
      <c r="W521" s="703"/>
      <c r="X521" s="703"/>
      <c r="Y521" s="703">
        <v>1</v>
      </c>
      <c r="Z521" s="703"/>
      <c r="AA521" s="703"/>
      <c r="AB521" s="703"/>
      <c r="AC521" s="703"/>
      <c r="AD521" s="703"/>
      <c r="AE521" s="703">
        <v>2</v>
      </c>
      <c r="AF521" s="703"/>
      <c r="AG521" s="703"/>
      <c r="AH521" s="703"/>
      <c r="AI521" s="703"/>
      <c r="AJ521" s="703"/>
      <c r="AK521" s="703"/>
      <c r="AL521" s="703"/>
      <c r="AM521" s="703"/>
      <c r="AN521" s="703"/>
      <c r="AO521" s="704"/>
      <c r="AP521" s="705"/>
      <c r="AQ521" s="763">
        <f t="shared" si="58"/>
        <v>6</v>
      </c>
      <c r="AS521" s="268"/>
      <c r="AV521" s="699"/>
      <c r="AW521" s="700">
        <v>4.5499999999999999E-2</v>
      </c>
      <c r="AX521" s="382">
        <f t="shared" si="56"/>
        <v>6.0454999999999997</v>
      </c>
      <c r="AY521" s="379" t="str">
        <f t="shared" ca="1" si="59"/>
        <v>VAKANA</v>
      </c>
      <c r="AZ521" s="384" t="str">
        <f t="shared" si="57"/>
        <v>Ubornyák Attila</v>
      </c>
      <c r="BA521" s="642"/>
    </row>
    <row r="522" spans="1:53" ht="12.75" customHeight="1" x14ac:dyDescent="0.2">
      <c r="A522" s="867"/>
      <c r="C522" s="758" t="s">
        <v>610</v>
      </c>
      <c r="D522" s="757">
        <v>7</v>
      </c>
      <c r="E522" s="747">
        <v>2</v>
      </c>
      <c r="F522" s="703"/>
      <c r="G522" s="703"/>
      <c r="H522" s="703"/>
      <c r="I522" s="703">
        <v>1</v>
      </c>
      <c r="J522" s="703"/>
      <c r="K522" s="703"/>
      <c r="L522" s="703"/>
      <c r="M522" s="703"/>
      <c r="N522" s="703"/>
      <c r="O522" s="703"/>
      <c r="P522" s="703"/>
      <c r="Q522" s="703"/>
      <c r="R522" s="703">
        <v>1</v>
      </c>
      <c r="S522" s="703">
        <v>2</v>
      </c>
      <c r="T522" s="703"/>
      <c r="U522" s="703"/>
      <c r="V522" s="703">
        <v>1</v>
      </c>
      <c r="W522" s="703"/>
      <c r="X522" s="703"/>
      <c r="Y522" s="703"/>
      <c r="Z522" s="703">
        <v>3</v>
      </c>
      <c r="AA522" s="703">
        <v>1</v>
      </c>
      <c r="AB522" s="703">
        <v>2</v>
      </c>
      <c r="AC522" s="703">
        <v>2</v>
      </c>
      <c r="AD522" s="703"/>
      <c r="AE522" s="703"/>
      <c r="AF522" s="703"/>
      <c r="AG522" s="703"/>
      <c r="AH522" s="703"/>
      <c r="AI522" s="703"/>
      <c r="AJ522" s="703"/>
      <c r="AK522" s="703"/>
      <c r="AL522" s="703"/>
      <c r="AM522" s="703"/>
      <c r="AN522" s="703"/>
      <c r="AO522" s="704"/>
      <c r="AP522" s="705"/>
      <c r="AQ522" s="763">
        <f t="shared" si="58"/>
        <v>15</v>
      </c>
      <c r="AS522" s="268"/>
      <c r="AV522" s="699"/>
      <c r="AW522" s="700">
        <v>4.5600000000000002E-2</v>
      </c>
      <c r="AX522" s="382">
        <f t="shared" si="56"/>
        <v>15.0456</v>
      </c>
      <c r="AY522" s="379" t="str">
        <f t="shared" ca="1" si="59"/>
        <v>VAKANA</v>
      </c>
      <c r="AZ522" s="384" t="str">
        <f t="shared" si="57"/>
        <v>Tóth István</v>
      </c>
      <c r="BA522" s="642"/>
    </row>
    <row r="523" spans="1:53" ht="12.75" customHeight="1" x14ac:dyDescent="0.2">
      <c r="A523" s="867"/>
      <c r="C523" s="758" t="s">
        <v>611</v>
      </c>
      <c r="D523" s="757">
        <v>8</v>
      </c>
      <c r="E523" s="747"/>
      <c r="F523" s="703"/>
      <c r="G523" s="703"/>
      <c r="H523" s="703"/>
      <c r="I523" s="703"/>
      <c r="J523" s="703"/>
      <c r="K523" s="703"/>
      <c r="L523" s="703"/>
      <c r="M523" s="703">
        <v>1</v>
      </c>
      <c r="N523" s="703">
        <v>1</v>
      </c>
      <c r="O523" s="703"/>
      <c r="P523" s="703">
        <v>1</v>
      </c>
      <c r="Q523" s="703"/>
      <c r="R523" s="703"/>
      <c r="S523" s="703">
        <v>3</v>
      </c>
      <c r="T523" s="703"/>
      <c r="U523" s="703"/>
      <c r="V523" s="703"/>
      <c r="W523" s="703"/>
      <c r="X523" s="703"/>
      <c r="Y523" s="703"/>
      <c r="Z523" s="703"/>
      <c r="AA523" s="703"/>
      <c r="AB523" s="703"/>
      <c r="AC523" s="703">
        <v>2</v>
      </c>
      <c r="AD523" s="703"/>
      <c r="AE523" s="703"/>
      <c r="AF523" s="703"/>
      <c r="AG523" s="703"/>
      <c r="AH523" s="703"/>
      <c r="AI523" s="703"/>
      <c r="AJ523" s="703"/>
      <c r="AK523" s="703"/>
      <c r="AL523" s="703"/>
      <c r="AM523" s="703"/>
      <c r="AN523" s="703"/>
      <c r="AO523" s="704"/>
      <c r="AP523" s="705"/>
      <c r="AQ523" s="763">
        <f t="shared" si="58"/>
        <v>8</v>
      </c>
      <c r="AS523" s="268"/>
      <c r="AV523" s="699"/>
      <c r="AW523" s="700">
        <v>4.5699999999999998E-2</v>
      </c>
      <c r="AX523" s="382">
        <f t="shared" si="56"/>
        <v>8.0457000000000001</v>
      </c>
      <c r="AY523" s="379" t="str">
        <f t="shared" ca="1" si="59"/>
        <v>VAKANA</v>
      </c>
      <c r="AZ523" s="384" t="str">
        <f t="shared" si="57"/>
        <v>Hofekker József</v>
      </c>
      <c r="BA523" s="642"/>
    </row>
    <row r="524" spans="1:53" ht="12.75" customHeight="1" x14ac:dyDescent="0.2">
      <c r="A524" s="867"/>
      <c r="C524" s="758" t="s">
        <v>663</v>
      </c>
      <c r="D524" s="757">
        <v>9</v>
      </c>
      <c r="E524" s="747"/>
      <c r="F524" s="703"/>
      <c r="G524" s="703"/>
      <c r="H524" s="703"/>
      <c r="I524" s="703"/>
      <c r="J524" s="703"/>
      <c r="K524" s="703"/>
      <c r="L524" s="703"/>
      <c r="M524" s="703"/>
      <c r="N524" s="703"/>
      <c r="O524" s="703"/>
      <c r="P524" s="703"/>
      <c r="Q524" s="703"/>
      <c r="R524" s="703"/>
      <c r="S524" s="703"/>
      <c r="T524" s="703"/>
      <c r="U524" s="703"/>
      <c r="V524" s="703"/>
      <c r="W524" s="703"/>
      <c r="X524" s="703"/>
      <c r="Y524" s="703"/>
      <c r="Z524" s="703"/>
      <c r="AA524" s="703"/>
      <c r="AB524" s="703"/>
      <c r="AC524" s="703"/>
      <c r="AD524" s="703"/>
      <c r="AE524" s="703"/>
      <c r="AF524" s="703"/>
      <c r="AG524" s="703"/>
      <c r="AH524" s="703"/>
      <c r="AI524" s="703"/>
      <c r="AJ524" s="703"/>
      <c r="AK524" s="703"/>
      <c r="AL524" s="703"/>
      <c r="AM524" s="703"/>
      <c r="AN524" s="703"/>
      <c r="AO524" s="704"/>
      <c r="AP524" s="705"/>
      <c r="AQ524" s="763" t="str">
        <f t="shared" si="58"/>
        <v/>
      </c>
      <c r="AS524" s="268"/>
      <c r="AV524" s="699"/>
      <c r="AW524" s="700">
        <v>4.58E-2</v>
      </c>
      <c r="AX524" s="382">
        <f t="shared" si="56"/>
        <v>0</v>
      </c>
      <c r="AY524" s="379" t="str">
        <f t="shared" ca="1" si="59"/>
        <v>VAKANA</v>
      </c>
      <c r="AZ524" s="384" t="str">
        <f t="shared" si="57"/>
        <v>Kun Gazda Balázs</v>
      </c>
      <c r="BA524" s="642"/>
    </row>
    <row r="525" spans="1:53" ht="12.75" customHeight="1" x14ac:dyDescent="0.2">
      <c r="A525" s="867"/>
      <c r="C525" s="758" t="s">
        <v>612</v>
      </c>
      <c r="D525" s="757">
        <v>14</v>
      </c>
      <c r="E525" s="747"/>
      <c r="F525" s="703"/>
      <c r="G525" s="703"/>
      <c r="H525" s="703">
        <v>1</v>
      </c>
      <c r="I525" s="703"/>
      <c r="J525" s="703"/>
      <c r="K525" s="703"/>
      <c r="L525" s="703">
        <v>1</v>
      </c>
      <c r="M525" s="703"/>
      <c r="N525" s="703">
        <v>1</v>
      </c>
      <c r="O525" s="703"/>
      <c r="P525" s="703"/>
      <c r="Q525" s="703"/>
      <c r="R525" s="703"/>
      <c r="S525" s="703">
        <v>1</v>
      </c>
      <c r="T525" s="703"/>
      <c r="U525" s="703"/>
      <c r="V525" s="703"/>
      <c r="W525" s="703"/>
      <c r="X525" s="703"/>
      <c r="Y525" s="703"/>
      <c r="Z525" s="703"/>
      <c r="AA525" s="703"/>
      <c r="AB525" s="703"/>
      <c r="AC525" s="703"/>
      <c r="AD525" s="703"/>
      <c r="AE525" s="703"/>
      <c r="AF525" s="703"/>
      <c r="AG525" s="703"/>
      <c r="AH525" s="703"/>
      <c r="AI525" s="703"/>
      <c r="AJ525" s="703"/>
      <c r="AK525" s="703"/>
      <c r="AL525" s="703"/>
      <c r="AM525" s="703"/>
      <c r="AN525" s="703"/>
      <c r="AO525" s="704"/>
      <c r="AP525" s="705"/>
      <c r="AQ525" s="763">
        <f t="shared" si="58"/>
        <v>4</v>
      </c>
      <c r="AS525" s="268"/>
      <c r="AV525" s="699"/>
      <c r="AW525" s="700">
        <v>4.5900000000000003E-2</v>
      </c>
      <c r="AX525" s="382">
        <f t="shared" si="56"/>
        <v>4.0458999999999996</v>
      </c>
      <c r="AY525" s="379" t="str">
        <f t="shared" ca="1" si="59"/>
        <v>VAKANA</v>
      </c>
      <c r="AZ525" s="384" t="str">
        <f t="shared" si="57"/>
        <v>Harmath Zsolt</v>
      </c>
      <c r="BA525" s="642"/>
    </row>
    <row r="526" spans="1:53" ht="12.75" customHeight="1" x14ac:dyDescent="0.2">
      <c r="A526" s="867"/>
      <c r="C526" s="758" t="s">
        <v>664</v>
      </c>
      <c r="D526" s="757">
        <v>33</v>
      </c>
      <c r="E526" s="747"/>
      <c r="F526" s="703"/>
      <c r="G526" s="703"/>
      <c r="H526" s="703"/>
      <c r="I526" s="703"/>
      <c r="J526" s="703"/>
      <c r="K526" s="703"/>
      <c r="L526" s="703"/>
      <c r="M526" s="703"/>
      <c r="N526" s="703"/>
      <c r="O526" s="703"/>
      <c r="P526" s="703"/>
      <c r="Q526" s="703"/>
      <c r="R526" s="703"/>
      <c r="S526" s="703"/>
      <c r="T526" s="703"/>
      <c r="U526" s="703"/>
      <c r="V526" s="703"/>
      <c r="W526" s="703"/>
      <c r="X526" s="703"/>
      <c r="Y526" s="703"/>
      <c r="Z526" s="703"/>
      <c r="AA526" s="703"/>
      <c r="AB526" s="703"/>
      <c r="AC526" s="703"/>
      <c r="AD526" s="703"/>
      <c r="AE526" s="703"/>
      <c r="AF526" s="703"/>
      <c r="AG526" s="703"/>
      <c r="AH526" s="703"/>
      <c r="AI526" s="703"/>
      <c r="AJ526" s="703"/>
      <c r="AK526" s="703"/>
      <c r="AL526" s="703"/>
      <c r="AM526" s="703"/>
      <c r="AN526" s="703"/>
      <c r="AO526" s="704"/>
      <c r="AP526" s="705"/>
      <c r="AQ526" s="763" t="str">
        <f t="shared" si="58"/>
        <v/>
      </c>
      <c r="AS526" s="268"/>
      <c r="AV526" s="699"/>
      <c r="AW526" s="700">
        <v>4.5999999999999999E-2</v>
      </c>
      <c r="AX526" s="382">
        <f t="shared" si="56"/>
        <v>0</v>
      </c>
      <c r="AY526" s="379" t="str">
        <f t="shared" ca="1" si="59"/>
        <v>VAKANA</v>
      </c>
      <c r="AZ526" s="384" t="str">
        <f t="shared" si="57"/>
        <v>Kiss Csaba</v>
      </c>
      <c r="BA526" s="642"/>
    </row>
    <row r="527" spans="1:53" ht="12.75" customHeight="1" x14ac:dyDescent="0.2">
      <c r="A527" s="867"/>
      <c r="C527" s="758" t="s">
        <v>665</v>
      </c>
      <c r="D527" s="757">
        <v>76</v>
      </c>
      <c r="E527" s="747"/>
      <c r="F527" s="703"/>
      <c r="G527" s="703"/>
      <c r="H527" s="703"/>
      <c r="I527" s="703"/>
      <c r="J527" s="703"/>
      <c r="K527" s="703"/>
      <c r="L527" s="703"/>
      <c r="M527" s="703"/>
      <c r="N527" s="703"/>
      <c r="O527" s="703"/>
      <c r="P527" s="703"/>
      <c r="Q527" s="703"/>
      <c r="R527" s="703"/>
      <c r="S527" s="703"/>
      <c r="T527" s="703"/>
      <c r="U527" s="703"/>
      <c r="V527" s="703"/>
      <c r="W527" s="703"/>
      <c r="X527" s="703"/>
      <c r="Y527" s="703"/>
      <c r="Z527" s="703"/>
      <c r="AA527" s="703"/>
      <c r="AB527" s="703"/>
      <c r="AC527" s="703"/>
      <c r="AD527" s="703"/>
      <c r="AE527" s="703"/>
      <c r="AF527" s="703"/>
      <c r="AG527" s="703"/>
      <c r="AH527" s="703"/>
      <c r="AI527" s="703"/>
      <c r="AJ527" s="703"/>
      <c r="AK527" s="703"/>
      <c r="AL527" s="703"/>
      <c r="AM527" s="703"/>
      <c r="AN527" s="703"/>
      <c r="AO527" s="704"/>
      <c r="AP527" s="705"/>
      <c r="AQ527" s="763" t="str">
        <f t="shared" si="58"/>
        <v/>
      </c>
      <c r="AS527" s="268"/>
      <c r="AV527" s="699"/>
      <c r="AW527" s="700">
        <v>4.6100000000000002E-2</v>
      </c>
      <c r="AX527" s="382">
        <f t="shared" si="56"/>
        <v>0</v>
      </c>
      <c r="AY527" s="379" t="str">
        <f t="shared" ca="1" si="59"/>
        <v>VAKANA</v>
      </c>
      <c r="AZ527" s="384" t="str">
        <f t="shared" si="57"/>
        <v>Kovács Balázs</v>
      </c>
      <c r="BA527" s="642"/>
    </row>
    <row r="528" spans="1:53" ht="12.75" customHeight="1" x14ac:dyDescent="0.2">
      <c r="A528" s="867"/>
      <c r="C528" s="758" t="s">
        <v>718</v>
      </c>
      <c r="D528" s="757">
        <v>15</v>
      </c>
      <c r="E528" s="747"/>
      <c r="F528" s="703"/>
      <c r="G528" s="703"/>
      <c r="H528" s="703"/>
      <c r="I528" s="703"/>
      <c r="J528" s="703"/>
      <c r="K528" s="703"/>
      <c r="L528" s="703"/>
      <c r="M528" s="703"/>
      <c r="N528" s="703"/>
      <c r="O528" s="703"/>
      <c r="P528" s="703"/>
      <c r="Q528" s="703"/>
      <c r="R528" s="703"/>
      <c r="S528" s="703">
        <v>1</v>
      </c>
      <c r="T528" s="703"/>
      <c r="U528" s="703"/>
      <c r="V528" s="703"/>
      <c r="W528" s="703"/>
      <c r="X528" s="703"/>
      <c r="Y528" s="703"/>
      <c r="Z528" s="703"/>
      <c r="AA528" s="703"/>
      <c r="AB528" s="703"/>
      <c r="AC528" s="703"/>
      <c r="AD528" s="703"/>
      <c r="AE528" s="703"/>
      <c r="AF528" s="703"/>
      <c r="AG528" s="703"/>
      <c r="AH528" s="703"/>
      <c r="AI528" s="703"/>
      <c r="AJ528" s="703"/>
      <c r="AK528" s="703"/>
      <c r="AL528" s="703"/>
      <c r="AM528" s="703"/>
      <c r="AN528" s="703"/>
      <c r="AO528" s="704"/>
      <c r="AP528" s="705"/>
      <c r="AQ528" s="763">
        <f t="shared" si="58"/>
        <v>1</v>
      </c>
      <c r="AS528" s="268"/>
      <c r="AV528" s="699"/>
      <c r="AW528" s="700">
        <v>4.6199999999999998E-2</v>
      </c>
      <c r="AX528" s="382">
        <f t="shared" si="56"/>
        <v>1.0462</v>
      </c>
      <c r="AY528" s="379" t="str">
        <f t="shared" ca="1" si="59"/>
        <v>VAKANA</v>
      </c>
      <c r="AZ528" s="384" t="str">
        <f t="shared" si="57"/>
        <v>Vakana ismeretlen 15</v>
      </c>
      <c r="BA528" s="642"/>
    </row>
    <row r="529" spans="1:53" ht="12.75" customHeight="1" x14ac:dyDescent="0.2">
      <c r="A529" s="867"/>
      <c r="C529" s="758"/>
      <c r="D529" s="757"/>
      <c r="E529" s="747"/>
      <c r="F529" s="703"/>
      <c r="G529" s="703"/>
      <c r="H529" s="703"/>
      <c r="I529" s="703"/>
      <c r="J529" s="703"/>
      <c r="K529" s="703"/>
      <c r="L529" s="703"/>
      <c r="M529" s="703"/>
      <c r="N529" s="703"/>
      <c r="O529" s="703"/>
      <c r="P529" s="703"/>
      <c r="Q529" s="703"/>
      <c r="R529" s="703"/>
      <c r="S529" s="703"/>
      <c r="T529" s="703"/>
      <c r="U529" s="703"/>
      <c r="V529" s="703"/>
      <c r="W529" s="703"/>
      <c r="X529" s="703"/>
      <c r="Y529" s="703"/>
      <c r="Z529" s="703"/>
      <c r="AA529" s="703"/>
      <c r="AB529" s="703"/>
      <c r="AC529" s="703"/>
      <c r="AD529" s="703"/>
      <c r="AE529" s="703"/>
      <c r="AF529" s="703"/>
      <c r="AG529" s="703"/>
      <c r="AH529" s="703"/>
      <c r="AI529" s="703"/>
      <c r="AJ529" s="703"/>
      <c r="AK529" s="703"/>
      <c r="AL529" s="703"/>
      <c r="AM529" s="703"/>
      <c r="AN529" s="703"/>
      <c r="AO529" s="704"/>
      <c r="AP529" s="705"/>
      <c r="AQ529" s="763" t="str">
        <f t="shared" si="58"/>
        <v/>
      </c>
      <c r="AS529" s="268"/>
      <c r="AV529" s="699"/>
      <c r="AW529" s="700">
        <v>4.6300000000000001E-2</v>
      </c>
      <c r="AX529" s="382">
        <f t="shared" si="56"/>
        <v>0</v>
      </c>
      <c r="AY529" s="379" t="str">
        <f t="shared" ca="1" si="59"/>
        <v>VAKANA</v>
      </c>
      <c r="AZ529" s="384">
        <f t="shared" si="57"/>
        <v>0</v>
      </c>
      <c r="BA529" s="642"/>
    </row>
    <row r="530" spans="1:53" ht="12.75" customHeight="1" x14ac:dyDescent="0.2">
      <c r="A530" s="867"/>
      <c r="C530" s="758"/>
      <c r="D530" s="757"/>
      <c r="E530" s="747"/>
      <c r="F530" s="703"/>
      <c r="G530" s="703"/>
      <c r="H530" s="703"/>
      <c r="I530" s="703"/>
      <c r="J530" s="703"/>
      <c r="K530" s="703"/>
      <c r="L530" s="703"/>
      <c r="M530" s="703"/>
      <c r="N530" s="703"/>
      <c r="O530" s="703"/>
      <c r="P530" s="703"/>
      <c r="Q530" s="703"/>
      <c r="R530" s="703"/>
      <c r="S530" s="703"/>
      <c r="T530" s="703"/>
      <c r="U530" s="703"/>
      <c r="V530" s="703"/>
      <c r="W530" s="703"/>
      <c r="X530" s="703"/>
      <c r="Y530" s="703"/>
      <c r="Z530" s="703"/>
      <c r="AA530" s="703"/>
      <c r="AB530" s="703"/>
      <c r="AC530" s="703"/>
      <c r="AD530" s="703"/>
      <c r="AE530" s="703"/>
      <c r="AF530" s="703"/>
      <c r="AG530" s="703"/>
      <c r="AH530" s="703"/>
      <c r="AI530" s="703"/>
      <c r="AJ530" s="703"/>
      <c r="AK530" s="703"/>
      <c r="AL530" s="703"/>
      <c r="AM530" s="703"/>
      <c r="AN530" s="703"/>
      <c r="AO530" s="704"/>
      <c r="AP530" s="705"/>
      <c r="AQ530" s="763" t="str">
        <f t="shared" si="58"/>
        <v/>
      </c>
      <c r="AS530" s="268"/>
      <c r="AV530" s="699"/>
      <c r="AW530" s="700">
        <v>4.6399999999999997E-2</v>
      </c>
      <c r="AX530" s="382">
        <f t="shared" si="56"/>
        <v>0</v>
      </c>
      <c r="AY530" s="379" t="str">
        <f t="shared" ca="1" si="59"/>
        <v>VAKANA</v>
      </c>
      <c r="AZ530" s="384">
        <f t="shared" si="57"/>
        <v>0</v>
      </c>
      <c r="BA530" s="642"/>
    </row>
    <row r="531" spans="1:53" ht="12.75" customHeight="1" x14ac:dyDescent="0.2">
      <c r="A531" s="867"/>
      <c r="C531" s="758"/>
      <c r="D531" s="757"/>
      <c r="E531" s="747"/>
      <c r="F531" s="703"/>
      <c r="G531" s="703"/>
      <c r="H531" s="703"/>
      <c r="I531" s="703"/>
      <c r="J531" s="703"/>
      <c r="K531" s="703"/>
      <c r="L531" s="703"/>
      <c r="M531" s="703"/>
      <c r="N531" s="703"/>
      <c r="O531" s="703"/>
      <c r="P531" s="703"/>
      <c r="Q531" s="703"/>
      <c r="R531" s="703"/>
      <c r="S531" s="703"/>
      <c r="T531" s="703"/>
      <c r="U531" s="703"/>
      <c r="V531" s="703"/>
      <c r="W531" s="703"/>
      <c r="X531" s="703"/>
      <c r="Y531" s="703"/>
      <c r="Z531" s="703"/>
      <c r="AA531" s="703"/>
      <c r="AB531" s="703"/>
      <c r="AC531" s="703"/>
      <c r="AD531" s="703"/>
      <c r="AE531" s="703"/>
      <c r="AF531" s="703"/>
      <c r="AG531" s="703"/>
      <c r="AH531" s="703"/>
      <c r="AI531" s="703"/>
      <c r="AJ531" s="703"/>
      <c r="AK531" s="703"/>
      <c r="AL531" s="703"/>
      <c r="AM531" s="703"/>
      <c r="AN531" s="703"/>
      <c r="AO531" s="704"/>
      <c r="AP531" s="705"/>
      <c r="AQ531" s="763" t="str">
        <f t="shared" si="58"/>
        <v/>
      </c>
      <c r="AS531" s="268"/>
      <c r="AV531" s="699"/>
      <c r="AW531" s="700">
        <v>4.65E-2</v>
      </c>
      <c r="AX531" s="382">
        <f t="shared" si="56"/>
        <v>0</v>
      </c>
      <c r="AY531" s="379" t="str">
        <f t="shared" ca="1" si="59"/>
        <v>VAKANA</v>
      </c>
      <c r="AZ531" s="384">
        <f t="shared" si="57"/>
        <v>0</v>
      </c>
      <c r="BA531" s="642"/>
    </row>
    <row r="532" spans="1:53" ht="12.75" customHeight="1" x14ac:dyDescent="0.2">
      <c r="A532" s="867"/>
      <c r="C532" s="758"/>
      <c r="D532" s="757"/>
      <c r="E532" s="747"/>
      <c r="F532" s="703"/>
      <c r="G532" s="703"/>
      <c r="H532" s="703"/>
      <c r="I532" s="703"/>
      <c r="J532" s="703"/>
      <c r="K532" s="703"/>
      <c r="L532" s="703"/>
      <c r="M532" s="703"/>
      <c r="N532" s="703"/>
      <c r="O532" s="703"/>
      <c r="P532" s="703"/>
      <c r="Q532" s="703"/>
      <c r="R532" s="703"/>
      <c r="S532" s="703"/>
      <c r="T532" s="703"/>
      <c r="U532" s="703"/>
      <c r="V532" s="703"/>
      <c r="W532" s="703"/>
      <c r="X532" s="703"/>
      <c r="Y532" s="703"/>
      <c r="Z532" s="703"/>
      <c r="AA532" s="703"/>
      <c r="AB532" s="703"/>
      <c r="AC532" s="703"/>
      <c r="AD532" s="703"/>
      <c r="AE532" s="703"/>
      <c r="AF532" s="703"/>
      <c r="AG532" s="703"/>
      <c r="AH532" s="703"/>
      <c r="AI532" s="703"/>
      <c r="AJ532" s="703"/>
      <c r="AK532" s="703"/>
      <c r="AL532" s="703"/>
      <c r="AM532" s="703"/>
      <c r="AN532" s="703"/>
      <c r="AO532" s="704"/>
      <c r="AP532" s="705"/>
      <c r="AQ532" s="763" t="str">
        <f t="shared" si="58"/>
        <v/>
      </c>
      <c r="AS532" s="268"/>
      <c r="AV532" s="699"/>
      <c r="AW532" s="700">
        <v>4.6600000000000003E-2</v>
      </c>
      <c r="AX532" s="382">
        <f t="shared" si="56"/>
        <v>0</v>
      </c>
      <c r="AY532" s="379" t="str">
        <f t="shared" ca="1" si="59"/>
        <v>VAKANA</v>
      </c>
      <c r="AZ532" s="384">
        <f t="shared" si="57"/>
        <v>0</v>
      </c>
      <c r="BA532" s="642"/>
    </row>
    <row r="533" spans="1:53" ht="12.75" customHeight="1" x14ac:dyDescent="0.2">
      <c r="A533" s="867"/>
      <c r="C533" s="758"/>
      <c r="D533" s="757"/>
      <c r="E533" s="747"/>
      <c r="F533" s="703"/>
      <c r="G533" s="703"/>
      <c r="H533" s="703"/>
      <c r="I533" s="703"/>
      <c r="J533" s="703"/>
      <c r="K533" s="703"/>
      <c r="L533" s="703"/>
      <c r="M533" s="703"/>
      <c r="N533" s="703"/>
      <c r="O533" s="703"/>
      <c r="P533" s="703"/>
      <c r="Q533" s="703"/>
      <c r="R533" s="703"/>
      <c r="S533" s="703"/>
      <c r="T533" s="703"/>
      <c r="U533" s="703"/>
      <c r="V533" s="703"/>
      <c r="W533" s="703"/>
      <c r="X533" s="703"/>
      <c r="Y533" s="703"/>
      <c r="Z533" s="703"/>
      <c r="AA533" s="703"/>
      <c r="AB533" s="703"/>
      <c r="AC533" s="703"/>
      <c r="AD533" s="703"/>
      <c r="AE533" s="703"/>
      <c r="AF533" s="703"/>
      <c r="AG533" s="703"/>
      <c r="AH533" s="703"/>
      <c r="AI533" s="703"/>
      <c r="AJ533" s="703"/>
      <c r="AK533" s="703"/>
      <c r="AL533" s="703"/>
      <c r="AM533" s="703"/>
      <c r="AN533" s="703"/>
      <c r="AO533" s="704"/>
      <c r="AP533" s="705"/>
      <c r="AQ533" s="763" t="str">
        <f t="shared" si="58"/>
        <v/>
      </c>
      <c r="AS533" s="268"/>
      <c r="AV533" s="699"/>
      <c r="AW533" s="700">
        <v>4.6699999999999998E-2</v>
      </c>
      <c r="AX533" s="382">
        <f t="shared" si="56"/>
        <v>0</v>
      </c>
      <c r="AY533" s="379" t="str">
        <f t="shared" ca="1" si="59"/>
        <v>VAKANA</v>
      </c>
      <c r="AZ533" s="384">
        <f t="shared" si="57"/>
        <v>0</v>
      </c>
      <c r="BA533" s="642"/>
    </row>
    <row r="534" spans="1:53" ht="12.75" customHeight="1" x14ac:dyDescent="0.2">
      <c r="A534" s="867"/>
      <c r="C534" s="758"/>
      <c r="D534" s="757"/>
      <c r="E534" s="747"/>
      <c r="F534" s="703"/>
      <c r="G534" s="703"/>
      <c r="H534" s="703"/>
      <c r="I534" s="703"/>
      <c r="J534" s="703"/>
      <c r="K534" s="703"/>
      <c r="L534" s="703"/>
      <c r="M534" s="703"/>
      <c r="N534" s="703"/>
      <c r="O534" s="703"/>
      <c r="P534" s="703"/>
      <c r="Q534" s="703"/>
      <c r="R534" s="703"/>
      <c r="S534" s="703"/>
      <c r="T534" s="703"/>
      <c r="U534" s="703"/>
      <c r="V534" s="703"/>
      <c r="W534" s="703"/>
      <c r="X534" s="703"/>
      <c r="Y534" s="703"/>
      <c r="Z534" s="703"/>
      <c r="AA534" s="703"/>
      <c r="AB534" s="703"/>
      <c r="AC534" s="703"/>
      <c r="AD534" s="703"/>
      <c r="AE534" s="703"/>
      <c r="AF534" s="703"/>
      <c r="AG534" s="703"/>
      <c r="AH534" s="703"/>
      <c r="AI534" s="703"/>
      <c r="AJ534" s="703"/>
      <c r="AK534" s="703"/>
      <c r="AL534" s="703"/>
      <c r="AM534" s="703"/>
      <c r="AN534" s="703"/>
      <c r="AO534" s="704"/>
      <c r="AP534" s="705"/>
      <c r="AQ534" s="763" t="str">
        <f t="shared" si="58"/>
        <v/>
      </c>
      <c r="AS534" s="268"/>
      <c r="AV534" s="699"/>
      <c r="AW534" s="700">
        <v>4.6800000000000001E-2</v>
      </c>
      <c r="AX534" s="382">
        <f t="shared" si="56"/>
        <v>0</v>
      </c>
      <c r="AY534" s="379" t="str">
        <f t="shared" ca="1" si="59"/>
        <v>VAKANA</v>
      </c>
      <c r="AZ534" s="384">
        <f t="shared" si="57"/>
        <v>0</v>
      </c>
      <c r="BA534" s="642"/>
    </row>
    <row r="535" spans="1:53" ht="12.75" customHeight="1" x14ac:dyDescent="0.2">
      <c r="A535" s="867"/>
      <c r="C535" s="758"/>
      <c r="D535" s="757"/>
      <c r="E535" s="747"/>
      <c r="F535" s="703"/>
      <c r="G535" s="703"/>
      <c r="H535" s="703"/>
      <c r="I535" s="703"/>
      <c r="J535" s="703"/>
      <c r="K535" s="703"/>
      <c r="L535" s="703"/>
      <c r="M535" s="703"/>
      <c r="N535" s="703"/>
      <c r="O535" s="703"/>
      <c r="P535" s="703"/>
      <c r="Q535" s="703"/>
      <c r="R535" s="703"/>
      <c r="S535" s="703"/>
      <c r="T535" s="703"/>
      <c r="U535" s="703"/>
      <c r="V535" s="703"/>
      <c r="W535" s="703"/>
      <c r="X535" s="703"/>
      <c r="Y535" s="703"/>
      <c r="Z535" s="703"/>
      <c r="AA535" s="703"/>
      <c r="AB535" s="703"/>
      <c r="AC535" s="703"/>
      <c r="AD535" s="703"/>
      <c r="AE535" s="703"/>
      <c r="AF535" s="703"/>
      <c r="AG535" s="703"/>
      <c r="AH535" s="703"/>
      <c r="AI535" s="703"/>
      <c r="AJ535" s="703"/>
      <c r="AK535" s="703"/>
      <c r="AL535" s="703"/>
      <c r="AM535" s="703"/>
      <c r="AN535" s="703"/>
      <c r="AO535" s="704"/>
      <c r="AP535" s="705"/>
      <c r="AQ535" s="763" t="str">
        <f t="shared" si="58"/>
        <v/>
      </c>
      <c r="AS535" s="268"/>
      <c r="AV535" s="699"/>
      <c r="AW535" s="700">
        <v>4.6899999999999997E-2</v>
      </c>
      <c r="AX535" s="382">
        <f t="shared" si="56"/>
        <v>0</v>
      </c>
      <c r="AY535" s="379" t="str">
        <f t="shared" ca="1" si="59"/>
        <v>VAKANA</v>
      </c>
      <c r="AZ535" s="384">
        <f t="shared" si="57"/>
        <v>0</v>
      </c>
      <c r="BA535" s="642"/>
    </row>
    <row r="536" spans="1:53" ht="11.25" hidden="1" customHeight="1" x14ac:dyDescent="0.2">
      <c r="A536" s="867"/>
      <c r="C536" s="758"/>
      <c r="D536" s="757"/>
      <c r="E536" s="747"/>
      <c r="F536" s="703"/>
      <c r="G536" s="703"/>
      <c r="H536" s="703"/>
      <c r="I536" s="703"/>
      <c r="J536" s="703"/>
      <c r="K536" s="703"/>
      <c r="L536" s="703"/>
      <c r="M536" s="703"/>
      <c r="N536" s="703"/>
      <c r="O536" s="703"/>
      <c r="P536" s="703"/>
      <c r="Q536" s="703"/>
      <c r="R536" s="703"/>
      <c r="S536" s="703"/>
      <c r="T536" s="703"/>
      <c r="U536" s="703"/>
      <c r="V536" s="703"/>
      <c r="W536" s="703"/>
      <c r="X536" s="703"/>
      <c r="Y536" s="703"/>
      <c r="Z536" s="703"/>
      <c r="AA536" s="703"/>
      <c r="AB536" s="703"/>
      <c r="AC536" s="703"/>
      <c r="AD536" s="703"/>
      <c r="AE536" s="703"/>
      <c r="AF536" s="703"/>
      <c r="AG536" s="703"/>
      <c r="AH536" s="703"/>
      <c r="AI536" s="703"/>
      <c r="AJ536" s="703"/>
      <c r="AK536" s="703"/>
      <c r="AL536" s="703"/>
      <c r="AM536" s="703"/>
      <c r="AN536" s="703"/>
      <c r="AO536" s="704"/>
      <c r="AP536" s="705"/>
      <c r="AQ536" s="763" t="str">
        <f t="shared" si="58"/>
        <v/>
      </c>
      <c r="AS536" s="268"/>
      <c r="AV536" s="699"/>
      <c r="AW536" s="700">
        <v>4.7E-2</v>
      </c>
      <c r="AX536" s="382">
        <f t="shared" si="56"/>
        <v>0</v>
      </c>
      <c r="AY536" s="379" t="str">
        <f t="shared" ca="1" si="59"/>
        <v>VAKANA</v>
      </c>
      <c r="AZ536" s="384">
        <f t="shared" si="57"/>
        <v>0</v>
      </c>
      <c r="BA536" s="642"/>
    </row>
    <row r="537" spans="1:53" ht="11.25" hidden="1" customHeight="1" x14ac:dyDescent="0.2">
      <c r="A537" s="867"/>
      <c r="C537" s="758"/>
      <c r="D537" s="757"/>
      <c r="E537" s="747"/>
      <c r="F537" s="703"/>
      <c r="G537" s="703"/>
      <c r="H537" s="703"/>
      <c r="I537" s="703"/>
      <c r="J537" s="703"/>
      <c r="K537" s="703"/>
      <c r="L537" s="703"/>
      <c r="M537" s="703"/>
      <c r="N537" s="703"/>
      <c r="O537" s="703"/>
      <c r="P537" s="703"/>
      <c r="Q537" s="703"/>
      <c r="R537" s="703"/>
      <c r="S537" s="703"/>
      <c r="T537" s="703"/>
      <c r="U537" s="703"/>
      <c r="V537" s="703"/>
      <c r="W537" s="703"/>
      <c r="X537" s="703"/>
      <c r="Y537" s="703"/>
      <c r="Z537" s="703"/>
      <c r="AA537" s="703"/>
      <c r="AB537" s="703"/>
      <c r="AC537" s="703"/>
      <c r="AD537" s="703"/>
      <c r="AE537" s="703"/>
      <c r="AF537" s="703"/>
      <c r="AG537" s="703"/>
      <c r="AH537" s="703"/>
      <c r="AI537" s="703"/>
      <c r="AJ537" s="703"/>
      <c r="AK537" s="703"/>
      <c r="AL537" s="703"/>
      <c r="AM537" s="703"/>
      <c r="AN537" s="703"/>
      <c r="AO537" s="704"/>
      <c r="AP537" s="705"/>
      <c r="AQ537" s="763" t="str">
        <f t="shared" si="58"/>
        <v/>
      </c>
      <c r="AS537" s="268"/>
      <c r="AV537" s="699"/>
      <c r="AW537" s="700">
        <v>4.7100000000000003E-2</v>
      </c>
      <c r="AX537" s="382">
        <f t="shared" si="56"/>
        <v>0</v>
      </c>
      <c r="AY537" s="379" t="str">
        <f t="shared" ca="1" si="59"/>
        <v>VAKANA</v>
      </c>
      <c r="AZ537" s="384">
        <f t="shared" si="57"/>
        <v>0</v>
      </c>
      <c r="BA537" s="642"/>
    </row>
    <row r="538" spans="1:53" ht="11.25" hidden="1" customHeight="1" x14ac:dyDescent="0.2">
      <c r="A538" s="867"/>
      <c r="C538" s="758"/>
      <c r="D538" s="757"/>
      <c r="E538" s="747"/>
      <c r="F538" s="703"/>
      <c r="G538" s="703"/>
      <c r="H538" s="703"/>
      <c r="I538" s="703"/>
      <c r="J538" s="703"/>
      <c r="K538" s="703"/>
      <c r="L538" s="703"/>
      <c r="M538" s="703"/>
      <c r="N538" s="703"/>
      <c r="O538" s="703"/>
      <c r="P538" s="703"/>
      <c r="Q538" s="703"/>
      <c r="R538" s="703"/>
      <c r="S538" s="703"/>
      <c r="T538" s="703"/>
      <c r="U538" s="703"/>
      <c r="V538" s="703"/>
      <c r="W538" s="703"/>
      <c r="X538" s="703"/>
      <c r="Y538" s="703"/>
      <c r="Z538" s="703"/>
      <c r="AA538" s="703"/>
      <c r="AB538" s="703"/>
      <c r="AC538" s="703"/>
      <c r="AD538" s="703"/>
      <c r="AE538" s="703"/>
      <c r="AF538" s="703"/>
      <c r="AG538" s="703"/>
      <c r="AH538" s="703"/>
      <c r="AI538" s="703"/>
      <c r="AJ538" s="703"/>
      <c r="AK538" s="703"/>
      <c r="AL538" s="703"/>
      <c r="AM538" s="703"/>
      <c r="AN538" s="703"/>
      <c r="AO538" s="704"/>
      <c r="AP538" s="705"/>
      <c r="AQ538" s="763" t="str">
        <f t="shared" si="58"/>
        <v/>
      </c>
      <c r="AS538" s="268"/>
      <c r="AV538" s="699"/>
      <c r="AW538" s="700">
        <v>4.7199999999999999E-2</v>
      </c>
      <c r="AX538" s="382">
        <f t="shared" si="56"/>
        <v>0</v>
      </c>
      <c r="AY538" s="379" t="str">
        <f t="shared" ca="1" si="59"/>
        <v>VAKANA</v>
      </c>
      <c r="AZ538" s="384">
        <f t="shared" si="57"/>
        <v>0</v>
      </c>
      <c r="BA538" s="642"/>
    </row>
    <row r="539" spans="1:53" ht="11.25" hidden="1" customHeight="1" x14ac:dyDescent="0.2">
      <c r="A539" s="867"/>
      <c r="C539" s="758"/>
      <c r="D539" s="757"/>
      <c r="E539" s="747"/>
      <c r="F539" s="703"/>
      <c r="G539" s="703"/>
      <c r="H539" s="703"/>
      <c r="I539" s="703"/>
      <c r="J539" s="703"/>
      <c r="K539" s="703"/>
      <c r="L539" s="703"/>
      <c r="M539" s="703"/>
      <c r="N539" s="703"/>
      <c r="O539" s="703"/>
      <c r="P539" s="703"/>
      <c r="Q539" s="703"/>
      <c r="R539" s="703"/>
      <c r="S539" s="703"/>
      <c r="T539" s="703"/>
      <c r="U539" s="703"/>
      <c r="V539" s="703"/>
      <c r="W539" s="703"/>
      <c r="X539" s="703"/>
      <c r="Y539" s="703"/>
      <c r="Z539" s="703"/>
      <c r="AA539" s="703"/>
      <c r="AB539" s="703"/>
      <c r="AC539" s="703"/>
      <c r="AD539" s="703"/>
      <c r="AE539" s="703"/>
      <c r="AF539" s="703"/>
      <c r="AG539" s="703"/>
      <c r="AH539" s="703"/>
      <c r="AI539" s="703"/>
      <c r="AJ539" s="703"/>
      <c r="AK539" s="703"/>
      <c r="AL539" s="703"/>
      <c r="AM539" s="703"/>
      <c r="AN539" s="703"/>
      <c r="AO539" s="704"/>
      <c r="AP539" s="705"/>
      <c r="AQ539" s="763" t="str">
        <f t="shared" si="58"/>
        <v/>
      </c>
      <c r="AS539" s="268"/>
      <c r="AV539" s="699"/>
      <c r="AW539" s="700">
        <v>4.7300000000000002E-2</v>
      </c>
      <c r="AX539" s="382">
        <f t="shared" si="56"/>
        <v>0</v>
      </c>
      <c r="AY539" s="379" t="str">
        <f t="shared" ca="1" si="59"/>
        <v>VAKANA</v>
      </c>
      <c r="AZ539" s="384">
        <f t="shared" si="57"/>
        <v>0</v>
      </c>
      <c r="BA539" s="642"/>
    </row>
    <row r="540" spans="1:53" ht="11.25" hidden="1" customHeight="1" x14ac:dyDescent="0.2">
      <c r="A540" s="867"/>
      <c r="C540" s="758"/>
      <c r="D540" s="757"/>
      <c r="E540" s="747"/>
      <c r="F540" s="703"/>
      <c r="G540" s="703"/>
      <c r="H540" s="703"/>
      <c r="I540" s="703"/>
      <c r="J540" s="703"/>
      <c r="K540" s="703"/>
      <c r="L540" s="703"/>
      <c r="M540" s="703"/>
      <c r="N540" s="703"/>
      <c r="O540" s="703"/>
      <c r="P540" s="703"/>
      <c r="Q540" s="703"/>
      <c r="R540" s="703"/>
      <c r="S540" s="703"/>
      <c r="T540" s="703"/>
      <c r="U540" s="703"/>
      <c r="V540" s="703"/>
      <c r="W540" s="703"/>
      <c r="X540" s="703"/>
      <c r="Y540" s="703"/>
      <c r="Z540" s="703"/>
      <c r="AA540" s="703"/>
      <c r="AB540" s="703"/>
      <c r="AC540" s="703"/>
      <c r="AD540" s="703"/>
      <c r="AE540" s="703"/>
      <c r="AF540" s="703"/>
      <c r="AG540" s="703"/>
      <c r="AH540" s="703"/>
      <c r="AI540" s="703"/>
      <c r="AJ540" s="703"/>
      <c r="AK540" s="703"/>
      <c r="AL540" s="703"/>
      <c r="AM540" s="703"/>
      <c r="AN540" s="703"/>
      <c r="AO540" s="704"/>
      <c r="AP540" s="705"/>
      <c r="AQ540" s="763" t="str">
        <f t="shared" si="58"/>
        <v/>
      </c>
      <c r="AS540" s="268"/>
      <c r="AV540" s="699"/>
      <c r="AW540" s="700">
        <v>4.7399999999999998E-2</v>
      </c>
      <c r="AX540" s="382">
        <f t="shared" si="56"/>
        <v>0</v>
      </c>
      <c r="AY540" s="379" t="str">
        <f t="shared" ca="1" si="59"/>
        <v>VAKANA</v>
      </c>
      <c r="AZ540" s="384">
        <f t="shared" si="57"/>
        <v>0</v>
      </c>
      <c r="BA540" s="642"/>
    </row>
    <row r="541" spans="1:53" ht="11.25" hidden="1" customHeight="1" x14ac:dyDescent="0.2">
      <c r="A541" s="867"/>
      <c r="C541" s="758"/>
      <c r="D541" s="757"/>
      <c r="E541" s="747"/>
      <c r="F541" s="703"/>
      <c r="G541" s="703"/>
      <c r="H541" s="703"/>
      <c r="I541" s="703"/>
      <c r="J541" s="703"/>
      <c r="K541" s="703"/>
      <c r="L541" s="703"/>
      <c r="M541" s="703"/>
      <c r="N541" s="703"/>
      <c r="O541" s="703"/>
      <c r="P541" s="703"/>
      <c r="Q541" s="703"/>
      <c r="R541" s="703"/>
      <c r="S541" s="703"/>
      <c r="T541" s="703"/>
      <c r="U541" s="703"/>
      <c r="V541" s="703"/>
      <c r="W541" s="703"/>
      <c r="X541" s="703"/>
      <c r="Y541" s="703"/>
      <c r="Z541" s="703"/>
      <c r="AA541" s="703"/>
      <c r="AB541" s="703"/>
      <c r="AC541" s="703"/>
      <c r="AD541" s="703"/>
      <c r="AE541" s="703"/>
      <c r="AF541" s="703"/>
      <c r="AG541" s="703"/>
      <c r="AH541" s="703"/>
      <c r="AI541" s="703"/>
      <c r="AJ541" s="703"/>
      <c r="AK541" s="703"/>
      <c r="AL541" s="703"/>
      <c r="AM541" s="703"/>
      <c r="AN541" s="703"/>
      <c r="AO541" s="704"/>
      <c r="AP541" s="705"/>
      <c r="AQ541" s="763" t="str">
        <f t="shared" si="58"/>
        <v/>
      </c>
      <c r="AS541" s="268"/>
      <c r="AV541" s="699"/>
      <c r="AW541" s="700">
        <v>4.7500000000000001E-2</v>
      </c>
      <c r="AX541" s="382">
        <f t="shared" si="56"/>
        <v>0</v>
      </c>
      <c r="AY541" s="379" t="str">
        <f t="shared" ca="1" si="59"/>
        <v>VAKANA</v>
      </c>
      <c r="AZ541" s="384">
        <f t="shared" si="57"/>
        <v>0</v>
      </c>
      <c r="BA541" s="642"/>
    </row>
    <row r="542" spans="1:53" ht="11.25" hidden="1" customHeight="1" x14ac:dyDescent="0.2">
      <c r="A542" s="867"/>
      <c r="C542" s="758"/>
      <c r="D542" s="757"/>
      <c r="E542" s="747"/>
      <c r="F542" s="703"/>
      <c r="G542" s="703"/>
      <c r="H542" s="703"/>
      <c r="I542" s="703"/>
      <c r="J542" s="703"/>
      <c r="K542" s="703"/>
      <c r="L542" s="703"/>
      <c r="M542" s="703"/>
      <c r="N542" s="703"/>
      <c r="O542" s="703"/>
      <c r="P542" s="703"/>
      <c r="Q542" s="703"/>
      <c r="R542" s="703"/>
      <c r="S542" s="703"/>
      <c r="T542" s="703"/>
      <c r="U542" s="703"/>
      <c r="V542" s="703"/>
      <c r="W542" s="703"/>
      <c r="X542" s="703"/>
      <c r="Y542" s="703"/>
      <c r="Z542" s="703"/>
      <c r="AA542" s="703"/>
      <c r="AB542" s="703"/>
      <c r="AC542" s="703"/>
      <c r="AD542" s="703"/>
      <c r="AE542" s="703"/>
      <c r="AF542" s="703"/>
      <c r="AG542" s="703"/>
      <c r="AH542" s="703"/>
      <c r="AI542" s="703"/>
      <c r="AJ542" s="703"/>
      <c r="AK542" s="703"/>
      <c r="AL542" s="703"/>
      <c r="AM542" s="703"/>
      <c r="AN542" s="703"/>
      <c r="AO542" s="704"/>
      <c r="AP542" s="705"/>
      <c r="AQ542" s="763" t="str">
        <f t="shared" si="58"/>
        <v/>
      </c>
      <c r="AS542" s="268"/>
      <c r="AV542" s="699"/>
      <c r="AW542" s="700">
        <v>4.7600000000000003E-2</v>
      </c>
      <c r="AX542" s="382">
        <f t="shared" si="56"/>
        <v>0</v>
      </c>
      <c r="AY542" s="379" t="str">
        <f t="shared" ca="1" si="59"/>
        <v>VAKANA</v>
      </c>
      <c r="AZ542" s="384">
        <f t="shared" si="57"/>
        <v>0</v>
      </c>
      <c r="BA542" s="642"/>
    </row>
    <row r="543" spans="1:53" ht="11.25" hidden="1" customHeight="1" x14ac:dyDescent="0.2">
      <c r="A543" s="867"/>
      <c r="C543" s="758"/>
      <c r="D543" s="757"/>
      <c r="E543" s="747"/>
      <c r="F543" s="703"/>
      <c r="G543" s="703"/>
      <c r="H543" s="703"/>
      <c r="I543" s="703"/>
      <c r="J543" s="703"/>
      <c r="K543" s="703"/>
      <c r="L543" s="703"/>
      <c r="M543" s="703"/>
      <c r="N543" s="703"/>
      <c r="O543" s="703"/>
      <c r="P543" s="703"/>
      <c r="Q543" s="703"/>
      <c r="R543" s="703"/>
      <c r="S543" s="703"/>
      <c r="T543" s="703"/>
      <c r="U543" s="703"/>
      <c r="V543" s="703"/>
      <c r="W543" s="703"/>
      <c r="X543" s="703"/>
      <c r="Y543" s="703"/>
      <c r="Z543" s="703"/>
      <c r="AA543" s="703"/>
      <c r="AB543" s="703"/>
      <c r="AC543" s="703"/>
      <c r="AD543" s="703"/>
      <c r="AE543" s="703"/>
      <c r="AF543" s="703"/>
      <c r="AG543" s="703"/>
      <c r="AH543" s="703"/>
      <c r="AI543" s="703"/>
      <c r="AJ543" s="703"/>
      <c r="AK543" s="703"/>
      <c r="AL543" s="703"/>
      <c r="AM543" s="703"/>
      <c r="AN543" s="703"/>
      <c r="AO543" s="704"/>
      <c r="AP543" s="705"/>
      <c r="AQ543" s="763" t="str">
        <f t="shared" si="58"/>
        <v/>
      </c>
      <c r="AS543" s="268"/>
      <c r="AV543" s="699"/>
      <c r="AW543" s="700">
        <v>4.7699999999999999E-2</v>
      </c>
      <c r="AX543" s="382">
        <f t="shared" si="56"/>
        <v>0</v>
      </c>
      <c r="AY543" s="379" t="str">
        <f t="shared" ca="1" si="59"/>
        <v>VAKANA</v>
      </c>
      <c r="AZ543" s="384">
        <f t="shared" si="57"/>
        <v>0</v>
      </c>
      <c r="BA543" s="642"/>
    </row>
    <row r="544" spans="1:53" ht="11.25" hidden="1" customHeight="1" x14ac:dyDescent="0.2">
      <c r="A544" s="867"/>
      <c r="C544" s="758"/>
      <c r="D544" s="757"/>
      <c r="E544" s="747"/>
      <c r="F544" s="703"/>
      <c r="G544" s="703"/>
      <c r="H544" s="703"/>
      <c r="I544" s="703"/>
      <c r="J544" s="703"/>
      <c r="K544" s="703"/>
      <c r="L544" s="703"/>
      <c r="M544" s="703"/>
      <c r="N544" s="703"/>
      <c r="O544" s="703"/>
      <c r="P544" s="703"/>
      <c r="Q544" s="703"/>
      <c r="R544" s="703"/>
      <c r="S544" s="703"/>
      <c r="T544" s="703"/>
      <c r="U544" s="703"/>
      <c r="V544" s="703"/>
      <c r="W544" s="703"/>
      <c r="X544" s="703"/>
      <c r="Y544" s="703"/>
      <c r="Z544" s="703"/>
      <c r="AA544" s="703"/>
      <c r="AB544" s="703"/>
      <c r="AC544" s="703"/>
      <c r="AD544" s="703"/>
      <c r="AE544" s="703"/>
      <c r="AF544" s="703"/>
      <c r="AG544" s="703"/>
      <c r="AH544" s="703"/>
      <c r="AI544" s="703"/>
      <c r="AJ544" s="703"/>
      <c r="AK544" s="703"/>
      <c r="AL544" s="703"/>
      <c r="AM544" s="703"/>
      <c r="AN544" s="703"/>
      <c r="AO544" s="704"/>
      <c r="AP544" s="705"/>
      <c r="AQ544" s="763" t="str">
        <f t="shared" si="58"/>
        <v/>
      </c>
      <c r="AS544" s="268"/>
      <c r="AV544" s="699"/>
      <c r="AW544" s="700">
        <v>4.7800000000000002E-2</v>
      </c>
      <c r="AX544" s="382">
        <f t="shared" si="56"/>
        <v>0</v>
      </c>
      <c r="AY544" s="379" t="str">
        <f t="shared" ca="1" si="59"/>
        <v>VAKANA</v>
      </c>
      <c r="AZ544" s="384">
        <f t="shared" si="57"/>
        <v>0</v>
      </c>
      <c r="BA544" s="642"/>
    </row>
    <row r="545" spans="1:54" ht="11.25" hidden="1" customHeight="1" x14ac:dyDescent="0.2">
      <c r="A545" s="867"/>
      <c r="C545" s="758"/>
      <c r="D545" s="757"/>
      <c r="E545" s="747"/>
      <c r="F545" s="703"/>
      <c r="G545" s="703"/>
      <c r="H545" s="703"/>
      <c r="I545" s="703"/>
      <c r="J545" s="703"/>
      <c r="K545" s="703"/>
      <c r="L545" s="703"/>
      <c r="M545" s="703"/>
      <c r="N545" s="703"/>
      <c r="O545" s="703"/>
      <c r="P545" s="703"/>
      <c r="Q545" s="703"/>
      <c r="R545" s="703"/>
      <c r="S545" s="703"/>
      <c r="T545" s="703"/>
      <c r="U545" s="703"/>
      <c r="V545" s="703"/>
      <c r="W545" s="703"/>
      <c r="X545" s="703"/>
      <c r="Y545" s="703"/>
      <c r="Z545" s="703"/>
      <c r="AA545" s="703"/>
      <c r="AB545" s="703"/>
      <c r="AC545" s="703"/>
      <c r="AD545" s="703"/>
      <c r="AE545" s="703"/>
      <c r="AF545" s="703"/>
      <c r="AG545" s="703"/>
      <c r="AH545" s="703"/>
      <c r="AI545" s="703"/>
      <c r="AJ545" s="703"/>
      <c r="AK545" s="703"/>
      <c r="AL545" s="703"/>
      <c r="AM545" s="703"/>
      <c r="AN545" s="703"/>
      <c r="AO545" s="704"/>
      <c r="AP545" s="705"/>
      <c r="AQ545" s="763" t="str">
        <f t="shared" si="58"/>
        <v/>
      </c>
      <c r="AS545" s="268"/>
      <c r="AV545" s="699"/>
      <c r="AW545" s="700">
        <v>4.7899999999999998E-2</v>
      </c>
      <c r="AX545" s="382">
        <f t="shared" si="56"/>
        <v>0</v>
      </c>
      <c r="AY545" s="379" t="str">
        <f t="shared" ca="1" si="59"/>
        <v>VAKANA</v>
      </c>
      <c r="AZ545" s="384">
        <f t="shared" si="57"/>
        <v>0</v>
      </c>
      <c r="BA545" s="642"/>
    </row>
    <row r="546" spans="1:54" ht="12.75" customHeight="1" x14ac:dyDescent="0.2">
      <c r="A546" s="867"/>
      <c r="C546" s="759"/>
      <c r="D546" s="760"/>
      <c r="E546" s="748"/>
      <c r="F546" s="708"/>
      <c r="G546" s="708"/>
      <c r="H546" s="708"/>
      <c r="I546" s="708"/>
      <c r="J546" s="708"/>
      <c r="K546" s="708"/>
      <c r="L546" s="708"/>
      <c r="M546" s="708"/>
      <c r="N546" s="708"/>
      <c r="O546" s="708"/>
      <c r="P546" s="708"/>
      <c r="Q546" s="708"/>
      <c r="R546" s="708"/>
      <c r="S546" s="708"/>
      <c r="T546" s="708"/>
      <c r="U546" s="708"/>
      <c r="V546" s="708"/>
      <c r="W546" s="708"/>
      <c r="X546" s="708"/>
      <c r="Y546" s="708"/>
      <c r="Z546" s="708"/>
      <c r="AA546" s="708"/>
      <c r="AB546" s="708"/>
      <c r="AC546" s="708"/>
      <c r="AD546" s="708"/>
      <c r="AE546" s="708"/>
      <c r="AF546" s="708"/>
      <c r="AG546" s="708"/>
      <c r="AH546" s="708"/>
      <c r="AI546" s="708"/>
      <c r="AJ546" s="708"/>
      <c r="AK546" s="708"/>
      <c r="AL546" s="708"/>
      <c r="AM546" s="708"/>
      <c r="AN546" s="708"/>
      <c r="AO546" s="709"/>
      <c r="AP546" s="710"/>
      <c r="AQ546" s="763" t="str">
        <f t="shared" si="58"/>
        <v/>
      </c>
      <c r="AS546" s="268"/>
      <c r="AV546" s="699"/>
      <c r="AW546" s="700">
        <v>4.8000000000000001E-2</v>
      </c>
      <c r="AX546" s="382">
        <f t="shared" si="56"/>
        <v>0</v>
      </c>
      <c r="AY546" s="379" t="str">
        <f t="shared" ca="1" si="59"/>
        <v>VAKANA</v>
      </c>
      <c r="AZ546" s="384">
        <f t="shared" si="57"/>
        <v>0</v>
      </c>
      <c r="BA546" s="642"/>
    </row>
    <row r="547" spans="1:54" ht="13.5" customHeight="1" x14ac:dyDescent="0.2">
      <c r="A547" s="867"/>
      <c r="AV547" s="699"/>
      <c r="AW547" s="700">
        <v>4.8099999999999997E-2</v>
      </c>
      <c r="AX547" s="642"/>
      <c r="AY547" s="642"/>
      <c r="BA547" s="642"/>
    </row>
    <row r="548" spans="1:54" ht="1.5" customHeight="1" x14ac:dyDescent="0.2">
      <c r="A548" s="867"/>
      <c r="AV548" s="699"/>
      <c r="AW548" s="700">
        <v>4.82E-2</v>
      </c>
    </row>
    <row r="549" spans="1:54" s="186" customFormat="1" ht="11.25" hidden="1" customHeight="1" x14ac:dyDescent="0.2">
      <c r="A549" s="867"/>
      <c r="AS549" s="672"/>
      <c r="AU549" s="669"/>
      <c r="AV549" s="699"/>
      <c r="AW549" s="700">
        <v>4.8300000000000003E-2</v>
      </c>
      <c r="AX549" s="643"/>
      <c r="AY549" s="643"/>
      <c r="AZ549" s="671"/>
      <c r="BA549" s="643"/>
      <c r="BB549" s="669"/>
    </row>
    <row r="550" spans="1:54" s="673" customFormat="1" ht="13.5" hidden="1" customHeight="1" x14ac:dyDescent="0.2">
      <c r="A550" s="867"/>
      <c r="D550" s="674"/>
      <c r="E550" s="674"/>
      <c r="F550" s="674"/>
      <c r="G550" s="674"/>
      <c r="H550" s="674"/>
      <c r="I550" s="674"/>
      <c r="J550" s="674"/>
      <c r="K550" s="674"/>
      <c r="L550" s="674"/>
      <c r="M550" s="674"/>
      <c r="N550" s="674"/>
      <c r="O550" s="674"/>
      <c r="P550" s="674"/>
      <c r="Q550" s="674"/>
      <c r="R550" s="674"/>
      <c r="S550" s="674"/>
      <c r="T550" s="674"/>
      <c r="U550" s="674"/>
      <c r="V550" s="674"/>
      <c r="W550" s="674"/>
      <c r="X550" s="674"/>
      <c r="Y550" s="674"/>
      <c r="Z550" s="674"/>
      <c r="AA550" s="674"/>
      <c r="AB550" s="674"/>
      <c r="AC550" s="674"/>
      <c r="AD550" s="674"/>
      <c r="AE550" s="674"/>
      <c r="AF550" s="674"/>
      <c r="AG550" s="674"/>
      <c r="AH550" s="674"/>
      <c r="AI550" s="674"/>
      <c r="AJ550" s="674"/>
      <c r="AK550" s="674"/>
      <c r="AL550" s="674"/>
      <c r="AM550" s="674"/>
      <c r="AN550" s="674"/>
      <c r="AO550" s="674"/>
      <c r="AP550" s="674"/>
      <c r="AS550" s="675"/>
      <c r="AU550" s="643"/>
      <c r="AV550" s="699"/>
      <c r="AW550" s="700">
        <v>4.8399999999999999E-2</v>
      </c>
      <c r="AX550" s="643"/>
      <c r="AY550" s="643"/>
      <c r="AZ550" s="671"/>
      <c r="BA550" s="643"/>
      <c r="BB550" s="643"/>
    </row>
    <row r="551" spans="1:54" s="673" customFormat="1" ht="13.5" hidden="1" customHeight="1" x14ac:dyDescent="0.2">
      <c r="A551" s="867"/>
      <c r="C551" s="324">
        <f>C501+1</f>
        <v>11</v>
      </c>
      <c r="D551" s="383"/>
      <c r="E551" s="383">
        <v>1</v>
      </c>
      <c r="F551" s="383">
        <v>2</v>
      </c>
      <c r="G551" s="383">
        <v>3</v>
      </c>
      <c r="H551" s="383">
        <v>4</v>
      </c>
      <c r="I551" s="383">
        <v>5</v>
      </c>
      <c r="J551" s="383">
        <v>6</v>
      </c>
      <c r="K551" s="383">
        <v>7</v>
      </c>
      <c r="L551" s="383">
        <v>8</v>
      </c>
      <c r="M551" s="383">
        <v>9</v>
      </c>
      <c r="N551" s="383">
        <v>10</v>
      </c>
      <c r="O551" s="383">
        <v>11</v>
      </c>
      <c r="P551" s="383">
        <v>12</v>
      </c>
      <c r="Q551" s="383">
        <v>13</v>
      </c>
      <c r="R551" s="383">
        <v>14</v>
      </c>
      <c r="S551" s="383">
        <v>15</v>
      </c>
      <c r="T551" s="383">
        <v>16</v>
      </c>
      <c r="U551" s="383">
        <v>17</v>
      </c>
      <c r="V551" s="383">
        <v>18</v>
      </c>
      <c r="W551" s="383">
        <v>19</v>
      </c>
      <c r="X551" s="383">
        <v>20</v>
      </c>
      <c r="Y551" s="383">
        <v>21</v>
      </c>
      <c r="Z551" s="751">
        <v>22</v>
      </c>
      <c r="AA551" s="383">
        <v>23</v>
      </c>
      <c r="AB551" s="383">
        <v>24</v>
      </c>
      <c r="AC551" s="383">
        <v>25</v>
      </c>
      <c r="AD551" s="383">
        <v>26</v>
      </c>
      <c r="AE551" s="383">
        <v>27</v>
      </c>
      <c r="AF551" s="383"/>
      <c r="AG551" s="383"/>
      <c r="AH551" s="383"/>
      <c r="AI551" s="383"/>
      <c r="AJ551" s="383"/>
      <c r="AK551" s="383"/>
      <c r="AL551" s="383"/>
      <c r="AM551" s="383"/>
      <c r="AN551" s="383"/>
      <c r="AO551" s="383"/>
      <c r="AP551" s="674"/>
      <c r="AS551" s="675"/>
      <c r="AU551" s="643"/>
      <c r="AV551" s="699"/>
      <c r="AW551" s="700">
        <v>4.8500000000000001E-2</v>
      </c>
      <c r="AX551" s="643"/>
      <c r="AY551" s="643"/>
      <c r="AZ551" s="671"/>
      <c r="BA551" s="643"/>
      <c r="BB551" s="643"/>
    </row>
    <row r="552" spans="1:54" s="673" customFormat="1" ht="13.5" hidden="1" customHeight="1" x14ac:dyDescent="0.2">
      <c r="A552" s="867"/>
      <c r="D552" s="383"/>
      <c r="E552" s="383"/>
      <c r="F552" s="383"/>
      <c r="G552" s="383"/>
      <c r="H552" s="383"/>
      <c r="I552" s="383"/>
      <c r="J552" s="383"/>
      <c r="K552" s="383"/>
      <c r="L552" s="383"/>
      <c r="M552" s="383"/>
      <c r="N552" s="383"/>
      <c r="O552" s="383"/>
      <c r="P552" s="383"/>
      <c r="Q552" s="383"/>
      <c r="R552" s="383"/>
      <c r="S552" s="383"/>
      <c r="T552" s="383"/>
      <c r="U552" s="383"/>
      <c r="V552" s="383"/>
      <c r="W552" s="383"/>
      <c r="X552" s="383"/>
      <c r="Y552" s="383"/>
      <c r="Z552" s="751"/>
      <c r="AA552" s="383"/>
      <c r="AB552" s="383"/>
      <c r="AC552" s="383"/>
      <c r="AD552" s="383"/>
      <c r="AE552" s="383"/>
      <c r="AF552" s="383"/>
      <c r="AG552" s="383"/>
      <c r="AH552" s="383"/>
      <c r="AI552" s="383"/>
      <c r="AJ552" s="383"/>
      <c r="AK552" s="383"/>
      <c r="AL552" s="383"/>
      <c r="AM552" s="383"/>
      <c r="AN552" s="383"/>
      <c r="AO552" s="383"/>
      <c r="AP552" s="674"/>
      <c r="AS552" s="675"/>
      <c r="AU552" s="643"/>
      <c r="AV552" s="699"/>
      <c r="AW552" s="700">
        <v>4.8599999999999997E-2</v>
      </c>
      <c r="AX552" s="643"/>
      <c r="AY552" s="643"/>
      <c r="AZ552" s="671"/>
      <c r="BA552" s="643"/>
      <c r="BB552" s="643"/>
    </row>
    <row r="553" spans="1:54" s="673" customFormat="1" ht="13.5" hidden="1" customHeight="1" x14ac:dyDescent="0.2">
      <c r="A553" s="867"/>
      <c r="D553" s="676"/>
      <c r="E553" s="676">
        <f t="shared" ref="E553:AE553" si="60">E$53</f>
        <v>1</v>
      </c>
      <c r="F553" s="676">
        <f t="shared" si="60"/>
        <v>17</v>
      </c>
      <c r="G553" s="676">
        <f t="shared" si="60"/>
        <v>33</v>
      </c>
      <c r="H553" s="676">
        <f t="shared" si="60"/>
        <v>49</v>
      </c>
      <c r="I553" s="676">
        <f t="shared" si="60"/>
        <v>65</v>
      </c>
      <c r="J553" s="676">
        <f t="shared" si="60"/>
        <v>81</v>
      </c>
      <c r="K553" s="676">
        <f t="shared" si="60"/>
        <v>97</v>
      </c>
      <c r="L553" s="676">
        <f t="shared" si="60"/>
        <v>113</v>
      </c>
      <c r="M553" s="676">
        <f t="shared" si="60"/>
        <v>129</v>
      </c>
      <c r="N553" s="676">
        <f t="shared" si="60"/>
        <v>145</v>
      </c>
      <c r="O553" s="676">
        <f t="shared" si="60"/>
        <v>161</v>
      </c>
      <c r="P553" s="676">
        <f t="shared" si="60"/>
        <v>177</v>
      </c>
      <c r="Q553" s="676">
        <f t="shared" si="60"/>
        <v>193</v>
      </c>
      <c r="R553" s="676">
        <f t="shared" si="60"/>
        <v>209</v>
      </c>
      <c r="S553" s="676">
        <f t="shared" si="60"/>
        <v>225</v>
      </c>
      <c r="T553" s="676">
        <f t="shared" si="60"/>
        <v>241</v>
      </c>
      <c r="U553" s="676">
        <f t="shared" si="60"/>
        <v>257</v>
      </c>
      <c r="V553" s="676">
        <f t="shared" si="60"/>
        <v>273</v>
      </c>
      <c r="W553" s="676">
        <f t="shared" si="60"/>
        <v>289</v>
      </c>
      <c r="X553" s="676">
        <f t="shared" si="60"/>
        <v>305</v>
      </c>
      <c r="Y553" s="676">
        <f t="shared" si="60"/>
        <v>321</v>
      </c>
      <c r="Z553" s="676">
        <f t="shared" si="60"/>
        <v>337</v>
      </c>
      <c r="AA553" s="676">
        <f t="shared" si="60"/>
        <v>1</v>
      </c>
      <c r="AB553" s="676">
        <f t="shared" si="60"/>
        <v>19</v>
      </c>
      <c r="AC553" s="676">
        <f t="shared" si="60"/>
        <v>37</v>
      </c>
      <c r="AD553" s="676">
        <f t="shared" si="60"/>
        <v>55</v>
      </c>
      <c r="AE553" s="676">
        <f t="shared" si="60"/>
        <v>73</v>
      </c>
      <c r="AF553" s="676"/>
      <c r="AG553" s="676"/>
      <c r="AH553" s="676"/>
      <c r="AI553" s="676"/>
      <c r="AJ553" s="676"/>
      <c r="AK553" s="676"/>
      <c r="AL553" s="676"/>
      <c r="AM553" s="676"/>
      <c r="AN553" s="676"/>
      <c r="AO553" s="676"/>
      <c r="AP553" s="674"/>
      <c r="AS553" s="675"/>
      <c r="AU553" s="643"/>
      <c r="AV553" s="699"/>
      <c r="AW553" s="700">
        <v>4.87E-2</v>
      </c>
      <c r="AX553" s="643"/>
      <c r="AY553" s="643"/>
      <c r="AZ553" s="671"/>
      <c r="BA553" s="643"/>
      <c r="BB553" s="643"/>
    </row>
    <row r="554" spans="1:54" s="673" customFormat="1" ht="13.5" hidden="1" customHeight="1" x14ac:dyDescent="0.2">
      <c r="A554" s="867"/>
      <c r="D554" s="677"/>
      <c r="E554" s="749" t="b">
        <f ca="1">COUNTIF(OFFSET(ASZ!$AB$42,E553,-4,12,2),$C562)=0</f>
        <v>0</v>
      </c>
      <c r="F554" s="749" t="b">
        <f ca="1">COUNTIF(OFFSET(ASZ!$AB$42,F553,-4,12,2),$C562)=0</f>
        <v>0</v>
      </c>
      <c r="G554" s="749" t="b">
        <f ca="1">COUNTIF(OFFSET(ASZ!$AB$42,G553,-4,12,2),$C562)=0</f>
        <v>0</v>
      </c>
      <c r="H554" s="749" t="b">
        <f ca="1">COUNTIF(OFFSET(ASZ!$AB$42,H553,-4,12,2),$C562)=0</f>
        <v>0</v>
      </c>
      <c r="I554" s="749" t="b">
        <f ca="1">COUNTIF(OFFSET(ASZ!$AB$42,I553,-4,12,2),$C562)=0</f>
        <v>0</v>
      </c>
      <c r="J554" s="749" t="b">
        <f ca="1">COUNTIF(OFFSET(ASZ!$AB$42,J553,-4,12,2),$C562)=0</f>
        <v>0</v>
      </c>
      <c r="K554" s="749" t="b">
        <f ca="1">COUNTIF(OFFSET(ASZ!$AB$42,K553,-4,12,2),$C562)=0</f>
        <v>0</v>
      </c>
      <c r="L554" s="749" t="b">
        <f ca="1">COUNTIF(OFFSET(ASZ!$AB$42,L553,-4,12,2),$C562)=0</f>
        <v>0</v>
      </c>
      <c r="M554" s="749" t="b">
        <f ca="1">COUNTIF(OFFSET(ASZ!$AB$42,M553,-4,12,2),$C562)=0</f>
        <v>0</v>
      </c>
      <c r="N554" s="749" t="b">
        <f ca="1">COUNTIF(OFFSET(ASZ!$AB$42,N553,-4,12,2),$C562)=0</f>
        <v>0</v>
      </c>
      <c r="O554" s="749" t="b">
        <f ca="1">COUNTIF(OFFSET(ASZ!$AB$42,O553,-4,12,2),$C562)=0</f>
        <v>0</v>
      </c>
      <c r="P554" s="749" t="b">
        <f ca="1">COUNTIF(OFFSET(ASZ!$AB$42,P553,-4,12,2),$C562)=0</f>
        <v>0</v>
      </c>
      <c r="Q554" s="749" t="b">
        <f ca="1">COUNTIF(OFFSET(ASZ!$AB$42,Q553,-4,12,2),$C562)=0</f>
        <v>0</v>
      </c>
      <c r="R554" s="749" t="b">
        <f ca="1">COUNTIF(OFFSET(ASZ!$AB$42,R553,-4,12,2),$C562)=0</f>
        <v>0</v>
      </c>
      <c r="S554" s="749" t="b">
        <f ca="1">COUNTIF(OFFSET(ASZ!$AB$42,S553,-4,12,2),$C562)=0</f>
        <v>0</v>
      </c>
      <c r="T554" s="749" t="b">
        <f ca="1">COUNTIF(OFFSET(ASZ!$AB$42,T553,-4,12,2),$C562)=0</f>
        <v>0</v>
      </c>
      <c r="U554" s="749" t="b">
        <f ca="1">COUNTIF(OFFSET(ASZ!$AB$42,U553,-4,12,2),$C562)=0</f>
        <v>0</v>
      </c>
      <c r="V554" s="749" t="b">
        <f ca="1">COUNTIF(OFFSET(ASZ!$AB$42,V553,-4,12,2),$C562)=0</f>
        <v>0</v>
      </c>
      <c r="W554" s="749" t="b">
        <f ca="1">COUNTIF(OFFSET(ASZ!$AB$42,W553,-4,12,2),$C562)=0</f>
        <v>0</v>
      </c>
      <c r="X554" s="749" t="b">
        <f ca="1">COUNTIF(OFFSET(ASZ!$AB$42,X553,-4,12,2),$C562)=0</f>
        <v>0</v>
      </c>
      <c r="Y554" s="749" t="b">
        <f ca="1">COUNTIF(OFFSET(ASZ!$AB$42,Y553,-4,12,2),$C562)=0</f>
        <v>0</v>
      </c>
      <c r="Z554" s="753" t="b">
        <f ca="1">COUNTIF(OFFSET(ASZ!$AB$42,Z553,-4,12,2),$C562)=0</f>
        <v>0</v>
      </c>
      <c r="AA554" s="749" t="b">
        <f ca="1">COUNTIF(OFFSET(RCSOP!$AF$56,AA553,-4,14,2),$C562)=0</f>
        <v>0</v>
      </c>
      <c r="AB554" s="749" t="b">
        <f ca="1">COUNTIF(OFFSET(RCSOP!$AF$56,AB553,-4,14,2),$C562)=0</f>
        <v>0</v>
      </c>
      <c r="AC554" s="749" t="b">
        <f ca="1">COUNTIF(OFFSET(RCSOP!$AF$56,AC553,-4,14,2),$C562)=0</f>
        <v>0</v>
      </c>
      <c r="AD554" s="749" t="b">
        <f ca="1">COUNTIF(OFFSET(RCSOP!$AF$56,AD553,-4,14,2),$C562)=0</f>
        <v>0</v>
      </c>
      <c r="AE554" s="749" t="b">
        <f ca="1">COUNTIF(OFFSET(RCSOP!$AF$56,AE553,-4,14,2),$C562)=0</f>
        <v>0</v>
      </c>
      <c r="AF554" s="677"/>
      <c r="AG554" s="677"/>
      <c r="AH554" s="677"/>
      <c r="AI554" s="677"/>
      <c r="AJ554" s="677"/>
      <c r="AK554" s="677"/>
      <c r="AL554" s="677"/>
      <c r="AM554" s="677"/>
      <c r="AN554" s="677"/>
      <c r="AO554" s="677"/>
      <c r="AP554" s="674"/>
      <c r="AS554" s="675"/>
      <c r="AU554" s="643"/>
      <c r="AV554" s="699"/>
      <c r="AW554" s="700">
        <v>4.8800000000000003E-2</v>
      </c>
      <c r="AY554" s="643"/>
      <c r="AZ554" s="671"/>
      <c r="BA554" s="643"/>
      <c r="BB554" s="643"/>
    </row>
    <row r="555" spans="1:54" s="673" customFormat="1" ht="13.5" hidden="1" customHeight="1" x14ac:dyDescent="0.2">
      <c r="A555" s="867"/>
      <c r="D555" s="677"/>
      <c r="E555" s="749" t="b">
        <f ca="1">COUNTIF(OFFSET(ASZ!$AB$42,E553,-4,12,1),$C562)=1</f>
        <v>1</v>
      </c>
      <c r="F555" s="749" t="b">
        <f ca="1">COUNTIF(OFFSET(ASZ!$AB$42,F553,-4,12,1),$C562)=1</f>
        <v>1</v>
      </c>
      <c r="G555" s="749" t="b">
        <f ca="1">COUNTIF(OFFSET(ASZ!$AB$42,G553,-4,12,1),$C562)=1</f>
        <v>1</v>
      </c>
      <c r="H555" s="749" t="b">
        <f ca="1">COUNTIF(OFFSET(ASZ!$AB$42,H553,-4,12,1),$C562)=1</f>
        <v>1</v>
      </c>
      <c r="I555" s="749" t="b">
        <f ca="1">COUNTIF(OFFSET(ASZ!$AB$42,I553,-4,12,1),$C562)=1</f>
        <v>1</v>
      </c>
      <c r="J555" s="749" t="b">
        <f ca="1">COUNTIF(OFFSET(ASZ!$AB$42,J553,-4,12,1),$C562)=1</f>
        <v>1</v>
      </c>
      <c r="K555" s="749" t="b">
        <f ca="1">COUNTIF(OFFSET(ASZ!$AB$42,K553,-4,12,1),$C562)=1</f>
        <v>1</v>
      </c>
      <c r="L555" s="749" t="b">
        <f ca="1">COUNTIF(OFFSET(ASZ!$AB$42,L553,-4,12,1),$C562)=1</f>
        <v>1</v>
      </c>
      <c r="M555" s="749" t="b">
        <f ca="1">COUNTIF(OFFSET(ASZ!$AB$42,M553,-4,12,1),$C562)=1</f>
        <v>1</v>
      </c>
      <c r="N555" s="749" t="b">
        <f ca="1">COUNTIF(OFFSET(ASZ!$AB$42,N553,-4,12,1),$C562)=1</f>
        <v>1</v>
      </c>
      <c r="O555" s="749" t="b">
        <f ca="1">COUNTIF(OFFSET(ASZ!$AB$42,O553,-4,12,1),$C562)=1</f>
        <v>0</v>
      </c>
      <c r="P555" s="749" t="b">
        <f ca="1">COUNTIF(OFFSET(ASZ!$AB$42,P553,-4,12,1),$C562)=1</f>
        <v>0</v>
      </c>
      <c r="Q555" s="749" t="b">
        <f ca="1">COUNTIF(OFFSET(ASZ!$AB$42,Q553,-4,12,1),$C562)=1</f>
        <v>0</v>
      </c>
      <c r="R555" s="749" t="b">
        <f ca="1">COUNTIF(OFFSET(ASZ!$AB$42,R553,-4,12,1),$C562)=1</f>
        <v>0</v>
      </c>
      <c r="S555" s="749" t="b">
        <f ca="1">COUNTIF(OFFSET(ASZ!$AB$42,S553,-4,12,1),$C562)=1</f>
        <v>0</v>
      </c>
      <c r="T555" s="749" t="b">
        <f ca="1">COUNTIF(OFFSET(ASZ!$AB$42,T553,-4,12,1),$C562)=1</f>
        <v>0</v>
      </c>
      <c r="U555" s="749" t="b">
        <f ca="1">COUNTIF(OFFSET(ASZ!$AB$42,U553,-4,12,1),$C562)=1</f>
        <v>0</v>
      </c>
      <c r="V555" s="749" t="b">
        <f ca="1">COUNTIF(OFFSET(ASZ!$AB$42,V553,-4,12,1),$C562)=1</f>
        <v>0</v>
      </c>
      <c r="W555" s="749" t="b">
        <f ca="1">COUNTIF(OFFSET(ASZ!$AB$42,W553,-4,12,1),$C562)=1</f>
        <v>0</v>
      </c>
      <c r="X555" s="749" t="b">
        <f ca="1">COUNTIF(OFFSET(ASZ!$AB$42,X553,-4,12,1),$C562)=1</f>
        <v>0</v>
      </c>
      <c r="Y555" s="749" t="b">
        <f ca="1">COUNTIF(OFFSET(ASZ!$AB$42,Y553,-4,12,1),$C562)=1</f>
        <v>1</v>
      </c>
      <c r="Z555" s="753" t="b">
        <f ca="1">COUNTIF(OFFSET(ASZ!$AB$42,Z553,-4,12,1),$C562)=1</f>
        <v>1</v>
      </c>
      <c r="AA555" s="749" t="b">
        <f ca="1">COUNTIF(OFFSET(RCSOP!$AF$56,AA553,-4,14,1),$C562)=1</f>
        <v>0</v>
      </c>
      <c r="AB555" s="749" t="b">
        <f ca="1">COUNTIF(OFFSET(RCSOP!$AF$56,AB553,-4,14,1),$C562)=1</f>
        <v>0</v>
      </c>
      <c r="AC555" s="749" t="b">
        <f ca="1">COUNTIF(OFFSET(RCSOP!$AF$56,AC553,-4,14,1),$C562)=1</f>
        <v>0</v>
      </c>
      <c r="AD555" s="749" t="b">
        <f ca="1">COUNTIF(OFFSET(RCSOP!$AF$56,AD553,-4,14,1),$C562)=1</f>
        <v>1</v>
      </c>
      <c r="AE555" s="749" t="b">
        <f ca="1">COUNTIF(OFFSET(RCSOP!$AF$56,AE553,-4,14,1),$C562)=1</f>
        <v>1</v>
      </c>
      <c r="AF555" s="677"/>
      <c r="AG555" s="677"/>
      <c r="AH555" s="677"/>
      <c r="AI555" s="677"/>
      <c r="AJ555" s="677"/>
      <c r="AK555" s="677"/>
      <c r="AL555" s="677"/>
      <c r="AM555" s="677"/>
      <c r="AN555" s="677"/>
      <c r="AO555" s="677"/>
      <c r="AP555" s="674"/>
      <c r="AS555" s="675"/>
      <c r="AU555" s="643"/>
      <c r="AV555" s="699"/>
      <c r="AW555" s="700">
        <v>4.8899999999999999E-2</v>
      </c>
      <c r="AX555" s="643"/>
      <c r="AY555" s="643"/>
      <c r="AZ555" s="671"/>
      <c r="BA555" s="643"/>
      <c r="BB555" s="643"/>
    </row>
    <row r="556" spans="1:54" s="673" customFormat="1" ht="13.5" hidden="1" customHeight="1" x14ac:dyDescent="0.2">
      <c r="A556" s="867"/>
      <c r="D556" s="674"/>
      <c r="E556" s="674"/>
      <c r="F556" s="674"/>
      <c r="G556" s="674"/>
      <c r="H556" s="674"/>
      <c r="I556" s="674"/>
      <c r="J556" s="674"/>
      <c r="K556" s="674"/>
      <c r="L556" s="674"/>
      <c r="M556" s="674"/>
      <c r="N556" s="674"/>
      <c r="O556" s="674"/>
      <c r="P556" s="674"/>
      <c r="Q556" s="674"/>
      <c r="R556" s="674"/>
      <c r="S556" s="674"/>
      <c r="T556" s="674"/>
      <c r="U556" s="674"/>
      <c r="V556" s="674"/>
      <c r="W556" s="674"/>
      <c r="X556" s="674"/>
      <c r="Y556" s="674"/>
      <c r="Z556" s="674"/>
      <c r="AA556" s="674"/>
      <c r="AB556" s="674"/>
      <c r="AC556" s="674"/>
      <c r="AD556" s="674"/>
      <c r="AE556" s="674"/>
      <c r="AF556" s="674"/>
      <c r="AG556" s="674"/>
      <c r="AH556" s="674"/>
      <c r="AI556" s="674"/>
      <c r="AJ556" s="674"/>
      <c r="AK556" s="674"/>
      <c r="AL556" s="674"/>
      <c r="AM556" s="674"/>
      <c r="AN556" s="674"/>
      <c r="AO556" s="674"/>
      <c r="AP556" s="674"/>
      <c r="AS556" s="675"/>
      <c r="AU556" s="643"/>
      <c r="AV556" s="699"/>
      <c r="AW556" s="700">
        <v>4.9000000000000002E-2</v>
      </c>
      <c r="AX556" s="643"/>
      <c r="AY556" s="643"/>
      <c r="AZ556" s="671"/>
      <c r="BA556" s="643"/>
      <c r="BB556" s="643"/>
    </row>
    <row r="557" spans="1:54" s="673" customFormat="1" ht="13.5" hidden="1" customHeight="1" x14ac:dyDescent="0.2">
      <c r="A557" s="867"/>
      <c r="D557" s="674"/>
      <c r="E557" s="674"/>
      <c r="F557" s="674"/>
      <c r="G557" s="674"/>
      <c r="H557" s="674"/>
      <c r="I557" s="674"/>
      <c r="J557" s="674"/>
      <c r="K557" s="674"/>
      <c r="L557" s="674"/>
      <c r="M557" s="674"/>
      <c r="N557" s="674"/>
      <c r="O557" s="674"/>
      <c r="P557" s="674"/>
      <c r="Q557" s="674"/>
      <c r="R557" s="674"/>
      <c r="S557" s="674"/>
      <c r="T557" s="674"/>
      <c r="U557" s="674"/>
      <c r="V557" s="674"/>
      <c r="W557" s="674"/>
      <c r="X557" s="674"/>
      <c r="Y557" s="674"/>
      <c r="Z557" s="674"/>
      <c r="AA557" s="674"/>
      <c r="AB557" s="674"/>
      <c r="AC557" s="674"/>
      <c r="AD557" s="674"/>
      <c r="AE557" s="674"/>
      <c r="AF557" s="674"/>
      <c r="AG557" s="674"/>
      <c r="AH557" s="674"/>
      <c r="AI557" s="674"/>
      <c r="AJ557" s="674"/>
      <c r="AK557" s="674"/>
      <c r="AL557" s="674"/>
      <c r="AM557" s="674"/>
      <c r="AN557" s="674"/>
      <c r="AO557" s="674"/>
      <c r="AP557" s="674"/>
      <c r="AS557" s="675"/>
      <c r="AU557" s="643"/>
      <c r="AV557" s="699"/>
      <c r="AW557" s="700">
        <v>4.9099999999999998E-2</v>
      </c>
      <c r="AX557" s="643"/>
      <c r="AY557" s="643"/>
      <c r="AZ557" s="671"/>
      <c r="BA557" s="643"/>
      <c r="BB557" s="643"/>
    </row>
    <row r="558" spans="1:54" s="673" customFormat="1" ht="13.5" hidden="1" customHeight="1" x14ac:dyDescent="0.2">
      <c r="A558" s="867"/>
      <c r="D558" s="674"/>
      <c r="E558" s="674"/>
      <c r="F558" s="674"/>
      <c r="G558" s="674"/>
      <c r="H558" s="674"/>
      <c r="I558" s="674"/>
      <c r="J558" s="674"/>
      <c r="K558" s="674"/>
      <c r="L558" s="674"/>
      <c r="M558" s="674"/>
      <c r="N558" s="674"/>
      <c r="O558" s="674"/>
      <c r="P558" s="674"/>
      <c r="Q558" s="674"/>
      <c r="R558" s="674"/>
      <c r="S558" s="674"/>
      <c r="T558" s="674"/>
      <c r="U558" s="674"/>
      <c r="V558" s="674"/>
      <c r="W558" s="674"/>
      <c r="X558" s="674"/>
      <c r="Y558" s="674"/>
      <c r="Z558" s="674"/>
      <c r="AA558" s="674"/>
      <c r="AB558" s="674"/>
      <c r="AC558" s="674"/>
      <c r="AD558" s="674"/>
      <c r="AE558" s="674"/>
      <c r="AF558" s="674"/>
      <c r="AG558" s="674"/>
      <c r="AH558" s="674"/>
      <c r="AI558" s="674"/>
      <c r="AJ558" s="674"/>
      <c r="AK558" s="674"/>
      <c r="AL558" s="674"/>
      <c r="AM558" s="674"/>
      <c r="AN558" s="674"/>
      <c r="AO558" s="674"/>
      <c r="AP558" s="674"/>
      <c r="AS558" s="675"/>
      <c r="AU558" s="643"/>
      <c r="AV558" s="699"/>
      <c r="AW558" s="700">
        <v>4.9200000000000001E-2</v>
      </c>
      <c r="AX558" s="643"/>
      <c r="AY558" s="643"/>
      <c r="AZ558" s="671"/>
      <c r="BA558" s="643"/>
      <c r="BB558" s="643"/>
    </row>
    <row r="559" spans="1:54" s="673" customFormat="1" ht="13.5" hidden="1" customHeight="1" x14ac:dyDescent="0.2">
      <c r="A559" s="867"/>
      <c r="D559" s="674"/>
      <c r="E559" s="674"/>
      <c r="F559" s="674"/>
      <c r="G559" s="674"/>
      <c r="H559" s="674"/>
      <c r="I559" s="674"/>
      <c r="J559" s="674"/>
      <c r="K559" s="674"/>
      <c r="L559" s="674"/>
      <c r="M559" s="674"/>
      <c r="N559" s="674"/>
      <c r="O559" s="674"/>
      <c r="P559" s="674"/>
      <c r="Q559" s="674"/>
      <c r="R559" s="674"/>
      <c r="S559" s="674"/>
      <c r="T559" s="674"/>
      <c r="U559" s="674"/>
      <c r="V559" s="674"/>
      <c r="W559" s="674"/>
      <c r="X559" s="674"/>
      <c r="Y559" s="674"/>
      <c r="Z559" s="674"/>
      <c r="AA559" s="674"/>
      <c r="AB559" s="674"/>
      <c r="AC559" s="674"/>
      <c r="AD559" s="674"/>
      <c r="AE559" s="674"/>
      <c r="AF559" s="674"/>
      <c r="AG559" s="674"/>
      <c r="AH559" s="674"/>
      <c r="AI559" s="674"/>
      <c r="AJ559" s="674"/>
      <c r="AK559" s="674"/>
      <c r="AL559" s="674"/>
      <c r="AM559" s="674"/>
      <c r="AN559" s="674"/>
      <c r="AO559" s="674"/>
      <c r="AP559" s="674"/>
      <c r="AS559" s="675"/>
      <c r="AU559" s="643"/>
      <c r="AV559" s="699"/>
      <c r="AW559" s="700">
        <v>4.9299999999999997E-2</v>
      </c>
      <c r="AX559" s="643"/>
      <c r="AY559" s="643"/>
      <c r="AZ559" s="671"/>
      <c r="BA559" s="643"/>
      <c r="BB559" s="643"/>
    </row>
    <row r="560" spans="1:54" s="673" customFormat="1" ht="13.5" hidden="1" customHeight="1" x14ac:dyDescent="0.2">
      <c r="A560" s="867"/>
      <c r="D560" s="674"/>
      <c r="E560" s="674"/>
      <c r="F560" s="674"/>
      <c r="G560" s="674"/>
      <c r="H560" s="674"/>
      <c r="I560" s="674"/>
      <c r="J560" s="674"/>
      <c r="K560" s="674"/>
      <c r="L560" s="674"/>
      <c r="M560" s="674"/>
      <c r="N560" s="674"/>
      <c r="O560" s="674"/>
      <c r="P560" s="674"/>
      <c r="Q560" s="674"/>
      <c r="R560" s="674"/>
      <c r="S560" s="674"/>
      <c r="T560" s="674"/>
      <c r="U560" s="674"/>
      <c r="V560" s="674"/>
      <c r="W560" s="674"/>
      <c r="X560" s="674"/>
      <c r="Y560" s="674"/>
      <c r="Z560" s="674"/>
      <c r="AA560" s="674"/>
      <c r="AB560" s="674"/>
      <c r="AC560" s="674"/>
      <c r="AD560" s="674"/>
      <c r="AE560" s="674"/>
      <c r="AF560" s="674"/>
      <c r="AG560" s="674"/>
      <c r="AH560" s="674"/>
      <c r="AI560" s="674"/>
      <c r="AJ560" s="674"/>
      <c r="AK560" s="674"/>
      <c r="AL560" s="674"/>
      <c r="AM560" s="674"/>
      <c r="AN560" s="674"/>
      <c r="AO560" s="674"/>
      <c r="AP560" s="674"/>
      <c r="AS560" s="675"/>
      <c r="AU560" s="643"/>
      <c r="AV560" s="699"/>
      <c r="AW560" s="700">
        <v>4.9399999999999999E-2</v>
      </c>
      <c r="AX560" s="643"/>
      <c r="AY560" s="643"/>
      <c r="AZ560" s="671"/>
      <c r="BA560" s="643"/>
      <c r="BB560" s="643"/>
    </row>
    <row r="561" spans="1:54" s="186" customFormat="1" ht="11.25" hidden="1" customHeight="1" x14ac:dyDescent="0.2">
      <c r="A561" s="867"/>
      <c r="D561" s="678"/>
      <c r="E561" s="678"/>
      <c r="F561" s="678"/>
      <c r="G561" s="678"/>
      <c r="H561" s="678"/>
      <c r="I561" s="678"/>
      <c r="J561" s="678"/>
      <c r="K561" s="678"/>
      <c r="L561" s="678"/>
      <c r="M561" s="678"/>
      <c r="N561" s="678"/>
      <c r="O561" s="678"/>
      <c r="P561" s="678"/>
      <c r="Q561" s="678"/>
      <c r="R561" s="678"/>
      <c r="S561" s="678"/>
      <c r="T561" s="678"/>
      <c r="U561" s="678"/>
      <c r="V561" s="678"/>
      <c r="W561" s="678"/>
      <c r="X561" s="678"/>
      <c r="Y561" s="678"/>
      <c r="Z561" s="678"/>
      <c r="AA561" s="678"/>
      <c r="AB561" s="678"/>
      <c r="AC561" s="678"/>
      <c r="AD561" s="678"/>
      <c r="AE561" s="678"/>
      <c r="AF561" s="678"/>
      <c r="AG561" s="678"/>
      <c r="AH561" s="678"/>
      <c r="AI561" s="678"/>
      <c r="AJ561" s="678"/>
      <c r="AK561" s="678"/>
      <c r="AL561" s="678"/>
      <c r="AM561" s="678"/>
      <c r="AN561" s="678"/>
      <c r="AO561" s="678"/>
      <c r="AP561" s="678"/>
      <c r="AS561" s="672"/>
      <c r="AU561" s="669"/>
      <c r="AV561" s="699"/>
      <c r="AW561" s="700">
        <v>4.9500000000000002E-2</v>
      </c>
      <c r="AX561" s="643"/>
      <c r="AY561" s="643"/>
      <c r="AZ561" s="671"/>
      <c r="BA561" s="643"/>
      <c r="BB561" s="669"/>
    </row>
    <row r="562" spans="1:54" ht="30" customHeight="1" x14ac:dyDescent="0.2">
      <c r="A562" s="867"/>
      <c r="C562" s="679" t="str">
        <f ca="1">UPPER(INDEX(teams.a,C551,1))</f>
        <v>ZRÍNYIGYÖNGYE</v>
      </c>
      <c r="D562" s="743"/>
      <c r="E562" s="743">
        <f ca="1">IF(E554,"",VLOOKUP($C562,OFFSET(ASZ!$AB$42,E553,IF(E555,-4,-3),12,12),IF(E555,12,11),FALSE))</f>
        <v>42088</v>
      </c>
      <c r="F562" s="743">
        <f ca="1">IF(F554,"",VLOOKUP($C562,OFFSET(ASZ!$AB$42,F553,IF(F555,-4,-3),12,12),IF(F555,12,11),FALSE))</f>
        <v>42095</v>
      </c>
      <c r="G562" s="743">
        <f ca="1">IF(G554,"",VLOOKUP($C562,OFFSET(ASZ!$AB$42,G553,IF(G555,-4,-3),12,12),IF(G555,12,11),FALSE))</f>
        <v>42102</v>
      </c>
      <c r="H562" s="743">
        <f ca="1">IF(H554,"",VLOOKUP($C562,OFFSET(ASZ!$AB$42,H553,IF(H555,-4,-3),12,12),IF(H555,12,11),FALSE))</f>
        <v>42109</v>
      </c>
      <c r="I562" s="743">
        <f ca="1">IF(I554,"",VLOOKUP($C562,OFFSET(ASZ!$AB$42,I553,IF(I555,-4,-3),12,12),IF(I555,12,11),FALSE))</f>
        <v>42116</v>
      </c>
      <c r="J562" s="743">
        <f ca="1">IF(J554,"",VLOOKUP($C562,OFFSET(ASZ!$AB$42,J553,IF(J555,-4,-3),12,12),IF(J555,12,11),FALSE))</f>
        <v>42123</v>
      </c>
      <c r="K562" s="743">
        <f ca="1">IF(K554,"",VLOOKUP($C562,OFFSET(ASZ!$AB$42,K553,IF(K555,-4,-3),12,12),IF(K555,12,11),FALSE))</f>
        <v>42130</v>
      </c>
      <c r="L562" s="743">
        <f ca="1">IF(L554,"",VLOOKUP($C562,OFFSET(ASZ!$AB$42,L553,IF(L555,-4,-3),12,12),IF(L555,12,11),FALSE))</f>
        <v>42137</v>
      </c>
      <c r="M562" s="743">
        <f ca="1">IF(M554,"",VLOOKUP($C562,OFFSET(ASZ!$AB$42,M553,IF(M555,-4,-3),12,12),IF(M555,12,11),FALSE))</f>
        <v>42144</v>
      </c>
      <c r="N562" s="743">
        <f ca="1">IF(N554,"",VLOOKUP($C562,OFFSET(ASZ!$AB$42,N553,IF(N555,-4,-3),12,12),IF(N555,12,11),FALSE))</f>
        <v>42151</v>
      </c>
      <c r="O562" s="743">
        <f ca="1">IF(O554,"",VLOOKUP($C562,OFFSET(ASZ!$AB$42,O553,IF(O555,-4,-3),12,12),IF(O555,12,11),FALSE))</f>
        <v>42158</v>
      </c>
      <c r="P562" s="743">
        <f ca="1">IF(P554,"",VLOOKUP($C562,OFFSET(ASZ!$AB$42,P553,IF(P555,-4,-3),12,12),IF(P555,12,11),FALSE))</f>
        <v>42165</v>
      </c>
      <c r="Q562" s="743">
        <f ca="1">IF(Q554,"",VLOOKUP($C562,OFFSET(ASZ!$AB$42,Q553,IF(Q555,-4,-3),12,12),IF(Q555,12,11),FALSE))</f>
        <v>42256</v>
      </c>
      <c r="R562" s="743">
        <f ca="1">IF(R554,"",VLOOKUP($C562,OFFSET(ASZ!$AB$42,R553,IF(R555,-4,-3),12,12),IF(R555,12,11),FALSE))</f>
        <v>42179</v>
      </c>
      <c r="S562" s="743">
        <f ca="1">IF(S554,"",VLOOKUP($C562,OFFSET(ASZ!$AB$42,S553,IF(S555,-4,-3),12,12),IF(S555,12,11),FALSE))</f>
        <v>42242</v>
      </c>
      <c r="T562" s="743">
        <f ca="1">IF(T554,"",VLOOKUP($C562,OFFSET(ASZ!$AB$42,T553,IF(T555,-4,-3),12,12),IF(T555,12,11),FALSE))</f>
        <v>42249</v>
      </c>
      <c r="U562" s="743">
        <f ca="1">IF(U554,"",VLOOKUP($C562,OFFSET(ASZ!$AB$42,U553,IF(U555,-4,-3),12,12),IF(U555,12,11),FALSE))</f>
        <v>42256</v>
      </c>
      <c r="V562" s="743">
        <f ca="1">IF(V554,"",VLOOKUP($C562,OFFSET(ASZ!$AB$42,V553,IF(V555,-4,-3),12,12),IF(V555,12,11),FALSE))</f>
        <v>42263</v>
      </c>
      <c r="W562" s="743">
        <f ca="1">IF(W554,"",VLOOKUP($C562,OFFSET(ASZ!$AB$42,W553,IF(W555,-4,-3),12,12),IF(W555,12,11),FALSE))</f>
        <v>42270</v>
      </c>
      <c r="X562" s="743">
        <f ca="1">IF(X554,"",VLOOKUP($C562,OFFSET(ASZ!$AB$42,X553,IF(X555,-4,-3),12,12),IF(X555,12,11),FALSE))</f>
        <v>42277</v>
      </c>
      <c r="Y562" s="743">
        <f ca="1">IF(Y554,"",VLOOKUP($C562,OFFSET(ASZ!$AB$42,Y553,IF(Y555,-4,-3),12,12),IF(Y555,12,11),FALSE))</f>
        <v>42284</v>
      </c>
      <c r="Z562" s="743">
        <f ca="1">IF(Z554,"",VLOOKUP($C562,OFFSET(ASZ!$AB$42,Z553,IF(Z555,-4,-3),12,12),IF(Z555,12,11),FALSE))</f>
        <v>42291</v>
      </c>
      <c r="AA562" s="743">
        <f ca="1">IF(AA554,"",VLOOKUP($C562,OFFSET(RCSOP!$AF$56,AA553,IF(AA555,-4,-3),14,12),IF(AA555,12,11),FALSE))</f>
        <v>42298</v>
      </c>
      <c r="AB562" s="743">
        <f ca="1">IF(AB554,"",VLOOKUP($C562,OFFSET(RCSOP!$AF$56,AB553,IF(AB555,-4,-3),14,12),IF(AB555,12,11),FALSE))</f>
        <v>42305</v>
      </c>
      <c r="AC562" s="743">
        <f ca="1">IF(AC554,"",VLOOKUP($C562,OFFSET(RCSOP!$AF$56,AC553,IF(AC555,-4,-3),14,12),IF(AC555,12,11),FALSE))</f>
        <v>42312</v>
      </c>
      <c r="AD562" s="743">
        <f ca="1">IF(AD554,"",VLOOKUP($C562,OFFSET(RCSOP!$AF$56,AD553,IF(AD555,-4,-3),14,12),IF(AD555,12,11),FALSE))</f>
        <v>42319</v>
      </c>
      <c r="AE562" s="743">
        <f ca="1">IF(AE554,"",VLOOKUP($C562,OFFSET(RCSOP!$AF$56,AE553,IF(AE555,-4,-3),14,12),IF(AE555,12,11),FALSE))</f>
        <v>42326</v>
      </c>
      <c r="AF562" s="743"/>
      <c r="AG562" s="743"/>
      <c r="AH562" s="743"/>
      <c r="AI562" s="743"/>
      <c r="AJ562" s="743"/>
      <c r="AK562" s="743"/>
      <c r="AL562" s="743"/>
      <c r="AM562" s="743"/>
      <c r="AN562" s="743"/>
      <c r="AO562" s="743"/>
      <c r="AP562" s="869" t="s">
        <v>518</v>
      </c>
      <c r="AV562" s="699"/>
      <c r="AW562" s="700">
        <v>4.9599999999999998E-2</v>
      </c>
    </row>
    <row r="563" spans="1:54" ht="12.75" customHeight="1" x14ac:dyDescent="0.2">
      <c r="A563" s="867"/>
      <c r="C563" s="224"/>
      <c r="D563" s="224" t="s">
        <v>519</v>
      </c>
      <c r="E563" s="692">
        <f ca="1">IF(E554,"",VLOOKUP($C562,OFFSET(ASZ!$AB$42,E553,IF(E555,-4,-3),12,3),3,FALSE))</f>
        <v>4</v>
      </c>
      <c r="F563" s="692">
        <f ca="1">IF(F554,"",VLOOKUP($C562,OFFSET(ASZ!$AB$42,F553,IF(F555,-4,-3),12,3),3,FALSE))</f>
        <v>1</v>
      </c>
      <c r="G563" s="692">
        <f ca="1">IF(G554,"",VLOOKUP($C562,OFFSET(ASZ!$AB$42,G553,IF(G555,-4,-3),12,3),3,FALSE))</f>
        <v>1</v>
      </c>
      <c r="H563" s="692">
        <f ca="1">IF(H554,"",VLOOKUP($C562,OFFSET(ASZ!$AB$42,H553,IF(H555,-4,-3),12,3),3,FALSE))</f>
        <v>6</v>
      </c>
      <c r="I563" s="692">
        <f ca="1">IF(I554,"",VLOOKUP($C562,OFFSET(ASZ!$AB$42,I553,IF(I555,-4,-3),12,3),3,FALSE))</f>
        <v>5</v>
      </c>
      <c r="J563" s="692">
        <f ca="1">IF(J554,"",VLOOKUP($C562,OFFSET(ASZ!$AB$42,J553,IF(J555,-4,-3),12,3),3,FALSE))</f>
        <v>5</v>
      </c>
      <c r="K563" s="692">
        <f ca="1">IF(K554,"",VLOOKUP($C562,OFFSET(ASZ!$AB$42,K553,IF(K555,-4,-3),12,3),3,FALSE))</f>
        <v>4</v>
      </c>
      <c r="L563" s="692">
        <f ca="1">IF(L554,"",VLOOKUP($C562,OFFSET(ASZ!$AB$42,L553,IF(L555,-4,-3),12,3),3,FALSE))</f>
        <v>3</v>
      </c>
      <c r="M563" s="692">
        <f ca="1">IF(M554,"",VLOOKUP($C562,OFFSET(ASZ!$AB$42,M553,IF(M555,-4,-3),12,3),3,FALSE))</f>
        <v>4</v>
      </c>
      <c r="N563" s="692" t="str">
        <f ca="1">IF(N554,"",VLOOKUP($C562,OFFSET(ASZ!$AB$42,N553,IF(N555,-4,-3),12,3),3,FALSE))</f>
        <v/>
      </c>
      <c r="O563" s="692">
        <f ca="1">IF(O554,"",VLOOKUP($C562,OFFSET(ASZ!$AB$42,O553,IF(O555,-4,-3),12,3),3,FALSE))</f>
        <v>3</v>
      </c>
      <c r="P563" s="692">
        <f ca="1">IF(P554,"",VLOOKUP($C562,OFFSET(ASZ!$AB$42,P553,IF(P555,-4,-3),12,3),3,FALSE))</f>
        <v>2</v>
      </c>
      <c r="Q563" s="692">
        <f ca="1">IF(Q554,"",VLOOKUP($C562,OFFSET(ASZ!$AB$42,Q553,IF(Q555,-4,-3),12,3),3,FALSE))</f>
        <v>1</v>
      </c>
      <c r="R563" s="692">
        <f ca="1">IF(R554,"",VLOOKUP($C562,OFFSET(ASZ!$AB$42,R553,IF(R555,-4,-3),12,3),3,FALSE))</f>
        <v>2</v>
      </c>
      <c r="S563" s="692">
        <f ca="1">IF(S554,"",VLOOKUP($C562,OFFSET(ASZ!$AB$42,S553,IF(S555,-4,-3),12,3),3,FALSE))</f>
        <v>6</v>
      </c>
      <c r="T563" s="692">
        <f ca="1">IF(T554,"",VLOOKUP($C562,OFFSET(ASZ!$AB$42,T553,IF(T555,-4,-3),12,3),3,FALSE))</f>
        <v>9</v>
      </c>
      <c r="U563" s="692">
        <f ca="1">IF(U554,"",VLOOKUP($C562,OFFSET(ASZ!$AB$42,U553,IF(U555,-4,-3),12,3),3,FALSE))</f>
        <v>3</v>
      </c>
      <c r="V563" s="692">
        <f ca="1">IF(V554,"",VLOOKUP($C562,OFFSET(ASZ!$AB$42,V553,IF(V555,-4,-3),12,3),3,FALSE))</f>
        <v>5</v>
      </c>
      <c r="W563" s="692">
        <f ca="1">IF(W554,"",VLOOKUP($C562,OFFSET(ASZ!$AB$42,W553,IF(W555,-4,-3),12,3),3,FALSE))</f>
        <v>5</v>
      </c>
      <c r="X563" s="692">
        <f ca="1">IF(X554,"",VLOOKUP($C562,OFFSET(ASZ!$AB$42,X553,IF(X555,-4,-3),12,3),3,FALSE))</f>
        <v>3</v>
      </c>
      <c r="Y563" s="692" t="str">
        <f ca="1">IF(Y554,"",VLOOKUP($C562,OFFSET(ASZ!$AB$42,Y553,IF(Y555,-4,-3),12,3),3,FALSE))</f>
        <v/>
      </c>
      <c r="Z563" s="692">
        <f ca="1">IF(Z554,"",VLOOKUP($C562,OFFSET(ASZ!$AB$42,Z553,IF(Z555,-4,-3),12,3),3,FALSE))</f>
        <v>1</v>
      </c>
      <c r="AA563" s="692">
        <f ca="1">IF(AA554,"",VLOOKUP($C562,OFFSET(RCSOP!$AF$56,AA553,IF(AA555,-4,-3),14,3),3,FALSE))</f>
        <v>3</v>
      </c>
      <c r="AB563" s="692">
        <f ca="1">IF(AB554,"",VLOOKUP($C562,OFFSET(RCSOP!$AF$56,AB553,IF(AB555,-4,-3),14,3),3,FALSE))</f>
        <v>5</v>
      </c>
      <c r="AC563" s="692">
        <f ca="1">IF(AC554,"",VLOOKUP($C562,OFFSET(RCSOP!$AF$56,AC553,IF(AC555,-4,-3),14,3),3,FALSE))</f>
        <v>0</v>
      </c>
      <c r="AD563" s="692">
        <f ca="1">IF(AD554,"",VLOOKUP($C562,OFFSET(RCSOP!$AF$56,AD553,IF(AD555,-4,-3),14,3),3,FALSE))</f>
        <v>3</v>
      </c>
      <c r="AE563" s="692">
        <f ca="1">IF(AE554,"",VLOOKUP($C562,OFFSET(RCSOP!$AF$56,AE553,IF(AE555,-4,-3),14,3),3,FALSE))</f>
        <v>0</v>
      </c>
      <c r="AF563" s="692"/>
      <c r="AG563" s="692"/>
      <c r="AH563" s="692"/>
      <c r="AI563" s="692"/>
      <c r="AJ563" s="692"/>
      <c r="AK563" s="692"/>
      <c r="AL563" s="692"/>
      <c r="AM563" s="692"/>
      <c r="AN563" s="692"/>
      <c r="AO563" s="692"/>
      <c r="AP563" s="869"/>
      <c r="AQ563" s="683">
        <f ca="1">IF(SUM(D563:AO563)=0,"",SUM(D563:AO563))</f>
        <v>84</v>
      </c>
      <c r="AV563" s="699"/>
      <c r="AW563" s="700">
        <v>4.9700000000000001E-2</v>
      </c>
    </row>
    <row r="564" spans="1:54" ht="12.75" customHeight="1" x14ac:dyDescent="0.2">
      <c r="A564" s="867"/>
      <c r="C564" s="737"/>
      <c r="D564" s="737" t="s">
        <v>520</v>
      </c>
      <c r="E564" s="739"/>
      <c r="F564" s="740"/>
      <c r="G564" s="740"/>
      <c r="H564" s="740"/>
      <c r="I564" s="740"/>
      <c r="J564" s="740"/>
      <c r="K564" s="740"/>
      <c r="L564" s="740"/>
      <c r="M564" s="740"/>
      <c r="N564" s="740"/>
      <c r="O564" s="740"/>
      <c r="P564" s="740"/>
      <c r="Q564" s="740"/>
      <c r="R564" s="740"/>
      <c r="S564" s="740"/>
      <c r="T564" s="740"/>
      <c r="U564" s="740"/>
      <c r="V564" s="740"/>
      <c r="W564" s="740"/>
      <c r="X564" s="740"/>
      <c r="Y564" s="740"/>
      <c r="Z564" s="740"/>
      <c r="AA564" s="740"/>
      <c r="AB564" s="740"/>
      <c r="AC564" s="740"/>
      <c r="AD564" s="740"/>
      <c r="AE564" s="740"/>
      <c r="AF564" s="740"/>
      <c r="AG564" s="740"/>
      <c r="AH564" s="740"/>
      <c r="AI564" s="740"/>
      <c r="AJ564" s="740"/>
      <c r="AK564" s="740"/>
      <c r="AL564" s="740"/>
      <c r="AM564" s="740"/>
      <c r="AN564" s="740"/>
      <c r="AO564" s="741"/>
      <c r="AP564" s="869"/>
      <c r="AQ564" s="762" t="str">
        <f>IF(SUM(D564:AP564)=0,"",SUM(D564:AP564))</f>
        <v/>
      </c>
      <c r="AV564" s="699"/>
      <c r="AW564" s="700">
        <v>4.9799999999999997E-2</v>
      </c>
    </row>
    <row r="565" spans="1:54" ht="12.75" customHeight="1" x14ac:dyDescent="0.2">
      <c r="A565" s="867"/>
      <c r="C565" s="738"/>
      <c r="D565" s="738" t="s">
        <v>521</v>
      </c>
      <c r="E565" s="742" t="str">
        <f t="shared" ref="E565:AE565" ca="1" si="61">IF(E563="","",IF(SUM(E567:E596)+E564=E563,"–",SUM(E567:E596)+E564-E563))</f>
        <v>–</v>
      </c>
      <c r="F565" s="742" t="str">
        <f t="shared" ca="1" si="61"/>
        <v>–</v>
      </c>
      <c r="G565" s="742" t="str">
        <f t="shared" ca="1" si="61"/>
        <v>–</v>
      </c>
      <c r="H565" s="742" t="str">
        <f t="shared" ca="1" si="61"/>
        <v>–</v>
      </c>
      <c r="I565" s="742" t="str">
        <f t="shared" ca="1" si="61"/>
        <v>–</v>
      </c>
      <c r="J565" s="742" t="str">
        <f t="shared" ca="1" si="61"/>
        <v>–</v>
      </c>
      <c r="K565" s="742" t="str">
        <f t="shared" ca="1" si="61"/>
        <v>–</v>
      </c>
      <c r="L565" s="742" t="str">
        <f t="shared" ca="1" si="61"/>
        <v>–</v>
      </c>
      <c r="M565" s="742" t="str">
        <f t="shared" ca="1" si="61"/>
        <v>–</v>
      </c>
      <c r="N565" s="742" t="str">
        <f t="shared" ca="1" si="61"/>
        <v/>
      </c>
      <c r="O565" s="742" t="str">
        <f t="shared" ca="1" si="61"/>
        <v>–</v>
      </c>
      <c r="P565" s="742" t="str">
        <f t="shared" ca="1" si="61"/>
        <v>–</v>
      </c>
      <c r="Q565" s="742" t="str">
        <f t="shared" ca="1" si="61"/>
        <v>–</v>
      </c>
      <c r="R565" s="742" t="str">
        <f t="shared" ca="1" si="61"/>
        <v>–</v>
      </c>
      <c r="S565" s="742" t="str">
        <f t="shared" ca="1" si="61"/>
        <v>–</v>
      </c>
      <c r="T565" s="742" t="str">
        <f t="shared" ca="1" si="61"/>
        <v>–</v>
      </c>
      <c r="U565" s="742" t="str">
        <f t="shared" ca="1" si="61"/>
        <v>–</v>
      </c>
      <c r="V565" s="742" t="str">
        <f t="shared" ca="1" si="61"/>
        <v>–</v>
      </c>
      <c r="W565" s="742" t="str">
        <f t="shared" ca="1" si="61"/>
        <v>–</v>
      </c>
      <c r="X565" s="742" t="str">
        <f t="shared" ca="1" si="61"/>
        <v>–</v>
      </c>
      <c r="Y565" s="742" t="str">
        <f t="shared" ca="1" si="61"/>
        <v/>
      </c>
      <c r="Z565" s="742" t="str">
        <f t="shared" ca="1" si="61"/>
        <v>–</v>
      </c>
      <c r="AA565" s="742" t="str">
        <f t="shared" ca="1" si="61"/>
        <v>–</v>
      </c>
      <c r="AB565" s="742" t="str">
        <f t="shared" ca="1" si="61"/>
        <v>–</v>
      </c>
      <c r="AC565" s="742" t="str">
        <f t="shared" ca="1" si="61"/>
        <v>–</v>
      </c>
      <c r="AD565" s="742" t="str">
        <f t="shared" ca="1" si="61"/>
        <v>–</v>
      </c>
      <c r="AE565" s="742" t="str">
        <f t="shared" ca="1" si="61"/>
        <v>–</v>
      </c>
      <c r="AF565" s="742"/>
      <c r="AG565" s="742"/>
      <c r="AH565" s="742"/>
      <c r="AI565" s="742"/>
      <c r="AJ565" s="742"/>
      <c r="AK565" s="742"/>
      <c r="AL565" s="742"/>
      <c r="AM565" s="742"/>
      <c r="AN565" s="742"/>
      <c r="AO565" s="742"/>
      <c r="AP565" s="691" t="s">
        <v>522</v>
      </c>
      <c r="AS565" s="761" t="s">
        <v>285</v>
      </c>
      <c r="AV565" s="699"/>
      <c r="AW565" s="700">
        <v>4.99E-2</v>
      </c>
    </row>
    <row r="566" spans="1:54" ht="4.5" customHeight="1" x14ac:dyDescent="0.2">
      <c r="A566" s="867"/>
      <c r="AV566" s="699"/>
      <c r="AW566" s="700">
        <v>0.05</v>
      </c>
    </row>
    <row r="567" spans="1:54" ht="12.75" customHeight="1" x14ac:dyDescent="0.2">
      <c r="A567" s="867"/>
      <c r="C567" s="755" t="s">
        <v>566</v>
      </c>
      <c r="D567" s="756">
        <v>5</v>
      </c>
      <c r="E567" s="746"/>
      <c r="F567" s="695"/>
      <c r="G567" s="695"/>
      <c r="H567" s="695"/>
      <c r="I567" s="695">
        <v>1</v>
      </c>
      <c r="J567" s="695"/>
      <c r="K567" s="695"/>
      <c r="L567" s="695"/>
      <c r="M567" s="695"/>
      <c r="N567" s="695"/>
      <c r="O567" s="695"/>
      <c r="P567" s="695"/>
      <c r="Q567" s="695">
        <v>1</v>
      </c>
      <c r="R567" s="695"/>
      <c r="S567" s="695">
        <v>1</v>
      </c>
      <c r="T567" s="695">
        <v>1</v>
      </c>
      <c r="U567" s="695">
        <v>2</v>
      </c>
      <c r="V567" s="695"/>
      <c r="W567" s="695"/>
      <c r="X567" s="695"/>
      <c r="Y567" s="695"/>
      <c r="Z567" s="695"/>
      <c r="AA567" s="695">
        <v>1</v>
      </c>
      <c r="AB567" s="695">
        <v>1</v>
      </c>
      <c r="AC567" s="695"/>
      <c r="AD567" s="695"/>
      <c r="AE567" s="695"/>
      <c r="AF567" s="695"/>
      <c r="AG567" s="695"/>
      <c r="AH567" s="695"/>
      <c r="AI567" s="695"/>
      <c r="AJ567" s="695"/>
      <c r="AK567" s="695"/>
      <c r="AL567" s="695"/>
      <c r="AM567" s="695"/>
      <c r="AN567" s="695"/>
      <c r="AO567" s="696"/>
      <c r="AP567" s="697"/>
      <c r="AQ567" s="763">
        <f>IF(SUM(E567:AP567)=0,"",SUM(E567:AP567))</f>
        <v>8</v>
      </c>
      <c r="AS567" s="267"/>
      <c r="AV567" s="699"/>
      <c r="AW567" s="700">
        <v>5.0099999999999999E-2</v>
      </c>
      <c r="AX567" s="382">
        <f t="shared" ref="AX567:AX596" si="62">IF(OR(C567="",AQ567=""),0,AQ567+AW567)</f>
        <v>8.0501000000000005</v>
      </c>
      <c r="AY567" s="379" t="str">
        <f ca="1">C562</f>
        <v>ZRÍNYIGYÖNGYE</v>
      </c>
      <c r="AZ567" s="384" t="str">
        <f t="shared" ref="AZ567:AZ596" si="63">C567</f>
        <v>Török János</v>
      </c>
      <c r="BA567" s="642"/>
    </row>
    <row r="568" spans="1:54" ht="12.75" customHeight="1" x14ac:dyDescent="0.2">
      <c r="A568" s="867"/>
      <c r="C568" s="758" t="s">
        <v>646</v>
      </c>
      <c r="D568" s="757">
        <v>6</v>
      </c>
      <c r="E568" s="747"/>
      <c r="F568" s="703"/>
      <c r="G568" s="703"/>
      <c r="H568" s="703"/>
      <c r="I568" s="703"/>
      <c r="J568" s="703"/>
      <c r="K568" s="703"/>
      <c r="L568" s="703"/>
      <c r="M568" s="703"/>
      <c r="N568" s="703"/>
      <c r="O568" s="703"/>
      <c r="P568" s="703"/>
      <c r="Q568" s="703"/>
      <c r="R568" s="703"/>
      <c r="S568" s="703"/>
      <c r="T568" s="703"/>
      <c r="U568" s="703"/>
      <c r="V568" s="703"/>
      <c r="W568" s="703"/>
      <c r="X568" s="703"/>
      <c r="Y568" s="703"/>
      <c r="Z568" s="703"/>
      <c r="AA568" s="703"/>
      <c r="AB568" s="703"/>
      <c r="AC568" s="703"/>
      <c r="AD568" s="703"/>
      <c r="AE568" s="703"/>
      <c r="AF568" s="703"/>
      <c r="AG568" s="703"/>
      <c r="AH568" s="703"/>
      <c r="AI568" s="703"/>
      <c r="AJ568" s="703"/>
      <c r="AK568" s="703"/>
      <c r="AL568" s="703"/>
      <c r="AM568" s="703"/>
      <c r="AN568" s="703"/>
      <c r="AO568" s="704"/>
      <c r="AP568" s="705"/>
      <c r="AQ568" s="763" t="str">
        <f t="shared" ref="AQ568:AQ596" si="64">IF(SUM(E568:AP568)=0,"",SUM(E568:AP568))</f>
        <v/>
      </c>
      <c r="AS568" s="268"/>
      <c r="AV568" s="699"/>
      <c r="AW568" s="700">
        <v>5.0200000000000002E-2</v>
      </c>
      <c r="AX568" s="382">
        <f t="shared" si="62"/>
        <v>0</v>
      </c>
      <c r="AY568" s="379" t="str">
        <f t="shared" ref="AY568:AY596" ca="1" si="65">AY567</f>
        <v>ZRÍNYIGYÖNGYE</v>
      </c>
      <c r="AZ568" s="384" t="str">
        <f t="shared" si="63"/>
        <v>Horváth Tamás</v>
      </c>
      <c r="BA568" s="642"/>
    </row>
    <row r="569" spans="1:54" ht="12.75" customHeight="1" x14ac:dyDescent="0.2">
      <c r="A569" s="867"/>
      <c r="C569" s="758" t="s">
        <v>645</v>
      </c>
      <c r="D569" s="757">
        <v>7</v>
      </c>
      <c r="E569" s="747"/>
      <c r="F569" s="703"/>
      <c r="G569" s="703"/>
      <c r="H569" s="703"/>
      <c r="I569" s="703"/>
      <c r="J569" s="703"/>
      <c r="K569" s="703"/>
      <c r="L569" s="703"/>
      <c r="M569" s="703"/>
      <c r="N569" s="703"/>
      <c r="O569" s="703"/>
      <c r="P569" s="703">
        <v>1</v>
      </c>
      <c r="Q569" s="703"/>
      <c r="R569" s="703"/>
      <c r="S569" s="703"/>
      <c r="T569" s="703">
        <v>1</v>
      </c>
      <c r="U569" s="703"/>
      <c r="V569" s="703">
        <v>1</v>
      </c>
      <c r="W569" s="703"/>
      <c r="X569" s="703"/>
      <c r="Y569" s="703"/>
      <c r="Z569" s="703"/>
      <c r="AA569" s="703"/>
      <c r="AB569" s="703"/>
      <c r="AC569" s="703"/>
      <c r="AD569" s="703"/>
      <c r="AE569" s="703"/>
      <c r="AF569" s="703"/>
      <c r="AG569" s="703"/>
      <c r="AH569" s="703"/>
      <c r="AI569" s="703"/>
      <c r="AJ569" s="703"/>
      <c r="AK569" s="703"/>
      <c r="AL569" s="703"/>
      <c r="AM569" s="703"/>
      <c r="AN569" s="703"/>
      <c r="AO569" s="704"/>
      <c r="AP569" s="705"/>
      <c r="AQ569" s="763">
        <f t="shared" si="64"/>
        <v>3</v>
      </c>
      <c r="AS569" s="268"/>
      <c r="AV569" s="699"/>
      <c r="AW569" s="700">
        <v>5.0299999999999997E-2</v>
      </c>
      <c r="AX569" s="382">
        <f t="shared" si="62"/>
        <v>3.0503</v>
      </c>
      <c r="AY569" s="379" t="str">
        <f t="shared" ca="1" si="65"/>
        <v>ZRÍNYIGYÖNGYE</v>
      </c>
      <c r="AZ569" s="384" t="str">
        <f t="shared" si="63"/>
        <v>Krausz Bálint</v>
      </c>
      <c r="BA569" s="642"/>
    </row>
    <row r="570" spans="1:54" ht="12.75" customHeight="1" x14ac:dyDescent="0.2">
      <c r="A570" s="867"/>
      <c r="C570" s="758" t="s">
        <v>567</v>
      </c>
      <c r="D570" s="757">
        <v>10</v>
      </c>
      <c r="E570" s="747"/>
      <c r="F570" s="703"/>
      <c r="G570" s="703"/>
      <c r="H570" s="703">
        <v>1</v>
      </c>
      <c r="I570" s="703"/>
      <c r="J570" s="703"/>
      <c r="K570" s="703"/>
      <c r="L570" s="703"/>
      <c r="M570" s="703"/>
      <c r="N570" s="703"/>
      <c r="O570" s="703"/>
      <c r="P570" s="703"/>
      <c r="Q570" s="703"/>
      <c r="R570" s="703"/>
      <c r="S570" s="703"/>
      <c r="T570" s="703">
        <v>2</v>
      </c>
      <c r="U570" s="703"/>
      <c r="V570" s="703">
        <v>2</v>
      </c>
      <c r="W570" s="703"/>
      <c r="X570" s="703"/>
      <c r="Y570" s="703"/>
      <c r="Z570" s="703"/>
      <c r="AA570" s="703"/>
      <c r="AB570" s="703"/>
      <c r="AC570" s="703"/>
      <c r="AD570" s="703"/>
      <c r="AE570" s="703"/>
      <c r="AF570" s="703"/>
      <c r="AG570" s="703"/>
      <c r="AH570" s="703"/>
      <c r="AI570" s="703"/>
      <c r="AJ570" s="703"/>
      <c r="AK570" s="703"/>
      <c r="AL570" s="703"/>
      <c r="AM570" s="703"/>
      <c r="AN570" s="703"/>
      <c r="AO570" s="704"/>
      <c r="AP570" s="705"/>
      <c r="AQ570" s="763">
        <f t="shared" si="64"/>
        <v>5</v>
      </c>
      <c r="AS570" s="268"/>
      <c r="AV570" s="699"/>
      <c r="AW570" s="700">
        <v>5.04E-2</v>
      </c>
      <c r="AX570" s="382">
        <f t="shared" si="62"/>
        <v>5.0503999999999998</v>
      </c>
      <c r="AY570" s="379" t="str">
        <f t="shared" ca="1" si="65"/>
        <v>ZRÍNYIGYÖNGYE</v>
      </c>
      <c r="AZ570" s="384" t="str">
        <f t="shared" si="63"/>
        <v>Baran János</v>
      </c>
      <c r="BA570" s="642"/>
    </row>
    <row r="571" spans="1:54" ht="12.75" customHeight="1" x14ac:dyDescent="0.2">
      <c r="A571" s="867"/>
      <c r="C571" s="758" t="s">
        <v>568</v>
      </c>
      <c r="D571" s="757">
        <v>13</v>
      </c>
      <c r="E571" s="747"/>
      <c r="F571" s="703"/>
      <c r="G571" s="703"/>
      <c r="H571" s="703">
        <v>1</v>
      </c>
      <c r="I571" s="703"/>
      <c r="J571" s="703">
        <v>3</v>
      </c>
      <c r="K571" s="703"/>
      <c r="L571" s="703">
        <v>3</v>
      </c>
      <c r="M571" s="703">
        <v>3</v>
      </c>
      <c r="N571" s="703"/>
      <c r="O571" s="703"/>
      <c r="P571" s="703"/>
      <c r="Q571" s="703"/>
      <c r="R571" s="703">
        <v>1</v>
      </c>
      <c r="S571" s="703">
        <v>2</v>
      </c>
      <c r="T571" s="703">
        <v>1</v>
      </c>
      <c r="U571" s="703"/>
      <c r="V571" s="703"/>
      <c r="W571" s="703">
        <v>2</v>
      </c>
      <c r="X571" s="703">
        <v>1</v>
      </c>
      <c r="Y571" s="703"/>
      <c r="Z571" s="703"/>
      <c r="AA571" s="703"/>
      <c r="AB571" s="703">
        <v>1</v>
      </c>
      <c r="AC571" s="703"/>
      <c r="AD571" s="703">
        <v>1</v>
      </c>
      <c r="AE571" s="703"/>
      <c r="AF571" s="703"/>
      <c r="AG571" s="703"/>
      <c r="AH571" s="703"/>
      <c r="AI571" s="703"/>
      <c r="AJ571" s="703"/>
      <c r="AK571" s="703"/>
      <c r="AL571" s="703"/>
      <c r="AM571" s="703"/>
      <c r="AN571" s="703"/>
      <c r="AO571" s="704"/>
      <c r="AP571" s="705"/>
      <c r="AQ571" s="763">
        <f t="shared" si="64"/>
        <v>19</v>
      </c>
      <c r="AS571" s="268"/>
      <c r="AV571" s="699"/>
      <c r="AW571" s="700">
        <v>5.0500000000000003E-2</v>
      </c>
      <c r="AX571" s="382">
        <f t="shared" si="62"/>
        <v>19.0505</v>
      </c>
      <c r="AY571" s="379" t="str">
        <f t="shared" ca="1" si="65"/>
        <v>ZRÍNYIGYÖNGYE</v>
      </c>
      <c r="AZ571" s="384" t="str">
        <f t="shared" si="63"/>
        <v>Holubák Tamás</v>
      </c>
      <c r="BA571" s="642"/>
    </row>
    <row r="572" spans="1:54" ht="12.75" customHeight="1" x14ac:dyDescent="0.2">
      <c r="A572" s="867"/>
      <c r="C572" s="758" t="s">
        <v>569</v>
      </c>
      <c r="D572" s="757">
        <v>14</v>
      </c>
      <c r="E572" s="747">
        <v>1</v>
      </c>
      <c r="F572" s="703"/>
      <c r="G572" s="703"/>
      <c r="H572" s="703"/>
      <c r="I572" s="703">
        <v>2</v>
      </c>
      <c r="J572" s="703"/>
      <c r="K572" s="703">
        <v>2</v>
      </c>
      <c r="L572" s="703"/>
      <c r="M572" s="703">
        <v>1</v>
      </c>
      <c r="N572" s="703"/>
      <c r="O572" s="703"/>
      <c r="P572" s="703">
        <v>1</v>
      </c>
      <c r="Q572" s="703"/>
      <c r="R572" s="703"/>
      <c r="S572" s="703">
        <v>1</v>
      </c>
      <c r="T572" s="703">
        <v>2</v>
      </c>
      <c r="U572" s="703"/>
      <c r="V572" s="703"/>
      <c r="W572" s="703">
        <v>1</v>
      </c>
      <c r="X572" s="703"/>
      <c r="Y572" s="703"/>
      <c r="Z572" s="703"/>
      <c r="AA572" s="703">
        <v>1</v>
      </c>
      <c r="AB572" s="703">
        <v>1</v>
      </c>
      <c r="AC572" s="703"/>
      <c r="AD572" s="703">
        <v>1</v>
      </c>
      <c r="AE572" s="703"/>
      <c r="AF572" s="703"/>
      <c r="AG572" s="703"/>
      <c r="AH572" s="703"/>
      <c r="AI572" s="703"/>
      <c r="AJ572" s="703"/>
      <c r="AK572" s="703"/>
      <c r="AL572" s="703"/>
      <c r="AM572" s="703"/>
      <c r="AN572" s="703"/>
      <c r="AO572" s="704"/>
      <c r="AP572" s="705"/>
      <c r="AQ572" s="763">
        <f t="shared" si="64"/>
        <v>14</v>
      </c>
      <c r="AS572" s="268"/>
      <c r="AV572" s="699"/>
      <c r="AW572" s="700">
        <v>5.0599999999999999E-2</v>
      </c>
      <c r="AX572" s="382">
        <f t="shared" si="62"/>
        <v>14.050599999999999</v>
      </c>
      <c r="AY572" s="379" t="str">
        <f t="shared" ca="1" si="65"/>
        <v>ZRÍNYIGYÖNGYE</v>
      </c>
      <c r="AZ572" s="384" t="str">
        <f t="shared" si="63"/>
        <v>Szívós Sándor</v>
      </c>
      <c r="BA572" s="642"/>
    </row>
    <row r="573" spans="1:54" ht="12.75" customHeight="1" x14ac:dyDescent="0.2">
      <c r="A573" s="867"/>
      <c r="C573" s="758" t="s">
        <v>647</v>
      </c>
      <c r="D573" s="757">
        <v>17</v>
      </c>
      <c r="E573" s="747"/>
      <c r="F573" s="703"/>
      <c r="G573" s="703"/>
      <c r="H573" s="703"/>
      <c r="I573" s="703"/>
      <c r="J573" s="703"/>
      <c r="K573" s="703"/>
      <c r="L573" s="703"/>
      <c r="M573" s="703"/>
      <c r="N573" s="703"/>
      <c r="O573" s="703"/>
      <c r="P573" s="703"/>
      <c r="Q573" s="703"/>
      <c r="R573" s="703"/>
      <c r="S573" s="703"/>
      <c r="T573" s="703"/>
      <c r="U573" s="703"/>
      <c r="V573" s="703"/>
      <c r="W573" s="703"/>
      <c r="X573" s="703"/>
      <c r="Y573" s="703"/>
      <c r="Z573" s="703"/>
      <c r="AA573" s="703"/>
      <c r="AB573" s="703"/>
      <c r="AC573" s="703"/>
      <c r="AD573" s="703"/>
      <c r="AE573" s="703"/>
      <c r="AF573" s="703"/>
      <c r="AG573" s="703"/>
      <c r="AH573" s="703"/>
      <c r="AI573" s="703"/>
      <c r="AJ573" s="703"/>
      <c r="AK573" s="703"/>
      <c r="AL573" s="703"/>
      <c r="AM573" s="703"/>
      <c r="AN573" s="703"/>
      <c r="AO573" s="704"/>
      <c r="AP573" s="705"/>
      <c r="AQ573" s="763" t="str">
        <f t="shared" si="64"/>
        <v/>
      </c>
      <c r="AS573" s="268"/>
      <c r="AV573" s="699"/>
      <c r="AW573" s="700">
        <v>5.0700000000000002E-2</v>
      </c>
      <c r="AX573" s="382">
        <f t="shared" si="62"/>
        <v>0</v>
      </c>
      <c r="AY573" s="379" t="str">
        <f t="shared" ca="1" si="65"/>
        <v>ZRÍNYIGYÖNGYE</v>
      </c>
      <c r="AZ573" s="384" t="str">
        <f t="shared" si="63"/>
        <v>Jakab Árpád</v>
      </c>
      <c r="BA573" s="642"/>
    </row>
    <row r="574" spans="1:54" ht="12.75" customHeight="1" x14ac:dyDescent="0.2">
      <c r="A574" s="867"/>
      <c r="C574" s="758" t="s">
        <v>570</v>
      </c>
      <c r="D574" s="757">
        <v>20</v>
      </c>
      <c r="E574" s="747"/>
      <c r="F574" s="703"/>
      <c r="G574" s="703"/>
      <c r="H574" s="703">
        <v>1</v>
      </c>
      <c r="I574" s="703"/>
      <c r="J574" s="703"/>
      <c r="K574" s="703"/>
      <c r="L574" s="703"/>
      <c r="M574" s="703"/>
      <c r="N574" s="703"/>
      <c r="O574" s="703"/>
      <c r="P574" s="703"/>
      <c r="Q574" s="703"/>
      <c r="R574" s="703"/>
      <c r="S574" s="703"/>
      <c r="T574" s="703">
        <v>1</v>
      </c>
      <c r="U574" s="703">
        <v>1</v>
      </c>
      <c r="V574" s="703">
        <v>1</v>
      </c>
      <c r="W574" s="703"/>
      <c r="X574" s="703">
        <v>1</v>
      </c>
      <c r="Y574" s="703"/>
      <c r="Z574" s="703"/>
      <c r="AA574" s="703"/>
      <c r="AB574" s="703"/>
      <c r="AC574" s="703"/>
      <c r="AD574" s="703"/>
      <c r="AE574" s="703"/>
      <c r="AF574" s="703"/>
      <c r="AG574" s="703"/>
      <c r="AH574" s="703"/>
      <c r="AI574" s="703"/>
      <c r="AJ574" s="703"/>
      <c r="AK574" s="703"/>
      <c r="AL574" s="703"/>
      <c r="AM574" s="703"/>
      <c r="AN574" s="703"/>
      <c r="AO574" s="704"/>
      <c r="AP574" s="705"/>
      <c r="AQ574" s="763">
        <f t="shared" si="64"/>
        <v>5</v>
      </c>
      <c r="AS574" s="268"/>
      <c r="AV574" s="699"/>
      <c r="AW574" s="700">
        <v>5.0799999999999998E-2</v>
      </c>
      <c r="AX574" s="382">
        <f t="shared" si="62"/>
        <v>5.0507999999999997</v>
      </c>
      <c r="AY574" s="379" t="str">
        <f t="shared" ca="1" si="65"/>
        <v>ZRÍNYIGYÖNGYE</v>
      </c>
      <c r="AZ574" s="384" t="str">
        <f t="shared" si="63"/>
        <v>Löffler András</v>
      </c>
      <c r="BA574" s="642"/>
    </row>
    <row r="575" spans="1:54" ht="12.75" customHeight="1" x14ac:dyDescent="0.2">
      <c r="A575" s="867"/>
      <c r="C575" s="758" t="s">
        <v>571</v>
      </c>
      <c r="D575" s="757">
        <v>21</v>
      </c>
      <c r="E575" s="747"/>
      <c r="F575" s="703"/>
      <c r="G575" s="703"/>
      <c r="H575" s="703">
        <v>2</v>
      </c>
      <c r="I575" s="703"/>
      <c r="J575" s="703"/>
      <c r="K575" s="703">
        <v>1</v>
      </c>
      <c r="L575" s="703"/>
      <c r="M575" s="703"/>
      <c r="N575" s="703"/>
      <c r="O575" s="703"/>
      <c r="P575" s="703"/>
      <c r="Q575" s="703"/>
      <c r="R575" s="703"/>
      <c r="S575" s="703">
        <v>2</v>
      </c>
      <c r="T575" s="703"/>
      <c r="U575" s="703"/>
      <c r="V575" s="703"/>
      <c r="W575" s="703">
        <v>2</v>
      </c>
      <c r="X575" s="703">
        <v>1</v>
      </c>
      <c r="Y575" s="703"/>
      <c r="Z575" s="703"/>
      <c r="AA575" s="703">
        <v>1</v>
      </c>
      <c r="AB575" s="703"/>
      <c r="AC575" s="703"/>
      <c r="AD575" s="703">
        <v>1</v>
      </c>
      <c r="AE575" s="703"/>
      <c r="AF575" s="703"/>
      <c r="AG575" s="703"/>
      <c r="AH575" s="703"/>
      <c r="AI575" s="703"/>
      <c r="AJ575" s="703"/>
      <c r="AK575" s="703"/>
      <c r="AL575" s="703"/>
      <c r="AM575" s="703"/>
      <c r="AN575" s="703"/>
      <c r="AO575" s="704"/>
      <c r="AP575" s="705"/>
      <c r="AQ575" s="763">
        <f t="shared" si="64"/>
        <v>10</v>
      </c>
      <c r="AS575" s="268"/>
      <c r="AV575" s="699"/>
      <c r="AW575" s="700">
        <v>5.0900000000000001E-2</v>
      </c>
      <c r="AX575" s="382">
        <f t="shared" si="62"/>
        <v>10.0509</v>
      </c>
      <c r="AY575" s="379" t="str">
        <f t="shared" ca="1" si="65"/>
        <v>ZRÍNYIGYÖNGYE</v>
      </c>
      <c r="AZ575" s="384" t="str">
        <f t="shared" si="63"/>
        <v>Horváth László</v>
      </c>
      <c r="BA575" s="642"/>
    </row>
    <row r="576" spans="1:54" ht="12.75" customHeight="1" x14ac:dyDescent="0.2">
      <c r="A576" s="867"/>
      <c r="C576" s="758" t="s">
        <v>572</v>
      </c>
      <c r="D576" s="757">
        <v>22</v>
      </c>
      <c r="E576" s="747"/>
      <c r="F576" s="703"/>
      <c r="G576" s="703"/>
      <c r="H576" s="703"/>
      <c r="I576" s="703"/>
      <c r="J576" s="703"/>
      <c r="K576" s="703"/>
      <c r="L576" s="703"/>
      <c r="M576" s="703"/>
      <c r="N576" s="703"/>
      <c r="O576" s="703"/>
      <c r="P576" s="703"/>
      <c r="Q576" s="703"/>
      <c r="R576" s="703">
        <v>1</v>
      </c>
      <c r="S576" s="703"/>
      <c r="T576" s="703"/>
      <c r="U576" s="703"/>
      <c r="V576" s="703"/>
      <c r="W576" s="703"/>
      <c r="X576" s="703"/>
      <c r="Y576" s="703"/>
      <c r="Z576" s="703"/>
      <c r="AA576" s="703"/>
      <c r="AB576" s="703"/>
      <c r="AC576" s="703"/>
      <c r="AD576" s="703"/>
      <c r="AE576" s="703"/>
      <c r="AF576" s="703"/>
      <c r="AG576" s="703"/>
      <c r="AH576" s="703"/>
      <c r="AI576" s="703"/>
      <c r="AJ576" s="703"/>
      <c r="AK576" s="703"/>
      <c r="AL576" s="703"/>
      <c r="AM576" s="703"/>
      <c r="AN576" s="703"/>
      <c r="AO576" s="704"/>
      <c r="AP576" s="705"/>
      <c r="AQ576" s="763">
        <f t="shared" si="64"/>
        <v>1</v>
      </c>
      <c r="AS576" s="268"/>
      <c r="AV576" s="699"/>
      <c r="AW576" s="700">
        <v>5.0999999999999997E-2</v>
      </c>
      <c r="AX576" s="382">
        <f t="shared" si="62"/>
        <v>1.0509999999999999</v>
      </c>
      <c r="AY576" s="379" t="str">
        <f t="shared" ca="1" si="65"/>
        <v>ZRÍNYIGYÖNGYE</v>
      </c>
      <c r="AZ576" s="384" t="str">
        <f t="shared" si="63"/>
        <v>Király Ákos</v>
      </c>
      <c r="BA576" s="642"/>
    </row>
    <row r="577" spans="1:53" ht="12.75" customHeight="1" x14ac:dyDescent="0.2">
      <c r="A577" s="867"/>
      <c r="C577" s="758" t="s">
        <v>573</v>
      </c>
      <c r="D577" s="757">
        <v>28</v>
      </c>
      <c r="E577" s="747"/>
      <c r="F577" s="703">
        <v>1</v>
      </c>
      <c r="G577" s="703"/>
      <c r="H577" s="703"/>
      <c r="I577" s="703"/>
      <c r="J577" s="703">
        <v>2</v>
      </c>
      <c r="K577" s="703">
        <v>1</v>
      </c>
      <c r="L577" s="703"/>
      <c r="M577" s="703"/>
      <c r="N577" s="703"/>
      <c r="O577" s="703"/>
      <c r="P577" s="703"/>
      <c r="Q577" s="703"/>
      <c r="R577" s="703"/>
      <c r="S577" s="703"/>
      <c r="T577" s="703">
        <v>1</v>
      </c>
      <c r="U577" s="703"/>
      <c r="V577" s="703">
        <v>1</v>
      </c>
      <c r="W577" s="703"/>
      <c r="X577" s="703"/>
      <c r="Y577" s="703"/>
      <c r="Z577" s="703"/>
      <c r="AA577" s="703"/>
      <c r="AB577" s="703">
        <v>1</v>
      </c>
      <c r="AC577" s="703"/>
      <c r="AD577" s="703"/>
      <c r="AE577" s="703"/>
      <c r="AF577" s="703"/>
      <c r="AG577" s="703"/>
      <c r="AH577" s="703"/>
      <c r="AI577" s="703"/>
      <c r="AJ577" s="703"/>
      <c r="AK577" s="703"/>
      <c r="AL577" s="703"/>
      <c r="AM577" s="703"/>
      <c r="AN577" s="703"/>
      <c r="AO577" s="704"/>
      <c r="AP577" s="705"/>
      <c r="AQ577" s="763">
        <f t="shared" si="64"/>
        <v>7</v>
      </c>
      <c r="AS577" s="268"/>
      <c r="AV577" s="699"/>
      <c r="AW577" s="700">
        <v>5.11E-2</v>
      </c>
      <c r="AX577" s="382">
        <f t="shared" si="62"/>
        <v>7.0510999999999999</v>
      </c>
      <c r="AY577" s="379" t="str">
        <f t="shared" ca="1" si="65"/>
        <v>ZRÍNYIGYÖNGYE</v>
      </c>
      <c r="AZ577" s="384" t="str">
        <f t="shared" si="63"/>
        <v>Simon Dániel</v>
      </c>
      <c r="BA577" s="642"/>
    </row>
    <row r="578" spans="1:53" ht="12.75" customHeight="1" x14ac:dyDescent="0.2">
      <c r="A578" s="867"/>
      <c r="C578" s="758" t="s">
        <v>648</v>
      </c>
      <c r="D578" s="757">
        <v>73</v>
      </c>
      <c r="E578" s="747"/>
      <c r="F578" s="703"/>
      <c r="G578" s="703"/>
      <c r="H578" s="703"/>
      <c r="I578" s="703"/>
      <c r="J578" s="703"/>
      <c r="K578" s="703"/>
      <c r="L578" s="703"/>
      <c r="M578" s="703"/>
      <c r="N578" s="703"/>
      <c r="O578" s="703"/>
      <c r="P578" s="703"/>
      <c r="Q578" s="703"/>
      <c r="R578" s="703"/>
      <c r="S578" s="703"/>
      <c r="T578" s="703"/>
      <c r="U578" s="703"/>
      <c r="V578" s="703"/>
      <c r="W578" s="703"/>
      <c r="X578" s="703"/>
      <c r="Y578" s="703"/>
      <c r="Z578" s="703"/>
      <c r="AA578" s="703"/>
      <c r="AB578" s="703"/>
      <c r="AC578" s="703"/>
      <c r="AD578" s="703"/>
      <c r="AE578" s="703"/>
      <c r="AF578" s="703"/>
      <c r="AG578" s="703"/>
      <c r="AH578" s="703"/>
      <c r="AI578" s="703"/>
      <c r="AJ578" s="703"/>
      <c r="AK578" s="703"/>
      <c r="AL578" s="703"/>
      <c r="AM578" s="703"/>
      <c r="AN578" s="703"/>
      <c r="AO578" s="704"/>
      <c r="AP578" s="705"/>
      <c r="AQ578" s="763" t="str">
        <f t="shared" si="64"/>
        <v/>
      </c>
      <c r="AS578" s="268"/>
      <c r="AV578" s="699"/>
      <c r="AW578" s="700">
        <v>5.1200000000000002E-2</v>
      </c>
      <c r="AX578" s="382">
        <f t="shared" si="62"/>
        <v>0</v>
      </c>
      <c r="AY578" s="379" t="str">
        <f t="shared" ca="1" si="65"/>
        <v>ZRÍNYIGYÖNGYE</v>
      </c>
      <c r="AZ578" s="384" t="str">
        <f t="shared" si="63"/>
        <v>Horváth János</v>
      </c>
      <c r="BA578" s="642"/>
    </row>
    <row r="579" spans="1:53" ht="12.75" customHeight="1" x14ac:dyDescent="0.2">
      <c r="A579" s="867"/>
      <c r="C579" s="758" t="s">
        <v>574</v>
      </c>
      <c r="D579" s="757">
        <v>86</v>
      </c>
      <c r="E579" s="747">
        <v>3</v>
      </c>
      <c r="F579" s="703"/>
      <c r="G579" s="703">
        <v>1</v>
      </c>
      <c r="H579" s="703">
        <v>1</v>
      </c>
      <c r="I579" s="703">
        <v>2</v>
      </c>
      <c r="J579" s="703"/>
      <c r="K579" s="703"/>
      <c r="L579" s="703"/>
      <c r="M579" s="703"/>
      <c r="N579" s="703"/>
      <c r="O579" s="703">
        <v>3</v>
      </c>
      <c r="P579" s="703"/>
      <c r="Q579" s="703"/>
      <c r="R579" s="703"/>
      <c r="S579" s="703"/>
      <c r="T579" s="703"/>
      <c r="U579" s="703"/>
      <c r="V579" s="703"/>
      <c r="W579" s="703"/>
      <c r="X579" s="703"/>
      <c r="Y579" s="703"/>
      <c r="Z579" s="703">
        <v>1</v>
      </c>
      <c r="AA579" s="703"/>
      <c r="AB579" s="703">
        <v>1</v>
      </c>
      <c r="AC579" s="703"/>
      <c r="AD579" s="703"/>
      <c r="AE579" s="703"/>
      <c r="AF579" s="703"/>
      <c r="AG579" s="703"/>
      <c r="AH579" s="703"/>
      <c r="AI579" s="703"/>
      <c r="AJ579" s="703"/>
      <c r="AK579" s="703"/>
      <c r="AL579" s="703"/>
      <c r="AM579" s="703"/>
      <c r="AN579" s="703"/>
      <c r="AO579" s="704"/>
      <c r="AP579" s="705"/>
      <c r="AQ579" s="763">
        <f t="shared" si="64"/>
        <v>12</v>
      </c>
      <c r="AS579" s="268"/>
      <c r="AV579" s="699"/>
      <c r="AW579" s="700">
        <v>5.1299999999999998E-2</v>
      </c>
      <c r="AX579" s="382">
        <f t="shared" si="62"/>
        <v>12.051299999999999</v>
      </c>
      <c r="AY579" s="379" t="str">
        <f t="shared" ca="1" si="65"/>
        <v>ZRÍNYIGYÖNGYE</v>
      </c>
      <c r="AZ579" s="384" t="str">
        <f t="shared" si="63"/>
        <v>Lénárt László</v>
      </c>
      <c r="BA579" s="642"/>
    </row>
    <row r="580" spans="1:53" ht="12.75" customHeight="1" x14ac:dyDescent="0.2">
      <c r="A580" s="867"/>
      <c r="C580" s="758"/>
      <c r="D580" s="757"/>
      <c r="E580" s="747"/>
      <c r="F580" s="703"/>
      <c r="G580" s="703"/>
      <c r="H580" s="703"/>
      <c r="I580" s="703"/>
      <c r="J580" s="703"/>
      <c r="K580" s="703"/>
      <c r="L580" s="703"/>
      <c r="M580" s="703"/>
      <c r="N580" s="703"/>
      <c r="O580" s="703"/>
      <c r="P580" s="703"/>
      <c r="Q580" s="703"/>
      <c r="R580" s="703"/>
      <c r="S580" s="703"/>
      <c r="T580" s="703"/>
      <c r="U580" s="703"/>
      <c r="V580" s="703"/>
      <c r="W580" s="703"/>
      <c r="X580" s="703"/>
      <c r="Y580" s="703"/>
      <c r="Z580" s="703"/>
      <c r="AA580" s="703"/>
      <c r="AB580" s="703"/>
      <c r="AC580" s="703"/>
      <c r="AD580" s="703"/>
      <c r="AE580" s="703"/>
      <c r="AF580" s="703"/>
      <c r="AG580" s="703"/>
      <c r="AH580" s="703"/>
      <c r="AI580" s="703"/>
      <c r="AJ580" s="703"/>
      <c r="AK580" s="703"/>
      <c r="AL580" s="703"/>
      <c r="AM580" s="703"/>
      <c r="AN580" s="703"/>
      <c r="AO580" s="704"/>
      <c r="AP580" s="705"/>
      <c r="AQ580" s="763" t="str">
        <f t="shared" si="64"/>
        <v/>
      </c>
      <c r="AS580" s="268"/>
      <c r="AV580" s="699"/>
      <c r="AW580" s="700">
        <v>5.1400000000000001E-2</v>
      </c>
      <c r="AX580" s="382">
        <f t="shared" si="62"/>
        <v>0</v>
      </c>
      <c r="AY580" s="379" t="str">
        <f t="shared" ca="1" si="65"/>
        <v>ZRÍNYIGYÖNGYE</v>
      </c>
      <c r="AZ580" s="384">
        <f t="shared" si="63"/>
        <v>0</v>
      </c>
      <c r="BA580" s="642"/>
    </row>
    <row r="581" spans="1:53" ht="12.75" customHeight="1" x14ac:dyDescent="0.2">
      <c r="A581" s="867"/>
      <c r="C581" s="758"/>
      <c r="D581" s="757"/>
      <c r="E581" s="747"/>
      <c r="F581" s="703"/>
      <c r="G581" s="703"/>
      <c r="H581" s="703"/>
      <c r="I581" s="703"/>
      <c r="J581" s="703"/>
      <c r="K581" s="703"/>
      <c r="L581" s="703"/>
      <c r="M581" s="703"/>
      <c r="N581" s="703"/>
      <c r="O581" s="703"/>
      <c r="P581" s="703"/>
      <c r="Q581" s="703"/>
      <c r="R581" s="703"/>
      <c r="S581" s="703"/>
      <c r="T581" s="703"/>
      <c r="U581" s="703"/>
      <c r="V581" s="703"/>
      <c r="W581" s="703"/>
      <c r="X581" s="703"/>
      <c r="Y581" s="703"/>
      <c r="Z581" s="703"/>
      <c r="AA581" s="703"/>
      <c r="AB581" s="703"/>
      <c r="AC581" s="703"/>
      <c r="AD581" s="703"/>
      <c r="AE581" s="703"/>
      <c r="AF581" s="703"/>
      <c r="AG581" s="703"/>
      <c r="AH581" s="703"/>
      <c r="AI581" s="703"/>
      <c r="AJ581" s="703"/>
      <c r="AK581" s="703"/>
      <c r="AL581" s="703"/>
      <c r="AM581" s="703"/>
      <c r="AN581" s="703"/>
      <c r="AO581" s="704"/>
      <c r="AP581" s="705"/>
      <c r="AQ581" s="763" t="str">
        <f t="shared" si="64"/>
        <v/>
      </c>
      <c r="AS581" s="268"/>
      <c r="AV581" s="699"/>
      <c r="AW581" s="700">
        <v>5.1499999999999997E-2</v>
      </c>
      <c r="AX581" s="382">
        <f t="shared" si="62"/>
        <v>0</v>
      </c>
      <c r="AY581" s="379" t="str">
        <f t="shared" ca="1" si="65"/>
        <v>ZRÍNYIGYÖNGYE</v>
      </c>
      <c r="AZ581" s="384">
        <f t="shared" si="63"/>
        <v>0</v>
      </c>
      <c r="BA581" s="642"/>
    </row>
    <row r="582" spans="1:53" ht="12.75" customHeight="1" x14ac:dyDescent="0.2">
      <c r="A582" s="867"/>
      <c r="C582" s="758"/>
      <c r="D582" s="757"/>
      <c r="E582" s="747"/>
      <c r="F582" s="703"/>
      <c r="G582" s="703"/>
      <c r="H582" s="703"/>
      <c r="I582" s="703"/>
      <c r="J582" s="703"/>
      <c r="K582" s="703"/>
      <c r="L582" s="703"/>
      <c r="M582" s="703"/>
      <c r="N582" s="703"/>
      <c r="O582" s="703"/>
      <c r="P582" s="703"/>
      <c r="Q582" s="703"/>
      <c r="R582" s="703"/>
      <c r="S582" s="703"/>
      <c r="T582" s="703"/>
      <c r="U582" s="703"/>
      <c r="V582" s="703"/>
      <c r="W582" s="703"/>
      <c r="X582" s="703"/>
      <c r="Y582" s="703"/>
      <c r="Z582" s="703"/>
      <c r="AA582" s="703"/>
      <c r="AB582" s="703"/>
      <c r="AC582" s="703"/>
      <c r="AD582" s="703"/>
      <c r="AE582" s="703"/>
      <c r="AF582" s="703"/>
      <c r="AG582" s="703"/>
      <c r="AH582" s="703"/>
      <c r="AI582" s="703"/>
      <c r="AJ582" s="703"/>
      <c r="AK582" s="703"/>
      <c r="AL582" s="703"/>
      <c r="AM582" s="703"/>
      <c r="AN582" s="703"/>
      <c r="AO582" s="704"/>
      <c r="AP582" s="705"/>
      <c r="AQ582" s="763" t="str">
        <f t="shared" si="64"/>
        <v/>
      </c>
      <c r="AS582" s="268"/>
      <c r="AV582" s="699"/>
      <c r="AW582" s="700">
        <v>5.16E-2</v>
      </c>
      <c r="AX582" s="382">
        <f t="shared" si="62"/>
        <v>0</v>
      </c>
      <c r="AY582" s="379" t="str">
        <f t="shared" ca="1" si="65"/>
        <v>ZRÍNYIGYÖNGYE</v>
      </c>
      <c r="AZ582" s="384">
        <f t="shared" si="63"/>
        <v>0</v>
      </c>
      <c r="BA582" s="642"/>
    </row>
    <row r="583" spans="1:53" ht="12.75" customHeight="1" x14ac:dyDescent="0.2">
      <c r="A583" s="867"/>
      <c r="C583" s="758"/>
      <c r="D583" s="757"/>
      <c r="E583" s="747"/>
      <c r="F583" s="703"/>
      <c r="G583" s="703"/>
      <c r="H583" s="703"/>
      <c r="I583" s="703"/>
      <c r="J583" s="703"/>
      <c r="K583" s="703"/>
      <c r="L583" s="703"/>
      <c r="M583" s="703"/>
      <c r="N583" s="703"/>
      <c r="O583" s="703"/>
      <c r="P583" s="703"/>
      <c r="Q583" s="703"/>
      <c r="R583" s="703"/>
      <c r="S583" s="703"/>
      <c r="T583" s="703"/>
      <c r="U583" s="703"/>
      <c r="V583" s="703"/>
      <c r="W583" s="703"/>
      <c r="X583" s="703"/>
      <c r="Y583" s="703"/>
      <c r="Z583" s="703"/>
      <c r="AA583" s="703"/>
      <c r="AB583" s="703"/>
      <c r="AC583" s="703"/>
      <c r="AD583" s="703"/>
      <c r="AE583" s="703"/>
      <c r="AF583" s="703"/>
      <c r="AG583" s="703"/>
      <c r="AH583" s="703"/>
      <c r="AI583" s="703"/>
      <c r="AJ583" s="703"/>
      <c r="AK583" s="703"/>
      <c r="AL583" s="703"/>
      <c r="AM583" s="703"/>
      <c r="AN583" s="703"/>
      <c r="AO583" s="704"/>
      <c r="AP583" s="705"/>
      <c r="AQ583" s="763" t="str">
        <f t="shared" si="64"/>
        <v/>
      </c>
      <c r="AS583" s="268"/>
      <c r="AV583" s="699"/>
      <c r="AW583" s="700">
        <v>5.1700000000000003E-2</v>
      </c>
      <c r="AX583" s="382">
        <f t="shared" si="62"/>
        <v>0</v>
      </c>
      <c r="AY583" s="379" t="str">
        <f t="shared" ca="1" si="65"/>
        <v>ZRÍNYIGYÖNGYE</v>
      </c>
      <c r="AZ583" s="384">
        <f t="shared" si="63"/>
        <v>0</v>
      </c>
      <c r="BA583" s="642"/>
    </row>
    <row r="584" spans="1:53" ht="12.75" customHeight="1" x14ac:dyDescent="0.2">
      <c r="A584" s="867"/>
      <c r="C584" s="758"/>
      <c r="D584" s="757"/>
      <c r="E584" s="747"/>
      <c r="F584" s="703"/>
      <c r="G584" s="703"/>
      <c r="H584" s="703"/>
      <c r="I584" s="703"/>
      <c r="J584" s="703"/>
      <c r="K584" s="703"/>
      <c r="L584" s="703"/>
      <c r="M584" s="703"/>
      <c r="N584" s="703"/>
      <c r="O584" s="703"/>
      <c r="P584" s="703"/>
      <c r="Q584" s="703"/>
      <c r="R584" s="703"/>
      <c r="S584" s="703"/>
      <c r="T584" s="703"/>
      <c r="U584" s="703"/>
      <c r="V584" s="703"/>
      <c r="W584" s="703"/>
      <c r="X584" s="703"/>
      <c r="Y584" s="703"/>
      <c r="Z584" s="703"/>
      <c r="AA584" s="703"/>
      <c r="AB584" s="703"/>
      <c r="AC584" s="703"/>
      <c r="AD584" s="703"/>
      <c r="AE584" s="703"/>
      <c r="AF584" s="703"/>
      <c r="AG584" s="703"/>
      <c r="AH584" s="703"/>
      <c r="AI584" s="703"/>
      <c r="AJ584" s="703"/>
      <c r="AK584" s="703"/>
      <c r="AL584" s="703"/>
      <c r="AM584" s="703"/>
      <c r="AN584" s="703"/>
      <c r="AO584" s="704"/>
      <c r="AP584" s="705"/>
      <c r="AQ584" s="763" t="str">
        <f t="shared" si="64"/>
        <v/>
      </c>
      <c r="AS584" s="268"/>
      <c r="AV584" s="699"/>
      <c r="AW584" s="700">
        <v>5.1799999999999999E-2</v>
      </c>
      <c r="AX584" s="382">
        <f t="shared" si="62"/>
        <v>0</v>
      </c>
      <c r="AY584" s="379" t="str">
        <f t="shared" ca="1" si="65"/>
        <v>ZRÍNYIGYÖNGYE</v>
      </c>
      <c r="AZ584" s="384">
        <f t="shared" si="63"/>
        <v>0</v>
      </c>
      <c r="BA584" s="642"/>
    </row>
    <row r="585" spans="1:53" ht="12.75" customHeight="1" x14ac:dyDescent="0.2">
      <c r="A585" s="867"/>
      <c r="C585" s="758"/>
      <c r="D585" s="757"/>
      <c r="E585" s="747"/>
      <c r="F585" s="703"/>
      <c r="G585" s="703"/>
      <c r="H585" s="703"/>
      <c r="I585" s="703"/>
      <c r="J585" s="703"/>
      <c r="K585" s="703"/>
      <c r="L585" s="703"/>
      <c r="M585" s="703"/>
      <c r="N585" s="703"/>
      <c r="O585" s="703"/>
      <c r="P585" s="703"/>
      <c r="Q585" s="703"/>
      <c r="R585" s="703"/>
      <c r="S585" s="703"/>
      <c r="T585" s="703"/>
      <c r="U585" s="703"/>
      <c r="V585" s="703"/>
      <c r="W585" s="703"/>
      <c r="X585" s="703"/>
      <c r="Y585" s="703"/>
      <c r="Z585" s="703"/>
      <c r="AA585" s="703"/>
      <c r="AB585" s="703"/>
      <c r="AC585" s="703"/>
      <c r="AD585" s="703"/>
      <c r="AE585" s="703"/>
      <c r="AF585" s="703"/>
      <c r="AG585" s="703"/>
      <c r="AH585" s="703"/>
      <c r="AI585" s="703"/>
      <c r="AJ585" s="703"/>
      <c r="AK585" s="703"/>
      <c r="AL585" s="703"/>
      <c r="AM585" s="703"/>
      <c r="AN585" s="703"/>
      <c r="AO585" s="704"/>
      <c r="AP585" s="705"/>
      <c r="AQ585" s="763" t="str">
        <f t="shared" si="64"/>
        <v/>
      </c>
      <c r="AS585" s="268"/>
      <c r="AV585" s="699"/>
      <c r="AW585" s="700">
        <v>5.1900000000000002E-2</v>
      </c>
      <c r="AX585" s="382">
        <f t="shared" si="62"/>
        <v>0</v>
      </c>
      <c r="AY585" s="379" t="str">
        <f t="shared" ca="1" si="65"/>
        <v>ZRÍNYIGYÖNGYE</v>
      </c>
      <c r="AZ585" s="384">
        <f t="shared" si="63"/>
        <v>0</v>
      </c>
      <c r="BA585" s="642"/>
    </row>
    <row r="586" spans="1:53" ht="11.25" hidden="1" customHeight="1" x14ac:dyDescent="0.2">
      <c r="A586" s="867"/>
      <c r="C586" s="758"/>
      <c r="D586" s="757"/>
      <c r="E586" s="747"/>
      <c r="F586" s="703"/>
      <c r="G586" s="703"/>
      <c r="H586" s="703"/>
      <c r="I586" s="703"/>
      <c r="J586" s="703"/>
      <c r="K586" s="703"/>
      <c r="L586" s="703"/>
      <c r="M586" s="703"/>
      <c r="N586" s="703"/>
      <c r="O586" s="703"/>
      <c r="P586" s="703"/>
      <c r="Q586" s="703"/>
      <c r="R586" s="703"/>
      <c r="S586" s="703"/>
      <c r="T586" s="703"/>
      <c r="U586" s="703"/>
      <c r="V586" s="703"/>
      <c r="W586" s="703"/>
      <c r="X586" s="703"/>
      <c r="Y586" s="703"/>
      <c r="Z586" s="703"/>
      <c r="AA586" s="703"/>
      <c r="AB586" s="703"/>
      <c r="AC586" s="703"/>
      <c r="AD586" s="703"/>
      <c r="AE586" s="703"/>
      <c r="AF586" s="703"/>
      <c r="AG586" s="703"/>
      <c r="AH586" s="703"/>
      <c r="AI586" s="703"/>
      <c r="AJ586" s="703"/>
      <c r="AK586" s="703"/>
      <c r="AL586" s="703"/>
      <c r="AM586" s="703"/>
      <c r="AN586" s="703"/>
      <c r="AO586" s="704"/>
      <c r="AP586" s="705"/>
      <c r="AQ586" s="763" t="str">
        <f t="shared" si="64"/>
        <v/>
      </c>
      <c r="AS586" s="268"/>
      <c r="AV586" s="699"/>
      <c r="AW586" s="700">
        <v>5.1999999999999998E-2</v>
      </c>
      <c r="AX586" s="382">
        <f t="shared" si="62"/>
        <v>0</v>
      </c>
      <c r="AY586" s="379" t="str">
        <f t="shared" ca="1" si="65"/>
        <v>ZRÍNYIGYÖNGYE</v>
      </c>
      <c r="AZ586" s="384">
        <f t="shared" si="63"/>
        <v>0</v>
      </c>
      <c r="BA586" s="642"/>
    </row>
    <row r="587" spans="1:53" ht="11.25" hidden="1" customHeight="1" x14ac:dyDescent="0.2">
      <c r="A587" s="867"/>
      <c r="C587" s="758"/>
      <c r="D587" s="757"/>
      <c r="E587" s="747"/>
      <c r="F587" s="703"/>
      <c r="G587" s="703"/>
      <c r="H587" s="703"/>
      <c r="I587" s="703"/>
      <c r="J587" s="703"/>
      <c r="K587" s="703"/>
      <c r="L587" s="703"/>
      <c r="M587" s="703"/>
      <c r="N587" s="703"/>
      <c r="O587" s="703"/>
      <c r="P587" s="703"/>
      <c r="Q587" s="703"/>
      <c r="R587" s="703"/>
      <c r="S587" s="703"/>
      <c r="T587" s="703"/>
      <c r="U587" s="703"/>
      <c r="V587" s="703"/>
      <c r="W587" s="703"/>
      <c r="X587" s="703"/>
      <c r="Y587" s="703"/>
      <c r="Z587" s="703"/>
      <c r="AA587" s="703"/>
      <c r="AB587" s="703"/>
      <c r="AC587" s="703"/>
      <c r="AD587" s="703"/>
      <c r="AE587" s="703"/>
      <c r="AF587" s="703"/>
      <c r="AG587" s="703"/>
      <c r="AH587" s="703"/>
      <c r="AI587" s="703"/>
      <c r="AJ587" s="703"/>
      <c r="AK587" s="703"/>
      <c r="AL587" s="703"/>
      <c r="AM587" s="703"/>
      <c r="AN587" s="703"/>
      <c r="AO587" s="704"/>
      <c r="AP587" s="705"/>
      <c r="AQ587" s="763" t="str">
        <f t="shared" si="64"/>
        <v/>
      </c>
      <c r="AS587" s="268"/>
      <c r="AV587" s="699"/>
      <c r="AW587" s="700">
        <v>5.21E-2</v>
      </c>
      <c r="AX587" s="382">
        <f t="shared" si="62"/>
        <v>0</v>
      </c>
      <c r="AY587" s="379" t="str">
        <f t="shared" ca="1" si="65"/>
        <v>ZRÍNYIGYÖNGYE</v>
      </c>
      <c r="AZ587" s="384">
        <f t="shared" si="63"/>
        <v>0</v>
      </c>
      <c r="BA587" s="642"/>
    </row>
    <row r="588" spans="1:53" ht="11.25" hidden="1" customHeight="1" x14ac:dyDescent="0.2">
      <c r="A588" s="867"/>
      <c r="C588" s="758"/>
      <c r="D588" s="757"/>
      <c r="E588" s="747"/>
      <c r="F588" s="703"/>
      <c r="G588" s="703"/>
      <c r="H588" s="703"/>
      <c r="I588" s="703"/>
      <c r="J588" s="703"/>
      <c r="K588" s="703"/>
      <c r="L588" s="703"/>
      <c r="M588" s="703"/>
      <c r="N588" s="703"/>
      <c r="O588" s="703"/>
      <c r="P588" s="703"/>
      <c r="Q588" s="703"/>
      <c r="R588" s="703"/>
      <c r="S588" s="703"/>
      <c r="T588" s="703"/>
      <c r="U588" s="703"/>
      <c r="V588" s="703"/>
      <c r="W588" s="703"/>
      <c r="X588" s="703"/>
      <c r="Y588" s="703"/>
      <c r="Z588" s="703"/>
      <c r="AA588" s="703"/>
      <c r="AB588" s="703"/>
      <c r="AC588" s="703"/>
      <c r="AD588" s="703"/>
      <c r="AE588" s="703"/>
      <c r="AF588" s="703"/>
      <c r="AG588" s="703"/>
      <c r="AH588" s="703"/>
      <c r="AI588" s="703"/>
      <c r="AJ588" s="703"/>
      <c r="AK588" s="703"/>
      <c r="AL588" s="703"/>
      <c r="AM588" s="703"/>
      <c r="AN588" s="703"/>
      <c r="AO588" s="704"/>
      <c r="AP588" s="705"/>
      <c r="AQ588" s="763" t="str">
        <f t="shared" si="64"/>
        <v/>
      </c>
      <c r="AS588" s="268"/>
      <c r="AV588" s="699"/>
      <c r="AW588" s="700">
        <v>5.2200000000000003E-2</v>
      </c>
      <c r="AX588" s="382">
        <f t="shared" si="62"/>
        <v>0</v>
      </c>
      <c r="AY588" s="379" t="str">
        <f t="shared" ca="1" si="65"/>
        <v>ZRÍNYIGYÖNGYE</v>
      </c>
      <c r="AZ588" s="384">
        <f t="shared" si="63"/>
        <v>0</v>
      </c>
      <c r="BA588" s="642"/>
    </row>
    <row r="589" spans="1:53" ht="11.25" hidden="1" customHeight="1" x14ac:dyDescent="0.2">
      <c r="A589" s="867"/>
      <c r="C589" s="758"/>
      <c r="D589" s="757"/>
      <c r="E589" s="747"/>
      <c r="F589" s="703"/>
      <c r="G589" s="703"/>
      <c r="H589" s="703"/>
      <c r="I589" s="703"/>
      <c r="J589" s="703"/>
      <c r="K589" s="703"/>
      <c r="L589" s="703"/>
      <c r="M589" s="703"/>
      <c r="N589" s="703"/>
      <c r="O589" s="703"/>
      <c r="P589" s="703"/>
      <c r="Q589" s="703"/>
      <c r="R589" s="703"/>
      <c r="S589" s="703"/>
      <c r="T589" s="703"/>
      <c r="U589" s="703"/>
      <c r="V589" s="703"/>
      <c r="W589" s="703"/>
      <c r="X589" s="703"/>
      <c r="Y589" s="703"/>
      <c r="Z589" s="703"/>
      <c r="AA589" s="703"/>
      <c r="AB589" s="703"/>
      <c r="AC589" s="703"/>
      <c r="AD589" s="703"/>
      <c r="AE589" s="703"/>
      <c r="AF589" s="703"/>
      <c r="AG589" s="703"/>
      <c r="AH589" s="703"/>
      <c r="AI589" s="703"/>
      <c r="AJ589" s="703"/>
      <c r="AK589" s="703"/>
      <c r="AL589" s="703"/>
      <c r="AM589" s="703"/>
      <c r="AN589" s="703"/>
      <c r="AO589" s="704"/>
      <c r="AP589" s="705"/>
      <c r="AQ589" s="763" t="str">
        <f t="shared" si="64"/>
        <v/>
      </c>
      <c r="AS589" s="268"/>
      <c r="AV589" s="699"/>
      <c r="AW589" s="700">
        <v>5.2299999999999999E-2</v>
      </c>
      <c r="AX589" s="382">
        <f t="shared" si="62"/>
        <v>0</v>
      </c>
      <c r="AY589" s="379" t="str">
        <f t="shared" ca="1" si="65"/>
        <v>ZRÍNYIGYÖNGYE</v>
      </c>
      <c r="AZ589" s="384">
        <f t="shared" si="63"/>
        <v>0</v>
      </c>
      <c r="BA589" s="642"/>
    </row>
    <row r="590" spans="1:53" ht="11.25" hidden="1" customHeight="1" x14ac:dyDescent="0.2">
      <c r="A590" s="867"/>
      <c r="C590" s="758"/>
      <c r="D590" s="757"/>
      <c r="E590" s="747"/>
      <c r="F590" s="703"/>
      <c r="G590" s="703"/>
      <c r="H590" s="703"/>
      <c r="I590" s="703"/>
      <c r="J590" s="703"/>
      <c r="K590" s="703"/>
      <c r="L590" s="703"/>
      <c r="M590" s="703"/>
      <c r="N590" s="703"/>
      <c r="O590" s="703"/>
      <c r="P590" s="703"/>
      <c r="Q590" s="703"/>
      <c r="R590" s="703"/>
      <c r="S590" s="703"/>
      <c r="T590" s="703"/>
      <c r="U590" s="703"/>
      <c r="V590" s="703"/>
      <c r="W590" s="703"/>
      <c r="X590" s="703"/>
      <c r="Y590" s="703"/>
      <c r="Z590" s="703"/>
      <c r="AA590" s="703"/>
      <c r="AB590" s="703"/>
      <c r="AC590" s="703"/>
      <c r="AD590" s="703"/>
      <c r="AE590" s="703"/>
      <c r="AF590" s="703"/>
      <c r="AG590" s="703"/>
      <c r="AH590" s="703"/>
      <c r="AI590" s="703"/>
      <c r="AJ590" s="703"/>
      <c r="AK590" s="703"/>
      <c r="AL590" s="703"/>
      <c r="AM590" s="703"/>
      <c r="AN590" s="703"/>
      <c r="AO590" s="704"/>
      <c r="AP590" s="705"/>
      <c r="AQ590" s="763" t="str">
        <f t="shared" si="64"/>
        <v/>
      </c>
      <c r="AS590" s="268"/>
      <c r="AV590" s="699"/>
      <c r="AW590" s="700">
        <v>5.2400000000000002E-2</v>
      </c>
      <c r="AX590" s="382">
        <f t="shared" si="62"/>
        <v>0</v>
      </c>
      <c r="AY590" s="379" t="str">
        <f t="shared" ca="1" si="65"/>
        <v>ZRÍNYIGYÖNGYE</v>
      </c>
      <c r="AZ590" s="384">
        <f t="shared" si="63"/>
        <v>0</v>
      </c>
      <c r="BA590" s="642"/>
    </row>
    <row r="591" spans="1:53" ht="11.25" hidden="1" customHeight="1" x14ac:dyDescent="0.2">
      <c r="A591" s="867"/>
      <c r="C591" s="758"/>
      <c r="D591" s="757"/>
      <c r="E591" s="747"/>
      <c r="F591" s="703"/>
      <c r="G591" s="703"/>
      <c r="H591" s="703"/>
      <c r="I591" s="703"/>
      <c r="J591" s="703"/>
      <c r="K591" s="703"/>
      <c r="L591" s="703"/>
      <c r="M591" s="703"/>
      <c r="N591" s="703"/>
      <c r="O591" s="703"/>
      <c r="P591" s="703"/>
      <c r="Q591" s="703"/>
      <c r="R591" s="703"/>
      <c r="S591" s="703"/>
      <c r="T591" s="703"/>
      <c r="U591" s="703"/>
      <c r="V591" s="703"/>
      <c r="W591" s="703"/>
      <c r="X591" s="703"/>
      <c r="Y591" s="703"/>
      <c r="Z591" s="703"/>
      <c r="AA591" s="703"/>
      <c r="AB591" s="703"/>
      <c r="AC591" s="703"/>
      <c r="AD591" s="703"/>
      <c r="AE591" s="703"/>
      <c r="AF591" s="703"/>
      <c r="AG591" s="703"/>
      <c r="AH591" s="703"/>
      <c r="AI591" s="703"/>
      <c r="AJ591" s="703"/>
      <c r="AK591" s="703"/>
      <c r="AL591" s="703"/>
      <c r="AM591" s="703"/>
      <c r="AN591" s="703"/>
      <c r="AO591" s="704"/>
      <c r="AP591" s="705"/>
      <c r="AQ591" s="763" t="str">
        <f t="shared" si="64"/>
        <v/>
      </c>
      <c r="AS591" s="268"/>
      <c r="AV591" s="699"/>
      <c r="AW591" s="700">
        <v>5.2499999999999998E-2</v>
      </c>
      <c r="AX591" s="382">
        <f t="shared" si="62"/>
        <v>0</v>
      </c>
      <c r="AY591" s="379" t="str">
        <f t="shared" ca="1" si="65"/>
        <v>ZRÍNYIGYÖNGYE</v>
      </c>
      <c r="AZ591" s="384">
        <f t="shared" si="63"/>
        <v>0</v>
      </c>
      <c r="BA591" s="642"/>
    </row>
    <row r="592" spans="1:53" ht="11.25" hidden="1" customHeight="1" x14ac:dyDescent="0.2">
      <c r="A592" s="867"/>
      <c r="C592" s="758"/>
      <c r="D592" s="757"/>
      <c r="E592" s="747"/>
      <c r="F592" s="703"/>
      <c r="G592" s="703"/>
      <c r="H592" s="703"/>
      <c r="I592" s="703"/>
      <c r="J592" s="703"/>
      <c r="K592" s="703"/>
      <c r="L592" s="703"/>
      <c r="M592" s="703"/>
      <c r="N592" s="703"/>
      <c r="O592" s="703"/>
      <c r="P592" s="703"/>
      <c r="Q592" s="703"/>
      <c r="R592" s="703"/>
      <c r="S592" s="703"/>
      <c r="T592" s="703"/>
      <c r="U592" s="703"/>
      <c r="V592" s="703"/>
      <c r="W592" s="703"/>
      <c r="X592" s="703"/>
      <c r="Y592" s="703"/>
      <c r="Z592" s="703"/>
      <c r="AA592" s="703"/>
      <c r="AB592" s="703"/>
      <c r="AC592" s="703"/>
      <c r="AD592" s="703"/>
      <c r="AE592" s="703"/>
      <c r="AF592" s="703"/>
      <c r="AG592" s="703"/>
      <c r="AH592" s="703"/>
      <c r="AI592" s="703"/>
      <c r="AJ592" s="703"/>
      <c r="AK592" s="703"/>
      <c r="AL592" s="703"/>
      <c r="AM592" s="703"/>
      <c r="AN592" s="703"/>
      <c r="AO592" s="704"/>
      <c r="AP592" s="705"/>
      <c r="AQ592" s="763" t="str">
        <f t="shared" si="64"/>
        <v/>
      </c>
      <c r="AS592" s="268"/>
      <c r="AV592" s="699"/>
      <c r="AW592" s="700">
        <v>5.2600000000000001E-2</v>
      </c>
      <c r="AX592" s="382">
        <f t="shared" si="62"/>
        <v>0</v>
      </c>
      <c r="AY592" s="379" t="str">
        <f t="shared" ca="1" si="65"/>
        <v>ZRÍNYIGYÖNGYE</v>
      </c>
      <c r="AZ592" s="384">
        <f t="shared" si="63"/>
        <v>0</v>
      </c>
      <c r="BA592" s="642"/>
    </row>
    <row r="593" spans="1:54" ht="11.25" hidden="1" customHeight="1" x14ac:dyDescent="0.2">
      <c r="A593" s="867"/>
      <c r="C593" s="758"/>
      <c r="D593" s="757"/>
      <c r="E593" s="747"/>
      <c r="F593" s="703"/>
      <c r="G593" s="703"/>
      <c r="H593" s="703"/>
      <c r="I593" s="703"/>
      <c r="J593" s="703"/>
      <c r="K593" s="703"/>
      <c r="L593" s="703"/>
      <c r="M593" s="703"/>
      <c r="N593" s="703"/>
      <c r="O593" s="703"/>
      <c r="P593" s="703"/>
      <c r="Q593" s="703"/>
      <c r="R593" s="703"/>
      <c r="S593" s="703"/>
      <c r="T593" s="703"/>
      <c r="U593" s="703"/>
      <c r="V593" s="703"/>
      <c r="W593" s="703"/>
      <c r="X593" s="703"/>
      <c r="Y593" s="703"/>
      <c r="Z593" s="703"/>
      <c r="AA593" s="703"/>
      <c r="AB593" s="703"/>
      <c r="AC593" s="703"/>
      <c r="AD593" s="703"/>
      <c r="AE593" s="703"/>
      <c r="AF593" s="703"/>
      <c r="AG593" s="703"/>
      <c r="AH593" s="703"/>
      <c r="AI593" s="703"/>
      <c r="AJ593" s="703"/>
      <c r="AK593" s="703"/>
      <c r="AL593" s="703"/>
      <c r="AM593" s="703"/>
      <c r="AN593" s="703"/>
      <c r="AO593" s="704"/>
      <c r="AP593" s="705"/>
      <c r="AQ593" s="763" t="str">
        <f t="shared" si="64"/>
        <v/>
      </c>
      <c r="AS593" s="268"/>
      <c r="AV593" s="699"/>
      <c r="AW593" s="700">
        <v>5.2699999999999997E-2</v>
      </c>
      <c r="AX593" s="382">
        <f t="shared" si="62"/>
        <v>0</v>
      </c>
      <c r="AY593" s="379" t="str">
        <f t="shared" ca="1" si="65"/>
        <v>ZRÍNYIGYÖNGYE</v>
      </c>
      <c r="AZ593" s="384">
        <f t="shared" si="63"/>
        <v>0</v>
      </c>
      <c r="BA593" s="642"/>
    </row>
    <row r="594" spans="1:54" ht="11.25" hidden="1" customHeight="1" x14ac:dyDescent="0.2">
      <c r="A594" s="867"/>
      <c r="C594" s="758"/>
      <c r="D594" s="757"/>
      <c r="E594" s="747"/>
      <c r="F594" s="703"/>
      <c r="G594" s="703"/>
      <c r="H594" s="703"/>
      <c r="I594" s="703"/>
      <c r="J594" s="703"/>
      <c r="K594" s="703"/>
      <c r="L594" s="703"/>
      <c r="M594" s="703"/>
      <c r="N594" s="703"/>
      <c r="O594" s="703"/>
      <c r="P594" s="703"/>
      <c r="Q594" s="703"/>
      <c r="R594" s="703"/>
      <c r="S594" s="703"/>
      <c r="T594" s="703"/>
      <c r="U594" s="703"/>
      <c r="V594" s="703"/>
      <c r="W594" s="703"/>
      <c r="X594" s="703"/>
      <c r="Y594" s="703"/>
      <c r="Z594" s="703"/>
      <c r="AA594" s="703"/>
      <c r="AB594" s="703"/>
      <c r="AC594" s="703"/>
      <c r="AD594" s="703"/>
      <c r="AE594" s="703"/>
      <c r="AF594" s="703"/>
      <c r="AG594" s="703"/>
      <c r="AH594" s="703"/>
      <c r="AI594" s="703"/>
      <c r="AJ594" s="703"/>
      <c r="AK594" s="703"/>
      <c r="AL594" s="703"/>
      <c r="AM594" s="703"/>
      <c r="AN594" s="703"/>
      <c r="AO594" s="704"/>
      <c r="AP594" s="705"/>
      <c r="AQ594" s="763" t="str">
        <f t="shared" si="64"/>
        <v/>
      </c>
      <c r="AS594" s="268"/>
      <c r="AV594" s="699"/>
      <c r="AW594" s="700">
        <v>5.28E-2</v>
      </c>
      <c r="AX594" s="382">
        <f t="shared" si="62"/>
        <v>0</v>
      </c>
      <c r="AY594" s="379" t="str">
        <f t="shared" ca="1" si="65"/>
        <v>ZRÍNYIGYÖNGYE</v>
      </c>
      <c r="AZ594" s="384">
        <f t="shared" si="63"/>
        <v>0</v>
      </c>
      <c r="BA594" s="642"/>
    </row>
    <row r="595" spans="1:54" ht="11.25" hidden="1" customHeight="1" x14ac:dyDescent="0.2">
      <c r="A595" s="867"/>
      <c r="C595" s="758"/>
      <c r="D595" s="757"/>
      <c r="E595" s="747"/>
      <c r="F595" s="703"/>
      <c r="G595" s="703"/>
      <c r="H595" s="703"/>
      <c r="I595" s="703"/>
      <c r="J595" s="703"/>
      <c r="K595" s="703"/>
      <c r="L595" s="703"/>
      <c r="M595" s="703"/>
      <c r="N595" s="703"/>
      <c r="O595" s="703"/>
      <c r="P595" s="703"/>
      <c r="Q595" s="703"/>
      <c r="R595" s="703"/>
      <c r="S595" s="703"/>
      <c r="T595" s="703"/>
      <c r="U595" s="703"/>
      <c r="V595" s="703"/>
      <c r="W595" s="703"/>
      <c r="X595" s="703"/>
      <c r="Y595" s="703"/>
      <c r="Z595" s="703"/>
      <c r="AA595" s="703"/>
      <c r="AB595" s="703"/>
      <c r="AC595" s="703"/>
      <c r="AD595" s="703"/>
      <c r="AE595" s="703"/>
      <c r="AF595" s="703"/>
      <c r="AG595" s="703"/>
      <c r="AH595" s="703"/>
      <c r="AI595" s="703"/>
      <c r="AJ595" s="703"/>
      <c r="AK595" s="703"/>
      <c r="AL595" s="703"/>
      <c r="AM595" s="703"/>
      <c r="AN595" s="703"/>
      <c r="AO595" s="704"/>
      <c r="AP595" s="705"/>
      <c r="AQ595" s="763" t="str">
        <f t="shared" si="64"/>
        <v/>
      </c>
      <c r="AS595" s="268"/>
      <c r="AV595" s="699"/>
      <c r="AW595" s="700">
        <v>5.2900000000000003E-2</v>
      </c>
      <c r="AX595" s="382">
        <f t="shared" si="62"/>
        <v>0</v>
      </c>
      <c r="AY595" s="379" t="str">
        <f t="shared" ca="1" si="65"/>
        <v>ZRÍNYIGYÖNGYE</v>
      </c>
      <c r="AZ595" s="384">
        <f t="shared" si="63"/>
        <v>0</v>
      </c>
      <c r="BA595" s="642"/>
    </row>
    <row r="596" spans="1:54" ht="12.75" customHeight="1" x14ac:dyDescent="0.2">
      <c r="A596" s="867"/>
      <c r="C596" s="759"/>
      <c r="D596" s="760"/>
      <c r="E596" s="748"/>
      <c r="F596" s="708"/>
      <c r="G596" s="708"/>
      <c r="H596" s="708"/>
      <c r="I596" s="708"/>
      <c r="J596" s="708"/>
      <c r="K596" s="708"/>
      <c r="L596" s="708"/>
      <c r="M596" s="708"/>
      <c r="N596" s="708"/>
      <c r="O596" s="708"/>
      <c r="P596" s="708"/>
      <c r="Q596" s="708"/>
      <c r="R596" s="708"/>
      <c r="S596" s="708"/>
      <c r="T596" s="708"/>
      <c r="U596" s="708"/>
      <c r="V596" s="708"/>
      <c r="W596" s="708"/>
      <c r="X596" s="708"/>
      <c r="Y596" s="708"/>
      <c r="Z596" s="708"/>
      <c r="AA596" s="708"/>
      <c r="AB596" s="708"/>
      <c r="AC596" s="708"/>
      <c r="AD596" s="708"/>
      <c r="AE596" s="708"/>
      <c r="AF596" s="708"/>
      <c r="AG596" s="708"/>
      <c r="AH596" s="708"/>
      <c r="AI596" s="708"/>
      <c r="AJ596" s="708"/>
      <c r="AK596" s="708"/>
      <c r="AL596" s="708"/>
      <c r="AM596" s="708"/>
      <c r="AN596" s="708"/>
      <c r="AO596" s="709"/>
      <c r="AP596" s="710"/>
      <c r="AQ596" s="763" t="str">
        <f t="shared" si="64"/>
        <v/>
      </c>
      <c r="AS596" s="268"/>
      <c r="AV596" s="699"/>
      <c r="AW596" s="700">
        <v>5.2999999999999999E-2</v>
      </c>
      <c r="AX596" s="382">
        <f t="shared" si="62"/>
        <v>0</v>
      </c>
      <c r="AY596" s="379" t="str">
        <f t="shared" ca="1" si="65"/>
        <v>ZRÍNYIGYÖNGYE</v>
      </c>
      <c r="AZ596" s="384">
        <f t="shared" si="63"/>
        <v>0</v>
      </c>
      <c r="BA596" s="642"/>
    </row>
    <row r="597" spans="1:54" ht="13.5" customHeight="1" x14ac:dyDescent="0.2">
      <c r="A597" s="867"/>
      <c r="AV597" s="699"/>
      <c r="AW597" s="700">
        <v>5.3100000000000001E-2</v>
      </c>
      <c r="AX597" s="642"/>
      <c r="AY597" s="642"/>
      <c r="BA597" s="642"/>
    </row>
    <row r="598" spans="1:54" ht="1.5" hidden="1" customHeight="1" x14ac:dyDescent="0.2">
      <c r="A598" s="867"/>
      <c r="AV598" s="699"/>
      <c r="AW598" s="700"/>
    </row>
    <row r="599" spans="1:54" s="186" customFormat="1" ht="11.25" hidden="1" customHeight="1" x14ac:dyDescent="0.2">
      <c r="A599" s="867"/>
      <c r="AS599" s="672"/>
      <c r="AU599" s="669"/>
      <c r="AV599" s="699"/>
      <c r="AW599" s="700"/>
      <c r="AX599" s="643"/>
      <c r="AY599" s="643"/>
      <c r="AZ599" s="671"/>
      <c r="BA599" s="643"/>
      <c r="BB599" s="669"/>
    </row>
    <row r="600" spans="1:54" s="673" customFormat="1" ht="13.5" hidden="1" customHeight="1" x14ac:dyDescent="0.2">
      <c r="A600" s="867"/>
      <c r="D600" s="674"/>
      <c r="E600" s="674"/>
      <c r="F600" s="674"/>
      <c r="G600" s="674"/>
      <c r="H600" s="674"/>
      <c r="I600" s="674"/>
      <c r="J600" s="674"/>
      <c r="K600" s="674"/>
      <c r="L600" s="674"/>
      <c r="M600" s="674"/>
      <c r="N600" s="674"/>
      <c r="O600" s="674"/>
      <c r="P600" s="674"/>
      <c r="Q600" s="674"/>
      <c r="R600" s="674"/>
      <c r="S600" s="674"/>
      <c r="T600" s="674"/>
      <c r="U600" s="674"/>
      <c r="V600" s="674"/>
      <c r="W600" s="674"/>
      <c r="X600" s="674"/>
      <c r="Y600" s="674"/>
      <c r="Z600" s="674"/>
      <c r="AA600" s="674"/>
      <c r="AB600" s="674"/>
      <c r="AC600" s="674"/>
      <c r="AD600" s="674"/>
      <c r="AE600" s="674"/>
      <c r="AF600" s="674"/>
      <c r="AG600" s="674"/>
      <c r="AH600" s="674"/>
      <c r="AI600" s="674"/>
      <c r="AJ600" s="674"/>
      <c r="AK600" s="674"/>
      <c r="AL600" s="674"/>
      <c r="AM600" s="674"/>
      <c r="AN600" s="674"/>
      <c r="AO600" s="674"/>
      <c r="AP600" s="674"/>
      <c r="AS600" s="675"/>
      <c r="AU600" s="643"/>
      <c r="AV600" s="699"/>
      <c r="AW600" s="700"/>
      <c r="AX600" s="643"/>
      <c r="AY600" s="643"/>
      <c r="AZ600" s="671"/>
      <c r="BA600" s="643"/>
      <c r="BB600" s="643"/>
    </row>
    <row r="601" spans="1:54" s="673" customFormat="1" ht="13.5" hidden="1" customHeight="1" x14ac:dyDescent="0.2">
      <c r="A601" s="867"/>
      <c r="C601" s="324"/>
      <c r="D601" s="383"/>
      <c r="E601" s="383"/>
      <c r="F601" s="383"/>
      <c r="G601" s="383"/>
      <c r="H601" s="383"/>
      <c r="I601" s="383"/>
      <c r="J601" s="383"/>
      <c r="K601" s="383"/>
      <c r="L601" s="383"/>
      <c r="M601" s="383"/>
      <c r="N601" s="383"/>
      <c r="O601" s="383"/>
      <c r="P601" s="383"/>
      <c r="Q601" s="383"/>
      <c r="R601" s="383"/>
      <c r="S601" s="383"/>
      <c r="T601" s="383"/>
      <c r="U601" s="383"/>
      <c r="V601" s="383"/>
      <c r="W601" s="383"/>
      <c r="X601" s="383"/>
      <c r="Y601" s="383"/>
      <c r="Z601" s="383"/>
      <c r="AA601" s="383"/>
      <c r="AB601" s="383"/>
      <c r="AC601" s="383"/>
      <c r="AD601" s="383"/>
      <c r="AE601" s="383"/>
      <c r="AF601" s="383"/>
      <c r="AG601" s="383"/>
      <c r="AH601" s="383"/>
      <c r="AI601" s="383"/>
      <c r="AJ601" s="383"/>
      <c r="AK601" s="383"/>
      <c r="AL601" s="383"/>
      <c r="AM601" s="383"/>
      <c r="AN601" s="383"/>
      <c r="AO601" s="383"/>
      <c r="AP601" s="674"/>
      <c r="AS601" s="675"/>
      <c r="AU601" s="643"/>
      <c r="AV601" s="699"/>
      <c r="AW601" s="700"/>
      <c r="AX601" s="643"/>
      <c r="AY601" s="643"/>
      <c r="AZ601" s="671"/>
      <c r="BA601" s="643"/>
      <c r="BB601" s="643"/>
    </row>
    <row r="602" spans="1:54" s="673" customFormat="1" ht="13.5" hidden="1" customHeight="1" x14ac:dyDescent="0.2">
      <c r="A602" s="867"/>
      <c r="D602" s="383"/>
      <c r="E602" s="383"/>
      <c r="F602" s="383"/>
      <c r="G602" s="383"/>
      <c r="H602" s="383"/>
      <c r="I602" s="383"/>
      <c r="J602" s="383"/>
      <c r="K602" s="383"/>
      <c r="L602" s="383"/>
      <c r="M602" s="383"/>
      <c r="N602" s="383"/>
      <c r="O602" s="383"/>
      <c r="P602" s="383"/>
      <c r="Q602" s="383"/>
      <c r="R602" s="383"/>
      <c r="S602" s="383"/>
      <c r="T602" s="383"/>
      <c r="U602" s="383"/>
      <c r="V602" s="383"/>
      <c r="W602" s="383"/>
      <c r="X602" s="383"/>
      <c r="Y602" s="383"/>
      <c r="Z602" s="383"/>
      <c r="AA602" s="383"/>
      <c r="AB602" s="383"/>
      <c r="AC602" s="383"/>
      <c r="AD602" s="383"/>
      <c r="AE602" s="383"/>
      <c r="AF602" s="383"/>
      <c r="AG602" s="383"/>
      <c r="AH602" s="383"/>
      <c r="AI602" s="383"/>
      <c r="AJ602" s="383"/>
      <c r="AK602" s="383"/>
      <c r="AL602" s="383"/>
      <c r="AM602" s="383"/>
      <c r="AN602" s="383"/>
      <c r="AO602" s="383"/>
      <c r="AP602" s="674"/>
      <c r="AS602" s="675"/>
      <c r="AU602" s="643"/>
      <c r="AV602" s="699"/>
      <c r="AW602" s="700"/>
      <c r="AX602" s="643"/>
      <c r="AY602" s="643"/>
      <c r="AZ602" s="671"/>
      <c r="BA602" s="643"/>
      <c r="BB602" s="643"/>
    </row>
    <row r="603" spans="1:54" s="673" customFormat="1" ht="13.5" hidden="1" customHeight="1" x14ac:dyDescent="0.2">
      <c r="A603" s="867"/>
      <c r="D603" s="676"/>
      <c r="E603" s="676"/>
      <c r="F603" s="676"/>
      <c r="G603" s="676"/>
      <c r="H603" s="676"/>
      <c r="I603" s="676"/>
      <c r="J603" s="676"/>
      <c r="K603" s="676"/>
      <c r="L603" s="676"/>
      <c r="M603" s="676"/>
      <c r="N603" s="676"/>
      <c r="O603" s="676"/>
      <c r="P603" s="676"/>
      <c r="Q603" s="676"/>
      <c r="R603" s="676"/>
      <c r="S603" s="676"/>
      <c r="T603" s="676"/>
      <c r="U603" s="676"/>
      <c r="V603" s="676"/>
      <c r="W603" s="676"/>
      <c r="X603" s="676"/>
      <c r="Y603" s="676"/>
      <c r="Z603" s="676"/>
      <c r="AA603" s="676"/>
      <c r="AB603" s="676"/>
      <c r="AC603" s="676"/>
      <c r="AD603" s="676"/>
      <c r="AE603" s="676"/>
      <c r="AF603" s="676"/>
      <c r="AG603" s="676"/>
      <c r="AH603" s="676"/>
      <c r="AI603" s="676"/>
      <c r="AJ603" s="676"/>
      <c r="AK603" s="676"/>
      <c r="AL603" s="676"/>
      <c r="AM603" s="676"/>
      <c r="AN603" s="676"/>
      <c r="AO603" s="676"/>
      <c r="AP603" s="674"/>
      <c r="AS603" s="675"/>
      <c r="AU603" s="643"/>
      <c r="AV603" s="699"/>
      <c r="AW603" s="700"/>
      <c r="AX603" s="643"/>
      <c r="AY603" s="643"/>
      <c r="AZ603" s="671"/>
      <c r="BA603" s="643"/>
      <c r="BB603" s="643"/>
    </row>
    <row r="604" spans="1:54" s="673" customFormat="1" ht="13.5" hidden="1" customHeight="1" x14ac:dyDescent="0.2">
      <c r="A604" s="867"/>
      <c r="D604" s="677"/>
      <c r="E604" s="677"/>
      <c r="F604" s="677"/>
      <c r="G604" s="677"/>
      <c r="H604" s="677"/>
      <c r="I604" s="677"/>
      <c r="J604" s="677"/>
      <c r="K604" s="677"/>
      <c r="L604" s="677"/>
      <c r="M604" s="677"/>
      <c r="N604" s="677"/>
      <c r="O604" s="677"/>
      <c r="P604" s="677"/>
      <c r="Q604" s="677"/>
      <c r="R604" s="677"/>
      <c r="S604" s="677"/>
      <c r="T604" s="677"/>
      <c r="U604" s="677"/>
      <c r="V604" s="677"/>
      <c r="W604" s="677"/>
      <c r="X604" s="677"/>
      <c r="Y604" s="677"/>
      <c r="Z604" s="677"/>
      <c r="AA604" s="677"/>
      <c r="AB604" s="677"/>
      <c r="AC604" s="677"/>
      <c r="AD604" s="677"/>
      <c r="AE604" s="677"/>
      <c r="AF604" s="677"/>
      <c r="AG604" s="677"/>
      <c r="AH604" s="677"/>
      <c r="AI604" s="677"/>
      <c r="AJ604" s="677"/>
      <c r="AK604" s="677"/>
      <c r="AL604" s="677"/>
      <c r="AM604" s="677"/>
      <c r="AN604" s="677"/>
      <c r="AO604" s="677"/>
      <c r="AP604" s="674"/>
      <c r="AS604" s="675"/>
      <c r="AU604" s="643"/>
      <c r="AV604" s="699"/>
      <c r="AW604" s="700"/>
      <c r="AY604" s="643"/>
      <c r="AZ604" s="671"/>
      <c r="BA604" s="643"/>
      <c r="BB604" s="643"/>
    </row>
    <row r="605" spans="1:54" s="673" customFormat="1" ht="13.5" hidden="1" customHeight="1" x14ac:dyDescent="0.2">
      <c r="A605" s="867"/>
      <c r="D605" s="677"/>
      <c r="E605" s="677"/>
      <c r="F605" s="677"/>
      <c r="G605" s="677"/>
      <c r="H605" s="677"/>
      <c r="I605" s="677"/>
      <c r="J605" s="677"/>
      <c r="K605" s="677"/>
      <c r="L605" s="677"/>
      <c r="M605" s="677"/>
      <c r="N605" s="677"/>
      <c r="O605" s="677"/>
      <c r="P605" s="677"/>
      <c r="Q605" s="677"/>
      <c r="R605" s="677"/>
      <c r="S605" s="677"/>
      <c r="T605" s="677"/>
      <c r="U605" s="677"/>
      <c r="V605" s="677"/>
      <c r="W605" s="677"/>
      <c r="X605" s="677"/>
      <c r="Y605" s="677"/>
      <c r="Z605" s="677"/>
      <c r="AA605" s="677"/>
      <c r="AB605" s="677"/>
      <c r="AC605" s="677"/>
      <c r="AD605" s="677"/>
      <c r="AE605" s="677"/>
      <c r="AF605" s="677"/>
      <c r="AG605" s="677"/>
      <c r="AH605" s="677"/>
      <c r="AI605" s="677"/>
      <c r="AJ605" s="677"/>
      <c r="AK605" s="677"/>
      <c r="AL605" s="677"/>
      <c r="AM605" s="677"/>
      <c r="AN605" s="677"/>
      <c r="AO605" s="677"/>
      <c r="AP605" s="674"/>
      <c r="AS605" s="675"/>
      <c r="AU605" s="643"/>
      <c r="AV605" s="699"/>
      <c r="AW605" s="700"/>
      <c r="AX605" s="643"/>
      <c r="AY605" s="643"/>
      <c r="AZ605" s="671"/>
      <c r="BA605" s="643"/>
      <c r="BB605" s="643"/>
    </row>
    <row r="606" spans="1:54" s="673" customFormat="1" ht="13.5" hidden="1" customHeight="1" x14ac:dyDescent="0.2">
      <c r="A606" s="867"/>
      <c r="D606" s="674"/>
      <c r="E606" s="674"/>
      <c r="F606" s="674"/>
      <c r="G606" s="674"/>
      <c r="H606" s="674"/>
      <c r="I606" s="674"/>
      <c r="J606" s="674"/>
      <c r="K606" s="674"/>
      <c r="L606" s="674"/>
      <c r="M606" s="674"/>
      <c r="N606" s="674"/>
      <c r="O606" s="674"/>
      <c r="P606" s="674"/>
      <c r="Q606" s="674"/>
      <c r="R606" s="674"/>
      <c r="S606" s="674"/>
      <c r="T606" s="674"/>
      <c r="U606" s="674"/>
      <c r="V606" s="674"/>
      <c r="W606" s="674"/>
      <c r="X606" s="674"/>
      <c r="Y606" s="674"/>
      <c r="Z606" s="674"/>
      <c r="AA606" s="674"/>
      <c r="AB606" s="674"/>
      <c r="AC606" s="674"/>
      <c r="AD606" s="674"/>
      <c r="AE606" s="674"/>
      <c r="AF606" s="674"/>
      <c r="AG606" s="674"/>
      <c r="AH606" s="674"/>
      <c r="AI606" s="674"/>
      <c r="AJ606" s="674"/>
      <c r="AK606" s="674"/>
      <c r="AL606" s="674"/>
      <c r="AM606" s="674"/>
      <c r="AN606" s="674"/>
      <c r="AO606" s="674"/>
      <c r="AP606" s="674"/>
      <c r="AS606" s="675"/>
      <c r="AU606" s="643"/>
      <c r="AV606" s="699"/>
      <c r="AW606" s="700"/>
      <c r="AX606" s="643"/>
      <c r="AY606" s="643"/>
      <c r="AZ606" s="671"/>
      <c r="BA606" s="643"/>
      <c r="BB606" s="643"/>
    </row>
    <row r="607" spans="1:54" s="673" customFormat="1" ht="13.5" hidden="1" customHeight="1" x14ac:dyDescent="0.2">
      <c r="A607" s="867"/>
      <c r="D607" s="674"/>
      <c r="E607" s="674"/>
      <c r="F607" s="674"/>
      <c r="G607" s="674"/>
      <c r="H607" s="674"/>
      <c r="I607" s="674"/>
      <c r="J607" s="674"/>
      <c r="K607" s="674"/>
      <c r="L607" s="674"/>
      <c r="M607" s="674"/>
      <c r="N607" s="674"/>
      <c r="O607" s="674"/>
      <c r="P607" s="674"/>
      <c r="Q607" s="674"/>
      <c r="R607" s="674"/>
      <c r="S607" s="674"/>
      <c r="T607" s="674"/>
      <c r="U607" s="674"/>
      <c r="V607" s="674"/>
      <c r="W607" s="674"/>
      <c r="X607" s="674"/>
      <c r="Y607" s="674"/>
      <c r="Z607" s="674"/>
      <c r="AA607" s="674"/>
      <c r="AB607" s="674"/>
      <c r="AC607" s="674"/>
      <c r="AD607" s="674"/>
      <c r="AE607" s="674"/>
      <c r="AF607" s="674"/>
      <c r="AG607" s="674"/>
      <c r="AH607" s="674"/>
      <c r="AI607" s="674"/>
      <c r="AJ607" s="674"/>
      <c r="AK607" s="674"/>
      <c r="AL607" s="674"/>
      <c r="AM607" s="674"/>
      <c r="AN607" s="674"/>
      <c r="AO607" s="674"/>
      <c r="AP607" s="674"/>
      <c r="AS607" s="675"/>
      <c r="AU607" s="643"/>
      <c r="AV607" s="699"/>
      <c r="AW607" s="700"/>
      <c r="AX607" s="643"/>
      <c r="AY607" s="643"/>
      <c r="AZ607" s="671"/>
      <c r="BA607" s="643"/>
      <c r="BB607" s="643"/>
    </row>
    <row r="608" spans="1:54" s="673" customFormat="1" ht="13.5" hidden="1" customHeight="1" x14ac:dyDescent="0.2">
      <c r="A608" s="867"/>
      <c r="D608" s="674"/>
      <c r="E608" s="674"/>
      <c r="F608" s="674"/>
      <c r="G608" s="674"/>
      <c r="H608" s="674"/>
      <c r="I608" s="674"/>
      <c r="J608" s="674"/>
      <c r="K608" s="674"/>
      <c r="L608" s="674"/>
      <c r="M608" s="674"/>
      <c r="N608" s="674"/>
      <c r="O608" s="674"/>
      <c r="P608" s="674"/>
      <c r="Q608" s="674"/>
      <c r="R608" s="674"/>
      <c r="S608" s="674"/>
      <c r="T608" s="674"/>
      <c r="U608" s="674"/>
      <c r="V608" s="674"/>
      <c r="W608" s="674"/>
      <c r="X608" s="674"/>
      <c r="Y608" s="674"/>
      <c r="Z608" s="674"/>
      <c r="AA608" s="674"/>
      <c r="AB608" s="674"/>
      <c r="AC608" s="674"/>
      <c r="AD608" s="674"/>
      <c r="AE608" s="674"/>
      <c r="AF608" s="674"/>
      <c r="AG608" s="674"/>
      <c r="AH608" s="674"/>
      <c r="AI608" s="674"/>
      <c r="AJ608" s="674"/>
      <c r="AK608" s="674"/>
      <c r="AL608" s="674"/>
      <c r="AM608" s="674"/>
      <c r="AN608" s="674"/>
      <c r="AO608" s="674"/>
      <c r="AP608" s="674"/>
      <c r="AS608" s="675"/>
      <c r="AU608" s="643"/>
      <c r="AV608" s="699"/>
      <c r="AW608" s="700"/>
      <c r="AX608" s="643"/>
      <c r="AY608" s="643"/>
      <c r="AZ608" s="671"/>
      <c r="BA608" s="643"/>
      <c r="BB608" s="643"/>
    </row>
    <row r="609" spans="1:54" s="673" customFormat="1" ht="13.5" hidden="1" customHeight="1" x14ac:dyDescent="0.2">
      <c r="A609" s="867"/>
      <c r="D609" s="674"/>
      <c r="E609" s="674"/>
      <c r="F609" s="674"/>
      <c r="G609" s="674"/>
      <c r="H609" s="674"/>
      <c r="I609" s="674"/>
      <c r="J609" s="674"/>
      <c r="K609" s="674"/>
      <c r="L609" s="674"/>
      <c r="M609" s="674"/>
      <c r="N609" s="674"/>
      <c r="O609" s="674"/>
      <c r="P609" s="674"/>
      <c r="Q609" s="674"/>
      <c r="R609" s="674"/>
      <c r="S609" s="674"/>
      <c r="T609" s="674"/>
      <c r="U609" s="674"/>
      <c r="V609" s="674"/>
      <c r="W609" s="674"/>
      <c r="X609" s="674"/>
      <c r="Y609" s="674"/>
      <c r="Z609" s="674"/>
      <c r="AA609" s="674"/>
      <c r="AB609" s="674"/>
      <c r="AC609" s="674"/>
      <c r="AD609" s="674"/>
      <c r="AE609" s="674"/>
      <c r="AF609" s="674"/>
      <c r="AG609" s="674"/>
      <c r="AH609" s="674"/>
      <c r="AI609" s="674"/>
      <c r="AJ609" s="674"/>
      <c r="AK609" s="674"/>
      <c r="AL609" s="674"/>
      <c r="AM609" s="674"/>
      <c r="AN609" s="674"/>
      <c r="AO609" s="674"/>
      <c r="AP609" s="674"/>
      <c r="AS609" s="675"/>
      <c r="AU609" s="643"/>
      <c r="AV609" s="699"/>
      <c r="AW609" s="700"/>
      <c r="AX609" s="643"/>
      <c r="AY609" s="643"/>
      <c r="AZ609" s="671"/>
      <c r="BA609" s="643"/>
      <c r="BB609" s="643"/>
    </row>
    <row r="610" spans="1:54" s="673" customFormat="1" ht="13.5" hidden="1" customHeight="1" x14ac:dyDescent="0.2">
      <c r="A610" s="867"/>
      <c r="D610" s="674"/>
      <c r="E610" s="674"/>
      <c r="F610" s="674"/>
      <c r="G610" s="674"/>
      <c r="H610" s="674"/>
      <c r="I610" s="674"/>
      <c r="J610" s="674"/>
      <c r="K610" s="674"/>
      <c r="L610" s="674"/>
      <c r="M610" s="674"/>
      <c r="N610" s="674"/>
      <c r="O610" s="674"/>
      <c r="P610" s="674"/>
      <c r="Q610" s="674"/>
      <c r="R610" s="674"/>
      <c r="S610" s="674"/>
      <c r="T610" s="674"/>
      <c r="U610" s="674"/>
      <c r="V610" s="674"/>
      <c r="W610" s="674"/>
      <c r="X610" s="674"/>
      <c r="Y610" s="674"/>
      <c r="Z610" s="674"/>
      <c r="AA610" s="674"/>
      <c r="AB610" s="674"/>
      <c r="AC610" s="674"/>
      <c r="AD610" s="674"/>
      <c r="AE610" s="674"/>
      <c r="AF610" s="674"/>
      <c r="AG610" s="674"/>
      <c r="AH610" s="674"/>
      <c r="AI610" s="674"/>
      <c r="AJ610" s="674"/>
      <c r="AK610" s="674"/>
      <c r="AL610" s="674"/>
      <c r="AM610" s="674"/>
      <c r="AN610" s="674"/>
      <c r="AO610" s="674"/>
      <c r="AP610" s="674"/>
      <c r="AS610" s="675"/>
      <c r="AU610" s="643"/>
      <c r="AV610" s="699"/>
      <c r="AW610" s="700"/>
      <c r="AX610" s="643"/>
      <c r="AY610" s="643"/>
      <c r="AZ610" s="671"/>
      <c r="BA610" s="643"/>
      <c r="BB610" s="643"/>
    </row>
    <row r="611" spans="1:54" s="186" customFormat="1" ht="11.25" hidden="1" customHeight="1" x14ac:dyDescent="0.2">
      <c r="A611" s="867"/>
      <c r="D611" s="678"/>
      <c r="E611" s="678"/>
      <c r="F611" s="678"/>
      <c r="G611" s="678"/>
      <c r="H611" s="678"/>
      <c r="I611" s="678"/>
      <c r="J611" s="678"/>
      <c r="K611" s="678"/>
      <c r="L611" s="678"/>
      <c r="M611" s="678"/>
      <c r="N611" s="678"/>
      <c r="O611" s="678"/>
      <c r="P611" s="678"/>
      <c r="Q611" s="678"/>
      <c r="R611" s="678"/>
      <c r="S611" s="678"/>
      <c r="T611" s="678"/>
      <c r="U611" s="678"/>
      <c r="V611" s="678"/>
      <c r="W611" s="678"/>
      <c r="X611" s="678"/>
      <c r="Y611" s="678"/>
      <c r="Z611" s="678"/>
      <c r="AA611" s="678"/>
      <c r="AB611" s="678"/>
      <c r="AC611" s="678"/>
      <c r="AD611" s="678"/>
      <c r="AE611" s="678"/>
      <c r="AF611" s="678"/>
      <c r="AG611" s="678"/>
      <c r="AH611" s="678"/>
      <c r="AI611" s="678"/>
      <c r="AJ611" s="678"/>
      <c r="AK611" s="678"/>
      <c r="AL611" s="678"/>
      <c r="AM611" s="678"/>
      <c r="AN611" s="678"/>
      <c r="AO611" s="678"/>
      <c r="AP611" s="678"/>
      <c r="AS611" s="672"/>
      <c r="AU611" s="669"/>
      <c r="AV611" s="699"/>
      <c r="AW611" s="700"/>
      <c r="AX611" s="643"/>
      <c r="AY611" s="643"/>
      <c r="AZ611" s="671"/>
      <c r="BA611" s="643"/>
      <c r="BB611" s="669"/>
    </row>
    <row r="612" spans="1:54" ht="26.25" hidden="1" customHeight="1" x14ac:dyDescent="0.2">
      <c r="A612" s="867"/>
      <c r="C612" s="679"/>
      <c r="D612" s="680"/>
      <c r="E612" s="680"/>
      <c r="F612" s="680"/>
      <c r="G612" s="680"/>
      <c r="H612" s="680"/>
      <c r="I612" s="680"/>
      <c r="J612" s="680"/>
      <c r="K612" s="680"/>
      <c r="L612" s="680"/>
      <c r="M612" s="680"/>
      <c r="N612" s="680"/>
      <c r="O612" s="680"/>
      <c r="P612" s="680"/>
      <c r="Q612" s="680"/>
      <c r="R612" s="680"/>
      <c r="S612" s="680"/>
      <c r="T612" s="680"/>
      <c r="U612" s="680"/>
      <c r="V612" s="680"/>
      <c r="W612" s="680"/>
      <c r="X612" s="680"/>
      <c r="Y612" s="680"/>
      <c r="Z612" s="680"/>
      <c r="AA612" s="680"/>
      <c r="AB612" s="680"/>
      <c r="AC612" s="680"/>
      <c r="AD612" s="680"/>
      <c r="AE612" s="680"/>
      <c r="AF612" s="680"/>
      <c r="AG612" s="680"/>
      <c r="AH612" s="680"/>
      <c r="AI612" s="680"/>
      <c r="AJ612" s="680"/>
      <c r="AK612" s="680"/>
      <c r="AL612" s="680"/>
      <c r="AM612" s="680"/>
      <c r="AN612" s="680"/>
      <c r="AO612" s="680"/>
      <c r="AP612" s="868"/>
      <c r="AV612" s="699"/>
      <c r="AW612" s="700"/>
    </row>
    <row r="613" spans="1:54" ht="11.25" hidden="1" customHeight="1" x14ac:dyDescent="0.2">
      <c r="A613" s="867"/>
      <c r="C613" s="681"/>
      <c r="D613" s="682"/>
      <c r="E613" s="682"/>
      <c r="F613" s="682"/>
      <c r="G613" s="682"/>
      <c r="H613" s="682"/>
      <c r="I613" s="682"/>
      <c r="J613" s="682"/>
      <c r="K613" s="682"/>
      <c r="L613" s="682"/>
      <c r="M613" s="682"/>
      <c r="N613" s="682"/>
      <c r="O613" s="682"/>
      <c r="P613" s="682"/>
      <c r="Q613" s="682"/>
      <c r="R613" s="682"/>
      <c r="S613" s="682"/>
      <c r="T613" s="682"/>
      <c r="U613" s="682"/>
      <c r="V613" s="682"/>
      <c r="W613" s="682"/>
      <c r="X613" s="682"/>
      <c r="Y613" s="682"/>
      <c r="Z613" s="682"/>
      <c r="AA613" s="682"/>
      <c r="AB613" s="682"/>
      <c r="AC613" s="682"/>
      <c r="AD613" s="682"/>
      <c r="AE613" s="682"/>
      <c r="AF613" s="682"/>
      <c r="AG613" s="682"/>
      <c r="AH613" s="682"/>
      <c r="AI613" s="682"/>
      <c r="AJ613" s="682"/>
      <c r="AK613" s="682"/>
      <c r="AL613" s="682"/>
      <c r="AM613" s="682"/>
      <c r="AN613" s="682"/>
      <c r="AO613" s="682"/>
      <c r="AP613" s="868"/>
      <c r="AQ613" s="683"/>
      <c r="AV613" s="699"/>
      <c r="AW613" s="700"/>
    </row>
    <row r="614" spans="1:54" ht="11.25" hidden="1" customHeight="1" x14ac:dyDescent="0.2">
      <c r="A614" s="867"/>
      <c r="C614" s="684"/>
      <c r="D614" s="685"/>
      <c r="E614" s="686"/>
      <c r="F614" s="686"/>
      <c r="G614" s="686"/>
      <c r="H614" s="686"/>
      <c r="I614" s="686"/>
      <c r="J614" s="686"/>
      <c r="K614" s="686"/>
      <c r="L614" s="686"/>
      <c r="M614" s="686"/>
      <c r="N614" s="686"/>
      <c r="O614" s="686"/>
      <c r="P614" s="686"/>
      <c r="Q614" s="686"/>
      <c r="R614" s="686"/>
      <c r="S614" s="686"/>
      <c r="T614" s="686"/>
      <c r="U614" s="686"/>
      <c r="V614" s="686"/>
      <c r="W614" s="686"/>
      <c r="X614" s="686"/>
      <c r="Y614" s="686"/>
      <c r="Z614" s="686"/>
      <c r="AA614" s="686"/>
      <c r="AB614" s="686"/>
      <c r="AC614" s="686"/>
      <c r="AD614" s="686"/>
      <c r="AE614" s="686"/>
      <c r="AF614" s="686"/>
      <c r="AG614" s="686"/>
      <c r="AH614" s="686"/>
      <c r="AI614" s="686"/>
      <c r="AJ614" s="686"/>
      <c r="AK614" s="686"/>
      <c r="AL614" s="686"/>
      <c r="AM614" s="686"/>
      <c r="AN614" s="686"/>
      <c r="AO614" s="687"/>
      <c r="AP614" s="868"/>
      <c r="AQ614" s="688"/>
      <c r="AV614" s="699"/>
      <c r="AW614" s="700"/>
    </row>
    <row r="615" spans="1:54" ht="11.25" hidden="1" customHeight="1" x14ac:dyDescent="0.2">
      <c r="A615" s="867"/>
      <c r="C615" s="689"/>
      <c r="D615" s="690"/>
      <c r="E615" s="690"/>
      <c r="F615" s="690"/>
      <c r="G615" s="690"/>
      <c r="H615" s="690"/>
      <c r="I615" s="690"/>
      <c r="J615" s="690"/>
      <c r="K615" s="690"/>
      <c r="L615" s="690"/>
      <c r="M615" s="690"/>
      <c r="N615" s="690"/>
      <c r="O615" s="690"/>
      <c r="P615" s="690"/>
      <c r="Q615" s="690"/>
      <c r="R615" s="690"/>
      <c r="S615" s="690"/>
      <c r="T615" s="690"/>
      <c r="U615" s="690"/>
      <c r="V615" s="690"/>
      <c r="W615" s="690"/>
      <c r="X615" s="690"/>
      <c r="Y615" s="690"/>
      <c r="Z615" s="690"/>
      <c r="AA615" s="690"/>
      <c r="AB615" s="690"/>
      <c r="AC615" s="690"/>
      <c r="AD615" s="690"/>
      <c r="AE615" s="690"/>
      <c r="AF615" s="690"/>
      <c r="AG615" s="690"/>
      <c r="AH615" s="690"/>
      <c r="AI615" s="690"/>
      <c r="AJ615" s="690"/>
      <c r="AK615" s="690"/>
      <c r="AL615" s="690"/>
      <c r="AM615" s="690"/>
      <c r="AN615" s="690"/>
      <c r="AO615" s="690"/>
      <c r="AP615" s="691"/>
      <c r="AS615" s="692"/>
      <c r="AV615" s="699"/>
      <c r="AW615" s="700"/>
    </row>
    <row r="616" spans="1:54" ht="4.5" hidden="1" customHeight="1" x14ac:dyDescent="0.2">
      <c r="A616" s="867"/>
      <c r="AV616" s="699"/>
      <c r="AW616" s="700"/>
    </row>
    <row r="617" spans="1:54" ht="11.25" hidden="1" customHeight="1" x14ac:dyDescent="0.2">
      <c r="A617" s="867"/>
      <c r="C617" s="693"/>
      <c r="D617" s="694"/>
      <c r="E617" s="695"/>
      <c r="F617" s="695"/>
      <c r="G617" s="695"/>
      <c r="H617" s="695"/>
      <c r="I617" s="695"/>
      <c r="J617" s="695"/>
      <c r="K617" s="695"/>
      <c r="L617" s="695"/>
      <c r="M617" s="695"/>
      <c r="N617" s="695"/>
      <c r="O617" s="695"/>
      <c r="P617" s="695"/>
      <c r="Q617" s="695"/>
      <c r="R617" s="695"/>
      <c r="S617" s="695"/>
      <c r="T617" s="695"/>
      <c r="U617" s="695"/>
      <c r="V617" s="695"/>
      <c r="W617" s="695"/>
      <c r="X617" s="695"/>
      <c r="Y617" s="695"/>
      <c r="Z617" s="695"/>
      <c r="AA617" s="695"/>
      <c r="AB617" s="695"/>
      <c r="AC617" s="695"/>
      <c r="AD617" s="695"/>
      <c r="AE617" s="695"/>
      <c r="AF617" s="695"/>
      <c r="AG617" s="695"/>
      <c r="AH617" s="695"/>
      <c r="AI617" s="695"/>
      <c r="AJ617" s="695"/>
      <c r="AK617" s="695"/>
      <c r="AL617" s="695"/>
      <c r="AM617" s="695"/>
      <c r="AN617" s="695"/>
      <c r="AO617" s="696"/>
      <c r="AP617" s="697"/>
      <c r="AQ617" s="698"/>
      <c r="AS617" s="208"/>
      <c r="AV617" s="699"/>
      <c r="AW617" s="700"/>
      <c r="AX617" s="382"/>
      <c r="AY617" s="379"/>
      <c r="AZ617" s="384"/>
      <c r="BA617" s="642"/>
    </row>
    <row r="618" spans="1:54" ht="11.25" hidden="1" customHeight="1" x14ac:dyDescent="0.2">
      <c r="A618" s="867"/>
      <c r="C618" s="701"/>
      <c r="D618" s="702"/>
      <c r="E618" s="703"/>
      <c r="F618" s="703"/>
      <c r="G618" s="703"/>
      <c r="H618" s="703"/>
      <c r="I618" s="703"/>
      <c r="J618" s="703"/>
      <c r="K618" s="703"/>
      <c r="L618" s="703"/>
      <c r="M618" s="703"/>
      <c r="N618" s="703"/>
      <c r="O618" s="703"/>
      <c r="P618" s="703"/>
      <c r="Q618" s="703"/>
      <c r="R618" s="703"/>
      <c r="S618" s="703"/>
      <c r="T618" s="703"/>
      <c r="U618" s="703"/>
      <c r="V618" s="703"/>
      <c r="W618" s="703"/>
      <c r="X618" s="703"/>
      <c r="Y618" s="703"/>
      <c r="Z618" s="703"/>
      <c r="AA618" s="703"/>
      <c r="AB618" s="703"/>
      <c r="AC618" s="703"/>
      <c r="AD618" s="703"/>
      <c r="AE618" s="703"/>
      <c r="AF618" s="703"/>
      <c r="AG618" s="703"/>
      <c r="AH618" s="703"/>
      <c r="AI618" s="703"/>
      <c r="AJ618" s="703"/>
      <c r="AK618" s="703"/>
      <c r="AL618" s="703"/>
      <c r="AM618" s="703"/>
      <c r="AN618" s="703"/>
      <c r="AO618" s="704"/>
      <c r="AP618" s="705"/>
      <c r="AQ618" s="698"/>
      <c r="AS618" s="220"/>
      <c r="AV618" s="699"/>
      <c r="AW618" s="700"/>
      <c r="AX618" s="382"/>
      <c r="AY618" s="379"/>
      <c r="AZ618" s="384"/>
      <c r="BA618" s="642"/>
    </row>
    <row r="619" spans="1:54" ht="11.25" hidden="1" customHeight="1" x14ac:dyDescent="0.2">
      <c r="A619" s="867"/>
      <c r="C619" s="701"/>
      <c r="D619" s="702"/>
      <c r="E619" s="703"/>
      <c r="F619" s="703"/>
      <c r="G619" s="703"/>
      <c r="H619" s="703"/>
      <c r="I619" s="703"/>
      <c r="J619" s="703"/>
      <c r="K619" s="703"/>
      <c r="L619" s="703"/>
      <c r="M619" s="703"/>
      <c r="N619" s="703"/>
      <c r="O619" s="703"/>
      <c r="P619" s="703"/>
      <c r="Q619" s="703"/>
      <c r="R619" s="703"/>
      <c r="S619" s="703"/>
      <c r="T619" s="703"/>
      <c r="U619" s="703"/>
      <c r="V619" s="703"/>
      <c r="W619" s="703"/>
      <c r="X619" s="703"/>
      <c r="Y619" s="703"/>
      <c r="Z619" s="703"/>
      <c r="AA619" s="703"/>
      <c r="AB619" s="703"/>
      <c r="AC619" s="703"/>
      <c r="AD619" s="703"/>
      <c r="AE619" s="703"/>
      <c r="AF619" s="703"/>
      <c r="AG619" s="703"/>
      <c r="AH619" s="703"/>
      <c r="AI619" s="703"/>
      <c r="AJ619" s="703"/>
      <c r="AK619" s="703"/>
      <c r="AL619" s="703"/>
      <c r="AM619" s="703"/>
      <c r="AN619" s="703"/>
      <c r="AO619" s="704"/>
      <c r="AP619" s="705"/>
      <c r="AQ619" s="698"/>
      <c r="AS619" s="220"/>
      <c r="AV619" s="699"/>
      <c r="AW619" s="700"/>
      <c r="AX619" s="382"/>
      <c r="AY619" s="379"/>
      <c r="AZ619" s="384"/>
      <c r="BA619" s="642"/>
    </row>
    <row r="620" spans="1:54" ht="11.25" hidden="1" customHeight="1" x14ac:dyDescent="0.2">
      <c r="A620" s="867"/>
      <c r="C620" s="701"/>
      <c r="D620" s="702"/>
      <c r="E620" s="703"/>
      <c r="F620" s="703"/>
      <c r="G620" s="703"/>
      <c r="H620" s="703"/>
      <c r="I620" s="703"/>
      <c r="J620" s="703"/>
      <c r="K620" s="703"/>
      <c r="L620" s="703"/>
      <c r="M620" s="703"/>
      <c r="N620" s="703"/>
      <c r="O620" s="703"/>
      <c r="P620" s="703"/>
      <c r="Q620" s="703"/>
      <c r="R620" s="703"/>
      <c r="S620" s="703"/>
      <c r="T620" s="703"/>
      <c r="U620" s="703"/>
      <c r="V620" s="703"/>
      <c r="W620" s="703"/>
      <c r="X620" s="703"/>
      <c r="Y620" s="703"/>
      <c r="Z620" s="703"/>
      <c r="AA620" s="703"/>
      <c r="AB620" s="703"/>
      <c r="AC620" s="703"/>
      <c r="AD620" s="703"/>
      <c r="AE620" s="703"/>
      <c r="AF620" s="703"/>
      <c r="AG620" s="703"/>
      <c r="AH620" s="703"/>
      <c r="AI620" s="703"/>
      <c r="AJ620" s="703"/>
      <c r="AK620" s="703"/>
      <c r="AL620" s="703"/>
      <c r="AM620" s="703"/>
      <c r="AN620" s="703"/>
      <c r="AO620" s="704"/>
      <c r="AP620" s="705"/>
      <c r="AQ620" s="698"/>
      <c r="AS620" s="220"/>
      <c r="AV620" s="699"/>
      <c r="AW620" s="700"/>
      <c r="AX620" s="382"/>
      <c r="AY620" s="379"/>
      <c r="AZ620" s="384"/>
      <c r="BA620" s="642"/>
    </row>
    <row r="621" spans="1:54" ht="11.25" hidden="1" customHeight="1" x14ac:dyDescent="0.2">
      <c r="A621" s="867"/>
      <c r="C621" s="701"/>
      <c r="D621" s="702"/>
      <c r="E621" s="703"/>
      <c r="F621" s="703"/>
      <c r="G621" s="703"/>
      <c r="H621" s="703"/>
      <c r="I621" s="703"/>
      <c r="J621" s="703"/>
      <c r="K621" s="703"/>
      <c r="L621" s="703"/>
      <c r="M621" s="703"/>
      <c r="N621" s="703"/>
      <c r="O621" s="703"/>
      <c r="P621" s="703"/>
      <c r="Q621" s="703"/>
      <c r="R621" s="703"/>
      <c r="S621" s="703"/>
      <c r="T621" s="703"/>
      <c r="U621" s="703"/>
      <c r="V621" s="703"/>
      <c r="W621" s="703"/>
      <c r="X621" s="703"/>
      <c r="Y621" s="703"/>
      <c r="Z621" s="703"/>
      <c r="AA621" s="703"/>
      <c r="AB621" s="703"/>
      <c r="AC621" s="703"/>
      <c r="AD621" s="703"/>
      <c r="AE621" s="703"/>
      <c r="AF621" s="703"/>
      <c r="AG621" s="703"/>
      <c r="AH621" s="703"/>
      <c r="AI621" s="703"/>
      <c r="AJ621" s="703"/>
      <c r="AK621" s="703"/>
      <c r="AL621" s="703"/>
      <c r="AM621" s="703"/>
      <c r="AN621" s="703"/>
      <c r="AO621" s="704"/>
      <c r="AP621" s="705"/>
      <c r="AQ621" s="698"/>
      <c r="AS621" s="220"/>
      <c r="AV621" s="699"/>
      <c r="AW621" s="700"/>
      <c r="AX621" s="382"/>
      <c r="AY621" s="379"/>
      <c r="AZ621" s="384"/>
      <c r="BA621" s="642"/>
    </row>
    <row r="622" spans="1:54" ht="11.25" hidden="1" customHeight="1" x14ac:dyDescent="0.2">
      <c r="A622" s="867"/>
      <c r="C622" s="701"/>
      <c r="D622" s="702"/>
      <c r="E622" s="703"/>
      <c r="F622" s="703"/>
      <c r="G622" s="703"/>
      <c r="H622" s="703"/>
      <c r="I622" s="703"/>
      <c r="J622" s="703"/>
      <c r="K622" s="703"/>
      <c r="L622" s="703"/>
      <c r="M622" s="703"/>
      <c r="N622" s="703"/>
      <c r="O622" s="703"/>
      <c r="P622" s="703"/>
      <c r="Q622" s="703"/>
      <c r="R622" s="703"/>
      <c r="S622" s="703"/>
      <c r="T622" s="703"/>
      <c r="U622" s="703"/>
      <c r="V622" s="703"/>
      <c r="W622" s="703"/>
      <c r="X622" s="703"/>
      <c r="Y622" s="703"/>
      <c r="Z622" s="703"/>
      <c r="AA622" s="703"/>
      <c r="AB622" s="703"/>
      <c r="AC622" s="703"/>
      <c r="AD622" s="703"/>
      <c r="AE622" s="703"/>
      <c r="AF622" s="703"/>
      <c r="AG622" s="703"/>
      <c r="AH622" s="703"/>
      <c r="AI622" s="703"/>
      <c r="AJ622" s="703"/>
      <c r="AK622" s="703"/>
      <c r="AL622" s="703"/>
      <c r="AM622" s="703"/>
      <c r="AN622" s="703"/>
      <c r="AO622" s="704"/>
      <c r="AP622" s="705"/>
      <c r="AQ622" s="698"/>
      <c r="AS622" s="220"/>
      <c r="AV622" s="699"/>
      <c r="AW622" s="700"/>
      <c r="AX622" s="382"/>
      <c r="AY622" s="379"/>
      <c r="AZ622" s="384"/>
      <c r="BA622" s="642"/>
    </row>
    <row r="623" spans="1:54" ht="11.25" hidden="1" customHeight="1" x14ac:dyDescent="0.2">
      <c r="A623" s="867"/>
      <c r="C623" s="701"/>
      <c r="D623" s="702"/>
      <c r="E623" s="703"/>
      <c r="F623" s="703"/>
      <c r="G623" s="703"/>
      <c r="H623" s="703"/>
      <c r="I623" s="703"/>
      <c r="J623" s="703"/>
      <c r="K623" s="703"/>
      <c r="L623" s="703"/>
      <c r="M623" s="703"/>
      <c r="N623" s="703"/>
      <c r="O623" s="703"/>
      <c r="P623" s="703"/>
      <c r="Q623" s="703"/>
      <c r="R623" s="703"/>
      <c r="S623" s="703"/>
      <c r="T623" s="703"/>
      <c r="U623" s="703"/>
      <c r="V623" s="703"/>
      <c r="W623" s="703"/>
      <c r="X623" s="703"/>
      <c r="Y623" s="703"/>
      <c r="Z623" s="703"/>
      <c r="AA623" s="703"/>
      <c r="AB623" s="703"/>
      <c r="AC623" s="703"/>
      <c r="AD623" s="703"/>
      <c r="AE623" s="703"/>
      <c r="AF623" s="703"/>
      <c r="AG623" s="703"/>
      <c r="AH623" s="703"/>
      <c r="AI623" s="703"/>
      <c r="AJ623" s="703"/>
      <c r="AK623" s="703"/>
      <c r="AL623" s="703"/>
      <c r="AM623" s="703"/>
      <c r="AN623" s="703"/>
      <c r="AO623" s="704"/>
      <c r="AP623" s="705"/>
      <c r="AQ623" s="698"/>
      <c r="AS623" s="220"/>
      <c r="AV623" s="699"/>
      <c r="AW623" s="700"/>
      <c r="AX623" s="382"/>
      <c r="AY623" s="379"/>
      <c r="AZ623" s="384"/>
      <c r="BA623" s="642"/>
    </row>
    <row r="624" spans="1:54" ht="11.25" hidden="1" customHeight="1" x14ac:dyDescent="0.2">
      <c r="A624" s="867"/>
      <c r="C624" s="701"/>
      <c r="D624" s="702"/>
      <c r="E624" s="703"/>
      <c r="F624" s="703"/>
      <c r="G624" s="703"/>
      <c r="H624" s="703"/>
      <c r="I624" s="703"/>
      <c r="J624" s="703"/>
      <c r="K624" s="703"/>
      <c r="L624" s="703"/>
      <c r="M624" s="703"/>
      <c r="N624" s="703"/>
      <c r="O624" s="703"/>
      <c r="P624" s="703"/>
      <c r="Q624" s="703"/>
      <c r="R624" s="703"/>
      <c r="S624" s="703"/>
      <c r="T624" s="703"/>
      <c r="U624" s="703"/>
      <c r="V624" s="703"/>
      <c r="W624" s="703"/>
      <c r="X624" s="703"/>
      <c r="Y624" s="703"/>
      <c r="Z624" s="703"/>
      <c r="AA624" s="703"/>
      <c r="AB624" s="703"/>
      <c r="AC624" s="703"/>
      <c r="AD624" s="703"/>
      <c r="AE624" s="703"/>
      <c r="AF624" s="703"/>
      <c r="AG624" s="703"/>
      <c r="AH624" s="703"/>
      <c r="AI624" s="703"/>
      <c r="AJ624" s="703"/>
      <c r="AK624" s="703"/>
      <c r="AL624" s="703"/>
      <c r="AM624" s="703"/>
      <c r="AN624" s="703"/>
      <c r="AO624" s="704"/>
      <c r="AP624" s="705"/>
      <c r="AQ624" s="698"/>
      <c r="AS624" s="220"/>
      <c r="AV624" s="699"/>
      <c r="AW624" s="700"/>
      <c r="AX624" s="382"/>
      <c r="AY624" s="379"/>
      <c r="AZ624" s="384"/>
      <c r="BA624" s="642"/>
    </row>
    <row r="625" spans="1:53" ht="11.25" hidden="1" customHeight="1" x14ac:dyDescent="0.2">
      <c r="A625" s="867"/>
      <c r="C625" s="701"/>
      <c r="D625" s="702"/>
      <c r="E625" s="703"/>
      <c r="F625" s="703"/>
      <c r="G625" s="703"/>
      <c r="H625" s="703"/>
      <c r="I625" s="703"/>
      <c r="J625" s="703"/>
      <c r="K625" s="703"/>
      <c r="L625" s="703"/>
      <c r="M625" s="703"/>
      <c r="N625" s="703"/>
      <c r="O625" s="703"/>
      <c r="P625" s="703"/>
      <c r="Q625" s="703"/>
      <c r="R625" s="703"/>
      <c r="S625" s="703"/>
      <c r="T625" s="703"/>
      <c r="U625" s="703"/>
      <c r="V625" s="703"/>
      <c r="W625" s="703"/>
      <c r="X625" s="703"/>
      <c r="Y625" s="703"/>
      <c r="Z625" s="703"/>
      <c r="AA625" s="703"/>
      <c r="AB625" s="703"/>
      <c r="AC625" s="703"/>
      <c r="AD625" s="703"/>
      <c r="AE625" s="703"/>
      <c r="AF625" s="703"/>
      <c r="AG625" s="703"/>
      <c r="AH625" s="703"/>
      <c r="AI625" s="703"/>
      <c r="AJ625" s="703"/>
      <c r="AK625" s="703"/>
      <c r="AL625" s="703"/>
      <c r="AM625" s="703"/>
      <c r="AN625" s="703"/>
      <c r="AO625" s="704"/>
      <c r="AP625" s="705"/>
      <c r="AQ625" s="698"/>
      <c r="AS625" s="220"/>
      <c r="AV625" s="699"/>
      <c r="AW625" s="700"/>
      <c r="AX625" s="382"/>
      <c r="AY625" s="379"/>
      <c r="AZ625" s="384"/>
      <c r="BA625" s="642"/>
    </row>
    <row r="626" spans="1:53" ht="11.25" hidden="1" customHeight="1" x14ac:dyDescent="0.2">
      <c r="A626" s="867"/>
      <c r="C626" s="701"/>
      <c r="D626" s="702"/>
      <c r="E626" s="703"/>
      <c r="F626" s="703"/>
      <c r="G626" s="703"/>
      <c r="H626" s="703"/>
      <c r="I626" s="703"/>
      <c r="J626" s="703"/>
      <c r="K626" s="703"/>
      <c r="L626" s="703"/>
      <c r="M626" s="703"/>
      <c r="N626" s="703"/>
      <c r="O626" s="703"/>
      <c r="P626" s="703"/>
      <c r="Q626" s="703"/>
      <c r="R626" s="703"/>
      <c r="S626" s="703"/>
      <c r="T626" s="703"/>
      <c r="U626" s="703"/>
      <c r="V626" s="703"/>
      <c r="W626" s="703"/>
      <c r="X626" s="703"/>
      <c r="Y626" s="703"/>
      <c r="Z626" s="703"/>
      <c r="AA626" s="703"/>
      <c r="AB626" s="703"/>
      <c r="AC626" s="703"/>
      <c r="AD626" s="703"/>
      <c r="AE626" s="703"/>
      <c r="AF626" s="703"/>
      <c r="AG626" s="703"/>
      <c r="AH626" s="703"/>
      <c r="AI626" s="703"/>
      <c r="AJ626" s="703"/>
      <c r="AK626" s="703"/>
      <c r="AL626" s="703"/>
      <c r="AM626" s="703"/>
      <c r="AN626" s="703"/>
      <c r="AO626" s="704"/>
      <c r="AP626" s="705"/>
      <c r="AQ626" s="698"/>
      <c r="AS626" s="220"/>
      <c r="AV626" s="699"/>
      <c r="AW626" s="700"/>
      <c r="AX626" s="382"/>
      <c r="AY626" s="379"/>
      <c r="AZ626" s="384"/>
      <c r="BA626" s="642"/>
    </row>
    <row r="627" spans="1:53" ht="11.25" hidden="1" customHeight="1" x14ac:dyDescent="0.2">
      <c r="A627" s="867"/>
      <c r="C627" s="701"/>
      <c r="D627" s="702"/>
      <c r="E627" s="703"/>
      <c r="F627" s="703"/>
      <c r="G627" s="703"/>
      <c r="H627" s="703"/>
      <c r="I627" s="703"/>
      <c r="J627" s="703"/>
      <c r="K627" s="703"/>
      <c r="L627" s="703"/>
      <c r="M627" s="703"/>
      <c r="N627" s="703"/>
      <c r="O627" s="703"/>
      <c r="P627" s="703"/>
      <c r="Q627" s="703"/>
      <c r="R627" s="703"/>
      <c r="S627" s="703"/>
      <c r="T627" s="703"/>
      <c r="U627" s="703"/>
      <c r="V627" s="703"/>
      <c r="W627" s="703"/>
      <c r="X627" s="703"/>
      <c r="Y627" s="703"/>
      <c r="Z627" s="703"/>
      <c r="AA627" s="703"/>
      <c r="AB627" s="703"/>
      <c r="AC627" s="703"/>
      <c r="AD627" s="703"/>
      <c r="AE627" s="703"/>
      <c r="AF627" s="703"/>
      <c r="AG627" s="703"/>
      <c r="AH627" s="703"/>
      <c r="AI627" s="703"/>
      <c r="AJ627" s="703"/>
      <c r="AK627" s="703"/>
      <c r="AL627" s="703"/>
      <c r="AM627" s="703"/>
      <c r="AN627" s="703"/>
      <c r="AO627" s="704"/>
      <c r="AP627" s="705"/>
      <c r="AQ627" s="698"/>
      <c r="AS627" s="220"/>
      <c r="AV627" s="699"/>
      <c r="AW627" s="700"/>
      <c r="AX627" s="382"/>
      <c r="AY627" s="379"/>
      <c r="AZ627" s="384"/>
      <c r="BA627" s="642"/>
    </row>
    <row r="628" spans="1:53" ht="11.25" hidden="1" customHeight="1" x14ac:dyDescent="0.2">
      <c r="A628" s="867"/>
      <c r="C628" s="701"/>
      <c r="D628" s="702"/>
      <c r="E628" s="703"/>
      <c r="F628" s="703"/>
      <c r="G628" s="703"/>
      <c r="H628" s="703"/>
      <c r="I628" s="703"/>
      <c r="J628" s="703"/>
      <c r="K628" s="703"/>
      <c r="L628" s="703"/>
      <c r="M628" s="703"/>
      <c r="N628" s="703"/>
      <c r="O628" s="703"/>
      <c r="P628" s="703"/>
      <c r="Q628" s="703"/>
      <c r="R628" s="703"/>
      <c r="S628" s="703"/>
      <c r="T628" s="703"/>
      <c r="U628" s="703"/>
      <c r="V628" s="703"/>
      <c r="W628" s="703"/>
      <c r="X628" s="703"/>
      <c r="Y628" s="703"/>
      <c r="Z628" s="703"/>
      <c r="AA628" s="703"/>
      <c r="AB628" s="703"/>
      <c r="AC628" s="703"/>
      <c r="AD628" s="703"/>
      <c r="AE628" s="703"/>
      <c r="AF628" s="703"/>
      <c r="AG628" s="703"/>
      <c r="AH628" s="703"/>
      <c r="AI628" s="703"/>
      <c r="AJ628" s="703"/>
      <c r="AK628" s="703"/>
      <c r="AL628" s="703"/>
      <c r="AM628" s="703"/>
      <c r="AN628" s="703"/>
      <c r="AO628" s="704"/>
      <c r="AP628" s="705"/>
      <c r="AQ628" s="698"/>
      <c r="AS628" s="220"/>
      <c r="AV628" s="699"/>
      <c r="AW628" s="700"/>
      <c r="AX628" s="382"/>
      <c r="AY628" s="379"/>
      <c r="AZ628" s="384"/>
      <c r="BA628" s="642"/>
    </row>
    <row r="629" spans="1:53" ht="11.25" hidden="1" customHeight="1" x14ac:dyDescent="0.2">
      <c r="A629" s="867"/>
      <c r="C629" s="701"/>
      <c r="D629" s="702"/>
      <c r="E629" s="703"/>
      <c r="F629" s="703"/>
      <c r="G629" s="703"/>
      <c r="H629" s="703"/>
      <c r="I629" s="703"/>
      <c r="J629" s="703"/>
      <c r="K629" s="703"/>
      <c r="L629" s="703"/>
      <c r="M629" s="703"/>
      <c r="N629" s="703"/>
      <c r="O629" s="703"/>
      <c r="P629" s="703"/>
      <c r="Q629" s="703"/>
      <c r="R629" s="703"/>
      <c r="S629" s="703"/>
      <c r="T629" s="703"/>
      <c r="U629" s="703"/>
      <c r="V629" s="703"/>
      <c r="W629" s="703"/>
      <c r="X629" s="703"/>
      <c r="Y629" s="703"/>
      <c r="Z629" s="703"/>
      <c r="AA629" s="703"/>
      <c r="AB629" s="703"/>
      <c r="AC629" s="703"/>
      <c r="AD629" s="703"/>
      <c r="AE629" s="703"/>
      <c r="AF629" s="703"/>
      <c r="AG629" s="703"/>
      <c r="AH629" s="703"/>
      <c r="AI629" s="703"/>
      <c r="AJ629" s="703"/>
      <c r="AK629" s="703"/>
      <c r="AL629" s="703"/>
      <c r="AM629" s="703"/>
      <c r="AN629" s="703"/>
      <c r="AO629" s="704"/>
      <c r="AP629" s="705"/>
      <c r="AQ629" s="698"/>
      <c r="AS629" s="220"/>
      <c r="AV629" s="699"/>
      <c r="AW629" s="700"/>
      <c r="AX629" s="382"/>
      <c r="AY629" s="379"/>
      <c r="AZ629" s="384"/>
      <c r="BA629" s="642"/>
    </row>
    <row r="630" spans="1:53" ht="11.25" hidden="1" customHeight="1" x14ac:dyDescent="0.2">
      <c r="A630" s="867"/>
      <c r="C630" s="701"/>
      <c r="D630" s="702"/>
      <c r="E630" s="703"/>
      <c r="F630" s="703"/>
      <c r="G630" s="703"/>
      <c r="H630" s="703"/>
      <c r="I630" s="703"/>
      <c r="J630" s="703"/>
      <c r="K630" s="703"/>
      <c r="L630" s="703"/>
      <c r="M630" s="703"/>
      <c r="N630" s="703"/>
      <c r="O630" s="703"/>
      <c r="P630" s="703"/>
      <c r="Q630" s="703"/>
      <c r="R630" s="703"/>
      <c r="S630" s="703"/>
      <c r="T630" s="703"/>
      <c r="U630" s="703"/>
      <c r="V630" s="703"/>
      <c r="W630" s="703"/>
      <c r="X630" s="703"/>
      <c r="Y630" s="703"/>
      <c r="Z630" s="703"/>
      <c r="AA630" s="703"/>
      <c r="AB630" s="703"/>
      <c r="AC630" s="703"/>
      <c r="AD630" s="703"/>
      <c r="AE630" s="703"/>
      <c r="AF630" s="703"/>
      <c r="AG630" s="703"/>
      <c r="AH630" s="703"/>
      <c r="AI630" s="703"/>
      <c r="AJ630" s="703"/>
      <c r="AK630" s="703"/>
      <c r="AL630" s="703"/>
      <c r="AM630" s="703"/>
      <c r="AN630" s="703"/>
      <c r="AO630" s="704"/>
      <c r="AP630" s="705"/>
      <c r="AQ630" s="698"/>
      <c r="AS630" s="220"/>
      <c r="AV630" s="699"/>
      <c r="AW630" s="700"/>
      <c r="AX630" s="382"/>
      <c r="AY630" s="379"/>
      <c r="AZ630" s="384"/>
      <c r="BA630" s="642"/>
    </row>
    <row r="631" spans="1:53" ht="11.25" hidden="1" customHeight="1" x14ac:dyDescent="0.2">
      <c r="A631" s="867"/>
      <c r="C631" s="701"/>
      <c r="D631" s="702"/>
      <c r="E631" s="703"/>
      <c r="F631" s="703"/>
      <c r="G631" s="703"/>
      <c r="H631" s="703"/>
      <c r="I631" s="703"/>
      <c r="J631" s="703"/>
      <c r="K631" s="703"/>
      <c r="L631" s="703"/>
      <c r="M631" s="703"/>
      <c r="N631" s="703"/>
      <c r="O631" s="703"/>
      <c r="P631" s="703"/>
      <c r="Q631" s="703"/>
      <c r="R631" s="703"/>
      <c r="S631" s="703"/>
      <c r="T631" s="703"/>
      <c r="U631" s="703"/>
      <c r="V631" s="703"/>
      <c r="W631" s="703"/>
      <c r="X631" s="703"/>
      <c r="Y631" s="703"/>
      <c r="Z631" s="703"/>
      <c r="AA631" s="703"/>
      <c r="AB631" s="703"/>
      <c r="AC631" s="703"/>
      <c r="AD631" s="703"/>
      <c r="AE631" s="703"/>
      <c r="AF631" s="703"/>
      <c r="AG631" s="703"/>
      <c r="AH631" s="703"/>
      <c r="AI631" s="703"/>
      <c r="AJ631" s="703"/>
      <c r="AK631" s="703"/>
      <c r="AL631" s="703"/>
      <c r="AM631" s="703"/>
      <c r="AN631" s="703"/>
      <c r="AO631" s="704"/>
      <c r="AP631" s="705"/>
      <c r="AQ631" s="698"/>
      <c r="AS631" s="220"/>
      <c r="AV631" s="699"/>
      <c r="AW631" s="700"/>
      <c r="AX631" s="382"/>
      <c r="AY631" s="379"/>
      <c r="AZ631" s="384"/>
      <c r="BA631" s="642"/>
    </row>
    <row r="632" spans="1:53" ht="11.25" hidden="1" customHeight="1" x14ac:dyDescent="0.2">
      <c r="A632" s="867"/>
      <c r="C632" s="701"/>
      <c r="D632" s="702"/>
      <c r="E632" s="703"/>
      <c r="F632" s="703"/>
      <c r="G632" s="703"/>
      <c r="H632" s="703"/>
      <c r="I632" s="703"/>
      <c r="J632" s="703"/>
      <c r="K632" s="703"/>
      <c r="L632" s="703"/>
      <c r="M632" s="703"/>
      <c r="N632" s="703"/>
      <c r="O632" s="703"/>
      <c r="P632" s="703"/>
      <c r="Q632" s="703"/>
      <c r="R632" s="703"/>
      <c r="S632" s="703"/>
      <c r="T632" s="703"/>
      <c r="U632" s="703"/>
      <c r="V632" s="703"/>
      <c r="W632" s="703"/>
      <c r="X632" s="703"/>
      <c r="Y632" s="703"/>
      <c r="Z632" s="703"/>
      <c r="AA632" s="703"/>
      <c r="AB632" s="703"/>
      <c r="AC632" s="703"/>
      <c r="AD632" s="703"/>
      <c r="AE632" s="703"/>
      <c r="AF632" s="703"/>
      <c r="AG632" s="703"/>
      <c r="AH632" s="703"/>
      <c r="AI632" s="703"/>
      <c r="AJ632" s="703"/>
      <c r="AK632" s="703"/>
      <c r="AL632" s="703"/>
      <c r="AM632" s="703"/>
      <c r="AN632" s="703"/>
      <c r="AO632" s="704"/>
      <c r="AP632" s="705"/>
      <c r="AQ632" s="698"/>
      <c r="AS632" s="220"/>
      <c r="AV632" s="699"/>
      <c r="AW632" s="700"/>
      <c r="AX632" s="382"/>
      <c r="AY632" s="379"/>
      <c r="AZ632" s="384"/>
      <c r="BA632" s="642"/>
    </row>
    <row r="633" spans="1:53" ht="11.25" hidden="1" customHeight="1" x14ac:dyDescent="0.2">
      <c r="A633" s="867"/>
      <c r="C633" s="701"/>
      <c r="D633" s="702"/>
      <c r="E633" s="703"/>
      <c r="F633" s="703"/>
      <c r="G633" s="703"/>
      <c r="H633" s="703"/>
      <c r="I633" s="703"/>
      <c r="J633" s="703"/>
      <c r="K633" s="703"/>
      <c r="L633" s="703"/>
      <c r="M633" s="703"/>
      <c r="N633" s="703"/>
      <c r="O633" s="703"/>
      <c r="P633" s="703"/>
      <c r="Q633" s="703"/>
      <c r="R633" s="703"/>
      <c r="S633" s="703"/>
      <c r="T633" s="703"/>
      <c r="U633" s="703"/>
      <c r="V633" s="703"/>
      <c r="W633" s="703"/>
      <c r="X633" s="703"/>
      <c r="Y633" s="703"/>
      <c r="Z633" s="703"/>
      <c r="AA633" s="703"/>
      <c r="AB633" s="703"/>
      <c r="AC633" s="703"/>
      <c r="AD633" s="703"/>
      <c r="AE633" s="703"/>
      <c r="AF633" s="703"/>
      <c r="AG633" s="703"/>
      <c r="AH633" s="703"/>
      <c r="AI633" s="703"/>
      <c r="AJ633" s="703"/>
      <c r="AK633" s="703"/>
      <c r="AL633" s="703"/>
      <c r="AM633" s="703"/>
      <c r="AN633" s="703"/>
      <c r="AO633" s="704"/>
      <c r="AP633" s="705"/>
      <c r="AQ633" s="698"/>
      <c r="AS633" s="220"/>
      <c r="AV633" s="699"/>
      <c r="AW633" s="700"/>
      <c r="AX633" s="382"/>
      <c r="AY633" s="379"/>
      <c r="AZ633" s="384"/>
      <c r="BA633" s="642"/>
    </row>
    <row r="634" spans="1:53" ht="11.25" hidden="1" customHeight="1" x14ac:dyDescent="0.2">
      <c r="A634" s="867"/>
      <c r="C634" s="701"/>
      <c r="D634" s="702"/>
      <c r="E634" s="703"/>
      <c r="F634" s="703"/>
      <c r="G634" s="703"/>
      <c r="H634" s="703"/>
      <c r="I634" s="703"/>
      <c r="J634" s="703"/>
      <c r="K634" s="703"/>
      <c r="L634" s="703"/>
      <c r="M634" s="703"/>
      <c r="N634" s="703"/>
      <c r="O634" s="703"/>
      <c r="P634" s="703"/>
      <c r="Q634" s="703"/>
      <c r="R634" s="703"/>
      <c r="S634" s="703"/>
      <c r="T634" s="703"/>
      <c r="U634" s="703"/>
      <c r="V634" s="703"/>
      <c r="W634" s="703"/>
      <c r="X634" s="703"/>
      <c r="Y634" s="703"/>
      <c r="Z634" s="703"/>
      <c r="AA634" s="703"/>
      <c r="AB634" s="703"/>
      <c r="AC634" s="703"/>
      <c r="AD634" s="703"/>
      <c r="AE634" s="703"/>
      <c r="AF634" s="703"/>
      <c r="AG634" s="703"/>
      <c r="AH634" s="703"/>
      <c r="AI634" s="703"/>
      <c r="AJ634" s="703"/>
      <c r="AK634" s="703"/>
      <c r="AL634" s="703"/>
      <c r="AM634" s="703"/>
      <c r="AN634" s="703"/>
      <c r="AO634" s="704"/>
      <c r="AP634" s="705"/>
      <c r="AQ634" s="698"/>
      <c r="AS634" s="220"/>
      <c r="AV634" s="699"/>
      <c r="AW634" s="700"/>
      <c r="AX634" s="382"/>
      <c r="AY634" s="379"/>
      <c r="AZ634" s="384"/>
      <c r="BA634" s="642"/>
    </row>
    <row r="635" spans="1:53" ht="11.25" hidden="1" customHeight="1" x14ac:dyDescent="0.2">
      <c r="A635" s="867"/>
      <c r="C635" s="701"/>
      <c r="D635" s="702"/>
      <c r="E635" s="703"/>
      <c r="F635" s="703"/>
      <c r="G635" s="703"/>
      <c r="H635" s="703"/>
      <c r="I635" s="703"/>
      <c r="J635" s="703"/>
      <c r="K635" s="703"/>
      <c r="L635" s="703"/>
      <c r="M635" s="703"/>
      <c r="N635" s="703"/>
      <c r="O635" s="703"/>
      <c r="P635" s="703"/>
      <c r="Q635" s="703"/>
      <c r="R635" s="703"/>
      <c r="S635" s="703"/>
      <c r="T635" s="703"/>
      <c r="U635" s="703"/>
      <c r="V635" s="703"/>
      <c r="W635" s="703"/>
      <c r="X635" s="703"/>
      <c r="Y635" s="703"/>
      <c r="Z635" s="703"/>
      <c r="AA635" s="703"/>
      <c r="AB635" s="703"/>
      <c r="AC635" s="703"/>
      <c r="AD635" s="703"/>
      <c r="AE635" s="703"/>
      <c r="AF635" s="703"/>
      <c r="AG635" s="703"/>
      <c r="AH635" s="703"/>
      <c r="AI635" s="703"/>
      <c r="AJ635" s="703"/>
      <c r="AK635" s="703"/>
      <c r="AL635" s="703"/>
      <c r="AM635" s="703"/>
      <c r="AN635" s="703"/>
      <c r="AO635" s="704"/>
      <c r="AP635" s="705"/>
      <c r="AQ635" s="698"/>
      <c r="AS635" s="220"/>
      <c r="AV635" s="699"/>
      <c r="AW635" s="700"/>
      <c r="AX635" s="382"/>
      <c r="AY635" s="379"/>
      <c r="AZ635" s="384"/>
      <c r="BA635" s="642"/>
    </row>
    <row r="636" spans="1:53" ht="11.25" hidden="1" customHeight="1" x14ac:dyDescent="0.2">
      <c r="A636" s="867"/>
      <c r="C636" s="701"/>
      <c r="D636" s="702"/>
      <c r="E636" s="703"/>
      <c r="F636" s="703"/>
      <c r="G636" s="703"/>
      <c r="H636" s="703"/>
      <c r="I636" s="703"/>
      <c r="J636" s="703"/>
      <c r="K636" s="703"/>
      <c r="L636" s="703"/>
      <c r="M636" s="703"/>
      <c r="N636" s="703"/>
      <c r="O636" s="703"/>
      <c r="P636" s="703"/>
      <c r="Q636" s="703"/>
      <c r="R636" s="703"/>
      <c r="S636" s="703"/>
      <c r="T636" s="703"/>
      <c r="U636" s="703"/>
      <c r="V636" s="703"/>
      <c r="W636" s="703"/>
      <c r="X636" s="703"/>
      <c r="Y636" s="703"/>
      <c r="Z636" s="703"/>
      <c r="AA636" s="703"/>
      <c r="AB636" s="703"/>
      <c r="AC636" s="703"/>
      <c r="AD636" s="703"/>
      <c r="AE636" s="703"/>
      <c r="AF636" s="703"/>
      <c r="AG636" s="703"/>
      <c r="AH636" s="703"/>
      <c r="AI636" s="703"/>
      <c r="AJ636" s="703"/>
      <c r="AK636" s="703"/>
      <c r="AL636" s="703"/>
      <c r="AM636" s="703"/>
      <c r="AN636" s="703"/>
      <c r="AO636" s="704"/>
      <c r="AP636" s="705"/>
      <c r="AQ636" s="698"/>
      <c r="AS636" s="220"/>
      <c r="AV636" s="699"/>
      <c r="AW636" s="700"/>
      <c r="AX636" s="382"/>
      <c r="AY636" s="379"/>
      <c r="AZ636" s="384"/>
      <c r="BA636" s="642"/>
    </row>
    <row r="637" spans="1:53" ht="11.25" hidden="1" customHeight="1" x14ac:dyDescent="0.2">
      <c r="A637" s="867"/>
      <c r="C637" s="701"/>
      <c r="D637" s="702"/>
      <c r="E637" s="703"/>
      <c r="F637" s="703"/>
      <c r="G637" s="703"/>
      <c r="H637" s="703"/>
      <c r="I637" s="703"/>
      <c r="J637" s="703"/>
      <c r="K637" s="703"/>
      <c r="L637" s="703"/>
      <c r="M637" s="703"/>
      <c r="N637" s="703"/>
      <c r="O637" s="703"/>
      <c r="P637" s="703"/>
      <c r="Q637" s="703"/>
      <c r="R637" s="703"/>
      <c r="S637" s="703"/>
      <c r="T637" s="703"/>
      <c r="U637" s="703"/>
      <c r="V637" s="703"/>
      <c r="W637" s="703"/>
      <c r="X637" s="703"/>
      <c r="Y637" s="703"/>
      <c r="Z637" s="703"/>
      <c r="AA637" s="703"/>
      <c r="AB637" s="703"/>
      <c r="AC637" s="703"/>
      <c r="AD637" s="703"/>
      <c r="AE637" s="703"/>
      <c r="AF637" s="703"/>
      <c r="AG637" s="703"/>
      <c r="AH637" s="703"/>
      <c r="AI637" s="703"/>
      <c r="AJ637" s="703"/>
      <c r="AK637" s="703"/>
      <c r="AL637" s="703"/>
      <c r="AM637" s="703"/>
      <c r="AN637" s="703"/>
      <c r="AO637" s="704"/>
      <c r="AP637" s="705"/>
      <c r="AQ637" s="698"/>
      <c r="AS637" s="220"/>
      <c r="AV637" s="699"/>
      <c r="AW637" s="700"/>
      <c r="AX637" s="382"/>
      <c r="AY637" s="379"/>
      <c r="AZ637" s="384"/>
      <c r="BA637" s="642"/>
    </row>
    <row r="638" spans="1:53" ht="11.25" hidden="1" customHeight="1" x14ac:dyDescent="0.2">
      <c r="A638" s="867"/>
      <c r="C638" s="701"/>
      <c r="D638" s="702"/>
      <c r="E638" s="703"/>
      <c r="F638" s="703"/>
      <c r="G638" s="703"/>
      <c r="H638" s="703"/>
      <c r="I638" s="703"/>
      <c r="J638" s="703"/>
      <c r="K638" s="703"/>
      <c r="L638" s="703"/>
      <c r="M638" s="703"/>
      <c r="N638" s="703"/>
      <c r="O638" s="703"/>
      <c r="P638" s="703"/>
      <c r="Q638" s="703"/>
      <c r="R638" s="703"/>
      <c r="S638" s="703"/>
      <c r="T638" s="703"/>
      <c r="U638" s="703"/>
      <c r="V638" s="703"/>
      <c r="W638" s="703"/>
      <c r="X638" s="703"/>
      <c r="Y638" s="703"/>
      <c r="Z638" s="703"/>
      <c r="AA638" s="703"/>
      <c r="AB638" s="703"/>
      <c r="AC638" s="703"/>
      <c r="AD638" s="703"/>
      <c r="AE638" s="703"/>
      <c r="AF638" s="703"/>
      <c r="AG638" s="703"/>
      <c r="AH638" s="703"/>
      <c r="AI638" s="703"/>
      <c r="AJ638" s="703"/>
      <c r="AK638" s="703"/>
      <c r="AL638" s="703"/>
      <c r="AM638" s="703"/>
      <c r="AN638" s="703"/>
      <c r="AO638" s="704"/>
      <c r="AP638" s="705"/>
      <c r="AQ638" s="698"/>
      <c r="AS638" s="220"/>
      <c r="AV638" s="699"/>
      <c r="AW638" s="700"/>
      <c r="AX638" s="382"/>
      <c r="AY638" s="379"/>
      <c r="AZ638" s="384"/>
      <c r="BA638" s="642"/>
    </row>
    <row r="639" spans="1:53" ht="11.25" hidden="1" customHeight="1" x14ac:dyDescent="0.2">
      <c r="A639" s="867"/>
      <c r="C639" s="701"/>
      <c r="D639" s="702"/>
      <c r="E639" s="703"/>
      <c r="F639" s="703"/>
      <c r="G639" s="703"/>
      <c r="H639" s="703"/>
      <c r="I639" s="703"/>
      <c r="J639" s="703"/>
      <c r="K639" s="703"/>
      <c r="L639" s="703"/>
      <c r="M639" s="703"/>
      <c r="N639" s="703"/>
      <c r="O639" s="703"/>
      <c r="P639" s="703"/>
      <c r="Q639" s="703"/>
      <c r="R639" s="703"/>
      <c r="S639" s="703"/>
      <c r="T639" s="703"/>
      <c r="U639" s="703"/>
      <c r="V639" s="703"/>
      <c r="W639" s="703"/>
      <c r="X639" s="703"/>
      <c r="Y639" s="703"/>
      <c r="Z639" s="703"/>
      <c r="AA639" s="703"/>
      <c r="AB639" s="703"/>
      <c r="AC639" s="703"/>
      <c r="AD639" s="703"/>
      <c r="AE639" s="703"/>
      <c r="AF639" s="703"/>
      <c r="AG639" s="703"/>
      <c r="AH639" s="703"/>
      <c r="AI639" s="703"/>
      <c r="AJ639" s="703"/>
      <c r="AK639" s="703"/>
      <c r="AL639" s="703"/>
      <c r="AM639" s="703"/>
      <c r="AN639" s="703"/>
      <c r="AO639" s="704"/>
      <c r="AP639" s="705"/>
      <c r="AQ639" s="698"/>
      <c r="AS639" s="220"/>
      <c r="AV639" s="699"/>
      <c r="AW639" s="700"/>
      <c r="AX639" s="382"/>
      <c r="AY639" s="379"/>
      <c r="AZ639" s="384"/>
      <c r="BA639" s="642"/>
    </row>
    <row r="640" spans="1:53" ht="11.25" hidden="1" customHeight="1" x14ac:dyDescent="0.2">
      <c r="A640" s="867"/>
      <c r="C640" s="701"/>
      <c r="D640" s="702"/>
      <c r="E640" s="703"/>
      <c r="F640" s="703"/>
      <c r="G640" s="703"/>
      <c r="H640" s="703"/>
      <c r="I640" s="703"/>
      <c r="J640" s="703"/>
      <c r="K640" s="703"/>
      <c r="L640" s="703"/>
      <c r="M640" s="703"/>
      <c r="N640" s="703"/>
      <c r="O640" s="703"/>
      <c r="P640" s="703"/>
      <c r="Q640" s="703"/>
      <c r="R640" s="703"/>
      <c r="S640" s="703"/>
      <c r="T640" s="703"/>
      <c r="U640" s="703"/>
      <c r="V640" s="703"/>
      <c r="W640" s="703"/>
      <c r="X640" s="703"/>
      <c r="Y640" s="703"/>
      <c r="Z640" s="703"/>
      <c r="AA640" s="703"/>
      <c r="AB640" s="703"/>
      <c r="AC640" s="703"/>
      <c r="AD640" s="703"/>
      <c r="AE640" s="703"/>
      <c r="AF640" s="703"/>
      <c r="AG640" s="703"/>
      <c r="AH640" s="703"/>
      <c r="AI640" s="703"/>
      <c r="AJ640" s="703"/>
      <c r="AK640" s="703"/>
      <c r="AL640" s="703"/>
      <c r="AM640" s="703"/>
      <c r="AN640" s="703"/>
      <c r="AO640" s="704"/>
      <c r="AP640" s="705"/>
      <c r="AQ640" s="698"/>
      <c r="AS640" s="220"/>
      <c r="AV640" s="699"/>
      <c r="AW640" s="700"/>
      <c r="AX640" s="382"/>
      <c r="AY640" s="379"/>
      <c r="AZ640" s="384"/>
      <c r="BA640" s="642"/>
    </row>
    <row r="641" spans="1:54" ht="11.25" hidden="1" customHeight="1" x14ac:dyDescent="0.2">
      <c r="A641" s="867"/>
      <c r="C641" s="701"/>
      <c r="D641" s="702"/>
      <c r="E641" s="703"/>
      <c r="F641" s="703"/>
      <c r="G641" s="703"/>
      <c r="H641" s="703"/>
      <c r="I641" s="703"/>
      <c r="J641" s="703"/>
      <c r="K641" s="703"/>
      <c r="L641" s="703"/>
      <c r="M641" s="703"/>
      <c r="N641" s="703"/>
      <c r="O641" s="703"/>
      <c r="P641" s="703"/>
      <c r="Q641" s="703"/>
      <c r="R641" s="703"/>
      <c r="S641" s="703"/>
      <c r="T641" s="703"/>
      <c r="U641" s="703"/>
      <c r="V641" s="703"/>
      <c r="W641" s="703"/>
      <c r="X641" s="703"/>
      <c r="Y641" s="703"/>
      <c r="Z641" s="703"/>
      <c r="AA641" s="703"/>
      <c r="AB641" s="703"/>
      <c r="AC641" s="703"/>
      <c r="AD641" s="703"/>
      <c r="AE641" s="703"/>
      <c r="AF641" s="703"/>
      <c r="AG641" s="703"/>
      <c r="AH641" s="703"/>
      <c r="AI641" s="703"/>
      <c r="AJ641" s="703"/>
      <c r="AK641" s="703"/>
      <c r="AL641" s="703"/>
      <c r="AM641" s="703"/>
      <c r="AN641" s="703"/>
      <c r="AO641" s="704"/>
      <c r="AP641" s="705"/>
      <c r="AQ641" s="698"/>
      <c r="AS641" s="220"/>
      <c r="AV641" s="699"/>
      <c r="AW641" s="700"/>
      <c r="AX641" s="382"/>
      <c r="AY641" s="379"/>
      <c r="AZ641" s="384"/>
      <c r="BA641" s="642"/>
    </row>
    <row r="642" spans="1:54" ht="11.25" hidden="1" customHeight="1" x14ac:dyDescent="0.2">
      <c r="A642" s="867"/>
      <c r="C642" s="701"/>
      <c r="D642" s="702"/>
      <c r="E642" s="703"/>
      <c r="F642" s="703"/>
      <c r="G642" s="703"/>
      <c r="H642" s="703"/>
      <c r="I642" s="703"/>
      <c r="J642" s="703"/>
      <c r="K642" s="703"/>
      <c r="L642" s="703"/>
      <c r="M642" s="703"/>
      <c r="N642" s="703"/>
      <c r="O642" s="703"/>
      <c r="P642" s="703"/>
      <c r="Q642" s="703"/>
      <c r="R642" s="703"/>
      <c r="S642" s="703"/>
      <c r="T642" s="703"/>
      <c r="U642" s="703"/>
      <c r="V642" s="703"/>
      <c r="W642" s="703"/>
      <c r="X642" s="703"/>
      <c r="Y642" s="703"/>
      <c r="Z642" s="703"/>
      <c r="AA642" s="703"/>
      <c r="AB642" s="703"/>
      <c r="AC642" s="703"/>
      <c r="AD642" s="703"/>
      <c r="AE642" s="703"/>
      <c r="AF642" s="703"/>
      <c r="AG642" s="703"/>
      <c r="AH642" s="703"/>
      <c r="AI642" s="703"/>
      <c r="AJ642" s="703"/>
      <c r="AK642" s="703"/>
      <c r="AL642" s="703"/>
      <c r="AM642" s="703"/>
      <c r="AN642" s="703"/>
      <c r="AO642" s="704"/>
      <c r="AP642" s="705"/>
      <c r="AQ642" s="698"/>
      <c r="AS642" s="220"/>
      <c r="AV642" s="699"/>
      <c r="AW642" s="700"/>
      <c r="AX642" s="382"/>
      <c r="AY642" s="379"/>
      <c r="AZ642" s="384"/>
      <c r="BA642" s="642"/>
    </row>
    <row r="643" spans="1:54" ht="11.25" hidden="1" customHeight="1" x14ac:dyDescent="0.2">
      <c r="A643" s="867"/>
      <c r="C643" s="701"/>
      <c r="D643" s="702"/>
      <c r="E643" s="703"/>
      <c r="F643" s="703"/>
      <c r="G643" s="703"/>
      <c r="H643" s="703"/>
      <c r="I643" s="703"/>
      <c r="J643" s="703"/>
      <c r="K643" s="703"/>
      <c r="L643" s="703"/>
      <c r="M643" s="703"/>
      <c r="N643" s="703"/>
      <c r="O643" s="703"/>
      <c r="P643" s="703"/>
      <c r="Q643" s="703"/>
      <c r="R643" s="703"/>
      <c r="S643" s="703"/>
      <c r="T643" s="703"/>
      <c r="U643" s="703"/>
      <c r="V643" s="703"/>
      <c r="W643" s="703"/>
      <c r="X643" s="703"/>
      <c r="Y643" s="703"/>
      <c r="Z643" s="703"/>
      <c r="AA643" s="703"/>
      <c r="AB643" s="703"/>
      <c r="AC643" s="703"/>
      <c r="AD643" s="703"/>
      <c r="AE643" s="703"/>
      <c r="AF643" s="703"/>
      <c r="AG643" s="703"/>
      <c r="AH643" s="703"/>
      <c r="AI643" s="703"/>
      <c r="AJ643" s="703"/>
      <c r="AK643" s="703"/>
      <c r="AL643" s="703"/>
      <c r="AM643" s="703"/>
      <c r="AN643" s="703"/>
      <c r="AO643" s="704"/>
      <c r="AP643" s="705"/>
      <c r="AQ643" s="698"/>
      <c r="AS643" s="220"/>
      <c r="AV643" s="699"/>
      <c r="AW643" s="700"/>
      <c r="AX643" s="382"/>
      <c r="AY643" s="379"/>
      <c r="AZ643" s="384"/>
      <c r="BA643" s="642"/>
    </row>
    <row r="644" spans="1:54" ht="11.25" hidden="1" customHeight="1" x14ac:dyDescent="0.2">
      <c r="A644" s="867"/>
      <c r="C644" s="701"/>
      <c r="D644" s="702"/>
      <c r="E644" s="703"/>
      <c r="F644" s="703"/>
      <c r="G644" s="703"/>
      <c r="H644" s="703"/>
      <c r="I644" s="703"/>
      <c r="J644" s="703"/>
      <c r="K644" s="703"/>
      <c r="L644" s="703"/>
      <c r="M644" s="703"/>
      <c r="N644" s="703"/>
      <c r="O644" s="703"/>
      <c r="P644" s="703"/>
      <c r="Q644" s="703"/>
      <c r="R644" s="703"/>
      <c r="S644" s="703"/>
      <c r="T644" s="703"/>
      <c r="U644" s="703"/>
      <c r="V644" s="703"/>
      <c r="W644" s="703"/>
      <c r="X644" s="703"/>
      <c r="Y644" s="703"/>
      <c r="Z644" s="703"/>
      <c r="AA644" s="703"/>
      <c r="AB644" s="703"/>
      <c r="AC644" s="703"/>
      <c r="AD644" s="703"/>
      <c r="AE644" s="703"/>
      <c r="AF644" s="703"/>
      <c r="AG644" s="703"/>
      <c r="AH644" s="703"/>
      <c r="AI644" s="703"/>
      <c r="AJ644" s="703"/>
      <c r="AK644" s="703"/>
      <c r="AL644" s="703"/>
      <c r="AM644" s="703"/>
      <c r="AN644" s="703"/>
      <c r="AO644" s="704"/>
      <c r="AP644" s="705"/>
      <c r="AQ644" s="698"/>
      <c r="AS644" s="220"/>
      <c r="AV644" s="699"/>
      <c r="AW644" s="700"/>
      <c r="AX644" s="382"/>
      <c r="AY644" s="379"/>
      <c r="AZ644" s="384"/>
      <c r="BA644" s="642"/>
    </row>
    <row r="645" spans="1:54" ht="11.25" hidden="1" customHeight="1" x14ac:dyDescent="0.2">
      <c r="A645" s="867"/>
      <c r="C645" s="701"/>
      <c r="D645" s="702"/>
      <c r="E645" s="703"/>
      <c r="F645" s="703"/>
      <c r="G645" s="703"/>
      <c r="H645" s="703"/>
      <c r="I645" s="703"/>
      <c r="J645" s="703"/>
      <c r="K645" s="703"/>
      <c r="L645" s="703"/>
      <c r="M645" s="703"/>
      <c r="N645" s="703"/>
      <c r="O645" s="703"/>
      <c r="P645" s="703"/>
      <c r="Q645" s="703"/>
      <c r="R645" s="703"/>
      <c r="S645" s="703"/>
      <c r="T645" s="703"/>
      <c r="U645" s="703"/>
      <c r="V645" s="703"/>
      <c r="W645" s="703"/>
      <c r="X645" s="703"/>
      <c r="Y645" s="703"/>
      <c r="Z645" s="703"/>
      <c r="AA645" s="703"/>
      <c r="AB645" s="703"/>
      <c r="AC645" s="703"/>
      <c r="AD645" s="703"/>
      <c r="AE645" s="703"/>
      <c r="AF645" s="703"/>
      <c r="AG645" s="703"/>
      <c r="AH645" s="703"/>
      <c r="AI645" s="703"/>
      <c r="AJ645" s="703"/>
      <c r="AK645" s="703"/>
      <c r="AL645" s="703"/>
      <c r="AM645" s="703"/>
      <c r="AN645" s="703"/>
      <c r="AO645" s="704"/>
      <c r="AP645" s="705"/>
      <c r="AQ645" s="698"/>
      <c r="AS645" s="220"/>
      <c r="AV645" s="699"/>
      <c r="AW645" s="700"/>
      <c r="AX645" s="382"/>
      <c r="AY645" s="379"/>
      <c r="AZ645" s="384"/>
      <c r="BA645" s="642"/>
    </row>
    <row r="646" spans="1:54" ht="11.25" hidden="1" customHeight="1" x14ac:dyDescent="0.2">
      <c r="A646" s="867"/>
      <c r="C646" s="706"/>
      <c r="D646" s="707"/>
      <c r="E646" s="708"/>
      <c r="F646" s="708"/>
      <c r="G646" s="708"/>
      <c r="H646" s="708"/>
      <c r="I646" s="708"/>
      <c r="J646" s="708"/>
      <c r="K646" s="708"/>
      <c r="L646" s="708"/>
      <c r="M646" s="708"/>
      <c r="N646" s="708"/>
      <c r="O646" s="708"/>
      <c r="P646" s="708"/>
      <c r="Q646" s="708"/>
      <c r="R646" s="708"/>
      <c r="S646" s="708"/>
      <c r="T646" s="708"/>
      <c r="U646" s="708"/>
      <c r="V646" s="708"/>
      <c r="W646" s="708"/>
      <c r="X646" s="708"/>
      <c r="Y646" s="708"/>
      <c r="Z646" s="708"/>
      <c r="AA646" s="708"/>
      <c r="AB646" s="708"/>
      <c r="AC646" s="708"/>
      <c r="AD646" s="708"/>
      <c r="AE646" s="708"/>
      <c r="AF646" s="708"/>
      <c r="AG646" s="708"/>
      <c r="AH646" s="708"/>
      <c r="AI646" s="708"/>
      <c r="AJ646" s="708"/>
      <c r="AK646" s="708"/>
      <c r="AL646" s="708"/>
      <c r="AM646" s="708"/>
      <c r="AN646" s="708"/>
      <c r="AO646" s="709"/>
      <c r="AP646" s="710"/>
      <c r="AQ646" s="698"/>
      <c r="AS646" s="220"/>
      <c r="AV646" s="699"/>
      <c r="AW646" s="700"/>
      <c r="AX646" s="382"/>
      <c r="AY646" s="379"/>
      <c r="AZ646" s="384"/>
      <c r="BA646" s="642"/>
    </row>
    <row r="647" spans="1:54" ht="13.5" hidden="1" customHeight="1" x14ac:dyDescent="0.2">
      <c r="A647" s="867"/>
      <c r="AV647" s="699"/>
      <c r="AW647" s="700"/>
      <c r="AX647" s="642"/>
      <c r="AY647" s="642"/>
      <c r="BA647" s="642"/>
    </row>
    <row r="648" spans="1:54" ht="1.5" hidden="1" customHeight="1" x14ac:dyDescent="0.2">
      <c r="A648" s="867"/>
      <c r="AV648" s="699"/>
      <c r="AW648" s="700"/>
    </row>
    <row r="649" spans="1:54" s="186" customFormat="1" ht="11.25" hidden="1" customHeight="1" x14ac:dyDescent="0.2">
      <c r="A649" s="867"/>
      <c r="AS649" s="672"/>
      <c r="AU649" s="669"/>
      <c r="AV649" s="699"/>
      <c r="AW649" s="700"/>
      <c r="AX649" s="643"/>
      <c r="AY649" s="643"/>
      <c r="AZ649" s="671"/>
      <c r="BA649" s="643"/>
      <c r="BB649" s="669"/>
    </row>
    <row r="650" spans="1:54" s="673" customFormat="1" ht="13.5" hidden="1" customHeight="1" x14ac:dyDescent="0.2">
      <c r="A650" s="867"/>
      <c r="D650" s="674"/>
      <c r="E650" s="674"/>
      <c r="F650" s="674"/>
      <c r="G650" s="674"/>
      <c r="H650" s="674"/>
      <c r="I650" s="674"/>
      <c r="J650" s="674"/>
      <c r="K650" s="674"/>
      <c r="L650" s="674"/>
      <c r="M650" s="674"/>
      <c r="N650" s="674"/>
      <c r="O650" s="674"/>
      <c r="P650" s="674"/>
      <c r="Q650" s="674"/>
      <c r="R650" s="674"/>
      <c r="S650" s="674"/>
      <c r="T650" s="674"/>
      <c r="U650" s="674"/>
      <c r="V650" s="674"/>
      <c r="W650" s="674"/>
      <c r="X650" s="674"/>
      <c r="Y650" s="674"/>
      <c r="Z650" s="674"/>
      <c r="AA650" s="674"/>
      <c r="AB650" s="674"/>
      <c r="AC650" s="674"/>
      <c r="AD650" s="674"/>
      <c r="AE650" s="674"/>
      <c r="AF650" s="674"/>
      <c r="AG650" s="674"/>
      <c r="AH650" s="674"/>
      <c r="AI650" s="674"/>
      <c r="AJ650" s="674"/>
      <c r="AK650" s="674"/>
      <c r="AL650" s="674"/>
      <c r="AM650" s="674"/>
      <c r="AN650" s="674"/>
      <c r="AO650" s="674"/>
      <c r="AP650" s="674"/>
      <c r="AS650" s="675"/>
      <c r="AU650" s="643"/>
      <c r="AV650" s="699"/>
      <c r="AW650" s="700"/>
      <c r="AX650" s="643"/>
      <c r="AY650" s="643"/>
      <c r="AZ650" s="671"/>
      <c r="BA650" s="643"/>
      <c r="BB650" s="643"/>
    </row>
    <row r="651" spans="1:54" s="673" customFormat="1" ht="13.5" hidden="1" customHeight="1" x14ac:dyDescent="0.2">
      <c r="A651" s="867"/>
      <c r="C651" s="324"/>
      <c r="D651" s="383"/>
      <c r="E651" s="383"/>
      <c r="F651" s="383"/>
      <c r="G651" s="383"/>
      <c r="H651" s="383"/>
      <c r="I651" s="383"/>
      <c r="J651" s="383"/>
      <c r="K651" s="383"/>
      <c r="L651" s="383"/>
      <c r="M651" s="383"/>
      <c r="N651" s="383"/>
      <c r="O651" s="383"/>
      <c r="P651" s="383"/>
      <c r="Q651" s="383"/>
      <c r="R651" s="383"/>
      <c r="S651" s="383"/>
      <c r="T651" s="383"/>
      <c r="U651" s="383"/>
      <c r="V651" s="383"/>
      <c r="W651" s="383"/>
      <c r="X651" s="383"/>
      <c r="Y651" s="383"/>
      <c r="Z651" s="383"/>
      <c r="AA651" s="383"/>
      <c r="AB651" s="383"/>
      <c r="AC651" s="383"/>
      <c r="AD651" s="383"/>
      <c r="AE651" s="383"/>
      <c r="AF651" s="383"/>
      <c r="AG651" s="383"/>
      <c r="AH651" s="383"/>
      <c r="AI651" s="383"/>
      <c r="AJ651" s="383"/>
      <c r="AK651" s="383"/>
      <c r="AL651" s="383"/>
      <c r="AM651" s="383"/>
      <c r="AN651" s="383"/>
      <c r="AO651" s="383"/>
      <c r="AP651" s="674"/>
      <c r="AS651" s="675"/>
      <c r="AU651" s="643"/>
      <c r="AV651" s="699"/>
      <c r="AW651" s="700"/>
      <c r="AX651" s="643"/>
      <c r="AY651" s="643"/>
      <c r="AZ651" s="671"/>
      <c r="BA651" s="643"/>
      <c r="BB651" s="643"/>
    </row>
    <row r="652" spans="1:54" s="673" customFormat="1" ht="13.5" hidden="1" customHeight="1" x14ac:dyDescent="0.2">
      <c r="A652" s="867"/>
      <c r="D652" s="383"/>
      <c r="E652" s="383"/>
      <c r="F652" s="383"/>
      <c r="G652" s="383"/>
      <c r="H652" s="383"/>
      <c r="I652" s="383"/>
      <c r="J652" s="383"/>
      <c r="K652" s="383"/>
      <c r="L652" s="383"/>
      <c r="M652" s="383"/>
      <c r="N652" s="383"/>
      <c r="O652" s="383"/>
      <c r="P652" s="383"/>
      <c r="Q652" s="383"/>
      <c r="R652" s="383"/>
      <c r="S652" s="383"/>
      <c r="T652" s="383"/>
      <c r="U652" s="383"/>
      <c r="V652" s="383"/>
      <c r="W652" s="383"/>
      <c r="X652" s="383"/>
      <c r="Y652" s="383"/>
      <c r="Z652" s="383"/>
      <c r="AA652" s="383"/>
      <c r="AB652" s="383"/>
      <c r="AC652" s="383"/>
      <c r="AD652" s="383"/>
      <c r="AE652" s="383"/>
      <c r="AF652" s="383"/>
      <c r="AG652" s="383"/>
      <c r="AH652" s="383"/>
      <c r="AI652" s="383"/>
      <c r="AJ652" s="383"/>
      <c r="AK652" s="383"/>
      <c r="AL652" s="383"/>
      <c r="AM652" s="383"/>
      <c r="AN652" s="383"/>
      <c r="AO652" s="383"/>
      <c r="AP652" s="674"/>
      <c r="AS652" s="675"/>
      <c r="AU652" s="643"/>
      <c r="AV652" s="699"/>
      <c r="AW652" s="700"/>
      <c r="AX652" s="643"/>
      <c r="AY652" s="643"/>
      <c r="AZ652" s="671"/>
      <c r="BA652" s="643"/>
      <c r="BB652" s="643"/>
    </row>
    <row r="653" spans="1:54" s="673" customFormat="1" ht="13.5" hidden="1" customHeight="1" x14ac:dyDescent="0.2">
      <c r="A653" s="867"/>
      <c r="D653" s="676"/>
      <c r="E653" s="676"/>
      <c r="F653" s="676"/>
      <c r="G653" s="676"/>
      <c r="H653" s="676"/>
      <c r="I653" s="676"/>
      <c r="J653" s="676"/>
      <c r="K653" s="676"/>
      <c r="L653" s="676"/>
      <c r="M653" s="676"/>
      <c r="N653" s="676"/>
      <c r="O653" s="676"/>
      <c r="P653" s="676"/>
      <c r="Q653" s="676"/>
      <c r="R653" s="676"/>
      <c r="S653" s="676"/>
      <c r="T653" s="676"/>
      <c r="U653" s="676"/>
      <c r="V653" s="676"/>
      <c r="W653" s="676"/>
      <c r="X653" s="676"/>
      <c r="Y653" s="676"/>
      <c r="Z653" s="676"/>
      <c r="AA653" s="676"/>
      <c r="AB653" s="676"/>
      <c r="AC653" s="676"/>
      <c r="AD653" s="676"/>
      <c r="AE653" s="676"/>
      <c r="AF653" s="676"/>
      <c r="AG653" s="676"/>
      <c r="AH653" s="676"/>
      <c r="AI653" s="676"/>
      <c r="AJ653" s="676"/>
      <c r="AK653" s="676"/>
      <c r="AL653" s="676"/>
      <c r="AM653" s="676"/>
      <c r="AN653" s="676"/>
      <c r="AO653" s="676"/>
      <c r="AP653" s="674"/>
      <c r="AS653" s="675"/>
      <c r="AU653" s="643"/>
      <c r="AV653" s="699"/>
      <c r="AW653" s="700"/>
      <c r="AX653" s="643"/>
      <c r="AY653" s="643"/>
      <c r="AZ653" s="671"/>
      <c r="BA653" s="643"/>
      <c r="BB653" s="643"/>
    </row>
    <row r="654" spans="1:54" s="673" customFormat="1" ht="13.5" hidden="1" customHeight="1" x14ac:dyDescent="0.2">
      <c r="A654" s="867"/>
      <c r="D654" s="677"/>
      <c r="E654" s="677"/>
      <c r="F654" s="677"/>
      <c r="G654" s="677"/>
      <c r="H654" s="677"/>
      <c r="I654" s="677"/>
      <c r="J654" s="677"/>
      <c r="K654" s="677"/>
      <c r="L654" s="677"/>
      <c r="M654" s="677"/>
      <c r="N654" s="677"/>
      <c r="O654" s="677"/>
      <c r="P654" s="677"/>
      <c r="Q654" s="677"/>
      <c r="R654" s="677"/>
      <c r="S654" s="677"/>
      <c r="T654" s="677"/>
      <c r="U654" s="677"/>
      <c r="V654" s="677"/>
      <c r="W654" s="677"/>
      <c r="X654" s="677"/>
      <c r="Y654" s="677"/>
      <c r="Z654" s="677"/>
      <c r="AA654" s="677"/>
      <c r="AB654" s="677"/>
      <c r="AC654" s="677"/>
      <c r="AD654" s="677"/>
      <c r="AE654" s="677"/>
      <c r="AF654" s="677"/>
      <c r="AG654" s="677"/>
      <c r="AH654" s="677"/>
      <c r="AI654" s="677"/>
      <c r="AJ654" s="677"/>
      <c r="AK654" s="677"/>
      <c r="AL654" s="677"/>
      <c r="AM654" s="677"/>
      <c r="AN654" s="677"/>
      <c r="AO654" s="677"/>
      <c r="AP654" s="674"/>
      <c r="AS654" s="675"/>
      <c r="AU654" s="643"/>
      <c r="AV654" s="699"/>
      <c r="AW654" s="700"/>
      <c r="AY654" s="643"/>
      <c r="AZ654" s="671"/>
      <c r="BA654" s="643"/>
      <c r="BB654" s="643"/>
    </row>
    <row r="655" spans="1:54" s="673" customFormat="1" ht="13.5" hidden="1" customHeight="1" x14ac:dyDescent="0.2">
      <c r="A655" s="867"/>
      <c r="D655" s="677"/>
      <c r="E655" s="677"/>
      <c r="F655" s="677"/>
      <c r="G655" s="677"/>
      <c r="H655" s="677"/>
      <c r="I655" s="677"/>
      <c r="J655" s="677"/>
      <c r="K655" s="677"/>
      <c r="L655" s="677"/>
      <c r="M655" s="677"/>
      <c r="N655" s="677"/>
      <c r="O655" s="677"/>
      <c r="P655" s="677"/>
      <c r="Q655" s="677"/>
      <c r="R655" s="677"/>
      <c r="S655" s="677"/>
      <c r="T655" s="677"/>
      <c r="U655" s="677"/>
      <c r="V655" s="677"/>
      <c r="W655" s="677"/>
      <c r="X655" s="677"/>
      <c r="Y655" s="677"/>
      <c r="Z655" s="677"/>
      <c r="AA655" s="677"/>
      <c r="AB655" s="677"/>
      <c r="AC655" s="677"/>
      <c r="AD655" s="677"/>
      <c r="AE655" s="677"/>
      <c r="AF655" s="677"/>
      <c r="AG655" s="677"/>
      <c r="AH655" s="677"/>
      <c r="AI655" s="677"/>
      <c r="AJ655" s="677"/>
      <c r="AK655" s="677"/>
      <c r="AL655" s="677"/>
      <c r="AM655" s="677"/>
      <c r="AN655" s="677"/>
      <c r="AO655" s="677"/>
      <c r="AP655" s="674"/>
      <c r="AS655" s="675"/>
      <c r="AU655" s="643"/>
      <c r="AV655" s="699"/>
      <c r="AW655" s="700"/>
      <c r="AX655" s="643"/>
      <c r="AY655" s="643"/>
      <c r="AZ655" s="671"/>
      <c r="BA655" s="643"/>
      <c r="BB655" s="643"/>
    </row>
    <row r="656" spans="1:54" s="673" customFormat="1" ht="13.5" hidden="1" customHeight="1" x14ac:dyDescent="0.2">
      <c r="A656" s="867"/>
      <c r="D656" s="674"/>
      <c r="E656" s="674"/>
      <c r="F656" s="674"/>
      <c r="G656" s="674"/>
      <c r="H656" s="674"/>
      <c r="I656" s="674"/>
      <c r="J656" s="674"/>
      <c r="K656" s="674"/>
      <c r="L656" s="674"/>
      <c r="M656" s="674"/>
      <c r="N656" s="674"/>
      <c r="O656" s="674"/>
      <c r="P656" s="674"/>
      <c r="Q656" s="674"/>
      <c r="R656" s="674"/>
      <c r="S656" s="674"/>
      <c r="T656" s="674"/>
      <c r="U656" s="674"/>
      <c r="V656" s="674"/>
      <c r="W656" s="674"/>
      <c r="X656" s="674"/>
      <c r="Y656" s="674"/>
      <c r="Z656" s="674"/>
      <c r="AA656" s="674"/>
      <c r="AB656" s="674"/>
      <c r="AC656" s="674"/>
      <c r="AD656" s="674"/>
      <c r="AE656" s="674"/>
      <c r="AF656" s="674"/>
      <c r="AG656" s="674"/>
      <c r="AH656" s="674"/>
      <c r="AI656" s="674"/>
      <c r="AJ656" s="674"/>
      <c r="AK656" s="674"/>
      <c r="AL656" s="674"/>
      <c r="AM656" s="674"/>
      <c r="AN656" s="674"/>
      <c r="AO656" s="674"/>
      <c r="AP656" s="674"/>
      <c r="AS656" s="675"/>
      <c r="AU656" s="643"/>
      <c r="AV656" s="699"/>
      <c r="AW656" s="700"/>
      <c r="AX656" s="643"/>
      <c r="AY656" s="643"/>
      <c r="AZ656" s="671"/>
      <c r="BA656" s="643"/>
      <c r="BB656" s="643"/>
    </row>
    <row r="657" spans="1:54" s="673" customFormat="1" ht="13.5" hidden="1" customHeight="1" x14ac:dyDescent="0.2">
      <c r="A657" s="867"/>
      <c r="D657" s="674"/>
      <c r="E657" s="674"/>
      <c r="F657" s="674"/>
      <c r="G657" s="674"/>
      <c r="H657" s="674"/>
      <c r="I657" s="674"/>
      <c r="J657" s="674"/>
      <c r="K657" s="674"/>
      <c r="L657" s="674"/>
      <c r="M657" s="674"/>
      <c r="N657" s="674"/>
      <c r="O657" s="674"/>
      <c r="P657" s="674"/>
      <c r="Q657" s="674"/>
      <c r="R657" s="674"/>
      <c r="S657" s="674"/>
      <c r="T657" s="674"/>
      <c r="U657" s="674"/>
      <c r="V657" s="674"/>
      <c r="W657" s="674"/>
      <c r="X657" s="674"/>
      <c r="Y657" s="674"/>
      <c r="Z657" s="674"/>
      <c r="AA657" s="674"/>
      <c r="AB657" s="674"/>
      <c r="AC657" s="674"/>
      <c r="AD657" s="674"/>
      <c r="AE657" s="674"/>
      <c r="AF657" s="674"/>
      <c r="AG657" s="674"/>
      <c r="AH657" s="674"/>
      <c r="AI657" s="674"/>
      <c r="AJ657" s="674"/>
      <c r="AK657" s="674"/>
      <c r="AL657" s="674"/>
      <c r="AM657" s="674"/>
      <c r="AN657" s="674"/>
      <c r="AO657" s="674"/>
      <c r="AP657" s="674"/>
      <c r="AS657" s="675"/>
      <c r="AU657" s="643"/>
      <c r="AV657" s="699"/>
      <c r="AW657" s="700"/>
      <c r="AX657" s="643"/>
      <c r="AY657" s="643"/>
      <c r="AZ657" s="671"/>
      <c r="BA657" s="643"/>
      <c r="BB657" s="643"/>
    </row>
    <row r="658" spans="1:54" s="673" customFormat="1" ht="13.5" hidden="1" customHeight="1" x14ac:dyDescent="0.2">
      <c r="A658" s="867"/>
      <c r="D658" s="674"/>
      <c r="E658" s="674"/>
      <c r="F658" s="674"/>
      <c r="G658" s="674"/>
      <c r="H658" s="674"/>
      <c r="I658" s="674"/>
      <c r="J658" s="674"/>
      <c r="K658" s="674"/>
      <c r="L658" s="674"/>
      <c r="M658" s="674"/>
      <c r="N658" s="674"/>
      <c r="O658" s="674"/>
      <c r="P658" s="674"/>
      <c r="Q658" s="674"/>
      <c r="R658" s="674"/>
      <c r="S658" s="674"/>
      <c r="T658" s="674"/>
      <c r="U658" s="674"/>
      <c r="V658" s="674"/>
      <c r="W658" s="674"/>
      <c r="X658" s="674"/>
      <c r="Y658" s="674"/>
      <c r="Z658" s="674"/>
      <c r="AA658" s="674"/>
      <c r="AB658" s="674"/>
      <c r="AC658" s="674"/>
      <c r="AD658" s="674"/>
      <c r="AE658" s="674"/>
      <c r="AF658" s="674"/>
      <c r="AG658" s="674"/>
      <c r="AH658" s="674"/>
      <c r="AI658" s="674"/>
      <c r="AJ658" s="674"/>
      <c r="AK658" s="674"/>
      <c r="AL658" s="674"/>
      <c r="AM658" s="674"/>
      <c r="AN658" s="674"/>
      <c r="AO658" s="674"/>
      <c r="AP658" s="674"/>
      <c r="AS658" s="675"/>
      <c r="AU658" s="643"/>
      <c r="AV658" s="699"/>
      <c r="AW658" s="700"/>
      <c r="AX658" s="643"/>
      <c r="AY658" s="643"/>
      <c r="AZ658" s="671"/>
      <c r="BA658" s="643"/>
      <c r="BB658" s="643"/>
    </row>
    <row r="659" spans="1:54" s="673" customFormat="1" ht="13.5" hidden="1" customHeight="1" x14ac:dyDescent="0.2">
      <c r="A659" s="867"/>
      <c r="D659" s="674"/>
      <c r="E659" s="674"/>
      <c r="F659" s="674"/>
      <c r="G659" s="674"/>
      <c r="H659" s="674"/>
      <c r="I659" s="674"/>
      <c r="J659" s="674"/>
      <c r="K659" s="674"/>
      <c r="L659" s="674"/>
      <c r="M659" s="674"/>
      <c r="N659" s="674"/>
      <c r="O659" s="674"/>
      <c r="P659" s="674"/>
      <c r="Q659" s="674"/>
      <c r="R659" s="674"/>
      <c r="S659" s="674"/>
      <c r="T659" s="674"/>
      <c r="U659" s="674"/>
      <c r="V659" s="674"/>
      <c r="W659" s="674"/>
      <c r="X659" s="674"/>
      <c r="Y659" s="674"/>
      <c r="Z659" s="674"/>
      <c r="AA659" s="674"/>
      <c r="AB659" s="674"/>
      <c r="AC659" s="674"/>
      <c r="AD659" s="674"/>
      <c r="AE659" s="674"/>
      <c r="AF659" s="674"/>
      <c r="AG659" s="674"/>
      <c r="AH659" s="674"/>
      <c r="AI659" s="674"/>
      <c r="AJ659" s="674"/>
      <c r="AK659" s="674"/>
      <c r="AL659" s="674"/>
      <c r="AM659" s="674"/>
      <c r="AN659" s="674"/>
      <c r="AO659" s="674"/>
      <c r="AP659" s="674"/>
      <c r="AS659" s="675"/>
      <c r="AU659" s="643"/>
      <c r="AV659" s="699"/>
      <c r="AW659" s="700"/>
      <c r="AX659" s="643"/>
      <c r="AY659" s="643"/>
      <c r="AZ659" s="671"/>
      <c r="BA659" s="643"/>
      <c r="BB659" s="643"/>
    </row>
    <row r="660" spans="1:54" s="673" customFormat="1" ht="13.5" hidden="1" customHeight="1" x14ac:dyDescent="0.2">
      <c r="A660" s="867"/>
      <c r="D660" s="674"/>
      <c r="E660" s="674"/>
      <c r="F660" s="674"/>
      <c r="G660" s="674"/>
      <c r="H660" s="674"/>
      <c r="I660" s="674"/>
      <c r="J660" s="674"/>
      <c r="K660" s="674"/>
      <c r="L660" s="674"/>
      <c r="M660" s="674"/>
      <c r="N660" s="674"/>
      <c r="O660" s="674"/>
      <c r="P660" s="674"/>
      <c r="Q660" s="674"/>
      <c r="R660" s="674"/>
      <c r="S660" s="674"/>
      <c r="T660" s="674"/>
      <c r="U660" s="674"/>
      <c r="V660" s="674"/>
      <c r="W660" s="674"/>
      <c r="X660" s="674"/>
      <c r="Y660" s="674"/>
      <c r="Z660" s="674"/>
      <c r="AA660" s="674"/>
      <c r="AB660" s="674"/>
      <c r="AC660" s="674"/>
      <c r="AD660" s="674"/>
      <c r="AE660" s="674"/>
      <c r="AF660" s="674"/>
      <c r="AG660" s="674"/>
      <c r="AH660" s="674"/>
      <c r="AI660" s="674"/>
      <c r="AJ660" s="674"/>
      <c r="AK660" s="674"/>
      <c r="AL660" s="674"/>
      <c r="AM660" s="674"/>
      <c r="AN660" s="674"/>
      <c r="AO660" s="674"/>
      <c r="AP660" s="674"/>
      <c r="AS660" s="675"/>
      <c r="AU660" s="643"/>
      <c r="AV660" s="699"/>
      <c r="AW660" s="700"/>
      <c r="AX660" s="643"/>
      <c r="AY660" s="643"/>
      <c r="AZ660" s="671"/>
      <c r="BA660" s="643"/>
      <c r="BB660" s="643"/>
    </row>
    <row r="661" spans="1:54" s="186" customFormat="1" ht="11.25" hidden="1" customHeight="1" x14ac:dyDescent="0.2">
      <c r="A661" s="867"/>
      <c r="D661" s="678"/>
      <c r="E661" s="678"/>
      <c r="F661" s="678"/>
      <c r="G661" s="678"/>
      <c r="H661" s="678"/>
      <c r="I661" s="678"/>
      <c r="J661" s="678"/>
      <c r="K661" s="678"/>
      <c r="L661" s="678"/>
      <c r="M661" s="678"/>
      <c r="N661" s="678"/>
      <c r="O661" s="678"/>
      <c r="P661" s="678"/>
      <c r="Q661" s="678"/>
      <c r="R661" s="678"/>
      <c r="S661" s="678"/>
      <c r="T661" s="678"/>
      <c r="U661" s="678"/>
      <c r="V661" s="678"/>
      <c r="W661" s="678"/>
      <c r="X661" s="678"/>
      <c r="Y661" s="678"/>
      <c r="Z661" s="678"/>
      <c r="AA661" s="678"/>
      <c r="AB661" s="678"/>
      <c r="AC661" s="678"/>
      <c r="AD661" s="678"/>
      <c r="AE661" s="678"/>
      <c r="AF661" s="678"/>
      <c r="AG661" s="678"/>
      <c r="AH661" s="678"/>
      <c r="AI661" s="678"/>
      <c r="AJ661" s="678"/>
      <c r="AK661" s="678"/>
      <c r="AL661" s="678"/>
      <c r="AM661" s="678"/>
      <c r="AN661" s="678"/>
      <c r="AO661" s="678"/>
      <c r="AP661" s="678"/>
      <c r="AS661" s="672"/>
      <c r="AU661" s="669"/>
      <c r="AV661" s="699"/>
      <c r="AW661" s="700"/>
      <c r="AX661" s="643"/>
      <c r="AY661" s="643"/>
      <c r="AZ661" s="671"/>
      <c r="BA661" s="643"/>
      <c r="BB661" s="669"/>
    </row>
    <row r="662" spans="1:54" ht="26.25" hidden="1" customHeight="1" x14ac:dyDescent="0.2">
      <c r="A662" s="867"/>
      <c r="C662" s="679"/>
      <c r="D662" s="680"/>
      <c r="E662" s="680"/>
      <c r="F662" s="680"/>
      <c r="G662" s="680"/>
      <c r="H662" s="680"/>
      <c r="I662" s="680"/>
      <c r="J662" s="680"/>
      <c r="K662" s="680"/>
      <c r="L662" s="680"/>
      <c r="M662" s="680"/>
      <c r="N662" s="680"/>
      <c r="O662" s="680"/>
      <c r="P662" s="680"/>
      <c r="Q662" s="680"/>
      <c r="R662" s="680"/>
      <c r="S662" s="680"/>
      <c r="T662" s="680"/>
      <c r="U662" s="680"/>
      <c r="V662" s="680"/>
      <c r="W662" s="680"/>
      <c r="X662" s="680"/>
      <c r="Y662" s="680"/>
      <c r="Z662" s="680"/>
      <c r="AA662" s="680"/>
      <c r="AB662" s="680"/>
      <c r="AC662" s="680"/>
      <c r="AD662" s="680"/>
      <c r="AE662" s="680"/>
      <c r="AF662" s="680"/>
      <c r="AG662" s="680"/>
      <c r="AH662" s="680"/>
      <c r="AI662" s="680"/>
      <c r="AJ662" s="680"/>
      <c r="AK662" s="680"/>
      <c r="AL662" s="680"/>
      <c r="AM662" s="680"/>
      <c r="AN662" s="680"/>
      <c r="AO662" s="680"/>
      <c r="AP662" s="868"/>
      <c r="AV662" s="699"/>
      <c r="AW662" s="700"/>
    </row>
    <row r="663" spans="1:54" ht="11.25" hidden="1" customHeight="1" x14ac:dyDescent="0.2">
      <c r="A663" s="867"/>
      <c r="C663" s="681"/>
      <c r="D663" s="682"/>
      <c r="E663" s="682"/>
      <c r="F663" s="682"/>
      <c r="G663" s="682"/>
      <c r="H663" s="682"/>
      <c r="I663" s="682"/>
      <c r="J663" s="682"/>
      <c r="K663" s="682"/>
      <c r="L663" s="682"/>
      <c r="M663" s="682"/>
      <c r="N663" s="682"/>
      <c r="O663" s="682"/>
      <c r="P663" s="682"/>
      <c r="Q663" s="682"/>
      <c r="R663" s="682"/>
      <c r="S663" s="682"/>
      <c r="T663" s="682"/>
      <c r="U663" s="682"/>
      <c r="V663" s="682"/>
      <c r="W663" s="682"/>
      <c r="X663" s="682"/>
      <c r="Y663" s="682"/>
      <c r="Z663" s="682"/>
      <c r="AA663" s="682"/>
      <c r="AB663" s="682"/>
      <c r="AC663" s="682"/>
      <c r="AD663" s="682"/>
      <c r="AE663" s="682"/>
      <c r="AF663" s="682"/>
      <c r="AG663" s="682"/>
      <c r="AH663" s="682"/>
      <c r="AI663" s="682"/>
      <c r="AJ663" s="682"/>
      <c r="AK663" s="682"/>
      <c r="AL663" s="682"/>
      <c r="AM663" s="682"/>
      <c r="AN663" s="682"/>
      <c r="AO663" s="682"/>
      <c r="AP663" s="868"/>
      <c r="AQ663" s="683"/>
      <c r="AV663" s="699"/>
      <c r="AW663" s="700"/>
    </row>
    <row r="664" spans="1:54" ht="11.25" hidden="1" customHeight="1" x14ac:dyDescent="0.2">
      <c r="A664" s="867"/>
      <c r="C664" s="684"/>
      <c r="D664" s="685"/>
      <c r="E664" s="686"/>
      <c r="F664" s="686"/>
      <c r="G664" s="686"/>
      <c r="H664" s="686"/>
      <c r="I664" s="686"/>
      <c r="J664" s="686"/>
      <c r="K664" s="686"/>
      <c r="L664" s="686"/>
      <c r="M664" s="686"/>
      <c r="N664" s="686"/>
      <c r="O664" s="686"/>
      <c r="P664" s="686"/>
      <c r="Q664" s="686"/>
      <c r="R664" s="686"/>
      <c r="S664" s="686"/>
      <c r="T664" s="686"/>
      <c r="U664" s="686"/>
      <c r="V664" s="686"/>
      <c r="W664" s="686"/>
      <c r="X664" s="686"/>
      <c r="Y664" s="686"/>
      <c r="Z664" s="686"/>
      <c r="AA664" s="686"/>
      <c r="AB664" s="686"/>
      <c r="AC664" s="686"/>
      <c r="AD664" s="686"/>
      <c r="AE664" s="686"/>
      <c r="AF664" s="686"/>
      <c r="AG664" s="686"/>
      <c r="AH664" s="686"/>
      <c r="AI664" s="686"/>
      <c r="AJ664" s="686"/>
      <c r="AK664" s="686"/>
      <c r="AL664" s="686"/>
      <c r="AM664" s="686"/>
      <c r="AN664" s="686"/>
      <c r="AO664" s="687"/>
      <c r="AP664" s="868"/>
      <c r="AQ664" s="688"/>
      <c r="AV664" s="699"/>
      <c r="AW664" s="700"/>
    </row>
    <row r="665" spans="1:54" ht="11.25" hidden="1" customHeight="1" x14ac:dyDescent="0.2">
      <c r="A665" s="867"/>
      <c r="C665" s="689"/>
      <c r="D665" s="690"/>
      <c r="E665" s="690"/>
      <c r="F665" s="690"/>
      <c r="G665" s="690"/>
      <c r="H665" s="690"/>
      <c r="I665" s="690"/>
      <c r="J665" s="690"/>
      <c r="K665" s="690"/>
      <c r="L665" s="690"/>
      <c r="M665" s="690"/>
      <c r="N665" s="690"/>
      <c r="O665" s="690"/>
      <c r="P665" s="690"/>
      <c r="Q665" s="690"/>
      <c r="R665" s="690"/>
      <c r="S665" s="690"/>
      <c r="T665" s="690"/>
      <c r="U665" s="690"/>
      <c r="V665" s="690"/>
      <c r="W665" s="690"/>
      <c r="X665" s="690"/>
      <c r="Y665" s="690"/>
      <c r="Z665" s="690"/>
      <c r="AA665" s="690"/>
      <c r="AB665" s="690"/>
      <c r="AC665" s="690"/>
      <c r="AD665" s="690"/>
      <c r="AE665" s="690"/>
      <c r="AF665" s="690"/>
      <c r="AG665" s="690"/>
      <c r="AH665" s="690"/>
      <c r="AI665" s="690"/>
      <c r="AJ665" s="690"/>
      <c r="AK665" s="690"/>
      <c r="AL665" s="690"/>
      <c r="AM665" s="690"/>
      <c r="AN665" s="690"/>
      <c r="AO665" s="690"/>
      <c r="AP665" s="691"/>
      <c r="AS665" s="692"/>
      <c r="AV665" s="699"/>
      <c r="AW665" s="700"/>
    </row>
    <row r="666" spans="1:54" ht="4.5" hidden="1" customHeight="1" x14ac:dyDescent="0.2">
      <c r="A666" s="867"/>
      <c r="AV666" s="699"/>
      <c r="AW666" s="700"/>
    </row>
    <row r="667" spans="1:54" ht="11.25" hidden="1" customHeight="1" x14ac:dyDescent="0.2">
      <c r="A667" s="867"/>
      <c r="C667" s="693"/>
      <c r="D667" s="694"/>
      <c r="E667" s="695"/>
      <c r="F667" s="695"/>
      <c r="G667" s="695"/>
      <c r="H667" s="695"/>
      <c r="I667" s="695"/>
      <c r="J667" s="695"/>
      <c r="K667" s="695"/>
      <c r="L667" s="695"/>
      <c r="M667" s="695"/>
      <c r="N667" s="695"/>
      <c r="O667" s="695"/>
      <c r="P667" s="695"/>
      <c r="Q667" s="695"/>
      <c r="R667" s="695"/>
      <c r="S667" s="695"/>
      <c r="T667" s="695"/>
      <c r="U667" s="695"/>
      <c r="V667" s="695"/>
      <c r="W667" s="695"/>
      <c r="X667" s="695"/>
      <c r="Y667" s="695"/>
      <c r="Z667" s="695"/>
      <c r="AA667" s="695"/>
      <c r="AB667" s="695"/>
      <c r="AC667" s="695"/>
      <c r="AD667" s="695"/>
      <c r="AE667" s="695"/>
      <c r="AF667" s="695"/>
      <c r="AG667" s="695"/>
      <c r="AH667" s="695"/>
      <c r="AI667" s="695"/>
      <c r="AJ667" s="695"/>
      <c r="AK667" s="695"/>
      <c r="AL667" s="695"/>
      <c r="AM667" s="695"/>
      <c r="AN667" s="695"/>
      <c r="AO667" s="696"/>
      <c r="AP667" s="697"/>
      <c r="AQ667" s="698"/>
      <c r="AS667" s="208"/>
      <c r="AV667" s="699"/>
      <c r="AW667" s="700"/>
      <c r="AX667" s="382"/>
      <c r="AY667" s="379"/>
      <c r="AZ667" s="384"/>
      <c r="BA667" s="642"/>
    </row>
    <row r="668" spans="1:54" ht="11.25" hidden="1" customHeight="1" x14ac:dyDescent="0.2">
      <c r="A668" s="867"/>
      <c r="C668" s="701"/>
      <c r="D668" s="702"/>
      <c r="E668" s="703"/>
      <c r="F668" s="703"/>
      <c r="G668" s="703"/>
      <c r="H668" s="703"/>
      <c r="I668" s="703"/>
      <c r="J668" s="703"/>
      <c r="K668" s="703"/>
      <c r="L668" s="703"/>
      <c r="M668" s="703"/>
      <c r="N668" s="703"/>
      <c r="O668" s="703"/>
      <c r="P668" s="703"/>
      <c r="Q668" s="703"/>
      <c r="R668" s="703"/>
      <c r="S668" s="703"/>
      <c r="T668" s="703"/>
      <c r="U668" s="703"/>
      <c r="V668" s="703"/>
      <c r="W668" s="703"/>
      <c r="X668" s="703"/>
      <c r="Y668" s="703"/>
      <c r="Z668" s="703"/>
      <c r="AA668" s="703"/>
      <c r="AB668" s="703"/>
      <c r="AC668" s="703"/>
      <c r="AD668" s="703"/>
      <c r="AE668" s="703"/>
      <c r="AF668" s="703"/>
      <c r="AG668" s="703"/>
      <c r="AH668" s="703"/>
      <c r="AI668" s="703"/>
      <c r="AJ668" s="703"/>
      <c r="AK668" s="703"/>
      <c r="AL668" s="703"/>
      <c r="AM668" s="703"/>
      <c r="AN668" s="703"/>
      <c r="AO668" s="704"/>
      <c r="AP668" s="705"/>
      <c r="AQ668" s="698"/>
      <c r="AS668" s="220"/>
      <c r="AV668" s="699"/>
      <c r="AW668" s="700"/>
      <c r="AX668" s="382"/>
      <c r="AY668" s="379"/>
      <c r="AZ668" s="384"/>
      <c r="BA668" s="642"/>
    </row>
    <row r="669" spans="1:54" ht="11.25" hidden="1" customHeight="1" x14ac:dyDescent="0.2">
      <c r="A669" s="867"/>
      <c r="C669" s="701"/>
      <c r="D669" s="702"/>
      <c r="E669" s="703"/>
      <c r="F669" s="703"/>
      <c r="G669" s="703"/>
      <c r="H669" s="703"/>
      <c r="I669" s="703"/>
      <c r="J669" s="703"/>
      <c r="K669" s="703"/>
      <c r="L669" s="703"/>
      <c r="M669" s="703"/>
      <c r="N669" s="703"/>
      <c r="O669" s="703"/>
      <c r="P669" s="703"/>
      <c r="Q669" s="703"/>
      <c r="R669" s="703"/>
      <c r="S669" s="703"/>
      <c r="T669" s="703"/>
      <c r="U669" s="703"/>
      <c r="V669" s="703"/>
      <c r="W669" s="703"/>
      <c r="X669" s="703"/>
      <c r="Y669" s="703"/>
      <c r="Z669" s="703"/>
      <c r="AA669" s="703"/>
      <c r="AB669" s="703"/>
      <c r="AC669" s="703"/>
      <c r="AD669" s="703"/>
      <c r="AE669" s="703"/>
      <c r="AF669" s="703"/>
      <c r="AG669" s="703"/>
      <c r="AH669" s="703"/>
      <c r="AI669" s="703"/>
      <c r="AJ669" s="703"/>
      <c r="AK669" s="703"/>
      <c r="AL669" s="703"/>
      <c r="AM669" s="703"/>
      <c r="AN669" s="703"/>
      <c r="AO669" s="704"/>
      <c r="AP669" s="705"/>
      <c r="AQ669" s="698"/>
      <c r="AS669" s="220"/>
      <c r="AV669" s="699"/>
      <c r="AW669" s="700"/>
      <c r="AX669" s="382"/>
      <c r="AY669" s="379"/>
      <c r="AZ669" s="384"/>
      <c r="BA669" s="642"/>
    </row>
    <row r="670" spans="1:54" ht="11.25" hidden="1" customHeight="1" x14ac:dyDescent="0.2">
      <c r="A670" s="867"/>
      <c r="C670" s="701"/>
      <c r="D670" s="702"/>
      <c r="E670" s="703"/>
      <c r="F670" s="703"/>
      <c r="G670" s="703"/>
      <c r="H670" s="703"/>
      <c r="I670" s="703"/>
      <c r="J670" s="703"/>
      <c r="K670" s="703"/>
      <c r="L670" s="703"/>
      <c r="M670" s="703"/>
      <c r="N670" s="703"/>
      <c r="O670" s="703"/>
      <c r="P670" s="703"/>
      <c r="Q670" s="703"/>
      <c r="R670" s="703"/>
      <c r="S670" s="703"/>
      <c r="T670" s="703"/>
      <c r="U670" s="703"/>
      <c r="V670" s="703"/>
      <c r="W670" s="703"/>
      <c r="X670" s="703"/>
      <c r="Y670" s="703"/>
      <c r="Z670" s="703"/>
      <c r="AA670" s="703"/>
      <c r="AB670" s="703"/>
      <c r="AC670" s="703"/>
      <c r="AD670" s="703"/>
      <c r="AE670" s="703"/>
      <c r="AF670" s="703"/>
      <c r="AG670" s="703"/>
      <c r="AH670" s="703"/>
      <c r="AI670" s="703"/>
      <c r="AJ670" s="703"/>
      <c r="AK670" s="703"/>
      <c r="AL670" s="703"/>
      <c r="AM670" s="703"/>
      <c r="AN670" s="703"/>
      <c r="AO670" s="704"/>
      <c r="AP670" s="705"/>
      <c r="AQ670" s="698"/>
      <c r="AS670" s="220"/>
      <c r="AV670" s="699"/>
      <c r="AW670" s="700"/>
      <c r="AX670" s="382"/>
      <c r="AY670" s="379"/>
      <c r="AZ670" s="384"/>
      <c r="BA670" s="642"/>
    </row>
    <row r="671" spans="1:54" ht="11.25" hidden="1" customHeight="1" x14ac:dyDescent="0.2">
      <c r="A671" s="867"/>
      <c r="C671" s="701"/>
      <c r="D671" s="702"/>
      <c r="E671" s="703"/>
      <c r="F671" s="703"/>
      <c r="G671" s="703"/>
      <c r="H671" s="703"/>
      <c r="I671" s="703"/>
      <c r="J671" s="703"/>
      <c r="K671" s="703"/>
      <c r="L671" s="703"/>
      <c r="M671" s="703"/>
      <c r="N671" s="703"/>
      <c r="O671" s="703"/>
      <c r="P671" s="703"/>
      <c r="Q671" s="703"/>
      <c r="R671" s="703"/>
      <c r="S671" s="703"/>
      <c r="T671" s="703"/>
      <c r="U671" s="703"/>
      <c r="V671" s="703"/>
      <c r="W671" s="703"/>
      <c r="X671" s="703"/>
      <c r="Y671" s="703"/>
      <c r="Z671" s="703"/>
      <c r="AA671" s="703"/>
      <c r="AB671" s="703"/>
      <c r="AC671" s="703"/>
      <c r="AD671" s="703"/>
      <c r="AE671" s="703"/>
      <c r="AF671" s="703"/>
      <c r="AG671" s="703"/>
      <c r="AH671" s="703"/>
      <c r="AI671" s="703"/>
      <c r="AJ671" s="703"/>
      <c r="AK671" s="703"/>
      <c r="AL671" s="703"/>
      <c r="AM671" s="703"/>
      <c r="AN671" s="703"/>
      <c r="AO671" s="704"/>
      <c r="AP671" s="705"/>
      <c r="AQ671" s="698"/>
      <c r="AS671" s="220"/>
      <c r="AV671" s="699"/>
      <c r="AW671" s="700"/>
      <c r="AX671" s="382"/>
      <c r="AY671" s="379"/>
      <c r="AZ671" s="384"/>
      <c r="BA671" s="642"/>
    </row>
    <row r="672" spans="1:54" ht="11.25" hidden="1" customHeight="1" x14ac:dyDescent="0.2">
      <c r="A672" s="867"/>
      <c r="C672" s="701"/>
      <c r="D672" s="702"/>
      <c r="E672" s="703"/>
      <c r="F672" s="703"/>
      <c r="G672" s="703"/>
      <c r="H672" s="703"/>
      <c r="I672" s="703"/>
      <c r="J672" s="703"/>
      <c r="K672" s="703"/>
      <c r="L672" s="703"/>
      <c r="M672" s="703"/>
      <c r="N672" s="703"/>
      <c r="O672" s="703"/>
      <c r="P672" s="703"/>
      <c r="Q672" s="703"/>
      <c r="R672" s="703"/>
      <c r="S672" s="703"/>
      <c r="T672" s="703"/>
      <c r="U672" s="703"/>
      <c r="V672" s="703"/>
      <c r="W672" s="703"/>
      <c r="X672" s="703"/>
      <c r="Y672" s="703"/>
      <c r="Z672" s="703"/>
      <c r="AA672" s="703"/>
      <c r="AB672" s="703"/>
      <c r="AC672" s="703"/>
      <c r="AD672" s="703"/>
      <c r="AE672" s="703"/>
      <c r="AF672" s="703"/>
      <c r="AG672" s="703"/>
      <c r="AH672" s="703"/>
      <c r="AI672" s="703"/>
      <c r="AJ672" s="703"/>
      <c r="AK672" s="703"/>
      <c r="AL672" s="703"/>
      <c r="AM672" s="703"/>
      <c r="AN672" s="703"/>
      <c r="AO672" s="704"/>
      <c r="AP672" s="705"/>
      <c r="AQ672" s="698"/>
      <c r="AS672" s="220"/>
      <c r="AV672" s="699"/>
      <c r="AW672" s="700"/>
      <c r="AX672" s="382"/>
      <c r="AY672" s="379"/>
      <c r="AZ672" s="384"/>
      <c r="BA672" s="642"/>
    </row>
    <row r="673" spans="1:53" ht="11.25" hidden="1" customHeight="1" x14ac:dyDescent="0.2">
      <c r="A673" s="867"/>
      <c r="C673" s="701"/>
      <c r="D673" s="702"/>
      <c r="E673" s="703"/>
      <c r="F673" s="703"/>
      <c r="G673" s="703"/>
      <c r="H673" s="703"/>
      <c r="I673" s="703"/>
      <c r="J673" s="703"/>
      <c r="K673" s="703"/>
      <c r="L673" s="703"/>
      <c r="M673" s="703"/>
      <c r="N673" s="703"/>
      <c r="O673" s="703"/>
      <c r="P673" s="703"/>
      <c r="Q673" s="703"/>
      <c r="R673" s="703"/>
      <c r="S673" s="703"/>
      <c r="T673" s="703"/>
      <c r="U673" s="703"/>
      <c r="V673" s="703"/>
      <c r="W673" s="703"/>
      <c r="X673" s="703"/>
      <c r="Y673" s="703"/>
      <c r="Z673" s="703"/>
      <c r="AA673" s="703"/>
      <c r="AB673" s="703"/>
      <c r="AC673" s="703"/>
      <c r="AD673" s="703"/>
      <c r="AE673" s="703"/>
      <c r="AF673" s="703"/>
      <c r="AG673" s="703"/>
      <c r="AH673" s="703"/>
      <c r="AI673" s="703"/>
      <c r="AJ673" s="703"/>
      <c r="AK673" s="703"/>
      <c r="AL673" s="703"/>
      <c r="AM673" s="703"/>
      <c r="AN673" s="703"/>
      <c r="AO673" s="704"/>
      <c r="AP673" s="705"/>
      <c r="AQ673" s="698"/>
      <c r="AS673" s="220"/>
      <c r="AV673" s="699"/>
      <c r="AW673" s="700"/>
      <c r="AX673" s="382"/>
      <c r="AY673" s="379"/>
      <c r="AZ673" s="384"/>
      <c r="BA673" s="642"/>
    </row>
    <row r="674" spans="1:53" ht="11.25" hidden="1" customHeight="1" x14ac:dyDescent="0.2">
      <c r="A674" s="867"/>
      <c r="C674" s="701"/>
      <c r="D674" s="702"/>
      <c r="E674" s="703"/>
      <c r="F674" s="703"/>
      <c r="G674" s="703"/>
      <c r="H674" s="703"/>
      <c r="I674" s="703"/>
      <c r="J674" s="703"/>
      <c r="K674" s="703"/>
      <c r="L674" s="703"/>
      <c r="M674" s="703"/>
      <c r="N674" s="703"/>
      <c r="O674" s="703"/>
      <c r="P674" s="703"/>
      <c r="Q674" s="703"/>
      <c r="R674" s="703"/>
      <c r="S674" s="703"/>
      <c r="T674" s="703"/>
      <c r="U674" s="703"/>
      <c r="V674" s="703"/>
      <c r="W674" s="703"/>
      <c r="X674" s="703"/>
      <c r="Y674" s="703"/>
      <c r="Z674" s="703"/>
      <c r="AA674" s="703"/>
      <c r="AB674" s="703"/>
      <c r="AC674" s="703"/>
      <c r="AD674" s="703"/>
      <c r="AE674" s="703"/>
      <c r="AF674" s="703"/>
      <c r="AG674" s="703"/>
      <c r="AH674" s="703"/>
      <c r="AI674" s="703"/>
      <c r="AJ674" s="703"/>
      <c r="AK674" s="703"/>
      <c r="AL674" s="703"/>
      <c r="AM674" s="703"/>
      <c r="AN674" s="703"/>
      <c r="AO674" s="704"/>
      <c r="AP674" s="705"/>
      <c r="AQ674" s="698"/>
      <c r="AS674" s="220"/>
      <c r="AV674" s="699"/>
      <c r="AW674" s="700"/>
      <c r="AX674" s="382"/>
      <c r="AY674" s="379"/>
      <c r="AZ674" s="384"/>
      <c r="BA674" s="642"/>
    </row>
    <row r="675" spans="1:53" ht="11.25" hidden="1" customHeight="1" x14ac:dyDescent="0.2">
      <c r="A675" s="867"/>
      <c r="C675" s="701"/>
      <c r="D675" s="702"/>
      <c r="E675" s="703"/>
      <c r="F675" s="703"/>
      <c r="G675" s="703"/>
      <c r="H675" s="703"/>
      <c r="I675" s="703"/>
      <c r="J675" s="703"/>
      <c r="K675" s="703"/>
      <c r="L675" s="703"/>
      <c r="M675" s="703"/>
      <c r="N675" s="703"/>
      <c r="O675" s="703"/>
      <c r="P675" s="703"/>
      <c r="Q675" s="703"/>
      <c r="R675" s="703"/>
      <c r="S675" s="703"/>
      <c r="T675" s="703"/>
      <c r="U675" s="703"/>
      <c r="V675" s="703"/>
      <c r="W675" s="703"/>
      <c r="X675" s="703"/>
      <c r="Y675" s="703"/>
      <c r="Z675" s="703"/>
      <c r="AA675" s="703"/>
      <c r="AB675" s="703"/>
      <c r="AC675" s="703"/>
      <c r="AD675" s="703"/>
      <c r="AE675" s="703"/>
      <c r="AF675" s="703"/>
      <c r="AG675" s="703"/>
      <c r="AH675" s="703"/>
      <c r="AI675" s="703"/>
      <c r="AJ675" s="703"/>
      <c r="AK675" s="703"/>
      <c r="AL675" s="703"/>
      <c r="AM675" s="703"/>
      <c r="AN675" s="703"/>
      <c r="AO675" s="704"/>
      <c r="AP675" s="705"/>
      <c r="AQ675" s="698"/>
      <c r="AS675" s="220"/>
      <c r="AV675" s="699"/>
      <c r="AW675" s="700"/>
      <c r="AX675" s="382"/>
      <c r="AY675" s="379"/>
      <c r="AZ675" s="384"/>
      <c r="BA675" s="642"/>
    </row>
    <row r="676" spans="1:53" ht="11.25" hidden="1" customHeight="1" x14ac:dyDescent="0.2">
      <c r="A676" s="867"/>
      <c r="C676" s="701"/>
      <c r="D676" s="702"/>
      <c r="E676" s="703"/>
      <c r="F676" s="703"/>
      <c r="G676" s="703"/>
      <c r="H676" s="703"/>
      <c r="I676" s="703"/>
      <c r="J676" s="703"/>
      <c r="K676" s="703"/>
      <c r="L676" s="703"/>
      <c r="M676" s="703"/>
      <c r="N676" s="703"/>
      <c r="O676" s="703"/>
      <c r="P676" s="703"/>
      <c r="Q676" s="703"/>
      <c r="R676" s="703"/>
      <c r="S676" s="703"/>
      <c r="T676" s="703"/>
      <c r="U676" s="703"/>
      <c r="V676" s="703"/>
      <c r="W676" s="703"/>
      <c r="X676" s="703"/>
      <c r="Y676" s="703"/>
      <c r="Z676" s="703"/>
      <c r="AA676" s="703"/>
      <c r="AB676" s="703"/>
      <c r="AC676" s="703"/>
      <c r="AD676" s="703"/>
      <c r="AE676" s="703"/>
      <c r="AF676" s="703"/>
      <c r="AG676" s="703"/>
      <c r="AH676" s="703"/>
      <c r="AI676" s="703"/>
      <c r="AJ676" s="703"/>
      <c r="AK676" s="703"/>
      <c r="AL676" s="703"/>
      <c r="AM676" s="703"/>
      <c r="AN676" s="703"/>
      <c r="AO676" s="704"/>
      <c r="AP676" s="705"/>
      <c r="AQ676" s="698"/>
      <c r="AS676" s="220"/>
      <c r="AV676" s="699"/>
      <c r="AW676" s="700"/>
      <c r="AX676" s="382"/>
      <c r="AY676" s="379"/>
      <c r="AZ676" s="384"/>
      <c r="BA676" s="642"/>
    </row>
    <row r="677" spans="1:53" ht="11.25" hidden="1" customHeight="1" x14ac:dyDescent="0.2">
      <c r="A677" s="867"/>
      <c r="C677" s="701"/>
      <c r="D677" s="702"/>
      <c r="E677" s="703"/>
      <c r="F677" s="703"/>
      <c r="G677" s="703"/>
      <c r="H677" s="703"/>
      <c r="I677" s="703"/>
      <c r="J677" s="703"/>
      <c r="K677" s="703"/>
      <c r="L677" s="703"/>
      <c r="M677" s="703"/>
      <c r="N677" s="703"/>
      <c r="O677" s="703"/>
      <c r="P677" s="703"/>
      <c r="Q677" s="703"/>
      <c r="R677" s="703"/>
      <c r="S677" s="703"/>
      <c r="T677" s="703"/>
      <c r="U677" s="703"/>
      <c r="V677" s="703"/>
      <c r="W677" s="703"/>
      <c r="X677" s="703"/>
      <c r="Y677" s="703"/>
      <c r="Z677" s="703"/>
      <c r="AA677" s="703"/>
      <c r="AB677" s="703"/>
      <c r="AC677" s="703"/>
      <c r="AD677" s="703"/>
      <c r="AE677" s="703"/>
      <c r="AF677" s="703"/>
      <c r="AG677" s="703"/>
      <c r="AH677" s="703"/>
      <c r="AI677" s="703"/>
      <c r="AJ677" s="703"/>
      <c r="AK677" s="703"/>
      <c r="AL677" s="703"/>
      <c r="AM677" s="703"/>
      <c r="AN677" s="703"/>
      <c r="AO677" s="704"/>
      <c r="AP677" s="705"/>
      <c r="AQ677" s="698"/>
      <c r="AS677" s="220"/>
      <c r="AV677" s="699"/>
      <c r="AW677" s="700"/>
      <c r="AX677" s="382"/>
      <c r="AY677" s="379"/>
      <c r="AZ677" s="384"/>
      <c r="BA677" s="642"/>
    </row>
    <row r="678" spans="1:53" ht="11.25" hidden="1" customHeight="1" x14ac:dyDescent="0.2">
      <c r="A678" s="867"/>
      <c r="C678" s="701"/>
      <c r="D678" s="702"/>
      <c r="E678" s="703"/>
      <c r="F678" s="703"/>
      <c r="G678" s="703"/>
      <c r="H678" s="703"/>
      <c r="I678" s="703"/>
      <c r="J678" s="703"/>
      <c r="K678" s="703"/>
      <c r="L678" s="703"/>
      <c r="M678" s="703"/>
      <c r="N678" s="703"/>
      <c r="O678" s="703"/>
      <c r="P678" s="703"/>
      <c r="Q678" s="703"/>
      <c r="R678" s="703"/>
      <c r="S678" s="703"/>
      <c r="T678" s="703"/>
      <c r="U678" s="703"/>
      <c r="V678" s="703"/>
      <c r="W678" s="703"/>
      <c r="X678" s="703"/>
      <c r="Y678" s="703"/>
      <c r="Z678" s="703"/>
      <c r="AA678" s="703"/>
      <c r="AB678" s="703"/>
      <c r="AC678" s="703"/>
      <c r="AD678" s="703"/>
      <c r="AE678" s="703"/>
      <c r="AF678" s="703"/>
      <c r="AG678" s="703"/>
      <c r="AH678" s="703"/>
      <c r="AI678" s="703"/>
      <c r="AJ678" s="703"/>
      <c r="AK678" s="703"/>
      <c r="AL678" s="703"/>
      <c r="AM678" s="703"/>
      <c r="AN678" s="703"/>
      <c r="AO678" s="704"/>
      <c r="AP678" s="705"/>
      <c r="AQ678" s="698"/>
      <c r="AS678" s="220"/>
      <c r="AV678" s="699"/>
      <c r="AW678" s="700"/>
      <c r="AX678" s="382"/>
      <c r="AY678" s="379"/>
      <c r="AZ678" s="384"/>
      <c r="BA678" s="642"/>
    </row>
    <row r="679" spans="1:53" ht="11.25" hidden="1" customHeight="1" x14ac:dyDescent="0.2">
      <c r="A679" s="867"/>
      <c r="C679" s="701"/>
      <c r="D679" s="702"/>
      <c r="E679" s="703"/>
      <c r="F679" s="703"/>
      <c r="G679" s="703"/>
      <c r="H679" s="703"/>
      <c r="I679" s="703"/>
      <c r="J679" s="703"/>
      <c r="K679" s="703"/>
      <c r="L679" s="703"/>
      <c r="M679" s="703"/>
      <c r="N679" s="703"/>
      <c r="O679" s="703"/>
      <c r="P679" s="703"/>
      <c r="Q679" s="703"/>
      <c r="R679" s="703"/>
      <c r="S679" s="703"/>
      <c r="T679" s="703"/>
      <c r="U679" s="703"/>
      <c r="V679" s="703"/>
      <c r="W679" s="703"/>
      <c r="X679" s="703"/>
      <c r="Y679" s="703"/>
      <c r="Z679" s="703"/>
      <c r="AA679" s="703"/>
      <c r="AB679" s="703"/>
      <c r="AC679" s="703"/>
      <c r="AD679" s="703"/>
      <c r="AE679" s="703"/>
      <c r="AF679" s="703"/>
      <c r="AG679" s="703"/>
      <c r="AH679" s="703"/>
      <c r="AI679" s="703"/>
      <c r="AJ679" s="703"/>
      <c r="AK679" s="703"/>
      <c r="AL679" s="703"/>
      <c r="AM679" s="703"/>
      <c r="AN679" s="703"/>
      <c r="AO679" s="704"/>
      <c r="AP679" s="705"/>
      <c r="AQ679" s="698"/>
      <c r="AS679" s="220"/>
      <c r="AV679" s="699"/>
      <c r="AW679" s="700"/>
      <c r="AX679" s="382"/>
      <c r="AY679" s="379"/>
      <c r="AZ679" s="384"/>
      <c r="BA679" s="642"/>
    </row>
    <row r="680" spans="1:53" ht="11.25" hidden="1" customHeight="1" x14ac:dyDescent="0.2">
      <c r="A680" s="867"/>
      <c r="C680" s="701"/>
      <c r="D680" s="702"/>
      <c r="E680" s="703"/>
      <c r="F680" s="703"/>
      <c r="G680" s="703"/>
      <c r="H680" s="703"/>
      <c r="I680" s="703"/>
      <c r="J680" s="703"/>
      <c r="K680" s="703"/>
      <c r="L680" s="703"/>
      <c r="M680" s="703"/>
      <c r="N680" s="703"/>
      <c r="O680" s="703"/>
      <c r="P680" s="703"/>
      <c r="Q680" s="703"/>
      <c r="R680" s="703"/>
      <c r="S680" s="703"/>
      <c r="T680" s="703"/>
      <c r="U680" s="703"/>
      <c r="V680" s="703"/>
      <c r="W680" s="703"/>
      <c r="X680" s="703"/>
      <c r="Y680" s="703"/>
      <c r="Z680" s="703"/>
      <c r="AA680" s="703"/>
      <c r="AB680" s="703"/>
      <c r="AC680" s="703"/>
      <c r="AD680" s="703"/>
      <c r="AE680" s="703"/>
      <c r="AF680" s="703"/>
      <c r="AG680" s="703"/>
      <c r="AH680" s="703"/>
      <c r="AI680" s="703"/>
      <c r="AJ680" s="703"/>
      <c r="AK680" s="703"/>
      <c r="AL680" s="703"/>
      <c r="AM680" s="703"/>
      <c r="AN680" s="703"/>
      <c r="AO680" s="704"/>
      <c r="AP680" s="705"/>
      <c r="AQ680" s="698"/>
      <c r="AS680" s="220"/>
      <c r="AV680" s="699"/>
      <c r="AW680" s="700"/>
      <c r="AX680" s="382"/>
      <c r="AY680" s="379"/>
      <c r="AZ680" s="384"/>
      <c r="BA680" s="642"/>
    </row>
    <row r="681" spans="1:53" ht="11.25" hidden="1" customHeight="1" x14ac:dyDescent="0.2">
      <c r="A681" s="867"/>
      <c r="C681" s="701"/>
      <c r="D681" s="702"/>
      <c r="E681" s="703"/>
      <c r="F681" s="703"/>
      <c r="G681" s="703"/>
      <c r="H681" s="703"/>
      <c r="I681" s="703"/>
      <c r="J681" s="703"/>
      <c r="K681" s="703"/>
      <c r="L681" s="703"/>
      <c r="M681" s="703"/>
      <c r="N681" s="703"/>
      <c r="O681" s="703"/>
      <c r="P681" s="703"/>
      <c r="Q681" s="703"/>
      <c r="R681" s="703"/>
      <c r="S681" s="703"/>
      <c r="T681" s="703"/>
      <c r="U681" s="703"/>
      <c r="V681" s="703"/>
      <c r="W681" s="703"/>
      <c r="X681" s="703"/>
      <c r="Y681" s="703"/>
      <c r="Z681" s="703"/>
      <c r="AA681" s="703"/>
      <c r="AB681" s="703"/>
      <c r="AC681" s="703"/>
      <c r="AD681" s="703"/>
      <c r="AE681" s="703"/>
      <c r="AF681" s="703"/>
      <c r="AG681" s="703"/>
      <c r="AH681" s="703"/>
      <c r="AI681" s="703"/>
      <c r="AJ681" s="703"/>
      <c r="AK681" s="703"/>
      <c r="AL681" s="703"/>
      <c r="AM681" s="703"/>
      <c r="AN681" s="703"/>
      <c r="AO681" s="704"/>
      <c r="AP681" s="705"/>
      <c r="AQ681" s="698"/>
      <c r="AS681" s="220"/>
      <c r="AV681" s="699"/>
      <c r="AW681" s="700"/>
      <c r="AX681" s="382"/>
      <c r="AY681" s="379"/>
      <c r="AZ681" s="384"/>
      <c r="BA681" s="642"/>
    </row>
    <row r="682" spans="1:53" ht="11.25" hidden="1" customHeight="1" x14ac:dyDescent="0.2">
      <c r="A682" s="867"/>
      <c r="C682" s="701"/>
      <c r="D682" s="702"/>
      <c r="E682" s="703"/>
      <c r="F682" s="703"/>
      <c r="G682" s="703"/>
      <c r="H682" s="703"/>
      <c r="I682" s="703"/>
      <c r="J682" s="703"/>
      <c r="K682" s="703"/>
      <c r="L682" s="703"/>
      <c r="M682" s="703"/>
      <c r="N682" s="703"/>
      <c r="O682" s="703"/>
      <c r="P682" s="703"/>
      <c r="Q682" s="703"/>
      <c r="R682" s="703"/>
      <c r="S682" s="703"/>
      <c r="T682" s="703"/>
      <c r="U682" s="703"/>
      <c r="V682" s="703"/>
      <c r="W682" s="703"/>
      <c r="X682" s="703"/>
      <c r="Y682" s="703"/>
      <c r="Z682" s="703"/>
      <c r="AA682" s="703"/>
      <c r="AB682" s="703"/>
      <c r="AC682" s="703"/>
      <c r="AD682" s="703"/>
      <c r="AE682" s="703"/>
      <c r="AF682" s="703"/>
      <c r="AG682" s="703"/>
      <c r="AH682" s="703"/>
      <c r="AI682" s="703"/>
      <c r="AJ682" s="703"/>
      <c r="AK682" s="703"/>
      <c r="AL682" s="703"/>
      <c r="AM682" s="703"/>
      <c r="AN682" s="703"/>
      <c r="AO682" s="704"/>
      <c r="AP682" s="705"/>
      <c r="AQ682" s="698"/>
      <c r="AS682" s="220"/>
      <c r="AV682" s="699"/>
      <c r="AW682" s="700"/>
      <c r="AX682" s="382"/>
      <c r="AY682" s="379"/>
      <c r="AZ682" s="384"/>
      <c r="BA682" s="642"/>
    </row>
    <row r="683" spans="1:53" ht="11.25" hidden="1" customHeight="1" x14ac:dyDescent="0.2">
      <c r="A683" s="867"/>
      <c r="C683" s="701"/>
      <c r="D683" s="702"/>
      <c r="E683" s="703"/>
      <c r="F683" s="703"/>
      <c r="G683" s="703"/>
      <c r="H683" s="703"/>
      <c r="I683" s="703"/>
      <c r="J683" s="703"/>
      <c r="K683" s="703"/>
      <c r="L683" s="703"/>
      <c r="M683" s="703"/>
      <c r="N683" s="703"/>
      <c r="O683" s="703"/>
      <c r="P683" s="703"/>
      <c r="Q683" s="703"/>
      <c r="R683" s="703"/>
      <c r="S683" s="703"/>
      <c r="T683" s="703"/>
      <c r="U683" s="703"/>
      <c r="V683" s="703"/>
      <c r="W683" s="703"/>
      <c r="X683" s="703"/>
      <c r="Y683" s="703"/>
      <c r="Z683" s="703"/>
      <c r="AA683" s="703"/>
      <c r="AB683" s="703"/>
      <c r="AC683" s="703"/>
      <c r="AD683" s="703"/>
      <c r="AE683" s="703"/>
      <c r="AF683" s="703"/>
      <c r="AG683" s="703"/>
      <c r="AH683" s="703"/>
      <c r="AI683" s="703"/>
      <c r="AJ683" s="703"/>
      <c r="AK683" s="703"/>
      <c r="AL683" s="703"/>
      <c r="AM683" s="703"/>
      <c r="AN683" s="703"/>
      <c r="AO683" s="704"/>
      <c r="AP683" s="705"/>
      <c r="AQ683" s="698"/>
      <c r="AS683" s="220"/>
      <c r="AV683" s="699"/>
      <c r="AW683" s="700"/>
      <c r="AX683" s="382"/>
      <c r="AY683" s="379"/>
      <c r="AZ683" s="384"/>
      <c r="BA683" s="642"/>
    </row>
    <row r="684" spans="1:53" ht="11.25" hidden="1" customHeight="1" x14ac:dyDescent="0.2">
      <c r="A684" s="867"/>
      <c r="C684" s="701"/>
      <c r="D684" s="702"/>
      <c r="E684" s="703"/>
      <c r="F684" s="703"/>
      <c r="G684" s="703"/>
      <c r="H684" s="703"/>
      <c r="I684" s="703"/>
      <c r="J684" s="703"/>
      <c r="K684" s="703"/>
      <c r="L684" s="703"/>
      <c r="M684" s="703"/>
      <c r="N684" s="703"/>
      <c r="O684" s="703"/>
      <c r="P684" s="703"/>
      <c r="Q684" s="703"/>
      <c r="R684" s="703"/>
      <c r="S684" s="703"/>
      <c r="T684" s="703"/>
      <c r="U684" s="703"/>
      <c r="V684" s="703"/>
      <c r="W684" s="703"/>
      <c r="X684" s="703"/>
      <c r="Y684" s="703"/>
      <c r="Z684" s="703"/>
      <c r="AA684" s="703"/>
      <c r="AB684" s="703"/>
      <c r="AC684" s="703"/>
      <c r="AD684" s="703"/>
      <c r="AE684" s="703"/>
      <c r="AF684" s="703"/>
      <c r="AG684" s="703"/>
      <c r="AH684" s="703"/>
      <c r="AI684" s="703"/>
      <c r="AJ684" s="703"/>
      <c r="AK684" s="703"/>
      <c r="AL684" s="703"/>
      <c r="AM684" s="703"/>
      <c r="AN684" s="703"/>
      <c r="AO684" s="704"/>
      <c r="AP684" s="705"/>
      <c r="AQ684" s="698"/>
      <c r="AS684" s="220"/>
      <c r="AV684" s="699"/>
      <c r="AW684" s="700"/>
      <c r="AX684" s="382"/>
      <c r="AY684" s="379"/>
      <c r="AZ684" s="384"/>
      <c r="BA684" s="642"/>
    </row>
    <row r="685" spans="1:53" ht="11.25" hidden="1" customHeight="1" x14ac:dyDescent="0.2">
      <c r="A685" s="867"/>
      <c r="C685" s="701"/>
      <c r="D685" s="702"/>
      <c r="E685" s="703"/>
      <c r="F685" s="703"/>
      <c r="G685" s="703"/>
      <c r="H685" s="703"/>
      <c r="I685" s="703"/>
      <c r="J685" s="703"/>
      <c r="K685" s="703"/>
      <c r="L685" s="703"/>
      <c r="M685" s="703"/>
      <c r="N685" s="703"/>
      <c r="O685" s="703"/>
      <c r="P685" s="703"/>
      <c r="Q685" s="703"/>
      <c r="R685" s="703"/>
      <c r="S685" s="703"/>
      <c r="T685" s="703"/>
      <c r="U685" s="703"/>
      <c r="V685" s="703"/>
      <c r="W685" s="703"/>
      <c r="X685" s="703"/>
      <c r="Y685" s="703"/>
      <c r="Z685" s="703"/>
      <c r="AA685" s="703"/>
      <c r="AB685" s="703"/>
      <c r="AC685" s="703"/>
      <c r="AD685" s="703"/>
      <c r="AE685" s="703"/>
      <c r="AF685" s="703"/>
      <c r="AG685" s="703"/>
      <c r="AH685" s="703"/>
      <c r="AI685" s="703"/>
      <c r="AJ685" s="703"/>
      <c r="AK685" s="703"/>
      <c r="AL685" s="703"/>
      <c r="AM685" s="703"/>
      <c r="AN685" s="703"/>
      <c r="AO685" s="704"/>
      <c r="AP685" s="705"/>
      <c r="AQ685" s="698"/>
      <c r="AS685" s="220"/>
      <c r="AV685" s="699"/>
      <c r="AW685" s="700"/>
      <c r="AX685" s="382"/>
      <c r="AY685" s="379"/>
      <c r="AZ685" s="384"/>
      <c r="BA685" s="642"/>
    </row>
    <row r="686" spans="1:53" ht="11.25" hidden="1" customHeight="1" x14ac:dyDescent="0.2">
      <c r="A686" s="867"/>
      <c r="C686" s="701"/>
      <c r="D686" s="702"/>
      <c r="E686" s="703"/>
      <c r="F686" s="703"/>
      <c r="G686" s="703"/>
      <c r="H686" s="703"/>
      <c r="I686" s="703"/>
      <c r="J686" s="703"/>
      <c r="K686" s="703"/>
      <c r="L686" s="703"/>
      <c r="M686" s="703"/>
      <c r="N686" s="703"/>
      <c r="O686" s="703"/>
      <c r="P686" s="703"/>
      <c r="Q686" s="703"/>
      <c r="R686" s="703"/>
      <c r="S686" s="703"/>
      <c r="T686" s="703"/>
      <c r="U686" s="703"/>
      <c r="V686" s="703"/>
      <c r="W686" s="703"/>
      <c r="X686" s="703"/>
      <c r="Y686" s="703"/>
      <c r="Z686" s="703"/>
      <c r="AA686" s="703"/>
      <c r="AB686" s="703"/>
      <c r="AC686" s="703"/>
      <c r="AD686" s="703"/>
      <c r="AE686" s="703"/>
      <c r="AF686" s="703"/>
      <c r="AG686" s="703"/>
      <c r="AH686" s="703"/>
      <c r="AI686" s="703"/>
      <c r="AJ686" s="703"/>
      <c r="AK686" s="703"/>
      <c r="AL686" s="703"/>
      <c r="AM686" s="703"/>
      <c r="AN686" s="703"/>
      <c r="AO686" s="704"/>
      <c r="AP686" s="705"/>
      <c r="AQ686" s="698"/>
      <c r="AS686" s="220"/>
      <c r="AV686" s="699"/>
      <c r="AW686" s="700"/>
      <c r="AX686" s="382"/>
      <c r="AY686" s="379"/>
      <c r="AZ686" s="384"/>
      <c r="BA686" s="642"/>
    </row>
    <row r="687" spans="1:53" ht="11.25" hidden="1" customHeight="1" x14ac:dyDescent="0.2">
      <c r="A687" s="867"/>
      <c r="C687" s="701"/>
      <c r="D687" s="702"/>
      <c r="E687" s="703"/>
      <c r="F687" s="703"/>
      <c r="G687" s="703"/>
      <c r="H687" s="703"/>
      <c r="I687" s="703"/>
      <c r="J687" s="703"/>
      <c r="K687" s="703"/>
      <c r="L687" s="703"/>
      <c r="M687" s="703"/>
      <c r="N687" s="703"/>
      <c r="O687" s="703"/>
      <c r="P687" s="703"/>
      <c r="Q687" s="703"/>
      <c r="R687" s="703"/>
      <c r="S687" s="703"/>
      <c r="T687" s="703"/>
      <c r="U687" s="703"/>
      <c r="V687" s="703"/>
      <c r="W687" s="703"/>
      <c r="X687" s="703"/>
      <c r="Y687" s="703"/>
      <c r="Z687" s="703"/>
      <c r="AA687" s="703"/>
      <c r="AB687" s="703"/>
      <c r="AC687" s="703"/>
      <c r="AD687" s="703"/>
      <c r="AE687" s="703"/>
      <c r="AF687" s="703"/>
      <c r="AG687" s="703"/>
      <c r="AH687" s="703"/>
      <c r="AI687" s="703"/>
      <c r="AJ687" s="703"/>
      <c r="AK687" s="703"/>
      <c r="AL687" s="703"/>
      <c r="AM687" s="703"/>
      <c r="AN687" s="703"/>
      <c r="AO687" s="704"/>
      <c r="AP687" s="705"/>
      <c r="AQ687" s="698"/>
      <c r="AS687" s="220"/>
      <c r="AV687" s="699"/>
      <c r="AW687" s="700"/>
      <c r="AX687" s="382"/>
      <c r="AY687" s="379"/>
      <c r="AZ687" s="384"/>
      <c r="BA687" s="642"/>
    </row>
    <row r="688" spans="1:53" ht="11.25" hidden="1" customHeight="1" x14ac:dyDescent="0.2">
      <c r="A688" s="867"/>
      <c r="C688" s="701"/>
      <c r="D688" s="702"/>
      <c r="E688" s="703"/>
      <c r="F688" s="703"/>
      <c r="G688" s="703"/>
      <c r="H688" s="703"/>
      <c r="I688" s="703"/>
      <c r="J688" s="703"/>
      <c r="K688" s="703"/>
      <c r="L688" s="703"/>
      <c r="M688" s="703"/>
      <c r="N688" s="703"/>
      <c r="O688" s="703"/>
      <c r="P688" s="703"/>
      <c r="Q688" s="703"/>
      <c r="R688" s="703"/>
      <c r="S688" s="703"/>
      <c r="T688" s="703"/>
      <c r="U688" s="703"/>
      <c r="V688" s="703"/>
      <c r="W688" s="703"/>
      <c r="X688" s="703"/>
      <c r="Y688" s="703"/>
      <c r="Z688" s="703"/>
      <c r="AA688" s="703"/>
      <c r="AB688" s="703"/>
      <c r="AC688" s="703"/>
      <c r="AD688" s="703"/>
      <c r="AE688" s="703"/>
      <c r="AF688" s="703"/>
      <c r="AG688" s="703"/>
      <c r="AH688" s="703"/>
      <c r="AI688" s="703"/>
      <c r="AJ688" s="703"/>
      <c r="AK688" s="703"/>
      <c r="AL688" s="703"/>
      <c r="AM688" s="703"/>
      <c r="AN688" s="703"/>
      <c r="AO688" s="704"/>
      <c r="AP688" s="705"/>
      <c r="AQ688" s="698"/>
      <c r="AS688" s="220"/>
      <c r="AV688" s="699"/>
      <c r="AW688" s="700"/>
      <c r="AX688" s="382"/>
      <c r="AY688" s="379"/>
      <c r="AZ688" s="384"/>
      <c r="BA688" s="642"/>
    </row>
    <row r="689" spans="1:54" ht="11.25" hidden="1" customHeight="1" x14ac:dyDescent="0.2">
      <c r="A689" s="867"/>
      <c r="C689" s="701"/>
      <c r="D689" s="702"/>
      <c r="E689" s="703"/>
      <c r="F689" s="703"/>
      <c r="G689" s="703"/>
      <c r="H689" s="703"/>
      <c r="I689" s="703"/>
      <c r="J689" s="703"/>
      <c r="K689" s="703"/>
      <c r="L689" s="703"/>
      <c r="M689" s="703"/>
      <c r="N689" s="703"/>
      <c r="O689" s="703"/>
      <c r="P689" s="703"/>
      <c r="Q689" s="703"/>
      <c r="R689" s="703"/>
      <c r="S689" s="703"/>
      <c r="T689" s="703"/>
      <c r="U689" s="703"/>
      <c r="V689" s="703"/>
      <c r="W689" s="703"/>
      <c r="X689" s="703"/>
      <c r="Y689" s="703"/>
      <c r="Z689" s="703"/>
      <c r="AA689" s="703"/>
      <c r="AB689" s="703"/>
      <c r="AC689" s="703"/>
      <c r="AD689" s="703"/>
      <c r="AE689" s="703"/>
      <c r="AF689" s="703"/>
      <c r="AG689" s="703"/>
      <c r="AH689" s="703"/>
      <c r="AI689" s="703"/>
      <c r="AJ689" s="703"/>
      <c r="AK689" s="703"/>
      <c r="AL689" s="703"/>
      <c r="AM689" s="703"/>
      <c r="AN689" s="703"/>
      <c r="AO689" s="704"/>
      <c r="AP689" s="705"/>
      <c r="AQ689" s="698"/>
      <c r="AS689" s="220"/>
      <c r="AV689" s="699"/>
      <c r="AW689" s="700"/>
      <c r="AX689" s="382"/>
      <c r="AY689" s="379"/>
      <c r="AZ689" s="384"/>
      <c r="BA689" s="642"/>
    </row>
    <row r="690" spans="1:54" ht="11.25" hidden="1" customHeight="1" x14ac:dyDescent="0.2">
      <c r="A690" s="867"/>
      <c r="C690" s="701"/>
      <c r="D690" s="702"/>
      <c r="E690" s="703"/>
      <c r="F690" s="703"/>
      <c r="G690" s="703"/>
      <c r="H690" s="703"/>
      <c r="I690" s="703"/>
      <c r="J690" s="703"/>
      <c r="K690" s="703"/>
      <c r="L690" s="703"/>
      <c r="M690" s="703"/>
      <c r="N690" s="703"/>
      <c r="O690" s="703"/>
      <c r="P690" s="703"/>
      <c r="Q690" s="703"/>
      <c r="R690" s="703"/>
      <c r="S690" s="703"/>
      <c r="T690" s="703"/>
      <c r="U690" s="703"/>
      <c r="V690" s="703"/>
      <c r="W690" s="703"/>
      <c r="X690" s="703"/>
      <c r="Y690" s="703"/>
      <c r="Z690" s="703"/>
      <c r="AA690" s="703"/>
      <c r="AB690" s="703"/>
      <c r="AC690" s="703"/>
      <c r="AD690" s="703"/>
      <c r="AE690" s="703"/>
      <c r="AF690" s="703"/>
      <c r="AG690" s="703"/>
      <c r="AH690" s="703"/>
      <c r="AI690" s="703"/>
      <c r="AJ690" s="703"/>
      <c r="AK690" s="703"/>
      <c r="AL690" s="703"/>
      <c r="AM690" s="703"/>
      <c r="AN690" s="703"/>
      <c r="AO690" s="704"/>
      <c r="AP690" s="705"/>
      <c r="AQ690" s="698"/>
      <c r="AS690" s="220"/>
      <c r="AV690" s="699"/>
      <c r="AW690" s="700"/>
      <c r="AX690" s="382"/>
      <c r="AY690" s="379"/>
      <c r="AZ690" s="384"/>
      <c r="BA690" s="642"/>
    </row>
    <row r="691" spans="1:54" ht="11.25" hidden="1" customHeight="1" x14ac:dyDescent="0.2">
      <c r="A691" s="867"/>
      <c r="C691" s="701"/>
      <c r="D691" s="702"/>
      <c r="E691" s="703"/>
      <c r="F691" s="703"/>
      <c r="G691" s="703"/>
      <c r="H691" s="703"/>
      <c r="I691" s="703"/>
      <c r="J691" s="703"/>
      <c r="K691" s="703"/>
      <c r="L691" s="703"/>
      <c r="M691" s="703"/>
      <c r="N691" s="703"/>
      <c r="O691" s="703"/>
      <c r="P691" s="703"/>
      <c r="Q691" s="703"/>
      <c r="R691" s="703"/>
      <c r="S691" s="703"/>
      <c r="T691" s="703"/>
      <c r="U691" s="703"/>
      <c r="V691" s="703"/>
      <c r="W691" s="703"/>
      <c r="X691" s="703"/>
      <c r="Y691" s="703"/>
      <c r="Z691" s="703"/>
      <c r="AA691" s="703"/>
      <c r="AB691" s="703"/>
      <c r="AC691" s="703"/>
      <c r="AD691" s="703"/>
      <c r="AE691" s="703"/>
      <c r="AF691" s="703"/>
      <c r="AG691" s="703"/>
      <c r="AH691" s="703"/>
      <c r="AI691" s="703"/>
      <c r="AJ691" s="703"/>
      <c r="AK691" s="703"/>
      <c r="AL691" s="703"/>
      <c r="AM691" s="703"/>
      <c r="AN691" s="703"/>
      <c r="AO691" s="704"/>
      <c r="AP691" s="705"/>
      <c r="AQ691" s="698"/>
      <c r="AS691" s="220"/>
      <c r="AV691" s="699"/>
      <c r="AW691" s="700"/>
      <c r="AX691" s="382"/>
      <c r="AY691" s="379"/>
      <c r="AZ691" s="384"/>
      <c r="BA691" s="642"/>
    </row>
    <row r="692" spans="1:54" ht="11.25" hidden="1" customHeight="1" x14ac:dyDescent="0.2">
      <c r="A692" s="867"/>
      <c r="C692" s="701"/>
      <c r="D692" s="702"/>
      <c r="E692" s="703"/>
      <c r="F692" s="703"/>
      <c r="G692" s="703"/>
      <c r="H692" s="703"/>
      <c r="I692" s="703"/>
      <c r="J692" s="703"/>
      <c r="K692" s="703"/>
      <c r="L692" s="703"/>
      <c r="M692" s="703"/>
      <c r="N692" s="703"/>
      <c r="O692" s="703"/>
      <c r="P692" s="703"/>
      <c r="Q692" s="703"/>
      <c r="R692" s="703"/>
      <c r="S692" s="703"/>
      <c r="T692" s="703"/>
      <c r="U692" s="703"/>
      <c r="V692" s="703"/>
      <c r="W692" s="703"/>
      <c r="X692" s="703"/>
      <c r="Y692" s="703"/>
      <c r="Z692" s="703"/>
      <c r="AA692" s="703"/>
      <c r="AB692" s="703"/>
      <c r="AC692" s="703"/>
      <c r="AD692" s="703"/>
      <c r="AE692" s="703"/>
      <c r="AF692" s="703"/>
      <c r="AG692" s="703"/>
      <c r="AH692" s="703"/>
      <c r="AI692" s="703"/>
      <c r="AJ692" s="703"/>
      <c r="AK692" s="703"/>
      <c r="AL692" s="703"/>
      <c r="AM692" s="703"/>
      <c r="AN692" s="703"/>
      <c r="AO692" s="704"/>
      <c r="AP692" s="705"/>
      <c r="AQ692" s="698"/>
      <c r="AS692" s="220"/>
      <c r="AV692" s="699"/>
      <c r="AW692" s="700"/>
      <c r="AX692" s="382"/>
      <c r="AY692" s="379"/>
      <c r="AZ692" s="384"/>
      <c r="BA692" s="642"/>
    </row>
    <row r="693" spans="1:54" ht="11.25" hidden="1" customHeight="1" x14ac:dyDescent="0.2">
      <c r="A693" s="867"/>
      <c r="C693" s="701"/>
      <c r="D693" s="702"/>
      <c r="E693" s="703"/>
      <c r="F693" s="703"/>
      <c r="G693" s="703"/>
      <c r="H693" s="703"/>
      <c r="I693" s="703"/>
      <c r="J693" s="703"/>
      <c r="K693" s="703"/>
      <c r="L693" s="703"/>
      <c r="M693" s="703"/>
      <c r="N693" s="703"/>
      <c r="O693" s="703"/>
      <c r="P693" s="703"/>
      <c r="Q693" s="703"/>
      <c r="R693" s="703"/>
      <c r="S693" s="703"/>
      <c r="T693" s="703"/>
      <c r="U693" s="703"/>
      <c r="V693" s="703"/>
      <c r="W693" s="703"/>
      <c r="X693" s="703"/>
      <c r="Y693" s="703"/>
      <c r="Z693" s="703"/>
      <c r="AA693" s="703"/>
      <c r="AB693" s="703"/>
      <c r="AC693" s="703"/>
      <c r="AD693" s="703"/>
      <c r="AE693" s="703"/>
      <c r="AF693" s="703"/>
      <c r="AG693" s="703"/>
      <c r="AH693" s="703"/>
      <c r="AI693" s="703"/>
      <c r="AJ693" s="703"/>
      <c r="AK693" s="703"/>
      <c r="AL693" s="703"/>
      <c r="AM693" s="703"/>
      <c r="AN693" s="703"/>
      <c r="AO693" s="704"/>
      <c r="AP693" s="705"/>
      <c r="AQ693" s="698"/>
      <c r="AS693" s="220"/>
      <c r="AV693" s="699"/>
      <c r="AW693" s="700"/>
      <c r="AX693" s="382"/>
      <c r="AY693" s="379"/>
      <c r="AZ693" s="384"/>
      <c r="BA693" s="642"/>
    </row>
    <row r="694" spans="1:54" ht="11.25" hidden="1" customHeight="1" x14ac:dyDescent="0.2">
      <c r="A694" s="867"/>
      <c r="C694" s="701"/>
      <c r="D694" s="702"/>
      <c r="E694" s="703"/>
      <c r="F694" s="703"/>
      <c r="G694" s="703"/>
      <c r="H694" s="703"/>
      <c r="I694" s="703"/>
      <c r="J694" s="703"/>
      <c r="K694" s="703"/>
      <c r="L694" s="703"/>
      <c r="M694" s="703"/>
      <c r="N694" s="703"/>
      <c r="O694" s="703"/>
      <c r="P694" s="703"/>
      <c r="Q694" s="703"/>
      <c r="R694" s="703"/>
      <c r="S694" s="703"/>
      <c r="T694" s="703"/>
      <c r="U694" s="703"/>
      <c r="V694" s="703"/>
      <c r="W694" s="703"/>
      <c r="X694" s="703"/>
      <c r="Y694" s="703"/>
      <c r="Z694" s="703"/>
      <c r="AA694" s="703"/>
      <c r="AB694" s="703"/>
      <c r="AC694" s="703"/>
      <c r="AD694" s="703"/>
      <c r="AE694" s="703"/>
      <c r="AF694" s="703"/>
      <c r="AG694" s="703"/>
      <c r="AH694" s="703"/>
      <c r="AI694" s="703"/>
      <c r="AJ694" s="703"/>
      <c r="AK694" s="703"/>
      <c r="AL694" s="703"/>
      <c r="AM694" s="703"/>
      <c r="AN694" s="703"/>
      <c r="AO694" s="704"/>
      <c r="AP694" s="705"/>
      <c r="AQ694" s="698"/>
      <c r="AS694" s="220"/>
      <c r="AV694" s="699"/>
      <c r="AW694" s="700"/>
      <c r="AX694" s="382"/>
      <c r="AY694" s="379"/>
      <c r="AZ694" s="384"/>
      <c r="BA694" s="642"/>
    </row>
    <row r="695" spans="1:54" ht="11.25" hidden="1" customHeight="1" x14ac:dyDescent="0.2">
      <c r="A695" s="867"/>
      <c r="C695" s="701"/>
      <c r="D695" s="702"/>
      <c r="E695" s="703"/>
      <c r="F695" s="703"/>
      <c r="G695" s="703"/>
      <c r="H695" s="703"/>
      <c r="I695" s="703"/>
      <c r="J695" s="703"/>
      <c r="K695" s="703"/>
      <c r="L695" s="703"/>
      <c r="M695" s="703"/>
      <c r="N695" s="703"/>
      <c r="O695" s="703"/>
      <c r="P695" s="703"/>
      <c r="Q695" s="703"/>
      <c r="R695" s="703"/>
      <c r="S695" s="703"/>
      <c r="T695" s="703"/>
      <c r="U695" s="703"/>
      <c r="V695" s="703"/>
      <c r="W695" s="703"/>
      <c r="X695" s="703"/>
      <c r="Y695" s="703"/>
      <c r="Z695" s="703"/>
      <c r="AA695" s="703"/>
      <c r="AB695" s="703"/>
      <c r="AC695" s="703"/>
      <c r="AD695" s="703"/>
      <c r="AE695" s="703"/>
      <c r="AF695" s="703"/>
      <c r="AG695" s="703"/>
      <c r="AH695" s="703"/>
      <c r="AI695" s="703"/>
      <c r="AJ695" s="703"/>
      <c r="AK695" s="703"/>
      <c r="AL695" s="703"/>
      <c r="AM695" s="703"/>
      <c r="AN695" s="703"/>
      <c r="AO695" s="704"/>
      <c r="AP695" s="705"/>
      <c r="AQ695" s="698"/>
      <c r="AS695" s="220"/>
      <c r="AV695" s="699"/>
      <c r="AW695" s="700"/>
      <c r="AX695" s="382"/>
      <c r="AY695" s="379"/>
      <c r="AZ695" s="384"/>
      <c r="BA695" s="642"/>
    </row>
    <row r="696" spans="1:54" ht="11.25" hidden="1" customHeight="1" x14ac:dyDescent="0.2">
      <c r="A696" s="867"/>
      <c r="C696" s="706"/>
      <c r="D696" s="707"/>
      <c r="E696" s="708"/>
      <c r="F696" s="708"/>
      <c r="G696" s="708"/>
      <c r="H696" s="708"/>
      <c r="I696" s="708"/>
      <c r="J696" s="708"/>
      <c r="K696" s="708"/>
      <c r="L696" s="708"/>
      <c r="M696" s="708"/>
      <c r="N696" s="708"/>
      <c r="O696" s="708"/>
      <c r="P696" s="708"/>
      <c r="Q696" s="708"/>
      <c r="R696" s="708"/>
      <c r="S696" s="708"/>
      <c r="T696" s="708"/>
      <c r="U696" s="708"/>
      <c r="V696" s="708"/>
      <c r="W696" s="708"/>
      <c r="X696" s="708"/>
      <c r="Y696" s="708"/>
      <c r="Z696" s="708"/>
      <c r="AA696" s="708"/>
      <c r="AB696" s="708"/>
      <c r="AC696" s="708"/>
      <c r="AD696" s="708"/>
      <c r="AE696" s="708"/>
      <c r="AF696" s="708"/>
      <c r="AG696" s="708"/>
      <c r="AH696" s="708"/>
      <c r="AI696" s="708"/>
      <c r="AJ696" s="708"/>
      <c r="AK696" s="708"/>
      <c r="AL696" s="708"/>
      <c r="AM696" s="708"/>
      <c r="AN696" s="708"/>
      <c r="AO696" s="709"/>
      <c r="AP696" s="710"/>
      <c r="AQ696" s="698"/>
      <c r="AS696" s="220"/>
      <c r="AV696" s="699"/>
      <c r="AW696" s="700"/>
      <c r="AX696" s="382"/>
      <c r="AY696" s="379"/>
      <c r="AZ696" s="384"/>
      <c r="BA696" s="642"/>
    </row>
    <row r="697" spans="1:54" ht="13.5" hidden="1" customHeight="1" x14ac:dyDescent="0.2">
      <c r="A697" s="867"/>
      <c r="AV697" s="699"/>
      <c r="AW697" s="700"/>
      <c r="AX697" s="642"/>
      <c r="AY697" s="642"/>
      <c r="BA697" s="642"/>
    </row>
    <row r="698" spans="1:54" ht="1.5" hidden="1" customHeight="1" x14ac:dyDescent="0.2">
      <c r="A698" s="867"/>
      <c r="AV698" s="699"/>
      <c r="AW698" s="700"/>
    </row>
    <row r="699" spans="1:54" s="186" customFormat="1" ht="11.25" hidden="1" customHeight="1" x14ac:dyDescent="0.2">
      <c r="A699" s="867"/>
      <c r="AS699" s="672"/>
      <c r="AU699" s="669"/>
      <c r="AV699" s="699"/>
      <c r="AW699" s="700"/>
      <c r="AX699" s="643"/>
      <c r="AY699" s="643"/>
      <c r="AZ699" s="671"/>
      <c r="BA699" s="643"/>
      <c r="BB699" s="669"/>
    </row>
    <row r="700" spans="1:54" s="673" customFormat="1" ht="13.5" hidden="1" customHeight="1" x14ac:dyDescent="0.2">
      <c r="A700" s="867"/>
      <c r="D700" s="674"/>
      <c r="E700" s="674"/>
      <c r="F700" s="674"/>
      <c r="G700" s="674"/>
      <c r="H700" s="674"/>
      <c r="I700" s="674"/>
      <c r="J700" s="674"/>
      <c r="K700" s="674"/>
      <c r="L700" s="674"/>
      <c r="M700" s="674"/>
      <c r="N700" s="674"/>
      <c r="O700" s="674"/>
      <c r="P700" s="674"/>
      <c r="Q700" s="674"/>
      <c r="R700" s="674"/>
      <c r="S700" s="674"/>
      <c r="T700" s="674"/>
      <c r="U700" s="674"/>
      <c r="V700" s="674"/>
      <c r="W700" s="674"/>
      <c r="X700" s="674"/>
      <c r="Y700" s="674"/>
      <c r="Z700" s="674"/>
      <c r="AA700" s="674"/>
      <c r="AB700" s="674"/>
      <c r="AC700" s="674"/>
      <c r="AD700" s="674"/>
      <c r="AE700" s="674"/>
      <c r="AF700" s="674"/>
      <c r="AG700" s="674"/>
      <c r="AH700" s="674"/>
      <c r="AI700" s="674"/>
      <c r="AJ700" s="674"/>
      <c r="AK700" s="674"/>
      <c r="AL700" s="674"/>
      <c r="AM700" s="674"/>
      <c r="AN700" s="674"/>
      <c r="AO700" s="674"/>
      <c r="AP700" s="674"/>
      <c r="AS700" s="675"/>
      <c r="AU700" s="643"/>
      <c r="AV700" s="699"/>
      <c r="AW700" s="700"/>
      <c r="AX700" s="643"/>
      <c r="AY700" s="643"/>
      <c r="AZ700" s="671"/>
      <c r="BA700" s="643"/>
      <c r="BB700" s="643"/>
    </row>
    <row r="701" spans="1:54" s="673" customFormat="1" ht="13.5" hidden="1" customHeight="1" x14ac:dyDescent="0.2">
      <c r="A701" s="867"/>
      <c r="C701" s="324"/>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3"/>
      <c r="AD701" s="383"/>
      <c r="AE701" s="383"/>
      <c r="AF701" s="383"/>
      <c r="AG701" s="383"/>
      <c r="AH701" s="383"/>
      <c r="AI701" s="383"/>
      <c r="AJ701" s="383"/>
      <c r="AK701" s="383"/>
      <c r="AL701" s="383"/>
      <c r="AM701" s="383"/>
      <c r="AN701" s="383"/>
      <c r="AO701" s="383"/>
      <c r="AP701" s="674"/>
      <c r="AS701" s="675"/>
      <c r="AU701" s="643"/>
      <c r="AV701" s="699"/>
      <c r="AW701" s="700"/>
      <c r="AX701" s="643"/>
      <c r="AY701" s="643"/>
      <c r="AZ701" s="671"/>
      <c r="BA701" s="643"/>
      <c r="BB701" s="643"/>
    </row>
    <row r="702" spans="1:54" s="673" customFormat="1" ht="13.5" hidden="1" customHeight="1" x14ac:dyDescent="0.2">
      <c r="A702" s="867"/>
      <c r="D702" s="383"/>
      <c r="E702" s="383"/>
      <c r="F702" s="383"/>
      <c r="G702" s="383"/>
      <c r="H702" s="383"/>
      <c r="I702" s="383"/>
      <c r="J702" s="383"/>
      <c r="K702" s="383"/>
      <c r="L702" s="383"/>
      <c r="M702" s="383"/>
      <c r="N702" s="383"/>
      <c r="O702" s="383"/>
      <c r="P702" s="383"/>
      <c r="Q702" s="383"/>
      <c r="R702" s="383"/>
      <c r="S702" s="383"/>
      <c r="T702" s="383"/>
      <c r="U702" s="383"/>
      <c r="V702" s="383"/>
      <c r="W702" s="383"/>
      <c r="X702" s="383"/>
      <c r="Y702" s="383"/>
      <c r="Z702" s="383"/>
      <c r="AA702" s="383"/>
      <c r="AB702" s="383"/>
      <c r="AC702" s="383"/>
      <c r="AD702" s="383"/>
      <c r="AE702" s="383"/>
      <c r="AF702" s="383"/>
      <c r="AG702" s="383"/>
      <c r="AH702" s="383"/>
      <c r="AI702" s="383"/>
      <c r="AJ702" s="383"/>
      <c r="AK702" s="383"/>
      <c r="AL702" s="383"/>
      <c r="AM702" s="383"/>
      <c r="AN702" s="383"/>
      <c r="AO702" s="383"/>
      <c r="AP702" s="674"/>
      <c r="AS702" s="675"/>
      <c r="AU702" s="643"/>
      <c r="AV702" s="699"/>
      <c r="AW702" s="700"/>
      <c r="AX702" s="643"/>
      <c r="AY702" s="643"/>
      <c r="AZ702" s="671"/>
      <c r="BA702" s="643"/>
      <c r="BB702" s="643"/>
    </row>
    <row r="703" spans="1:54" s="673" customFormat="1" ht="13.5" hidden="1" customHeight="1" x14ac:dyDescent="0.2">
      <c r="A703" s="867"/>
      <c r="D703" s="676"/>
      <c r="E703" s="676"/>
      <c r="F703" s="676"/>
      <c r="G703" s="676"/>
      <c r="H703" s="676"/>
      <c r="I703" s="676"/>
      <c r="J703" s="676"/>
      <c r="K703" s="676"/>
      <c r="L703" s="676"/>
      <c r="M703" s="676"/>
      <c r="N703" s="676"/>
      <c r="O703" s="676"/>
      <c r="P703" s="676"/>
      <c r="Q703" s="676"/>
      <c r="R703" s="676"/>
      <c r="S703" s="676"/>
      <c r="T703" s="676"/>
      <c r="U703" s="676"/>
      <c r="V703" s="676"/>
      <c r="W703" s="676"/>
      <c r="X703" s="676"/>
      <c r="Y703" s="676"/>
      <c r="Z703" s="676"/>
      <c r="AA703" s="676"/>
      <c r="AB703" s="676"/>
      <c r="AC703" s="676"/>
      <c r="AD703" s="676"/>
      <c r="AE703" s="676"/>
      <c r="AF703" s="676"/>
      <c r="AG703" s="676"/>
      <c r="AH703" s="676"/>
      <c r="AI703" s="676"/>
      <c r="AJ703" s="676"/>
      <c r="AK703" s="676"/>
      <c r="AL703" s="676"/>
      <c r="AM703" s="676"/>
      <c r="AN703" s="676"/>
      <c r="AO703" s="676"/>
      <c r="AP703" s="674"/>
      <c r="AS703" s="675"/>
      <c r="AU703" s="643"/>
      <c r="AV703" s="699"/>
      <c r="AW703" s="700"/>
      <c r="AX703" s="643"/>
      <c r="AY703" s="643"/>
      <c r="AZ703" s="671"/>
      <c r="BA703" s="643"/>
      <c r="BB703" s="643"/>
    </row>
    <row r="704" spans="1:54" s="673" customFormat="1" ht="13.5" hidden="1" customHeight="1" x14ac:dyDescent="0.2">
      <c r="A704" s="867"/>
      <c r="D704" s="677"/>
      <c r="E704" s="677"/>
      <c r="F704" s="677"/>
      <c r="G704" s="677"/>
      <c r="H704" s="677"/>
      <c r="I704" s="677"/>
      <c r="J704" s="677"/>
      <c r="K704" s="677"/>
      <c r="L704" s="677"/>
      <c r="M704" s="677"/>
      <c r="N704" s="677"/>
      <c r="O704" s="677"/>
      <c r="P704" s="677"/>
      <c r="Q704" s="677"/>
      <c r="R704" s="677"/>
      <c r="S704" s="677"/>
      <c r="T704" s="677"/>
      <c r="U704" s="677"/>
      <c r="V704" s="677"/>
      <c r="W704" s="677"/>
      <c r="X704" s="677"/>
      <c r="Y704" s="677"/>
      <c r="Z704" s="677"/>
      <c r="AA704" s="677"/>
      <c r="AB704" s="677"/>
      <c r="AC704" s="677"/>
      <c r="AD704" s="677"/>
      <c r="AE704" s="677"/>
      <c r="AF704" s="677"/>
      <c r="AG704" s="677"/>
      <c r="AH704" s="677"/>
      <c r="AI704" s="677"/>
      <c r="AJ704" s="677"/>
      <c r="AK704" s="677"/>
      <c r="AL704" s="677"/>
      <c r="AM704" s="677"/>
      <c r="AN704" s="677"/>
      <c r="AO704" s="677"/>
      <c r="AP704" s="674"/>
      <c r="AS704" s="675"/>
      <c r="AU704" s="643"/>
      <c r="AV704" s="699"/>
      <c r="AW704" s="700"/>
      <c r="AY704" s="643"/>
      <c r="AZ704" s="671"/>
      <c r="BA704" s="643"/>
      <c r="BB704" s="643"/>
    </row>
    <row r="705" spans="1:54" s="673" customFormat="1" ht="13.5" hidden="1" customHeight="1" x14ac:dyDescent="0.2">
      <c r="A705" s="867"/>
      <c r="D705" s="677"/>
      <c r="E705" s="677"/>
      <c r="F705" s="677"/>
      <c r="G705" s="677"/>
      <c r="H705" s="677"/>
      <c r="I705" s="677"/>
      <c r="J705" s="677"/>
      <c r="K705" s="677"/>
      <c r="L705" s="677"/>
      <c r="M705" s="677"/>
      <c r="N705" s="677"/>
      <c r="O705" s="677"/>
      <c r="P705" s="677"/>
      <c r="Q705" s="677"/>
      <c r="R705" s="677"/>
      <c r="S705" s="677"/>
      <c r="T705" s="677"/>
      <c r="U705" s="677"/>
      <c r="V705" s="677"/>
      <c r="W705" s="677"/>
      <c r="X705" s="677"/>
      <c r="Y705" s="677"/>
      <c r="Z705" s="677"/>
      <c r="AA705" s="677"/>
      <c r="AB705" s="677"/>
      <c r="AC705" s="677"/>
      <c r="AD705" s="677"/>
      <c r="AE705" s="677"/>
      <c r="AF705" s="677"/>
      <c r="AG705" s="677"/>
      <c r="AH705" s="677"/>
      <c r="AI705" s="677"/>
      <c r="AJ705" s="677"/>
      <c r="AK705" s="677"/>
      <c r="AL705" s="677"/>
      <c r="AM705" s="677"/>
      <c r="AN705" s="677"/>
      <c r="AO705" s="677"/>
      <c r="AP705" s="674"/>
      <c r="AS705" s="675"/>
      <c r="AU705" s="643"/>
      <c r="AV705" s="699"/>
      <c r="AW705" s="700"/>
      <c r="AX705" s="643"/>
      <c r="AY705" s="643"/>
      <c r="AZ705" s="671"/>
      <c r="BA705" s="643"/>
      <c r="BB705" s="643"/>
    </row>
    <row r="706" spans="1:54" s="673" customFormat="1" ht="13.5" hidden="1" customHeight="1" x14ac:dyDescent="0.2">
      <c r="A706" s="867"/>
      <c r="D706" s="674"/>
      <c r="E706" s="674"/>
      <c r="F706" s="674"/>
      <c r="G706" s="674"/>
      <c r="H706" s="674"/>
      <c r="I706" s="674"/>
      <c r="J706" s="674"/>
      <c r="K706" s="674"/>
      <c r="L706" s="674"/>
      <c r="M706" s="674"/>
      <c r="N706" s="674"/>
      <c r="O706" s="674"/>
      <c r="P706" s="674"/>
      <c r="Q706" s="674"/>
      <c r="R706" s="674"/>
      <c r="S706" s="674"/>
      <c r="T706" s="674"/>
      <c r="U706" s="674"/>
      <c r="V706" s="674"/>
      <c r="W706" s="674"/>
      <c r="X706" s="674"/>
      <c r="Y706" s="674"/>
      <c r="Z706" s="674"/>
      <c r="AA706" s="674"/>
      <c r="AB706" s="674"/>
      <c r="AC706" s="674"/>
      <c r="AD706" s="674"/>
      <c r="AE706" s="674"/>
      <c r="AF706" s="674"/>
      <c r="AG706" s="674"/>
      <c r="AH706" s="674"/>
      <c r="AI706" s="674"/>
      <c r="AJ706" s="674"/>
      <c r="AK706" s="674"/>
      <c r="AL706" s="674"/>
      <c r="AM706" s="674"/>
      <c r="AN706" s="674"/>
      <c r="AO706" s="674"/>
      <c r="AP706" s="674"/>
      <c r="AS706" s="675"/>
      <c r="AU706" s="643"/>
      <c r="AV706" s="699"/>
      <c r="AW706" s="700"/>
      <c r="AX706" s="643"/>
      <c r="AY706" s="643"/>
      <c r="AZ706" s="671"/>
      <c r="BA706" s="643"/>
      <c r="BB706" s="643"/>
    </row>
    <row r="707" spans="1:54" s="673" customFormat="1" ht="13.5" hidden="1" customHeight="1" x14ac:dyDescent="0.2">
      <c r="A707" s="867"/>
      <c r="D707" s="674"/>
      <c r="E707" s="674"/>
      <c r="F707" s="674"/>
      <c r="G707" s="674"/>
      <c r="H707" s="674"/>
      <c r="I707" s="674"/>
      <c r="J707" s="674"/>
      <c r="K707" s="674"/>
      <c r="L707" s="674"/>
      <c r="M707" s="674"/>
      <c r="N707" s="674"/>
      <c r="O707" s="674"/>
      <c r="P707" s="674"/>
      <c r="Q707" s="674"/>
      <c r="R707" s="674"/>
      <c r="S707" s="674"/>
      <c r="T707" s="674"/>
      <c r="U707" s="674"/>
      <c r="V707" s="674"/>
      <c r="W707" s="674"/>
      <c r="X707" s="674"/>
      <c r="Y707" s="674"/>
      <c r="Z707" s="674"/>
      <c r="AA707" s="674"/>
      <c r="AB707" s="674"/>
      <c r="AC707" s="674"/>
      <c r="AD707" s="674"/>
      <c r="AE707" s="674"/>
      <c r="AF707" s="674"/>
      <c r="AG707" s="674"/>
      <c r="AH707" s="674"/>
      <c r="AI707" s="674"/>
      <c r="AJ707" s="674"/>
      <c r="AK707" s="674"/>
      <c r="AL707" s="674"/>
      <c r="AM707" s="674"/>
      <c r="AN707" s="674"/>
      <c r="AO707" s="674"/>
      <c r="AP707" s="674"/>
      <c r="AS707" s="675"/>
      <c r="AU707" s="643"/>
      <c r="AV707" s="699"/>
      <c r="AW707" s="700"/>
      <c r="AX707" s="643"/>
      <c r="AY707" s="643"/>
      <c r="AZ707" s="671"/>
      <c r="BA707" s="643"/>
      <c r="BB707" s="643"/>
    </row>
    <row r="708" spans="1:54" s="673" customFormat="1" ht="13.5" hidden="1" customHeight="1" x14ac:dyDescent="0.2">
      <c r="A708" s="867"/>
      <c r="D708" s="674"/>
      <c r="E708" s="674"/>
      <c r="F708" s="674"/>
      <c r="G708" s="674"/>
      <c r="H708" s="674"/>
      <c r="I708" s="674"/>
      <c r="J708" s="674"/>
      <c r="K708" s="674"/>
      <c r="L708" s="674"/>
      <c r="M708" s="674"/>
      <c r="N708" s="674"/>
      <c r="O708" s="674"/>
      <c r="P708" s="674"/>
      <c r="Q708" s="674"/>
      <c r="R708" s="674"/>
      <c r="S708" s="674"/>
      <c r="T708" s="674"/>
      <c r="U708" s="674"/>
      <c r="V708" s="674"/>
      <c r="W708" s="674"/>
      <c r="X708" s="674"/>
      <c r="Y708" s="674"/>
      <c r="Z708" s="674"/>
      <c r="AA708" s="674"/>
      <c r="AB708" s="674"/>
      <c r="AC708" s="674"/>
      <c r="AD708" s="674"/>
      <c r="AE708" s="674"/>
      <c r="AF708" s="674"/>
      <c r="AG708" s="674"/>
      <c r="AH708" s="674"/>
      <c r="AI708" s="674"/>
      <c r="AJ708" s="674"/>
      <c r="AK708" s="674"/>
      <c r="AL708" s="674"/>
      <c r="AM708" s="674"/>
      <c r="AN708" s="674"/>
      <c r="AO708" s="674"/>
      <c r="AP708" s="674"/>
      <c r="AS708" s="675"/>
      <c r="AU708" s="643"/>
      <c r="AV708" s="699"/>
      <c r="AW708" s="700"/>
      <c r="AX708" s="643"/>
      <c r="AY708" s="643"/>
      <c r="AZ708" s="671"/>
      <c r="BA708" s="643"/>
      <c r="BB708" s="643"/>
    </row>
    <row r="709" spans="1:54" s="673" customFormat="1" ht="13.5" hidden="1" customHeight="1" x14ac:dyDescent="0.2">
      <c r="A709" s="867"/>
      <c r="D709" s="674"/>
      <c r="E709" s="674"/>
      <c r="F709" s="674"/>
      <c r="G709" s="674"/>
      <c r="H709" s="674"/>
      <c r="I709" s="674"/>
      <c r="J709" s="674"/>
      <c r="K709" s="674"/>
      <c r="L709" s="674"/>
      <c r="M709" s="674"/>
      <c r="N709" s="674"/>
      <c r="O709" s="674"/>
      <c r="P709" s="674"/>
      <c r="Q709" s="674"/>
      <c r="R709" s="674"/>
      <c r="S709" s="674"/>
      <c r="T709" s="674"/>
      <c r="U709" s="674"/>
      <c r="V709" s="674"/>
      <c r="W709" s="674"/>
      <c r="X709" s="674"/>
      <c r="Y709" s="674"/>
      <c r="Z709" s="674"/>
      <c r="AA709" s="674"/>
      <c r="AB709" s="674"/>
      <c r="AC709" s="674"/>
      <c r="AD709" s="674"/>
      <c r="AE709" s="674"/>
      <c r="AF709" s="674"/>
      <c r="AG709" s="674"/>
      <c r="AH709" s="674"/>
      <c r="AI709" s="674"/>
      <c r="AJ709" s="674"/>
      <c r="AK709" s="674"/>
      <c r="AL709" s="674"/>
      <c r="AM709" s="674"/>
      <c r="AN709" s="674"/>
      <c r="AO709" s="674"/>
      <c r="AP709" s="674"/>
      <c r="AS709" s="675"/>
      <c r="AU709" s="643"/>
      <c r="AV709" s="699"/>
      <c r="AW709" s="700"/>
      <c r="AX709" s="643"/>
      <c r="AY709" s="643"/>
      <c r="AZ709" s="671"/>
      <c r="BA709" s="643"/>
      <c r="BB709" s="643"/>
    </row>
    <row r="710" spans="1:54" s="673" customFormat="1" ht="13.5" hidden="1" customHeight="1" x14ac:dyDescent="0.2">
      <c r="A710" s="867"/>
      <c r="D710" s="674"/>
      <c r="E710" s="674"/>
      <c r="F710" s="674"/>
      <c r="G710" s="674"/>
      <c r="H710" s="674"/>
      <c r="I710" s="674"/>
      <c r="J710" s="674"/>
      <c r="K710" s="674"/>
      <c r="L710" s="674"/>
      <c r="M710" s="674"/>
      <c r="N710" s="674"/>
      <c r="O710" s="674"/>
      <c r="P710" s="674"/>
      <c r="Q710" s="674"/>
      <c r="R710" s="674"/>
      <c r="S710" s="674"/>
      <c r="T710" s="674"/>
      <c r="U710" s="674"/>
      <c r="V710" s="674"/>
      <c r="W710" s="674"/>
      <c r="X710" s="674"/>
      <c r="Y710" s="674"/>
      <c r="Z710" s="674"/>
      <c r="AA710" s="674"/>
      <c r="AB710" s="674"/>
      <c r="AC710" s="674"/>
      <c r="AD710" s="674"/>
      <c r="AE710" s="674"/>
      <c r="AF710" s="674"/>
      <c r="AG710" s="674"/>
      <c r="AH710" s="674"/>
      <c r="AI710" s="674"/>
      <c r="AJ710" s="674"/>
      <c r="AK710" s="674"/>
      <c r="AL710" s="674"/>
      <c r="AM710" s="674"/>
      <c r="AN710" s="674"/>
      <c r="AO710" s="674"/>
      <c r="AP710" s="674"/>
      <c r="AS710" s="675"/>
      <c r="AU710" s="643"/>
      <c r="AV710" s="699"/>
      <c r="AW710" s="700"/>
      <c r="AX710" s="643"/>
      <c r="AY710" s="643"/>
      <c r="AZ710" s="671"/>
      <c r="BA710" s="643"/>
      <c r="BB710" s="643"/>
    </row>
    <row r="711" spans="1:54" s="186" customFormat="1" ht="11.25" hidden="1" customHeight="1" x14ac:dyDescent="0.2">
      <c r="A711" s="867"/>
      <c r="D711" s="678"/>
      <c r="E711" s="678"/>
      <c r="F711" s="678"/>
      <c r="G711" s="678"/>
      <c r="H711" s="678"/>
      <c r="I711" s="678"/>
      <c r="J711" s="678"/>
      <c r="K711" s="678"/>
      <c r="L711" s="678"/>
      <c r="M711" s="678"/>
      <c r="N711" s="678"/>
      <c r="O711" s="678"/>
      <c r="P711" s="678"/>
      <c r="Q711" s="678"/>
      <c r="R711" s="678"/>
      <c r="S711" s="678"/>
      <c r="T711" s="678"/>
      <c r="U711" s="678"/>
      <c r="V711" s="678"/>
      <c r="W711" s="678"/>
      <c r="X711" s="678"/>
      <c r="Y711" s="678"/>
      <c r="Z711" s="678"/>
      <c r="AA711" s="678"/>
      <c r="AB711" s="678"/>
      <c r="AC711" s="678"/>
      <c r="AD711" s="678"/>
      <c r="AE711" s="678"/>
      <c r="AF711" s="678"/>
      <c r="AG711" s="678"/>
      <c r="AH711" s="678"/>
      <c r="AI711" s="678"/>
      <c r="AJ711" s="678"/>
      <c r="AK711" s="678"/>
      <c r="AL711" s="678"/>
      <c r="AM711" s="678"/>
      <c r="AN711" s="678"/>
      <c r="AO711" s="678"/>
      <c r="AP711" s="678"/>
      <c r="AS711" s="672"/>
      <c r="AU711" s="669"/>
      <c r="AV711" s="699"/>
      <c r="AW711" s="700"/>
      <c r="AX711" s="643"/>
      <c r="AY711" s="643"/>
      <c r="AZ711" s="671"/>
      <c r="BA711" s="643"/>
      <c r="BB711" s="669"/>
    </row>
    <row r="712" spans="1:54" ht="26.25" hidden="1" customHeight="1" x14ac:dyDescent="0.2">
      <c r="A712" s="867"/>
      <c r="C712" s="679"/>
      <c r="D712" s="680"/>
      <c r="E712" s="680"/>
      <c r="F712" s="680"/>
      <c r="G712" s="680"/>
      <c r="H712" s="680"/>
      <c r="I712" s="680"/>
      <c r="J712" s="680"/>
      <c r="K712" s="680"/>
      <c r="L712" s="680"/>
      <c r="M712" s="680"/>
      <c r="N712" s="680"/>
      <c r="O712" s="680"/>
      <c r="P712" s="680"/>
      <c r="Q712" s="680"/>
      <c r="R712" s="680"/>
      <c r="S712" s="680"/>
      <c r="T712" s="680"/>
      <c r="U712" s="680"/>
      <c r="V712" s="680"/>
      <c r="W712" s="680"/>
      <c r="X712" s="680"/>
      <c r="Y712" s="680"/>
      <c r="Z712" s="680"/>
      <c r="AA712" s="680"/>
      <c r="AB712" s="680"/>
      <c r="AC712" s="680"/>
      <c r="AD712" s="680"/>
      <c r="AE712" s="680"/>
      <c r="AF712" s="680"/>
      <c r="AG712" s="680"/>
      <c r="AH712" s="680"/>
      <c r="AI712" s="680"/>
      <c r="AJ712" s="680"/>
      <c r="AK712" s="680"/>
      <c r="AL712" s="680"/>
      <c r="AM712" s="680"/>
      <c r="AN712" s="680"/>
      <c r="AO712" s="680"/>
      <c r="AP712" s="868"/>
      <c r="AV712" s="699"/>
      <c r="AW712" s="700"/>
    </row>
    <row r="713" spans="1:54" ht="11.25" hidden="1" customHeight="1" x14ac:dyDescent="0.2">
      <c r="A713" s="867"/>
      <c r="C713" s="681"/>
      <c r="D713" s="682"/>
      <c r="E713" s="682"/>
      <c r="F713" s="682"/>
      <c r="G713" s="682"/>
      <c r="H713" s="682"/>
      <c r="I713" s="682"/>
      <c r="J713" s="682"/>
      <c r="K713" s="682"/>
      <c r="L713" s="682"/>
      <c r="M713" s="682"/>
      <c r="N713" s="682"/>
      <c r="O713" s="682"/>
      <c r="P713" s="682"/>
      <c r="Q713" s="682"/>
      <c r="R713" s="682"/>
      <c r="S713" s="682"/>
      <c r="T713" s="682"/>
      <c r="U713" s="682"/>
      <c r="V713" s="682"/>
      <c r="W713" s="682"/>
      <c r="X713" s="682"/>
      <c r="Y713" s="682"/>
      <c r="Z713" s="682"/>
      <c r="AA713" s="682"/>
      <c r="AB713" s="682"/>
      <c r="AC713" s="682"/>
      <c r="AD713" s="682"/>
      <c r="AE713" s="682"/>
      <c r="AF713" s="682"/>
      <c r="AG713" s="682"/>
      <c r="AH713" s="682"/>
      <c r="AI713" s="682"/>
      <c r="AJ713" s="682"/>
      <c r="AK713" s="682"/>
      <c r="AL713" s="682"/>
      <c r="AM713" s="682"/>
      <c r="AN713" s="682"/>
      <c r="AO713" s="682"/>
      <c r="AP713" s="868"/>
      <c r="AQ713" s="683"/>
      <c r="AV713" s="699"/>
      <c r="AW713" s="700"/>
    </row>
    <row r="714" spans="1:54" ht="11.25" hidden="1" customHeight="1" x14ac:dyDescent="0.2">
      <c r="A714" s="867"/>
      <c r="C714" s="684"/>
      <c r="D714" s="685"/>
      <c r="E714" s="686"/>
      <c r="F714" s="686"/>
      <c r="G714" s="686"/>
      <c r="H714" s="686"/>
      <c r="I714" s="686"/>
      <c r="J714" s="686"/>
      <c r="K714" s="686"/>
      <c r="L714" s="686"/>
      <c r="M714" s="686"/>
      <c r="N714" s="686"/>
      <c r="O714" s="686"/>
      <c r="P714" s="686"/>
      <c r="Q714" s="686"/>
      <c r="R714" s="686"/>
      <c r="S714" s="686"/>
      <c r="T714" s="686"/>
      <c r="U714" s="686"/>
      <c r="V714" s="686"/>
      <c r="W714" s="686"/>
      <c r="X714" s="686"/>
      <c r="Y714" s="686"/>
      <c r="Z714" s="686"/>
      <c r="AA714" s="686"/>
      <c r="AB714" s="686"/>
      <c r="AC714" s="686"/>
      <c r="AD714" s="686"/>
      <c r="AE714" s="686"/>
      <c r="AF714" s="686"/>
      <c r="AG714" s="686"/>
      <c r="AH714" s="686"/>
      <c r="AI714" s="686"/>
      <c r="AJ714" s="686"/>
      <c r="AK714" s="686"/>
      <c r="AL714" s="686"/>
      <c r="AM714" s="686"/>
      <c r="AN714" s="686"/>
      <c r="AO714" s="687"/>
      <c r="AP714" s="868"/>
      <c r="AQ714" s="688"/>
      <c r="AV714" s="699"/>
      <c r="AW714" s="700"/>
    </row>
    <row r="715" spans="1:54" ht="11.25" hidden="1" customHeight="1" x14ac:dyDescent="0.2">
      <c r="A715" s="867"/>
      <c r="C715" s="689"/>
      <c r="D715" s="690"/>
      <c r="E715" s="690"/>
      <c r="F715" s="690"/>
      <c r="G715" s="690"/>
      <c r="H715" s="690"/>
      <c r="I715" s="690"/>
      <c r="J715" s="690"/>
      <c r="K715" s="690"/>
      <c r="L715" s="690"/>
      <c r="M715" s="690"/>
      <c r="N715" s="690"/>
      <c r="O715" s="690"/>
      <c r="P715" s="690"/>
      <c r="Q715" s="690"/>
      <c r="R715" s="690"/>
      <c r="S715" s="690"/>
      <c r="T715" s="690"/>
      <c r="U715" s="690"/>
      <c r="V715" s="690"/>
      <c r="W715" s="690"/>
      <c r="X715" s="690"/>
      <c r="Y715" s="690"/>
      <c r="Z715" s="690"/>
      <c r="AA715" s="690"/>
      <c r="AB715" s="690"/>
      <c r="AC715" s="690"/>
      <c r="AD715" s="690"/>
      <c r="AE715" s="690"/>
      <c r="AF715" s="690"/>
      <c r="AG715" s="690"/>
      <c r="AH715" s="690"/>
      <c r="AI715" s="690"/>
      <c r="AJ715" s="690"/>
      <c r="AK715" s="690"/>
      <c r="AL715" s="690"/>
      <c r="AM715" s="690"/>
      <c r="AN715" s="690"/>
      <c r="AO715" s="690"/>
      <c r="AP715" s="691"/>
      <c r="AS715" s="692"/>
      <c r="AV715" s="699"/>
      <c r="AW715" s="700"/>
    </row>
    <row r="716" spans="1:54" ht="4.5" hidden="1" customHeight="1" x14ac:dyDescent="0.2">
      <c r="A716" s="867"/>
      <c r="AV716" s="699"/>
      <c r="AW716" s="700"/>
    </row>
    <row r="717" spans="1:54" ht="11.25" hidden="1" customHeight="1" x14ac:dyDescent="0.2">
      <c r="A717" s="867"/>
      <c r="C717" s="693"/>
      <c r="D717" s="694"/>
      <c r="E717" s="695"/>
      <c r="F717" s="695"/>
      <c r="G717" s="695"/>
      <c r="H717" s="695"/>
      <c r="I717" s="695"/>
      <c r="J717" s="695"/>
      <c r="K717" s="695"/>
      <c r="L717" s="695"/>
      <c r="M717" s="695"/>
      <c r="N717" s="695"/>
      <c r="O717" s="695"/>
      <c r="P717" s="695"/>
      <c r="Q717" s="695"/>
      <c r="R717" s="695"/>
      <c r="S717" s="695"/>
      <c r="T717" s="695"/>
      <c r="U717" s="695"/>
      <c r="V717" s="695"/>
      <c r="W717" s="695"/>
      <c r="X717" s="695"/>
      <c r="Y717" s="695"/>
      <c r="Z717" s="695"/>
      <c r="AA717" s="695"/>
      <c r="AB717" s="695"/>
      <c r="AC717" s="695"/>
      <c r="AD717" s="695"/>
      <c r="AE717" s="695"/>
      <c r="AF717" s="695"/>
      <c r="AG717" s="695"/>
      <c r="AH717" s="695"/>
      <c r="AI717" s="695"/>
      <c r="AJ717" s="695"/>
      <c r="AK717" s="695"/>
      <c r="AL717" s="695"/>
      <c r="AM717" s="695"/>
      <c r="AN717" s="695"/>
      <c r="AO717" s="696"/>
      <c r="AP717" s="697"/>
      <c r="AQ717" s="698"/>
      <c r="AS717" s="208"/>
      <c r="AV717" s="699"/>
      <c r="AW717" s="700"/>
      <c r="AX717" s="382"/>
      <c r="AY717" s="379"/>
      <c r="AZ717" s="384"/>
      <c r="BA717" s="642"/>
    </row>
    <row r="718" spans="1:54" ht="11.25" hidden="1" customHeight="1" x14ac:dyDescent="0.2">
      <c r="A718" s="867"/>
      <c r="C718" s="701"/>
      <c r="D718" s="702"/>
      <c r="E718" s="703"/>
      <c r="F718" s="703"/>
      <c r="G718" s="703"/>
      <c r="H718" s="703"/>
      <c r="I718" s="703"/>
      <c r="J718" s="703"/>
      <c r="K718" s="703"/>
      <c r="L718" s="703"/>
      <c r="M718" s="703"/>
      <c r="N718" s="703"/>
      <c r="O718" s="703"/>
      <c r="P718" s="703"/>
      <c r="Q718" s="703"/>
      <c r="R718" s="703"/>
      <c r="S718" s="703"/>
      <c r="T718" s="703"/>
      <c r="U718" s="703"/>
      <c r="V718" s="703"/>
      <c r="W718" s="703"/>
      <c r="X718" s="703"/>
      <c r="Y718" s="703"/>
      <c r="Z718" s="703"/>
      <c r="AA718" s="703"/>
      <c r="AB718" s="703"/>
      <c r="AC718" s="703"/>
      <c r="AD718" s="703"/>
      <c r="AE718" s="703"/>
      <c r="AF718" s="703"/>
      <c r="AG718" s="703"/>
      <c r="AH718" s="703"/>
      <c r="AI718" s="703"/>
      <c r="AJ718" s="703"/>
      <c r="AK718" s="703"/>
      <c r="AL718" s="703"/>
      <c r="AM718" s="703"/>
      <c r="AN718" s="703"/>
      <c r="AO718" s="704"/>
      <c r="AP718" s="705"/>
      <c r="AQ718" s="698"/>
      <c r="AS718" s="220"/>
      <c r="AV718" s="699"/>
      <c r="AW718" s="700"/>
      <c r="AX718" s="382"/>
      <c r="AY718" s="379"/>
      <c r="AZ718" s="384"/>
      <c r="BA718" s="642"/>
    </row>
    <row r="719" spans="1:54" ht="11.25" hidden="1" customHeight="1" x14ac:dyDescent="0.2">
      <c r="A719" s="867"/>
      <c r="C719" s="701"/>
      <c r="D719" s="702"/>
      <c r="E719" s="703"/>
      <c r="F719" s="703"/>
      <c r="G719" s="703"/>
      <c r="H719" s="703"/>
      <c r="I719" s="703"/>
      <c r="J719" s="703"/>
      <c r="K719" s="703"/>
      <c r="L719" s="703"/>
      <c r="M719" s="703"/>
      <c r="N719" s="703"/>
      <c r="O719" s="703"/>
      <c r="P719" s="703"/>
      <c r="Q719" s="703"/>
      <c r="R719" s="703"/>
      <c r="S719" s="703"/>
      <c r="T719" s="703"/>
      <c r="U719" s="703"/>
      <c r="V719" s="703"/>
      <c r="W719" s="703"/>
      <c r="X719" s="703"/>
      <c r="Y719" s="703"/>
      <c r="Z719" s="703"/>
      <c r="AA719" s="703"/>
      <c r="AB719" s="703"/>
      <c r="AC719" s="703"/>
      <c r="AD719" s="703"/>
      <c r="AE719" s="703"/>
      <c r="AF719" s="703"/>
      <c r="AG719" s="703"/>
      <c r="AH719" s="703"/>
      <c r="AI719" s="703"/>
      <c r="AJ719" s="703"/>
      <c r="AK719" s="703"/>
      <c r="AL719" s="703"/>
      <c r="AM719" s="703"/>
      <c r="AN719" s="703"/>
      <c r="AO719" s="704"/>
      <c r="AP719" s="705"/>
      <c r="AQ719" s="698"/>
      <c r="AS719" s="220"/>
      <c r="AV719" s="699"/>
      <c r="AW719" s="700"/>
      <c r="AX719" s="382"/>
      <c r="AY719" s="379"/>
      <c r="AZ719" s="384"/>
      <c r="BA719" s="642"/>
    </row>
    <row r="720" spans="1:54" ht="11.25" hidden="1" customHeight="1" x14ac:dyDescent="0.2">
      <c r="A720" s="867"/>
      <c r="C720" s="701"/>
      <c r="D720" s="702"/>
      <c r="E720" s="703"/>
      <c r="F720" s="703"/>
      <c r="G720" s="703"/>
      <c r="H720" s="703"/>
      <c r="I720" s="703"/>
      <c r="J720" s="703"/>
      <c r="K720" s="703"/>
      <c r="L720" s="703"/>
      <c r="M720" s="703"/>
      <c r="N720" s="703"/>
      <c r="O720" s="703"/>
      <c r="P720" s="703"/>
      <c r="Q720" s="703"/>
      <c r="R720" s="703"/>
      <c r="S720" s="703"/>
      <c r="T720" s="703"/>
      <c r="U720" s="703"/>
      <c r="V720" s="703"/>
      <c r="W720" s="703"/>
      <c r="X720" s="703"/>
      <c r="Y720" s="703"/>
      <c r="Z720" s="703"/>
      <c r="AA720" s="703"/>
      <c r="AB720" s="703"/>
      <c r="AC720" s="703"/>
      <c r="AD720" s="703"/>
      <c r="AE720" s="703"/>
      <c r="AF720" s="703"/>
      <c r="AG720" s="703"/>
      <c r="AH720" s="703"/>
      <c r="AI720" s="703"/>
      <c r="AJ720" s="703"/>
      <c r="AK720" s="703"/>
      <c r="AL720" s="703"/>
      <c r="AM720" s="703"/>
      <c r="AN720" s="703"/>
      <c r="AO720" s="704"/>
      <c r="AP720" s="705"/>
      <c r="AQ720" s="698"/>
      <c r="AS720" s="220"/>
      <c r="AV720" s="699"/>
      <c r="AW720" s="700"/>
      <c r="AX720" s="382"/>
      <c r="AY720" s="379"/>
      <c r="AZ720" s="384"/>
      <c r="BA720" s="642"/>
    </row>
    <row r="721" spans="1:53" ht="11.25" hidden="1" customHeight="1" x14ac:dyDescent="0.2">
      <c r="A721" s="867"/>
      <c r="C721" s="701"/>
      <c r="D721" s="702"/>
      <c r="E721" s="703"/>
      <c r="F721" s="703"/>
      <c r="G721" s="703"/>
      <c r="H721" s="703"/>
      <c r="I721" s="703"/>
      <c r="J721" s="703"/>
      <c r="K721" s="703"/>
      <c r="L721" s="703"/>
      <c r="M721" s="703"/>
      <c r="N721" s="703"/>
      <c r="O721" s="703"/>
      <c r="P721" s="703"/>
      <c r="Q721" s="703"/>
      <c r="R721" s="703"/>
      <c r="S721" s="703"/>
      <c r="T721" s="703"/>
      <c r="U721" s="703"/>
      <c r="V721" s="703"/>
      <c r="W721" s="703"/>
      <c r="X721" s="703"/>
      <c r="Y721" s="703"/>
      <c r="Z721" s="703"/>
      <c r="AA721" s="703"/>
      <c r="AB721" s="703"/>
      <c r="AC721" s="703"/>
      <c r="AD721" s="703"/>
      <c r="AE721" s="703"/>
      <c r="AF721" s="703"/>
      <c r="AG721" s="703"/>
      <c r="AH721" s="703"/>
      <c r="AI721" s="703"/>
      <c r="AJ721" s="703"/>
      <c r="AK721" s="703"/>
      <c r="AL721" s="703"/>
      <c r="AM721" s="703"/>
      <c r="AN721" s="703"/>
      <c r="AO721" s="704"/>
      <c r="AP721" s="705"/>
      <c r="AQ721" s="698"/>
      <c r="AS721" s="220"/>
      <c r="AV721" s="699"/>
      <c r="AW721" s="700"/>
      <c r="AX721" s="382"/>
      <c r="AY721" s="379"/>
      <c r="AZ721" s="384"/>
      <c r="BA721" s="642"/>
    </row>
    <row r="722" spans="1:53" ht="11.25" hidden="1" customHeight="1" x14ac:dyDescent="0.2">
      <c r="A722" s="867"/>
      <c r="C722" s="701"/>
      <c r="D722" s="702"/>
      <c r="E722" s="703"/>
      <c r="F722" s="703"/>
      <c r="G722" s="703"/>
      <c r="H722" s="703"/>
      <c r="I722" s="703"/>
      <c r="J722" s="703"/>
      <c r="K722" s="703"/>
      <c r="L722" s="703"/>
      <c r="M722" s="703"/>
      <c r="N722" s="703"/>
      <c r="O722" s="703"/>
      <c r="P722" s="703"/>
      <c r="Q722" s="703"/>
      <c r="R722" s="703"/>
      <c r="S722" s="703"/>
      <c r="T722" s="703"/>
      <c r="U722" s="703"/>
      <c r="V722" s="703"/>
      <c r="W722" s="703"/>
      <c r="X722" s="703"/>
      <c r="Y722" s="703"/>
      <c r="Z722" s="703"/>
      <c r="AA722" s="703"/>
      <c r="AB722" s="703"/>
      <c r="AC722" s="703"/>
      <c r="AD722" s="703"/>
      <c r="AE722" s="703"/>
      <c r="AF722" s="703"/>
      <c r="AG722" s="703"/>
      <c r="AH722" s="703"/>
      <c r="AI722" s="703"/>
      <c r="AJ722" s="703"/>
      <c r="AK722" s="703"/>
      <c r="AL722" s="703"/>
      <c r="AM722" s="703"/>
      <c r="AN722" s="703"/>
      <c r="AO722" s="704"/>
      <c r="AP722" s="705"/>
      <c r="AQ722" s="698"/>
      <c r="AS722" s="220"/>
      <c r="AV722" s="699"/>
      <c r="AW722" s="700"/>
      <c r="AX722" s="382"/>
      <c r="AY722" s="379"/>
      <c r="AZ722" s="384"/>
      <c r="BA722" s="642"/>
    </row>
    <row r="723" spans="1:53" ht="11.25" hidden="1" customHeight="1" x14ac:dyDescent="0.2">
      <c r="A723" s="867"/>
      <c r="C723" s="701"/>
      <c r="D723" s="702"/>
      <c r="E723" s="703"/>
      <c r="F723" s="703"/>
      <c r="G723" s="703"/>
      <c r="H723" s="703"/>
      <c r="I723" s="703"/>
      <c r="J723" s="703"/>
      <c r="K723" s="703"/>
      <c r="L723" s="703"/>
      <c r="M723" s="703"/>
      <c r="N723" s="703"/>
      <c r="O723" s="703"/>
      <c r="P723" s="703"/>
      <c r="Q723" s="703"/>
      <c r="R723" s="703"/>
      <c r="S723" s="703"/>
      <c r="T723" s="703"/>
      <c r="U723" s="703"/>
      <c r="V723" s="703"/>
      <c r="W723" s="703"/>
      <c r="X723" s="703"/>
      <c r="Y723" s="703"/>
      <c r="Z723" s="703"/>
      <c r="AA723" s="703"/>
      <c r="AB723" s="703"/>
      <c r="AC723" s="703"/>
      <c r="AD723" s="703"/>
      <c r="AE723" s="703"/>
      <c r="AF723" s="703"/>
      <c r="AG723" s="703"/>
      <c r="AH723" s="703"/>
      <c r="AI723" s="703"/>
      <c r="AJ723" s="703"/>
      <c r="AK723" s="703"/>
      <c r="AL723" s="703"/>
      <c r="AM723" s="703"/>
      <c r="AN723" s="703"/>
      <c r="AO723" s="704"/>
      <c r="AP723" s="705"/>
      <c r="AQ723" s="698"/>
      <c r="AS723" s="220"/>
      <c r="AV723" s="699"/>
      <c r="AW723" s="700"/>
      <c r="AX723" s="382"/>
      <c r="AY723" s="379"/>
      <c r="AZ723" s="384"/>
      <c r="BA723" s="642"/>
    </row>
    <row r="724" spans="1:53" ht="11.25" hidden="1" customHeight="1" x14ac:dyDescent="0.2">
      <c r="A724" s="867"/>
      <c r="C724" s="701"/>
      <c r="D724" s="702"/>
      <c r="E724" s="703"/>
      <c r="F724" s="703"/>
      <c r="G724" s="703"/>
      <c r="H724" s="703"/>
      <c r="I724" s="703"/>
      <c r="J724" s="703"/>
      <c r="K724" s="703"/>
      <c r="L724" s="703"/>
      <c r="M724" s="703"/>
      <c r="N724" s="703"/>
      <c r="O724" s="703"/>
      <c r="P724" s="703"/>
      <c r="Q724" s="703"/>
      <c r="R724" s="703"/>
      <c r="S724" s="703"/>
      <c r="T724" s="703"/>
      <c r="U724" s="703"/>
      <c r="V724" s="703"/>
      <c r="W724" s="703"/>
      <c r="X724" s="703"/>
      <c r="Y724" s="703"/>
      <c r="Z724" s="703"/>
      <c r="AA724" s="703"/>
      <c r="AB724" s="703"/>
      <c r="AC724" s="703"/>
      <c r="AD724" s="703"/>
      <c r="AE724" s="703"/>
      <c r="AF724" s="703"/>
      <c r="AG724" s="703"/>
      <c r="AH724" s="703"/>
      <c r="AI724" s="703"/>
      <c r="AJ724" s="703"/>
      <c r="AK724" s="703"/>
      <c r="AL724" s="703"/>
      <c r="AM724" s="703"/>
      <c r="AN724" s="703"/>
      <c r="AO724" s="704"/>
      <c r="AP724" s="705"/>
      <c r="AQ724" s="698"/>
      <c r="AS724" s="220"/>
      <c r="AV724" s="699"/>
      <c r="AW724" s="700"/>
      <c r="AX724" s="382"/>
      <c r="AY724" s="379"/>
      <c r="AZ724" s="384"/>
      <c r="BA724" s="642"/>
    </row>
    <row r="725" spans="1:53" ht="11.25" hidden="1" customHeight="1" x14ac:dyDescent="0.2">
      <c r="A725" s="867"/>
      <c r="C725" s="701"/>
      <c r="D725" s="702"/>
      <c r="E725" s="703"/>
      <c r="F725" s="703"/>
      <c r="G725" s="703"/>
      <c r="H725" s="703"/>
      <c r="I725" s="703"/>
      <c r="J725" s="703"/>
      <c r="K725" s="703"/>
      <c r="L725" s="703"/>
      <c r="M725" s="703"/>
      <c r="N725" s="703"/>
      <c r="O725" s="703"/>
      <c r="P725" s="703"/>
      <c r="Q725" s="703"/>
      <c r="R725" s="703"/>
      <c r="S725" s="703"/>
      <c r="T725" s="703"/>
      <c r="U725" s="703"/>
      <c r="V725" s="703"/>
      <c r="W725" s="703"/>
      <c r="X725" s="703"/>
      <c r="Y725" s="703"/>
      <c r="Z725" s="703"/>
      <c r="AA725" s="703"/>
      <c r="AB725" s="703"/>
      <c r="AC725" s="703"/>
      <c r="AD725" s="703"/>
      <c r="AE725" s="703"/>
      <c r="AF725" s="703"/>
      <c r="AG725" s="703"/>
      <c r="AH725" s="703"/>
      <c r="AI725" s="703"/>
      <c r="AJ725" s="703"/>
      <c r="AK725" s="703"/>
      <c r="AL725" s="703"/>
      <c r="AM725" s="703"/>
      <c r="AN725" s="703"/>
      <c r="AO725" s="704"/>
      <c r="AP725" s="705"/>
      <c r="AQ725" s="698"/>
      <c r="AS725" s="220"/>
      <c r="AV725" s="699"/>
      <c r="AW725" s="700"/>
      <c r="AX725" s="382"/>
      <c r="AY725" s="379"/>
      <c r="AZ725" s="384"/>
      <c r="BA725" s="642"/>
    </row>
    <row r="726" spans="1:53" ht="11.25" hidden="1" customHeight="1" x14ac:dyDescent="0.2">
      <c r="A726" s="867"/>
      <c r="C726" s="701"/>
      <c r="D726" s="702"/>
      <c r="E726" s="703"/>
      <c r="F726" s="703"/>
      <c r="G726" s="703"/>
      <c r="H726" s="703"/>
      <c r="I726" s="703"/>
      <c r="J726" s="703"/>
      <c r="K726" s="703"/>
      <c r="L726" s="703"/>
      <c r="M726" s="703"/>
      <c r="N726" s="703"/>
      <c r="O726" s="703"/>
      <c r="P726" s="703"/>
      <c r="Q726" s="703"/>
      <c r="R726" s="703"/>
      <c r="S726" s="703"/>
      <c r="T726" s="703"/>
      <c r="U726" s="703"/>
      <c r="V726" s="703"/>
      <c r="W726" s="703"/>
      <c r="X726" s="703"/>
      <c r="Y726" s="703"/>
      <c r="Z726" s="703"/>
      <c r="AA726" s="703"/>
      <c r="AB726" s="703"/>
      <c r="AC726" s="703"/>
      <c r="AD726" s="703"/>
      <c r="AE726" s="703"/>
      <c r="AF726" s="703"/>
      <c r="AG726" s="703"/>
      <c r="AH726" s="703"/>
      <c r="AI726" s="703"/>
      <c r="AJ726" s="703"/>
      <c r="AK726" s="703"/>
      <c r="AL726" s="703"/>
      <c r="AM726" s="703"/>
      <c r="AN726" s="703"/>
      <c r="AO726" s="704"/>
      <c r="AP726" s="705"/>
      <c r="AQ726" s="698"/>
      <c r="AS726" s="220"/>
      <c r="AV726" s="699"/>
      <c r="AW726" s="700"/>
      <c r="AX726" s="382"/>
      <c r="AY726" s="379"/>
      <c r="AZ726" s="384"/>
      <c r="BA726" s="642"/>
    </row>
    <row r="727" spans="1:53" ht="11.25" hidden="1" customHeight="1" x14ac:dyDescent="0.2">
      <c r="A727" s="867"/>
      <c r="C727" s="701"/>
      <c r="D727" s="702"/>
      <c r="E727" s="703"/>
      <c r="F727" s="703"/>
      <c r="G727" s="703"/>
      <c r="H727" s="703"/>
      <c r="I727" s="703"/>
      <c r="J727" s="703"/>
      <c r="K727" s="703"/>
      <c r="L727" s="703"/>
      <c r="M727" s="703"/>
      <c r="N727" s="703"/>
      <c r="O727" s="703"/>
      <c r="P727" s="703"/>
      <c r="Q727" s="703"/>
      <c r="R727" s="703"/>
      <c r="S727" s="703"/>
      <c r="T727" s="703"/>
      <c r="U727" s="703"/>
      <c r="V727" s="703"/>
      <c r="W727" s="703"/>
      <c r="X727" s="703"/>
      <c r="Y727" s="703"/>
      <c r="Z727" s="703"/>
      <c r="AA727" s="703"/>
      <c r="AB727" s="703"/>
      <c r="AC727" s="703"/>
      <c r="AD727" s="703"/>
      <c r="AE727" s="703"/>
      <c r="AF727" s="703"/>
      <c r="AG727" s="703"/>
      <c r="AH727" s="703"/>
      <c r="AI727" s="703"/>
      <c r="AJ727" s="703"/>
      <c r="AK727" s="703"/>
      <c r="AL727" s="703"/>
      <c r="AM727" s="703"/>
      <c r="AN727" s="703"/>
      <c r="AO727" s="704"/>
      <c r="AP727" s="705"/>
      <c r="AQ727" s="698"/>
      <c r="AS727" s="220"/>
      <c r="AV727" s="699"/>
      <c r="AW727" s="700"/>
      <c r="AX727" s="382"/>
      <c r="AY727" s="379"/>
      <c r="AZ727" s="384"/>
      <c r="BA727" s="642"/>
    </row>
    <row r="728" spans="1:53" ht="11.25" hidden="1" customHeight="1" x14ac:dyDescent="0.2">
      <c r="A728" s="867"/>
      <c r="C728" s="701"/>
      <c r="D728" s="702"/>
      <c r="E728" s="703"/>
      <c r="F728" s="703"/>
      <c r="G728" s="703"/>
      <c r="H728" s="703"/>
      <c r="I728" s="703"/>
      <c r="J728" s="703"/>
      <c r="K728" s="703"/>
      <c r="L728" s="703"/>
      <c r="M728" s="703"/>
      <c r="N728" s="703"/>
      <c r="O728" s="703"/>
      <c r="P728" s="703"/>
      <c r="Q728" s="703"/>
      <c r="R728" s="703"/>
      <c r="S728" s="703"/>
      <c r="T728" s="703"/>
      <c r="U728" s="703"/>
      <c r="V728" s="703"/>
      <c r="W728" s="703"/>
      <c r="X728" s="703"/>
      <c r="Y728" s="703"/>
      <c r="Z728" s="703"/>
      <c r="AA728" s="703"/>
      <c r="AB728" s="703"/>
      <c r="AC728" s="703"/>
      <c r="AD728" s="703"/>
      <c r="AE728" s="703"/>
      <c r="AF728" s="703"/>
      <c r="AG728" s="703"/>
      <c r="AH728" s="703"/>
      <c r="AI728" s="703"/>
      <c r="AJ728" s="703"/>
      <c r="AK728" s="703"/>
      <c r="AL728" s="703"/>
      <c r="AM728" s="703"/>
      <c r="AN728" s="703"/>
      <c r="AO728" s="704"/>
      <c r="AP728" s="705"/>
      <c r="AQ728" s="698"/>
      <c r="AS728" s="220"/>
      <c r="AV728" s="699"/>
      <c r="AW728" s="700"/>
      <c r="AX728" s="382"/>
      <c r="AY728" s="379"/>
      <c r="AZ728" s="384"/>
      <c r="BA728" s="642"/>
    </row>
    <row r="729" spans="1:53" ht="11.25" hidden="1" customHeight="1" x14ac:dyDescent="0.2">
      <c r="A729" s="867"/>
      <c r="C729" s="701"/>
      <c r="D729" s="702"/>
      <c r="E729" s="703"/>
      <c r="F729" s="703"/>
      <c r="G729" s="703"/>
      <c r="H729" s="703"/>
      <c r="I729" s="703"/>
      <c r="J729" s="703"/>
      <c r="K729" s="703"/>
      <c r="L729" s="703"/>
      <c r="M729" s="703"/>
      <c r="N729" s="703"/>
      <c r="O729" s="703"/>
      <c r="P729" s="703"/>
      <c r="Q729" s="703"/>
      <c r="R729" s="703"/>
      <c r="S729" s="703"/>
      <c r="T729" s="703"/>
      <c r="U729" s="703"/>
      <c r="V729" s="703"/>
      <c r="W729" s="703"/>
      <c r="X729" s="703"/>
      <c r="Y729" s="703"/>
      <c r="Z729" s="703"/>
      <c r="AA729" s="703"/>
      <c r="AB729" s="703"/>
      <c r="AC729" s="703"/>
      <c r="AD729" s="703"/>
      <c r="AE729" s="703"/>
      <c r="AF729" s="703"/>
      <c r="AG729" s="703"/>
      <c r="AH729" s="703"/>
      <c r="AI729" s="703"/>
      <c r="AJ729" s="703"/>
      <c r="AK729" s="703"/>
      <c r="AL729" s="703"/>
      <c r="AM729" s="703"/>
      <c r="AN729" s="703"/>
      <c r="AO729" s="704"/>
      <c r="AP729" s="705"/>
      <c r="AQ729" s="698"/>
      <c r="AS729" s="220"/>
      <c r="AV729" s="699"/>
      <c r="AW729" s="700"/>
      <c r="AX729" s="382"/>
      <c r="AY729" s="379"/>
      <c r="AZ729" s="384"/>
      <c r="BA729" s="642"/>
    </row>
    <row r="730" spans="1:53" ht="11.25" hidden="1" customHeight="1" x14ac:dyDescent="0.2">
      <c r="A730" s="867"/>
      <c r="C730" s="701"/>
      <c r="D730" s="702"/>
      <c r="E730" s="703"/>
      <c r="F730" s="703"/>
      <c r="G730" s="703"/>
      <c r="H730" s="703"/>
      <c r="I730" s="703"/>
      <c r="J730" s="703"/>
      <c r="K730" s="703"/>
      <c r="L730" s="703"/>
      <c r="M730" s="703"/>
      <c r="N730" s="703"/>
      <c r="O730" s="703"/>
      <c r="P730" s="703"/>
      <c r="Q730" s="703"/>
      <c r="R730" s="703"/>
      <c r="S730" s="703"/>
      <c r="T730" s="703"/>
      <c r="U730" s="703"/>
      <c r="V730" s="703"/>
      <c r="W730" s="703"/>
      <c r="X730" s="703"/>
      <c r="Y730" s="703"/>
      <c r="Z730" s="703"/>
      <c r="AA730" s="703"/>
      <c r="AB730" s="703"/>
      <c r="AC730" s="703"/>
      <c r="AD730" s="703"/>
      <c r="AE730" s="703"/>
      <c r="AF730" s="703"/>
      <c r="AG730" s="703"/>
      <c r="AH730" s="703"/>
      <c r="AI730" s="703"/>
      <c r="AJ730" s="703"/>
      <c r="AK730" s="703"/>
      <c r="AL730" s="703"/>
      <c r="AM730" s="703"/>
      <c r="AN730" s="703"/>
      <c r="AO730" s="704"/>
      <c r="AP730" s="705"/>
      <c r="AQ730" s="698"/>
      <c r="AS730" s="220"/>
      <c r="AV730" s="699"/>
      <c r="AW730" s="700"/>
      <c r="AX730" s="382"/>
      <c r="AY730" s="379"/>
      <c r="AZ730" s="384"/>
      <c r="BA730" s="642"/>
    </row>
    <row r="731" spans="1:53" ht="11.25" hidden="1" customHeight="1" x14ac:dyDescent="0.2">
      <c r="A731" s="867"/>
      <c r="C731" s="701"/>
      <c r="D731" s="702"/>
      <c r="E731" s="703"/>
      <c r="F731" s="703"/>
      <c r="G731" s="703"/>
      <c r="H731" s="703"/>
      <c r="I731" s="703"/>
      <c r="J731" s="703"/>
      <c r="K731" s="703"/>
      <c r="L731" s="703"/>
      <c r="M731" s="703"/>
      <c r="N731" s="703"/>
      <c r="O731" s="703"/>
      <c r="P731" s="703"/>
      <c r="Q731" s="703"/>
      <c r="R731" s="703"/>
      <c r="S731" s="703"/>
      <c r="T731" s="703"/>
      <c r="U731" s="703"/>
      <c r="V731" s="703"/>
      <c r="W731" s="703"/>
      <c r="X731" s="703"/>
      <c r="Y731" s="703"/>
      <c r="Z731" s="703"/>
      <c r="AA731" s="703"/>
      <c r="AB731" s="703"/>
      <c r="AC731" s="703"/>
      <c r="AD731" s="703"/>
      <c r="AE731" s="703"/>
      <c r="AF731" s="703"/>
      <c r="AG731" s="703"/>
      <c r="AH731" s="703"/>
      <c r="AI731" s="703"/>
      <c r="AJ731" s="703"/>
      <c r="AK731" s="703"/>
      <c r="AL731" s="703"/>
      <c r="AM731" s="703"/>
      <c r="AN731" s="703"/>
      <c r="AO731" s="704"/>
      <c r="AP731" s="705"/>
      <c r="AQ731" s="698"/>
      <c r="AS731" s="220"/>
      <c r="AV731" s="699"/>
      <c r="AW731" s="700"/>
      <c r="AX731" s="382"/>
      <c r="AY731" s="379"/>
      <c r="AZ731" s="384"/>
      <c r="BA731" s="642"/>
    </row>
    <row r="732" spans="1:53" ht="11.25" hidden="1" customHeight="1" x14ac:dyDescent="0.2">
      <c r="A732" s="867"/>
      <c r="C732" s="701"/>
      <c r="D732" s="702"/>
      <c r="E732" s="703"/>
      <c r="F732" s="703"/>
      <c r="G732" s="703"/>
      <c r="H732" s="703"/>
      <c r="I732" s="703"/>
      <c r="J732" s="703"/>
      <c r="K732" s="703"/>
      <c r="L732" s="703"/>
      <c r="M732" s="703"/>
      <c r="N732" s="703"/>
      <c r="O732" s="703"/>
      <c r="P732" s="703"/>
      <c r="Q732" s="703"/>
      <c r="R732" s="703"/>
      <c r="S732" s="703"/>
      <c r="T732" s="703"/>
      <c r="U732" s="703"/>
      <c r="V732" s="703"/>
      <c r="W732" s="703"/>
      <c r="X732" s="703"/>
      <c r="Y732" s="703"/>
      <c r="Z732" s="703"/>
      <c r="AA732" s="703"/>
      <c r="AB732" s="703"/>
      <c r="AC732" s="703"/>
      <c r="AD732" s="703"/>
      <c r="AE732" s="703"/>
      <c r="AF732" s="703"/>
      <c r="AG732" s="703"/>
      <c r="AH732" s="703"/>
      <c r="AI732" s="703"/>
      <c r="AJ732" s="703"/>
      <c r="AK732" s="703"/>
      <c r="AL732" s="703"/>
      <c r="AM732" s="703"/>
      <c r="AN732" s="703"/>
      <c r="AO732" s="704"/>
      <c r="AP732" s="705"/>
      <c r="AQ732" s="698"/>
      <c r="AS732" s="220"/>
      <c r="AV732" s="699"/>
      <c r="AW732" s="700"/>
      <c r="AX732" s="382"/>
      <c r="AY732" s="379"/>
      <c r="AZ732" s="384"/>
      <c r="BA732" s="642"/>
    </row>
    <row r="733" spans="1:53" ht="11.25" hidden="1" customHeight="1" x14ac:dyDescent="0.2">
      <c r="A733" s="867"/>
      <c r="C733" s="701"/>
      <c r="D733" s="702"/>
      <c r="E733" s="703"/>
      <c r="F733" s="703"/>
      <c r="G733" s="703"/>
      <c r="H733" s="703"/>
      <c r="I733" s="703"/>
      <c r="J733" s="703"/>
      <c r="K733" s="703"/>
      <c r="L733" s="703"/>
      <c r="M733" s="703"/>
      <c r="N733" s="703"/>
      <c r="O733" s="703"/>
      <c r="P733" s="703"/>
      <c r="Q733" s="703"/>
      <c r="R733" s="703"/>
      <c r="S733" s="703"/>
      <c r="T733" s="703"/>
      <c r="U733" s="703"/>
      <c r="V733" s="703"/>
      <c r="W733" s="703"/>
      <c r="X733" s="703"/>
      <c r="Y733" s="703"/>
      <c r="Z733" s="703"/>
      <c r="AA733" s="703"/>
      <c r="AB733" s="703"/>
      <c r="AC733" s="703"/>
      <c r="AD733" s="703"/>
      <c r="AE733" s="703"/>
      <c r="AF733" s="703"/>
      <c r="AG733" s="703"/>
      <c r="AH733" s="703"/>
      <c r="AI733" s="703"/>
      <c r="AJ733" s="703"/>
      <c r="AK733" s="703"/>
      <c r="AL733" s="703"/>
      <c r="AM733" s="703"/>
      <c r="AN733" s="703"/>
      <c r="AO733" s="704"/>
      <c r="AP733" s="705"/>
      <c r="AQ733" s="698"/>
      <c r="AS733" s="220"/>
      <c r="AV733" s="699"/>
      <c r="AW733" s="700"/>
      <c r="AX733" s="382"/>
      <c r="AY733" s="379"/>
      <c r="AZ733" s="384"/>
      <c r="BA733" s="642"/>
    </row>
    <row r="734" spans="1:53" ht="11.25" hidden="1" customHeight="1" x14ac:dyDescent="0.2">
      <c r="A734" s="867"/>
      <c r="C734" s="701"/>
      <c r="D734" s="702"/>
      <c r="E734" s="703"/>
      <c r="F734" s="703"/>
      <c r="G734" s="703"/>
      <c r="H734" s="703"/>
      <c r="I734" s="703"/>
      <c r="J734" s="703"/>
      <c r="K734" s="703"/>
      <c r="L734" s="703"/>
      <c r="M734" s="703"/>
      <c r="N734" s="703"/>
      <c r="O734" s="703"/>
      <c r="P734" s="703"/>
      <c r="Q734" s="703"/>
      <c r="R734" s="703"/>
      <c r="S734" s="703"/>
      <c r="T734" s="703"/>
      <c r="U734" s="703"/>
      <c r="V734" s="703"/>
      <c r="W734" s="703"/>
      <c r="X734" s="703"/>
      <c r="Y734" s="703"/>
      <c r="Z734" s="703"/>
      <c r="AA734" s="703"/>
      <c r="AB734" s="703"/>
      <c r="AC734" s="703"/>
      <c r="AD734" s="703"/>
      <c r="AE734" s="703"/>
      <c r="AF734" s="703"/>
      <c r="AG734" s="703"/>
      <c r="AH734" s="703"/>
      <c r="AI734" s="703"/>
      <c r="AJ734" s="703"/>
      <c r="AK734" s="703"/>
      <c r="AL734" s="703"/>
      <c r="AM734" s="703"/>
      <c r="AN734" s="703"/>
      <c r="AO734" s="704"/>
      <c r="AP734" s="705"/>
      <c r="AQ734" s="698"/>
      <c r="AS734" s="220"/>
      <c r="AV734" s="699"/>
      <c r="AW734" s="700"/>
      <c r="AX734" s="382"/>
      <c r="AY734" s="379"/>
      <c r="AZ734" s="384"/>
      <c r="BA734" s="642"/>
    </row>
    <row r="735" spans="1:53" ht="11.25" hidden="1" customHeight="1" x14ac:dyDescent="0.2">
      <c r="A735" s="867"/>
      <c r="C735" s="701"/>
      <c r="D735" s="702"/>
      <c r="E735" s="703"/>
      <c r="F735" s="703"/>
      <c r="G735" s="703"/>
      <c r="H735" s="703"/>
      <c r="I735" s="703"/>
      <c r="J735" s="703"/>
      <c r="K735" s="703"/>
      <c r="L735" s="703"/>
      <c r="M735" s="703"/>
      <c r="N735" s="703"/>
      <c r="O735" s="703"/>
      <c r="P735" s="703"/>
      <c r="Q735" s="703"/>
      <c r="R735" s="703"/>
      <c r="S735" s="703"/>
      <c r="T735" s="703"/>
      <c r="U735" s="703"/>
      <c r="V735" s="703"/>
      <c r="W735" s="703"/>
      <c r="X735" s="703"/>
      <c r="Y735" s="703"/>
      <c r="Z735" s="703"/>
      <c r="AA735" s="703"/>
      <c r="AB735" s="703"/>
      <c r="AC735" s="703"/>
      <c r="AD735" s="703"/>
      <c r="AE735" s="703"/>
      <c r="AF735" s="703"/>
      <c r="AG735" s="703"/>
      <c r="AH735" s="703"/>
      <c r="AI735" s="703"/>
      <c r="AJ735" s="703"/>
      <c r="AK735" s="703"/>
      <c r="AL735" s="703"/>
      <c r="AM735" s="703"/>
      <c r="AN735" s="703"/>
      <c r="AO735" s="704"/>
      <c r="AP735" s="705"/>
      <c r="AQ735" s="698"/>
      <c r="AS735" s="220"/>
      <c r="AV735" s="699"/>
      <c r="AW735" s="700"/>
      <c r="AX735" s="382"/>
      <c r="AY735" s="379"/>
      <c r="AZ735" s="384"/>
      <c r="BA735" s="642"/>
    </row>
    <row r="736" spans="1:53" ht="11.25" hidden="1" customHeight="1" x14ac:dyDescent="0.2">
      <c r="A736" s="867"/>
      <c r="C736" s="701"/>
      <c r="D736" s="702"/>
      <c r="E736" s="703"/>
      <c r="F736" s="703"/>
      <c r="G736" s="703"/>
      <c r="H736" s="703"/>
      <c r="I736" s="703"/>
      <c r="J736" s="703"/>
      <c r="K736" s="703"/>
      <c r="L736" s="703"/>
      <c r="M736" s="703"/>
      <c r="N736" s="703"/>
      <c r="O736" s="703"/>
      <c r="P736" s="703"/>
      <c r="Q736" s="703"/>
      <c r="R736" s="703"/>
      <c r="S736" s="703"/>
      <c r="T736" s="703"/>
      <c r="U736" s="703"/>
      <c r="V736" s="703"/>
      <c r="W736" s="703"/>
      <c r="X736" s="703"/>
      <c r="Y736" s="703"/>
      <c r="Z736" s="703"/>
      <c r="AA736" s="703"/>
      <c r="AB736" s="703"/>
      <c r="AC736" s="703"/>
      <c r="AD736" s="703"/>
      <c r="AE736" s="703"/>
      <c r="AF736" s="703"/>
      <c r="AG736" s="703"/>
      <c r="AH736" s="703"/>
      <c r="AI736" s="703"/>
      <c r="AJ736" s="703"/>
      <c r="AK736" s="703"/>
      <c r="AL736" s="703"/>
      <c r="AM736" s="703"/>
      <c r="AN736" s="703"/>
      <c r="AO736" s="704"/>
      <c r="AP736" s="705"/>
      <c r="AQ736" s="698"/>
      <c r="AS736" s="220"/>
      <c r="AV736" s="699"/>
      <c r="AW736" s="700"/>
      <c r="AX736" s="382"/>
      <c r="AY736" s="379"/>
      <c r="AZ736" s="384"/>
      <c r="BA736" s="642"/>
    </row>
    <row r="737" spans="1:54" ht="11.25" hidden="1" customHeight="1" x14ac:dyDescent="0.2">
      <c r="A737" s="867"/>
      <c r="C737" s="701"/>
      <c r="D737" s="702"/>
      <c r="E737" s="703"/>
      <c r="F737" s="703"/>
      <c r="G737" s="703"/>
      <c r="H737" s="703"/>
      <c r="I737" s="703"/>
      <c r="J737" s="703"/>
      <c r="K737" s="703"/>
      <c r="L737" s="703"/>
      <c r="M737" s="703"/>
      <c r="N737" s="703"/>
      <c r="O737" s="703"/>
      <c r="P737" s="703"/>
      <c r="Q737" s="703"/>
      <c r="R737" s="703"/>
      <c r="S737" s="703"/>
      <c r="T737" s="703"/>
      <c r="U737" s="703"/>
      <c r="V737" s="703"/>
      <c r="W737" s="703"/>
      <c r="X737" s="703"/>
      <c r="Y737" s="703"/>
      <c r="Z737" s="703"/>
      <c r="AA737" s="703"/>
      <c r="AB737" s="703"/>
      <c r="AC737" s="703"/>
      <c r="AD737" s="703"/>
      <c r="AE737" s="703"/>
      <c r="AF737" s="703"/>
      <c r="AG737" s="703"/>
      <c r="AH737" s="703"/>
      <c r="AI737" s="703"/>
      <c r="AJ737" s="703"/>
      <c r="AK737" s="703"/>
      <c r="AL737" s="703"/>
      <c r="AM737" s="703"/>
      <c r="AN737" s="703"/>
      <c r="AO737" s="704"/>
      <c r="AP737" s="705"/>
      <c r="AQ737" s="698"/>
      <c r="AS737" s="220"/>
      <c r="AV737" s="699"/>
      <c r="AW737" s="700"/>
      <c r="AX737" s="382"/>
      <c r="AY737" s="379"/>
      <c r="AZ737" s="384"/>
      <c r="BA737" s="642"/>
    </row>
    <row r="738" spans="1:54" ht="11.25" hidden="1" customHeight="1" x14ac:dyDescent="0.2">
      <c r="A738" s="867"/>
      <c r="C738" s="701"/>
      <c r="D738" s="702"/>
      <c r="E738" s="703"/>
      <c r="F738" s="703"/>
      <c r="G738" s="703"/>
      <c r="H738" s="703"/>
      <c r="I738" s="703"/>
      <c r="J738" s="703"/>
      <c r="K738" s="703"/>
      <c r="L738" s="703"/>
      <c r="M738" s="703"/>
      <c r="N738" s="703"/>
      <c r="O738" s="703"/>
      <c r="P738" s="703"/>
      <c r="Q738" s="703"/>
      <c r="R738" s="703"/>
      <c r="S738" s="703"/>
      <c r="T738" s="703"/>
      <c r="U738" s="703"/>
      <c r="V738" s="703"/>
      <c r="W738" s="703"/>
      <c r="X738" s="703"/>
      <c r="Y738" s="703"/>
      <c r="Z738" s="703"/>
      <c r="AA738" s="703"/>
      <c r="AB738" s="703"/>
      <c r="AC738" s="703"/>
      <c r="AD738" s="703"/>
      <c r="AE738" s="703"/>
      <c r="AF738" s="703"/>
      <c r="AG738" s="703"/>
      <c r="AH738" s="703"/>
      <c r="AI738" s="703"/>
      <c r="AJ738" s="703"/>
      <c r="AK738" s="703"/>
      <c r="AL738" s="703"/>
      <c r="AM738" s="703"/>
      <c r="AN738" s="703"/>
      <c r="AO738" s="704"/>
      <c r="AP738" s="705"/>
      <c r="AQ738" s="698"/>
      <c r="AS738" s="220"/>
      <c r="AV738" s="699"/>
      <c r="AW738" s="700"/>
      <c r="AX738" s="382"/>
      <c r="AY738" s="379"/>
      <c r="AZ738" s="384"/>
      <c r="BA738" s="642"/>
    </row>
    <row r="739" spans="1:54" ht="11.25" hidden="1" customHeight="1" x14ac:dyDescent="0.2">
      <c r="A739" s="867"/>
      <c r="C739" s="701"/>
      <c r="D739" s="702"/>
      <c r="E739" s="703"/>
      <c r="F739" s="703"/>
      <c r="G739" s="703"/>
      <c r="H739" s="703"/>
      <c r="I739" s="703"/>
      <c r="J739" s="703"/>
      <c r="K739" s="703"/>
      <c r="L739" s="703"/>
      <c r="M739" s="703"/>
      <c r="N739" s="703"/>
      <c r="O739" s="703"/>
      <c r="P739" s="703"/>
      <c r="Q739" s="703"/>
      <c r="R739" s="703"/>
      <c r="S739" s="703"/>
      <c r="T739" s="703"/>
      <c r="U739" s="703"/>
      <c r="V739" s="703"/>
      <c r="W739" s="703"/>
      <c r="X739" s="703"/>
      <c r="Y739" s="703"/>
      <c r="Z739" s="703"/>
      <c r="AA739" s="703"/>
      <c r="AB739" s="703"/>
      <c r="AC739" s="703"/>
      <c r="AD739" s="703"/>
      <c r="AE739" s="703"/>
      <c r="AF739" s="703"/>
      <c r="AG739" s="703"/>
      <c r="AH739" s="703"/>
      <c r="AI739" s="703"/>
      <c r="AJ739" s="703"/>
      <c r="AK739" s="703"/>
      <c r="AL739" s="703"/>
      <c r="AM739" s="703"/>
      <c r="AN739" s="703"/>
      <c r="AO739" s="704"/>
      <c r="AP739" s="705"/>
      <c r="AQ739" s="698"/>
      <c r="AS739" s="220"/>
      <c r="AV739" s="699"/>
      <c r="AW739" s="700"/>
      <c r="AX739" s="382"/>
      <c r="AY739" s="379"/>
      <c r="AZ739" s="384"/>
      <c r="BA739" s="642"/>
    </row>
    <row r="740" spans="1:54" ht="11.25" hidden="1" customHeight="1" x14ac:dyDescent="0.2">
      <c r="A740" s="867"/>
      <c r="C740" s="701"/>
      <c r="D740" s="702"/>
      <c r="E740" s="703"/>
      <c r="F740" s="703"/>
      <c r="G740" s="703"/>
      <c r="H740" s="703"/>
      <c r="I740" s="703"/>
      <c r="J740" s="703"/>
      <c r="K740" s="703"/>
      <c r="L740" s="703"/>
      <c r="M740" s="703"/>
      <c r="N740" s="703"/>
      <c r="O740" s="703"/>
      <c r="P740" s="703"/>
      <c r="Q740" s="703"/>
      <c r="R740" s="703"/>
      <c r="S740" s="703"/>
      <c r="T740" s="703"/>
      <c r="U740" s="703"/>
      <c r="V740" s="703"/>
      <c r="W740" s="703"/>
      <c r="X740" s="703"/>
      <c r="Y740" s="703"/>
      <c r="Z740" s="703"/>
      <c r="AA740" s="703"/>
      <c r="AB740" s="703"/>
      <c r="AC740" s="703"/>
      <c r="AD740" s="703"/>
      <c r="AE740" s="703"/>
      <c r="AF740" s="703"/>
      <c r="AG740" s="703"/>
      <c r="AH740" s="703"/>
      <c r="AI740" s="703"/>
      <c r="AJ740" s="703"/>
      <c r="AK740" s="703"/>
      <c r="AL740" s="703"/>
      <c r="AM740" s="703"/>
      <c r="AN740" s="703"/>
      <c r="AO740" s="704"/>
      <c r="AP740" s="705"/>
      <c r="AQ740" s="698"/>
      <c r="AS740" s="220"/>
      <c r="AV740" s="699"/>
      <c r="AW740" s="700"/>
      <c r="AX740" s="382"/>
      <c r="AY740" s="379"/>
      <c r="AZ740" s="384"/>
      <c r="BA740" s="642"/>
    </row>
    <row r="741" spans="1:54" ht="11.25" hidden="1" customHeight="1" x14ac:dyDescent="0.2">
      <c r="A741" s="867"/>
      <c r="C741" s="701"/>
      <c r="D741" s="702"/>
      <c r="E741" s="703"/>
      <c r="F741" s="703"/>
      <c r="G741" s="703"/>
      <c r="H741" s="703"/>
      <c r="I741" s="703"/>
      <c r="J741" s="703"/>
      <c r="K741" s="703"/>
      <c r="L741" s="703"/>
      <c r="M741" s="703"/>
      <c r="N741" s="703"/>
      <c r="O741" s="703"/>
      <c r="P741" s="703"/>
      <c r="Q741" s="703"/>
      <c r="R741" s="703"/>
      <c r="S741" s="703"/>
      <c r="T741" s="703"/>
      <c r="U741" s="703"/>
      <c r="V741" s="703"/>
      <c r="W741" s="703"/>
      <c r="X741" s="703"/>
      <c r="Y741" s="703"/>
      <c r="Z741" s="703"/>
      <c r="AA741" s="703"/>
      <c r="AB741" s="703"/>
      <c r="AC741" s="703"/>
      <c r="AD741" s="703"/>
      <c r="AE741" s="703"/>
      <c r="AF741" s="703"/>
      <c r="AG741" s="703"/>
      <c r="AH741" s="703"/>
      <c r="AI741" s="703"/>
      <c r="AJ741" s="703"/>
      <c r="AK741" s="703"/>
      <c r="AL741" s="703"/>
      <c r="AM741" s="703"/>
      <c r="AN741" s="703"/>
      <c r="AO741" s="704"/>
      <c r="AP741" s="705"/>
      <c r="AQ741" s="698"/>
      <c r="AS741" s="220"/>
      <c r="AV741" s="699"/>
      <c r="AW741" s="700"/>
      <c r="AX741" s="382"/>
      <c r="AY741" s="379"/>
      <c r="AZ741" s="384"/>
      <c r="BA741" s="642"/>
    </row>
    <row r="742" spans="1:54" ht="11.25" hidden="1" customHeight="1" x14ac:dyDescent="0.2">
      <c r="A742" s="867"/>
      <c r="C742" s="701"/>
      <c r="D742" s="702"/>
      <c r="E742" s="703"/>
      <c r="F742" s="703"/>
      <c r="G742" s="703"/>
      <c r="H742" s="703"/>
      <c r="I742" s="703"/>
      <c r="J742" s="703"/>
      <c r="K742" s="703"/>
      <c r="L742" s="703"/>
      <c r="M742" s="703"/>
      <c r="N742" s="703"/>
      <c r="O742" s="703"/>
      <c r="P742" s="703"/>
      <c r="Q742" s="703"/>
      <c r="R742" s="703"/>
      <c r="S742" s="703"/>
      <c r="T742" s="703"/>
      <c r="U742" s="703"/>
      <c r="V742" s="703"/>
      <c r="W742" s="703"/>
      <c r="X742" s="703"/>
      <c r="Y742" s="703"/>
      <c r="Z742" s="703"/>
      <c r="AA742" s="703"/>
      <c r="AB742" s="703"/>
      <c r="AC742" s="703"/>
      <c r="AD742" s="703"/>
      <c r="AE742" s="703"/>
      <c r="AF742" s="703"/>
      <c r="AG742" s="703"/>
      <c r="AH742" s="703"/>
      <c r="AI742" s="703"/>
      <c r="AJ742" s="703"/>
      <c r="AK742" s="703"/>
      <c r="AL742" s="703"/>
      <c r="AM742" s="703"/>
      <c r="AN742" s="703"/>
      <c r="AO742" s="704"/>
      <c r="AP742" s="705"/>
      <c r="AQ742" s="698"/>
      <c r="AS742" s="220"/>
      <c r="AV742" s="699"/>
      <c r="AW742" s="700"/>
      <c r="AX742" s="382"/>
      <c r="AY742" s="379"/>
      <c r="AZ742" s="384"/>
      <c r="BA742" s="642"/>
    </row>
    <row r="743" spans="1:54" ht="11.25" hidden="1" customHeight="1" x14ac:dyDescent="0.2">
      <c r="A743" s="867"/>
      <c r="C743" s="701"/>
      <c r="D743" s="702"/>
      <c r="E743" s="703"/>
      <c r="F743" s="703"/>
      <c r="G743" s="703"/>
      <c r="H743" s="703"/>
      <c r="I743" s="703"/>
      <c r="J743" s="703"/>
      <c r="K743" s="703"/>
      <c r="L743" s="703"/>
      <c r="M743" s="703"/>
      <c r="N743" s="703"/>
      <c r="O743" s="703"/>
      <c r="P743" s="703"/>
      <c r="Q743" s="703"/>
      <c r="R743" s="703"/>
      <c r="S743" s="703"/>
      <c r="T743" s="703"/>
      <c r="U743" s="703"/>
      <c r="V743" s="703"/>
      <c r="W743" s="703"/>
      <c r="X743" s="703"/>
      <c r="Y743" s="703"/>
      <c r="Z743" s="703"/>
      <c r="AA743" s="703"/>
      <c r="AB743" s="703"/>
      <c r="AC743" s="703"/>
      <c r="AD743" s="703"/>
      <c r="AE743" s="703"/>
      <c r="AF743" s="703"/>
      <c r="AG743" s="703"/>
      <c r="AH743" s="703"/>
      <c r="AI743" s="703"/>
      <c r="AJ743" s="703"/>
      <c r="AK743" s="703"/>
      <c r="AL743" s="703"/>
      <c r="AM743" s="703"/>
      <c r="AN743" s="703"/>
      <c r="AO743" s="704"/>
      <c r="AP743" s="705"/>
      <c r="AQ743" s="698"/>
      <c r="AS743" s="220"/>
      <c r="AV743" s="699"/>
      <c r="AW743" s="700"/>
      <c r="AX743" s="382"/>
      <c r="AY743" s="379"/>
      <c r="AZ743" s="384"/>
      <c r="BA743" s="642"/>
    </row>
    <row r="744" spans="1:54" ht="11.25" hidden="1" customHeight="1" x14ac:dyDescent="0.2">
      <c r="A744" s="867"/>
      <c r="C744" s="701"/>
      <c r="D744" s="702"/>
      <c r="E744" s="703"/>
      <c r="F744" s="703"/>
      <c r="G744" s="703"/>
      <c r="H744" s="703"/>
      <c r="I744" s="703"/>
      <c r="J744" s="703"/>
      <c r="K744" s="703"/>
      <c r="L744" s="703"/>
      <c r="M744" s="703"/>
      <c r="N744" s="703"/>
      <c r="O744" s="703"/>
      <c r="P744" s="703"/>
      <c r="Q744" s="703"/>
      <c r="R744" s="703"/>
      <c r="S744" s="703"/>
      <c r="T744" s="703"/>
      <c r="U744" s="703"/>
      <c r="V744" s="703"/>
      <c r="W744" s="703"/>
      <c r="X744" s="703"/>
      <c r="Y744" s="703"/>
      <c r="Z744" s="703"/>
      <c r="AA744" s="703"/>
      <c r="AB744" s="703"/>
      <c r="AC744" s="703"/>
      <c r="AD744" s="703"/>
      <c r="AE744" s="703"/>
      <c r="AF744" s="703"/>
      <c r="AG744" s="703"/>
      <c r="AH744" s="703"/>
      <c r="AI744" s="703"/>
      <c r="AJ744" s="703"/>
      <c r="AK744" s="703"/>
      <c r="AL744" s="703"/>
      <c r="AM744" s="703"/>
      <c r="AN744" s="703"/>
      <c r="AO744" s="704"/>
      <c r="AP744" s="705"/>
      <c r="AQ744" s="698"/>
      <c r="AS744" s="220"/>
      <c r="AV744" s="699"/>
      <c r="AW744" s="700"/>
      <c r="AX744" s="382"/>
      <c r="AY744" s="379"/>
      <c r="AZ744" s="384"/>
      <c r="BA744" s="642"/>
    </row>
    <row r="745" spans="1:54" ht="11.25" hidden="1" customHeight="1" x14ac:dyDescent="0.2">
      <c r="A745" s="867"/>
      <c r="C745" s="701"/>
      <c r="D745" s="702"/>
      <c r="E745" s="703"/>
      <c r="F745" s="703"/>
      <c r="G745" s="703"/>
      <c r="H745" s="703"/>
      <c r="I745" s="703"/>
      <c r="J745" s="703"/>
      <c r="K745" s="703"/>
      <c r="L745" s="703"/>
      <c r="M745" s="703"/>
      <c r="N745" s="703"/>
      <c r="O745" s="703"/>
      <c r="P745" s="703"/>
      <c r="Q745" s="703"/>
      <c r="R745" s="703"/>
      <c r="S745" s="703"/>
      <c r="T745" s="703"/>
      <c r="U745" s="703"/>
      <c r="V745" s="703"/>
      <c r="W745" s="703"/>
      <c r="X745" s="703"/>
      <c r="Y745" s="703"/>
      <c r="Z745" s="703"/>
      <c r="AA745" s="703"/>
      <c r="AB745" s="703"/>
      <c r="AC745" s="703"/>
      <c r="AD745" s="703"/>
      <c r="AE745" s="703"/>
      <c r="AF745" s="703"/>
      <c r="AG745" s="703"/>
      <c r="AH745" s="703"/>
      <c r="AI745" s="703"/>
      <c r="AJ745" s="703"/>
      <c r="AK745" s="703"/>
      <c r="AL745" s="703"/>
      <c r="AM745" s="703"/>
      <c r="AN745" s="703"/>
      <c r="AO745" s="704"/>
      <c r="AP745" s="705"/>
      <c r="AQ745" s="698"/>
      <c r="AS745" s="220"/>
      <c r="AV745" s="699"/>
      <c r="AW745" s="700"/>
      <c r="AX745" s="382"/>
      <c r="AY745" s="379"/>
      <c r="AZ745" s="384"/>
      <c r="BA745" s="642"/>
    </row>
    <row r="746" spans="1:54" ht="11.25" hidden="1" customHeight="1" x14ac:dyDescent="0.2">
      <c r="A746" s="867"/>
      <c r="C746" s="706"/>
      <c r="D746" s="707"/>
      <c r="E746" s="708"/>
      <c r="F746" s="708"/>
      <c r="G746" s="708"/>
      <c r="H746" s="708"/>
      <c r="I746" s="708"/>
      <c r="J746" s="708"/>
      <c r="K746" s="708"/>
      <c r="L746" s="708"/>
      <c r="M746" s="708"/>
      <c r="N746" s="708"/>
      <c r="O746" s="708"/>
      <c r="P746" s="708"/>
      <c r="Q746" s="708"/>
      <c r="R746" s="708"/>
      <c r="S746" s="708"/>
      <c r="T746" s="708"/>
      <c r="U746" s="708"/>
      <c r="V746" s="708"/>
      <c r="W746" s="708"/>
      <c r="X746" s="708"/>
      <c r="Y746" s="708"/>
      <c r="Z746" s="708"/>
      <c r="AA746" s="708"/>
      <c r="AB746" s="708"/>
      <c r="AC746" s="708"/>
      <c r="AD746" s="708"/>
      <c r="AE746" s="708"/>
      <c r="AF746" s="708"/>
      <c r="AG746" s="708"/>
      <c r="AH746" s="708"/>
      <c r="AI746" s="708"/>
      <c r="AJ746" s="708"/>
      <c r="AK746" s="708"/>
      <c r="AL746" s="708"/>
      <c r="AM746" s="708"/>
      <c r="AN746" s="708"/>
      <c r="AO746" s="709"/>
      <c r="AP746" s="710"/>
      <c r="AQ746" s="698"/>
      <c r="AS746" s="220"/>
      <c r="AV746" s="699"/>
      <c r="AW746" s="700"/>
      <c r="AX746" s="382"/>
      <c r="AY746" s="379"/>
      <c r="AZ746" s="384"/>
      <c r="BA746" s="642"/>
    </row>
    <row r="747" spans="1:54" ht="13.5" hidden="1" customHeight="1" x14ac:dyDescent="0.2">
      <c r="A747" s="867"/>
      <c r="AV747" s="699"/>
      <c r="AW747" s="700"/>
      <c r="AX747" s="642"/>
      <c r="AY747" s="642"/>
      <c r="BA747" s="642"/>
    </row>
    <row r="748" spans="1:54" ht="1.5" hidden="1" customHeight="1" x14ac:dyDescent="0.2">
      <c r="A748" s="867"/>
      <c r="AV748" s="699"/>
      <c r="AW748" s="700"/>
    </row>
    <row r="749" spans="1:54" s="186" customFormat="1" ht="11.25" hidden="1" customHeight="1" x14ac:dyDescent="0.2">
      <c r="A749" s="867"/>
      <c r="AS749" s="672"/>
      <c r="AU749" s="669"/>
      <c r="AV749" s="699"/>
      <c r="AW749" s="700"/>
      <c r="AX749" s="643"/>
      <c r="AY749" s="643"/>
      <c r="AZ749" s="671"/>
      <c r="BA749" s="643"/>
      <c r="BB749" s="669"/>
    </row>
    <row r="750" spans="1:54" s="673" customFormat="1" ht="13.5" hidden="1" customHeight="1" x14ac:dyDescent="0.2">
      <c r="A750" s="867"/>
      <c r="D750" s="674"/>
      <c r="E750" s="674"/>
      <c r="F750" s="674"/>
      <c r="G750" s="674"/>
      <c r="H750" s="674"/>
      <c r="I750" s="674"/>
      <c r="J750" s="674"/>
      <c r="K750" s="674"/>
      <c r="L750" s="674"/>
      <c r="M750" s="674"/>
      <c r="N750" s="674"/>
      <c r="O750" s="674"/>
      <c r="P750" s="674"/>
      <c r="Q750" s="674"/>
      <c r="R750" s="674"/>
      <c r="S750" s="674"/>
      <c r="T750" s="674"/>
      <c r="U750" s="674"/>
      <c r="V750" s="674"/>
      <c r="W750" s="674"/>
      <c r="X750" s="674"/>
      <c r="Y750" s="674"/>
      <c r="Z750" s="674"/>
      <c r="AA750" s="674"/>
      <c r="AB750" s="674"/>
      <c r="AC750" s="674"/>
      <c r="AD750" s="674"/>
      <c r="AE750" s="674"/>
      <c r="AF750" s="674"/>
      <c r="AG750" s="674"/>
      <c r="AH750" s="674"/>
      <c r="AI750" s="674"/>
      <c r="AJ750" s="674"/>
      <c r="AK750" s="674"/>
      <c r="AL750" s="674"/>
      <c r="AM750" s="674"/>
      <c r="AN750" s="674"/>
      <c r="AO750" s="674"/>
      <c r="AP750" s="674"/>
      <c r="AS750" s="675"/>
      <c r="AU750" s="643"/>
      <c r="AV750" s="699"/>
      <c r="AW750" s="700"/>
      <c r="AX750" s="643"/>
      <c r="AY750" s="643"/>
      <c r="AZ750" s="671"/>
      <c r="BA750" s="643"/>
      <c r="BB750" s="643"/>
    </row>
    <row r="751" spans="1:54" s="673" customFormat="1" ht="13.5" hidden="1" customHeight="1" x14ac:dyDescent="0.2">
      <c r="A751" s="867"/>
      <c r="C751" s="324"/>
      <c r="D751" s="383"/>
      <c r="E751" s="383"/>
      <c r="F751" s="383"/>
      <c r="G751" s="383"/>
      <c r="H751" s="383"/>
      <c r="I751" s="383"/>
      <c r="J751" s="383"/>
      <c r="K751" s="383"/>
      <c r="L751" s="383"/>
      <c r="M751" s="383"/>
      <c r="N751" s="383"/>
      <c r="O751" s="383"/>
      <c r="P751" s="383"/>
      <c r="Q751" s="383"/>
      <c r="R751" s="383"/>
      <c r="S751" s="383"/>
      <c r="T751" s="383"/>
      <c r="U751" s="383"/>
      <c r="V751" s="383"/>
      <c r="W751" s="383"/>
      <c r="X751" s="383"/>
      <c r="Y751" s="383"/>
      <c r="Z751" s="383"/>
      <c r="AA751" s="383"/>
      <c r="AB751" s="383"/>
      <c r="AC751" s="383"/>
      <c r="AD751" s="383"/>
      <c r="AE751" s="383"/>
      <c r="AF751" s="383"/>
      <c r="AG751" s="383"/>
      <c r="AH751" s="383"/>
      <c r="AI751" s="383"/>
      <c r="AJ751" s="383"/>
      <c r="AK751" s="383"/>
      <c r="AL751" s="383"/>
      <c r="AM751" s="383"/>
      <c r="AN751" s="383"/>
      <c r="AO751" s="383"/>
      <c r="AP751" s="674"/>
      <c r="AS751" s="675"/>
      <c r="AU751" s="643"/>
      <c r="AV751" s="699"/>
      <c r="AW751" s="700"/>
      <c r="AX751" s="643"/>
      <c r="AY751" s="643"/>
      <c r="AZ751" s="671"/>
      <c r="BA751" s="643"/>
      <c r="BB751" s="643"/>
    </row>
    <row r="752" spans="1:54" s="673" customFormat="1" ht="13.5" hidden="1" customHeight="1" x14ac:dyDescent="0.2">
      <c r="A752" s="867"/>
      <c r="D752" s="383"/>
      <c r="E752" s="383"/>
      <c r="F752" s="383"/>
      <c r="G752" s="383"/>
      <c r="H752" s="383"/>
      <c r="I752" s="383"/>
      <c r="J752" s="383"/>
      <c r="K752" s="383"/>
      <c r="L752" s="383"/>
      <c r="M752" s="383"/>
      <c r="N752" s="383"/>
      <c r="O752" s="383"/>
      <c r="P752" s="383"/>
      <c r="Q752" s="383"/>
      <c r="R752" s="383"/>
      <c r="S752" s="383"/>
      <c r="T752" s="383"/>
      <c r="U752" s="383"/>
      <c r="V752" s="383"/>
      <c r="W752" s="383"/>
      <c r="X752" s="383"/>
      <c r="Y752" s="383"/>
      <c r="Z752" s="383"/>
      <c r="AA752" s="383"/>
      <c r="AB752" s="383"/>
      <c r="AC752" s="383"/>
      <c r="AD752" s="383"/>
      <c r="AE752" s="383"/>
      <c r="AF752" s="383"/>
      <c r="AG752" s="383"/>
      <c r="AH752" s="383"/>
      <c r="AI752" s="383"/>
      <c r="AJ752" s="383"/>
      <c r="AK752" s="383"/>
      <c r="AL752" s="383"/>
      <c r="AM752" s="383"/>
      <c r="AN752" s="383"/>
      <c r="AO752" s="383"/>
      <c r="AP752" s="674"/>
      <c r="AS752" s="675"/>
      <c r="AU752" s="643"/>
      <c r="AV752" s="699"/>
      <c r="AW752" s="700"/>
      <c r="AX752" s="643"/>
      <c r="AY752" s="643"/>
      <c r="AZ752" s="671"/>
      <c r="BA752" s="643"/>
      <c r="BB752" s="643"/>
    </row>
    <row r="753" spans="1:54" s="673" customFormat="1" ht="13.5" hidden="1" customHeight="1" x14ac:dyDescent="0.2">
      <c r="A753" s="867"/>
      <c r="D753" s="676"/>
      <c r="E753" s="676"/>
      <c r="F753" s="676"/>
      <c r="G753" s="676"/>
      <c r="H753" s="676"/>
      <c r="I753" s="676"/>
      <c r="J753" s="676"/>
      <c r="K753" s="676"/>
      <c r="L753" s="676"/>
      <c r="M753" s="676"/>
      <c r="N753" s="676"/>
      <c r="O753" s="676"/>
      <c r="P753" s="676"/>
      <c r="Q753" s="676"/>
      <c r="R753" s="676"/>
      <c r="S753" s="676"/>
      <c r="T753" s="676"/>
      <c r="U753" s="676"/>
      <c r="V753" s="676"/>
      <c r="W753" s="676"/>
      <c r="X753" s="676"/>
      <c r="Y753" s="676"/>
      <c r="Z753" s="676"/>
      <c r="AA753" s="676"/>
      <c r="AB753" s="676"/>
      <c r="AC753" s="676"/>
      <c r="AD753" s="676"/>
      <c r="AE753" s="676"/>
      <c r="AF753" s="676"/>
      <c r="AG753" s="676"/>
      <c r="AH753" s="676"/>
      <c r="AI753" s="676"/>
      <c r="AJ753" s="676"/>
      <c r="AK753" s="676"/>
      <c r="AL753" s="676"/>
      <c r="AM753" s="676"/>
      <c r="AN753" s="676"/>
      <c r="AO753" s="676"/>
      <c r="AP753" s="674"/>
      <c r="AS753" s="675"/>
      <c r="AU753" s="643"/>
      <c r="AV753" s="699"/>
      <c r="AW753" s="700"/>
      <c r="AX753" s="643"/>
      <c r="AY753" s="643"/>
      <c r="AZ753" s="671"/>
      <c r="BA753" s="643"/>
      <c r="BB753" s="643"/>
    </row>
    <row r="754" spans="1:54" s="673" customFormat="1" ht="13.5" hidden="1" customHeight="1" x14ac:dyDescent="0.2">
      <c r="A754" s="867"/>
      <c r="D754" s="677"/>
      <c r="E754" s="677"/>
      <c r="F754" s="677"/>
      <c r="G754" s="677"/>
      <c r="H754" s="677"/>
      <c r="I754" s="677"/>
      <c r="J754" s="677"/>
      <c r="K754" s="677"/>
      <c r="L754" s="677"/>
      <c r="M754" s="677"/>
      <c r="N754" s="677"/>
      <c r="O754" s="677"/>
      <c r="P754" s="677"/>
      <c r="Q754" s="677"/>
      <c r="R754" s="677"/>
      <c r="S754" s="677"/>
      <c r="T754" s="677"/>
      <c r="U754" s="677"/>
      <c r="V754" s="677"/>
      <c r="W754" s="677"/>
      <c r="X754" s="677"/>
      <c r="Y754" s="677"/>
      <c r="Z754" s="677"/>
      <c r="AA754" s="677"/>
      <c r="AB754" s="677"/>
      <c r="AC754" s="677"/>
      <c r="AD754" s="677"/>
      <c r="AE754" s="677"/>
      <c r="AF754" s="677"/>
      <c r="AG754" s="677"/>
      <c r="AH754" s="677"/>
      <c r="AI754" s="677"/>
      <c r="AJ754" s="677"/>
      <c r="AK754" s="677"/>
      <c r="AL754" s="677"/>
      <c r="AM754" s="677"/>
      <c r="AN754" s="677"/>
      <c r="AO754" s="677"/>
      <c r="AP754" s="674"/>
      <c r="AS754" s="675"/>
      <c r="AU754" s="643"/>
      <c r="AV754" s="699"/>
      <c r="AW754" s="700"/>
      <c r="AY754" s="643"/>
      <c r="AZ754" s="671"/>
      <c r="BA754" s="643"/>
      <c r="BB754" s="643"/>
    </row>
    <row r="755" spans="1:54" s="673" customFormat="1" ht="13.5" hidden="1" customHeight="1" x14ac:dyDescent="0.2">
      <c r="A755" s="867"/>
      <c r="D755" s="677"/>
      <c r="E755" s="677"/>
      <c r="F755" s="677"/>
      <c r="G755" s="677"/>
      <c r="H755" s="677"/>
      <c r="I755" s="677"/>
      <c r="J755" s="677"/>
      <c r="K755" s="677"/>
      <c r="L755" s="677"/>
      <c r="M755" s="677"/>
      <c r="N755" s="677"/>
      <c r="O755" s="677"/>
      <c r="P755" s="677"/>
      <c r="Q755" s="677"/>
      <c r="R755" s="677"/>
      <c r="S755" s="677"/>
      <c r="T755" s="677"/>
      <c r="U755" s="677"/>
      <c r="V755" s="677"/>
      <c r="W755" s="677"/>
      <c r="X755" s="677"/>
      <c r="Y755" s="677"/>
      <c r="Z755" s="677"/>
      <c r="AA755" s="677"/>
      <c r="AB755" s="677"/>
      <c r="AC755" s="677"/>
      <c r="AD755" s="677"/>
      <c r="AE755" s="677"/>
      <c r="AF755" s="677"/>
      <c r="AG755" s="677"/>
      <c r="AH755" s="677"/>
      <c r="AI755" s="677"/>
      <c r="AJ755" s="677"/>
      <c r="AK755" s="677"/>
      <c r="AL755" s="677"/>
      <c r="AM755" s="677"/>
      <c r="AN755" s="677"/>
      <c r="AO755" s="677"/>
      <c r="AP755" s="674"/>
      <c r="AS755" s="675"/>
      <c r="AU755" s="643"/>
      <c r="AV755" s="699"/>
      <c r="AW755" s="700"/>
      <c r="AX755" s="643"/>
      <c r="AY755" s="643"/>
      <c r="AZ755" s="671"/>
      <c r="BA755" s="643"/>
      <c r="BB755" s="643"/>
    </row>
    <row r="756" spans="1:54" s="673" customFormat="1" ht="13.5" hidden="1" customHeight="1" x14ac:dyDescent="0.2">
      <c r="A756" s="867"/>
      <c r="D756" s="674"/>
      <c r="E756" s="674"/>
      <c r="F756" s="674"/>
      <c r="G756" s="674"/>
      <c r="H756" s="674"/>
      <c r="I756" s="674"/>
      <c r="J756" s="674"/>
      <c r="K756" s="674"/>
      <c r="L756" s="674"/>
      <c r="M756" s="674"/>
      <c r="N756" s="674"/>
      <c r="O756" s="674"/>
      <c r="P756" s="674"/>
      <c r="Q756" s="674"/>
      <c r="R756" s="674"/>
      <c r="S756" s="674"/>
      <c r="T756" s="674"/>
      <c r="U756" s="674"/>
      <c r="V756" s="674"/>
      <c r="W756" s="674"/>
      <c r="X756" s="674"/>
      <c r="Y756" s="674"/>
      <c r="Z756" s="674"/>
      <c r="AA756" s="674"/>
      <c r="AB756" s="674"/>
      <c r="AC756" s="674"/>
      <c r="AD756" s="674"/>
      <c r="AE756" s="674"/>
      <c r="AF756" s="674"/>
      <c r="AG756" s="674"/>
      <c r="AH756" s="674"/>
      <c r="AI756" s="674"/>
      <c r="AJ756" s="674"/>
      <c r="AK756" s="674"/>
      <c r="AL756" s="674"/>
      <c r="AM756" s="674"/>
      <c r="AN756" s="674"/>
      <c r="AO756" s="674"/>
      <c r="AP756" s="674"/>
      <c r="AS756" s="675"/>
      <c r="AU756" s="643"/>
      <c r="AV756" s="699"/>
      <c r="AW756" s="700"/>
      <c r="AX756" s="643"/>
      <c r="AY756" s="643"/>
      <c r="AZ756" s="671"/>
      <c r="BA756" s="643"/>
      <c r="BB756" s="643"/>
    </row>
    <row r="757" spans="1:54" s="673" customFormat="1" ht="13.5" hidden="1" customHeight="1" x14ac:dyDescent="0.2">
      <c r="A757" s="867"/>
      <c r="D757" s="674"/>
      <c r="E757" s="674"/>
      <c r="F757" s="674"/>
      <c r="G757" s="674"/>
      <c r="H757" s="674"/>
      <c r="I757" s="674"/>
      <c r="J757" s="674"/>
      <c r="K757" s="674"/>
      <c r="L757" s="674"/>
      <c r="M757" s="674"/>
      <c r="N757" s="674"/>
      <c r="O757" s="674"/>
      <c r="P757" s="674"/>
      <c r="Q757" s="674"/>
      <c r="R757" s="674"/>
      <c r="S757" s="674"/>
      <c r="T757" s="674"/>
      <c r="U757" s="674"/>
      <c r="V757" s="674"/>
      <c r="W757" s="674"/>
      <c r="X757" s="674"/>
      <c r="Y757" s="674"/>
      <c r="Z757" s="674"/>
      <c r="AA757" s="674"/>
      <c r="AB757" s="674"/>
      <c r="AC757" s="674"/>
      <c r="AD757" s="674"/>
      <c r="AE757" s="674"/>
      <c r="AF757" s="674"/>
      <c r="AG757" s="674"/>
      <c r="AH757" s="674"/>
      <c r="AI757" s="674"/>
      <c r="AJ757" s="674"/>
      <c r="AK757" s="674"/>
      <c r="AL757" s="674"/>
      <c r="AM757" s="674"/>
      <c r="AN757" s="674"/>
      <c r="AO757" s="674"/>
      <c r="AP757" s="674"/>
      <c r="AS757" s="675"/>
      <c r="AU757" s="643"/>
      <c r="AV757" s="699"/>
      <c r="AW757" s="700"/>
      <c r="AX757" s="643"/>
      <c r="AY757" s="643"/>
      <c r="AZ757" s="671"/>
      <c r="BA757" s="643"/>
      <c r="BB757" s="643"/>
    </row>
    <row r="758" spans="1:54" s="673" customFormat="1" ht="13.5" hidden="1" customHeight="1" x14ac:dyDescent="0.2">
      <c r="A758" s="867"/>
      <c r="D758" s="674"/>
      <c r="E758" s="674"/>
      <c r="F758" s="674"/>
      <c r="G758" s="674"/>
      <c r="H758" s="674"/>
      <c r="I758" s="674"/>
      <c r="J758" s="674"/>
      <c r="K758" s="674"/>
      <c r="L758" s="674"/>
      <c r="M758" s="674"/>
      <c r="N758" s="674"/>
      <c r="O758" s="674"/>
      <c r="P758" s="674"/>
      <c r="Q758" s="674"/>
      <c r="R758" s="674"/>
      <c r="S758" s="674"/>
      <c r="T758" s="674"/>
      <c r="U758" s="674"/>
      <c r="V758" s="674"/>
      <c r="W758" s="674"/>
      <c r="X758" s="674"/>
      <c r="Y758" s="674"/>
      <c r="Z758" s="674"/>
      <c r="AA758" s="674"/>
      <c r="AB758" s="674"/>
      <c r="AC758" s="674"/>
      <c r="AD758" s="674"/>
      <c r="AE758" s="674"/>
      <c r="AF758" s="674"/>
      <c r="AG758" s="674"/>
      <c r="AH758" s="674"/>
      <c r="AI758" s="674"/>
      <c r="AJ758" s="674"/>
      <c r="AK758" s="674"/>
      <c r="AL758" s="674"/>
      <c r="AM758" s="674"/>
      <c r="AN758" s="674"/>
      <c r="AO758" s="674"/>
      <c r="AP758" s="674"/>
      <c r="AS758" s="675"/>
      <c r="AU758" s="643"/>
      <c r="AV758" s="699"/>
      <c r="AW758" s="700"/>
      <c r="AX758" s="643"/>
      <c r="AY758" s="643"/>
      <c r="AZ758" s="671"/>
      <c r="BA758" s="643"/>
      <c r="BB758" s="643"/>
    </row>
    <row r="759" spans="1:54" s="673" customFormat="1" ht="13.5" hidden="1" customHeight="1" x14ac:dyDescent="0.2">
      <c r="A759" s="867"/>
      <c r="D759" s="674"/>
      <c r="E759" s="674"/>
      <c r="F759" s="674"/>
      <c r="G759" s="674"/>
      <c r="H759" s="674"/>
      <c r="I759" s="674"/>
      <c r="J759" s="674"/>
      <c r="K759" s="674"/>
      <c r="L759" s="674"/>
      <c r="M759" s="674"/>
      <c r="N759" s="674"/>
      <c r="O759" s="674"/>
      <c r="P759" s="674"/>
      <c r="Q759" s="674"/>
      <c r="R759" s="674"/>
      <c r="S759" s="674"/>
      <c r="T759" s="674"/>
      <c r="U759" s="674"/>
      <c r="V759" s="674"/>
      <c r="W759" s="674"/>
      <c r="X759" s="674"/>
      <c r="Y759" s="674"/>
      <c r="Z759" s="674"/>
      <c r="AA759" s="674"/>
      <c r="AB759" s="674"/>
      <c r="AC759" s="674"/>
      <c r="AD759" s="674"/>
      <c r="AE759" s="674"/>
      <c r="AF759" s="674"/>
      <c r="AG759" s="674"/>
      <c r="AH759" s="674"/>
      <c r="AI759" s="674"/>
      <c r="AJ759" s="674"/>
      <c r="AK759" s="674"/>
      <c r="AL759" s="674"/>
      <c r="AM759" s="674"/>
      <c r="AN759" s="674"/>
      <c r="AO759" s="674"/>
      <c r="AP759" s="674"/>
      <c r="AS759" s="675"/>
      <c r="AU759" s="643"/>
      <c r="AV759" s="699"/>
      <c r="AW759" s="700"/>
      <c r="AX759" s="643"/>
      <c r="AY759" s="643"/>
      <c r="AZ759" s="671"/>
      <c r="BA759" s="643"/>
      <c r="BB759" s="643"/>
    </row>
    <row r="760" spans="1:54" s="673" customFormat="1" ht="13.5" hidden="1" customHeight="1" x14ac:dyDescent="0.2">
      <c r="A760" s="867"/>
      <c r="D760" s="674"/>
      <c r="E760" s="674"/>
      <c r="F760" s="674"/>
      <c r="G760" s="674"/>
      <c r="H760" s="674"/>
      <c r="I760" s="674"/>
      <c r="J760" s="674"/>
      <c r="K760" s="674"/>
      <c r="L760" s="674"/>
      <c r="M760" s="674"/>
      <c r="N760" s="674"/>
      <c r="O760" s="674"/>
      <c r="P760" s="674"/>
      <c r="Q760" s="674"/>
      <c r="R760" s="674"/>
      <c r="S760" s="674"/>
      <c r="T760" s="674"/>
      <c r="U760" s="674"/>
      <c r="V760" s="674"/>
      <c r="W760" s="674"/>
      <c r="X760" s="674"/>
      <c r="Y760" s="674"/>
      <c r="Z760" s="674"/>
      <c r="AA760" s="674"/>
      <c r="AB760" s="674"/>
      <c r="AC760" s="674"/>
      <c r="AD760" s="674"/>
      <c r="AE760" s="674"/>
      <c r="AF760" s="674"/>
      <c r="AG760" s="674"/>
      <c r="AH760" s="674"/>
      <c r="AI760" s="674"/>
      <c r="AJ760" s="674"/>
      <c r="AK760" s="674"/>
      <c r="AL760" s="674"/>
      <c r="AM760" s="674"/>
      <c r="AN760" s="674"/>
      <c r="AO760" s="674"/>
      <c r="AP760" s="674"/>
      <c r="AS760" s="675"/>
      <c r="AU760" s="643"/>
      <c r="AV760" s="699"/>
      <c r="AW760" s="700"/>
      <c r="AX760" s="643"/>
      <c r="AY760" s="643"/>
      <c r="AZ760" s="671"/>
      <c r="BA760" s="643"/>
      <c r="BB760" s="643"/>
    </row>
    <row r="761" spans="1:54" s="186" customFormat="1" ht="11.25" hidden="1" customHeight="1" x14ac:dyDescent="0.2">
      <c r="A761" s="867"/>
      <c r="D761" s="678"/>
      <c r="E761" s="678"/>
      <c r="F761" s="678"/>
      <c r="G761" s="678"/>
      <c r="H761" s="678"/>
      <c r="I761" s="678"/>
      <c r="J761" s="678"/>
      <c r="K761" s="678"/>
      <c r="L761" s="678"/>
      <c r="M761" s="678"/>
      <c r="N761" s="678"/>
      <c r="O761" s="678"/>
      <c r="P761" s="678"/>
      <c r="Q761" s="678"/>
      <c r="R761" s="678"/>
      <c r="S761" s="678"/>
      <c r="T761" s="678"/>
      <c r="U761" s="678"/>
      <c r="V761" s="678"/>
      <c r="W761" s="678"/>
      <c r="X761" s="678"/>
      <c r="Y761" s="678"/>
      <c r="Z761" s="678"/>
      <c r="AA761" s="678"/>
      <c r="AB761" s="678"/>
      <c r="AC761" s="678"/>
      <c r="AD761" s="678"/>
      <c r="AE761" s="678"/>
      <c r="AF761" s="678"/>
      <c r="AG761" s="678"/>
      <c r="AH761" s="678"/>
      <c r="AI761" s="678"/>
      <c r="AJ761" s="678"/>
      <c r="AK761" s="678"/>
      <c r="AL761" s="678"/>
      <c r="AM761" s="678"/>
      <c r="AN761" s="678"/>
      <c r="AO761" s="678"/>
      <c r="AP761" s="678"/>
      <c r="AS761" s="672"/>
      <c r="AU761" s="669"/>
      <c r="AV761" s="699"/>
      <c r="AW761" s="700"/>
      <c r="AX761" s="643"/>
      <c r="AY761" s="643"/>
      <c r="AZ761" s="671"/>
      <c r="BA761" s="643"/>
      <c r="BB761" s="669"/>
    </row>
    <row r="762" spans="1:54" ht="26.25" hidden="1" customHeight="1" x14ac:dyDescent="0.2">
      <c r="A762" s="867"/>
      <c r="C762" s="679"/>
      <c r="D762" s="680"/>
      <c r="E762" s="680"/>
      <c r="F762" s="680"/>
      <c r="G762" s="680"/>
      <c r="H762" s="680"/>
      <c r="I762" s="680"/>
      <c r="J762" s="680"/>
      <c r="K762" s="680"/>
      <c r="L762" s="680"/>
      <c r="M762" s="680"/>
      <c r="N762" s="680"/>
      <c r="O762" s="680"/>
      <c r="P762" s="680"/>
      <c r="Q762" s="680"/>
      <c r="R762" s="680"/>
      <c r="S762" s="680"/>
      <c r="T762" s="680"/>
      <c r="U762" s="680"/>
      <c r="V762" s="680"/>
      <c r="W762" s="680"/>
      <c r="X762" s="680"/>
      <c r="Y762" s="680"/>
      <c r="Z762" s="680"/>
      <c r="AA762" s="680"/>
      <c r="AB762" s="680"/>
      <c r="AC762" s="680"/>
      <c r="AD762" s="680"/>
      <c r="AE762" s="680"/>
      <c r="AF762" s="680"/>
      <c r="AG762" s="680"/>
      <c r="AH762" s="680"/>
      <c r="AI762" s="680"/>
      <c r="AJ762" s="680"/>
      <c r="AK762" s="680"/>
      <c r="AL762" s="680"/>
      <c r="AM762" s="680"/>
      <c r="AN762" s="680"/>
      <c r="AO762" s="680"/>
      <c r="AP762" s="868"/>
      <c r="AV762" s="699"/>
      <c r="AW762" s="700"/>
    </row>
    <row r="763" spans="1:54" ht="11.25" hidden="1" customHeight="1" x14ac:dyDescent="0.2">
      <c r="A763" s="867"/>
      <c r="C763" s="681"/>
      <c r="D763" s="682"/>
      <c r="E763" s="682"/>
      <c r="F763" s="682"/>
      <c r="G763" s="682"/>
      <c r="H763" s="682"/>
      <c r="I763" s="682"/>
      <c r="J763" s="682"/>
      <c r="K763" s="682"/>
      <c r="L763" s="682"/>
      <c r="M763" s="682"/>
      <c r="N763" s="682"/>
      <c r="O763" s="682"/>
      <c r="P763" s="682"/>
      <c r="Q763" s="682"/>
      <c r="R763" s="682"/>
      <c r="S763" s="682"/>
      <c r="T763" s="682"/>
      <c r="U763" s="682"/>
      <c r="V763" s="682"/>
      <c r="W763" s="682"/>
      <c r="X763" s="682"/>
      <c r="Y763" s="682"/>
      <c r="Z763" s="682"/>
      <c r="AA763" s="682"/>
      <c r="AB763" s="682"/>
      <c r="AC763" s="682"/>
      <c r="AD763" s="682"/>
      <c r="AE763" s="682"/>
      <c r="AF763" s="682"/>
      <c r="AG763" s="682"/>
      <c r="AH763" s="682"/>
      <c r="AI763" s="682"/>
      <c r="AJ763" s="682"/>
      <c r="AK763" s="682"/>
      <c r="AL763" s="682"/>
      <c r="AM763" s="682"/>
      <c r="AN763" s="682"/>
      <c r="AO763" s="682"/>
      <c r="AP763" s="868"/>
      <c r="AQ763" s="683"/>
      <c r="AV763" s="699"/>
      <c r="AW763" s="700"/>
    </row>
    <row r="764" spans="1:54" ht="11.25" hidden="1" customHeight="1" x14ac:dyDescent="0.2">
      <c r="A764" s="867"/>
      <c r="C764" s="684"/>
      <c r="D764" s="685"/>
      <c r="E764" s="686"/>
      <c r="F764" s="686"/>
      <c r="G764" s="686"/>
      <c r="H764" s="686"/>
      <c r="I764" s="686"/>
      <c r="J764" s="686"/>
      <c r="K764" s="686"/>
      <c r="L764" s="686"/>
      <c r="M764" s="686"/>
      <c r="N764" s="686"/>
      <c r="O764" s="686"/>
      <c r="P764" s="686"/>
      <c r="Q764" s="686"/>
      <c r="R764" s="686"/>
      <c r="S764" s="686"/>
      <c r="T764" s="686"/>
      <c r="U764" s="686"/>
      <c r="V764" s="686"/>
      <c r="W764" s="686"/>
      <c r="X764" s="686"/>
      <c r="Y764" s="686"/>
      <c r="Z764" s="686"/>
      <c r="AA764" s="686"/>
      <c r="AB764" s="686"/>
      <c r="AC764" s="686"/>
      <c r="AD764" s="686"/>
      <c r="AE764" s="686"/>
      <c r="AF764" s="686"/>
      <c r="AG764" s="686"/>
      <c r="AH764" s="686"/>
      <c r="AI764" s="686"/>
      <c r="AJ764" s="686"/>
      <c r="AK764" s="686"/>
      <c r="AL764" s="686"/>
      <c r="AM764" s="686"/>
      <c r="AN764" s="686"/>
      <c r="AO764" s="687"/>
      <c r="AP764" s="868"/>
      <c r="AQ764" s="688"/>
      <c r="AV764" s="699"/>
      <c r="AW764" s="700"/>
    </row>
    <row r="765" spans="1:54" ht="11.25" hidden="1" customHeight="1" x14ac:dyDescent="0.2">
      <c r="A765" s="867"/>
      <c r="C765" s="689"/>
      <c r="D765" s="690"/>
      <c r="E765" s="690"/>
      <c r="F765" s="690"/>
      <c r="G765" s="690"/>
      <c r="H765" s="690"/>
      <c r="I765" s="690"/>
      <c r="J765" s="690"/>
      <c r="K765" s="690"/>
      <c r="L765" s="690"/>
      <c r="M765" s="690"/>
      <c r="N765" s="690"/>
      <c r="O765" s="690"/>
      <c r="P765" s="690"/>
      <c r="Q765" s="690"/>
      <c r="R765" s="690"/>
      <c r="S765" s="690"/>
      <c r="T765" s="690"/>
      <c r="U765" s="690"/>
      <c r="V765" s="690"/>
      <c r="W765" s="690"/>
      <c r="X765" s="690"/>
      <c r="Y765" s="690"/>
      <c r="Z765" s="690"/>
      <c r="AA765" s="690"/>
      <c r="AB765" s="690"/>
      <c r="AC765" s="690"/>
      <c r="AD765" s="690"/>
      <c r="AE765" s="690"/>
      <c r="AF765" s="690"/>
      <c r="AG765" s="690"/>
      <c r="AH765" s="690"/>
      <c r="AI765" s="690"/>
      <c r="AJ765" s="690"/>
      <c r="AK765" s="690"/>
      <c r="AL765" s="690"/>
      <c r="AM765" s="690"/>
      <c r="AN765" s="690"/>
      <c r="AO765" s="690"/>
      <c r="AP765" s="691"/>
      <c r="AS765" s="692"/>
      <c r="AV765" s="699"/>
      <c r="AW765" s="700"/>
    </row>
    <row r="766" spans="1:54" ht="4.5" hidden="1" customHeight="1" x14ac:dyDescent="0.2">
      <c r="A766" s="867"/>
      <c r="AV766" s="699"/>
      <c r="AW766" s="700"/>
    </row>
    <row r="767" spans="1:54" ht="11.25" hidden="1" customHeight="1" x14ac:dyDescent="0.2">
      <c r="A767" s="867"/>
      <c r="C767" s="693"/>
      <c r="D767" s="694"/>
      <c r="E767" s="695"/>
      <c r="F767" s="695"/>
      <c r="G767" s="695"/>
      <c r="H767" s="695"/>
      <c r="I767" s="695"/>
      <c r="J767" s="695"/>
      <c r="K767" s="695"/>
      <c r="L767" s="695"/>
      <c r="M767" s="695"/>
      <c r="N767" s="695"/>
      <c r="O767" s="695"/>
      <c r="P767" s="695"/>
      <c r="Q767" s="695"/>
      <c r="R767" s="695"/>
      <c r="S767" s="695"/>
      <c r="T767" s="695"/>
      <c r="U767" s="695"/>
      <c r="V767" s="695"/>
      <c r="W767" s="695"/>
      <c r="X767" s="695"/>
      <c r="Y767" s="695"/>
      <c r="Z767" s="695"/>
      <c r="AA767" s="695"/>
      <c r="AB767" s="695"/>
      <c r="AC767" s="695"/>
      <c r="AD767" s="695"/>
      <c r="AE767" s="695"/>
      <c r="AF767" s="695"/>
      <c r="AG767" s="695"/>
      <c r="AH767" s="695"/>
      <c r="AI767" s="695"/>
      <c r="AJ767" s="695"/>
      <c r="AK767" s="695"/>
      <c r="AL767" s="695"/>
      <c r="AM767" s="695"/>
      <c r="AN767" s="695"/>
      <c r="AO767" s="696"/>
      <c r="AP767" s="697"/>
      <c r="AQ767" s="698"/>
      <c r="AS767" s="208"/>
      <c r="AV767" s="699"/>
      <c r="AW767" s="700"/>
      <c r="AX767" s="382"/>
      <c r="AY767" s="379"/>
      <c r="AZ767" s="384"/>
      <c r="BA767" s="642"/>
    </row>
    <row r="768" spans="1:54" ht="11.25" hidden="1" customHeight="1" x14ac:dyDescent="0.2">
      <c r="A768" s="867"/>
      <c r="C768" s="701"/>
      <c r="D768" s="702"/>
      <c r="E768" s="703"/>
      <c r="F768" s="703"/>
      <c r="G768" s="703"/>
      <c r="H768" s="703"/>
      <c r="I768" s="703"/>
      <c r="J768" s="703"/>
      <c r="K768" s="703"/>
      <c r="L768" s="703"/>
      <c r="M768" s="703"/>
      <c r="N768" s="703"/>
      <c r="O768" s="703"/>
      <c r="P768" s="703"/>
      <c r="Q768" s="703"/>
      <c r="R768" s="703"/>
      <c r="S768" s="703"/>
      <c r="T768" s="703"/>
      <c r="U768" s="703"/>
      <c r="V768" s="703"/>
      <c r="W768" s="703"/>
      <c r="X768" s="703"/>
      <c r="Y768" s="703"/>
      <c r="Z768" s="703"/>
      <c r="AA768" s="703"/>
      <c r="AB768" s="703"/>
      <c r="AC768" s="703"/>
      <c r="AD768" s="703"/>
      <c r="AE768" s="703"/>
      <c r="AF768" s="703"/>
      <c r="AG768" s="703"/>
      <c r="AH768" s="703"/>
      <c r="AI768" s="703"/>
      <c r="AJ768" s="703"/>
      <c r="AK768" s="703"/>
      <c r="AL768" s="703"/>
      <c r="AM768" s="703"/>
      <c r="AN768" s="703"/>
      <c r="AO768" s="704"/>
      <c r="AP768" s="705"/>
      <c r="AQ768" s="698"/>
      <c r="AS768" s="220"/>
      <c r="AV768" s="699"/>
      <c r="AW768" s="700"/>
      <c r="AX768" s="382"/>
      <c r="AY768" s="379"/>
      <c r="AZ768" s="384"/>
      <c r="BA768" s="642"/>
    </row>
    <row r="769" spans="1:53" ht="11.25" hidden="1" customHeight="1" x14ac:dyDescent="0.2">
      <c r="A769" s="867"/>
      <c r="C769" s="701"/>
      <c r="D769" s="702"/>
      <c r="E769" s="703"/>
      <c r="F769" s="703"/>
      <c r="G769" s="703"/>
      <c r="H769" s="703"/>
      <c r="I769" s="703"/>
      <c r="J769" s="703"/>
      <c r="K769" s="703"/>
      <c r="L769" s="703"/>
      <c r="M769" s="703"/>
      <c r="N769" s="703"/>
      <c r="O769" s="703"/>
      <c r="P769" s="703"/>
      <c r="Q769" s="703"/>
      <c r="R769" s="703"/>
      <c r="S769" s="703"/>
      <c r="T769" s="703"/>
      <c r="U769" s="703"/>
      <c r="V769" s="703"/>
      <c r="W769" s="703"/>
      <c r="X769" s="703"/>
      <c r="Y769" s="703"/>
      <c r="Z769" s="703"/>
      <c r="AA769" s="703"/>
      <c r="AB769" s="703"/>
      <c r="AC769" s="703"/>
      <c r="AD769" s="703"/>
      <c r="AE769" s="703"/>
      <c r="AF769" s="703"/>
      <c r="AG769" s="703"/>
      <c r="AH769" s="703"/>
      <c r="AI769" s="703"/>
      <c r="AJ769" s="703"/>
      <c r="AK769" s="703"/>
      <c r="AL769" s="703"/>
      <c r="AM769" s="703"/>
      <c r="AN769" s="703"/>
      <c r="AO769" s="704"/>
      <c r="AP769" s="705"/>
      <c r="AQ769" s="698"/>
      <c r="AS769" s="220"/>
      <c r="AV769" s="699"/>
      <c r="AW769" s="700"/>
      <c r="AX769" s="382"/>
      <c r="AY769" s="379"/>
      <c r="AZ769" s="384"/>
      <c r="BA769" s="642"/>
    </row>
    <row r="770" spans="1:53" ht="11.25" hidden="1" customHeight="1" x14ac:dyDescent="0.2">
      <c r="A770" s="867"/>
      <c r="C770" s="701"/>
      <c r="D770" s="702"/>
      <c r="E770" s="703"/>
      <c r="F770" s="703"/>
      <c r="G770" s="703"/>
      <c r="H770" s="703"/>
      <c r="I770" s="703"/>
      <c r="J770" s="703"/>
      <c r="K770" s="703"/>
      <c r="L770" s="703"/>
      <c r="M770" s="703"/>
      <c r="N770" s="703"/>
      <c r="O770" s="703"/>
      <c r="P770" s="703"/>
      <c r="Q770" s="703"/>
      <c r="R770" s="703"/>
      <c r="S770" s="703"/>
      <c r="T770" s="703"/>
      <c r="U770" s="703"/>
      <c r="V770" s="703"/>
      <c r="W770" s="703"/>
      <c r="X770" s="703"/>
      <c r="Y770" s="703"/>
      <c r="Z770" s="703"/>
      <c r="AA770" s="703"/>
      <c r="AB770" s="703"/>
      <c r="AC770" s="703"/>
      <c r="AD770" s="703"/>
      <c r="AE770" s="703"/>
      <c r="AF770" s="703"/>
      <c r="AG770" s="703"/>
      <c r="AH770" s="703"/>
      <c r="AI770" s="703"/>
      <c r="AJ770" s="703"/>
      <c r="AK770" s="703"/>
      <c r="AL770" s="703"/>
      <c r="AM770" s="703"/>
      <c r="AN770" s="703"/>
      <c r="AO770" s="704"/>
      <c r="AP770" s="705"/>
      <c r="AQ770" s="698"/>
      <c r="AS770" s="220"/>
      <c r="AV770" s="699"/>
      <c r="AW770" s="700"/>
      <c r="AX770" s="382"/>
      <c r="AY770" s="379"/>
      <c r="AZ770" s="384"/>
      <c r="BA770" s="642"/>
    </row>
    <row r="771" spans="1:53" ht="11.25" hidden="1" customHeight="1" x14ac:dyDescent="0.2">
      <c r="A771" s="867"/>
      <c r="C771" s="701"/>
      <c r="D771" s="702"/>
      <c r="E771" s="703"/>
      <c r="F771" s="703"/>
      <c r="G771" s="703"/>
      <c r="H771" s="703"/>
      <c r="I771" s="703"/>
      <c r="J771" s="703"/>
      <c r="K771" s="703"/>
      <c r="L771" s="703"/>
      <c r="M771" s="703"/>
      <c r="N771" s="703"/>
      <c r="O771" s="703"/>
      <c r="P771" s="703"/>
      <c r="Q771" s="703"/>
      <c r="R771" s="703"/>
      <c r="S771" s="703"/>
      <c r="T771" s="703"/>
      <c r="U771" s="703"/>
      <c r="V771" s="703"/>
      <c r="W771" s="703"/>
      <c r="X771" s="703"/>
      <c r="Y771" s="703"/>
      <c r="Z771" s="703"/>
      <c r="AA771" s="703"/>
      <c r="AB771" s="703"/>
      <c r="AC771" s="703"/>
      <c r="AD771" s="703"/>
      <c r="AE771" s="703"/>
      <c r="AF771" s="703"/>
      <c r="AG771" s="703"/>
      <c r="AH771" s="703"/>
      <c r="AI771" s="703"/>
      <c r="AJ771" s="703"/>
      <c r="AK771" s="703"/>
      <c r="AL771" s="703"/>
      <c r="AM771" s="703"/>
      <c r="AN771" s="703"/>
      <c r="AO771" s="704"/>
      <c r="AP771" s="705"/>
      <c r="AQ771" s="698"/>
      <c r="AS771" s="220"/>
      <c r="AV771" s="699"/>
      <c r="AW771" s="700"/>
      <c r="AX771" s="382"/>
      <c r="AY771" s="379"/>
      <c r="AZ771" s="384"/>
      <c r="BA771" s="642"/>
    </row>
    <row r="772" spans="1:53" ht="11.25" hidden="1" customHeight="1" x14ac:dyDescent="0.2">
      <c r="A772" s="867"/>
      <c r="C772" s="701"/>
      <c r="D772" s="702"/>
      <c r="E772" s="703"/>
      <c r="F772" s="703"/>
      <c r="G772" s="703"/>
      <c r="H772" s="703"/>
      <c r="I772" s="703"/>
      <c r="J772" s="703"/>
      <c r="K772" s="703"/>
      <c r="L772" s="703"/>
      <c r="M772" s="703"/>
      <c r="N772" s="703"/>
      <c r="O772" s="703"/>
      <c r="P772" s="703"/>
      <c r="Q772" s="703"/>
      <c r="R772" s="703"/>
      <c r="S772" s="703"/>
      <c r="T772" s="703"/>
      <c r="U772" s="703"/>
      <c r="V772" s="703"/>
      <c r="W772" s="703"/>
      <c r="X772" s="703"/>
      <c r="Y772" s="703"/>
      <c r="Z772" s="703"/>
      <c r="AA772" s="703"/>
      <c r="AB772" s="703"/>
      <c r="AC772" s="703"/>
      <c r="AD772" s="703"/>
      <c r="AE772" s="703"/>
      <c r="AF772" s="703"/>
      <c r="AG772" s="703"/>
      <c r="AH772" s="703"/>
      <c r="AI772" s="703"/>
      <c r="AJ772" s="703"/>
      <c r="AK772" s="703"/>
      <c r="AL772" s="703"/>
      <c r="AM772" s="703"/>
      <c r="AN772" s="703"/>
      <c r="AO772" s="704"/>
      <c r="AP772" s="705"/>
      <c r="AQ772" s="698"/>
      <c r="AS772" s="220"/>
      <c r="AV772" s="699"/>
      <c r="AW772" s="700"/>
      <c r="AX772" s="382"/>
      <c r="AY772" s="379"/>
      <c r="AZ772" s="384"/>
      <c r="BA772" s="642"/>
    </row>
    <row r="773" spans="1:53" ht="11.25" hidden="1" customHeight="1" x14ac:dyDescent="0.2">
      <c r="A773" s="867"/>
      <c r="C773" s="701"/>
      <c r="D773" s="702"/>
      <c r="E773" s="703"/>
      <c r="F773" s="703"/>
      <c r="G773" s="703"/>
      <c r="H773" s="703"/>
      <c r="I773" s="703"/>
      <c r="J773" s="703"/>
      <c r="K773" s="703"/>
      <c r="L773" s="703"/>
      <c r="M773" s="703"/>
      <c r="N773" s="703"/>
      <c r="O773" s="703"/>
      <c r="P773" s="703"/>
      <c r="Q773" s="703"/>
      <c r="R773" s="703"/>
      <c r="S773" s="703"/>
      <c r="T773" s="703"/>
      <c r="U773" s="703"/>
      <c r="V773" s="703"/>
      <c r="W773" s="703"/>
      <c r="X773" s="703"/>
      <c r="Y773" s="703"/>
      <c r="Z773" s="703"/>
      <c r="AA773" s="703"/>
      <c r="AB773" s="703"/>
      <c r="AC773" s="703"/>
      <c r="AD773" s="703"/>
      <c r="AE773" s="703"/>
      <c r="AF773" s="703"/>
      <c r="AG773" s="703"/>
      <c r="AH773" s="703"/>
      <c r="AI773" s="703"/>
      <c r="AJ773" s="703"/>
      <c r="AK773" s="703"/>
      <c r="AL773" s="703"/>
      <c r="AM773" s="703"/>
      <c r="AN773" s="703"/>
      <c r="AO773" s="704"/>
      <c r="AP773" s="705"/>
      <c r="AQ773" s="698"/>
      <c r="AS773" s="220"/>
      <c r="AV773" s="699"/>
      <c r="AW773" s="700"/>
      <c r="AX773" s="382"/>
      <c r="AY773" s="379"/>
      <c r="AZ773" s="384"/>
      <c r="BA773" s="642"/>
    </row>
    <row r="774" spans="1:53" ht="11.25" hidden="1" customHeight="1" x14ac:dyDescent="0.2">
      <c r="A774" s="867"/>
      <c r="C774" s="701"/>
      <c r="D774" s="702"/>
      <c r="E774" s="703"/>
      <c r="F774" s="703"/>
      <c r="G774" s="703"/>
      <c r="H774" s="703"/>
      <c r="I774" s="703"/>
      <c r="J774" s="703"/>
      <c r="K774" s="703"/>
      <c r="L774" s="703"/>
      <c r="M774" s="703"/>
      <c r="N774" s="703"/>
      <c r="O774" s="703"/>
      <c r="P774" s="703"/>
      <c r="Q774" s="703"/>
      <c r="R774" s="703"/>
      <c r="S774" s="703"/>
      <c r="T774" s="703"/>
      <c r="U774" s="703"/>
      <c r="V774" s="703"/>
      <c r="W774" s="703"/>
      <c r="X774" s="703"/>
      <c r="Y774" s="703"/>
      <c r="Z774" s="703"/>
      <c r="AA774" s="703"/>
      <c r="AB774" s="703"/>
      <c r="AC774" s="703"/>
      <c r="AD774" s="703"/>
      <c r="AE774" s="703"/>
      <c r="AF774" s="703"/>
      <c r="AG774" s="703"/>
      <c r="AH774" s="703"/>
      <c r="AI774" s="703"/>
      <c r="AJ774" s="703"/>
      <c r="AK774" s="703"/>
      <c r="AL774" s="703"/>
      <c r="AM774" s="703"/>
      <c r="AN774" s="703"/>
      <c r="AO774" s="704"/>
      <c r="AP774" s="705"/>
      <c r="AQ774" s="698"/>
      <c r="AS774" s="220"/>
      <c r="AV774" s="699"/>
      <c r="AW774" s="700"/>
      <c r="AX774" s="382"/>
      <c r="AY774" s="379"/>
      <c r="AZ774" s="384"/>
      <c r="BA774" s="642"/>
    </row>
    <row r="775" spans="1:53" ht="11.25" hidden="1" customHeight="1" x14ac:dyDescent="0.2">
      <c r="A775" s="867"/>
      <c r="C775" s="701"/>
      <c r="D775" s="702"/>
      <c r="E775" s="703"/>
      <c r="F775" s="703"/>
      <c r="G775" s="703"/>
      <c r="H775" s="703"/>
      <c r="I775" s="703"/>
      <c r="J775" s="703"/>
      <c r="K775" s="703"/>
      <c r="L775" s="703"/>
      <c r="M775" s="703"/>
      <c r="N775" s="703"/>
      <c r="O775" s="703"/>
      <c r="P775" s="703"/>
      <c r="Q775" s="703"/>
      <c r="R775" s="703"/>
      <c r="S775" s="703"/>
      <c r="T775" s="703"/>
      <c r="U775" s="703"/>
      <c r="V775" s="703"/>
      <c r="W775" s="703"/>
      <c r="X775" s="703"/>
      <c r="Y775" s="703"/>
      <c r="Z775" s="703"/>
      <c r="AA775" s="703"/>
      <c r="AB775" s="703"/>
      <c r="AC775" s="703"/>
      <c r="AD775" s="703"/>
      <c r="AE775" s="703"/>
      <c r="AF775" s="703"/>
      <c r="AG775" s="703"/>
      <c r="AH775" s="703"/>
      <c r="AI775" s="703"/>
      <c r="AJ775" s="703"/>
      <c r="AK775" s="703"/>
      <c r="AL775" s="703"/>
      <c r="AM775" s="703"/>
      <c r="AN775" s="703"/>
      <c r="AO775" s="704"/>
      <c r="AP775" s="705"/>
      <c r="AQ775" s="698"/>
      <c r="AS775" s="220"/>
      <c r="AV775" s="699"/>
      <c r="AW775" s="700"/>
      <c r="AX775" s="382"/>
      <c r="AY775" s="379"/>
      <c r="AZ775" s="384"/>
      <c r="BA775" s="642"/>
    </row>
    <row r="776" spans="1:53" ht="11.25" hidden="1" customHeight="1" x14ac:dyDescent="0.2">
      <c r="A776" s="867"/>
      <c r="C776" s="701"/>
      <c r="D776" s="702"/>
      <c r="E776" s="703"/>
      <c r="F776" s="703"/>
      <c r="G776" s="703"/>
      <c r="H776" s="703"/>
      <c r="I776" s="703"/>
      <c r="J776" s="703"/>
      <c r="K776" s="703"/>
      <c r="L776" s="703"/>
      <c r="M776" s="703"/>
      <c r="N776" s="703"/>
      <c r="O776" s="703"/>
      <c r="P776" s="703"/>
      <c r="Q776" s="703"/>
      <c r="R776" s="703"/>
      <c r="S776" s="703"/>
      <c r="T776" s="703"/>
      <c r="U776" s="703"/>
      <c r="V776" s="703"/>
      <c r="W776" s="703"/>
      <c r="X776" s="703"/>
      <c r="Y776" s="703"/>
      <c r="Z776" s="703"/>
      <c r="AA776" s="703"/>
      <c r="AB776" s="703"/>
      <c r="AC776" s="703"/>
      <c r="AD776" s="703"/>
      <c r="AE776" s="703"/>
      <c r="AF776" s="703"/>
      <c r="AG776" s="703"/>
      <c r="AH776" s="703"/>
      <c r="AI776" s="703"/>
      <c r="AJ776" s="703"/>
      <c r="AK776" s="703"/>
      <c r="AL776" s="703"/>
      <c r="AM776" s="703"/>
      <c r="AN776" s="703"/>
      <c r="AO776" s="704"/>
      <c r="AP776" s="705"/>
      <c r="AQ776" s="698"/>
      <c r="AS776" s="220"/>
      <c r="AV776" s="699"/>
      <c r="AW776" s="700"/>
      <c r="AX776" s="382"/>
      <c r="AY776" s="379"/>
      <c r="AZ776" s="384"/>
      <c r="BA776" s="642"/>
    </row>
    <row r="777" spans="1:53" ht="11.25" hidden="1" customHeight="1" x14ac:dyDescent="0.2">
      <c r="A777" s="867"/>
      <c r="C777" s="701"/>
      <c r="D777" s="702"/>
      <c r="E777" s="703"/>
      <c r="F777" s="703"/>
      <c r="G777" s="703"/>
      <c r="H777" s="703"/>
      <c r="I777" s="703"/>
      <c r="J777" s="703"/>
      <c r="K777" s="703"/>
      <c r="L777" s="703"/>
      <c r="M777" s="703"/>
      <c r="N777" s="703"/>
      <c r="O777" s="703"/>
      <c r="P777" s="703"/>
      <c r="Q777" s="703"/>
      <c r="R777" s="703"/>
      <c r="S777" s="703"/>
      <c r="T777" s="703"/>
      <c r="U777" s="703"/>
      <c r="V777" s="703"/>
      <c r="W777" s="703"/>
      <c r="X777" s="703"/>
      <c r="Y777" s="703"/>
      <c r="Z777" s="703"/>
      <c r="AA777" s="703"/>
      <c r="AB777" s="703"/>
      <c r="AC777" s="703"/>
      <c r="AD777" s="703"/>
      <c r="AE777" s="703"/>
      <c r="AF777" s="703"/>
      <c r="AG777" s="703"/>
      <c r="AH777" s="703"/>
      <c r="AI777" s="703"/>
      <c r="AJ777" s="703"/>
      <c r="AK777" s="703"/>
      <c r="AL777" s="703"/>
      <c r="AM777" s="703"/>
      <c r="AN777" s="703"/>
      <c r="AO777" s="704"/>
      <c r="AP777" s="705"/>
      <c r="AQ777" s="698"/>
      <c r="AS777" s="220"/>
      <c r="AV777" s="699"/>
      <c r="AW777" s="700"/>
      <c r="AX777" s="382"/>
      <c r="AY777" s="379"/>
      <c r="AZ777" s="384"/>
      <c r="BA777" s="642"/>
    </row>
    <row r="778" spans="1:53" ht="11.25" hidden="1" customHeight="1" x14ac:dyDescent="0.2">
      <c r="A778" s="867"/>
      <c r="C778" s="701"/>
      <c r="D778" s="702"/>
      <c r="E778" s="703"/>
      <c r="F778" s="703"/>
      <c r="G778" s="703"/>
      <c r="H778" s="703"/>
      <c r="I778" s="703"/>
      <c r="J778" s="703"/>
      <c r="K778" s="703"/>
      <c r="L778" s="703"/>
      <c r="M778" s="703"/>
      <c r="N778" s="703"/>
      <c r="O778" s="703"/>
      <c r="P778" s="703"/>
      <c r="Q778" s="703"/>
      <c r="R778" s="703"/>
      <c r="S778" s="703"/>
      <c r="T778" s="703"/>
      <c r="U778" s="703"/>
      <c r="V778" s="703"/>
      <c r="W778" s="703"/>
      <c r="X778" s="703"/>
      <c r="Y778" s="703"/>
      <c r="Z778" s="703"/>
      <c r="AA778" s="703"/>
      <c r="AB778" s="703"/>
      <c r="AC778" s="703"/>
      <c r="AD778" s="703"/>
      <c r="AE778" s="703"/>
      <c r="AF778" s="703"/>
      <c r="AG778" s="703"/>
      <c r="AH778" s="703"/>
      <c r="AI778" s="703"/>
      <c r="AJ778" s="703"/>
      <c r="AK778" s="703"/>
      <c r="AL778" s="703"/>
      <c r="AM778" s="703"/>
      <c r="AN778" s="703"/>
      <c r="AO778" s="704"/>
      <c r="AP778" s="705"/>
      <c r="AQ778" s="698"/>
      <c r="AS778" s="220"/>
      <c r="AV778" s="699"/>
      <c r="AW778" s="700"/>
      <c r="AX778" s="382"/>
      <c r="AY778" s="379"/>
      <c r="AZ778" s="384"/>
      <c r="BA778" s="642"/>
    </row>
    <row r="779" spans="1:53" ht="11.25" hidden="1" customHeight="1" x14ac:dyDescent="0.2">
      <c r="A779" s="867"/>
      <c r="C779" s="701"/>
      <c r="D779" s="702"/>
      <c r="E779" s="703"/>
      <c r="F779" s="703"/>
      <c r="G779" s="703"/>
      <c r="H779" s="703"/>
      <c r="I779" s="703"/>
      <c r="J779" s="703"/>
      <c r="K779" s="703"/>
      <c r="L779" s="703"/>
      <c r="M779" s="703"/>
      <c r="N779" s="703"/>
      <c r="O779" s="703"/>
      <c r="P779" s="703"/>
      <c r="Q779" s="703"/>
      <c r="R779" s="703"/>
      <c r="S779" s="703"/>
      <c r="T779" s="703"/>
      <c r="U779" s="703"/>
      <c r="V779" s="703"/>
      <c r="W779" s="703"/>
      <c r="X779" s="703"/>
      <c r="Y779" s="703"/>
      <c r="Z779" s="703"/>
      <c r="AA779" s="703"/>
      <c r="AB779" s="703"/>
      <c r="AC779" s="703"/>
      <c r="AD779" s="703"/>
      <c r="AE779" s="703"/>
      <c r="AF779" s="703"/>
      <c r="AG779" s="703"/>
      <c r="AH779" s="703"/>
      <c r="AI779" s="703"/>
      <c r="AJ779" s="703"/>
      <c r="AK779" s="703"/>
      <c r="AL779" s="703"/>
      <c r="AM779" s="703"/>
      <c r="AN779" s="703"/>
      <c r="AO779" s="704"/>
      <c r="AP779" s="705"/>
      <c r="AQ779" s="698"/>
      <c r="AS779" s="220"/>
      <c r="AV779" s="699"/>
      <c r="AW779" s="700"/>
      <c r="AX779" s="382"/>
      <c r="AY779" s="379"/>
      <c r="AZ779" s="384"/>
      <c r="BA779" s="642"/>
    </row>
    <row r="780" spans="1:53" ht="11.25" hidden="1" customHeight="1" x14ac:dyDescent="0.2">
      <c r="A780" s="867"/>
      <c r="C780" s="701"/>
      <c r="D780" s="702"/>
      <c r="E780" s="703"/>
      <c r="F780" s="703"/>
      <c r="G780" s="703"/>
      <c r="H780" s="703"/>
      <c r="I780" s="703"/>
      <c r="J780" s="703"/>
      <c r="K780" s="703"/>
      <c r="L780" s="703"/>
      <c r="M780" s="703"/>
      <c r="N780" s="703"/>
      <c r="O780" s="703"/>
      <c r="P780" s="703"/>
      <c r="Q780" s="703"/>
      <c r="R780" s="703"/>
      <c r="S780" s="703"/>
      <c r="T780" s="703"/>
      <c r="U780" s="703"/>
      <c r="V780" s="703"/>
      <c r="W780" s="703"/>
      <c r="X780" s="703"/>
      <c r="Y780" s="703"/>
      <c r="Z780" s="703"/>
      <c r="AA780" s="703"/>
      <c r="AB780" s="703"/>
      <c r="AC780" s="703"/>
      <c r="AD780" s="703"/>
      <c r="AE780" s="703"/>
      <c r="AF780" s="703"/>
      <c r="AG780" s="703"/>
      <c r="AH780" s="703"/>
      <c r="AI780" s="703"/>
      <c r="AJ780" s="703"/>
      <c r="AK780" s="703"/>
      <c r="AL780" s="703"/>
      <c r="AM780" s="703"/>
      <c r="AN780" s="703"/>
      <c r="AO780" s="704"/>
      <c r="AP780" s="705"/>
      <c r="AQ780" s="698"/>
      <c r="AS780" s="220"/>
      <c r="AV780" s="699"/>
      <c r="AW780" s="700"/>
      <c r="AX780" s="382"/>
      <c r="AY780" s="379"/>
      <c r="AZ780" s="384"/>
      <c r="BA780" s="642"/>
    </row>
    <row r="781" spans="1:53" ht="11.25" hidden="1" customHeight="1" x14ac:dyDescent="0.2">
      <c r="A781" s="867"/>
      <c r="C781" s="701"/>
      <c r="D781" s="702"/>
      <c r="E781" s="703"/>
      <c r="F781" s="703"/>
      <c r="G781" s="703"/>
      <c r="H781" s="703"/>
      <c r="I781" s="703"/>
      <c r="J781" s="703"/>
      <c r="K781" s="703"/>
      <c r="L781" s="703"/>
      <c r="M781" s="703"/>
      <c r="N781" s="703"/>
      <c r="O781" s="703"/>
      <c r="P781" s="703"/>
      <c r="Q781" s="703"/>
      <c r="R781" s="703"/>
      <c r="S781" s="703"/>
      <c r="T781" s="703"/>
      <c r="U781" s="703"/>
      <c r="V781" s="703"/>
      <c r="W781" s="703"/>
      <c r="X781" s="703"/>
      <c r="Y781" s="703"/>
      <c r="Z781" s="703"/>
      <c r="AA781" s="703"/>
      <c r="AB781" s="703"/>
      <c r="AC781" s="703"/>
      <c r="AD781" s="703"/>
      <c r="AE781" s="703"/>
      <c r="AF781" s="703"/>
      <c r="AG781" s="703"/>
      <c r="AH781" s="703"/>
      <c r="AI781" s="703"/>
      <c r="AJ781" s="703"/>
      <c r="AK781" s="703"/>
      <c r="AL781" s="703"/>
      <c r="AM781" s="703"/>
      <c r="AN781" s="703"/>
      <c r="AO781" s="704"/>
      <c r="AP781" s="705"/>
      <c r="AQ781" s="698"/>
      <c r="AS781" s="220"/>
      <c r="AV781" s="699"/>
      <c r="AW781" s="700"/>
      <c r="AX781" s="382"/>
      <c r="AY781" s="379"/>
      <c r="AZ781" s="384"/>
      <c r="BA781" s="642"/>
    </row>
    <row r="782" spans="1:53" ht="11.25" hidden="1" customHeight="1" x14ac:dyDescent="0.2">
      <c r="A782" s="867"/>
      <c r="C782" s="701"/>
      <c r="D782" s="702"/>
      <c r="E782" s="703"/>
      <c r="F782" s="703"/>
      <c r="G782" s="703"/>
      <c r="H782" s="703"/>
      <c r="I782" s="703"/>
      <c r="J782" s="703"/>
      <c r="K782" s="703"/>
      <c r="L782" s="703"/>
      <c r="M782" s="703"/>
      <c r="N782" s="703"/>
      <c r="O782" s="703"/>
      <c r="P782" s="703"/>
      <c r="Q782" s="703"/>
      <c r="R782" s="703"/>
      <c r="S782" s="703"/>
      <c r="T782" s="703"/>
      <c r="U782" s="703"/>
      <c r="V782" s="703"/>
      <c r="W782" s="703"/>
      <c r="X782" s="703"/>
      <c r="Y782" s="703"/>
      <c r="Z782" s="703"/>
      <c r="AA782" s="703"/>
      <c r="AB782" s="703"/>
      <c r="AC782" s="703"/>
      <c r="AD782" s="703"/>
      <c r="AE782" s="703"/>
      <c r="AF782" s="703"/>
      <c r="AG782" s="703"/>
      <c r="AH782" s="703"/>
      <c r="AI782" s="703"/>
      <c r="AJ782" s="703"/>
      <c r="AK782" s="703"/>
      <c r="AL782" s="703"/>
      <c r="AM782" s="703"/>
      <c r="AN782" s="703"/>
      <c r="AO782" s="704"/>
      <c r="AP782" s="705"/>
      <c r="AQ782" s="698"/>
      <c r="AS782" s="220"/>
      <c r="AV782" s="699"/>
      <c r="AW782" s="700"/>
      <c r="AX782" s="382"/>
      <c r="AY782" s="379"/>
      <c r="AZ782" s="384"/>
      <c r="BA782" s="642"/>
    </row>
    <row r="783" spans="1:53" ht="11.25" hidden="1" customHeight="1" x14ac:dyDescent="0.2">
      <c r="A783" s="867"/>
      <c r="C783" s="701"/>
      <c r="D783" s="702"/>
      <c r="E783" s="703"/>
      <c r="F783" s="703"/>
      <c r="G783" s="703"/>
      <c r="H783" s="703"/>
      <c r="I783" s="703"/>
      <c r="J783" s="703"/>
      <c r="K783" s="703"/>
      <c r="L783" s="703"/>
      <c r="M783" s="703"/>
      <c r="N783" s="703"/>
      <c r="O783" s="703"/>
      <c r="P783" s="703"/>
      <c r="Q783" s="703"/>
      <c r="R783" s="703"/>
      <c r="S783" s="703"/>
      <c r="T783" s="703"/>
      <c r="U783" s="703"/>
      <c r="V783" s="703"/>
      <c r="W783" s="703"/>
      <c r="X783" s="703"/>
      <c r="Y783" s="703"/>
      <c r="Z783" s="703"/>
      <c r="AA783" s="703"/>
      <c r="AB783" s="703"/>
      <c r="AC783" s="703"/>
      <c r="AD783" s="703"/>
      <c r="AE783" s="703"/>
      <c r="AF783" s="703"/>
      <c r="AG783" s="703"/>
      <c r="AH783" s="703"/>
      <c r="AI783" s="703"/>
      <c r="AJ783" s="703"/>
      <c r="AK783" s="703"/>
      <c r="AL783" s="703"/>
      <c r="AM783" s="703"/>
      <c r="AN783" s="703"/>
      <c r="AO783" s="704"/>
      <c r="AP783" s="705"/>
      <c r="AQ783" s="698"/>
      <c r="AS783" s="220"/>
      <c r="AV783" s="699"/>
      <c r="AW783" s="700"/>
      <c r="AX783" s="382"/>
      <c r="AY783" s="379"/>
      <c r="AZ783" s="384"/>
      <c r="BA783" s="642"/>
    </row>
    <row r="784" spans="1:53" ht="11.25" hidden="1" customHeight="1" x14ac:dyDescent="0.2">
      <c r="A784" s="867"/>
      <c r="C784" s="701"/>
      <c r="D784" s="702"/>
      <c r="E784" s="703"/>
      <c r="F784" s="703"/>
      <c r="G784" s="703"/>
      <c r="H784" s="703"/>
      <c r="I784" s="703"/>
      <c r="J784" s="703"/>
      <c r="K784" s="703"/>
      <c r="L784" s="703"/>
      <c r="M784" s="703"/>
      <c r="N784" s="703"/>
      <c r="O784" s="703"/>
      <c r="P784" s="703"/>
      <c r="Q784" s="703"/>
      <c r="R784" s="703"/>
      <c r="S784" s="703"/>
      <c r="T784" s="703"/>
      <c r="U784" s="703"/>
      <c r="V784" s="703"/>
      <c r="W784" s="703"/>
      <c r="X784" s="703"/>
      <c r="Y784" s="703"/>
      <c r="Z784" s="703"/>
      <c r="AA784" s="703"/>
      <c r="AB784" s="703"/>
      <c r="AC784" s="703"/>
      <c r="AD784" s="703"/>
      <c r="AE784" s="703"/>
      <c r="AF784" s="703"/>
      <c r="AG784" s="703"/>
      <c r="AH784" s="703"/>
      <c r="AI784" s="703"/>
      <c r="AJ784" s="703"/>
      <c r="AK784" s="703"/>
      <c r="AL784" s="703"/>
      <c r="AM784" s="703"/>
      <c r="AN784" s="703"/>
      <c r="AO784" s="704"/>
      <c r="AP784" s="705"/>
      <c r="AQ784" s="698"/>
      <c r="AS784" s="220"/>
      <c r="AV784" s="699"/>
      <c r="AW784" s="700"/>
      <c r="AX784" s="382"/>
      <c r="AY784" s="379"/>
      <c r="AZ784" s="384"/>
      <c r="BA784" s="642"/>
    </row>
    <row r="785" spans="1:54" ht="11.25" hidden="1" customHeight="1" x14ac:dyDescent="0.2">
      <c r="A785" s="867"/>
      <c r="C785" s="701"/>
      <c r="D785" s="702"/>
      <c r="E785" s="703"/>
      <c r="F785" s="703"/>
      <c r="G785" s="703"/>
      <c r="H785" s="703"/>
      <c r="I785" s="703"/>
      <c r="J785" s="703"/>
      <c r="K785" s="703"/>
      <c r="L785" s="703"/>
      <c r="M785" s="703"/>
      <c r="N785" s="703"/>
      <c r="O785" s="703"/>
      <c r="P785" s="703"/>
      <c r="Q785" s="703"/>
      <c r="R785" s="703"/>
      <c r="S785" s="703"/>
      <c r="T785" s="703"/>
      <c r="U785" s="703"/>
      <c r="V785" s="703"/>
      <c r="W785" s="703"/>
      <c r="X785" s="703"/>
      <c r="Y785" s="703"/>
      <c r="Z785" s="703"/>
      <c r="AA785" s="703"/>
      <c r="AB785" s="703"/>
      <c r="AC785" s="703"/>
      <c r="AD785" s="703"/>
      <c r="AE785" s="703"/>
      <c r="AF785" s="703"/>
      <c r="AG785" s="703"/>
      <c r="AH785" s="703"/>
      <c r="AI785" s="703"/>
      <c r="AJ785" s="703"/>
      <c r="AK785" s="703"/>
      <c r="AL785" s="703"/>
      <c r="AM785" s="703"/>
      <c r="AN785" s="703"/>
      <c r="AO785" s="704"/>
      <c r="AP785" s="705"/>
      <c r="AQ785" s="698"/>
      <c r="AS785" s="220"/>
      <c r="AV785" s="699"/>
      <c r="AW785" s="700"/>
      <c r="AX785" s="382"/>
      <c r="AY785" s="379"/>
      <c r="AZ785" s="384"/>
      <c r="BA785" s="642"/>
    </row>
    <row r="786" spans="1:54" ht="11.25" hidden="1" customHeight="1" x14ac:dyDescent="0.2">
      <c r="A786" s="867"/>
      <c r="C786" s="701"/>
      <c r="D786" s="702"/>
      <c r="E786" s="703"/>
      <c r="F786" s="703"/>
      <c r="G786" s="703"/>
      <c r="H786" s="703"/>
      <c r="I786" s="703"/>
      <c r="J786" s="703"/>
      <c r="K786" s="703"/>
      <c r="L786" s="703"/>
      <c r="M786" s="703"/>
      <c r="N786" s="703"/>
      <c r="O786" s="703"/>
      <c r="P786" s="703"/>
      <c r="Q786" s="703"/>
      <c r="R786" s="703"/>
      <c r="S786" s="703"/>
      <c r="T786" s="703"/>
      <c r="U786" s="703"/>
      <c r="V786" s="703"/>
      <c r="W786" s="703"/>
      <c r="X786" s="703"/>
      <c r="Y786" s="703"/>
      <c r="Z786" s="703"/>
      <c r="AA786" s="703"/>
      <c r="AB786" s="703"/>
      <c r="AC786" s="703"/>
      <c r="AD786" s="703"/>
      <c r="AE786" s="703"/>
      <c r="AF786" s="703"/>
      <c r="AG786" s="703"/>
      <c r="AH786" s="703"/>
      <c r="AI786" s="703"/>
      <c r="AJ786" s="703"/>
      <c r="AK786" s="703"/>
      <c r="AL786" s="703"/>
      <c r="AM786" s="703"/>
      <c r="AN786" s="703"/>
      <c r="AO786" s="704"/>
      <c r="AP786" s="705"/>
      <c r="AQ786" s="698"/>
      <c r="AS786" s="220"/>
      <c r="AV786" s="699"/>
      <c r="AW786" s="700"/>
      <c r="AX786" s="382"/>
      <c r="AY786" s="379"/>
      <c r="AZ786" s="384"/>
      <c r="BA786" s="642"/>
    </row>
    <row r="787" spans="1:54" ht="11.25" hidden="1" customHeight="1" x14ac:dyDescent="0.2">
      <c r="A787" s="867"/>
      <c r="C787" s="701"/>
      <c r="D787" s="702"/>
      <c r="E787" s="703"/>
      <c r="F787" s="703"/>
      <c r="G787" s="703"/>
      <c r="H787" s="703"/>
      <c r="I787" s="703"/>
      <c r="J787" s="703"/>
      <c r="K787" s="703"/>
      <c r="L787" s="703"/>
      <c r="M787" s="703"/>
      <c r="N787" s="703"/>
      <c r="O787" s="703"/>
      <c r="P787" s="703"/>
      <c r="Q787" s="703"/>
      <c r="R787" s="703"/>
      <c r="S787" s="703"/>
      <c r="T787" s="703"/>
      <c r="U787" s="703"/>
      <c r="V787" s="703"/>
      <c r="W787" s="703"/>
      <c r="X787" s="703"/>
      <c r="Y787" s="703"/>
      <c r="Z787" s="703"/>
      <c r="AA787" s="703"/>
      <c r="AB787" s="703"/>
      <c r="AC787" s="703"/>
      <c r="AD787" s="703"/>
      <c r="AE787" s="703"/>
      <c r="AF787" s="703"/>
      <c r="AG787" s="703"/>
      <c r="AH787" s="703"/>
      <c r="AI787" s="703"/>
      <c r="AJ787" s="703"/>
      <c r="AK787" s="703"/>
      <c r="AL787" s="703"/>
      <c r="AM787" s="703"/>
      <c r="AN787" s="703"/>
      <c r="AO787" s="704"/>
      <c r="AP787" s="705"/>
      <c r="AQ787" s="698"/>
      <c r="AS787" s="220"/>
      <c r="AV787" s="699"/>
      <c r="AW787" s="700"/>
      <c r="AX787" s="382"/>
      <c r="AY787" s="379"/>
      <c r="AZ787" s="384"/>
      <c r="BA787" s="642"/>
    </row>
    <row r="788" spans="1:54" ht="11.25" hidden="1" customHeight="1" x14ac:dyDescent="0.2">
      <c r="A788" s="867"/>
      <c r="C788" s="701"/>
      <c r="D788" s="702"/>
      <c r="E788" s="703"/>
      <c r="F788" s="703"/>
      <c r="G788" s="703"/>
      <c r="H788" s="703"/>
      <c r="I788" s="703"/>
      <c r="J788" s="703"/>
      <c r="K788" s="703"/>
      <c r="L788" s="703"/>
      <c r="M788" s="703"/>
      <c r="N788" s="703"/>
      <c r="O788" s="703"/>
      <c r="P788" s="703"/>
      <c r="Q788" s="703"/>
      <c r="R788" s="703"/>
      <c r="S788" s="703"/>
      <c r="T788" s="703"/>
      <c r="U788" s="703"/>
      <c r="V788" s="703"/>
      <c r="W788" s="703"/>
      <c r="X788" s="703"/>
      <c r="Y788" s="703"/>
      <c r="Z788" s="703"/>
      <c r="AA788" s="703"/>
      <c r="AB788" s="703"/>
      <c r="AC788" s="703"/>
      <c r="AD788" s="703"/>
      <c r="AE788" s="703"/>
      <c r="AF788" s="703"/>
      <c r="AG788" s="703"/>
      <c r="AH788" s="703"/>
      <c r="AI788" s="703"/>
      <c r="AJ788" s="703"/>
      <c r="AK788" s="703"/>
      <c r="AL788" s="703"/>
      <c r="AM788" s="703"/>
      <c r="AN788" s="703"/>
      <c r="AO788" s="704"/>
      <c r="AP788" s="705"/>
      <c r="AQ788" s="698"/>
      <c r="AS788" s="220"/>
      <c r="AV788" s="699"/>
      <c r="AW788" s="700"/>
      <c r="AX788" s="382"/>
      <c r="AY788" s="379"/>
      <c r="AZ788" s="384"/>
      <c r="BA788" s="642"/>
    </row>
    <row r="789" spans="1:54" ht="11.25" hidden="1" customHeight="1" x14ac:dyDescent="0.2">
      <c r="A789" s="867"/>
      <c r="C789" s="701"/>
      <c r="D789" s="702"/>
      <c r="E789" s="703"/>
      <c r="F789" s="703"/>
      <c r="G789" s="703"/>
      <c r="H789" s="703"/>
      <c r="I789" s="703"/>
      <c r="J789" s="703"/>
      <c r="K789" s="703"/>
      <c r="L789" s="703"/>
      <c r="M789" s="703"/>
      <c r="N789" s="703"/>
      <c r="O789" s="703"/>
      <c r="P789" s="703"/>
      <c r="Q789" s="703"/>
      <c r="R789" s="703"/>
      <c r="S789" s="703"/>
      <c r="T789" s="703"/>
      <c r="U789" s="703"/>
      <c r="V789" s="703"/>
      <c r="W789" s="703"/>
      <c r="X789" s="703"/>
      <c r="Y789" s="703"/>
      <c r="Z789" s="703"/>
      <c r="AA789" s="703"/>
      <c r="AB789" s="703"/>
      <c r="AC789" s="703"/>
      <c r="AD789" s="703"/>
      <c r="AE789" s="703"/>
      <c r="AF789" s="703"/>
      <c r="AG789" s="703"/>
      <c r="AH789" s="703"/>
      <c r="AI789" s="703"/>
      <c r="AJ789" s="703"/>
      <c r="AK789" s="703"/>
      <c r="AL789" s="703"/>
      <c r="AM789" s="703"/>
      <c r="AN789" s="703"/>
      <c r="AO789" s="704"/>
      <c r="AP789" s="705"/>
      <c r="AQ789" s="698"/>
      <c r="AS789" s="220"/>
      <c r="AV789" s="699"/>
      <c r="AW789" s="700"/>
      <c r="AX789" s="382"/>
      <c r="AY789" s="379"/>
      <c r="AZ789" s="384"/>
      <c r="BA789" s="642"/>
    </row>
    <row r="790" spans="1:54" ht="11.25" hidden="1" customHeight="1" x14ac:dyDescent="0.2">
      <c r="A790" s="867"/>
      <c r="C790" s="701"/>
      <c r="D790" s="702"/>
      <c r="E790" s="703"/>
      <c r="F790" s="703"/>
      <c r="G790" s="703"/>
      <c r="H790" s="703"/>
      <c r="I790" s="703"/>
      <c r="J790" s="703"/>
      <c r="K790" s="703"/>
      <c r="L790" s="703"/>
      <c r="M790" s="703"/>
      <c r="N790" s="703"/>
      <c r="O790" s="703"/>
      <c r="P790" s="703"/>
      <c r="Q790" s="703"/>
      <c r="R790" s="703"/>
      <c r="S790" s="703"/>
      <c r="T790" s="703"/>
      <c r="U790" s="703"/>
      <c r="V790" s="703"/>
      <c r="W790" s="703"/>
      <c r="X790" s="703"/>
      <c r="Y790" s="703"/>
      <c r="Z790" s="703"/>
      <c r="AA790" s="703"/>
      <c r="AB790" s="703"/>
      <c r="AC790" s="703"/>
      <c r="AD790" s="703"/>
      <c r="AE790" s="703"/>
      <c r="AF790" s="703"/>
      <c r="AG790" s="703"/>
      <c r="AH790" s="703"/>
      <c r="AI790" s="703"/>
      <c r="AJ790" s="703"/>
      <c r="AK790" s="703"/>
      <c r="AL790" s="703"/>
      <c r="AM790" s="703"/>
      <c r="AN790" s="703"/>
      <c r="AO790" s="704"/>
      <c r="AP790" s="705"/>
      <c r="AQ790" s="698"/>
      <c r="AS790" s="220"/>
      <c r="AV790" s="699"/>
      <c r="AW790" s="700"/>
      <c r="AX790" s="382"/>
      <c r="AY790" s="379"/>
      <c r="AZ790" s="384"/>
      <c r="BA790" s="642"/>
    </row>
    <row r="791" spans="1:54" ht="11.25" hidden="1" customHeight="1" x14ac:dyDescent="0.2">
      <c r="A791" s="867"/>
      <c r="C791" s="701"/>
      <c r="D791" s="702"/>
      <c r="E791" s="703"/>
      <c r="F791" s="703"/>
      <c r="G791" s="703"/>
      <c r="H791" s="703"/>
      <c r="I791" s="703"/>
      <c r="J791" s="703"/>
      <c r="K791" s="703"/>
      <c r="L791" s="703"/>
      <c r="M791" s="703"/>
      <c r="N791" s="703"/>
      <c r="O791" s="703"/>
      <c r="P791" s="703"/>
      <c r="Q791" s="703"/>
      <c r="R791" s="703"/>
      <c r="S791" s="703"/>
      <c r="T791" s="703"/>
      <c r="U791" s="703"/>
      <c r="V791" s="703"/>
      <c r="W791" s="703"/>
      <c r="X791" s="703"/>
      <c r="Y791" s="703"/>
      <c r="Z791" s="703"/>
      <c r="AA791" s="703"/>
      <c r="AB791" s="703"/>
      <c r="AC791" s="703"/>
      <c r="AD791" s="703"/>
      <c r="AE791" s="703"/>
      <c r="AF791" s="703"/>
      <c r="AG791" s="703"/>
      <c r="AH791" s="703"/>
      <c r="AI791" s="703"/>
      <c r="AJ791" s="703"/>
      <c r="AK791" s="703"/>
      <c r="AL791" s="703"/>
      <c r="AM791" s="703"/>
      <c r="AN791" s="703"/>
      <c r="AO791" s="704"/>
      <c r="AP791" s="705"/>
      <c r="AQ791" s="698"/>
      <c r="AS791" s="220"/>
      <c r="AV791" s="699"/>
      <c r="AW791" s="700"/>
      <c r="AX791" s="382"/>
      <c r="AY791" s="379"/>
      <c r="AZ791" s="384"/>
      <c r="BA791" s="642"/>
    </row>
    <row r="792" spans="1:54" ht="11.25" hidden="1" customHeight="1" x14ac:dyDescent="0.2">
      <c r="A792" s="867"/>
      <c r="C792" s="701"/>
      <c r="D792" s="702"/>
      <c r="E792" s="703"/>
      <c r="F792" s="703"/>
      <c r="G792" s="703"/>
      <c r="H792" s="703"/>
      <c r="I792" s="703"/>
      <c r="J792" s="703"/>
      <c r="K792" s="703"/>
      <c r="L792" s="703"/>
      <c r="M792" s="703"/>
      <c r="N792" s="703"/>
      <c r="O792" s="703"/>
      <c r="P792" s="703"/>
      <c r="Q792" s="703"/>
      <c r="R792" s="703"/>
      <c r="S792" s="703"/>
      <c r="T792" s="703"/>
      <c r="U792" s="703"/>
      <c r="V792" s="703"/>
      <c r="W792" s="703"/>
      <c r="X792" s="703"/>
      <c r="Y792" s="703"/>
      <c r="Z792" s="703"/>
      <c r="AA792" s="703"/>
      <c r="AB792" s="703"/>
      <c r="AC792" s="703"/>
      <c r="AD792" s="703"/>
      <c r="AE792" s="703"/>
      <c r="AF792" s="703"/>
      <c r="AG792" s="703"/>
      <c r="AH792" s="703"/>
      <c r="AI792" s="703"/>
      <c r="AJ792" s="703"/>
      <c r="AK792" s="703"/>
      <c r="AL792" s="703"/>
      <c r="AM792" s="703"/>
      <c r="AN792" s="703"/>
      <c r="AO792" s="704"/>
      <c r="AP792" s="705"/>
      <c r="AQ792" s="698"/>
      <c r="AS792" s="220"/>
      <c r="AV792" s="699"/>
      <c r="AW792" s="700"/>
      <c r="AX792" s="382"/>
      <c r="AY792" s="379"/>
      <c r="AZ792" s="384"/>
      <c r="BA792" s="642"/>
    </row>
    <row r="793" spans="1:54" ht="11.25" hidden="1" customHeight="1" x14ac:dyDescent="0.2">
      <c r="A793" s="867"/>
      <c r="C793" s="701"/>
      <c r="D793" s="702"/>
      <c r="E793" s="703"/>
      <c r="F793" s="703"/>
      <c r="G793" s="703"/>
      <c r="H793" s="703"/>
      <c r="I793" s="703"/>
      <c r="J793" s="703"/>
      <c r="K793" s="703"/>
      <c r="L793" s="703"/>
      <c r="M793" s="703"/>
      <c r="N793" s="703"/>
      <c r="O793" s="703"/>
      <c r="P793" s="703"/>
      <c r="Q793" s="703"/>
      <c r="R793" s="703"/>
      <c r="S793" s="703"/>
      <c r="T793" s="703"/>
      <c r="U793" s="703"/>
      <c r="V793" s="703"/>
      <c r="W793" s="703"/>
      <c r="X793" s="703"/>
      <c r="Y793" s="703"/>
      <c r="Z793" s="703"/>
      <c r="AA793" s="703"/>
      <c r="AB793" s="703"/>
      <c r="AC793" s="703"/>
      <c r="AD793" s="703"/>
      <c r="AE793" s="703"/>
      <c r="AF793" s="703"/>
      <c r="AG793" s="703"/>
      <c r="AH793" s="703"/>
      <c r="AI793" s="703"/>
      <c r="AJ793" s="703"/>
      <c r="AK793" s="703"/>
      <c r="AL793" s="703"/>
      <c r="AM793" s="703"/>
      <c r="AN793" s="703"/>
      <c r="AO793" s="704"/>
      <c r="AP793" s="705"/>
      <c r="AQ793" s="698"/>
      <c r="AS793" s="220"/>
      <c r="AV793" s="699"/>
      <c r="AW793" s="700"/>
      <c r="AX793" s="382"/>
      <c r="AY793" s="379"/>
      <c r="AZ793" s="384"/>
      <c r="BA793" s="642"/>
    </row>
    <row r="794" spans="1:54" ht="11.25" hidden="1" customHeight="1" x14ac:dyDescent="0.2">
      <c r="A794" s="867"/>
      <c r="C794" s="701"/>
      <c r="D794" s="702"/>
      <c r="E794" s="703"/>
      <c r="F794" s="703"/>
      <c r="G794" s="703"/>
      <c r="H794" s="703"/>
      <c r="I794" s="703"/>
      <c r="J794" s="703"/>
      <c r="K794" s="703"/>
      <c r="L794" s="703"/>
      <c r="M794" s="703"/>
      <c r="N794" s="703"/>
      <c r="O794" s="703"/>
      <c r="P794" s="703"/>
      <c r="Q794" s="703"/>
      <c r="R794" s="703"/>
      <c r="S794" s="703"/>
      <c r="T794" s="703"/>
      <c r="U794" s="703"/>
      <c r="V794" s="703"/>
      <c r="W794" s="703"/>
      <c r="X794" s="703"/>
      <c r="Y794" s="703"/>
      <c r="Z794" s="703"/>
      <c r="AA794" s="703"/>
      <c r="AB794" s="703"/>
      <c r="AC794" s="703"/>
      <c r="AD794" s="703"/>
      <c r="AE794" s="703"/>
      <c r="AF794" s="703"/>
      <c r="AG794" s="703"/>
      <c r="AH794" s="703"/>
      <c r="AI794" s="703"/>
      <c r="AJ794" s="703"/>
      <c r="AK794" s="703"/>
      <c r="AL794" s="703"/>
      <c r="AM794" s="703"/>
      <c r="AN794" s="703"/>
      <c r="AO794" s="704"/>
      <c r="AP794" s="705"/>
      <c r="AQ794" s="698"/>
      <c r="AS794" s="220"/>
      <c r="AV794" s="699"/>
      <c r="AW794" s="700"/>
      <c r="AX794" s="382"/>
      <c r="AY794" s="379"/>
      <c r="AZ794" s="384"/>
      <c r="BA794" s="642"/>
    </row>
    <row r="795" spans="1:54" ht="11.25" hidden="1" customHeight="1" x14ac:dyDescent="0.2">
      <c r="A795" s="867"/>
      <c r="C795" s="701"/>
      <c r="D795" s="702"/>
      <c r="E795" s="703"/>
      <c r="F795" s="703"/>
      <c r="G795" s="703"/>
      <c r="H795" s="703"/>
      <c r="I795" s="703"/>
      <c r="J795" s="703"/>
      <c r="K795" s="703"/>
      <c r="L795" s="703"/>
      <c r="M795" s="703"/>
      <c r="N795" s="703"/>
      <c r="O795" s="703"/>
      <c r="P795" s="703"/>
      <c r="Q795" s="703"/>
      <c r="R795" s="703"/>
      <c r="S795" s="703"/>
      <c r="T795" s="703"/>
      <c r="U795" s="703"/>
      <c r="V795" s="703"/>
      <c r="W795" s="703"/>
      <c r="X795" s="703"/>
      <c r="Y795" s="703"/>
      <c r="Z795" s="703"/>
      <c r="AA795" s="703"/>
      <c r="AB795" s="703"/>
      <c r="AC795" s="703"/>
      <c r="AD795" s="703"/>
      <c r="AE795" s="703"/>
      <c r="AF795" s="703"/>
      <c r="AG795" s="703"/>
      <c r="AH795" s="703"/>
      <c r="AI795" s="703"/>
      <c r="AJ795" s="703"/>
      <c r="AK795" s="703"/>
      <c r="AL795" s="703"/>
      <c r="AM795" s="703"/>
      <c r="AN795" s="703"/>
      <c r="AO795" s="704"/>
      <c r="AP795" s="705"/>
      <c r="AQ795" s="698"/>
      <c r="AS795" s="220"/>
      <c r="AV795" s="699"/>
      <c r="AW795" s="700"/>
      <c r="AX795" s="382"/>
      <c r="AY795" s="379"/>
      <c r="AZ795" s="384"/>
      <c r="BA795" s="642"/>
    </row>
    <row r="796" spans="1:54" ht="11.25" hidden="1" customHeight="1" x14ac:dyDescent="0.2">
      <c r="A796" s="867"/>
      <c r="C796" s="706"/>
      <c r="D796" s="707"/>
      <c r="E796" s="708"/>
      <c r="F796" s="708"/>
      <c r="G796" s="708"/>
      <c r="H796" s="708"/>
      <c r="I796" s="708"/>
      <c r="J796" s="708"/>
      <c r="K796" s="708"/>
      <c r="L796" s="708"/>
      <c r="M796" s="708"/>
      <c r="N796" s="708"/>
      <c r="O796" s="708"/>
      <c r="P796" s="708"/>
      <c r="Q796" s="708"/>
      <c r="R796" s="708"/>
      <c r="S796" s="708"/>
      <c r="T796" s="708"/>
      <c r="U796" s="708"/>
      <c r="V796" s="708"/>
      <c r="W796" s="708"/>
      <c r="X796" s="708"/>
      <c r="Y796" s="708"/>
      <c r="Z796" s="708"/>
      <c r="AA796" s="708"/>
      <c r="AB796" s="708"/>
      <c r="AC796" s="708"/>
      <c r="AD796" s="708"/>
      <c r="AE796" s="708"/>
      <c r="AF796" s="708"/>
      <c r="AG796" s="708"/>
      <c r="AH796" s="708"/>
      <c r="AI796" s="708"/>
      <c r="AJ796" s="708"/>
      <c r="AK796" s="708"/>
      <c r="AL796" s="708"/>
      <c r="AM796" s="708"/>
      <c r="AN796" s="708"/>
      <c r="AO796" s="709"/>
      <c r="AP796" s="710"/>
      <c r="AQ796" s="698"/>
      <c r="AS796" s="220"/>
      <c r="AV796" s="699"/>
      <c r="AW796" s="700"/>
      <c r="AX796" s="382"/>
      <c r="AY796" s="379"/>
      <c r="AZ796" s="384"/>
      <c r="BA796" s="642"/>
    </row>
    <row r="797" spans="1:54" ht="13.5" hidden="1" customHeight="1" x14ac:dyDescent="0.2">
      <c r="A797" s="867"/>
      <c r="AV797" s="699"/>
      <c r="AW797" s="700"/>
      <c r="AX797" s="642"/>
      <c r="AY797" s="642"/>
      <c r="BA797" s="642"/>
    </row>
    <row r="798" spans="1:54" ht="1.5" hidden="1" customHeight="1" x14ac:dyDescent="0.2">
      <c r="A798" s="867"/>
      <c r="AV798" s="699"/>
      <c r="AW798" s="700"/>
    </row>
    <row r="799" spans="1:54" s="186" customFormat="1" ht="11.25" hidden="1" customHeight="1" x14ac:dyDescent="0.2">
      <c r="A799" s="867"/>
      <c r="AS799" s="672"/>
      <c r="AU799" s="669"/>
      <c r="AV799" s="699"/>
      <c r="AW799" s="700"/>
      <c r="AX799" s="643"/>
      <c r="AY799" s="643"/>
      <c r="AZ799" s="671"/>
      <c r="BA799" s="643"/>
      <c r="BB799" s="669"/>
    </row>
    <row r="800" spans="1:54" s="673" customFormat="1" ht="13.5" hidden="1" customHeight="1" x14ac:dyDescent="0.2">
      <c r="A800" s="867"/>
      <c r="D800" s="674"/>
      <c r="E800" s="674"/>
      <c r="F800" s="674"/>
      <c r="G800" s="674"/>
      <c r="H800" s="674"/>
      <c r="I800" s="674"/>
      <c r="J800" s="674"/>
      <c r="K800" s="674"/>
      <c r="L800" s="674"/>
      <c r="M800" s="674"/>
      <c r="N800" s="674"/>
      <c r="O800" s="674"/>
      <c r="P800" s="674"/>
      <c r="Q800" s="674"/>
      <c r="R800" s="674"/>
      <c r="S800" s="674"/>
      <c r="T800" s="674"/>
      <c r="U800" s="674"/>
      <c r="V800" s="674"/>
      <c r="W800" s="674"/>
      <c r="X800" s="674"/>
      <c r="Y800" s="674"/>
      <c r="Z800" s="674"/>
      <c r="AA800" s="674"/>
      <c r="AB800" s="674"/>
      <c r="AC800" s="674"/>
      <c r="AD800" s="674"/>
      <c r="AE800" s="674"/>
      <c r="AF800" s="674"/>
      <c r="AG800" s="674"/>
      <c r="AH800" s="674"/>
      <c r="AI800" s="674"/>
      <c r="AJ800" s="674"/>
      <c r="AK800" s="674"/>
      <c r="AL800" s="674"/>
      <c r="AM800" s="674"/>
      <c r="AN800" s="674"/>
      <c r="AO800" s="674"/>
      <c r="AP800" s="674"/>
      <c r="AS800" s="675"/>
      <c r="AU800" s="643"/>
      <c r="AV800" s="699"/>
      <c r="AW800" s="700"/>
      <c r="AX800" s="643"/>
      <c r="AY800" s="643"/>
      <c r="AZ800" s="671"/>
      <c r="BA800" s="643"/>
      <c r="BB800" s="643"/>
    </row>
    <row r="801" spans="1:54" s="673" customFormat="1" ht="13.5" hidden="1" customHeight="1" x14ac:dyDescent="0.2">
      <c r="A801" s="867"/>
      <c r="C801" s="324"/>
      <c r="D801" s="383"/>
      <c r="E801" s="383"/>
      <c r="F801" s="383"/>
      <c r="G801" s="383"/>
      <c r="H801" s="383"/>
      <c r="I801" s="383"/>
      <c r="J801" s="383"/>
      <c r="K801" s="383"/>
      <c r="L801" s="383"/>
      <c r="M801" s="383"/>
      <c r="N801" s="383"/>
      <c r="O801" s="383"/>
      <c r="P801" s="383"/>
      <c r="Q801" s="383"/>
      <c r="R801" s="383"/>
      <c r="S801" s="383"/>
      <c r="T801" s="383"/>
      <c r="U801" s="383"/>
      <c r="V801" s="383"/>
      <c r="W801" s="383"/>
      <c r="X801" s="383"/>
      <c r="Y801" s="383"/>
      <c r="Z801" s="383"/>
      <c r="AA801" s="383"/>
      <c r="AB801" s="383"/>
      <c r="AC801" s="383"/>
      <c r="AD801" s="383"/>
      <c r="AE801" s="383"/>
      <c r="AF801" s="383"/>
      <c r="AG801" s="383"/>
      <c r="AH801" s="383"/>
      <c r="AI801" s="383"/>
      <c r="AJ801" s="383"/>
      <c r="AK801" s="383"/>
      <c r="AL801" s="383"/>
      <c r="AM801" s="383"/>
      <c r="AN801" s="383"/>
      <c r="AO801" s="383"/>
      <c r="AP801" s="674"/>
      <c r="AS801" s="675"/>
      <c r="AU801" s="643"/>
      <c r="AV801" s="699"/>
      <c r="AW801" s="700"/>
      <c r="AX801" s="643"/>
      <c r="AY801" s="643"/>
      <c r="AZ801" s="671"/>
      <c r="BA801" s="643"/>
      <c r="BB801" s="643"/>
    </row>
    <row r="802" spans="1:54" s="673" customFormat="1" ht="13.5" hidden="1" customHeight="1" x14ac:dyDescent="0.2">
      <c r="A802" s="867"/>
      <c r="D802" s="383"/>
      <c r="E802" s="383"/>
      <c r="F802" s="383"/>
      <c r="G802" s="383"/>
      <c r="H802" s="383"/>
      <c r="I802" s="383"/>
      <c r="J802" s="383"/>
      <c r="K802" s="383"/>
      <c r="L802" s="383"/>
      <c r="M802" s="383"/>
      <c r="N802" s="383"/>
      <c r="O802" s="383"/>
      <c r="P802" s="383"/>
      <c r="Q802" s="383"/>
      <c r="R802" s="383"/>
      <c r="S802" s="383"/>
      <c r="T802" s="383"/>
      <c r="U802" s="383"/>
      <c r="V802" s="383"/>
      <c r="W802" s="383"/>
      <c r="X802" s="383"/>
      <c r="Y802" s="383"/>
      <c r="Z802" s="383"/>
      <c r="AA802" s="383"/>
      <c r="AB802" s="383"/>
      <c r="AC802" s="383"/>
      <c r="AD802" s="383"/>
      <c r="AE802" s="383"/>
      <c r="AF802" s="383"/>
      <c r="AG802" s="383"/>
      <c r="AH802" s="383"/>
      <c r="AI802" s="383"/>
      <c r="AJ802" s="383"/>
      <c r="AK802" s="383"/>
      <c r="AL802" s="383"/>
      <c r="AM802" s="383"/>
      <c r="AN802" s="383"/>
      <c r="AO802" s="383"/>
      <c r="AP802" s="674"/>
      <c r="AS802" s="675"/>
      <c r="AU802" s="643"/>
      <c r="AV802" s="699"/>
      <c r="AW802" s="700"/>
      <c r="AX802" s="643"/>
      <c r="AY802" s="643"/>
      <c r="AZ802" s="671"/>
      <c r="BA802" s="643"/>
      <c r="BB802" s="643"/>
    </row>
    <row r="803" spans="1:54" s="673" customFormat="1" ht="13.5" hidden="1" customHeight="1" x14ac:dyDescent="0.2">
      <c r="A803" s="867"/>
      <c r="D803" s="676"/>
      <c r="E803" s="676"/>
      <c r="F803" s="676"/>
      <c r="G803" s="676"/>
      <c r="H803" s="676"/>
      <c r="I803" s="676"/>
      <c r="J803" s="676"/>
      <c r="K803" s="676"/>
      <c r="L803" s="676"/>
      <c r="M803" s="676"/>
      <c r="N803" s="676"/>
      <c r="O803" s="676"/>
      <c r="P803" s="676"/>
      <c r="Q803" s="676"/>
      <c r="R803" s="676"/>
      <c r="S803" s="676"/>
      <c r="T803" s="676"/>
      <c r="U803" s="676"/>
      <c r="V803" s="676"/>
      <c r="W803" s="676"/>
      <c r="X803" s="676"/>
      <c r="Y803" s="676"/>
      <c r="Z803" s="676"/>
      <c r="AA803" s="676"/>
      <c r="AB803" s="676"/>
      <c r="AC803" s="676"/>
      <c r="AD803" s="676"/>
      <c r="AE803" s="676"/>
      <c r="AF803" s="676"/>
      <c r="AG803" s="676"/>
      <c r="AH803" s="676"/>
      <c r="AI803" s="676"/>
      <c r="AJ803" s="676"/>
      <c r="AK803" s="676"/>
      <c r="AL803" s="676"/>
      <c r="AM803" s="676"/>
      <c r="AN803" s="676"/>
      <c r="AO803" s="676"/>
      <c r="AP803" s="674"/>
      <c r="AS803" s="675"/>
      <c r="AU803" s="643"/>
      <c r="AV803" s="699"/>
      <c r="AW803" s="700"/>
      <c r="AX803" s="643"/>
      <c r="AY803" s="643"/>
      <c r="AZ803" s="671"/>
      <c r="BA803" s="643"/>
      <c r="BB803" s="643"/>
    </row>
    <row r="804" spans="1:54" s="673" customFormat="1" ht="13.5" hidden="1" customHeight="1" x14ac:dyDescent="0.2">
      <c r="A804" s="867"/>
      <c r="D804" s="677"/>
      <c r="E804" s="677"/>
      <c r="F804" s="677"/>
      <c r="G804" s="677"/>
      <c r="H804" s="677"/>
      <c r="I804" s="677"/>
      <c r="J804" s="677"/>
      <c r="K804" s="677"/>
      <c r="L804" s="677"/>
      <c r="M804" s="677"/>
      <c r="N804" s="677"/>
      <c r="O804" s="677"/>
      <c r="P804" s="677"/>
      <c r="Q804" s="677"/>
      <c r="R804" s="677"/>
      <c r="S804" s="677"/>
      <c r="T804" s="677"/>
      <c r="U804" s="677"/>
      <c r="V804" s="677"/>
      <c r="W804" s="677"/>
      <c r="X804" s="677"/>
      <c r="Y804" s="677"/>
      <c r="Z804" s="677"/>
      <c r="AA804" s="677"/>
      <c r="AB804" s="677"/>
      <c r="AC804" s="677"/>
      <c r="AD804" s="677"/>
      <c r="AE804" s="677"/>
      <c r="AF804" s="677"/>
      <c r="AG804" s="677"/>
      <c r="AH804" s="677"/>
      <c r="AI804" s="677"/>
      <c r="AJ804" s="677"/>
      <c r="AK804" s="677"/>
      <c r="AL804" s="677"/>
      <c r="AM804" s="677"/>
      <c r="AN804" s="677"/>
      <c r="AO804" s="677"/>
      <c r="AP804" s="674"/>
      <c r="AS804" s="675"/>
      <c r="AU804" s="643"/>
      <c r="AV804" s="699"/>
      <c r="AW804" s="700"/>
      <c r="AY804" s="643"/>
      <c r="AZ804" s="671"/>
      <c r="BA804" s="643"/>
      <c r="BB804" s="643"/>
    </row>
    <row r="805" spans="1:54" s="673" customFormat="1" ht="13.5" hidden="1" customHeight="1" x14ac:dyDescent="0.2">
      <c r="A805" s="867"/>
      <c r="D805" s="677"/>
      <c r="E805" s="677"/>
      <c r="F805" s="677"/>
      <c r="G805" s="677"/>
      <c r="H805" s="677"/>
      <c r="I805" s="677"/>
      <c r="J805" s="677"/>
      <c r="K805" s="677"/>
      <c r="L805" s="677"/>
      <c r="M805" s="677"/>
      <c r="N805" s="677"/>
      <c r="O805" s="677"/>
      <c r="P805" s="677"/>
      <c r="Q805" s="677"/>
      <c r="R805" s="677"/>
      <c r="S805" s="677"/>
      <c r="T805" s="677"/>
      <c r="U805" s="677"/>
      <c r="V805" s="677"/>
      <c r="W805" s="677"/>
      <c r="X805" s="677"/>
      <c r="Y805" s="677"/>
      <c r="Z805" s="677"/>
      <c r="AA805" s="677"/>
      <c r="AB805" s="677"/>
      <c r="AC805" s="677"/>
      <c r="AD805" s="677"/>
      <c r="AE805" s="677"/>
      <c r="AF805" s="677"/>
      <c r="AG805" s="677"/>
      <c r="AH805" s="677"/>
      <c r="AI805" s="677"/>
      <c r="AJ805" s="677"/>
      <c r="AK805" s="677"/>
      <c r="AL805" s="677"/>
      <c r="AM805" s="677"/>
      <c r="AN805" s="677"/>
      <c r="AO805" s="677"/>
      <c r="AP805" s="674"/>
      <c r="AS805" s="675"/>
      <c r="AU805" s="643"/>
      <c r="AV805" s="699"/>
      <c r="AW805" s="700"/>
      <c r="AX805" s="643"/>
      <c r="AY805" s="643"/>
      <c r="AZ805" s="671"/>
      <c r="BA805" s="643"/>
      <c r="BB805" s="643"/>
    </row>
    <row r="806" spans="1:54" s="673" customFormat="1" ht="13.5" hidden="1" customHeight="1" x14ac:dyDescent="0.2">
      <c r="A806" s="867"/>
      <c r="D806" s="674"/>
      <c r="E806" s="674"/>
      <c r="F806" s="674"/>
      <c r="G806" s="674"/>
      <c r="H806" s="674"/>
      <c r="I806" s="674"/>
      <c r="J806" s="674"/>
      <c r="K806" s="674"/>
      <c r="L806" s="674"/>
      <c r="M806" s="674"/>
      <c r="N806" s="674"/>
      <c r="O806" s="674"/>
      <c r="P806" s="674"/>
      <c r="Q806" s="674"/>
      <c r="R806" s="674"/>
      <c r="S806" s="674"/>
      <c r="T806" s="674"/>
      <c r="U806" s="674"/>
      <c r="V806" s="674"/>
      <c r="W806" s="674"/>
      <c r="X806" s="674"/>
      <c r="Y806" s="674"/>
      <c r="Z806" s="674"/>
      <c r="AA806" s="674"/>
      <c r="AB806" s="674"/>
      <c r="AC806" s="674"/>
      <c r="AD806" s="674"/>
      <c r="AE806" s="674"/>
      <c r="AF806" s="674"/>
      <c r="AG806" s="674"/>
      <c r="AH806" s="674"/>
      <c r="AI806" s="674"/>
      <c r="AJ806" s="674"/>
      <c r="AK806" s="674"/>
      <c r="AL806" s="674"/>
      <c r="AM806" s="674"/>
      <c r="AN806" s="674"/>
      <c r="AO806" s="674"/>
      <c r="AP806" s="674"/>
      <c r="AS806" s="675"/>
      <c r="AU806" s="643"/>
      <c r="AV806" s="699"/>
      <c r="AW806" s="700"/>
      <c r="AX806" s="643"/>
      <c r="AY806" s="643"/>
      <c r="AZ806" s="671"/>
      <c r="BA806" s="643"/>
      <c r="BB806" s="643"/>
    </row>
    <row r="807" spans="1:54" s="673" customFormat="1" ht="13.5" hidden="1" customHeight="1" x14ac:dyDescent="0.2">
      <c r="A807" s="867"/>
      <c r="D807" s="674"/>
      <c r="E807" s="674"/>
      <c r="F807" s="674"/>
      <c r="G807" s="674"/>
      <c r="H807" s="674"/>
      <c r="I807" s="674"/>
      <c r="J807" s="674"/>
      <c r="K807" s="674"/>
      <c r="L807" s="674"/>
      <c r="M807" s="674"/>
      <c r="N807" s="674"/>
      <c r="O807" s="674"/>
      <c r="P807" s="674"/>
      <c r="Q807" s="674"/>
      <c r="R807" s="674"/>
      <c r="S807" s="674"/>
      <c r="T807" s="674"/>
      <c r="U807" s="674"/>
      <c r="V807" s="674"/>
      <c r="W807" s="674"/>
      <c r="X807" s="674"/>
      <c r="Y807" s="674"/>
      <c r="Z807" s="674"/>
      <c r="AA807" s="674"/>
      <c r="AB807" s="674"/>
      <c r="AC807" s="674"/>
      <c r="AD807" s="674"/>
      <c r="AE807" s="674"/>
      <c r="AF807" s="674"/>
      <c r="AG807" s="674"/>
      <c r="AH807" s="674"/>
      <c r="AI807" s="674"/>
      <c r="AJ807" s="674"/>
      <c r="AK807" s="674"/>
      <c r="AL807" s="674"/>
      <c r="AM807" s="674"/>
      <c r="AN807" s="674"/>
      <c r="AO807" s="674"/>
      <c r="AP807" s="674"/>
      <c r="AS807" s="675"/>
      <c r="AU807" s="643"/>
      <c r="AV807" s="699"/>
      <c r="AW807" s="700"/>
      <c r="AX807" s="643"/>
      <c r="AY807" s="643"/>
      <c r="AZ807" s="671"/>
      <c r="BA807" s="643"/>
      <c r="BB807" s="643"/>
    </row>
    <row r="808" spans="1:54" s="673" customFormat="1" ht="13.5" hidden="1" customHeight="1" x14ac:dyDescent="0.2">
      <c r="A808" s="867"/>
      <c r="D808" s="674"/>
      <c r="E808" s="674"/>
      <c r="F808" s="674"/>
      <c r="G808" s="674"/>
      <c r="H808" s="674"/>
      <c r="I808" s="674"/>
      <c r="J808" s="674"/>
      <c r="K808" s="674"/>
      <c r="L808" s="674"/>
      <c r="M808" s="674"/>
      <c r="N808" s="674"/>
      <c r="O808" s="674"/>
      <c r="P808" s="674"/>
      <c r="Q808" s="674"/>
      <c r="R808" s="674"/>
      <c r="S808" s="674"/>
      <c r="T808" s="674"/>
      <c r="U808" s="674"/>
      <c r="V808" s="674"/>
      <c r="W808" s="674"/>
      <c r="X808" s="674"/>
      <c r="Y808" s="674"/>
      <c r="Z808" s="674"/>
      <c r="AA808" s="674"/>
      <c r="AB808" s="674"/>
      <c r="AC808" s="674"/>
      <c r="AD808" s="674"/>
      <c r="AE808" s="674"/>
      <c r="AF808" s="674"/>
      <c r="AG808" s="674"/>
      <c r="AH808" s="674"/>
      <c r="AI808" s="674"/>
      <c r="AJ808" s="674"/>
      <c r="AK808" s="674"/>
      <c r="AL808" s="674"/>
      <c r="AM808" s="674"/>
      <c r="AN808" s="674"/>
      <c r="AO808" s="674"/>
      <c r="AP808" s="674"/>
      <c r="AS808" s="675"/>
      <c r="AU808" s="643"/>
      <c r="AV808" s="699"/>
      <c r="AW808" s="700"/>
      <c r="AX808" s="643"/>
      <c r="AY808" s="643"/>
      <c r="AZ808" s="671"/>
      <c r="BA808" s="643"/>
      <c r="BB808" s="643"/>
    </row>
    <row r="809" spans="1:54" s="673" customFormat="1" ht="13.5" hidden="1" customHeight="1" x14ac:dyDescent="0.2">
      <c r="A809" s="867"/>
      <c r="D809" s="674"/>
      <c r="E809" s="674"/>
      <c r="F809" s="674"/>
      <c r="G809" s="674"/>
      <c r="H809" s="674"/>
      <c r="I809" s="674"/>
      <c r="J809" s="674"/>
      <c r="K809" s="674"/>
      <c r="L809" s="674"/>
      <c r="M809" s="674"/>
      <c r="N809" s="674"/>
      <c r="O809" s="674"/>
      <c r="P809" s="674"/>
      <c r="Q809" s="674"/>
      <c r="R809" s="674"/>
      <c r="S809" s="674"/>
      <c r="T809" s="674"/>
      <c r="U809" s="674"/>
      <c r="V809" s="674"/>
      <c r="W809" s="674"/>
      <c r="X809" s="674"/>
      <c r="Y809" s="674"/>
      <c r="Z809" s="674"/>
      <c r="AA809" s="674"/>
      <c r="AB809" s="674"/>
      <c r="AC809" s="674"/>
      <c r="AD809" s="674"/>
      <c r="AE809" s="674"/>
      <c r="AF809" s="674"/>
      <c r="AG809" s="674"/>
      <c r="AH809" s="674"/>
      <c r="AI809" s="674"/>
      <c r="AJ809" s="674"/>
      <c r="AK809" s="674"/>
      <c r="AL809" s="674"/>
      <c r="AM809" s="674"/>
      <c r="AN809" s="674"/>
      <c r="AO809" s="674"/>
      <c r="AP809" s="674"/>
      <c r="AS809" s="675"/>
      <c r="AU809" s="643"/>
      <c r="AV809" s="699"/>
      <c r="AW809" s="700"/>
      <c r="AX809" s="643"/>
      <c r="AY809" s="643"/>
      <c r="AZ809" s="671"/>
      <c r="BA809" s="643"/>
      <c r="BB809" s="643"/>
    </row>
    <row r="810" spans="1:54" s="673" customFormat="1" ht="13.5" hidden="1" customHeight="1" x14ac:dyDescent="0.2">
      <c r="A810" s="867"/>
      <c r="D810" s="674"/>
      <c r="E810" s="674"/>
      <c r="F810" s="674"/>
      <c r="G810" s="674"/>
      <c r="H810" s="674"/>
      <c r="I810" s="674"/>
      <c r="J810" s="674"/>
      <c r="K810" s="674"/>
      <c r="L810" s="674"/>
      <c r="M810" s="674"/>
      <c r="N810" s="674"/>
      <c r="O810" s="674"/>
      <c r="P810" s="674"/>
      <c r="Q810" s="674"/>
      <c r="R810" s="674"/>
      <c r="S810" s="674"/>
      <c r="T810" s="674"/>
      <c r="U810" s="674"/>
      <c r="V810" s="674"/>
      <c r="W810" s="674"/>
      <c r="X810" s="674"/>
      <c r="Y810" s="674"/>
      <c r="Z810" s="674"/>
      <c r="AA810" s="674"/>
      <c r="AB810" s="674"/>
      <c r="AC810" s="674"/>
      <c r="AD810" s="674"/>
      <c r="AE810" s="674"/>
      <c r="AF810" s="674"/>
      <c r="AG810" s="674"/>
      <c r="AH810" s="674"/>
      <c r="AI810" s="674"/>
      <c r="AJ810" s="674"/>
      <c r="AK810" s="674"/>
      <c r="AL810" s="674"/>
      <c r="AM810" s="674"/>
      <c r="AN810" s="674"/>
      <c r="AO810" s="674"/>
      <c r="AP810" s="674"/>
      <c r="AS810" s="675"/>
      <c r="AU810" s="643"/>
      <c r="AV810" s="699"/>
      <c r="AW810" s="700"/>
      <c r="AX810" s="643"/>
      <c r="AY810" s="643"/>
      <c r="AZ810" s="671"/>
      <c r="BA810" s="643"/>
      <c r="BB810" s="643"/>
    </row>
    <row r="811" spans="1:54" s="186" customFormat="1" ht="11.25" hidden="1" customHeight="1" x14ac:dyDescent="0.2">
      <c r="A811" s="867"/>
      <c r="D811" s="678"/>
      <c r="E811" s="678"/>
      <c r="F811" s="678"/>
      <c r="G811" s="678"/>
      <c r="H811" s="678"/>
      <c r="I811" s="678"/>
      <c r="J811" s="678"/>
      <c r="K811" s="678"/>
      <c r="L811" s="678"/>
      <c r="M811" s="678"/>
      <c r="N811" s="678"/>
      <c r="O811" s="678"/>
      <c r="P811" s="678"/>
      <c r="Q811" s="678"/>
      <c r="R811" s="678"/>
      <c r="S811" s="678"/>
      <c r="T811" s="678"/>
      <c r="U811" s="678"/>
      <c r="V811" s="678"/>
      <c r="W811" s="678"/>
      <c r="X811" s="678"/>
      <c r="Y811" s="678"/>
      <c r="Z811" s="678"/>
      <c r="AA811" s="678"/>
      <c r="AB811" s="678"/>
      <c r="AC811" s="678"/>
      <c r="AD811" s="678"/>
      <c r="AE811" s="678"/>
      <c r="AF811" s="678"/>
      <c r="AG811" s="678"/>
      <c r="AH811" s="678"/>
      <c r="AI811" s="678"/>
      <c r="AJ811" s="678"/>
      <c r="AK811" s="678"/>
      <c r="AL811" s="678"/>
      <c r="AM811" s="678"/>
      <c r="AN811" s="678"/>
      <c r="AO811" s="678"/>
      <c r="AP811" s="678"/>
      <c r="AS811" s="672"/>
      <c r="AU811" s="669"/>
      <c r="AV811" s="699"/>
      <c r="AW811" s="700"/>
      <c r="AX811" s="643"/>
      <c r="AY811" s="643"/>
      <c r="AZ811" s="671"/>
      <c r="BA811" s="643"/>
      <c r="BB811" s="669"/>
    </row>
    <row r="812" spans="1:54" ht="26.25" hidden="1" customHeight="1" x14ac:dyDescent="0.2">
      <c r="A812" s="867"/>
      <c r="C812" s="679"/>
      <c r="D812" s="680"/>
      <c r="E812" s="680"/>
      <c r="F812" s="680"/>
      <c r="G812" s="680"/>
      <c r="H812" s="680"/>
      <c r="I812" s="680"/>
      <c r="J812" s="680"/>
      <c r="K812" s="680"/>
      <c r="L812" s="680"/>
      <c r="M812" s="680"/>
      <c r="N812" s="680"/>
      <c r="O812" s="680"/>
      <c r="P812" s="680"/>
      <c r="Q812" s="680"/>
      <c r="R812" s="680"/>
      <c r="S812" s="680"/>
      <c r="T812" s="680"/>
      <c r="U812" s="680"/>
      <c r="V812" s="680"/>
      <c r="W812" s="680"/>
      <c r="X812" s="680"/>
      <c r="Y812" s="680"/>
      <c r="Z812" s="680"/>
      <c r="AA812" s="680"/>
      <c r="AB812" s="680"/>
      <c r="AC812" s="680"/>
      <c r="AD812" s="680"/>
      <c r="AE812" s="680"/>
      <c r="AF812" s="680"/>
      <c r="AG812" s="680"/>
      <c r="AH812" s="680"/>
      <c r="AI812" s="680"/>
      <c r="AJ812" s="680"/>
      <c r="AK812" s="680"/>
      <c r="AL812" s="680"/>
      <c r="AM812" s="680"/>
      <c r="AN812" s="680"/>
      <c r="AO812" s="680"/>
      <c r="AP812" s="868"/>
      <c r="AV812" s="699"/>
      <c r="AW812" s="700"/>
    </row>
    <row r="813" spans="1:54" ht="11.25" hidden="1" customHeight="1" x14ac:dyDescent="0.2">
      <c r="A813" s="867"/>
      <c r="C813" s="681"/>
      <c r="D813" s="682"/>
      <c r="E813" s="682"/>
      <c r="F813" s="682"/>
      <c r="G813" s="682"/>
      <c r="H813" s="682"/>
      <c r="I813" s="682"/>
      <c r="J813" s="682"/>
      <c r="K813" s="682"/>
      <c r="L813" s="682"/>
      <c r="M813" s="682"/>
      <c r="N813" s="682"/>
      <c r="O813" s="682"/>
      <c r="P813" s="682"/>
      <c r="Q813" s="682"/>
      <c r="R813" s="682"/>
      <c r="S813" s="682"/>
      <c r="T813" s="682"/>
      <c r="U813" s="682"/>
      <c r="V813" s="682"/>
      <c r="W813" s="682"/>
      <c r="X813" s="682"/>
      <c r="Y813" s="682"/>
      <c r="Z813" s="682"/>
      <c r="AA813" s="682"/>
      <c r="AB813" s="682"/>
      <c r="AC813" s="682"/>
      <c r="AD813" s="682"/>
      <c r="AE813" s="682"/>
      <c r="AF813" s="682"/>
      <c r="AG813" s="682"/>
      <c r="AH813" s="682"/>
      <c r="AI813" s="682"/>
      <c r="AJ813" s="682"/>
      <c r="AK813" s="682"/>
      <c r="AL813" s="682"/>
      <c r="AM813" s="682"/>
      <c r="AN813" s="682"/>
      <c r="AO813" s="682"/>
      <c r="AP813" s="868"/>
      <c r="AQ813" s="683"/>
      <c r="AV813" s="699"/>
      <c r="AW813" s="700"/>
    </row>
    <row r="814" spans="1:54" ht="11.25" hidden="1" customHeight="1" x14ac:dyDescent="0.2">
      <c r="A814" s="867"/>
      <c r="C814" s="684"/>
      <c r="D814" s="685"/>
      <c r="E814" s="686"/>
      <c r="F814" s="686"/>
      <c r="G814" s="686"/>
      <c r="H814" s="686"/>
      <c r="I814" s="686"/>
      <c r="J814" s="686"/>
      <c r="K814" s="686"/>
      <c r="L814" s="686"/>
      <c r="M814" s="686"/>
      <c r="N814" s="686"/>
      <c r="O814" s="686"/>
      <c r="P814" s="686"/>
      <c r="Q814" s="686"/>
      <c r="R814" s="686"/>
      <c r="S814" s="686"/>
      <c r="T814" s="686"/>
      <c r="U814" s="686"/>
      <c r="V814" s="686"/>
      <c r="W814" s="686"/>
      <c r="X814" s="686"/>
      <c r="Y814" s="686"/>
      <c r="Z814" s="686"/>
      <c r="AA814" s="686"/>
      <c r="AB814" s="686"/>
      <c r="AC814" s="686"/>
      <c r="AD814" s="686"/>
      <c r="AE814" s="686"/>
      <c r="AF814" s="686"/>
      <c r="AG814" s="686"/>
      <c r="AH814" s="686"/>
      <c r="AI814" s="686"/>
      <c r="AJ814" s="686"/>
      <c r="AK814" s="686"/>
      <c r="AL814" s="686"/>
      <c r="AM814" s="686"/>
      <c r="AN814" s="686"/>
      <c r="AO814" s="687"/>
      <c r="AP814" s="868"/>
      <c r="AQ814" s="688"/>
      <c r="AV814" s="699"/>
      <c r="AW814" s="700"/>
    </row>
    <row r="815" spans="1:54" ht="11.25" hidden="1" customHeight="1" x14ac:dyDescent="0.2">
      <c r="A815" s="867"/>
      <c r="C815" s="689"/>
      <c r="D815" s="690"/>
      <c r="E815" s="690"/>
      <c r="F815" s="690"/>
      <c r="G815" s="690"/>
      <c r="H815" s="690"/>
      <c r="I815" s="690"/>
      <c r="J815" s="690"/>
      <c r="K815" s="690"/>
      <c r="L815" s="690"/>
      <c r="M815" s="690"/>
      <c r="N815" s="690"/>
      <c r="O815" s="690"/>
      <c r="P815" s="690"/>
      <c r="Q815" s="690"/>
      <c r="R815" s="690"/>
      <c r="S815" s="690"/>
      <c r="T815" s="690"/>
      <c r="U815" s="690"/>
      <c r="V815" s="690"/>
      <c r="W815" s="690"/>
      <c r="X815" s="690"/>
      <c r="Y815" s="690"/>
      <c r="Z815" s="690"/>
      <c r="AA815" s="690"/>
      <c r="AB815" s="690"/>
      <c r="AC815" s="690"/>
      <c r="AD815" s="690"/>
      <c r="AE815" s="690"/>
      <c r="AF815" s="690"/>
      <c r="AG815" s="690"/>
      <c r="AH815" s="690"/>
      <c r="AI815" s="690"/>
      <c r="AJ815" s="690"/>
      <c r="AK815" s="690"/>
      <c r="AL815" s="690"/>
      <c r="AM815" s="690"/>
      <c r="AN815" s="690"/>
      <c r="AO815" s="690"/>
      <c r="AP815" s="691"/>
      <c r="AS815" s="692"/>
      <c r="AV815" s="699"/>
      <c r="AW815" s="700"/>
    </row>
    <row r="816" spans="1:54" ht="4.5" hidden="1" customHeight="1" x14ac:dyDescent="0.2">
      <c r="A816" s="867"/>
      <c r="AV816" s="699"/>
      <c r="AW816" s="700"/>
    </row>
    <row r="817" spans="1:53" ht="11.25" hidden="1" customHeight="1" x14ac:dyDescent="0.2">
      <c r="A817" s="867"/>
      <c r="C817" s="693"/>
      <c r="D817" s="694"/>
      <c r="E817" s="695"/>
      <c r="F817" s="695"/>
      <c r="G817" s="695"/>
      <c r="H817" s="695"/>
      <c r="I817" s="695"/>
      <c r="J817" s="695"/>
      <c r="K817" s="695"/>
      <c r="L817" s="695"/>
      <c r="M817" s="695"/>
      <c r="N817" s="695"/>
      <c r="O817" s="695"/>
      <c r="P817" s="695"/>
      <c r="Q817" s="695"/>
      <c r="R817" s="695"/>
      <c r="S817" s="695"/>
      <c r="T817" s="695"/>
      <c r="U817" s="695"/>
      <c r="V817" s="695"/>
      <c r="W817" s="695"/>
      <c r="X817" s="695"/>
      <c r="Y817" s="695"/>
      <c r="Z817" s="695"/>
      <c r="AA817" s="695"/>
      <c r="AB817" s="695"/>
      <c r="AC817" s="695"/>
      <c r="AD817" s="695"/>
      <c r="AE817" s="695"/>
      <c r="AF817" s="695"/>
      <c r="AG817" s="695"/>
      <c r="AH817" s="695"/>
      <c r="AI817" s="695"/>
      <c r="AJ817" s="695"/>
      <c r="AK817" s="695"/>
      <c r="AL817" s="695"/>
      <c r="AM817" s="695"/>
      <c r="AN817" s="695"/>
      <c r="AO817" s="696"/>
      <c r="AP817" s="697"/>
      <c r="AQ817" s="698"/>
      <c r="AS817" s="208"/>
      <c r="AV817" s="699"/>
      <c r="AW817" s="700"/>
      <c r="AX817" s="382"/>
      <c r="AY817" s="379"/>
      <c r="AZ817" s="384"/>
      <c r="BA817" s="642"/>
    </row>
    <row r="818" spans="1:53" ht="11.25" hidden="1" customHeight="1" x14ac:dyDescent="0.2">
      <c r="A818" s="867"/>
      <c r="C818" s="701"/>
      <c r="D818" s="702"/>
      <c r="E818" s="703"/>
      <c r="F818" s="703"/>
      <c r="G818" s="703"/>
      <c r="H818" s="703"/>
      <c r="I818" s="703"/>
      <c r="J818" s="703"/>
      <c r="K818" s="703"/>
      <c r="L818" s="703"/>
      <c r="M818" s="703"/>
      <c r="N818" s="703"/>
      <c r="O818" s="703"/>
      <c r="P818" s="703"/>
      <c r="Q818" s="703"/>
      <c r="R818" s="703"/>
      <c r="S818" s="703"/>
      <c r="T818" s="703"/>
      <c r="U818" s="703"/>
      <c r="V818" s="703"/>
      <c r="W818" s="703"/>
      <c r="X818" s="703"/>
      <c r="Y818" s="703"/>
      <c r="Z818" s="703"/>
      <c r="AA818" s="703"/>
      <c r="AB818" s="703"/>
      <c r="AC818" s="703"/>
      <c r="AD818" s="703"/>
      <c r="AE818" s="703"/>
      <c r="AF818" s="703"/>
      <c r="AG818" s="703"/>
      <c r="AH818" s="703"/>
      <c r="AI818" s="703"/>
      <c r="AJ818" s="703"/>
      <c r="AK818" s="703"/>
      <c r="AL818" s="703"/>
      <c r="AM818" s="703"/>
      <c r="AN818" s="703"/>
      <c r="AO818" s="704"/>
      <c r="AP818" s="705"/>
      <c r="AQ818" s="698"/>
      <c r="AS818" s="220"/>
      <c r="AV818" s="699"/>
      <c r="AW818" s="700"/>
      <c r="AX818" s="382"/>
      <c r="AY818" s="379"/>
      <c r="AZ818" s="384"/>
      <c r="BA818" s="642"/>
    </row>
    <row r="819" spans="1:53" ht="11.25" hidden="1" customHeight="1" x14ac:dyDescent="0.2">
      <c r="A819" s="867"/>
      <c r="C819" s="701"/>
      <c r="D819" s="702"/>
      <c r="E819" s="703"/>
      <c r="F819" s="703"/>
      <c r="G819" s="703"/>
      <c r="H819" s="703"/>
      <c r="I819" s="703"/>
      <c r="J819" s="703"/>
      <c r="K819" s="703"/>
      <c r="L819" s="703"/>
      <c r="M819" s="703"/>
      <c r="N819" s="703"/>
      <c r="O819" s="703"/>
      <c r="P819" s="703"/>
      <c r="Q819" s="703"/>
      <c r="R819" s="703"/>
      <c r="S819" s="703"/>
      <c r="T819" s="703"/>
      <c r="U819" s="703"/>
      <c r="V819" s="703"/>
      <c r="W819" s="703"/>
      <c r="X819" s="703"/>
      <c r="Y819" s="703"/>
      <c r="Z819" s="703"/>
      <c r="AA819" s="703"/>
      <c r="AB819" s="703"/>
      <c r="AC819" s="703"/>
      <c r="AD819" s="703"/>
      <c r="AE819" s="703"/>
      <c r="AF819" s="703"/>
      <c r="AG819" s="703"/>
      <c r="AH819" s="703"/>
      <c r="AI819" s="703"/>
      <c r="AJ819" s="703"/>
      <c r="AK819" s="703"/>
      <c r="AL819" s="703"/>
      <c r="AM819" s="703"/>
      <c r="AN819" s="703"/>
      <c r="AO819" s="704"/>
      <c r="AP819" s="705"/>
      <c r="AQ819" s="698"/>
      <c r="AS819" s="220"/>
      <c r="AV819" s="699"/>
      <c r="AW819" s="700"/>
      <c r="AX819" s="382"/>
      <c r="AY819" s="379"/>
      <c r="AZ819" s="384"/>
      <c r="BA819" s="642"/>
    </row>
    <row r="820" spans="1:53" ht="11.25" hidden="1" customHeight="1" x14ac:dyDescent="0.2">
      <c r="A820" s="867"/>
      <c r="C820" s="701"/>
      <c r="D820" s="702"/>
      <c r="E820" s="703"/>
      <c r="F820" s="703"/>
      <c r="G820" s="703"/>
      <c r="H820" s="703"/>
      <c r="I820" s="703"/>
      <c r="J820" s="703"/>
      <c r="K820" s="703"/>
      <c r="L820" s="703"/>
      <c r="M820" s="703"/>
      <c r="N820" s="703"/>
      <c r="O820" s="703"/>
      <c r="P820" s="703"/>
      <c r="Q820" s="703"/>
      <c r="R820" s="703"/>
      <c r="S820" s="703"/>
      <c r="T820" s="703"/>
      <c r="U820" s="703"/>
      <c r="V820" s="703"/>
      <c r="W820" s="703"/>
      <c r="X820" s="703"/>
      <c r="Y820" s="703"/>
      <c r="Z820" s="703"/>
      <c r="AA820" s="703"/>
      <c r="AB820" s="703"/>
      <c r="AC820" s="703"/>
      <c r="AD820" s="703"/>
      <c r="AE820" s="703"/>
      <c r="AF820" s="703"/>
      <c r="AG820" s="703"/>
      <c r="AH820" s="703"/>
      <c r="AI820" s="703"/>
      <c r="AJ820" s="703"/>
      <c r="AK820" s="703"/>
      <c r="AL820" s="703"/>
      <c r="AM820" s="703"/>
      <c r="AN820" s="703"/>
      <c r="AO820" s="704"/>
      <c r="AP820" s="705"/>
      <c r="AQ820" s="698"/>
      <c r="AS820" s="220"/>
      <c r="AV820" s="699"/>
      <c r="AW820" s="700"/>
      <c r="AX820" s="382"/>
      <c r="AY820" s="379"/>
      <c r="AZ820" s="384"/>
      <c r="BA820" s="642"/>
    </row>
    <row r="821" spans="1:53" ht="11.25" hidden="1" customHeight="1" x14ac:dyDescent="0.2">
      <c r="A821" s="867"/>
      <c r="C821" s="701"/>
      <c r="D821" s="702"/>
      <c r="E821" s="703"/>
      <c r="F821" s="703"/>
      <c r="G821" s="703"/>
      <c r="H821" s="703"/>
      <c r="I821" s="703"/>
      <c r="J821" s="703"/>
      <c r="K821" s="703"/>
      <c r="L821" s="703"/>
      <c r="M821" s="703"/>
      <c r="N821" s="703"/>
      <c r="O821" s="703"/>
      <c r="P821" s="703"/>
      <c r="Q821" s="703"/>
      <c r="R821" s="703"/>
      <c r="S821" s="703"/>
      <c r="T821" s="703"/>
      <c r="U821" s="703"/>
      <c r="V821" s="703"/>
      <c r="W821" s="703"/>
      <c r="X821" s="703"/>
      <c r="Y821" s="703"/>
      <c r="Z821" s="703"/>
      <c r="AA821" s="703"/>
      <c r="AB821" s="703"/>
      <c r="AC821" s="703"/>
      <c r="AD821" s="703"/>
      <c r="AE821" s="703"/>
      <c r="AF821" s="703"/>
      <c r="AG821" s="703"/>
      <c r="AH821" s="703"/>
      <c r="AI821" s="703"/>
      <c r="AJ821" s="703"/>
      <c r="AK821" s="703"/>
      <c r="AL821" s="703"/>
      <c r="AM821" s="703"/>
      <c r="AN821" s="703"/>
      <c r="AO821" s="704"/>
      <c r="AP821" s="705"/>
      <c r="AQ821" s="698"/>
      <c r="AS821" s="220"/>
      <c r="AV821" s="699"/>
      <c r="AW821" s="700"/>
      <c r="AX821" s="382"/>
      <c r="AY821" s="379"/>
      <c r="AZ821" s="384"/>
      <c r="BA821" s="642"/>
    </row>
    <row r="822" spans="1:53" ht="11.25" hidden="1" customHeight="1" x14ac:dyDescent="0.2">
      <c r="A822" s="867"/>
      <c r="C822" s="701"/>
      <c r="D822" s="702"/>
      <c r="E822" s="703"/>
      <c r="F822" s="703"/>
      <c r="G822" s="703"/>
      <c r="H822" s="703"/>
      <c r="I822" s="703"/>
      <c r="J822" s="703"/>
      <c r="K822" s="703"/>
      <c r="L822" s="703"/>
      <c r="M822" s="703"/>
      <c r="N822" s="703"/>
      <c r="O822" s="703"/>
      <c r="P822" s="703"/>
      <c r="Q822" s="703"/>
      <c r="R822" s="703"/>
      <c r="S822" s="703"/>
      <c r="T822" s="703"/>
      <c r="U822" s="703"/>
      <c r="V822" s="703"/>
      <c r="W822" s="703"/>
      <c r="X822" s="703"/>
      <c r="Y822" s="703"/>
      <c r="Z822" s="703"/>
      <c r="AA822" s="703"/>
      <c r="AB822" s="703"/>
      <c r="AC822" s="703"/>
      <c r="AD822" s="703"/>
      <c r="AE822" s="703"/>
      <c r="AF822" s="703"/>
      <c r="AG822" s="703"/>
      <c r="AH822" s="703"/>
      <c r="AI822" s="703"/>
      <c r="AJ822" s="703"/>
      <c r="AK822" s="703"/>
      <c r="AL822" s="703"/>
      <c r="AM822" s="703"/>
      <c r="AN822" s="703"/>
      <c r="AO822" s="704"/>
      <c r="AP822" s="705"/>
      <c r="AQ822" s="698"/>
      <c r="AS822" s="220"/>
      <c r="AV822" s="699"/>
      <c r="AW822" s="700"/>
      <c r="AX822" s="382"/>
      <c r="AY822" s="379"/>
      <c r="AZ822" s="384"/>
      <c r="BA822" s="642"/>
    </row>
    <row r="823" spans="1:53" ht="11.25" hidden="1" customHeight="1" x14ac:dyDescent="0.2">
      <c r="A823" s="867"/>
      <c r="C823" s="701"/>
      <c r="D823" s="702"/>
      <c r="E823" s="703"/>
      <c r="F823" s="703"/>
      <c r="G823" s="703"/>
      <c r="H823" s="703"/>
      <c r="I823" s="703"/>
      <c r="J823" s="703"/>
      <c r="K823" s="703"/>
      <c r="L823" s="703"/>
      <c r="M823" s="703"/>
      <c r="N823" s="703"/>
      <c r="O823" s="703"/>
      <c r="P823" s="703"/>
      <c r="Q823" s="703"/>
      <c r="R823" s="703"/>
      <c r="S823" s="703"/>
      <c r="T823" s="703"/>
      <c r="U823" s="703"/>
      <c r="V823" s="703"/>
      <c r="W823" s="703"/>
      <c r="X823" s="703"/>
      <c r="Y823" s="703"/>
      <c r="Z823" s="703"/>
      <c r="AA823" s="703"/>
      <c r="AB823" s="703"/>
      <c r="AC823" s="703"/>
      <c r="AD823" s="703"/>
      <c r="AE823" s="703"/>
      <c r="AF823" s="703"/>
      <c r="AG823" s="703"/>
      <c r="AH823" s="703"/>
      <c r="AI823" s="703"/>
      <c r="AJ823" s="703"/>
      <c r="AK823" s="703"/>
      <c r="AL823" s="703"/>
      <c r="AM823" s="703"/>
      <c r="AN823" s="703"/>
      <c r="AO823" s="704"/>
      <c r="AP823" s="705"/>
      <c r="AQ823" s="698"/>
      <c r="AS823" s="220"/>
      <c r="AV823" s="699"/>
      <c r="AW823" s="700"/>
      <c r="AX823" s="382"/>
      <c r="AY823" s="379"/>
      <c r="AZ823" s="384"/>
      <c r="BA823" s="642"/>
    </row>
    <row r="824" spans="1:53" ht="11.25" hidden="1" customHeight="1" x14ac:dyDescent="0.2">
      <c r="A824" s="867"/>
      <c r="C824" s="701"/>
      <c r="D824" s="702"/>
      <c r="E824" s="703"/>
      <c r="F824" s="703"/>
      <c r="G824" s="703"/>
      <c r="H824" s="703"/>
      <c r="I824" s="703"/>
      <c r="J824" s="703"/>
      <c r="K824" s="703"/>
      <c r="L824" s="703"/>
      <c r="M824" s="703"/>
      <c r="N824" s="703"/>
      <c r="O824" s="703"/>
      <c r="P824" s="703"/>
      <c r="Q824" s="703"/>
      <c r="R824" s="703"/>
      <c r="S824" s="703"/>
      <c r="T824" s="703"/>
      <c r="U824" s="703"/>
      <c r="V824" s="703"/>
      <c r="W824" s="703"/>
      <c r="X824" s="703"/>
      <c r="Y824" s="703"/>
      <c r="Z824" s="703"/>
      <c r="AA824" s="703"/>
      <c r="AB824" s="703"/>
      <c r="AC824" s="703"/>
      <c r="AD824" s="703"/>
      <c r="AE824" s="703"/>
      <c r="AF824" s="703"/>
      <c r="AG824" s="703"/>
      <c r="AH824" s="703"/>
      <c r="AI824" s="703"/>
      <c r="AJ824" s="703"/>
      <c r="AK824" s="703"/>
      <c r="AL824" s="703"/>
      <c r="AM824" s="703"/>
      <c r="AN824" s="703"/>
      <c r="AO824" s="704"/>
      <c r="AP824" s="705"/>
      <c r="AQ824" s="698"/>
      <c r="AS824" s="220"/>
      <c r="AV824" s="699"/>
      <c r="AW824" s="700"/>
      <c r="AX824" s="382"/>
      <c r="AY824" s="379"/>
      <c r="AZ824" s="384"/>
      <c r="BA824" s="642"/>
    </row>
    <row r="825" spans="1:53" ht="11.25" hidden="1" customHeight="1" x14ac:dyDescent="0.2">
      <c r="A825" s="867"/>
      <c r="C825" s="701"/>
      <c r="D825" s="702"/>
      <c r="E825" s="703"/>
      <c r="F825" s="703"/>
      <c r="G825" s="703"/>
      <c r="H825" s="703"/>
      <c r="I825" s="703"/>
      <c r="J825" s="703"/>
      <c r="K825" s="703"/>
      <c r="L825" s="703"/>
      <c r="M825" s="703"/>
      <c r="N825" s="703"/>
      <c r="O825" s="703"/>
      <c r="P825" s="703"/>
      <c r="Q825" s="703"/>
      <c r="R825" s="703"/>
      <c r="S825" s="703"/>
      <c r="T825" s="703"/>
      <c r="U825" s="703"/>
      <c r="V825" s="703"/>
      <c r="W825" s="703"/>
      <c r="X825" s="703"/>
      <c r="Y825" s="703"/>
      <c r="Z825" s="703"/>
      <c r="AA825" s="703"/>
      <c r="AB825" s="703"/>
      <c r="AC825" s="703"/>
      <c r="AD825" s="703"/>
      <c r="AE825" s="703"/>
      <c r="AF825" s="703"/>
      <c r="AG825" s="703"/>
      <c r="AH825" s="703"/>
      <c r="AI825" s="703"/>
      <c r="AJ825" s="703"/>
      <c r="AK825" s="703"/>
      <c r="AL825" s="703"/>
      <c r="AM825" s="703"/>
      <c r="AN825" s="703"/>
      <c r="AO825" s="704"/>
      <c r="AP825" s="705"/>
      <c r="AQ825" s="698"/>
      <c r="AS825" s="220"/>
      <c r="AV825" s="699"/>
      <c r="AW825" s="700"/>
      <c r="AX825" s="382"/>
      <c r="AY825" s="379"/>
      <c r="AZ825" s="384"/>
      <c r="BA825" s="642"/>
    </row>
    <row r="826" spans="1:53" ht="11.25" hidden="1" customHeight="1" x14ac:dyDescent="0.2">
      <c r="A826" s="867"/>
      <c r="C826" s="701"/>
      <c r="D826" s="702"/>
      <c r="E826" s="703"/>
      <c r="F826" s="703"/>
      <c r="G826" s="703"/>
      <c r="H826" s="703"/>
      <c r="I826" s="703"/>
      <c r="J826" s="703"/>
      <c r="K826" s="703"/>
      <c r="L826" s="703"/>
      <c r="M826" s="703"/>
      <c r="N826" s="703"/>
      <c r="O826" s="703"/>
      <c r="P826" s="703"/>
      <c r="Q826" s="703"/>
      <c r="R826" s="703"/>
      <c r="S826" s="703"/>
      <c r="T826" s="703"/>
      <c r="U826" s="703"/>
      <c r="V826" s="703"/>
      <c r="W826" s="703"/>
      <c r="X826" s="703"/>
      <c r="Y826" s="703"/>
      <c r="Z826" s="703"/>
      <c r="AA826" s="703"/>
      <c r="AB826" s="703"/>
      <c r="AC826" s="703"/>
      <c r="AD826" s="703"/>
      <c r="AE826" s="703"/>
      <c r="AF826" s="703"/>
      <c r="AG826" s="703"/>
      <c r="AH826" s="703"/>
      <c r="AI826" s="703"/>
      <c r="AJ826" s="703"/>
      <c r="AK826" s="703"/>
      <c r="AL826" s="703"/>
      <c r="AM826" s="703"/>
      <c r="AN826" s="703"/>
      <c r="AO826" s="704"/>
      <c r="AP826" s="705"/>
      <c r="AQ826" s="698"/>
      <c r="AS826" s="220"/>
      <c r="AV826" s="699"/>
      <c r="AW826" s="700"/>
      <c r="AX826" s="382"/>
      <c r="AY826" s="379"/>
      <c r="AZ826" s="384"/>
      <c r="BA826" s="642"/>
    </row>
    <row r="827" spans="1:53" ht="11.25" hidden="1" customHeight="1" x14ac:dyDescent="0.2">
      <c r="A827" s="867"/>
      <c r="C827" s="701"/>
      <c r="D827" s="702"/>
      <c r="E827" s="703"/>
      <c r="F827" s="703"/>
      <c r="G827" s="703"/>
      <c r="H827" s="703"/>
      <c r="I827" s="703"/>
      <c r="J827" s="703"/>
      <c r="K827" s="703"/>
      <c r="L827" s="703"/>
      <c r="M827" s="703"/>
      <c r="N827" s="703"/>
      <c r="O827" s="703"/>
      <c r="P827" s="703"/>
      <c r="Q827" s="703"/>
      <c r="R827" s="703"/>
      <c r="S827" s="703"/>
      <c r="T827" s="703"/>
      <c r="U827" s="703"/>
      <c r="V827" s="703"/>
      <c r="W827" s="703"/>
      <c r="X827" s="703"/>
      <c r="Y827" s="703"/>
      <c r="Z827" s="703"/>
      <c r="AA827" s="703"/>
      <c r="AB827" s="703"/>
      <c r="AC827" s="703"/>
      <c r="AD827" s="703"/>
      <c r="AE827" s="703"/>
      <c r="AF827" s="703"/>
      <c r="AG827" s="703"/>
      <c r="AH827" s="703"/>
      <c r="AI827" s="703"/>
      <c r="AJ827" s="703"/>
      <c r="AK827" s="703"/>
      <c r="AL827" s="703"/>
      <c r="AM827" s="703"/>
      <c r="AN827" s="703"/>
      <c r="AO827" s="704"/>
      <c r="AP827" s="705"/>
      <c r="AQ827" s="698"/>
      <c r="AS827" s="220"/>
      <c r="AV827" s="699"/>
      <c r="AW827" s="700"/>
      <c r="AX827" s="382"/>
      <c r="AY827" s="379"/>
      <c r="AZ827" s="384"/>
      <c r="BA827" s="642"/>
    </row>
    <row r="828" spans="1:53" ht="11.25" hidden="1" customHeight="1" x14ac:dyDescent="0.2">
      <c r="A828" s="867"/>
      <c r="C828" s="701"/>
      <c r="D828" s="702"/>
      <c r="E828" s="703"/>
      <c r="F828" s="703"/>
      <c r="G828" s="703"/>
      <c r="H828" s="703"/>
      <c r="I828" s="703"/>
      <c r="J828" s="703"/>
      <c r="K828" s="703"/>
      <c r="L828" s="703"/>
      <c r="M828" s="703"/>
      <c r="N828" s="703"/>
      <c r="O828" s="703"/>
      <c r="P828" s="703"/>
      <c r="Q828" s="703"/>
      <c r="R828" s="703"/>
      <c r="S828" s="703"/>
      <c r="T828" s="703"/>
      <c r="U828" s="703"/>
      <c r="V828" s="703"/>
      <c r="W828" s="703"/>
      <c r="X828" s="703"/>
      <c r="Y828" s="703"/>
      <c r="Z828" s="703"/>
      <c r="AA828" s="703"/>
      <c r="AB828" s="703"/>
      <c r="AC828" s="703"/>
      <c r="AD828" s="703"/>
      <c r="AE828" s="703"/>
      <c r="AF828" s="703"/>
      <c r="AG828" s="703"/>
      <c r="AH828" s="703"/>
      <c r="AI828" s="703"/>
      <c r="AJ828" s="703"/>
      <c r="AK828" s="703"/>
      <c r="AL828" s="703"/>
      <c r="AM828" s="703"/>
      <c r="AN828" s="703"/>
      <c r="AO828" s="704"/>
      <c r="AP828" s="705"/>
      <c r="AQ828" s="698"/>
      <c r="AS828" s="220"/>
      <c r="AV828" s="699"/>
      <c r="AW828" s="700"/>
      <c r="AX828" s="382"/>
      <c r="AY828" s="379"/>
      <c r="AZ828" s="384"/>
      <c r="BA828" s="642"/>
    </row>
    <row r="829" spans="1:53" ht="11.25" hidden="1" customHeight="1" x14ac:dyDescent="0.2">
      <c r="A829" s="867"/>
      <c r="C829" s="701"/>
      <c r="D829" s="702"/>
      <c r="E829" s="703"/>
      <c r="F829" s="703"/>
      <c r="G829" s="703"/>
      <c r="H829" s="703"/>
      <c r="I829" s="703"/>
      <c r="J829" s="703"/>
      <c r="K829" s="703"/>
      <c r="L829" s="703"/>
      <c r="M829" s="703"/>
      <c r="N829" s="703"/>
      <c r="O829" s="703"/>
      <c r="P829" s="703"/>
      <c r="Q829" s="703"/>
      <c r="R829" s="703"/>
      <c r="S829" s="703"/>
      <c r="T829" s="703"/>
      <c r="U829" s="703"/>
      <c r="V829" s="703"/>
      <c r="W829" s="703"/>
      <c r="X829" s="703"/>
      <c r="Y829" s="703"/>
      <c r="Z829" s="703"/>
      <c r="AA829" s="703"/>
      <c r="AB829" s="703"/>
      <c r="AC829" s="703"/>
      <c r="AD829" s="703"/>
      <c r="AE829" s="703"/>
      <c r="AF829" s="703"/>
      <c r="AG829" s="703"/>
      <c r="AH829" s="703"/>
      <c r="AI829" s="703"/>
      <c r="AJ829" s="703"/>
      <c r="AK829" s="703"/>
      <c r="AL829" s="703"/>
      <c r="AM829" s="703"/>
      <c r="AN829" s="703"/>
      <c r="AO829" s="704"/>
      <c r="AP829" s="705"/>
      <c r="AQ829" s="698"/>
      <c r="AS829" s="220"/>
      <c r="AV829" s="699"/>
      <c r="AW829" s="700"/>
      <c r="AX829" s="382"/>
      <c r="AY829" s="379"/>
      <c r="AZ829" s="384"/>
      <c r="BA829" s="642"/>
    </row>
    <row r="830" spans="1:53" ht="11.25" hidden="1" customHeight="1" x14ac:dyDescent="0.2">
      <c r="A830" s="867"/>
      <c r="C830" s="701"/>
      <c r="D830" s="702"/>
      <c r="E830" s="703"/>
      <c r="F830" s="703"/>
      <c r="G830" s="703"/>
      <c r="H830" s="703"/>
      <c r="I830" s="703"/>
      <c r="J830" s="703"/>
      <c r="K830" s="703"/>
      <c r="L830" s="703"/>
      <c r="M830" s="703"/>
      <c r="N830" s="703"/>
      <c r="O830" s="703"/>
      <c r="P830" s="703"/>
      <c r="Q830" s="703"/>
      <c r="R830" s="703"/>
      <c r="S830" s="703"/>
      <c r="T830" s="703"/>
      <c r="U830" s="703"/>
      <c r="V830" s="703"/>
      <c r="W830" s="703"/>
      <c r="X830" s="703"/>
      <c r="Y830" s="703"/>
      <c r="Z830" s="703"/>
      <c r="AA830" s="703"/>
      <c r="AB830" s="703"/>
      <c r="AC830" s="703"/>
      <c r="AD830" s="703"/>
      <c r="AE830" s="703"/>
      <c r="AF830" s="703"/>
      <c r="AG830" s="703"/>
      <c r="AH830" s="703"/>
      <c r="AI830" s="703"/>
      <c r="AJ830" s="703"/>
      <c r="AK830" s="703"/>
      <c r="AL830" s="703"/>
      <c r="AM830" s="703"/>
      <c r="AN830" s="703"/>
      <c r="AO830" s="704"/>
      <c r="AP830" s="705"/>
      <c r="AQ830" s="698"/>
      <c r="AS830" s="220"/>
      <c r="AV830" s="699"/>
      <c r="AW830" s="700"/>
      <c r="AX830" s="382"/>
      <c r="AY830" s="379"/>
      <c r="AZ830" s="384"/>
      <c r="BA830" s="642"/>
    </row>
    <row r="831" spans="1:53" ht="11.25" hidden="1" customHeight="1" x14ac:dyDescent="0.2">
      <c r="A831" s="867"/>
      <c r="C831" s="701"/>
      <c r="D831" s="702"/>
      <c r="E831" s="703"/>
      <c r="F831" s="703"/>
      <c r="G831" s="703"/>
      <c r="H831" s="703"/>
      <c r="I831" s="703"/>
      <c r="J831" s="703"/>
      <c r="K831" s="703"/>
      <c r="L831" s="703"/>
      <c r="M831" s="703"/>
      <c r="N831" s="703"/>
      <c r="O831" s="703"/>
      <c r="P831" s="703"/>
      <c r="Q831" s="703"/>
      <c r="R831" s="703"/>
      <c r="S831" s="703"/>
      <c r="T831" s="703"/>
      <c r="U831" s="703"/>
      <c r="V831" s="703"/>
      <c r="W831" s="703"/>
      <c r="X831" s="703"/>
      <c r="Y831" s="703"/>
      <c r="Z831" s="703"/>
      <c r="AA831" s="703"/>
      <c r="AB831" s="703"/>
      <c r="AC831" s="703"/>
      <c r="AD831" s="703"/>
      <c r="AE831" s="703"/>
      <c r="AF831" s="703"/>
      <c r="AG831" s="703"/>
      <c r="AH831" s="703"/>
      <c r="AI831" s="703"/>
      <c r="AJ831" s="703"/>
      <c r="AK831" s="703"/>
      <c r="AL831" s="703"/>
      <c r="AM831" s="703"/>
      <c r="AN831" s="703"/>
      <c r="AO831" s="704"/>
      <c r="AP831" s="705"/>
      <c r="AQ831" s="698"/>
      <c r="AS831" s="220"/>
      <c r="AV831" s="699"/>
      <c r="AW831" s="700"/>
      <c r="AX831" s="382"/>
      <c r="AY831" s="379"/>
      <c r="AZ831" s="384"/>
      <c r="BA831" s="642"/>
    </row>
    <row r="832" spans="1:53" ht="11.25" hidden="1" customHeight="1" x14ac:dyDescent="0.2">
      <c r="A832" s="867"/>
      <c r="C832" s="701"/>
      <c r="D832" s="702"/>
      <c r="E832" s="703"/>
      <c r="F832" s="703"/>
      <c r="G832" s="703"/>
      <c r="H832" s="703"/>
      <c r="I832" s="703"/>
      <c r="J832" s="703"/>
      <c r="K832" s="703"/>
      <c r="L832" s="703"/>
      <c r="M832" s="703"/>
      <c r="N832" s="703"/>
      <c r="O832" s="703"/>
      <c r="P832" s="703"/>
      <c r="Q832" s="703"/>
      <c r="R832" s="703"/>
      <c r="S832" s="703"/>
      <c r="T832" s="703"/>
      <c r="U832" s="703"/>
      <c r="V832" s="703"/>
      <c r="W832" s="703"/>
      <c r="X832" s="703"/>
      <c r="Y832" s="703"/>
      <c r="Z832" s="703"/>
      <c r="AA832" s="703"/>
      <c r="AB832" s="703"/>
      <c r="AC832" s="703"/>
      <c r="AD832" s="703"/>
      <c r="AE832" s="703"/>
      <c r="AF832" s="703"/>
      <c r="AG832" s="703"/>
      <c r="AH832" s="703"/>
      <c r="AI832" s="703"/>
      <c r="AJ832" s="703"/>
      <c r="AK832" s="703"/>
      <c r="AL832" s="703"/>
      <c r="AM832" s="703"/>
      <c r="AN832" s="703"/>
      <c r="AO832" s="704"/>
      <c r="AP832" s="705"/>
      <c r="AQ832" s="698"/>
      <c r="AS832" s="220"/>
      <c r="AV832" s="699"/>
      <c r="AW832" s="700"/>
      <c r="AX832" s="382"/>
      <c r="AY832" s="379"/>
      <c r="AZ832" s="384"/>
      <c r="BA832" s="642"/>
    </row>
    <row r="833" spans="1:53" ht="11.25" hidden="1" customHeight="1" x14ac:dyDescent="0.2">
      <c r="A833" s="867"/>
      <c r="C833" s="701"/>
      <c r="D833" s="702"/>
      <c r="E833" s="703"/>
      <c r="F833" s="703"/>
      <c r="G833" s="703"/>
      <c r="H833" s="703"/>
      <c r="I833" s="703"/>
      <c r="J833" s="703"/>
      <c r="K833" s="703"/>
      <c r="L833" s="703"/>
      <c r="M833" s="703"/>
      <c r="N833" s="703"/>
      <c r="O833" s="703"/>
      <c r="P833" s="703"/>
      <c r="Q833" s="703"/>
      <c r="R833" s="703"/>
      <c r="S833" s="703"/>
      <c r="T833" s="703"/>
      <c r="U833" s="703"/>
      <c r="V833" s="703"/>
      <c r="W833" s="703"/>
      <c r="X833" s="703"/>
      <c r="Y833" s="703"/>
      <c r="Z833" s="703"/>
      <c r="AA833" s="703"/>
      <c r="AB833" s="703"/>
      <c r="AC833" s="703"/>
      <c r="AD833" s="703"/>
      <c r="AE833" s="703"/>
      <c r="AF833" s="703"/>
      <c r="AG833" s="703"/>
      <c r="AH833" s="703"/>
      <c r="AI833" s="703"/>
      <c r="AJ833" s="703"/>
      <c r="AK833" s="703"/>
      <c r="AL833" s="703"/>
      <c r="AM833" s="703"/>
      <c r="AN833" s="703"/>
      <c r="AO833" s="704"/>
      <c r="AP833" s="705"/>
      <c r="AQ833" s="698"/>
      <c r="AS833" s="220"/>
      <c r="AV833" s="699"/>
      <c r="AW833" s="700"/>
      <c r="AX833" s="382"/>
      <c r="AY833" s="379"/>
      <c r="AZ833" s="384"/>
      <c r="BA833" s="642"/>
    </row>
    <row r="834" spans="1:53" ht="11.25" hidden="1" customHeight="1" x14ac:dyDescent="0.2">
      <c r="A834" s="867"/>
      <c r="C834" s="701"/>
      <c r="D834" s="702"/>
      <c r="E834" s="703"/>
      <c r="F834" s="703"/>
      <c r="G834" s="703"/>
      <c r="H834" s="703"/>
      <c r="I834" s="703"/>
      <c r="J834" s="703"/>
      <c r="K834" s="703"/>
      <c r="L834" s="703"/>
      <c r="M834" s="703"/>
      <c r="N834" s="703"/>
      <c r="O834" s="703"/>
      <c r="P834" s="703"/>
      <c r="Q834" s="703"/>
      <c r="R834" s="703"/>
      <c r="S834" s="703"/>
      <c r="T834" s="703"/>
      <c r="U834" s="703"/>
      <c r="V834" s="703"/>
      <c r="W834" s="703"/>
      <c r="X834" s="703"/>
      <c r="Y834" s="703"/>
      <c r="Z834" s="703"/>
      <c r="AA834" s="703"/>
      <c r="AB834" s="703"/>
      <c r="AC834" s="703"/>
      <c r="AD834" s="703"/>
      <c r="AE834" s="703"/>
      <c r="AF834" s="703"/>
      <c r="AG834" s="703"/>
      <c r="AH834" s="703"/>
      <c r="AI834" s="703"/>
      <c r="AJ834" s="703"/>
      <c r="AK834" s="703"/>
      <c r="AL834" s="703"/>
      <c r="AM834" s="703"/>
      <c r="AN834" s="703"/>
      <c r="AO834" s="704"/>
      <c r="AP834" s="705"/>
      <c r="AQ834" s="698"/>
      <c r="AS834" s="220"/>
      <c r="AV834" s="699"/>
      <c r="AW834" s="700"/>
      <c r="AX834" s="382"/>
      <c r="AY834" s="379"/>
      <c r="AZ834" s="384"/>
      <c r="BA834" s="642"/>
    </row>
    <row r="835" spans="1:53" ht="11.25" hidden="1" customHeight="1" x14ac:dyDescent="0.2">
      <c r="A835" s="867"/>
      <c r="C835" s="701"/>
      <c r="D835" s="702"/>
      <c r="E835" s="703"/>
      <c r="F835" s="703"/>
      <c r="G835" s="703"/>
      <c r="H835" s="703"/>
      <c r="I835" s="703"/>
      <c r="J835" s="703"/>
      <c r="K835" s="703"/>
      <c r="L835" s="703"/>
      <c r="M835" s="703"/>
      <c r="N835" s="703"/>
      <c r="O835" s="703"/>
      <c r="P835" s="703"/>
      <c r="Q835" s="703"/>
      <c r="R835" s="703"/>
      <c r="S835" s="703"/>
      <c r="T835" s="703"/>
      <c r="U835" s="703"/>
      <c r="V835" s="703"/>
      <c r="W835" s="703"/>
      <c r="X835" s="703"/>
      <c r="Y835" s="703"/>
      <c r="Z835" s="703"/>
      <c r="AA835" s="703"/>
      <c r="AB835" s="703"/>
      <c r="AC835" s="703"/>
      <c r="AD835" s="703"/>
      <c r="AE835" s="703"/>
      <c r="AF835" s="703"/>
      <c r="AG835" s="703"/>
      <c r="AH835" s="703"/>
      <c r="AI835" s="703"/>
      <c r="AJ835" s="703"/>
      <c r="AK835" s="703"/>
      <c r="AL835" s="703"/>
      <c r="AM835" s="703"/>
      <c r="AN835" s="703"/>
      <c r="AO835" s="704"/>
      <c r="AP835" s="705"/>
      <c r="AQ835" s="698"/>
      <c r="AS835" s="220"/>
      <c r="AV835" s="699"/>
      <c r="AW835" s="700"/>
      <c r="AX835" s="382"/>
      <c r="AY835" s="379"/>
      <c r="AZ835" s="384"/>
      <c r="BA835" s="642"/>
    </row>
    <row r="836" spans="1:53" ht="11.25" hidden="1" customHeight="1" x14ac:dyDescent="0.2">
      <c r="A836" s="867"/>
      <c r="C836" s="701"/>
      <c r="D836" s="702"/>
      <c r="E836" s="703"/>
      <c r="F836" s="703"/>
      <c r="G836" s="703"/>
      <c r="H836" s="703"/>
      <c r="I836" s="703"/>
      <c r="J836" s="703"/>
      <c r="K836" s="703"/>
      <c r="L836" s="703"/>
      <c r="M836" s="703"/>
      <c r="N836" s="703"/>
      <c r="O836" s="703"/>
      <c r="P836" s="703"/>
      <c r="Q836" s="703"/>
      <c r="R836" s="703"/>
      <c r="S836" s="703"/>
      <c r="T836" s="703"/>
      <c r="U836" s="703"/>
      <c r="V836" s="703"/>
      <c r="W836" s="703"/>
      <c r="X836" s="703"/>
      <c r="Y836" s="703"/>
      <c r="Z836" s="703"/>
      <c r="AA836" s="703"/>
      <c r="AB836" s="703"/>
      <c r="AC836" s="703"/>
      <c r="AD836" s="703"/>
      <c r="AE836" s="703"/>
      <c r="AF836" s="703"/>
      <c r="AG836" s="703"/>
      <c r="AH836" s="703"/>
      <c r="AI836" s="703"/>
      <c r="AJ836" s="703"/>
      <c r="AK836" s="703"/>
      <c r="AL836" s="703"/>
      <c r="AM836" s="703"/>
      <c r="AN836" s="703"/>
      <c r="AO836" s="704"/>
      <c r="AP836" s="705"/>
      <c r="AQ836" s="698"/>
      <c r="AS836" s="220"/>
      <c r="AV836" s="699"/>
      <c r="AW836" s="700"/>
      <c r="AX836" s="382"/>
      <c r="AY836" s="379"/>
      <c r="AZ836" s="384"/>
      <c r="BA836" s="642"/>
    </row>
    <row r="837" spans="1:53" ht="11.25" hidden="1" customHeight="1" x14ac:dyDescent="0.2">
      <c r="A837" s="867"/>
      <c r="C837" s="701"/>
      <c r="D837" s="702"/>
      <c r="E837" s="703"/>
      <c r="F837" s="703"/>
      <c r="G837" s="703"/>
      <c r="H837" s="703"/>
      <c r="I837" s="703"/>
      <c r="J837" s="703"/>
      <c r="K837" s="703"/>
      <c r="L837" s="703"/>
      <c r="M837" s="703"/>
      <c r="N837" s="703"/>
      <c r="O837" s="703"/>
      <c r="P837" s="703"/>
      <c r="Q837" s="703"/>
      <c r="R837" s="703"/>
      <c r="S837" s="703"/>
      <c r="T837" s="703"/>
      <c r="U837" s="703"/>
      <c r="V837" s="703"/>
      <c r="W837" s="703"/>
      <c r="X837" s="703"/>
      <c r="Y837" s="703"/>
      <c r="Z837" s="703"/>
      <c r="AA837" s="703"/>
      <c r="AB837" s="703"/>
      <c r="AC837" s="703"/>
      <c r="AD837" s="703"/>
      <c r="AE837" s="703"/>
      <c r="AF837" s="703"/>
      <c r="AG837" s="703"/>
      <c r="AH837" s="703"/>
      <c r="AI837" s="703"/>
      <c r="AJ837" s="703"/>
      <c r="AK837" s="703"/>
      <c r="AL837" s="703"/>
      <c r="AM837" s="703"/>
      <c r="AN837" s="703"/>
      <c r="AO837" s="704"/>
      <c r="AP837" s="705"/>
      <c r="AQ837" s="698"/>
      <c r="AS837" s="220"/>
      <c r="AV837" s="699"/>
      <c r="AW837" s="700"/>
      <c r="AX837" s="382"/>
      <c r="AY837" s="379"/>
      <c r="AZ837" s="384"/>
      <c r="BA837" s="642"/>
    </row>
    <row r="838" spans="1:53" ht="11.25" hidden="1" customHeight="1" x14ac:dyDescent="0.2">
      <c r="A838" s="867"/>
      <c r="C838" s="701"/>
      <c r="D838" s="702"/>
      <c r="E838" s="703"/>
      <c r="F838" s="703"/>
      <c r="G838" s="703"/>
      <c r="H838" s="703"/>
      <c r="I838" s="703"/>
      <c r="J838" s="703"/>
      <c r="K838" s="703"/>
      <c r="L838" s="703"/>
      <c r="M838" s="703"/>
      <c r="N838" s="703"/>
      <c r="O838" s="703"/>
      <c r="P838" s="703"/>
      <c r="Q838" s="703"/>
      <c r="R838" s="703"/>
      <c r="S838" s="703"/>
      <c r="T838" s="703"/>
      <c r="U838" s="703"/>
      <c r="V838" s="703"/>
      <c r="W838" s="703"/>
      <c r="X838" s="703"/>
      <c r="Y838" s="703"/>
      <c r="Z838" s="703"/>
      <c r="AA838" s="703"/>
      <c r="AB838" s="703"/>
      <c r="AC838" s="703"/>
      <c r="AD838" s="703"/>
      <c r="AE838" s="703"/>
      <c r="AF838" s="703"/>
      <c r="AG838" s="703"/>
      <c r="AH838" s="703"/>
      <c r="AI838" s="703"/>
      <c r="AJ838" s="703"/>
      <c r="AK838" s="703"/>
      <c r="AL838" s="703"/>
      <c r="AM838" s="703"/>
      <c r="AN838" s="703"/>
      <c r="AO838" s="704"/>
      <c r="AP838" s="705"/>
      <c r="AQ838" s="698"/>
      <c r="AS838" s="220"/>
      <c r="AV838" s="699"/>
      <c r="AW838" s="700"/>
      <c r="AX838" s="382"/>
      <c r="AY838" s="379"/>
      <c r="AZ838" s="384"/>
      <c r="BA838" s="642"/>
    </row>
    <row r="839" spans="1:53" ht="11.25" hidden="1" customHeight="1" x14ac:dyDescent="0.2">
      <c r="A839" s="867"/>
      <c r="C839" s="701"/>
      <c r="D839" s="702"/>
      <c r="E839" s="703"/>
      <c r="F839" s="703"/>
      <c r="G839" s="703"/>
      <c r="H839" s="703"/>
      <c r="I839" s="703"/>
      <c r="J839" s="703"/>
      <c r="K839" s="703"/>
      <c r="L839" s="703"/>
      <c r="M839" s="703"/>
      <c r="N839" s="703"/>
      <c r="O839" s="703"/>
      <c r="P839" s="703"/>
      <c r="Q839" s="703"/>
      <c r="R839" s="703"/>
      <c r="S839" s="703"/>
      <c r="T839" s="703"/>
      <c r="U839" s="703"/>
      <c r="V839" s="703"/>
      <c r="W839" s="703"/>
      <c r="X839" s="703"/>
      <c r="Y839" s="703"/>
      <c r="Z839" s="703"/>
      <c r="AA839" s="703"/>
      <c r="AB839" s="703"/>
      <c r="AC839" s="703"/>
      <c r="AD839" s="703"/>
      <c r="AE839" s="703"/>
      <c r="AF839" s="703"/>
      <c r="AG839" s="703"/>
      <c r="AH839" s="703"/>
      <c r="AI839" s="703"/>
      <c r="AJ839" s="703"/>
      <c r="AK839" s="703"/>
      <c r="AL839" s="703"/>
      <c r="AM839" s="703"/>
      <c r="AN839" s="703"/>
      <c r="AO839" s="704"/>
      <c r="AP839" s="705"/>
      <c r="AQ839" s="698"/>
      <c r="AS839" s="220"/>
      <c r="AV839" s="699"/>
      <c r="AW839" s="700"/>
      <c r="AX839" s="382"/>
      <c r="AY839" s="379"/>
      <c r="AZ839" s="384"/>
      <c r="BA839" s="642"/>
    </row>
    <row r="840" spans="1:53" ht="11.25" hidden="1" customHeight="1" x14ac:dyDescent="0.2">
      <c r="A840" s="867"/>
      <c r="C840" s="701"/>
      <c r="D840" s="702"/>
      <c r="E840" s="703"/>
      <c r="F840" s="703"/>
      <c r="G840" s="703"/>
      <c r="H840" s="703"/>
      <c r="I840" s="703"/>
      <c r="J840" s="703"/>
      <c r="K840" s="703"/>
      <c r="L840" s="703"/>
      <c r="M840" s="703"/>
      <c r="N840" s="703"/>
      <c r="O840" s="703"/>
      <c r="P840" s="703"/>
      <c r="Q840" s="703"/>
      <c r="R840" s="703"/>
      <c r="S840" s="703"/>
      <c r="T840" s="703"/>
      <c r="U840" s="703"/>
      <c r="V840" s="703"/>
      <c r="W840" s="703"/>
      <c r="X840" s="703"/>
      <c r="Y840" s="703"/>
      <c r="Z840" s="703"/>
      <c r="AA840" s="703"/>
      <c r="AB840" s="703"/>
      <c r="AC840" s="703"/>
      <c r="AD840" s="703"/>
      <c r="AE840" s="703"/>
      <c r="AF840" s="703"/>
      <c r="AG840" s="703"/>
      <c r="AH840" s="703"/>
      <c r="AI840" s="703"/>
      <c r="AJ840" s="703"/>
      <c r="AK840" s="703"/>
      <c r="AL840" s="703"/>
      <c r="AM840" s="703"/>
      <c r="AN840" s="703"/>
      <c r="AO840" s="704"/>
      <c r="AP840" s="705"/>
      <c r="AQ840" s="698"/>
      <c r="AS840" s="220"/>
      <c r="AV840" s="699"/>
      <c r="AW840" s="700"/>
      <c r="AX840" s="382"/>
      <c r="AY840" s="379"/>
      <c r="AZ840" s="384"/>
      <c r="BA840" s="642"/>
    </row>
    <row r="841" spans="1:53" ht="11.25" hidden="1" customHeight="1" x14ac:dyDescent="0.2">
      <c r="A841" s="867"/>
      <c r="C841" s="701"/>
      <c r="D841" s="702"/>
      <c r="E841" s="703"/>
      <c r="F841" s="703"/>
      <c r="G841" s="703"/>
      <c r="H841" s="703"/>
      <c r="I841" s="703"/>
      <c r="J841" s="703"/>
      <c r="K841" s="703"/>
      <c r="L841" s="703"/>
      <c r="M841" s="703"/>
      <c r="N841" s="703"/>
      <c r="O841" s="703"/>
      <c r="P841" s="703"/>
      <c r="Q841" s="703"/>
      <c r="R841" s="703"/>
      <c r="S841" s="703"/>
      <c r="T841" s="703"/>
      <c r="U841" s="703"/>
      <c r="V841" s="703"/>
      <c r="W841" s="703"/>
      <c r="X841" s="703"/>
      <c r="Y841" s="703"/>
      <c r="Z841" s="703"/>
      <c r="AA841" s="703"/>
      <c r="AB841" s="703"/>
      <c r="AC841" s="703"/>
      <c r="AD841" s="703"/>
      <c r="AE841" s="703"/>
      <c r="AF841" s="703"/>
      <c r="AG841" s="703"/>
      <c r="AH841" s="703"/>
      <c r="AI841" s="703"/>
      <c r="AJ841" s="703"/>
      <c r="AK841" s="703"/>
      <c r="AL841" s="703"/>
      <c r="AM841" s="703"/>
      <c r="AN841" s="703"/>
      <c r="AO841" s="704"/>
      <c r="AP841" s="705"/>
      <c r="AQ841" s="698"/>
      <c r="AS841" s="220"/>
      <c r="AV841" s="699"/>
      <c r="AW841" s="700"/>
      <c r="AX841" s="382"/>
      <c r="AY841" s="379"/>
      <c r="AZ841" s="384"/>
      <c r="BA841" s="642"/>
    </row>
    <row r="842" spans="1:53" ht="11.25" hidden="1" customHeight="1" x14ac:dyDescent="0.2">
      <c r="A842" s="867"/>
      <c r="C842" s="701"/>
      <c r="D842" s="702"/>
      <c r="E842" s="703"/>
      <c r="F842" s="703"/>
      <c r="G842" s="703"/>
      <c r="H842" s="703"/>
      <c r="I842" s="703"/>
      <c r="J842" s="703"/>
      <c r="K842" s="703"/>
      <c r="L842" s="703"/>
      <c r="M842" s="703"/>
      <c r="N842" s="703"/>
      <c r="O842" s="703"/>
      <c r="P842" s="703"/>
      <c r="Q842" s="703"/>
      <c r="R842" s="703"/>
      <c r="S842" s="703"/>
      <c r="T842" s="703"/>
      <c r="U842" s="703"/>
      <c r="V842" s="703"/>
      <c r="W842" s="703"/>
      <c r="X842" s="703"/>
      <c r="Y842" s="703"/>
      <c r="Z842" s="703"/>
      <c r="AA842" s="703"/>
      <c r="AB842" s="703"/>
      <c r="AC842" s="703"/>
      <c r="AD842" s="703"/>
      <c r="AE842" s="703"/>
      <c r="AF842" s="703"/>
      <c r="AG842" s="703"/>
      <c r="AH842" s="703"/>
      <c r="AI842" s="703"/>
      <c r="AJ842" s="703"/>
      <c r="AK842" s="703"/>
      <c r="AL842" s="703"/>
      <c r="AM842" s="703"/>
      <c r="AN842" s="703"/>
      <c r="AO842" s="704"/>
      <c r="AP842" s="705"/>
      <c r="AQ842" s="698"/>
      <c r="AS842" s="220"/>
      <c r="AV842" s="699"/>
      <c r="AW842" s="700"/>
      <c r="AX842" s="382"/>
      <c r="AY842" s="379"/>
      <c r="AZ842" s="384"/>
      <c r="BA842" s="642"/>
    </row>
    <row r="843" spans="1:53" ht="11.25" hidden="1" customHeight="1" x14ac:dyDescent="0.2">
      <c r="A843" s="867"/>
      <c r="C843" s="701"/>
      <c r="D843" s="702"/>
      <c r="E843" s="703"/>
      <c r="F843" s="703"/>
      <c r="G843" s="703"/>
      <c r="H843" s="703"/>
      <c r="I843" s="703"/>
      <c r="J843" s="703"/>
      <c r="K843" s="703"/>
      <c r="L843" s="703"/>
      <c r="M843" s="703"/>
      <c r="N843" s="703"/>
      <c r="O843" s="703"/>
      <c r="P843" s="703"/>
      <c r="Q843" s="703"/>
      <c r="R843" s="703"/>
      <c r="S843" s="703"/>
      <c r="T843" s="703"/>
      <c r="U843" s="703"/>
      <c r="V843" s="703"/>
      <c r="W843" s="703"/>
      <c r="X843" s="703"/>
      <c r="Y843" s="703"/>
      <c r="Z843" s="703"/>
      <c r="AA843" s="703"/>
      <c r="AB843" s="703"/>
      <c r="AC843" s="703"/>
      <c r="AD843" s="703"/>
      <c r="AE843" s="703"/>
      <c r="AF843" s="703"/>
      <c r="AG843" s="703"/>
      <c r="AH843" s="703"/>
      <c r="AI843" s="703"/>
      <c r="AJ843" s="703"/>
      <c r="AK843" s="703"/>
      <c r="AL843" s="703"/>
      <c r="AM843" s="703"/>
      <c r="AN843" s="703"/>
      <c r="AO843" s="704"/>
      <c r="AP843" s="705"/>
      <c r="AQ843" s="698"/>
      <c r="AS843" s="220"/>
      <c r="AV843" s="699"/>
      <c r="AW843" s="700"/>
      <c r="AX843" s="382"/>
      <c r="AY843" s="379"/>
      <c r="AZ843" s="384"/>
      <c r="BA843" s="642"/>
    </row>
    <row r="844" spans="1:53" ht="11.25" hidden="1" customHeight="1" x14ac:dyDescent="0.2">
      <c r="A844" s="867"/>
      <c r="C844" s="701"/>
      <c r="D844" s="702"/>
      <c r="E844" s="703"/>
      <c r="F844" s="703"/>
      <c r="G844" s="703"/>
      <c r="H844" s="703"/>
      <c r="I844" s="703"/>
      <c r="J844" s="703"/>
      <c r="K844" s="703"/>
      <c r="L844" s="703"/>
      <c r="M844" s="703"/>
      <c r="N844" s="703"/>
      <c r="O844" s="703"/>
      <c r="P844" s="703"/>
      <c r="Q844" s="703"/>
      <c r="R844" s="703"/>
      <c r="S844" s="703"/>
      <c r="T844" s="703"/>
      <c r="U844" s="703"/>
      <c r="V844" s="703"/>
      <c r="W844" s="703"/>
      <c r="X844" s="703"/>
      <c r="Y844" s="703"/>
      <c r="Z844" s="703"/>
      <c r="AA844" s="703"/>
      <c r="AB844" s="703"/>
      <c r="AC844" s="703"/>
      <c r="AD844" s="703"/>
      <c r="AE844" s="703"/>
      <c r="AF844" s="703"/>
      <c r="AG844" s="703"/>
      <c r="AH844" s="703"/>
      <c r="AI844" s="703"/>
      <c r="AJ844" s="703"/>
      <c r="AK844" s="703"/>
      <c r="AL844" s="703"/>
      <c r="AM844" s="703"/>
      <c r="AN844" s="703"/>
      <c r="AO844" s="704"/>
      <c r="AP844" s="705"/>
      <c r="AQ844" s="698"/>
      <c r="AS844" s="220"/>
      <c r="AV844" s="699"/>
      <c r="AW844" s="700"/>
      <c r="AX844" s="382"/>
      <c r="AY844" s="379"/>
      <c r="AZ844" s="384"/>
      <c r="BA844" s="642"/>
    </row>
    <row r="845" spans="1:53" ht="11.25" hidden="1" customHeight="1" x14ac:dyDescent="0.2">
      <c r="A845" s="867"/>
      <c r="C845" s="701"/>
      <c r="D845" s="702"/>
      <c r="E845" s="703"/>
      <c r="F845" s="703"/>
      <c r="G845" s="703"/>
      <c r="H845" s="703"/>
      <c r="I845" s="703"/>
      <c r="J845" s="703"/>
      <c r="K845" s="703"/>
      <c r="L845" s="703"/>
      <c r="M845" s="703"/>
      <c r="N845" s="703"/>
      <c r="O845" s="703"/>
      <c r="P845" s="703"/>
      <c r="Q845" s="703"/>
      <c r="R845" s="703"/>
      <c r="S845" s="703"/>
      <c r="T845" s="703"/>
      <c r="U845" s="703"/>
      <c r="V845" s="703"/>
      <c r="W845" s="703"/>
      <c r="X845" s="703"/>
      <c r="Y845" s="703"/>
      <c r="Z845" s="703"/>
      <c r="AA845" s="703"/>
      <c r="AB845" s="703"/>
      <c r="AC845" s="703"/>
      <c r="AD845" s="703"/>
      <c r="AE845" s="703"/>
      <c r="AF845" s="703"/>
      <c r="AG845" s="703"/>
      <c r="AH845" s="703"/>
      <c r="AI845" s="703"/>
      <c r="AJ845" s="703"/>
      <c r="AK845" s="703"/>
      <c r="AL845" s="703"/>
      <c r="AM845" s="703"/>
      <c r="AN845" s="703"/>
      <c r="AO845" s="704"/>
      <c r="AP845" s="705"/>
      <c r="AQ845" s="698"/>
      <c r="AS845" s="220"/>
      <c r="AV845" s="699"/>
      <c r="AW845" s="700"/>
      <c r="AX845" s="382"/>
      <c r="AY845" s="379"/>
      <c r="AZ845" s="384"/>
      <c r="BA845" s="642"/>
    </row>
    <row r="846" spans="1:53" ht="11.25" hidden="1" customHeight="1" x14ac:dyDescent="0.2">
      <c r="A846" s="867"/>
      <c r="C846" s="706"/>
      <c r="D846" s="707"/>
      <c r="E846" s="708"/>
      <c r="F846" s="708"/>
      <c r="G846" s="708"/>
      <c r="H846" s="708"/>
      <c r="I846" s="708"/>
      <c r="J846" s="708"/>
      <c r="K846" s="708"/>
      <c r="L846" s="708"/>
      <c r="M846" s="708"/>
      <c r="N846" s="708"/>
      <c r="O846" s="708"/>
      <c r="P846" s="708"/>
      <c r="Q846" s="708"/>
      <c r="R846" s="708"/>
      <c r="S846" s="708"/>
      <c r="T846" s="708"/>
      <c r="U846" s="708"/>
      <c r="V846" s="708"/>
      <c r="W846" s="708"/>
      <c r="X846" s="708"/>
      <c r="Y846" s="708"/>
      <c r="Z846" s="708"/>
      <c r="AA846" s="708"/>
      <c r="AB846" s="708"/>
      <c r="AC846" s="708"/>
      <c r="AD846" s="708"/>
      <c r="AE846" s="708"/>
      <c r="AF846" s="708"/>
      <c r="AG846" s="708"/>
      <c r="AH846" s="708"/>
      <c r="AI846" s="708"/>
      <c r="AJ846" s="708"/>
      <c r="AK846" s="708"/>
      <c r="AL846" s="708"/>
      <c r="AM846" s="708"/>
      <c r="AN846" s="708"/>
      <c r="AO846" s="709"/>
      <c r="AP846" s="710"/>
      <c r="AQ846" s="698"/>
      <c r="AS846" s="220"/>
      <c r="AV846" s="699"/>
      <c r="AW846" s="700"/>
      <c r="AX846" s="382"/>
      <c r="AY846" s="379"/>
      <c r="AZ846" s="384"/>
      <c r="BA846" s="642"/>
    </row>
    <row r="847" spans="1:53" ht="13.5" hidden="1" customHeight="1" x14ac:dyDescent="0.2">
      <c r="A847" s="867"/>
      <c r="AV847" s="699"/>
      <c r="AW847" s="700"/>
      <c r="AX847" s="642"/>
      <c r="AY847" s="642"/>
      <c r="BA847" s="642"/>
    </row>
    <row r="848" spans="1:53" ht="1.5" hidden="1" customHeight="1" x14ac:dyDescent="0.2">
      <c r="A848" s="867"/>
      <c r="AV848" s="699"/>
      <c r="AW848" s="700"/>
    </row>
    <row r="849" spans="1:54" s="186" customFormat="1" ht="11.25" hidden="1" customHeight="1" x14ac:dyDescent="0.2">
      <c r="A849" s="867"/>
      <c r="AS849" s="672"/>
      <c r="AU849" s="669"/>
      <c r="AV849" s="699"/>
      <c r="AW849" s="700"/>
      <c r="AX849" s="643"/>
      <c r="AY849" s="643"/>
      <c r="AZ849" s="671"/>
      <c r="BA849" s="643"/>
      <c r="BB849" s="669"/>
    </row>
    <row r="850" spans="1:54" s="673" customFormat="1" ht="13.5" hidden="1" customHeight="1" x14ac:dyDescent="0.2">
      <c r="A850" s="867"/>
      <c r="D850" s="674"/>
      <c r="E850" s="674"/>
      <c r="F850" s="674"/>
      <c r="G850" s="674"/>
      <c r="H850" s="674"/>
      <c r="I850" s="674"/>
      <c r="J850" s="674"/>
      <c r="K850" s="674"/>
      <c r="L850" s="674"/>
      <c r="M850" s="674"/>
      <c r="N850" s="674"/>
      <c r="O850" s="674"/>
      <c r="P850" s="674"/>
      <c r="Q850" s="674"/>
      <c r="R850" s="674"/>
      <c r="S850" s="674"/>
      <c r="T850" s="674"/>
      <c r="U850" s="674"/>
      <c r="V850" s="674"/>
      <c r="W850" s="674"/>
      <c r="X850" s="674"/>
      <c r="Y850" s="674"/>
      <c r="Z850" s="674"/>
      <c r="AA850" s="674"/>
      <c r="AB850" s="674"/>
      <c r="AC850" s="674"/>
      <c r="AD850" s="674"/>
      <c r="AE850" s="674"/>
      <c r="AF850" s="674"/>
      <c r="AG850" s="674"/>
      <c r="AH850" s="674"/>
      <c r="AI850" s="674"/>
      <c r="AJ850" s="674"/>
      <c r="AK850" s="674"/>
      <c r="AL850" s="674"/>
      <c r="AM850" s="674"/>
      <c r="AN850" s="674"/>
      <c r="AO850" s="674"/>
      <c r="AP850" s="674"/>
      <c r="AS850" s="675"/>
      <c r="AU850" s="643"/>
      <c r="AV850" s="699"/>
      <c r="AW850" s="700"/>
      <c r="AX850" s="643"/>
      <c r="AY850" s="643"/>
      <c r="AZ850" s="671"/>
      <c r="BA850" s="643"/>
      <c r="BB850" s="643"/>
    </row>
    <row r="851" spans="1:54" s="673" customFormat="1" ht="13.5" hidden="1" customHeight="1" x14ac:dyDescent="0.2">
      <c r="A851" s="867"/>
      <c r="C851" s="324"/>
      <c r="D851" s="383"/>
      <c r="E851" s="383"/>
      <c r="F851" s="383"/>
      <c r="G851" s="383"/>
      <c r="H851" s="383"/>
      <c r="I851" s="383"/>
      <c r="J851" s="383"/>
      <c r="K851" s="383"/>
      <c r="L851" s="383"/>
      <c r="M851" s="383"/>
      <c r="N851" s="383"/>
      <c r="O851" s="383"/>
      <c r="P851" s="383"/>
      <c r="Q851" s="383"/>
      <c r="R851" s="383"/>
      <c r="S851" s="383"/>
      <c r="T851" s="383"/>
      <c r="U851" s="383"/>
      <c r="V851" s="383"/>
      <c r="W851" s="383"/>
      <c r="X851" s="383"/>
      <c r="Y851" s="383"/>
      <c r="Z851" s="383"/>
      <c r="AA851" s="383"/>
      <c r="AB851" s="383"/>
      <c r="AC851" s="383"/>
      <c r="AD851" s="383"/>
      <c r="AE851" s="383"/>
      <c r="AF851" s="383"/>
      <c r="AG851" s="383"/>
      <c r="AH851" s="383"/>
      <c r="AI851" s="383"/>
      <c r="AJ851" s="383"/>
      <c r="AK851" s="383"/>
      <c r="AL851" s="383"/>
      <c r="AM851" s="383"/>
      <c r="AN851" s="383"/>
      <c r="AO851" s="383"/>
      <c r="AP851" s="674"/>
      <c r="AS851" s="675"/>
      <c r="AU851" s="643"/>
      <c r="AV851" s="699"/>
      <c r="AW851" s="700"/>
      <c r="AX851" s="643"/>
      <c r="AY851" s="643"/>
      <c r="AZ851" s="671"/>
      <c r="BA851" s="643"/>
      <c r="BB851" s="643"/>
    </row>
    <row r="852" spans="1:54" s="673" customFormat="1" ht="13.5" hidden="1" customHeight="1" x14ac:dyDescent="0.2">
      <c r="A852" s="867"/>
      <c r="D852" s="383"/>
      <c r="E852" s="383"/>
      <c r="F852" s="383"/>
      <c r="G852" s="383"/>
      <c r="H852" s="383"/>
      <c r="I852" s="383"/>
      <c r="J852" s="383"/>
      <c r="K852" s="383"/>
      <c r="L852" s="383"/>
      <c r="M852" s="383"/>
      <c r="N852" s="383"/>
      <c r="O852" s="383"/>
      <c r="P852" s="383"/>
      <c r="Q852" s="383"/>
      <c r="R852" s="383"/>
      <c r="S852" s="383"/>
      <c r="T852" s="383"/>
      <c r="U852" s="383"/>
      <c r="V852" s="383"/>
      <c r="W852" s="383"/>
      <c r="X852" s="383"/>
      <c r="Y852" s="383"/>
      <c r="Z852" s="383"/>
      <c r="AA852" s="383"/>
      <c r="AB852" s="383"/>
      <c r="AC852" s="383"/>
      <c r="AD852" s="383"/>
      <c r="AE852" s="383"/>
      <c r="AF852" s="383"/>
      <c r="AG852" s="383"/>
      <c r="AH852" s="383"/>
      <c r="AI852" s="383"/>
      <c r="AJ852" s="383"/>
      <c r="AK852" s="383"/>
      <c r="AL852" s="383"/>
      <c r="AM852" s="383"/>
      <c r="AN852" s="383"/>
      <c r="AO852" s="383"/>
      <c r="AP852" s="674"/>
      <c r="AS852" s="675"/>
      <c r="AU852" s="643"/>
      <c r="AV852" s="699"/>
      <c r="AW852" s="700"/>
      <c r="AX852" s="643"/>
      <c r="AY852" s="643"/>
      <c r="AZ852" s="671"/>
      <c r="BA852" s="643"/>
      <c r="BB852" s="643"/>
    </row>
    <row r="853" spans="1:54" s="673" customFormat="1" ht="13.5" hidden="1" customHeight="1" x14ac:dyDescent="0.2">
      <c r="A853" s="867"/>
      <c r="D853" s="676"/>
      <c r="E853" s="676"/>
      <c r="F853" s="676"/>
      <c r="G853" s="676"/>
      <c r="H853" s="676"/>
      <c r="I853" s="676"/>
      <c r="J853" s="676"/>
      <c r="K853" s="676"/>
      <c r="L853" s="676"/>
      <c r="M853" s="676"/>
      <c r="N853" s="676"/>
      <c r="O853" s="676"/>
      <c r="P853" s="676"/>
      <c r="Q853" s="676"/>
      <c r="R853" s="676"/>
      <c r="S853" s="676"/>
      <c r="T853" s="676"/>
      <c r="U853" s="676"/>
      <c r="V853" s="676"/>
      <c r="W853" s="676"/>
      <c r="X853" s="676"/>
      <c r="Y853" s="676"/>
      <c r="Z853" s="676"/>
      <c r="AA853" s="676"/>
      <c r="AB853" s="676"/>
      <c r="AC853" s="676"/>
      <c r="AD853" s="676"/>
      <c r="AE853" s="676"/>
      <c r="AF853" s="676"/>
      <c r="AG853" s="676"/>
      <c r="AH853" s="676"/>
      <c r="AI853" s="676"/>
      <c r="AJ853" s="676"/>
      <c r="AK853" s="676"/>
      <c r="AL853" s="676"/>
      <c r="AM853" s="676"/>
      <c r="AN853" s="676"/>
      <c r="AO853" s="676"/>
      <c r="AP853" s="674"/>
      <c r="AS853" s="675"/>
      <c r="AU853" s="643"/>
      <c r="AV853" s="699"/>
      <c r="AW853" s="700"/>
      <c r="AX853" s="643"/>
      <c r="AY853" s="643"/>
      <c r="AZ853" s="671"/>
      <c r="BA853" s="643"/>
      <c r="BB853" s="643"/>
    </row>
    <row r="854" spans="1:54" s="673" customFormat="1" ht="13.5" hidden="1" customHeight="1" x14ac:dyDescent="0.2">
      <c r="A854" s="867"/>
      <c r="D854" s="677"/>
      <c r="E854" s="677"/>
      <c r="F854" s="677"/>
      <c r="G854" s="677"/>
      <c r="H854" s="677"/>
      <c r="I854" s="677"/>
      <c r="J854" s="677"/>
      <c r="K854" s="677"/>
      <c r="L854" s="677"/>
      <c r="M854" s="677"/>
      <c r="N854" s="677"/>
      <c r="O854" s="677"/>
      <c r="P854" s="677"/>
      <c r="Q854" s="677"/>
      <c r="R854" s="677"/>
      <c r="S854" s="677"/>
      <c r="T854" s="677"/>
      <c r="U854" s="677"/>
      <c r="V854" s="677"/>
      <c r="W854" s="677"/>
      <c r="X854" s="677"/>
      <c r="Y854" s="677"/>
      <c r="Z854" s="677"/>
      <c r="AA854" s="677"/>
      <c r="AB854" s="677"/>
      <c r="AC854" s="677"/>
      <c r="AD854" s="677"/>
      <c r="AE854" s="677"/>
      <c r="AF854" s="677"/>
      <c r="AG854" s="677"/>
      <c r="AH854" s="677"/>
      <c r="AI854" s="677"/>
      <c r="AJ854" s="677"/>
      <c r="AK854" s="677"/>
      <c r="AL854" s="677"/>
      <c r="AM854" s="677"/>
      <c r="AN854" s="677"/>
      <c r="AO854" s="677"/>
      <c r="AP854" s="674"/>
      <c r="AS854" s="675"/>
      <c r="AU854" s="643"/>
      <c r="AV854" s="699"/>
      <c r="AW854" s="700"/>
      <c r="AY854" s="643"/>
      <c r="AZ854" s="671"/>
      <c r="BA854" s="643"/>
      <c r="BB854" s="643"/>
    </row>
    <row r="855" spans="1:54" s="673" customFormat="1" ht="13.5" hidden="1" customHeight="1" x14ac:dyDescent="0.2">
      <c r="A855" s="867"/>
      <c r="D855" s="677"/>
      <c r="E855" s="677"/>
      <c r="F855" s="677"/>
      <c r="G855" s="677"/>
      <c r="H855" s="677"/>
      <c r="I855" s="677"/>
      <c r="J855" s="677"/>
      <c r="K855" s="677"/>
      <c r="L855" s="677"/>
      <c r="M855" s="677"/>
      <c r="N855" s="677"/>
      <c r="O855" s="677"/>
      <c r="P855" s="677"/>
      <c r="Q855" s="677"/>
      <c r="R855" s="677"/>
      <c r="S855" s="677"/>
      <c r="T855" s="677"/>
      <c r="U855" s="677"/>
      <c r="V855" s="677"/>
      <c r="W855" s="677"/>
      <c r="X855" s="677"/>
      <c r="Y855" s="677"/>
      <c r="Z855" s="677"/>
      <c r="AA855" s="677"/>
      <c r="AB855" s="677"/>
      <c r="AC855" s="677"/>
      <c r="AD855" s="677"/>
      <c r="AE855" s="677"/>
      <c r="AF855" s="677"/>
      <c r="AG855" s="677"/>
      <c r="AH855" s="677"/>
      <c r="AI855" s="677"/>
      <c r="AJ855" s="677"/>
      <c r="AK855" s="677"/>
      <c r="AL855" s="677"/>
      <c r="AM855" s="677"/>
      <c r="AN855" s="677"/>
      <c r="AO855" s="677"/>
      <c r="AP855" s="674"/>
      <c r="AS855" s="675"/>
      <c r="AU855" s="643"/>
      <c r="AV855" s="699"/>
      <c r="AW855" s="700"/>
      <c r="AX855" s="643"/>
      <c r="AY855" s="643"/>
      <c r="AZ855" s="671"/>
      <c r="BA855" s="643"/>
      <c r="BB855" s="643"/>
    </row>
    <row r="856" spans="1:54" s="673" customFormat="1" ht="13.5" hidden="1" customHeight="1" x14ac:dyDescent="0.2">
      <c r="A856" s="867"/>
      <c r="D856" s="674"/>
      <c r="E856" s="674"/>
      <c r="F856" s="674"/>
      <c r="G856" s="674"/>
      <c r="H856" s="674"/>
      <c r="I856" s="674"/>
      <c r="J856" s="674"/>
      <c r="K856" s="674"/>
      <c r="L856" s="674"/>
      <c r="M856" s="674"/>
      <c r="N856" s="674"/>
      <c r="O856" s="674"/>
      <c r="P856" s="674"/>
      <c r="Q856" s="674"/>
      <c r="R856" s="674"/>
      <c r="S856" s="674"/>
      <c r="T856" s="674"/>
      <c r="U856" s="674"/>
      <c r="V856" s="674"/>
      <c r="W856" s="674"/>
      <c r="X856" s="674"/>
      <c r="Y856" s="674"/>
      <c r="Z856" s="674"/>
      <c r="AA856" s="674"/>
      <c r="AB856" s="674"/>
      <c r="AC856" s="674"/>
      <c r="AD856" s="674"/>
      <c r="AE856" s="674"/>
      <c r="AF856" s="674"/>
      <c r="AG856" s="674"/>
      <c r="AH856" s="674"/>
      <c r="AI856" s="674"/>
      <c r="AJ856" s="674"/>
      <c r="AK856" s="674"/>
      <c r="AL856" s="674"/>
      <c r="AM856" s="674"/>
      <c r="AN856" s="674"/>
      <c r="AO856" s="674"/>
      <c r="AP856" s="674"/>
      <c r="AS856" s="675"/>
      <c r="AU856" s="643"/>
      <c r="AV856" s="699"/>
      <c r="AW856" s="700"/>
      <c r="AX856" s="643"/>
      <c r="AY856" s="643"/>
      <c r="AZ856" s="671"/>
      <c r="BA856" s="643"/>
      <c r="BB856" s="643"/>
    </row>
    <row r="857" spans="1:54" s="673" customFormat="1" ht="13.5" hidden="1" customHeight="1" x14ac:dyDescent="0.2">
      <c r="A857" s="867"/>
      <c r="D857" s="674"/>
      <c r="E857" s="674"/>
      <c r="F857" s="674"/>
      <c r="G857" s="674"/>
      <c r="H857" s="674"/>
      <c r="I857" s="674"/>
      <c r="J857" s="674"/>
      <c r="K857" s="674"/>
      <c r="L857" s="674"/>
      <c r="M857" s="674"/>
      <c r="N857" s="674"/>
      <c r="O857" s="674"/>
      <c r="P857" s="674"/>
      <c r="Q857" s="674"/>
      <c r="R857" s="674"/>
      <c r="S857" s="674"/>
      <c r="T857" s="674"/>
      <c r="U857" s="674"/>
      <c r="V857" s="674"/>
      <c r="W857" s="674"/>
      <c r="X857" s="674"/>
      <c r="Y857" s="674"/>
      <c r="Z857" s="674"/>
      <c r="AA857" s="674"/>
      <c r="AB857" s="674"/>
      <c r="AC857" s="674"/>
      <c r="AD857" s="674"/>
      <c r="AE857" s="674"/>
      <c r="AF857" s="674"/>
      <c r="AG857" s="674"/>
      <c r="AH857" s="674"/>
      <c r="AI857" s="674"/>
      <c r="AJ857" s="674"/>
      <c r="AK857" s="674"/>
      <c r="AL857" s="674"/>
      <c r="AM857" s="674"/>
      <c r="AN857" s="674"/>
      <c r="AO857" s="674"/>
      <c r="AP857" s="674"/>
      <c r="AS857" s="675"/>
      <c r="AU857" s="643"/>
      <c r="AV857" s="699"/>
      <c r="AW857" s="700"/>
      <c r="AX857" s="643"/>
      <c r="AY857" s="643"/>
      <c r="AZ857" s="671"/>
      <c r="BA857" s="643"/>
      <c r="BB857" s="643"/>
    </row>
    <row r="858" spans="1:54" s="673" customFormat="1" ht="13.5" hidden="1" customHeight="1" x14ac:dyDescent="0.2">
      <c r="A858" s="867"/>
      <c r="D858" s="674"/>
      <c r="E858" s="674"/>
      <c r="F858" s="674"/>
      <c r="G858" s="674"/>
      <c r="H858" s="674"/>
      <c r="I858" s="674"/>
      <c r="J858" s="674"/>
      <c r="K858" s="674"/>
      <c r="L858" s="674"/>
      <c r="M858" s="674"/>
      <c r="N858" s="674"/>
      <c r="O858" s="674"/>
      <c r="P858" s="674"/>
      <c r="Q858" s="674"/>
      <c r="R858" s="674"/>
      <c r="S858" s="674"/>
      <c r="T858" s="674"/>
      <c r="U858" s="674"/>
      <c r="V858" s="674"/>
      <c r="W858" s="674"/>
      <c r="X858" s="674"/>
      <c r="Y858" s="674"/>
      <c r="Z858" s="674"/>
      <c r="AA858" s="674"/>
      <c r="AB858" s="674"/>
      <c r="AC858" s="674"/>
      <c r="AD858" s="674"/>
      <c r="AE858" s="674"/>
      <c r="AF858" s="674"/>
      <c r="AG858" s="674"/>
      <c r="AH858" s="674"/>
      <c r="AI858" s="674"/>
      <c r="AJ858" s="674"/>
      <c r="AK858" s="674"/>
      <c r="AL858" s="674"/>
      <c r="AM858" s="674"/>
      <c r="AN858" s="674"/>
      <c r="AO858" s="674"/>
      <c r="AP858" s="674"/>
      <c r="AS858" s="675"/>
      <c r="AU858" s="643"/>
      <c r="AV858" s="699"/>
      <c r="AW858" s="700"/>
      <c r="AX858" s="643"/>
      <c r="AY858" s="643"/>
      <c r="AZ858" s="671"/>
      <c r="BA858" s="643"/>
      <c r="BB858" s="643"/>
    </row>
    <row r="859" spans="1:54" s="673" customFormat="1" ht="13.5" hidden="1" customHeight="1" x14ac:dyDescent="0.2">
      <c r="A859" s="867"/>
      <c r="D859" s="674"/>
      <c r="E859" s="674"/>
      <c r="F859" s="674"/>
      <c r="G859" s="674"/>
      <c r="H859" s="674"/>
      <c r="I859" s="674"/>
      <c r="J859" s="674"/>
      <c r="K859" s="674"/>
      <c r="L859" s="674"/>
      <c r="M859" s="674"/>
      <c r="N859" s="674"/>
      <c r="O859" s="674"/>
      <c r="P859" s="674"/>
      <c r="Q859" s="674"/>
      <c r="R859" s="674"/>
      <c r="S859" s="674"/>
      <c r="T859" s="674"/>
      <c r="U859" s="674"/>
      <c r="V859" s="674"/>
      <c r="W859" s="674"/>
      <c r="X859" s="674"/>
      <c r="Y859" s="674"/>
      <c r="Z859" s="674"/>
      <c r="AA859" s="674"/>
      <c r="AB859" s="674"/>
      <c r="AC859" s="674"/>
      <c r="AD859" s="674"/>
      <c r="AE859" s="674"/>
      <c r="AF859" s="674"/>
      <c r="AG859" s="674"/>
      <c r="AH859" s="674"/>
      <c r="AI859" s="674"/>
      <c r="AJ859" s="674"/>
      <c r="AK859" s="674"/>
      <c r="AL859" s="674"/>
      <c r="AM859" s="674"/>
      <c r="AN859" s="674"/>
      <c r="AO859" s="674"/>
      <c r="AP859" s="674"/>
      <c r="AS859" s="675"/>
      <c r="AU859" s="643"/>
      <c r="AV859" s="699"/>
      <c r="AW859" s="700"/>
      <c r="AX859" s="643"/>
      <c r="AY859" s="643"/>
      <c r="AZ859" s="671"/>
      <c r="BA859" s="643"/>
      <c r="BB859" s="643"/>
    </row>
    <row r="860" spans="1:54" s="673" customFormat="1" ht="13.5" hidden="1" customHeight="1" x14ac:dyDescent="0.2">
      <c r="A860" s="867"/>
      <c r="D860" s="674"/>
      <c r="E860" s="674"/>
      <c r="F860" s="674"/>
      <c r="G860" s="674"/>
      <c r="H860" s="674"/>
      <c r="I860" s="674"/>
      <c r="J860" s="674"/>
      <c r="K860" s="674"/>
      <c r="L860" s="674"/>
      <c r="M860" s="674"/>
      <c r="N860" s="674"/>
      <c r="O860" s="674"/>
      <c r="P860" s="674"/>
      <c r="Q860" s="674"/>
      <c r="R860" s="674"/>
      <c r="S860" s="674"/>
      <c r="T860" s="674"/>
      <c r="U860" s="674"/>
      <c r="V860" s="674"/>
      <c r="W860" s="674"/>
      <c r="X860" s="674"/>
      <c r="Y860" s="674"/>
      <c r="Z860" s="674"/>
      <c r="AA860" s="674"/>
      <c r="AB860" s="674"/>
      <c r="AC860" s="674"/>
      <c r="AD860" s="674"/>
      <c r="AE860" s="674"/>
      <c r="AF860" s="674"/>
      <c r="AG860" s="674"/>
      <c r="AH860" s="674"/>
      <c r="AI860" s="674"/>
      <c r="AJ860" s="674"/>
      <c r="AK860" s="674"/>
      <c r="AL860" s="674"/>
      <c r="AM860" s="674"/>
      <c r="AN860" s="674"/>
      <c r="AO860" s="674"/>
      <c r="AP860" s="674"/>
      <c r="AS860" s="675"/>
      <c r="AU860" s="643"/>
      <c r="AV860" s="699"/>
      <c r="AW860" s="700"/>
      <c r="AX860" s="643"/>
      <c r="AY860" s="643"/>
      <c r="AZ860" s="671"/>
      <c r="BA860" s="643"/>
      <c r="BB860" s="643"/>
    </row>
    <row r="861" spans="1:54" s="186" customFormat="1" ht="11.25" hidden="1" customHeight="1" x14ac:dyDescent="0.2">
      <c r="A861" s="867"/>
      <c r="D861" s="678"/>
      <c r="E861" s="678"/>
      <c r="F861" s="678"/>
      <c r="G861" s="678"/>
      <c r="H861" s="678"/>
      <c r="I861" s="678"/>
      <c r="J861" s="678"/>
      <c r="K861" s="678"/>
      <c r="L861" s="678"/>
      <c r="M861" s="678"/>
      <c r="N861" s="678"/>
      <c r="O861" s="678"/>
      <c r="P861" s="678"/>
      <c r="Q861" s="678"/>
      <c r="R861" s="678"/>
      <c r="S861" s="678"/>
      <c r="T861" s="678"/>
      <c r="U861" s="678"/>
      <c r="V861" s="678"/>
      <c r="W861" s="678"/>
      <c r="X861" s="678"/>
      <c r="Y861" s="678"/>
      <c r="Z861" s="678"/>
      <c r="AA861" s="678"/>
      <c r="AB861" s="678"/>
      <c r="AC861" s="678"/>
      <c r="AD861" s="678"/>
      <c r="AE861" s="678"/>
      <c r="AF861" s="678"/>
      <c r="AG861" s="678"/>
      <c r="AH861" s="678"/>
      <c r="AI861" s="678"/>
      <c r="AJ861" s="678"/>
      <c r="AK861" s="678"/>
      <c r="AL861" s="678"/>
      <c r="AM861" s="678"/>
      <c r="AN861" s="678"/>
      <c r="AO861" s="678"/>
      <c r="AP861" s="678"/>
      <c r="AS861" s="672"/>
      <c r="AU861" s="669"/>
      <c r="AV861" s="699"/>
      <c r="AW861" s="700"/>
      <c r="AX861" s="643"/>
      <c r="AY861" s="643"/>
      <c r="AZ861" s="671"/>
      <c r="BA861" s="643"/>
      <c r="BB861" s="669"/>
    </row>
    <row r="862" spans="1:54" ht="26.25" hidden="1" customHeight="1" x14ac:dyDescent="0.2">
      <c r="A862" s="867"/>
      <c r="C862" s="679"/>
      <c r="D862" s="680"/>
      <c r="E862" s="680"/>
      <c r="F862" s="680"/>
      <c r="G862" s="680"/>
      <c r="H862" s="680"/>
      <c r="I862" s="680"/>
      <c r="J862" s="680"/>
      <c r="K862" s="680"/>
      <c r="L862" s="680"/>
      <c r="M862" s="680"/>
      <c r="N862" s="680"/>
      <c r="O862" s="680"/>
      <c r="P862" s="680"/>
      <c r="Q862" s="680"/>
      <c r="R862" s="680"/>
      <c r="S862" s="680"/>
      <c r="T862" s="680"/>
      <c r="U862" s="680"/>
      <c r="V862" s="680"/>
      <c r="W862" s="680"/>
      <c r="X862" s="680"/>
      <c r="Y862" s="680"/>
      <c r="Z862" s="680"/>
      <c r="AA862" s="680"/>
      <c r="AB862" s="680"/>
      <c r="AC862" s="680"/>
      <c r="AD862" s="680"/>
      <c r="AE862" s="680"/>
      <c r="AF862" s="680"/>
      <c r="AG862" s="680"/>
      <c r="AH862" s="680"/>
      <c r="AI862" s="680"/>
      <c r="AJ862" s="680"/>
      <c r="AK862" s="680"/>
      <c r="AL862" s="680"/>
      <c r="AM862" s="680"/>
      <c r="AN862" s="680"/>
      <c r="AO862" s="680"/>
      <c r="AP862" s="868"/>
      <c r="AV862" s="699"/>
      <c r="AW862" s="700"/>
    </row>
    <row r="863" spans="1:54" ht="11.25" hidden="1" customHeight="1" x14ac:dyDescent="0.2">
      <c r="A863" s="867"/>
      <c r="C863" s="681"/>
      <c r="D863" s="682"/>
      <c r="E863" s="682"/>
      <c r="F863" s="682"/>
      <c r="G863" s="682"/>
      <c r="H863" s="682"/>
      <c r="I863" s="682"/>
      <c r="J863" s="682"/>
      <c r="K863" s="682"/>
      <c r="L863" s="682"/>
      <c r="M863" s="682"/>
      <c r="N863" s="682"/>
      <c r="O863" s="682"/>
      <c r="P863" s="682"/>
      <c r="Q863" s="682"/>
      <c r="R863" s="682"/>
      <c r="S863" s="682"/>
      <c r="T863" s="682"/>
      <c r="U863" s="682"/>
      <c r="V863" s="682"/>
      <c r="W863" s="682"/>
      <c r="X863" s="682"/>
      <c r="Y863" s="682"/>
      <c r="Z863" s="682"/>
      <c r="AA863" s="682"/>
      <c r="AB863" s="682"/>
      <c r="AC863" s="682"/>
      <c r="AD863" s="682"/>
      <c r="AE863" s="682"/>
      <c r="AF863" s="682"/>
      <c r="AG863" s="682"/>
      <c r="AH863" s="682"/>
      <c r="AI863" s="682"/>
      <c r="AJ863" s="682"/>
      <c r="AK863" s="682"/>
      <c r="AL863" s="682"/>
      <c r="AM863" s="682"/>
      <c r="AN863" s="682"/>
      <c r="AO863" s="682"/>
      <c r="AP863" s="868"/>
      <c r="AQ863" s="683"/>
      <c r="AV863" s="699"/>
      <c r="AW863" s="700"/>
    </row>
    <row r="864" spans="1:54" ht="11.25" hidden="1" customHeight="1" x14ac:dyDescent="0.2">
      <c r="A864" s="867"/>
      <c r="C864" s="684"/>
      <c r="D864" s="685"/>
      <c r="E864" s="686"/>
      <c r="F864" s="686"/>
      <c r="G864" s="686"/>
      <c r="H864" s="686"/>
      <c r="I864" s="686"/>
      <c r="J864" s="686"/>
      <c r="K864" s="686"/>
      <c r="L864" s="686"/>
      <c r="M864" s="686"/>
      <c r="N864" s="686"/>
      <c r="O864" s="686"/>
      <c r="P864" s="686"/>
      <c r="Q864" s="686"/>
      <c r="R864" s="686"/>
      <c r="S864" s="686"/>
      <c r="T864" s="686"/>
      <c r="U864" s="686"/>
      <c r="V864" s="686"/>
      <c r="W864" s="686"/>
      <c r="X864" s="686"/>
      <c r="Y864" s="686"/>
      <c r="Z864" s="686"/>
      <c r="AA864" s="686"/>
      <c r="AB864" s="686"/>
      <c r="AC864" s="686"/>
      <c r="AD864" s="686"/>
      <c r="AE864" s="686"/>
      <c r="AF864" s="686"/>
      <c r="AG864" s="686"/>
      <c r="AH864" s="686"/>
      <c r="AI864" s="686"/>
      <c r="AJ864" s="686"/>
      <c r="AK864" s="686"/>
      <c r="AL864" s="686"/>
      <c r="AM864" s="686"/>
      <c r="AN864" s="686"/>
      <c r="AO864" s="687"/>
      <c r="AP864" s="868"/>
      <c r="AQ864" s="688"/>
      <c r="AV864" s="699"/>
      <c r="AW864" s="700"/>
    </row>
    <row r="865" spans="1:53" ht="11.25" hidden="1" customHeight="1" x14ac:dyDescent="0.2">
      <c r="A865" s="867"/>
      <c r="C865" s="689"/>
      <c r="D865" s="690"/>
      <c r="E865" s="690"/>
      <c r="F865" s="690"/>
      <c r="G865" s="690"/>
      <c r="H865" s="690"/>
      <c r="I865" s="690"/>
      <c r="J865" s="690"/>
      <c r="K865" s="690"/>
      <c r="L865" s="690"/>
      <c r="M865" s="690"/>
      <c r="N865" s="690"/>
      <c r="O865" s="690"/>
      <c r="P865" s="690"/>
      <c r="Q865" s="690"/>
      <c r="R865" s="690"/>
      <c r="S865" s="690"/>
      <c r="T865" s="690"/>
      <c r="U865" s="690"/>
      <c r="V865" s="690"/>
      <c r="W865" s="690"/>
      <c r="X865" s="690"/>
      <c r="Y865" s="690"/>
      <c r="Z865" s="690"/>
      <c r="AA865" s="690"/>
      <c r="AB865" s="690"/>
      <c r="AC865" s="690"/>
      <c r="AD865" s="690"/>
      <c r="AE865" s="690"/>
      <c r="AF865" s="690"/>
      <c r="AG865" s="690"/>
      <c r="AH865" s="690"/>
      <c r="AI865" s="690"/>
      <c r="AJ865" s="690"/>
      <c r="AK865" s="690"/>
      <c r="AL865" s="690"/>
      <c r="AM865" s="690"/>
      <c r="AN865" s="690"/>
      <c r="AO865" s="690"/>
      <c r="AP865" s="691"/>
      <c r="AS865" s="692"/>
      <c r="AV865" s="699"/>
      <c r="AW865" s="700"/>
    </row>
    <row r="866" spans="1:53" ht="4.5" hidden="1" customHeight="1" x14ac:dyDescent="0.2">
      <c r="A866" s="867"/>
      <c r="AV866" s="699"/>
      <c r="AW866" s="700"/>
    </row>
    <row r="867" spans="1:53" ht="11.25" hidden="1" customHeight="1" x14ac:dyDescent="0.2">
      <c r="A867" s="867"/>
      <c r="C867" s="693"/>
      <c r="D867" s="694"/>
      <c r="E867" s="695"/>
      <c r="F867" s="695"/>
      <c r="G867" s="695"/>
      <c r="H867" s="695"/>
      <c r="I867" s="695"/>
      <c r="J867" s="695"/>
      <c r="K867" s="695"/>
      <c r="L867" s="695"/>
      <c r="M867" s="695"/>
      <c r="N867" s="695"/>
      <c r="O867" s="695"/>
      <c r="P867" s="695"/>
      <c r="Q867" s="695"/>
      <c r="R867" s="695"/>
      <c r="S867" s="695"/>
      <c r="T867" s="695"/>
      <c r="U867" s="695"/>
      <c r="V867" s="695"/>
      <c r="W867" s="695"/>
      <c r="X867" s="695"/>
      <c r="Y867" s="695"/>
      <c r="Z867" s="695"/>
      <c r="AA867" s="695"/>
      <c r="AB867" s="695"/>
      <c r="AC867" s="695"/>
      <c r="AD867" s="695"/>
      <c r="AE867" s="695"/>
      <c r="AF867" s="695"/>
      <c r="AG867" s="695"/>
      <c r="AH867" s="695"/>
      <c r="AI867" s="695"/>
      <c r="AJ867" s="695"/>
      <c r="AK867" s="695"/>
      <c r="AL867" s="695"/>
      <c r="AM867" s="695"/>
      <c r="AN867" s="695"/>
      <c r="AO867" s="696"/>
      <c r="AP867" s="697"/>
      <c r="AQ867" s="698"/>
      <c r="AS867" s="208"/>
      <c r="AV867" s="699"/>
      <c r="AW867" s="700"/>
      <c r="AX867" s="382"/>
      <c r="AY867" s="379"/>
      <c r="AZ867" s="384"/>
      <c r="BA867" s="642"/>
    </row>
    <row r="868" spans="1:53" ht="11.25" hidden="1" customHeight="1" x14ac:dyDescent="0.2">
      <c r="A868" s="867"/>
      <c r="C868" s="701"/>
      <c r="D868" s="702"/>
      <c r="E868" s="703"/>
      <c r="F868" s="703"/>
      <c r="G868" s="703"/>
      <c r="H868" s="703"/>
      <c r="I868" s="703"/>
      <c r="J868" s="703"/>
      <c r="K868" s="703"/>
      <c r="L868" s="703"/>
      <c r="M868" s="703"/>
      <c r="N868" s="703"/>
      <c r="O868" s="703"/>
      <c r="P868" s="703"/>
      <c r="Q868" s="703"/>
      <c r="R868" s="703"/>
      <c r="S868" s="703"/>
      <c r="T868" s="703"/>
      <c r="U868" s="703"/>
      <c r="V868" s="703"/>
      <c r="W868" s="703"/>
      <c r="X868" s="703"/>
      <c r="Y868" s="703"/>
      <c r="Z868" s="703"/>
      <c r="AA868" s="703"/>
      <c r="AB868" s="703"/>
      <c r="AC868" s="703"/>
      <c r="AD868" s="703"/>
      <c r="AE868" s="703"/>
      <c r="AF868" s="703"/>
      <c r="AG868" s="703"/>
      <c r="AH868" s="703"/>
      <c r="AI868" s="703"/>
      <c r="AJ868" s="703"/>
      <c r="AK868" s="703"/>
      <c r="AL868" s="703"/>
      <c r="AM868" s="703"/>
      <c r="AN868" s="703"/>
      <c r="AO868" s="704"/>
      <c r="AP868" s="705"/>
      <c r="AQ868" s="698"/>
      <c r="AS868" s="220"/>
      <c r="AV868" s="699"/>
      <c r="AW868" s="700"/>
      <c r="AX868" s="382"/>
      <c r="AY868" s="379"/>
      <c r="AZ868" s="384"/>
      <c r="BA868" s="642"/>
    </row>
    <row r="869" spans="1:53" ht="11.25" hidden="1" customHeight="1" x14ac:dyDescent="0.2">
      <c r="A869" s="867"/>
      <c r="C869" s="701"/>
      <c r="D869" s="702"/>
      <c r="E869" s="703"/>
      <c r="F869" s="703"/>
      <c r="G869" s="703"/>
      <c r="H869" s="703"/>
      <c r="I869" s="703"/>
      <c r="J869" s="703"/>
      <c r="K869" s="703"/>
      <c r="L869" s="703"/>
      <c r="M869" s="703"/>
      <c r="N869" s="703"/>
      <c r="O869" s="703"/>
      <c r="P869" s="703"/>
      <c r="Q869" s="703"/>
      <c r="R869" s="703"/>
      <c r="S869" s="703"/>
      <c r="T869" s="703"/>
      <c r="U869" s="703"/>
      <c r="V869" s="703"/>
      <c r="W869" s="703"/>
      <c r="X869" s="703"/>
      <c r="Y869" s="703"/>
      <c r="Z869" s="703"/>
      <c r="AA869" s="703"/>
      <c r="AB869" s="703"/>
      <c r="AC869" s="703"/>
      <c r="AD869" s="703"/>
      <c r="AE869" s="703"/>
      <c r="AF869" s="703"/>
      <c r="AG869" s="703"/>
      <c r="AH869" s="703"/>
      <c r="AI869" s="703"/>
      <c r="AJ869" s="703"/>
      <c r="AK869" s="703"/>
      <c r="AL869" s="703"/>
      <c r="AM869" s="703"/>
      <c r="AN869" s="703"/>
      <c r="AO869" s="704"/>
      <c r="AP869" s="705"/>
      <c r="AQ869" s="698"/>
      <c r="AS869" s="220"/>
      <c r="AV869" s="699"/>
      <c r="AW869" s="700"/>
      <c r="AX869" s="382"/>
      <c r="AY869" s="379"/>
      <c r="AZ869" s="384"/>
      <c r="BA869" s="642"/>
    </row>
    <row r="870" spans="1:53" ht="11.25" hidden="1" customHeight="1" x14ac:dyDescent="0.2">
      <c r="A870" s="867"/>
      <c r="C870" s="701"/>
      <c r="D870" s="702"/>
      <c r="E870" s="703"/>
      <c r="F870" s="703"/>
      <c r="G870" s="703"/>
      <c r="H870" s="703"/>
      <c r="I870" s="703"/>
      <c r="J870" s="703"/>
      <c r="K870" s="703"/>
      <c r="L870" s="703"/>
      <c r="M870" s="703"/>
      <c r="N870" s="703"/>
      <c r="O870" s="703"/>
      <c r="P870" s="703"/>
      <c r="Q870" s="703"/>
      <c r="R870" s="703"/>
      <c r="S870" s="703"/>
      <c r="T870" s="703"/>
      <c r="U870" s="703"/>
      <c r="V870" s="703"/>
      <c r="W870" s="703"/>
      <c r="X870" s="703"/>
      <c r="Y870" s="703"/>
      <c r="Z870" s="703"/>
      <c r="AA870" s="703"/>
      <c r="AB870" s="703"/>
      <c r="AC870" s="703"/>
      <c r="AD870" s="703"/>
      <c r="AE870" s="703"/>
      <c r="AF870" s="703"/>
      <c r="AG870" s="703"/>
      <c r="AH870" s="703"/>
      <c r="AI870" s="703"/>
      <c r="AJ870" s="703"/>
      <c r="AK870" s="703"/>
      <c r="AL870" s="703"/>
      <c r="AM870" s="703"/>
      <c r="AN870" s="703"/>
      <c r="AO870" s="704"/>
      <c r="AP870" s="705"/>
      <c r="AQ870" s="698"/>
      <c r="AS870" s="220"/>
      <c r="AV870" s="699"/>
      <c r="AW870" s="700"/>
      <c r="AX870" s="382"/>
      <c r="AY870" s="379"/>
      <c r="AZ870" s="384"/>
      <c r="BA870" s="642"/>
    </row>
    <row r="871" spans="1:53" ht="11.25" hidden="1" customHeight="1" x14ac:dyDescent="0.2">
      <c r="A871" s="867"/>
      <c r="C871" s="701"/>
      <c r="D871" s="702"/>
      <c r="E871" s="703"/>
      <c r="F871" s="703"/>
      <c r="G871" s="703"/>
      <c r="H871" s="703"/>
      <c r="I871" s="703"/>
      <c r="J871" s="703"/>
      <c r="K871" s="703"/>
      <c r="L871" s="703"/>
      <c r="M871" s="703"/>
      <c r="N871" s="703"/>
      <c r="O871" s="703"/>
      <c r="P871" s="703"/>
      <c r="Q871" s="703"/>
      <c r="R871" s="703"/>
      <c r="S871" s="703"/>
      <c r="T871" s="703"/>
      <c r="U871" s="703"/>
      <c r="V871" s="703"/>
      <c r="W871" s="703"/>
      <c r="X871" s="703"/>
      <c r="Y871" s="703"/>
      <c r="Z871" s="703"/>
      <c r="AA871" s="703"/>
      <c r="AB871" s="703"/>
      <c r="AC871" s="703"/>
      <c r="AD871" s="703"/>
      <c r="AE871" s="703"/>
      <c r="AF871" s="703"/>
      <c r="AG871" s="703"/>
      <c r="AH871" s="703"/>
      <c r="AI871" s="703"/>
      <c r="AJ871" s="703"/>
      <c r="AK871" s="703"/>
      <c r="AL871" s="703"/>
      <c r="AM871" s="703"/>
      <c r="AN871" s="703"/>
      <c r="AO871" s="704"/>
      <c r="AP871" s="705"/>
      <c r="AQ871" s="698"/>
      <c r="AS871" s="220"/>
      <c r="AV871" s="699"/>
      <c r="AW871" s="700"/>
      <c r="AX871" s="382"/>
      <c r="AY871" s="379"/>
      <c r="AZ871" s="384"/>
      <c r="BA871" s="642"/>
    </row>
    <row r="872" spans="1:53" ht="11.25" hidden="1" customHeight="1" x14ac:dyDescent="0.2">
      <c r="A872" s="867"/>
      <c r="C872" s="701"/>
      <c r="D872" s="702"/>
      <c r="E872" s="703"/>
      <c r="F872" s="703"/>
      <c r="G872" s="703"/>
      <c r="H872" s="703"/>
      <c r="I872" s="703"/>
      <c r="J872" s="703"/>
      <c r="K872" s="703"/>
      <c r="L872" s="703"/>
      <c r="M872" s="703"/>
      <c r="N872" s="703"/>
      <c r="O872" s="703"/>
      <c r="P872" s="703"/>
      <c r="Q872" s="703"/>
      <c r="R872" s="703"/>
      <c r="S872" s="703"/>
      <c r="T872" s="703"/>
      <c r="U872" s="703"/>
      <c r="V872" s="703"/>
      <c r="W872" s="703"/>
      <c r="X872" s="703"/>
      <c r="Y872" s="703"/>
      <c r="Z872" s="703"/>
      <c r="AA872" s="703"/>
      <c r="AB872" s="703"/>
      <c r="AC872" s="703"/>
      <c r="AD872" s="703"/>
      <c r="AE872" s="703"/>
      <c r="AF872" s="703"/>
      <c r="AG872" s="703"/>
      <c r="AH872" s="703"/>
      <c r="AI872" s="703"/>
      <c r="AJ872" s="703"/>
      <c r="AK872" s="703"/>
      <c r="AL872" s="703"/>
      <c r="AM872" s="703"/>
      <c r="AN872" s="703"/>
      <c r="AO872" s="704"/>
      <c r="AP872" s="705"/>
      <c r="AQ872" s="698"/>
      <c r="AS872" s="220"/>
      <c r="AV872" s="699"/>
      <c r="AW872" s="700"/>
      <c r="AX872" s="382"/>
      <c r="AY872" s="379"/>
      <c r="AZ872" s="384"/>
      <c r="BA872" s="642"/>
    </row>
    <row r="873" spans="1:53" ht="11.25" hidden="1" customHeight="1" x14ac:dyDescent="0.2">
      <c r="A873" s="867"/>
      <c r="C873" s="701"/>
      <c r="D873" s="702"/>
      <c r="E873" s="703"/>
      <c r="F873" s="703"/>
      <c r="G873" s="703"/>
      <c r="H873" s="703"/>
      <c r="I873" s="703"/>
      <c r="J873" s="703"/>
      <c r="K873" s="703"/>
      <c r="L873" s="703"/>
      <c r="M873" s="703"/>
      <c r="N873" s="703"/>
      <c r="O873" s="703"/>
      <c r="P873" s="703"/>
      <c r="Q873" s="703"/>
      <c r="R873" s="703"/>
      <c r="S873" s="703"/>
      <c r="T873" s="703"/>
      <c r="U873" s="703"/>
      <c r="V873" s="703"/>
      <c r="W873" s="703"/>
      <c r="X873" s="703"/>
      <c r="Y873" s="703"/>
      <c r="Z873" s="703"/>
      <c r="AA873" s="703"/>
      <c r="AB873" s="703"/>
      <c r="AC873" s="703"/>
      <c r="AD873" s="703"/>
      <c r="AE873" s="703"/>
      <c r="AF873" s="703"/>
      <c r="AG873" s="703"/>
      <c r="AH873" s="703"/>
      <c r="AI873" s="703"/>
      <c r="AJ873" s="703"/>
      <c r="AK873" s="703"/>
      <c r="AL873" s="703"/>
      <c r="AM873" s="703"/>
      <c r="AN873" s="703"/>
      <c r="AO873" s="704"/>
      <c r="AP873" s="705"/>
      <c r="AQ873" s="698"/>
      <c r="AS873" s="220"/>
      <c r="AV873" s="699"/>
      <c r="AW873" s="700"/>
      <c r="AX873" s="382"/>
      <c r="AY873" s="379"/>
      <c r="AZ873" s="384"/>
      <c r="BA873" s="642"/>
    </row>
    <row r="874" spans="1:53" ht="11.25" hidden="1" customHeight="1" x14ac:dyDescent="0.2">
      <c r="A874" s="867"/>
      <c r="C874" s="701"/>
      <c r="D874" s="702"/>
      <c r="E874" s="703"/>
      <c r="F874" s="703"/>
      <c r="G874" s="703"/>
      <c r="H874" s="703"/>
      <c r="I874" s="703"/>
      <c r="J874" s="703"/>
      <c r="K874" s="703"/>
      <c r="L874" s="703"/>
      <c r="M874" s="703"/>
      <c r="N874" s="703"/>
      <c r="O874" s="703"/>
      <c r="P874" s="703"/>
      <c r="Q874" s="703"/>
      <c r="R874" s="703"/>
      <c r="S874" s="703"/>
      <c r="T874" s="703"/>
      <c r="U874" s="703"/>
      <c r="V874" s="703"/>
      <c r="W874" s="703"/>
      <c r="X874" s="703"/>
      <c r="Y874" s="703"/>
      <c r="Z874" s="703"/>
      <c r="AA874" s="703"/>
      <c r="AB874" s="703"/>
      <c r="AC874" s="703"/>
      <c r="AD874" s="703"/>
      <c r="AE874" s="703"/>
      <c r="AF874" s="703"/>
      <c r="AG874" s="703"/>
      <c r="AH874" s="703"/>
      <c r="AI874" s="703"/>
      <c r="AJ874" s="703"/>
      <c r="AK874" s="703"/>
      <c r="AL874" s="703"/>
      <c r="AM874" s="703"/>
      <c r="AN874" s="703"/>
      <c r="AO874" s="704"/>
      <c r="AP874" s="705"/>
      <c r="AQ874" s="698"/>
      <c r="AS874" s="220"/>
      <c r="AV874" s="699"/>
      <c r="AW874" s="700"/>
      <c r="AX874" s="382"/>
      <c r="AY874" s="379"/>
      <c r="AZ874" s="384"/>
      <c r="BA874" s="642"/>
    </row>
    <row r="875" spans="1:53" ht="11.25" hidden="1" customHeight="1" x14ac:dyDescent="0.2">
      <c r="A875" s="867"/>
      <c r="C875" s="701"/>
      <c r="D875" s="702"/>
      <c r="E875" s="703"/>
      <c r="F875" s="703"/>
      <c r="G875" s="703"/>
      <c r="H875" s="703"/>
      <c r="I875" s="703"/>
      <c r="J875" s="703"/>
      <c r="K875" s="703"/>
      <c r="L875" s="703"/>
      <c r="M875" s="703"/>
      <c r="N875" s="703"/>
      <c r="O875" s="703"/>
      <c r="P875" s="703"/>
      <c r="Q875" s="703"/>
      <c r="R875" s="703"/>
      <c r="S875" s="703"/>
      <c r="T875" s="703"/>
      <c r="U875" s="703"/>
      <c r="V875" s="703"/>
      <c r="W875" s="703"/>
      <c r="X875" s="703"/>
      <c r="Y875" s="703"/>
      <c r="Z875" s="703"/>
      <c r="AA875" s="703"/>
      <c r="AB875" s="703"/>
      <c r="AC875" s="703"/>
      <c r="AD875" s="703"/>
      <c r="AE875" s="703"/>
      <c r="AF875" s="703"/>
      <c r="AG875" s="703"/>
      <c r="AH875" s="703"/>
      <c r="AI875" s="703"/>
      <c r="AJ875" s="703"/>
      <c r="AK875" s="703"/>
      <c r="AL875" s="703"/>
      <c r="AM875" s="703"/>
      <c r="AN875" s="703"/>
      <c r="AO875" s="704"/>
      <c r="AP875" s="705"/>
      <c r="AQ875" s="698"/>
      <c r="AS875" s="220"/>
      <c r="AV875" s="699"/>
      <c r="AW875" s="700"/>
      <c r="AX875" s="382"/>
      <c r="AY875" s="379"/>
      <c r="AZ875" s="384"/>
      <c r="BA875" s="642"/>
    </row>
    <row r="876" spans="1:53" ht="11.25" hidden="1" customHeight="1" x14ac:dyDescent="0.2">
      <c r="A876" s="867"/>
      <c r="C876" s="701"/>
      <c r="D876" s="702"/>
      <c r="E876" s="703"/>
      <c r="F876" s="703"/>
      <c r="G876" s="703"/>
      <c r="H876" s="703"/>
      <c r="I876" s="703"/>
      <c r="J876" s="703"/>
      <c r="K876" s="703"/>
      <c r="L876" s="703"/>
      <c r="M876" s="703"/>
      <c r="N876" s="703"/>
      <c r="O876" s="703"/>
      <c r="P876" s="703"/>
      <c r="Q876" s="703"/>
      <c r="R876" s="703"/>
      <c r="S876" s="703"/>
      <c r="T876" s="703"/>
      <c r="U876" s="703"/>
      <c r="V876" s="703"/>
      <c r="W876" s="703"/>
      <c r="X876" s="703"/>
      <c r="Y876" s="703"/>
      <c r="Z876" s="703"/>
      <c r="AA876" s="703"/>
      <c r="AB876" s="703"/>
      <c r="AC876" s="703"/>
      <c r="AD876" s="703"/>
      <c r="AE876" s="703"/>
      <c r="AF876" s="703"/>
      <c r="AG876" s="703"/>
      <c r="AH876" s="703"/>
      <c r="AI876" s="703"/>
      <c r="AJ876" s="703"/>
      <c r="AK876" s="703"/>
      <c r="AL876" s="703"/>
      <c r="AM876" s="703"/>
      <c r="AN876" s="703"/>
      <c r="AO876" s="704"/>
      <c r="AP876" s="705"/>
      <c r="AQ876" s="698"/>
      <c r="AS876" s="220"/>
      <c r="AV876" s="699"/>
      <c r="AW876" s="700"/>
      <c r="AX876" s="382"/>
      <c r="AY876" s="379"/>
      <c r="AZ876" s="384"/>
      <c r="BA876" s="642"/>
    </row>
    <row r="877" spans="1:53" ht="11.25" hidden="1" customHeight="1" x14ac:dyDescent="0.2">
      <c r="A877" s="867"/>
      <c r="C877" s="701"/>
      <c r="D877" s="702"/>
      <c r="E877" s="703"/>
      <c r="F877" s="703"/>
      <c r="G877" s="703"/>
      <c r="H877" s="703"/>
      <c r="I877" s="703"/>
      <c r="J877" s="703"/>
      <c r="K877" s="703"/>
      <c r="L877" s="703"/>
      <c r="M877" s="703"/>
      <c r="N877" s="703"/>
      <c r="O877" s="703"/>
      <c r="P877" s="703"/>
      <c r="Q877" s="703"/>
      <c r="R877" s="703"/>
      <c r="S877" s="703"/>
      <c r="T877" s="703"/>
      <c r="U877" s="703"/>
      <c r="V877" s="703"/>
      <c r="W877" s="703"/>
      <c r="X877" s="703"/>
      <c r="Y877" s="703"/>
      <c r="Z877" s="703"/>
      <c r="AA877" s="703"/>
      <c r="AB877" s="703"/>
      <c r="AC877" s="703"/>
      <c r="AD877" s="703"/>
      <c r="AE877" s="703"/>
      <c r="AF877" s="703"/>
      <c r="AG877" s="703"/>
      <c r="AH877" s="703"/>
      <c r="AI877" s="703"/>
      <c r="AJ877" s="703"/>
      <c r="AK877" s="703"/>
      <c r="AL877" s="703"/>
      <c r="AM877" s="703"/>
      <c r="AN877" s="703"/>
      <c r="AO877" s="704"/>
      <c r="AP877" s="705"/>
      <c r="AQ877" s="698"/>
      <c r="AS877" s="220"/>
      <c r="AV877" s="699"/>
      <c r="AW877" s="700"/>
      <c r="AX877" s="382"/>
      <c r="AY877" s="379"/>
      <c r="AZ877" s="384"/>
      <c r="BA877" s="642"/>
    </row>
    <row r="878" spans="1:53" ht="11.25" hidden="1" customHeight="1" x14ac:dyDescent="0.2">
      <c r="A878" s="867"/>
      <c r="C878" s="701"/>
      <c r="D878" s="702"/>
      <c r="E878" s="703"/>
      <c r="F878" s="703"/>
      <c r="G878" s="703"/>
      <c r="H878" s="703"/>
      <c r="I878" s="703"/>
      <c r="J878" s="703"/>
      <c r="K878" s="703"/>
      <c r="L878" s="703"/>
      <c r="M878" s="703"/>
      <c r="N878" s="703"/>
      <c r="O878" s="703"/>
      <c r="P878" s="703"/>
      <c r="Q878" s="703"/>
      <c r="R878" s="703"/>
      <c r="S878" s="703"/>
      <c r="T878" s="703"/>
      <c r="U878" s="703"/>
      <c r="V878" s="703"/>
      <c r="W878" s="703"/>
      <c r="X878" s="703"/>
      <c r="Y878" s="703"/>
      <c r="Z878" s="703"/>
      <c r="AA878" s="703"/>
      <c r="AB878" s="703"/>
      <c r="AC878" s="703"/>
      <c r="AD878" s="703"/>
      <c r="AE878" s="703"/>
      <c r="AF878" s="703"/>
      <c r="AG878" s="703"/>
      <c r="AH878" s="703"/>
      <c r="AI878" s="703"/>
      <c r="AJ878" s="703"/>
      <c r="AK878" s="703"/>
      <c r="AL878" s="703"/>
      <c r="AM878" s="703"/>
      <c r="AN878" s="703"/>
      <c r="AO878" s="704"/>
      <c r="AP878" s="705"/>
      <c r="AQ878" s="698"/>
      <c r="AS878" s="220"/>
      <c r="AV878" s="699"/>
      <c r="AW878" s="700"/>
      <c r="AX878" s="382"/>
      <c r="AY878" s="379"/>
      <c r="AZ878" s="384"/>
      <c r="BA878" s="642"/>
    </row>
    <row r="879" spans="1:53" ht="11.25" hidden="1" customHeight="1" x14ac:dyDescent="0.2">
      <c r="A879" s="867"/>
      <c r="C879" s="701"/>
      <c r="D879" s="702"/>
      <c r="E879" s="703"/>
      <c r="F879" s="703"/>
      <c r="G879" s="703"/>
      <c r="H879" s="703"/>
      <c r="I879" s="703"/>
      <c r="J879" s="703"/>
      <c r="K879" s="703"/>
      <c r="L879" s="703"/>
      <c r="M879" s="703"/>
      <c r="N879" s="703"/>
      <c r="O879" s="703"/>
      <c r="P879" s="703"/>
      <c r="Q879" s="703"/>
      <c r="R879" s="703"/>
      <c r="S879" s="703"/>
      <c r="T879" s="703"/>
      <c r="U879" s="703"/>
      <c r="V879" s="703"/>
      <c r="W879" s="703"/>
      <c r="X879" s="703"/>
      <c r="Y879" s="703"/>
      <c r="Z879" s="703"/>
      <c r="AA879" s="703"/>
      <c r="AB879" s="703"/>
      <c r="AC879" s="703"/>
      <c r="AD879" s="703"/>
      <c r="AE879" s="703"/>
      <c r="AF879" s="703"/>
      <c r="AG879" s="703"/>
      <c r="AH879" s="703"/>
      <c r="AI879" s="703"/>
      <c r="AJ879" s="703"/>
      <c r="AK879" s="703"/>
      <c r="AL879" s="703"/>
      <c r="AM879" s="703"/>
      <c r="AN879" s="703"/>
      <c r="AO879" s="704"/>
      <c r="AP879" s="705"/>
      <c r="AQ879" s="698"/>
      <c r="AS879" s="220"/>
      <c r="AV879" s="699"/>
      <c r="AW879" s="700"/>
      <c r="AX879" s="382"/>
      <c r="AY879" s="379"/>
      <c r="AZ879" s="384"/>
      <c r="BA879" s="642"/>
    </row>
    <row r="880" spans="1:53" ht="11.25" hidden="1" customHeight="1" x14ac:dyDescent="0.2">
      <c r="A880" s="867"/>
      <c r="C880" s="701"/>
      <c r="D880" s="702"/>
      <c r="E880" s="703"/>
      <c r="F880" s="703"/>
      <c r="G880" s="703"/>
      <c r="H880" s="703"/>
      <c r="I880" s="703"/>
      <c r="J880" s="703"/>
      <c r="K880" s="703"/>
      <c r="L880" s="703"/>
      <c r="M880" s="703"/>
      <c r="N880" s="703"/>
      <c r="O880" s="703"/>
      <c r="P880" s="703"/>
      <c r="Q880" s="703"/>
      <c r="R880" s="703"/>
      <c r="S880" s="703"/>
      <c r="T880" s="703"/>
      <c r="U880" s="703"/>
      <c r="V880" s="703"/>
      <c r="W880" s="703"/>
      <c r="X880" s="703"/>
      <c r="Y880" s="703"/>
      <c r="Z880" s="703"/>
      <c r="AA880" s="703"/>
      <c r="AB880" s="703"/>
      <c r="AC880" s="703"/>
      <c r="AD880" s="703"/>
      <c r="AE880" s="703"/>
      <c r="AF880" s="703"/>
      <c r="AG880" s="703"/>
      <c r="AH880" s="703"/>
      <c r="AI880" s="703"/>
      <c r="AJ880" s="703"/>
      <c r="AK880" s="703"/>
      <c r="AL880" s="703"/>
      <c r="AM880" s="703"/>
      <c r="AN880" s="703"/>
      <c r="AO880" s="704"/>
      <c r="AP880" s="705"/>
      <c r="AQ880" s="698"/>
      <c r="AS880" s="220"/>
      <c r="AV880" s="699"/>
      <c r="AW880" s="700"/>
      <c r="AX880" s="382"/>
      <c r="AY880" s="379"/>
      <c r="AZ880" s="384"/>
      <c r="BA880" s="642"/>
    </row>
    <row r="881" spans="1:53" ht="11.25" hidden="1" customHeight="1" x14ac:dyDescent="0.2">
      <c r="A881" s="867"/>
      <c r="C881" s="701"/>
      <c r="D881" s="702"/>
      <c r="E881" s="703"/>
      <c r="F881" s="703"/>
      <c r="G881" s="703"/>
      <c r="H881" s="703"/>
      <c r="I881" s="703"/>
      <c r="J881" s="703"/>
      <c r="K881" s="703"/>
      <c r="L881" s="703"/>
      <c r="M881" s="703"/>
      <c r="N881" s="703"/>
      <c r="O881" s="703"/>
      <c r="P881" s="703"/>
      <c r="Q881" s="703"/>
      <c r="R881" s="703"/>
      <c r="S881" s="703"/>
      <c r="T881" s="703"/>
      <c r="U881" s="703"/>
      <c r="V881" s="703"/>
      <c r="W881" s="703"/>
      <c r="X881" s="703"/>
      <c r="Y881" s="703"/>
      <c r="Z881" s="703"/>
      <c r="AA881" s="703"/>
      <c r="AB881" s="703"/>
      <c r="AC881" s="703"/>
      <c r="AD881" s="703"/>
      <c r="AE881" s="703"/>
      <c r="AF881" s="703"/>
      <c r="AG881" s="703"/>
      <c r="AH881" s="703"/>
      <c r="AI881" s="703"/>
      <c r="AJ881" s="703"/>
      <c r="AK881" s="703"/>
      <c r="AL881" s="703"/>
      <c r="AM881" s="703"/>
      <c r="AN881" s="703"/>
      <c r="AO881" s="704"/>
      <c r="AP881" s="705"/>
      <c r="AQ881" s="698"/>
      <c r="AS881" s="220"/>
      <c r="AV881" s="699"/>
      <c r="AW881" s="700"/>
      <c r="AX881" s="382"/>
      <c r="AY881" s="379"/>
      <c r="AZ881" s="384"/>
      <c r="BA881" s="642"/>
    </row>
    <row r="882" spans="1:53" ht="11.25" hidden="1" customHeight="1" x14ac:dyDescent="0.2">
      <c r="A882" s="867"/>
      <c r="C882" s="701"/>
      <c r="D882" s="702"/>
      <c r="E882" s="703"/>
      <c r="F882" s="703"/>
      <c r="G882" s="703"/>
      <c r="H882" s="703"/>
      <c r="I882" s="703"/>
      <c r="J882" s="703"/>
      <c r="K882" s="703"/>
      <c r="L882" s="703"/>
      <c r="M882" s="703"/>
      <c r="N882" s="703"/>
      <c r="O882" s="703"/>
      <c r="P882" s="703"/>
      <c r="Q882" s="703"/>
      <c r="R882" s="703"/>
      <c r="S882" s="703"/>
      <c r="T882" s="703"/>
      <c r="U882" s="703"/>
      <c r="V882" s="703"/>
      <c r="W882" s="703"/>
      <c r="X882" s="703"/>
      <c r="Y882" s="703"/>
      <c r="Z882" s="703"/>
      <c r="AA882" s="703"/>
      <c r="AB882" s="703"/>
      <c r="AC882" s="703"/>
      <c r="AD882" s="703"/>
      <c r="AE882" s="703"/>
      <c r="AF882" s="703"/>
      <c r="AG882" s="703"/>
      <c r="AH882" s="703"/>
      <c r="AI882" s="703"/>
      <c r="AJ882" s="703"/>
      <c r="AK882" s="703"/>
      <c r="AL882" s="703"/>
      <c r="AM882" s="703"/>
      <c r="AN882" s="703"/>
      <c r="AO882" s="704"/>
      <c r="AP882" s="705"/>
      <c r="AQ882" s="698"/>
      <c r="AS882" s="220"/>
      <c r="AV882" s="699"/>
      <c r="AW882" s="700"/>
      <c r="AX882" s="382"/>
      <c r="AY882" s="379"/>
      <c r="AZ882" s="384"/>
      <c r="BA882" s="642"/>
    </row>
    <row r="883" spans="1:53" ht="11.25" hidden="1" customHeight="1" x14ac:dyDescent="0.2">
      <c r="A883" s="867"/>
      <c r="C883" s="701"/>
      <c r="D883" s="702"/>
      <c r="E883" s="703"/>
      <c r="F883" s="703"/>
      <c r="G883" s="703"/>
      <c r="H883" s="703"/>
      <c r="I883" s="703"/>
      <c r="J883" s="703"/>
      <c r="K883" s="703"/>
      <c r="L883" s="703"/>
      <c r="M883" s="703"/>
      <c r="N883" s="703"/>
      <c r="O883" s="703"/>
      <c r="P883" s="703"/>
      <c r="Q883" s="703"/>
      <c r="R883" s="703"/>
      <c r="S883" s="703"/>
      <c r="T883" s="703"/>
      <c r="U883" s="703"/>
      <c r="V883" s="703"/>
      <c r="W883" s="703"/>
      <c r="X883" s="703"/>
      <c r="Y883" s="703"/>
      <c r="Z883" s="703"/>
      <c r="AA883" s="703"/>
      <c r="AB883" s="703"/>
      <c r="AC883" s="703"/>
      <c r="AD883" s="703"/>
      <c r="AE883" s="703"/>
      <c r="AF883" s="703"/>
      <c r="AG883" s="703"/>
      <c r="AH883" s="703"/>
      <c r="AI883" s="703"/>
      <c r="AJ883" s="703"/>
      <c r="AK883" s="703"/>
      <c r="AL883" s="703"/>
      <c r="AM883" s="703"/>
      <c r="AN883" s="703"/>
      <c r="AO883" s="704"/>
      <c r="AP883" s="705"/>
      <c r="AQ883" s="698"/>
      <c r="AS883" s="220"/>
      <c r="AV883" s="699"/>
      <c r="AW883" s="700"/>
      <c r="AX883" s="382"/>
      <c r="AY883" s="379"/>
      <c r="AZ883" s="384"/>
      <c r="BA883" s="642"/>
    </row>
    <row r="884" spans="1:53" ht="11.25" hidden="1" customHeight="1" x14ac:dyDescent="0.2">
      <c r="A884" s="867"/>
      <c r="C884" s="701"/>
      <c r="D884" s="702"/>
      <c r="E884" s="703"/>
      <c r="F884" s="703"/>
      <c r="G884" s="703"/>
      <c r="H884" s="703"/>
      <c r="I884" s="703"/>
      <c r="J884" s="703"/>
      <c r="K884" s="703"/>
      <c r="L884" s="703"/>
      <c r="M884" s="703"/>
      <c r="N884" s="703"/>
      <c r="O884" s="703"/>
      <c r="P884" s="703"/>
      <c r="Q884" s="703"/>
      <c r="R884" s="703"/>
      <c r="S884" s="703"/>
      <c r="T884" s="703"/>
      <c r="U884" s="703"/>
      <c r="V884" s="703"/>
      <c r="W884" s="703"/>
      <c r="X884" s="703"/>
      <c r="Y884" s="703"/>
      <c r="Z884" s="703"/>
      <c r="AA884" s="703"/>
      <c r="AB884" s="703"/>
      <c r="AC884" s="703"/>
      <c r="AD884" s="703"/>
      <c r="AE884" s="703"/>
      <c r="AF884" s="703"/>
      <c r="AG884" s="703"/>
      <c r="AH884" s="703"/>
      <c r="AI884" s="703"/>
      <c r="AJ884" s="703"/>
      <c r="AK884" s="703"/>
      <c r="AL884" s="703"/>
      <c r="AM884" s="703"/>
      <c r="AN884" s="703"/>
      <c r="AO884" s="704"/>
      <c r="AP884" s="705"/>
      <c r="AQ884" s="698"/>
      <c r="AS884" s="220"/>
      <c r="AV884" s="699"/>
      <c r="AW884" s="700"/>
      <c r="AX884" s="382"/>
      <c r="AY884" s="379"/>
      <c r="AZ884" s="384"/>
      <c r="BA884" s="642"/>
    </row>
    <row r="885" spans="1:53" ht="11.25" hidden="1" customHeight="1" x14ac:dyDescent="0.2">
      <c r="A885" s="867"/>
      <c r="C885" s="701"/>
      <c r="D885" s="702"/>
      <c r="E885" s="703"/>
      <c r="F885" s="703"/>
      <c r="G885" s="703"/>
      <c r="H885" s="703"/>
      <c r="I885" s="703"/>
      <c r="J885" s="703"/>
      <c r="K885" s="703"/>
      <c r="L885" s="703"/>
      <c r="M885" s="703"/>
      <c r="N885" s="703"/>
      <c r="O885" s="703"/>
      <c r="P885" s="703"/>
      <c r="Q885" s="703"/>
      <c r="R885" s="703"/>
      <c r="S885" s="703"/>
      <c r="T885" s="703"/>
      <c r="U885" s="703"/>
      <c r="V885" s="703"/>
      <c r="W885" s="703"/>
      <c r="X885" s="703"/>
      <c r="Y885" s="703"/>
      <c r="Z885" s="703"/>
      <c r="AA885" s="703"/>
      <c r="AB885" s="703"/>
      <c r="AC885" s="703"/>
      <c r="AD885" s="703"/>
      <c r="AE885" s="703"/>
      <c r="AF885" s="703"/>
      <c r="AG885" s="703"/>
      <c r="AH885" s="703"/>
      <c r="AI885" s="703"/>
      <c r="AJ885" s="703"/>
      <c r="AK885" s="703"/>
      <c r="AL885" s="703"/>
      <c r="AM885" s="703"/>
      <c r="AN885" s="703"/>
      <c r="AO885" s="704"/>
      <c r="AP885" s="705"/>
      <c r="AQ885" s="698"/>
      <c r="AS885" s="220"/>
      <c r="AV885" s="699"/>
      <c r="AW885" s="700"/>
      <c r="AX885" s="382"/>
      <c r="AY885" s="379"/>
      <c r="AZ885" s="384"/>
      <c r="BA885" s="642"/>
    </row>
    <row r="886" spans="1:53" ht="11.25" hidden="1" customHeight="1" x14ac:dyDescent="0.2">
      <c r="A886" s="867"/>
      <c r="C886" s="701"/>
      <c r="D886" s="702"/>
      <c r="E886" s="703"/>
      <c r="F886" s="703"/>
      <c r="G886" s="703"/>
      <c r="H886" s="703"/>
      <c r="I886" s="703"/>
      <c r="J886" s="703"/>
      <c r="K886" s="703"/>
      <c r="L886" s="703"/>
      <c r="M886" s="703"/>
      <c r="N886" s="703"/>
      <c r="O886" s="703"/>
      <c r="P886" s="703"/>
      <c r="Q886" s="703"/>
      <c r="R886" s="703"/>
      <c r="S886" s="703"/>
      <c r="T886" s="703"/>
      <c r="U886" s="703"/>
      <c r="V886" s="703"/>
      <c r="W886" s="703"/>
      <c r="X886" s="703"/>
      <c r="Y886" s="703"/>
      <c r="Z886" s="703"/>
      <c r="AA886" s="703"/>
      <c r="AB886" s="703"/>
      <c r="AC886" s="703"/>
      <c r="AD886" s="703"/>
      <c r="AE886" s="703"/>
      <c r="AF886" s="703"/>
      <c r="AG886" s="703"/>
      <c r="AH886" s="703"/>
      <c r="AI886" s="703"/>
      <c r="AJ886" s="703"/>
      <c r="AK886" s="703"/>
      <c r="AL886" s="703"/>
      <c r="AM886" s="703"/>
      <c r="AN886" s="703"/>
      <c r="AO886" s="704"/>
      <c r="AP886" s="705"/>
      <c r="AQ886" s="698"/>
      <c r="AS886" s="220"/>
      <c r="AV886" s="699"/>
      <c r="AW886" s="700"/>
      <c r="AX886" s="382"/>
      <c r="AY886" s="379"/>
      <c r="AZ886" s="384"/>
      <c r="BA886" s="642"/>
    </row>
    <row r="887" spans="1:53" ht="11.25" hidden="1" customHeight="1" x14ac:dyDescent="0.2">
      <c r="A887" s="867"/>
      <c r="C887" s="701"/>
      <c r="D887" s="702"/>
      <c r="E887" s="703"/>
      <c r="F887" s="703"/>
      <c r="G887" s="703"/>
      <c r="H887" s="703"/>
      <c r="I887" s="703"/>
      <c r="J887" s="703"/>
      <c r="K887" s="703"/>
      <c r="L887" s="703"/>
      <c r="M887" s="703"/>
      <c r="N887" s="703"/>
      <c r="O887" s="703"/>
      <c r="P887" s="703"/>
      <c r="Q887" s="703"/>
      <c r="R887" s="703"/>
      <c r="S887" s="703"/>
      <c r="T887" s="703"/>
      <c r="U887" s="703"/>
      <c r="V887" s="703"/>
      <c r="W887" s="703"/>
      <c r="X887" s="703"/>
      <c r="Y887" s="703"/>
      <c r="Z887" s="703"/>
      <c r="AA887" s="703"/>
      <c r="AB887" s="703"/>
      <c r="AC887" s="703"/>
      <c r="AD887" s="703"/>
      <c r="AE887" s="703"/>
      <c r="AF887" s="703"/>
      <c r="AG887" s="703"/>
      <c r="AH887" s="703"/>
      <c r="AI887" s="703"/>
      <c r="AJ887" s="703"/>
      <c r="AK887" s="703"/>
      <c r="AL887" s="703"/>
      <c r="AM887" s="703"/>
      <c r="AN887" s="703"/>
      <c r="AO887" s="704"/>
      <c r="AP887" s="705"/>
      <c r="AQ887" s="698"/>
      <c r="AS887" s="220"/>
      <c r="AV887" s="699"/>
      <c r="AW887" s="700"/>
      <c r="AX887" s="382"/>
      <c r="AY887" s="379"/>
      <c r="AZ887" s="384"/>
      <c r="BA887" s="642"/>
    </row>
    <row r="888" spans="1:53" ht="11.25" hidden="1" customHeight="1" x14ac:dyDescent="0.2">
      <c r="A888" s="867"/>
      <c r="C888" s="701"/>
      <c r="D888" s="702"/>
      <c r="E888" s="703"/>
      <c r="F888" s="703"/>
      <c r="G888" s="703"/>
      <c r="H888" s="703"/>
      <c r="I888" s="703"/>
      <c r="J888" s="703"/>
      <c r="K888" s="703"/>
      <c r="L888" s="703"/>
      <c r="M888" s="703"/>
      <c r="N888" s="703"/>
      <c r="O888" s="703"/>
      <c r="P888" s="703"/>
      <c r="Q888" s="703"/>
      <c r="R888" s="703"/>
      <c r="S888" s="703"/>
      <c r="T888" s="703"/>
      <c r="U888" s="703"/>
      <c r="V888" s="703"/>
      <c r="W888" s="703"/>
      <c r="X888" s="703"/>
      <c r="Y888" s="703"/>
      <c r="Z888" s="703"/>
      <c r="AA888" s="703"/>
      <c r="AB888" s="703"/>
      <c r="AC888" s="703"/>
      <c r="AD888" s="703"/>
      <c r="AE888" s="703"/>
      <c r="AF888" s="703"/>
      <c r="AG888" s="703"/>
      <c r="AH888" s="703"/>
      <c r="AI888" s="703"/>
      <c r="AJ888" s="703"/>
      <c r="AK888" s="703"/>
      <c r="AL888" s="703"/>
      <c r="AM888" s="703"/>
      <c r="AN888" s="703"/>
      <c r="AO888" s="704"/>
      <c r="AP888" s="705"/>
      <c r="AQ888" s="698"/>
      <c r="AS888" s="220"/>
      <c r="AV888" s="699"/>
      <c r="AW888" s="700"/>
      <c r="AX888" s="382"/>
      <c r="AY888" s="379"/>
      <c r="AZ888" s="384"/>
      <c r="BA888" s="642"/>
    </row>
    <row r="889" spans="1:53" ht="11.25" hidden="1" customHeight="1" x14ac:dyDescent="0.2">
      <c r="A889" s="867"/>
      <c r="C889" s="701"/>
      <c r="D889" s="702"/>
      <c r="E889" s="703"/>
      <c r="F889" s="703"/>
      <c r="G889" s="703"/>
      <c r="H889" s="703"/>
      <c r="I889" s="703"/>
      <c r="J889" s="703"/>
      <c r="K889" s="703"/>
      <c r="L889" s="703"/>
      <c r="M889" s="703"/>
      <c r="N889" s="703"/>
      <c r="O889" s="703"/>
      <c r="P889" s="703"/>
      <c r="Q889" s="703"/>
      <c r="R889" s="703"/>
      <c r="S889" s="703"/>
      <c r="T889" s="703"/>
      <c r="U889" s="703"/>
      <c r="V889" s="703"/>
      <c r="W889" s="703"/>
      <c r="X889" s="703"/>
      <c r="Y889" s="703"/>
      <c r="Z889" s="703"/>
      <c r="AA889" s="703"/>
      <c r="AB889" s="703"/>
      <c r="AC889" s="703"/>
      <c r="AD889" s="703"/>
      <c r="AE889" s="703"/>
      <c r="AF889" s="703"/>
      <c r="AG889" s="703"/>
      <c r="AH889" s="703"/>
      <c r="AI889" s="703"/>
      <c r="AJ889" s="703"/>
      <c r="AK889" s="703"/>
      <c r="AL889" s="703"/>
      <c r="AM889" s="703"/>
      <c r="AN889" s="703"/>
      <c r="AO889" s="704"/>
      <c r="AP889" s="705"/>
      <c r="AQ889" s="698"/>
      <c r="AS889" s="220"/>
      <c r="AV889" s="699"/>
      <c r="AW889" s="700"/>
      <c r="AX889" s="382"/>
      <c r="AY889" s="379"/>
      <c r="AZ889" s="384"/>
      <c r="BA889" s="642"/>
    </row>
    <row r="890" spans="1:53" ht="11.25" hidden="1" customHeight="1" x14ac:dyDescent="0.2">
      <c r="A890" s="867"/>
      <c r="C890" s="701"/>
      <c r="D890" s="702"/>
      <c r="E890" s="703"/>
      <c r="F890" s="703"/>
      <c r="G890" s="703"/>
      <c r="H890" s="703"/>
      <c r="I890" s="703"/>
      <c r="J890" s="703"/>
      <c r="K890" s="703"/>
      <c r="L890" s="703"/>
      <c r="M890" s="703"/>
      <c r="N890" s="703"/>
      <c r="O890" s="703"/>
      <c r="P890" s="703"/>
      <c r="Q890" s="703"/>
      <c r="R890" s="703"/>
      <c r="S890" s="703"/>
      <c r="T890" s="703"/>
      <c r="U890" s="703"/>
      <c r="V890" s="703"/>
      <c r="W890" s="703"/>
      <c r="X890" s="703"/>
      <c r="Y890" s="703"/>
      <c r="Z890" s="703"/>
      <c r="AA890" s="703"/>
      <c r="AB890" s="703"/>
      <c r="AC890" s="703"/>
      <c r="AD890" s="703"/>
      <c r="AE890" s="703"/>
      <c r="AF890" s="703"/>
      <c r="AG890" s="703"/>
      <c r="AH890" s="703"/>
      <c r="AI890" s="703"/>
      <c r="AJ890" s="703"/>
      <c r="AK890" s="703"/>
      <c r="AL890" s="703"/>
      <c r="AM890" s="703"/>
      <c r="AN890" s="703"/>
      <c r="AO890" s="704"/>
      <c r="AP890" s="705"/>
      <c r="AQ890" s="698"/>
      <c r="AS890" s="220"/>
      <c r="AV890" s="699"/>
      <c r="AW890" s="700"/>
      <c r="AX890" s="382"/>
      <c r="AY890" s="379"/>
      <c r="AZ890" s="384"/>
      <c r="BA890" s="642"/>
    </row>
    <row r="891" spans="1:53" ht="11.25" hidden="1" customHeight="1" x14ac:dyDescent="0.2">
      <c r="A891" s="867"/>
      <c r="C891" s="701"/>
      <c r="D891" s="702"/>
      <c r="E891" s="703"/>
      <c r="F891" s="703"/>
      <c r="G891" s="703"/>
      <c r="H891" s="703"/>
      <c r="I891" s="703"/>
      <c r="J891" s="703"/>
      <c r="K891" s="703"/>
      <c r="L891" s="703"/>
      <c r="M891" s="703"/>
      <c r="N891" s="703"/>
      <c r="O891" s="703"/>
      <c r="P891" s="703"/>
      <c r="Q891" s="703"/>
      <c r="R891" s="703"/>
      <c r="S891" s="703"/>
      <c r="T891" s="703"/>
      <c r="U891" s="703"/>
      <c r="V891" s="703"/>
      <c r="W891" s="703"/>
      <c r="X891" s="703"/>
      <c r="Y891" s="703"/>
      <c r="Z891" s="703"/>
      <c r="AA891" s="703"/>
      <c r="AB891" s="703"/>
      <c r="AC891" s="703"/>
      <c r="AD891" s="703"/>
      <c r="AE891" s="703"/>
      <c r="AF891" s="703"/>
      <c r="AG891" s="703"/>
      <c r="AH891" s="703"/>
      <c r="AI891" s="703"/>
      <c r="AJ891" s="703"/>
      <c r="AK891" s="703"/>
      <c r="AL891" s="703"/>
      <c r="AM891" s="703"/>
      <c r="AN891" s="703"/>
      <c r="AO891" s="704"/>
      <c r="AP891" s="705"/>
      <c r="AQ891" s="698"/>
      <c r="AS891" s="220"/>
      <c r="AV891" s="699"/>
      <c r="AW891" s="700"/>
      <c r="AX891" s="382"/>
      <c r="AY891" s="379"/>
      <c r="AZ891" s="384"/>
      <c r="BA891" s="642"/>
    </row>
    <row r="892" spans="1:53" ht="11.25" hidden="1" customHeight="1" x14ac:dyDescent="0.2">
      <c r="A892" s="867"/>
      <c r="C892" s="701"/>
      <c r="D892" s="702"/>
      <c r="E892" s="703"/>
      <c r="F892" s="703"/>
      <c r="G892" s="703"/>
      <c r="H892" s="703"/>
      <c r="I892" s="703"/>
      <c r="J892" s="703"/>
      <c r="K892" s="703"/>
      <c r="L892" s="703"/>
      <c r="M892" s="703"/>
      <c r="N892" s="703"/>
      <c r="O892" s="703"/>
      <c r="P892" s="703"/>
      <c r="Q892" s="703"/>
      <c r="R892" s="703"/>
      <c r="S892" s="703"/>
      <c r="T892" s="703"/>
      <c r="U892" s="703"/>
      <c r="V892" s="703"/>
      <c r="W892" s="703"/>
      <c r="X892" s="703"/>
      <c r="Y892" s="703"/>
      <c r="Z892" s="703"/>
      <c r="AA892" s="703"/>
      <c r="AB892" s="703"/>
      <c r="AC892" s="703"/>
      <c r="AD892" s="703"/>
      <c r="AE892" s="703"/>
      <c r="AF892" s="703"/>
      <c r="AG892" s="703"/>
      <c r="AH892" s="703"/>
      <c r="AI892" s="703"/>
      <c r="AJ892" s="703"/>
      <c r="AK892" s="703"/>
      <c r="AL892" s="703"/>
      <c r="AM892" s="703"/>
      <c r="AN892" s="703"/>
      <c r="AO892" s="704"/>
      <c r="AP892" s="705"/>
      <c r="AQ892" s="698"/>
      <c r="AS892" s="220"/>
      <c r="AV892" s="699"/>
      <c r="AW892" s="700"/>
      <c r="AX892" s="382"/>
      <c r="AY892" s="379"/>
      <c r="AZ892" s="384"/>
      <c r="BA892" s="642"/>
    </row>
    <row r="893" spans="1:53" ht="11.25" hidden="1" customHeight="1" x14ac:dyDescent="0.2">
      <c r="A893" s="867"/>
      <c r="C893" s="701"/>
      <c r="D893" s="702"/>
      <c r="E893" s="703"/>
      <c r="F893" s="703"/>
      <c r="G893" s="703"/>
      <c r="H893" s="703"/>
      <c r="I893" s="703"/>
      <c r="J893" s="703"/>
      <c r="K893" s="703"/>
      <c r="L893" s="703"/>
      <c r="M893" s="703"/>
      <c r="N893" s="703"/>
      <c r="O893" s="703"/>
      <c r="P893" s="703"/>
      <c r="Q893" s="703"/>
      <c r="R893" s="703"/>
      <c r="S893" s="703"/>
      <c r="T893" s="703"/>
      <c r="U893" s="703"/>
      <c r="V893" s="703"/>
      <c r="W893" s="703"/>
      <c r="X893" s="703"/>
      <c r="Y893" s="703"/>
      <c r="Z893" s="703"/>
      <c r="AA893" s="703"/>
      <c r="AB893" s="703"/>
      <c r="AC893" s="703"/>
      <c r="AD893" s="703"/>
      <c r="AE893" s="703"/>
      <c r="AF893" s="703"/>
      <c r="AG893" s="703"/>
      <c r="AH893" s="703"/>
      <c r="AI893" s="703"/>
      <c r="AJ893" s="703"/>
      <c r="AK893" s="703"/>
      <c r="AL893" s="703"/>
      <c r="AM893" s="703"/>
      <c r="AN893" s="703"/>
      <c r="AO893" s="704"/>
      <c r="AP893" s="705"/>
      <c r="AQ893" s="698"/>
      <c r="AS893" s="220"/>
      <c r="AV893" s="699"/>
      <c r="AW893" s="700"/>
      <c r="AX893" s="382"/>
      <c r="AY893" s="379"/>
      <c r="AZ893" s="384"/>
      <c r="BA893" s="642"/>
    </row>
    <row r="894" spans="1:53" ht="11.25" hidden="1" customHeight="1" x14ac:dyDescent="0.2">
      <c r="A894" s="867"/>
      <c r="C894" s="701"/>
      <c r="D894" s="702"/>
      <c r="E894" s="703"/>
      <c r="F894" s="703"/>
      <c r="G894" s="703"/>
      <c r="H894" s="703"/>
      <c r="I894" s="703"/>
      <c r="J894" s="703"/>
      <c r="K894" s="703"/>
      <c r="L894" s="703"/>
      <c r="M894" s="703"/>
      <c r="N894" s="703"/>
      <c r="O894" s="703"/>
      <c r="P894" s="703"/>
      <c r="Q894" s="703"/>
      <c r="R894" s="703"/>
      <c r="S894" s="703"/>
      <c r="T894" s="703"/>
      <c r="U894" s="703"/>
      <c r="V894" s="703"/>
      <c r="W894" s="703"/>
      <c r="X894" s="703"/>
      <c r="Y894" s="703"/>
      <c r="Z894" s="703"/>
      <c r="AA894" s="703"/>
      <c r="AB894" s="703"/>
      <c r="AC894" s="703"/>
      <c r="AD894" s="703"/>
      <c r="AE894" s="703"/>
      <c r="AF894" s="703"/>
      <c r="AG894" s="703"/>
      <c r="AH894" s="703"/>
      <c r="AI894" s="703"/>
      <c r="AJ894" s="703"/>
      <c r="AK894" s="703"/>
      <c r="AL894" s="703"/>
      <c r="AM894" s="703"/>
      <c r="AN894" s="703"/>
      <c r="AO894" s="704"/>
      <c r="AP894" s="705"/>
      <c r="AQ894" s="698"/>
      <c r="AS894" s="220"/>
      <c r="AV894" s="699"/>
      <c r="AW894" s="700"/>
      <c r="AX894" s="382"/>
      <c r="AY894" s="379"/>
      <c r="AZ894" s="384"/>
      <c r="BA894" s="642"/>
    </row>
    <row r="895" spans="1:53" ht="11.25" hidden="1" customHeight="1" x14ac:dyDescent="0.2">
      <c r="A895" s="867"/>
      <c r="C895" s="701"/>
      <c r="D895" s="702"/>
      <c r="E895" s="703"/>
      <c r="F895" s="703"/>
      <c r="G895" s="703"/>
      <c r="H895" s="703"/>
      <c r="I895" s="703"/>
      <c r="J895" s="703"/>
      <c r="K895" s="703"/>
      <c r="L895" s="703"/>
      <c r="M895" s="703"/>
      <c r="N895" s="703"/>
      <c r="O895" s="703"/>
      <c r="P895" s="703"/>
      <c r="Q895" s="703"/>
      <c r="R895" s="703"/>
      <c r="S895" s="703"/>
      <c r="T895" s="703"/>
      <c r="U895" s="703"/>
      <c r="V895" s="703"/>
      <c r="W895" s="703"/>
      <c r="X895" s="703"/>
      <c r="Y895" s="703"/>
      <c r="Z895" s="703"/>
      <c r="AA895" s="703"/>
      <c r="AB895" s="703"/>
      <c r="AC895" s="703"/>
      <c r="AD895" s="703"/>
      <c r="AE895" s="703"/>
      <c r="AF895" s="703"/>
      <c r="AG895" s="703"/>
      <c r="AH895" s="703"/>
      <c r="AI895" s="703"/>
      <c r="AJ895" s="703"/>
      <c r="AK895" s="703"/>
      <c r="AL895" s="703"/>
      <c r="AM895" s="703"/>
      <c r="AN895" s="703"/>
      <c r="AO895" s="704"/>
      <c r="AP895" s="705"/>
      <c r="AQ895" s="698"/>
      <c r="AS895" s="220"/>
      <c r="AV895" s="699"/>
      <c r="AW895" s="700"/>
      <c r="AX895" s="382"/>
      <c r="AY895" s="379"/>
      <c r="AZ895" s="384"/>
      <c r="BA895" s="642"/>
    </row>
    <row r="896" spans="1:53" ht="11.25" hidden="1" customHeight="1" x14ac:dyDescent="0.2">
      <c r="A896" s="867"/>
      <c r="C896" s="706"/>
      <c r="D896" s="707"/>
      <c r="E896" s="708"/>
      <c r="F896" s="708"/>
      <c r="G896" s="708"/>
      <c r="H896" s="708"/>
      <c r="I896" s="708"/>
      <c r="J896" s="708"/>
      <c r="K896" s="708"/>
      <c r="L896" s="708"/>
      <c r="M896" s="708"/>
      <c r="N896" s="708"/>
      <c r="O896" s="708"/>
      <c r="P896" s="708"/>
      <c r="Q896" s="708"/>
      <c r="R896" s="708"/>
      <c r="S896" s="708"/>
      <c r="T896" s="708"/>
      <c r="U896" s="708"/>
      <c r="V896" s="708"/>
      <c r="W896" s="708"/>
      <c r="X896" s="708"/>
      <c r="Y896" s="708"/>
      <c r="Z896" s="708"/>
      <c r="AA896" s="708"/>
      <c r="AB896" s="708"/>
      <c r="AC896" s="708"/>
      <c r="AD896" s="708"/>
      <c r="AE896" s="708"/>
      <c r="AF896" s="708"/>
      <c r="AG896" s="708"/>
      <c r="AH896" s="708"/>
      <c r="AI896" s="708"/>
      <c r="AJ896" s="708"/>
      <c r="AK896" s="708"/>
      <c r="AL896" s="708"/>
      <c r="AM896" s="708"/>
      <c r="AN896" s="708"/>
      <c r="AO896" s="709"/>
      <c r="AP896" s="710"/>
      <c r="AQ896" s="698"/>
      <c r="AS896" s="220"/>
      <c r="AV896" s="699"/>
      <c r="AW896" s="700"/>
      <c r="AX896" s="382"/>
      <c r="AY896" s="379"/>
      <c r="AZ896" s="384"/>
      <c r="BA896" s="642"/>
    </row>
    <row r="897" spans="1:54" ht="13.5" hidden="1" customHeight="1" x14ac:dyDescent="0.2">
      <c r="A897" s="867"/>
      <c r="AV897" s="699"/>
      <c r="AW897" s="700"/>
      <c r="AX897" s="642"/>
      <c r="AY897" s="642"/>
      <c r="BA897" s="642"/>
    </row>
    <row r="898" spans="1:54" ht="1.5" hidden="1" customHeight="1" x14ac:dyDescent="0.2">
      <c r="A898" s="867"/>
      <c r="AV898" s="699"/>
      <c r="AW898" s="700"/>
    </row>
    <row r="899" spans="1:54" s="186" customFormat="1" ht="11.25" hidden="1" customHeight="1" x14ac:dyDescent="0.2">
      <c r="A899" s="867"/>
      <c r="AS899" s="672"/>
      <c r="AU899" s="669"/>
      <c r="AV899" s="699"/>
      <c r="AW899" s="700"/>
      <c r="AX899" s="643"/>
      <c r="AY899" s="643"/>
      <c r="AZ899" s="671"/>
      <c r="BA899" s="643"/>
      <c r="BB899" s="669"/>
    </row>
    <row r="900" spans="1:54" s="673" customFormat="1" ht="13.5" hidden="1" customHeight="1" x14ac:dyDescent="0.2">
      <c r="A900" s="867"/>
      <c r="D900" s="674"/>
      <c r="E900" s="674"/>
      <c r="F900" s="674"/>
      <c r="G900" s="674"/>
      <c r="H900" s="674"/>
      <c r="I900" s="674"/>
      <c r="J900" s="674"/>
      <c r="K900" s="674"/>
      <c r="L900" s="674"/>
      <c r="M900" s="674"/>
      <c r="N900" s="674"/>
      <c r="O900" s="674"/>
      <c r="P900" s="674"/>
      <c r="Q900" s="674"/>
      <c r="R900" s="674"/>
      <c r="S900" s="674"/>
      <c r="T900" s="674"/>
      <c r="U900" s="674"/>
      <c r="V900" s="674"/>
      <c r="W900" s="674"/>
      <c r="X900" s="674"/>
      <c r="Y900" s="674"/>
      <c r="Z900" s="674"/>
      <c r="AA900" s="674"/>
      <c r="AB900" s="674"/>
      <c r="AC900" s="674"/>
      <c r="AD900" s="674"/>
      <c r="AE900" s="674"/>
      <c r="AF900" s="674"/>
      <c r="AG900" s="674"/>
      <c r="AH900" s="674"/>
      <c r="AI900" s="674"/>
      <c r="AJ900" s="674"/>
      <c r="AK900" s="674"/>
      <c r="AL900" s="674"/>
      <c r="AM900" s="674"/>
      <c r="AN900" s="674"/>
      <c r="AO900" s="674"/>
      <c r="AP900" s="674"/>
      <c r="AS900" s="675"/>
      <c r="AU900" s="643"/>
      <c r="AV900" s="699"/>
      <c r="AW900" s="700"/>
      <c r="AX900" s="643"/>
      <c r="AY900" s="643"/>
      <c r="AZ900" s="671"/>
      <c r="BA900" s="643"/>
      <c r="BB900" s="643"/>
    </row>
    <row r="901" spans="1:54" s="673" customFormat="1" ht="13.5" hidden="1" customHeight="1" x14ac:dyDescent="0.2">
      <c r="A901" s="867"/>
      <c r="C901" s="324"/>
      <c r="D901" s="383"/>
      <c r="E901" s="383"/>
      <c r="F901" s="383"/>
      <c r="G901" s="383"/>
      <c r="H901" s="383"/>
      <c r="I901" s="383"/>
      <c r="J901" s="383"/>
      <c r="K901" s="383"/>
      <c r="L901" s="383"/>
      <c r="M901" s="383"/>
      <c r="N901" s="383"/>
      <c r="O901" s="383"/>
      <c r="P901" s="383"/>
      <c r="Q901" s="383"/>
      <c r="R901" s="383"/>
      <c r="S901" s="383"/>
      <c r="T901" s="383"/>
      <c r="U901" s="383"/>
      <c r="V901" s="383"/>
      <c r="W901" s="383"/>
      <c r="X901" s="383"/>
      <c r="Y901" s="383"/>
      <c r="Z901" s="383"/>
      <c r="AA901" s="383"/>
      <c r="AB901" s="383"/>
      <c r="AC901" s="383"/>
      <c r="AD901" s="383"/>
      <c r="AE901" s="383"/>
      <c r="AF901" s="383"/>
      <c r="AG901" s="383"/>
      <c r="AH901" s="383"/>
      <c r="AI901" s="383"/>
      <c r="AJ901" s="383"/>
      <c r="AK901" s="383"/>
      <c r="AL901" s="383"/>
      <c r="AM901" s="383"/>
      <c r="AN901" s="383"/>
      <c r="AO901" s="383"/>
      <c r="AP901" s="674"/>
      <c r="AS901" s="675"/>
      <c r="AU901" s="643"/>
      <c r="AV901" s="699"/>
      <c r="AW901" s="700"/>
      <c r="AX901" s="643"/>
      <c r="AY901" s="643"/>
      <c r="AZ901" s="671"/>
      <c r="BA901" s="643"/>
      <c r="BB901" s="643"/>
    </row>
    <row r="902" spans="1:54" s="673" customFormat="1" ht="13.5" hidden="1" customHeight="1" x14ac:dyDescent="0.2">
      <c r="A902" s="867"/>
      <c r="D902" s="383"/>
      <c r="E902" s="383"/>
      <c r="F902" s="383"/>
      <c r="G902" s="383"/>
      <c r="H902" s="383"/>
      <c r="I902" s="383"/>
      <c r="J902" s="383"/>
      <c r="K902" s="383"/>
      <c r="L902" s="383"/>
      <c r="M902" s="383"/>
      <c r="N902" s="383"/>
      <c r="O902" s="383"/>
      <c r="P902" s="383"/>
      <c r="Q902" s="383"/>
      <c r="R902" s="383"/>
      <c r="S902" s="383"/>
      <c r="T902" s="383"/>
      <c r="U902" s="383"/>
      <c r="V902" s="383"/>
      <c r="W902" s="383"/>
      <c r="X902" s="383"/>
      <c r="Y902" s="383"/>
      <c r="Z902" s="383"/>
      <c r="AA902" s="383"/>
      <c r="AB902" s="383"/>
      <c r="AC902" s="383"/>
      <c r="AD902" s="383"/>
      <c r="AE902" s="383"/>
      <c r="AF902" s="383"/>
      <c r="AG902" s="383"/>
      <c r="AH902" s="383"/>
      <c r="AI902" s="383"/>
      <c r="AJ902" s="383"/>
      <c r="AK902" s="383"/>
      <c r="AL902" s="383"/>
      <c r="AM902" s="383"/>
      <c r="AN902" s="383"/>
      <c r="AO902" s="383"/>
      <c r="AP902" s="674"/>
      <c r="AS902" s="675"/>
      <c r="AU902" s="643"/>
      <c r="AV902" s="699"/>
      <c r="AW902" s="700"/>
      <c r="AX902" s="643"/>
      <c r="AY902" s="643"/>
      <c r="AZ902" s="671"/>
      <c r="BA902" s="643"/>
      <c r="BB902" s="643"/>
    </row>
    <row r="903" spans="1:54" s="673" customFormat="1" ht="13.5" hidden="1" customHeight="1" x14ac:dyDescent="0.2">
      <c r="A903" s="867"/>
      <c r="D903" s="676"/>
      <c r="E903" s="676"/>
      <c r="F903" s="676"/>
      <c r="G903" s="676"/>
      <c r="H903" s="676"/>
      <c r="I903" s="676"/>
      <c r="J903" s="676"/>
      <c r="K903" s="676"/>
      <c r="L903" s="676"/>
      <c r="M903" s="676"/>
      <c r="N903" s="676"/>
      <c r="O903" s="676"/>
      <c r="P903" s="676"/>
      <c r="Q903" s="676"/>
      <c r="R903" s="676"/>
      <c r="S903" s="676"/>
      <c r="T903" s="676"/>
      <c r="U903" s="676"/>
      <c r="V903" s="676"/>
      <c r="W903" s="676"/>
      <c r="X903" s="676"/>
      <c r="Y903" s="676"/>
      <c r="Z903" s="676"/>
      <c r="AA903" s="676"/>
      <c r="AB903" s="676"/>
      <c r="AC903" s="676"/>
      <c r="AD903" s="676"/>
      <c r="AE903" s="676"/>
      <c r="AF903" s="676"/>
      <c r="AG903" s="676"/>
      <c r="AH903" s="676"/>
      <c r="AI903" s="676"/>
      <c r="AJ903" s="676"/>
      <c r="AK903" s="676"/>
      <c r="AL903" s="676"/>
      <c r="AM903" s="676"/>
      <c r="AN903" s="676"/>
      <c r="AO903" s="676"/>
      <c r="AP903" s="674"/>
      <c r="AS903" s="675"/>
      <c r="AU903" s="643"/>
      <c r="AV903" s="699"/>
      <c r="AW903" s="700"/>
      <c r="AX903" s="643"/>
      <c r="AY903" s="643"/>
      <c r="AZ903" s="671"/>
      <c r="BA903" s="643"/>
      <c r="BB903" s="643"/>
    </row>
    <row r="904" spans="1:54" s="673" customFormat="1" ht="13.5" hidden="1" customHeight="1" x14ac:dyDescent="0.2">
      <c r="A904" s="867"/>
      <c r="D904" s="677"/>
      <c r="E904" s="677"/>
      <c r="F904" s="677"/>
      <c r="G904" s="677"/>
      <c r="H904" s="677"/>
      <c r="I904" s="677"/>
      <c r="J904" s="677"/>
      <c r="K904" s="677"/>
      <c r="L904" s="677"/>
      <c r="M904" s="677"/>
      <c r="N904" s="677"/>
      <c r="O904" s="677"/>
      <c r="P904" s="677"/>
      <c r="Q904" s="677"/>
      <c r="R904" s="677"/>
      <c r="S904" s="677"/>
      <c r="T904" s="677"/>
      <c r="U904" s="677"/>
      <c r="V904" s="677"/>
      <c r="W904" s="677"/>
      <c r="X904" s="677"/>
      <c r="Y904" s="677"/>
      <c r="Z904" s="677"/>
      <c r="AA904" s="677"/>
      <c r="AB904" s="677"/>
      <c r="AC904" s="677"/>
      <c r="AD904" s="677"/>
      <c r="AE904" s="677"/>
      <c r="AF904" s="677"/>
      <c r="AG904" s="677"/>
      <c r="AH904" s="677"/>
      <c r="AI904" s="677"/>
      <c r="AJ904" s="677"/>
      <c r="AK904" s="677"/>
      <c r="AL904" s="677"/>
      <c r="AM904" s="677"/>
      <c r="AN904" s="677"/>
      <c r="AO904" s="677"/>
      <c r="AP904" s="674"/>
      <c r="AS904" s="675"/>
      <c r="AU904" s="643"/>
      <c r="AV904" s="699"/>
      <c r="AW904" s="700"/>
      <c r="AY904" s="643"/>
      <c r="AZ904" s="671"/>
      <c r="BA904" s="643"/>
      <c r="BB904" s="643"/>
    </row>
    <row r="905" spans="1:54" s="673" customFormat="1" ht="13.5" hidden="1" customHeight="1" x14ac:dyDescent="0.2">
      <c r="A905" s="867"/>
      <c r="D905" s="677"/>
      <c r="E905" s="677"/>
      <c r="F905" s="677"/>
      <c r="G905" s="677"/>
      <c r="H905" s="677"/>
      <c r="I905" s="677"/>
      <c r="J905" s="677"/>
      <c r="K905" s="677"/>
      <c r="L905" s="677"/>
      <c r="M905" s="677"/>
      <c r="N905" s="677"/>
      <c r="O905" s="677"/>
      <c r="P905" s="677"/>
      <c r="Q905" s="677"/>
      <c r="R905" s="677"/>
      <c r="S905" s="677"/>
      <c r="T905" s="677"/>
      <c r="U905" s="677"/>
      <c r="V905" s="677"/>
      <c r="W905" s="677"/>
      <c r="X905" s="677"/>
      <c r="Y905" s="677"/>
      <c r="Z905" s="677"/>
      <c r="AA905" s="677"/>
      <c r="AB905" s="677"/>
      <c r="AC905" s="677"/>
      <c r="AD905" s="677"/>
      <c r="AE905" s="677"/>
      <c r="AF905" s="677"/>
      <c r="AG905" s="677"/>
      <c r="AH905" s="677"/>
      <c r="AI905" s="677"/>
      <c r="AJ905" s="677"/>
      <c r="AK905" s="677"/>
      <c r="AL905" s="677"/>
      <c r="AM905" s="677"/>
      <c r="AN905" s="677"/>
      <c r="AO905" s="677"/>
      <c r="AP905" s="674"/>
      <c r="AS905" s="675"/>
      <c r="AU905" s="643"/>
      <c r="AV905" s="699"/>
      <c r="AW905" s="700"/>
      <c r="AX905" s="643"/>
      <c r="AY905" s="643"/>
      <c r="AZ905" s="671"/>
      <c r="BA905" s="643"/>
      <c r="BB905" s="643"/>
    </row>
    <row r="906" spans="1:54" s="673" customFormat="1" ht="13.5" hidden="1" customHeight="1" x14ac:dyDescent="0.2">
      <c r="A906" s="867"/>
      <c r="D906" s="674"/>
      <c r="E906" s="674"/>
      <c r="F906" s="674"/>
      <c r="G906" s="674"/>
      <c r="H906" s="674"/>
      <c r="I906" s="674"/>
      <c r="J906" s="674"/>
      <c r="K906" s="674"/>
      <c r="L906" s="674"/>
      <c r="M906" s="674"/>
      <c r="N906" s="674"/>
      <c r="O906" s="674"/>
      <c r="P906" s="674"/>
      <c r="Q906" s="674"/>
      <c r="R906" s="674"/>
      <c r="S906" s="674"/>
      <c r="T906" s="674"/>
      <c r="U906" s="674"/>
      <c r="V906" s="674"/>
      <c r="W906" s="674"/>
      <c r="X906" s="674"/>
      <c r="Y906" s="674"/>
      <c r="Z906" s="674"/>
      <c r="AA906" s="674"/>
      <c r="AB906" s="674"/>
      <c r="AC906" s="674"/>
      <c r="AD906" s="674"/>
      <c r="AE906" s="674"/>
      <c r="AF906" s="674"/>
      <c r="AG906" s="674"/>
      <c r="AH906" s="674"/>
      <c r="AI906" s="674"/>
      <c r="AJ906" s="674"/>
      <c r="AK906" s="674"/>
      <c r="AL906" s="674"/>
      <c r="AM906" s="674"/>
      <c r="AN906" s="674"/>
      <c r="AO906" s="674"/>
      <c r="AP906" s="674"/>
      <c r="AS906" s="675"/>
      <c r="AU906" s="643"/>
      <c r="AV906" s="699"/>
      <c r="AW906" s="700"/>
      <c r="AX906" s="643"/>
      <c r="AY906" s="643"/>
      <c r="AZ906" s="671"/>
      <c r="BA906" s="643"/>
      <c r="BB906" s="643"/>
    </row>
    <row r="907" spans="1:54" s="673" customFormat="1" ht="13.5" hidden="1" customHeight="1" x14ac:dyDescent="0.2">
      <c r="A907" s="867"/>
      <c r="D907" s="674"/>
      <c r="E907" s="674"/>
      <c r="F907" s="674"/>
      <c r="G907" s="674"/>
      <c r="H907" s="674"/>
      <c r="I907" s="674"/>
      <c r="J907" s="674"/>
      <c r="K907" s="674"/>
      <c r="L907" s="674"/>
      <c r="M907" s="674"/>
      <c r="N907" s="674"/>
      <c r="O907" s="674"/>
      <c r="P907" s="674"/>
      <c r="Q907" s="674"/>
      <c r="R907" s="674"/>
      <c r="S907" s="674"/>
      <c r="T907" s="674"/>
      <c r="U907" s="674"/>
      <c r="V907" s="674"/>
      <c r="W907" s="674"/>
      <c r="X907" s="674"/>
      <c r="Y907" s="674"/>
      <c r="Z907" s="674"/>
      <c r="AA907" s="674"/>
      <c r="AB907" s="674"/>
      <c r="AC907" s="674"/>
      <c r="AD907" s="674"/>
      <c r="AE907" s="674"/>
      <c r="AF907" s="674"/>
      <c r="AG907" s="674"/>
      <c r="AH907" s="674"/>
      <c r="AI907" s="674"/>
      <c r="AJ907" s="674"/>
      <c r="AK907" s="674"/>
      <c r="AL907" s="674"/>
      <c r="AM907" s="674"/>
      <c r="AN907" s="674"/>
      <c r="AO907" s="674"/>
      <c r="AP907" s="674"/>
      <c r="AS907" s="675"/>
      <c r="AU907" s="643"/>
      <c r="AV907" s="699"/>
      <c r="AW907" s="700"/>
      <c r="AX907" s="643"/>
      <c r="AY907" s="643"/>
      <c r="AZ907" s="671"/>
      <c r="BA907" s="643"/>
      <c r="BB907" s="643"/>
    </row>
    <row r="908" spans="1:54" s="673" customFormat="1" ht="13.5" hidden="1" customHeight="1" x14ac:dyDescent="0.2">
      <c r="A908" s="867"/>
      <c r="D908" s="674"/>
      <c r="E908" s="674"/>
      <c r="F908" s="674"/>
      <c r="G908" s="674"/>
      <c r="H908" s="674"/>
      <c r="I908" s="674"/>
      <c r="J908" s="674"/>
      <c r="K908" s="674"/>
      <c r="L908" s="674"/>
      <c r="M908" s="674"/>
      <c r="N908" s="674"/>
      <c r="O908" s="674"/>
      <c r="P908" s="674"/>
      <c r="Q908" s="674"/>
      <c r="R908" s="674"/>
      <c r="S908" s="674"/>
      <c r="T908" s="674"/>
      <c r="U908" s="674"/>
      <c r="V908" s="674"/>
      <c r="W908" s="674"/>
      <c r="X908" s="674"/>
      <c r="Y908" s="674"/>
      <c r="Z908" s="674"/>
      <c r="AA908" s="674"/>
      <c r="AB908" s="674"/>
      <c r="AC908" s="674"/>
      <c r="AD908" s="674"/>
      <c r="AE908" s="674"/>
      <c r="AF908" s="674"/>
      <c r="AG908" s="674"/>
      <c r="AH908" s="674"/>
      <c r="AI908" s="674"/>
      <c r="AJ908" s="674"/>
      <c r="AK908" s="674"/>
      <c r="AL908" s="674"/>
      <c r="AM908" s="674"/>
      <c r="AN908" s="674"/>
      <c r="AO908" s="674"/>
      <c r="AP908" s="674"/>
      <c r="AS908" s="675"/>
      <c r="AU908" s="643"/>
      <c r="AV908" s="699"/>
      <c r="AW908" s="700"/>
      <c r="AX908" s="643"/>
      <c r="AY908" s="643"/>
      <c r="AZ908" s="671"/>
      <c r="BA908" s="643"/>
      <c r="BB908" s="643"/>
    </row>
    <row r="909" spans="1:54" s="673" customFormat="1" ht="13.5" hidden="1" customHeight="1" x14ac:dyDescent="0.2">
      <c r="A909" s="867"/>
      <c r="D909" s="674"/>
      <c r="E909" s="674"/>
      <c r="F909" s="674"/>
      <c r="G909" s="674"/>
      <c r="H909" s="674"/>
      <c r="I909" s="674"/>
      <c r="J909" s="674"/>
      <c r="K909" s="674"/>
      <c r="L909" s="674"/>
      <c r="M909" s="674"/>
      <c r="N909" s="674"/>
      <c r="O909" s="674"/>
      <c r="P909" s="674"/>
      <c r="Q909" s="674"/>
      <c r="R909" s="674"/>
      <c r="S909" s="674"/>
      <c r="T909" s="674"/>
      <c r="U909" s="674"/>
      <c r="V909" s="674"/>
      <c r="W909" s="674"/>
      <c r="X909" s="674"/>
      <c r="Y909" s="674"/>
      <c r="Z909" s="674"/>
      <c r="AA909" s="674"/>
      <c r="AB909" s="674"/>
      <c r="AC909" s="674"/>
      <c r="AD909" s="674"/>
      <c r="AE909" s="674"/>
      <c r="AF909" s="674"/>
      <c r="AG909" s="674"/>
      <c r="AH909" s="674"/>
      <c r="AI909" s="674"/>
      <c r="AJ909" s="674"/>
      <c r="AK909" s="674"/>
      <c r="AL909" s="674"/>
      <c r="AM909" s="674"/>
      <c r="AN909" s="674"/>
      <c r="AO909" s="674"/>
      <c r="AP909" s="674"/>
      <c r="AS909" s="675"/>
      <c r="AU909" s="643"/>
      <c r="AV909" s="699"/>
      <c r="AW909" s="700"/>
      <c r="AX909" s="643"/>
      <c r="AY909" s="643"/>
      <c r="AZ909" s="671"/>
      <c r="BA909" s="643"/>
      <c r="BB909" s="643"/>
    </row>
    <row r="910" spans="1:54" s="673" customFormat="1" ht="13.5" hidden="1" customHeight="1" x14ac:dyDescent="0.2">
      <c r="A910" s="867"/>
      <c r="D910" s="674"/>
      <c r="E910" s="674"/>
      <c r="F910" s="674"/>
      <c r="G910" s="674"/>
      <c r="H910" s="674"/>
      <c r="I910" s="674"/>
      <c r="J910" s="674"/>
      <c r="K910" s="674"/>
      <c r="L910" s="674"/>
      <c r="M910" s="674"/>
      <c r="N910" s="674"/>
      <c r="O910" s="674"/>
      <c r="P910" s="674"/>
      <c r="Q910" s="674"/>
      <c r="R910" s="674"/>
      <c r="S910" s="674"/>
      <c r="T910" s="674"/>
      <c r="U910" s="674"/>
      <c r="V910" s="674"/>
      <c r="W910" s="674"/>
      <c r="X910" s="674"/>
      <c r="Y910" s="674"/>
      <c r="Z910" s="674"/>
      <c r="AA910" s="674"/>
      <c r="AB910" s="674"/>
      <c r="AC910" s="674"/>
      <c r="AD910" s="674"/>
      <c r="AE910" s="674"/>
      <c r="AF910" s="674"/>
      <c r="AG910" s="674"/>
      <c r="AH910" s="674"/>
      <c r="AI910" s="674"/>
      <c r="AJ910" s="674"/>
      <c r="AK910" s="674"/>
      <c r="AL910" s="674"/>
      <c r="AM910" s="674"/>
      <c r="AN910" s="674"/>
      <c r="AO910" s="674"/>
      <c r="AP910" s="674"/>
      <c r="AS910" s="675"/>
      <c r="AU910" s="643"/>
      <c r="AV910" s="699"/>
      <c r="AW910" s="700"/>
      <c r="AX910" s="643"/>
      <c r="AY910" s="643"/>
      <c r="AZ910" s="671"/>
      <c r="BA910" s="643"/>
      <c r="BB910" s="643"/>
    </row>
    <row r="911" spans="1:54" s="186" customFormat="1" ht="11.25" hidden="1" customHeight="1" x14ac:dyDescent="0.2">
      <c r="A911" s="867"/>
      <c r="D911" s="678"/>
      <c r="E911" s="678"/>
      <c r="F911" s="678"/>
      <c r="G911" s="678"/>
      <c r="H911" s="678"/>
      <c r="I911" s="678"/>
      <c r="J911" s="678"/>
      <c r="K911" s="678"/>
      <c r="L911" s="678"/>
      <c r="M911" s="678"/>
      <c r="N911" s="678"/>
      <c r="O911" s="678"/>
      <c r="P911" s="678"/>
      <c r="Q911" s="678"/>
      <c r="R911" s="678"/>
      <c r="S911" s="678"/>
      <c r="T911" s="678"/>
      <c r="U911" s="678"/>
      <c r="V911" s="678"/>
      <c r="W911" s="678"/>
      <c r="X911" s="678"/>
      <c r="Y911" s="678"/>
      <c r="Z911" s="678"/>
      <c r="AA911" s="678"/>
      <c r="AB911" s="678"/>
      <c r="AC911" s="678"/>
      <c r="AD911" s="678"/>
      <c r="AE911" s="678"/>
      <c r="AF911" s="678"/>
      <c r="AG911" s="678"/>
      <c r="AH911" s="678"/>
      <c r="AI911" s="678"/>
      <c r="AJ911" s="678"/>
      <c r="AK911" s="678"/>
      <c r="AL911" s="678"/>
      <c r="AM911" s="678"/>
      <c r="AN911" s="678"/>
      <c r="AO911" s="678"/>
      <c r="AP911" s="678"/>
      <c r="AS911" s="672"/>
      <c r="AU911" s="669"/>
      <c r="AV911" s="699"/>
      <c r="AW911" s="700"/>
      <c r="AX911" s="643"/>
      <c r="AY911" s="643"/>
      <c r="AZ911" s="671"/>
      <c r="BA911" s="643"/>
      <c r="BB911" s="669"/>
    </row>
    <row r="912" spans="1:54" ht="26.25" hidden="1" customHeight="1" x14ac:dyDescent="0.2">
      <c r="A912" s="867"/>
      <c r="C912" s="679"/>
      <c r="D912" s="680"/>
      <c r="E912" s="680"/>
      <c r="F912" s="680"/>
      <c r="G912" s="680"/>
      <c r="H912" s="680"/>
      <c r="I912" s="680"/>
      <c r="J912" s="680"/>
      <c r="K912" s="680"/>
      <c r="L912" s="680"/>
      <c r="M912" s="680"/>
      <c r="N912" s="680"/>
      <c r="O912" s="680"/>
      <c r="P912" s="680"/>
      <c r="Q912" s="680"/>
      <c r="R912" s="680"/>
      <c r="S912" s="680"/>
      <c r="T912" s="680"/>
      <c r="U912" s="680"/>
      <c r="V912" s="680"/>
      <c r="W912" s="680"/>
      <c r="X912" s="680"/>
      <c r="Y912" s="680"/>
      <c r="Z912" s="680"/>
      <c r="AA912" s="680"/>
      <c r="AB912" s="680"/>
      <c r="AC912" s="680"/>
      <c r="AD912" s="680"/>
      <c r="AE912" s="680"/>
      <c r="AF912" s="680"/>
      <c r="AG912" s="680"/>
      <c r="AH912" s="680"/>
      <c r="AI912" s="680"/>
      <c r="AJ912" s="680"/>
      <c r="AK912" s="680"/>
      <c r="AL912" s="680"/>
      <c r="AM912" s="680"/>
      <c r="AN912" s="680"/>
      <c r="AO912" s="680"/>
      <c r="AP912" s="868"/>
      <c r="AV912" s="699"/>
      <c r="AW912" s="700"/>
    </row>
    <row r="913" spans="1:53" ht="11.25" hidden="1" customHeight="1" x14ac:dyDescent="0.2">
      <c r="A913" s="867"/>
      <c r="C913" s="681"/>
      <c r="D913" s="682"/>
      <c r="E913" s="682"/>
      <c r="F913" s="682"/>
      <c r="G913" s="682"/>
      <c r="H913" s="682"/>
      <c r="I913" s="682"/>
      <c r="J913" s="682"/>
      <c r="K913" s="682"/>
      <c r="L913" s="682"/>
      <c r="M913" s="682"/>
      <c r="N913" s="682"/>
      <c r="O913" s="682"/>
      <c r="P913" s="682"/>
      <c r="Q913" s="682"/>
      <c r="R913" s="682"/>
      <c r="S913" s="682"/>
      <c r="T913" s="682"/>
      <c r="U913" s="682"/>
      <c r="V913" s="682"/>
      <c r="W913" s="682"/>
      <c r="X913" s="682"/>
      <c r="Y913" s="682"/>
      <c r="Z913" s="682"/>
      <c r="AA913" s="682"/>
      <c r="AB913" s="682"/>
      <c r="AC913" s="682"/>
      <c r="AD913" s="682"/>
      <c r="AE913" s="682"/>
      <c r="AF913" s="682"/>
      <c r="AG913" s="682"/>
      <c r="AH913" s="682"/>
      <c r="AI913" s="682"/>
      <c r="AJ913" s="682"/>
      <c r="AK913" s="682"/>
      <c r="AL913" s="682"/>
      <c r="AM913" s="682"/>
      <c r="AN913" s="682"/>
      <c r="AO913" s="682"/>
      <c r="AP913" s="868"/>
      <c r="AQ913" s="683"/>
      <c r="AV913" s="699"/>
      <c r="AW913" s="700"/>
    </row>
    <row r="914" spans="1:53" ht="11.25" hidden="1" customHeight="1" x14ac:dyDescent="0.2">
      <c r="A914" s="867"/>
      <c r="C914" s="684"/>
      <c r="D914" s="685"/>
      <c r="E914" s="686"/>
      <c r="F914" s="686"/>
      <c r="G914" s="686"/>
      <c r="H914" s="686"/>
      <c r="I914" s="686"/>
      <c r="J914" s="686"/>
      <c r="K914" s="686"/>
      <c r="L914" s="686"/>
      <c r="M914" s="686"/>
      <c r="N914" s="686"/>
      <c r="O914" s="686"/>
      <c r="P914" s="686"/>
      <c r="Q914" s="686"/>
      <c r="R914" s="686"/>
      <c r="S914" s="686"/>
      <c r="T914" s="686"/>
      <c r="U914" s="686"/>
      <c r="V914" s="686"/>
      <c r="W914" s="686"/>
      <c r="X914" s="686"/>
      <c r="Y914" s="686"/>
      <c r="Z914" s="686"/>
      <c r="AA914" s="686"/>
      <c r="AB914" s="686"/>
      <c r="AC914" s="686"/>
      <c r="AD914" s="686"/>
      <c r="AE914" s="686"/>
      <c r="AF914" s="686"/>
      <c r="AG914" s="686"/>
      <c r="AH914" s="686"/>
      <c r="AI914" s="686"/>
      <c r="AJ914" s="686"/>
      <c r="AK914" s="686"/>
      <c r="AL914" s="686"/>
      <c r="AM914" s="686"/>
      <c r="AN914" s="686"/>
      <c r="AO914" s="687"/>
      <c r="AP914" s="868"/>
      <c r="AQ914" s="688"/>
      <c r="AV914" s="699"/>
      <c r="AW914" s="700"/>
    </row>
    <row r="915" spans="1:53" ht="11.25" hidden="1" customHeight="1" x14ac:dyDescent="0.2">
      <c r="A915" s="867"/>
      <c r="C915" s="689"/>
      <c r="D915" s="690"/>
      <c r="E915" s="690"/>
      <c r="F915" s="690"/>
      <c r="G915" s="690"/>
      <c r="H915" s="690"/>
      <c r="I915" s="690"/>
      <c r="J915" s="690"/>
      <c r="K915" s="690"/>
      <c r="L915" s="690"/>
      <c r="M915" s="690"/>
      <c r="N915" s="690"/>
      <c r="O915" s="690"/>
      <c r="P915" s="690"/>
      <c r="Q915" s="690"/>
      <c r="R915" s="690"/>
      <c r="S915" s="690"/>
      <c r="T915" s="690"/>
      <c r="U915" s="690"/>
      <c r="V915" s="690"/>
      <c r="W915" s="690"/>
      <c r="X915" s="690"/>
      <c r="Y915" s="690"/>
      <c r="Z915" s="690"/>
      <c r="AA915" s="690"/>
      <c r="AB915" s="690"/>
      <c r="AC915" s="690"/>
      <c r="AD915" s="690"/>
      <c r="AE915" s="690"/>
      <c r="AF915" s="690"/>
      <c r="AG915" s="690"/>
      <c r="AH915" s="690"/>
      <c r="AI915" s="690"/>
      <c r="AJ915" s="690"/>
      <c r="AK915" s="690"/>
      <c r="AL915" s="690"/>
      <c r="AM915" s="690"/>
      <c r="AN915" s="690"/>
      <c r="AO915" s="690"/>
      <c r="AP915" s="691"/>
      <c r="AS915" s="692"/>
      <c r="AV915" s="699"/>
      <c r="AW915" s="700"/>
    </row>
    <row r="916" spans="1:53" ht="4.5" hidden="1" customHeight="1" x14ac:dyDescent="0.2">
      <c r="A916" s="867"/>
      <c r="AV916" s="699"/>
      <c r="AW916" s="700"/>
    </row>
    <row r="917" spans="1:53" ht="11.25" hidden="1" customHeight="1" x14ac:dyDescent="0.2">
      <c r="A917" s="867"/>
      <c r="C917" s="693"/>
      <c r="D917" s="694"/>
      <c r="E917" s="695"/>
      <c r="F917" s="695"/>
      <c r="G917" s="695"/>
      <c r="H917" s="695"/>
      <c r="I917" s="695"/>
      <c r="J917" s="695"/>
      <c r="K917" s="695"/>
      <c r="L917" s="695"/>
      <c r="M917" s="695"/>
      <c r="N917" s="695"/>
      <c r="O917" s="695"/>
      <c r="P917" s="695"/>
      <c r="Q917" s="695"/>
      <c r="R917" s="695"/>
      <c r="S917" s="695"/>
      <c r="T917" s="695"/>
      <c r="U917" s="695"/>
      <c r="V917" s="695"/>
      <c r="W917" s="695"/>
      <c r="X917" s="695"/>
      <c r="Y917" s="695"/>
      <c r="Z917" s="695"/>
      <c r="AA917" s="695"/>
      <c r="AB917" s="695"/>
      <c r="AC917" s="695"/>
      <c r="AD917" s="695"/>
      <c r="AE917" s="695"/>
      <c r="AF917" s="695"/>
      <c r="AG917" s="695"/>
      <c r="AH917" s="695"/>
      <c r="AI917" s="695"/>
      <c r="AJ917" s="695"/>
      <c r="AK917" s="695"/>
      <c r="AL917" s="695"/>
      <c r="AM917" s="695"/>
      <c r="AN917" s="695"/>
      <c r="AO917" s="696"/>
      <c r="AP917" s="697"/>
      <c r="AQ917" s="698"/>
      <c r="AS917" s="208"/>
      <c r="AV917" s="699"/>
      <c r="AW917" s="700"/>
      <c r="AX917" s="382"/>
      <c r="AY917" s="379"/>
      <c r="AZ917" s="384"/>
      <c r="BA917" s="642"/>
    </row>
    <row r="918" spans="1:53" ht="11.25" hidden="1" customHeight="1" x14ac:dyDescent="0.2">
      <c r="A918" s="867"/>
      <c r="C918" s="701"/>
      <c r="D918" s="702"/>
      <c r="E918" s="703"/>
      <c r="F918" s="703"/>
      <c r="G918" s="703"/>
      <c r="H918" s="703"/>
      <c r="I918" s="703"/>
      <c r="J918" s="703"/>
      <c r="K918" s="703"/>
      <c r="L918" s="703"/>
      <c r="M918" s="703"/>
      <c r="N918" s="703"/>
      <c r="O918" s="703"/>
      <c r="P918" s="703"/>
      <c r="Q918" s="703"/>
      <c r="R918" s="703"/>
      <c r="S918" s="703"/>
      <c r="T918" s="703"/>
      <c r="U918" s="703"/>
      <c r="V918" s="703"/>
      <c r="W918" s="703"/>
      <c r="X918" s="703"/>
      <c r="Y918" s="703"/>
      <c r="Z918" s="703"/>
      <c r="AA918" s="703"/>
      <c r="AB918" s="703"/>
      <c r="AC918" s="703"/>
      <c r="AD918" s="703"/>
      <c r="AE918" s="703"/>
      <c r="AF918" s="703"/>
      <c r="AG918" s="703"/>
      <c r="AH918" s="703"/>
      <c r="AI918" s="703"/>
      <c r="AJ918" s="703"/>
      <c r="AK918" s="703"/>
      <c r="AL918" s="703"/>
      <c r="AM918" s="703"/>
      <c r="AN918" s="703"/>
      <c r="AO918" s="704"/>
      <c r="AP918" s="705"/>
      <c r="AQ918" s="698"/>
      <c r="AS918" s="220"/>
      <c r="AV918" s="699"/>
      <c r="AW918" s="700"/>
      <c r="AX918" s="382"/>
      <c r="AY918" s="379"/>
      <c r="AZ918" s="384"/>
      <c r="BA918" s="642"/>
    </row>
    <row r="919" spans="1:53" ht="11.25" hidden="1" customHeight="1" x14ac:dyDescent="0.2">
      <c r="A919" s="867"/>
      <c r="C919" s="701"/>
      <c r="D919" s="702"/>
      <c r="E919" s="703"/>
      <c r="F919" s="703"/>
      <c r="G919" s="703"/>
      <c r="H919" s="703"/>
      <c r="I919" s="703"/>
      <c r="J919" s="703"/>
      <c r="K919" s="703"/>
      <c r="L919" s="703"/>
      <c r="M919" s="703"/>
      <c r="N919" s="703"/>
      <c r="O919" s="703"/>
      <c r="P919" s="703"/>
      <c r="Q919" s="703"/>
      <c r="R919" s="703"/>
      <c r="S919" s="703"/>
      <c r="T919" s="703"/>
      <c r="U919" s="703"/>
      <c r="V919" s="703"/>
      <c r="W919" s="703"/>
      <c r="X919" s="703"/>
      <c r="Y919" s="703"/>
      <c r="Z919" s="703"/>
      <c r="AA919" s="703"/>
      <c r="AB919" s="703"/>
      <c r="AC919" s="703"/>
      <c r="AD919" s="703"/>
      <c r="AE919" s="703"/>
      <c r="AF919" s="703"/>
      <c r="AG919" s="703"/>
      <c r="AH919" s="703"/>
      <c r="AI919" s="703"/>
      <c r="AJ919" s="703"/>
      <c r="AK919" s="703"/>
      <c r="AL919" s="703"/>
      <c r="AM919" s="703"/>
      <c r="AN919" s="703"/>
      <c r="AO919" s="704"/>
      <c r="AP919" s="705"/>
      <c r="AQ919" s="698"/>
      <c r="AS919" s="220"/>
      <c r="AV919" s="699"/>
      <c r="AW919" s="700"/>
      <c r="AX919" s="382"/>
      <c r="AY919" s="379"/>
      <c r="AZ919" s="384"/>
      <c r="BA919" s="642"/>
    </row>
    <row r="920" spans="1:53" ht="11.25" hidden="1" customHeight="1" x14ac:dyDescent="0.2">
      <c r="A920" s="867"/>
      <c r="C920" s="701"/>
      <c r="D920" s="702"/>
      <c r="E920" s="703"/>
      <c r="F920" s="703"/>
      <c r="G920" s="703"/>
      <c r="H920" s="703"/>
      <c r="I920" s="703"/>
      <c r="J920" s="703"/>
      <c r="K920" s="703"/>
      <c r="L920" s="703"/>
      <c r="M920" s="703"/>
      <c r="N920" s="703"/>
      <c r="O920" s="703"/>
      <c r="P920" s="703"/>
      <c r="Q920" s="703"/>
      <c r="R920" s="703"/>
      <c r="S920" s="703"/>
      <c r="T920" s="703"/>
      <c r="U920" s="703"/>
      <c r="V920" s="703"/>
      <c r="W920" s="703"/>
      <c r="X920" s="703"/>
      <c r="Y920" s="703"/>
      <c r="Z920" s="703"/>
      <c r="AA920" s="703"/>
      <c r="AB920" s="703"/>
      <c r="AC920" s="703"/>
      <c r="AD920" s="703"/>
      <c r="AE920" s="703"/>
      <c r="AF920" s="703"/>
      <c r="AG920" s="703"/>
      <c r="AH920" s="703"/>
      <c r="AI920" s="703"/>
      <c r="AJ920" s="703"/>
      <c r="AK920" s="703"/>
      <c r="AL920" s="703"/>
      <c r="AM920" s="703"/>
      <c r="AN920" s="703"/>
      <c r="AO920" s="704"/>
      <c r="AP920" s="705"/>
      <c r="AQ920" s="698"/>
      <c r="AS920" s="220"/>
      <c r="AV920" s="699"/>
      <c r="AW920" s="700"/>
      <c r="AX920" s="382"/>
      <c r="AY920" s="379"/>
      <c r="AZ920" s="384"/>
      <c r="BA920" s="642"/>
    </row>
    <row r="921" spans="1:53" ht="11.25" hidden="1" customHeight="1" x14ac:dyDescent="0.2">
      <c r="A921" s="867"/>
      <c r="C921" s="701"/>
      <c r="D921" s="702"/>
      <c r="E921" s="703"/>
      <c r="F921" s="703"/>
      <c r="G921" s="703"/>
      <c r="H921" s="703"/>
      <c r="I921" s="703"/>
      <c r="J921" s="703"/>
      <c r="K921" s="703"/>
      <c r="L921" s="703"/>
      <c r="M921" s="703"/>
      <c r="N921" s="703"/>
      <c r="O921" s="703"/>
      <c r="P921" s="703"/>
      <c r="Q921" s="703"/>
      <c r="R921" s="703"/>
      <c r="S921" s="703"/>
      <c r="T921" s="703"/>
      <c r="U921" s="703"/>
      <c r="V921" s="703"/>
      <c r="W921" s="703"/>
      <c r="X921" s="703"/>
      <c r="Y921" s="703"/>
      <c r="Z921" s="703"/>
      <c r="AA921" s="703"/>
      <c r="AB921" s="703"/>
      <c r="AC921" s="703"/>
      <c r="AD921" s="703"/>
      <c r="AE921" s="703"/>
      <c r="AF921" s="703"/>
      <c r="AG921" s="703"/>
      <c r="AH921" s="703"/>
      <c r="AI921" s="703"/>
      <c r="AJ921" s="703"/>
      <c r="AK921" s="703"/>
      <c r="AL921" s="703"/>
      <c r="AM921" s="703"/>
      <c r="AN921" s="703"/>
      <c r="AO921" s="704"/>
      <c r="AP921" s="705"/>
      <c r="AQ921" s="698"/>
      <c r="AS921" s="220"/>
      <c r="AV921" s="699"/>
      <c r="AW921" s="700"/>
      <c r="AX921" s="382"/>
      <c r="AY921" s="379"/>
      <c r="AZ921" s="384"/>
      <c r="BA921" s="642"/>
    </row>
    <row r="922" spans="1:53" ht="11.25" hidden="1" customHeight="1" x14ac:dyDescent="0.2">
      <c r="A922" s="867"/>
      <c r="C922" s="701"/>
      <c r="D922" s="702"/>
      <c r="E922" s="703"/>
      <c r="F922" s="703"/>
      <c r="G922" s="703"/>
      <c r="H922" s="703"/>
      <c r="I922" s="703"/>
      <c r="J922" s="703"/>
      <c r="K922" s="703"/>
      <c r="L922" s="703"/>
      <c r="M922" s="703"/>
      <c r="N922" s="703"/>
      <c r="O922" s="703"/>
      <c r="P922" s="703"/>
      <c r="Q922" s="703"/>
      <c r="R922" s="703"/>
      <c r="S922" s="703"/>
      <c r="T922" s="703"/>
      <c r="U922" s="703"/>
      <c r="V922" s="703"/>
      <c r="W922" s="703"/>
      <c r="X922" s="703"/>
      <c r="Y922" s="703"/>
      <c r="Z922" s="703"/>
      <c r="AA922" s="703"/>
      <c r="AB922" s="703"/>
      <c r="AC922" s="703"/>
      <c r="AD922" s="703"/>
      <c r="AE922" s="703"/>
      <c r="AF922" s="703"/>
      <c r="AG922" s="703"/>
      <c r="AH922" s="703"/>
      <c r="AI922" s="703"/>
      <c r="AJ922" s="703"/>
      <c r="AK922" s="703"/>
      <c r="AL922" s="703"/>
      <c r="AM922" s="703"/>
      <c r="AN922" s="703"/>
      <c r="AO922" s="704"/>
      <c r="AP922" s="705"/>
      <c r="AQ922" s="698"/>
      <c r="AS922" s="220"/>
      <c r="AV922" s="699"/>
      <c r="AW922" s="700"/>
      <c r="AX922" s="382"/>
      <c r="AY922" s="379"/>
      <c r="AZ922" s="384"/>
      <c r="BA922" s="642"/>
    </row>
    <row r="923" spans="1:53" ht="11.25" hidden="1" customHeight="1" x14ac:dyDescent="0.2">
      <c r="A923" s="867"/>
      <c r="C923" s="701"/>
      <c r="D923" s="702"/>
      <c r="E923" s="703"/>
      <c r="F923" s="703"/>
      <c r="G923" s="703"/>
      <c r="H923" s="703"/>
      <c r="I923" s="703"/>
      <c r="J923" s="703"/>
      <c r="K923" s="703"/>
      <c r="L923" s="703"/>
      <c r="M923" s="703"/>
      <c r="N923" s="703"/>
      <c r="O923" s="703"/>
      <c r="P923" s="703"/>
      <c r="Q923" s="703"/>
      <c r="R923" s="703"/>
      <c r="S923" s="703"/>
      <c r="T923" s="703"/>
      <c r="U923" s="703"/>
      <c r="V923" s="703"/>
      <c r="W923" s="703"/>
      <c r="X923" s="703"/>
      <c r="Y923" s="703"/>
      <c r="Z923" s="703"/>
      <c r="AA923" s="703"/>
      <c r="AB923" s="703"/>
      <c r="AC923" s="703"/>
      <c r="AD923" s="703"/>
      <c r="AE923" s="703"/>
      <c r="AF923" s="703"/>
      <c r="AG923" s="703"/>
      <c r="AH923" s="703"/>
      <c r="AI923" s="703"/>
      <c r="AJ923" s="703"/>
      <c r="AK923" s="703"/>
      <c r="AL923" s="703"/>
      <c r="AM923" s="703"/>
      <c r="AN923" s="703"/>
      <c r="AO923" s="704"/>
      <c r="AP923" s="705"/>
      <c r="AQ923" s="698"/>
      <c r="AS923" s="220"/>
      <c r="AV923" s="699"/>
      <c r="AW923" s="700"/>
      <c r="AX923" s="382"/>
      <c r="AY923" s="379"/>
      <c r="AZ923" s="384"/>
      <c r="BA923" s="642"/>
    </row>
    <row r="924" spans="1:53" ht="11.25" hidden="1" customHeight="1" x14ac:dyDescent="0.2">
      <c r="A924" s="867"/>
      <c r="C924" s="701"/>
      <c r="D924" s="702"/>
      <c r="E924" s="703"/>
      <c r="F924" s="703"/>
      <c r="G924" s="703"/>
      <c r="H924" s="703"/>
      <c r="I924" s="703"/>
      <c r="J924" s="703"/>
      <c r="K924" s="703"/>
      <c r="L924" s="703"/>
      <c r="M924" s="703"/>
      <c r="N924" s="703"/>
      <c r="O924" s="703"/>
      <c r="P924" s="703"/>
      <c r="Q924" s="703"/>
      <c r="R924" s="703"/>
      <c r="S924" s="703"/>
      <c r="T924" s="703"/>
      <c r="U924" s="703"/>
      <c r="V924" s="703"/>
      <c r="W924" s="703"/>
      <c r="X924" s="703"/>
      <c r="Y924" s="703"/>
      <c r="Z924" s="703"/>
      <c r="AA924" s="703"/>
      <c r="AB924" s="703"/>
      <c r="AC924" s="703"/>
      <c r="AD924" s="703"/>
      <c r="AE924" s="703"/>
      <c r="AF924" s="703"/>
      <c r="AG924" s="703"/>
      <c r="AH924" s="703"/>
      <c r="AI924" s="703"/>
      <c r="AJ924" s="703"/>
      <c r="AK924" s="703"/>
      <c r="AL924" s="703"/>
      <c r="AM924" s="703"/>
      <c r="AN924" s="703"/>
      <c r="AO924" s="704"/>
      <c r="AP924" s="705"/>
      <c r="AQ924" s="698"/>
      <c r="AS924" s="220"/>
      <c r="AV924" s="699"/>
      <c r="AW924" s="700"/>
      <c r="AX924" s="382"/>
      <c r="AY924" s="379"/>
      <c r="AZ924" s="384"/>
      <c r="BA924" s="642"/>
    </row>
    <row r="925" spans="1:53" ht="11.25" hidden="1" customHeight="1" x14ac:dyDescent="0.2">
      <c r="A925" s="867"/>
      <c r="C925" s="701"/>
      <c r="D925" s="702"/>
      <c r="E925" s="703"/>
      <c r="F925" s="703"/>
      <c r="G925" s="703"/>
      <c r="H925" s="703"/>
      <c r="I925" s="703"/>
      <c r="J925" s="703"/>
      <c r="K925" s="703"/>
      <c r="L925" s="703"/>
      <c r="M925" s="703"/>
      <c r="N925" s="703"/>
      <c r="O925" s="703"/>
      <c r="P925" s="703"/>
      <c r="Q925" s="703"/>
      <c r="R925" s="703"/>
      <c r="S925" s="703"/>
      <c r="T925" s="703"/>
      <c r="U925" s="703"/>
      <c r="V925" s="703"/>
      <c r="W925" s="703"/>
      <c r="X925" s="703"/>
      <c r="Y925" s="703"/>
      <c r="Z925" s="703"/>
      <c r="AA925" s="703"/>
      <c r="AB925" s="703"/>
      <c r="AC925" s="703"/>
      <c r="AD925" s="703"/>
      <c r="AE925" s="703"/>
      <c r="AF925" s="703"/>
      <c r="AG925" s="703"/>
      <c r="AH925" s="703"/>
      <c r="AI925" s="703"/>
      <c r="AJ925" s="703"/>
      <c r="AK925" s="703"/>
      <c r="AL925" s="703"/>
      <c r="AM925" s="703"/>
      <c r="AN925" s="703"/>
      <c r="AO925" s="704"/>
      <c r="AP925" s="705"/>
      <c r="AQ925" s="698"/>
      <c r="AS925" s="220"/>
      <c r="AV925" s="699"/>
      <c r="AW925" s="700"/>
      <c r="AX925" s="382"/>
      <c r="AY925" s="379"/>
      <c r="AZ925" s="384"/>
      <c r="BA925" s="642"/>
    </row>
    <row r="926" spans="1:53" ht="11.25" hidden="1" customHeight="1" x14ac:dyDescent="0.2">
      <c r="A926" s="867"/>
      <c r="C926" s="701"/>
      <c r="D926" s="702"/>
      <c r="E926" s="703"/>
      <c r="F926" s="703"/>
      <c r="G926" s="703"/>
      <c r="H926" s="703"/>
      <c r="I926" s="703"/>
      <c r="J926" s="703"/>
      <c r="K926" s="703"/>
      <c r="L926" s="703"/>
      <c r="M926" s="703"/>
      <c r="N926" s="703"/>
      <c r="O926" s="703"/>
      <c r="P926" s="703"/>
      <c r="Q926" s="703"/>
      <c r="R926" s="703"/>
      <c r="S926" s="703"/>
      <c r="T926" s="703"/>
      <c r="U926" s="703"/>
      <c r="V926" s="703"/>
      <c r="W926" s="703"/>
      <c r="X926" s="703"/>
      <c r="Y926" s="703"/>
      <c r="Z926" s="703"/>
      <c r="AA926" s="703"/>
      <c r="AB926" s="703"/>
      <c r="AC926" s="703"/>
      <c r="AD926" s="703"/>
      <c r="AE926" s="703"/>
      <c r="AF926" s="703"/>
      <c r="AG926" s="703"/>
      <c r="AH926" s="703"/>
      <c r="AI926" s="703"/>
      <c r="AJ926" s="703"/>
      <c r="AK926" s="703"/>
      <c r="AL926" s="703"/>
      <c r="AM926" s="703"/>
      <c r="AN926" s="703"/>
      <c r="AO926" s="704"/>
      <c r="AP926" s="705"/>
      <c r="AQ926" s="698"/>
      <c r="AS926" s="220"/>
      <c r="AV926" s="699"/>
      <c r="AW926" s="700"/>
      <c r="AX926" s="382"/>
      <c r="AY926" s="379"/>
      <c r="AZ926" s="384"/>
      <c r="BA926" s="642"/>
    </row>
    <row r="927" spans="1:53" ht="11.25" hidden="1" customHeight="1" x14ac:dyDescent="0.2">
      <c r="A927" s="867"/>
      <c r="C927" s="701"/>
      <c r="D927" s="702"/>
      <c r="E927" s="703"/>
      <c r="F927" s="703"/>
      <c r="G927" s="703"/>
      <c r="H927" s="703"/>
      <c r="I927" s="703"/>
      <c r="J927" s="703"/>
      <c r="K927" s="703"/>
      <c r="L927" s="703"/>
      <c r="M927" s="703"/>
      <c r="N927" s="703"/>
      <c r="O927" s="703"/>
      <c r="P927" s="703"/>
      <c r="Q927" s="703"/>
      <c r="R927" s="703"/>
      <c r="S927" s="703"/>
      <c r="T927" s="703"/>
      <c r="U927" s="703"/>
      <c r="V927" s="703"/>
      <c r="W927" s="703"/>
      <c r="X927" s="703"/>
      <c r="Y927" s="703"/>
      <c r="Z927" s="703"/>
      <c r="AA927" s="703"/>
      <c r="AB927" s="703"/>
      <c r="AC927" s="703"/>
      <c r="AD927" s="703"/>
      <c r="AE927" s="703"/>
      <c r="AF927" s="703"/>
      <c r="AG927" s="703"/>
      <c r="AH927" s="703"/>
      <c r="AI927" s="703"/>
      <c r="AJ927" s="703"/>
      <c r="AK927" s="703"/>
      <c r="AL927" s="703"/>
      <c r="AM927" s="703"/>
      <c r="AN927" s="703"/>
      <c r="AO927" s="704"/>
      <c r="AP927" s="705"/>
      <c r="AQ927" s="698"/>
      <c r="AS927" s="220"/>
      <c r="AV927" s="699"/>
      <c r="AW927" s="700"/>
      <c r="AX927" s="382"/>
      <c r="AY927" s="379"/>
      <c r="AZ927" s="384"/>
      <c r="BA927" s="642"/>
    </row>
    <row r="928" spans="1:53" ht="11.25" hidden="1" customHeight="1" x14ac:dyDescent="0.2">
      <c r="A928" s="867"/>
      <c r="C928" s="701"/>
      <c r="D928" s="702"/>
      <c r="E928" s="703"/>
      <c r="F928" s="703"/>
      <c r="G928" s="703"/>
      <c r="H928" s="703"/>
      <c r="I928" s="703"/>
      <c r="J928" s="703"/>
      <c r="K928" s="703"/>
      <c r="L928" s="703"/>
      <c r="M928" s="703"/>
      <c r="N928" s="703"/>
      <c r="O928" s="703"/>
      <c r="P928" s="703"/>
      <c r="Q928" s="703"/>
      <c r="R928" s="703"/>
      <c r="S928" s="703"/>
      <c r="T928" s="703"/>
      <c r="U928" s="703"/>
      <c r="V928" s="703"/>
      <c r="W928" s="703"/>
      <c r="X928" s="703"/>
      <c r="Y928" s="703"/>
      <c r="Z928" s="703"/>
      <c r="AA928" s="703"/>
      <c r="AB928" s="703"/>
      <c r="AC928" s="703"/>
      <c r="AD928" s="703"/>
      <c r="AE928" s="703"/>
      <c r="AF928" s="703"/>
      <c r="AG928" s="703"/>
      <c r="AH928" s="703"/>
      <c r="AI928" s="703"/>
      <c r="AJ928" s="703"/>
      <c r="AK928" s="703"/>
      <c r="AL928" s="703"/>
      <c r="AM928" s="703"/>
      <c r="AN928" s="703"/>
      <c r="AO928" s="704"/>
      <c r="AP928" s="705"/>
      <c r="AQ928" s="698"/>
      <c r="AS928" s="220"/>
      <c r="AV928" s="699"/>
      <c r="AW928" s="700"/>
      <c r="AX928" s="382"/>
      <c r="AY928" s="379"/>
      <c r="AZ928" s="384"/>
      <c r="BA928" s="642"/>
    </row>
    <row r="929" spans="1:53" ht="11.25" hidden="1" customHeight="1" x14ac:dyDescent="0.2">
      <c r="A929" s="867"/>
      <c r="C929" s="701"/>
      <c r="D929" s="702"/>
      <c r="E929" s="703"/>
      <c r="F929" s="703"/>
      <c r="G929" s="703"/>
      <c r="H929" s="703"/>
      <c r="I929" s="703"/>
      <c r="J929" s="703"/>
      <c r="K929" s="703"/>
      <c r="L929" s="703"/>
      <c r="M929" s="703"/>
      <c r="N929" s="703"/>
      <c r="O929" s="703"/>
      <c r="P929" s="703"/>
      <c r="Q929" s="703"/>
      <c r="R929" s="703"/>
      <c r="S929" s="703"/>
      <c r="T929" s="703"/>
      <c r="U929" s="703"/>
      <c r="V929" s="703"/>
      <c r="W929" s="703"/>
      <c r="X929" s="703"/>
      <c r="Y929" s="703"/>
      <c r="Z929" s="703"/>
      <c r="AA929" s="703"/>
      <c r="AB929" s="703"/>
      <c r="AC929" s="703"/>
      <c r="AD929" s="703"/>
      <c r="AE929" s="703"/>
      <c r="AF929" s="703"/>
      <c r="AG929" s="703"/>
      <c r="AH929" s="703"/>
      <c r="AI929" s="703"/>
      <c r="AJ929" s="703"/>
      <c r="AK929" s="703"/>
      <c r="AL929" s="703"/>
      <c r="AM929" s="703"/>
      <c r="AN929" s="703"/>
      <c r="AO929" s="704"/>
      <c r="AP929" s="705"/>
      <c r="AQ929" s="698"/>
      <c r="AS929" s="220"/>
      <c r="AV929" s="699"/>
      <c r="AW929" s="700"/>
      <c r="AX929" s="382"/>
      <c r="AY929" s="379"/>
      <c r="AZ929" s="384"/>
      <c r="BA929" s="642"/>
    </row>
    <row r="930" spans="1:53" ht="11.25" hidden="1" customHeight="1" x14ac:dyDescent="0.2">
      <c r="A930" s="867"/>
      <c r="C930" s="701"/>
      <c r="D930" s="702"/>
      <c r="E930" s="703"/>
      <c r="F930" s="703"/>
      <c r="G930" s="703"/>
      <c r="H930" s="703"/>
      <c r="I930" s="703"/>
      <c r="J930" s="703"/>
      <c r="K930" s="703"/>
      <c r="L930" s="703"/>
      <c r="M930" s="703"/>
      <c r="N930" s="703"/>
      <c r="O930" s="703"/>
      <c r="P930" s="703"/>
      <c r="Q930" s="703"/>
      <c r="R930" s="703"/>
      <c r="S930" s="703"/>
      <c r="T930" s="703"/>
      <c r="U930" s="703"/>
      <c r="V930" s="703"/>
      <c r="W930" s="703"/>
      <c r="X930" s="703"/>
      <c r="Y930" s="703"/>
      <c r="Z930" s="703"/>
      <c r="AA930" s="703"/>
      <c r="AB930" s="703"/>
      <c r="AC930" s="703"/>
      <c r="AD930" s="703"/>
      <c r="AE930" s="703"/>
      <c r="AF930" s="703"/>
      <c r="AG930" s="703"/>
      <c r="AH930" s="703"/>
      <c r="AI930" s="703"/>
      <c r="AJ930" s="703"/>
      <c r="AK930" s="703"/>
      <c r="AL930" s="703"/>
      <c r="AM930" s="703"/>
      <c r="AN930" s="703"/>
      <c r="AO930" s="704"/>
      <c r="AP930" s="705"/>
      <c r="AQ930" s="698"/>
      <c r="AS930" s="220"/>
      <c r="AV930" s="699"/>
      <c r="AW930" s="700"/>
      <c r="AX930" s="382"/>
      <c r="AY930" s="379"/>
      <c r="AZ930" s="384"/>
      <c r="BA930" s="642"/>
    </row>
    <row r="931" spans="1:53" ht="11.25" hidden="1" customHeight="1" x14ac:dyDescent="0.2">
      <c r="A931" s="867"/>
      <c r="C931" s="701"/>
      <c r="D931" s="702"/>
      <c r="E931" s="703"/>
      <c r="F931" s="703"/>
      <c r="G931" s="703"/>
      <c r="H931" s="703"/>
      <c r="I931" s="703"/>
      <c r="J931" s="703"/>
      <c r="K931" s="703"/>
      <c r="L931" s="703"/>
      <c r="M931" s="703"/>
      <c r="N931" s="703"/>
      <c r="O931" s="703"/>
      <c r="P931" s="703"/>
      <c r="Q931" s="703"/>
      <c r="R931" s="703"/>
      <c r="S931" s="703"/>
      <c r="T931" s="703"/>
      <c r="U931" s="703"/>
      <c r="V931" s="703"/>
      <c r="W931" s="703"/>
      <c r="X931" s="703"/>
      <c r="Y931" s="703"/>
      <c r="Z931" s="703"/>
      <c r="AA931" s="703"/>
      <c r="AB931" s="703"/>
      <c r="AC931" s="703"/>
      <c r="AD931" s="703"/>
      <c r="AE931" s="703"/>
      <c r="AF931" s="703"/>
      <c r="AG931" s="703"/>
      <c r="AH931" s="703"/>
      <c r="AI931" s="703"/>
      <c r="AJ931" s="703"/>
      <c r="AK931" s="703"/>
      <c r="AL931" s="703"/>
      <c r="AM931" s="703"/>
      <c r="AN931" s="703"/>
      <c r="AO931" s="704"/>
      <c r="AP931" s="705"/>
      <c r="AQ931" s="698"/>
      <c r="AS931" s="220"/>
      <c r="AV931" s="699"/>
      <c r="AW931" s="700"/>
      <c r="AX931" s="382"/>
      <c r="AY931" s="379"/>
      <c r="AZ931" s="384"/>
      <c r="BA931" s="642"/>
    </row>
    <row r="932" spans="1:53" ht="11.25" hidden="1" customHeight="1" x14ac:dyDescent="0.2">
      <c r="A932" s="867"/>
      <c r="C932" s="701"/>
      <c r="D932" s="702"/>
      <c r="E932" s="703"/>
      <c r="F932" s="703"/>
      <c r="G932" s="703"/>
      <c r="H932" s="703"/>
      <c r="I932" s="703"/>
      <c r="J932" s="703"/>
      <c r="K932" s="703"/>
      <c r="L932" s="703"/>
      <c r="M932" s="703"/>
      <c r="N932" s="703"/>
      <c r="O932" s="703"/>
      <c r="P932" s="703"/>
      <c r="Q932" s="703"/>
      <c r="R932" s="703"/>
      <c r="S932" s="703"/>
      <c r="T932" s="703"/>
      <c r="U932" s="703"/>
      <c r="V932" s="703"/>
      <c r="W932" s="703"/>
      <c r="X932" s="703"/>
      <c r="Y932" s="703"/>
      <c r="Z932" s="703"/>
      <c r="AA932" s="703"/>
      <c r="AB932" s="703"/>
      <c r="AC932" s="703"/>
      <c r="AD932" s="703"/>
      <c r="AE932" s="703"/>
      <c r="AF932" s="703"/>
      <c r="AG932" s="703"/>
      <c r="AH932" s="703"/>
      <c r="AI932" s="703"/>
      <c r="AJ932" s="703"/>
      <c r="AK932" s="703"/>
      <c r="AL932" s="703"/>
      <c r="AM932" s="703"/>
      <c r="AN932" s="703"/>
      <c r="AO932" s="704"/>
      <c r="AP932" s="705"/>
      <c r="AQ932" s="698"/>
      <c r="AS932" s="220"/>
      <c r="AV932" s="699"/>
      <c r="AW932" s="700"/>
      <c r="AX932" s="382"/>
      <c r="AY932" s="379"/>
      <c r="AZ932" s="384"/>
      <c r="BA932" s="642"/>
    </row>
    <row r="933" spans="1:53" ht="11.25" hidden="1" customHeight="1" x14ac:dyDescent="0.2">
      <c r="A933" s="867"/>
      <c r="C933" s="701"/>
      <c r="D933" s="702"/>
      <c r="E933" s="703"/>
      <c r="F933" s="703"/>
      <c r="G933" s="703"/>
      <c r="H933" s="703"/>
      <c r="I933" s="703"/>
      <c r="J933" s="703"/>
      <c r="K933" s="703"/>
      <c r="L933" s="703"/>
      <c r="M933" s="703"/>
      <c r="N933" s="703"/>
      <c r="O933" s="703"/>
      <c r="P933" s="703"/>
      <c r="Q933" s="703"/>
      <c r="R933" s="703"/>
      <c r="S933" s="703"/>
      <c r="T933" s="703"/>
      <c r="U933" s="703"/>
      <c r="V933" s="703"/>
      <c r="W933" s="703"/>
      <c r="X933" s="703"/>
      <c r="Y933" s="703"/>
      <c r="Z933" s="703"/>
      <c r="AA933" s="703"/>
      <c r="AB933" s="703"/>
      <c r="AC933" s="703"/>
      <c r="AD933" s="703"/>
      <c r="AE933" s="703"/>
      <c r="AF933" s="703"/>
      <c r="AG933" s="703"/>
      <c r="AH933" s="703"/>
      <c r="AI933" s="703"/>
      <c r="AJ933" s="703"/>
      <c r="AK933" s="703"/>
      <c r="AL933" s="703"/>
      <c r="AM933" s="703"/>
      <c r="AN933" s="703"/>
      <c r="AO933" s="704"/>
      <c r="AP933" s="705"/>
      <c r="AQ933" s="698"/>
      <c r="AS933" s="220"/>
      <c r="AV933" s="699"/>
      <c r="AW933" s="700"/>
      <c r="AX933" s="382"/>
      <c r="AY933" s="379"/>
      <c r="AZ933" s="384"/>
      <c r="BA933" s="642"/>
    </row>
    <row r="934" spans="1:53" ht="11.25" hidden="1" customHeight="1" x14ac:dyDescent="0.2">
      <c r="A934" s="867"/>
      <c r="C934" s="701"/>
      <c r="D934" s="702"/>
      <c r="E934" s="703"/>
      <c r="F934" s="703"/>
      <c r="G934" s="703"/>
      <c r="H934" s="703"/>
      <c r="I934" s="703"/>
      <c r="J934" s="703"/>
      <c r="K934" s="703"/>
      <c r="L934" s="703"/>
      <c r="M934" s="703"/>
      <c r="N934" s="703"/>
      <c r="O934" s="703"/>
      <c r="P934" s="703"/>
      <c r="Q934" s="703"/>
      <c r="R934" s="703"/>
      <c r="S934" s="703"/>
      <c r="T934" s="703"/>
      <c r="U934" s="703"/>
      <c r="V934" s="703"/>
      <c r="W934" s="703"/>
      <c r="X934" s="703"/>
      <c r="Y934" s="703"/>
      <c r="Z934" s="703"/>
      <c r="AA934" s="703"/>
      <c r="AB934" s="703"/>
      <c r="AC934" s="703"/>
      <c r="AD934" s="703"/>
      <c r="AE934" s="703"/>
      <c r="AF934" s="703"/>
      <c r="AG934" s="703"/>
      <c r="AH934" s="703"/>
      <c r="AI934" s="703"/>
      <c r="AJ934" s="703"/>
      <c r="AK934" s="703"/>
      <c r="AL934" s="703"/>
      <c r="AM934" s="703"/>
      <c r="AN934" s="703"/>
      <c r="AO934" s="704"/>
      <c r="AP934" s="705"/>
      <c r="AQ934" s="698"/>
      <c r="AS934" s="220"/>
      <c r="AV934" s="699"/>
      <c r="AW934" s="700"/>
      <c r="AX934" s="382"/>
      <c r="AY934" s="379"/>
      <c r="AZ934" s="384"/>
      <c r="BA934" s="642"/>
    </row>
    <row r="935" spans="1:53" ht="11.25" hidden="1" customHeight="1" x14ac:dyDescent="0.2">
      <c r="A935" s="867"/>
      <c r="C935" s="701"/>
      <c r="D935" s="702"/>
      <c r="E935" s="703"/>
      <c r="F935" s="703"/>
      <c r="G935" s="703"/>
      <c r="H935" s="703"/>
      <c r="I935" s="703"/>
      <c r="J935" s="703"/>
      <c r="K935" s="703"/>
      <c r="L935" s="703"/>
      <c r="M935" s="703"/>
      <c r="N935" s="703"/>
      <c r="O935" s="703"/>
      <c r="P935" s="703"/>
      <c r="Q935" s="703"/>
      <c r="R935" s="703"/>
      <c r="S935" s="703"/>
      <c r="T935" s="703"/>
      <c r="U935" s="703"/>
      <c r="V935" s="703"/>
      <c r="W935" s="703"/>
      <c r="X935" s="703"/>
      <c r="Y935" s="703"/>
      <c r="Z935" s="703"/>
      <c r="AA935" s="703"/>
      <c r="AB935" s="703"/>
      <c r="AC935" s="703"/>
      <c r="AD935" s="703"/>
      <c r="AE935" s="703"/>
      <c r="AF935" s="703"/>
      <c r="AG935" s="703"/>
      <c r="AH935" s="703"/>
      <c r="AI935" s="703"/>
      <c r="AJ935" s="703"/>
      <c r="AK935" s="703"/>
      <c r="AL935" s="703"/>
      <c r="AM935" s="703"/>
      <c r="AN935" s="703"/>
      <c r="AO935" s="704"/>
      <c r="AP935" s="705"/>
      <c r="AQ935" s="698"/>
      <c r="AS935" s="220"/>
      <c r="AV935" s="699"/>
      <c r="AW935" s="700"/>
      <c r="AX935" s="382"/>
      <c r="AY935" s="379"/>
      <c r="AZ935" s="384"/>
      <c r="BA935" s="642"/>
    </row>
    <row r="936" spans="1:53" ht="11.25" hidden="1" customHeight="1" x14ac:dyDescent="0.2">
      <c r="A936" s="867"/>
      <c r="C936" s="701"/>
      <c r="D936" s="702"/>
      <c r="E936" s="703"/>
      <c r="F936" s="703"/>
      <c r="G936" s="703"/>
      <c r="H936" s="703"/>
      <c r="I936" s="703"/>
      <c r="J936" s="703"/>
      <c r="K936" s="703"/>
      <c r="L936" s="703"/>
      <c r="M936" s="703"/>
      <c r="N936" s="703"/>
      <c r="O936" s="703"/>
      <c r="P936" s="703"/>
      <c r="Q936" s="703"/>
      <c r="R936" s="703"/>
      <c r="S936" s="703"/>
      <c r="T936" s="703"/>
      <c r="U936" s="703"/>
      <c r="V936" s="703"/>
      <c r="W936" s="703"/>
      <c r="X936" s="703"/>
      <c r="Y936" s="703"/>
      <c r="Z936" s="703"/>
      <c r="AA936" s="703"/>
      <c r="AB936" s="703"/>
      <c r="AC936" s="703"/>
      <c r="AD936" s="703"/>
      <c r="AE936" s="703"/>
      <c r="AF936" s="703"/>
      <c r="AG936" s="703"/>
      <c r="AH936" s="703"/>
      <c r="AI936" s="703"/>
      <c r="AJ936" s="703"/>
      <c r="AK936" s="703"/>
      <c r="AL936" s="703"/>
      <c r="AM936" s="703"/>
      <c r="AN936" s="703"/>
      <c r="AO936" s="704"/>
      <c r="AP936" s="705"/>
      <c r="AQ936" s="698"/>
      <c r="AS936" s="220"/>
      <c r="AV936" s="699"/>
      <c r="AW936" s="700"/>
      <c r="AX936" s="382"/>
      <c r="AY936" s="379"/>
      <c r="AZ936" s="384"/>
      <c r="BA936" s="642"/>
    </row>
    <row r="937" spans="1:53" ht="11.25" hidden="1" customHeight="1" x14ac:dyDescent="0.2">
      <c r="A937" s="867"/>
      <c r="C937" s="701"/>
      <c r="D937" s="702"/>
      <c r="E937" s="703"/>
      <c r="F937" s="703"/>
      <c r="G937" s="703"/>
      <c r="H937" s="703"/>
      <c r="I937" s="703"/>
      <c r="J937" s="703"/>
      <c r="K937" s="703"/>
      <c r="L937" s="703"/>
      <c r="M937" s="703"/>
      <c r="N937" s="703"/>
      <c r="O937" s="703"/>
      <c r="P937" s="703"/>
      <c r="Q937" s="703"/>
      <c r="R937" s="703"/>
      <c r="S937" s="703"/>
      <c r="T937" s="703"/>
      <c r="U937" s="703"/>
      <c r="V937" s="703"/>
      <c r="W937" s="703"/>
      <c r="X937" s="703"/>
      <c r="Y937" s="703"/>
      <c r="Z937" s="703"/>
      <c r="AA937" s="703"/>
      <c r="AB937" s="703"/>
      <c r="AC937" s="703"/>
      <c r="AD937" s="703"/>
      <c r="AE937" s="703"/>
      <c r="AF937" s="703"/>
      <c r="AG937" s="703"/>
      <c r="AH937" s="703"/>
      <c r="AI937" s="703"/>
      <c r="AJ937" s="703"/>
      <c r="AK937" s="703"/>
      <c r="AL937" s="703"/>
      <c r="AM937" s="703"/>
      <c r="AN937" s="703"/>
      <c r="AO937" s="704"/>
      <c r="AP937" s="705"/>
      <c r="AQ937" s="698"/>
      <c r="AS937" s="220"/>
      <c r="AV937" s="699"/>
      <c r="AW937" s="700"/>
      <c r="AX937" s="382"/>
      <c r="AY937" s="379"/>
      <c r="AZ937" s="384"/>
      <c r="BA937" s="642"/>
    </row>
    <row r="938" spans="1:53" ht="11.25" hidden="1" customHeight="1" x14ac:dyDescent="0.2">
      <c r="A938" s="867"/>
      <c r="C938" s="701"/>
      <c r="D938" s="702"/>
      <c r="E938" s="703"/>
      <c r="F938" s="703"/>
      <c r="G938" s="703"/>
      <c r="H938" s="703"/>
      <c r="I938" s="703"/>
      <c r="J938" s="703"/>
      <c r="K938" s="703"/>
      <c r="L938" s="703"/>
      <c r="M938" s="703"/>
      <c r="N938" s="703"/>
      <c r="O938" s="703"/>
      <c r="P938" s="703"/>
      <c r="Q938" s="703"/>
      <c r="R938" s="703"/>
      <c r="S938" s="703"/>
      <c r="T938" s="703"/>
      <c r="U938" s="703"/>
      <c r="V938" s="703"/>
      <c r="W938" s="703"/>
      <c r="X938" s="703"/>
      <c r="Y938" s="703"/>
      <c r="Z938" s="703"/>
      <c r="AA938" s="703"/>
      <c r="AB938" s="703"/>
      <c r="AC938" s="703"/>
      <c r="AD938" s="703"/>
      <c r="AE938" s="703"/>
      <c r="AF938" s="703"/>
      <c r="AG938" s="703"/>
      <c r="AH938" s="703"/>
      <c r="AI938" s="703"/>
      <c r="AJ938" s="703"/>
      <c r="AK938" s="703"/>
      <c r="AL938" s="703"/>
      <c r="AM938" s="703"/>
      <c r="AN938" s="703"/>
      <c r="AO938" s="704"/>
      <c r="AP938" s="705"/>
      <c r="AQ938" s="698"/>
      <c r="AS938" s="220"/>
      <c r="AV938" s="699"/>
      <c r="AW938" s="700"/>
      <c r="AX938" s="382"/>
      <c r="AY938" s="379"/>
      <c r="AZ938" s="384"/>
      <c r="BA938" s="642"/>
    </row>
    <row r="939" spans="1:53" ht="11.25" hidden="1" customHeight="1" x14ac:dyDescent="0.2">
      <c r="A939" s="867"/>
      <c r="C939" s="701"/>
      <c r="D939" s="702"/>
      <c r="E939" s="703"/>
      <c r="F939" s="703"/>
      <c r="G939" s="703"/>
      <c r="H939" s="703"/>
      <c r="I939" s="703"/>
      <c r="J939" s="703"/>
      <c r="K939" s="703"/>
      <c r="L939" s="703"/>
      <c r="M939" s="703"/>
      <c r="N939" s="703"/>
      <c r="O939" s="703"/>
      <c r="P939" s="703"/>
      <c r="Q939" s="703"/>
      <c r="R939" s="703"/>
      <c r="S939" s="703"/>
      <c r="T939" s="703"/>
      <c r="U939" s="703"/>
      <c r="V939" s="703"/>
      <c r="W939" s="703"/>
      <c r="X939" s="703"/>
      <c r="Y939" s="703"/>
      <c r="Z939" s="703"/>
      <c r="AA939" s="703"/>
      <c r="AB939" s="703"/>
      <c r="AC939" s="703"/>
      <c r="AD939" s="703"/>
      <c r="AE939" s="703"/>
      <c r="AF939" s="703"/>
      <c r="AG939" s="703"/>
      <c r="AH939" s="703"/>
      <c r="AI939" s="703"/>
      <c r="AJ939" s="703"/>
      <c r="AK939" s="703"/>
      <c r="AL939" s="703"/>
      <c r="AM939" s="703"/>
      <c r="AN939" s="703"/>
      <c r="AO939" s="704"/>
      <c r="AP939" s="705"/>
      <c r="AQ939" s="698"/>
      <c r="AS939" s="220"/>
      <c r="AV939" s="699"/>
      <c r="AW939" s="700"/>
      <c r="AX939" s="382"/>
      <c r="AY939" s="379"/>
      <c r="AZ939" s="384"/>
      <c r="BA939" s="642"/>
    </row>
    <row r="940" spans="1:53" ht="11.25" hidden="1" customHeight="1" x14ac:dyDescent="0.2">
      <c r="A940" s="867"/>
      <c r="C940" s="701"/>
      <c r="D940" s="702"/>
      <c r="E940" s="703"/>
      <c r="F940" s="703"/>
      <c r="G940" s="703"/>
      <c r="H940" s="703"/>
      <c r="I940" s="703"/>
      <c r="J940" s="703"/>
      <c r="K940" s="703"/>
      <c r="L940" s="703"/>
      <c r="M940" s="703"/>
      <c r="N940" s="703"/>
      <c r="O940" s="703"/>
      <c r="P940" s="703"/>
      <c r="Q940" s="703"/>
      <c r="R940" s="703"/>
      <c r="S940" s="703"/>
      <c r="T940" s="703"/>
      <c r="U940" s="703"/>
      <c r="V940" s="703"/>
      <c r="W940" s="703"/>
      <c r="X940" s="703"/>
      <c r="Y940" s="703"/>
      <c r="Z940" s="703"/>
      <c r="AA940" s="703"/>
      <c r="AB940" s="703"/>
      <c r="AC940" s="703"/>
      <c r="AD940" s="703"/>
      <c r="AE940" s="703"/>
      <c r="AF940" s="703"/>
      <c r="AG940" s="703"/>
      <c r="AH940" s="703"/>
      <c r="AI940" s="703"/>
      <c r="AJ940" s="703"/>
      <c r="AK940" s="703"/>
      <c r="AL940" s="703"/>
      <c r="AM940" s="703"/>
      <c r="AN940" s="703"/>
      <c r="AO940" s="704"/>
      <c r="AP940" s="705"/>
      <c r="AQ940" s="698"/>
      <c r="AS940" s="220"/>
      <c r="AV940" s="699"/>
      <c r="AW940" s="700"/>
      <c r="AX940" s="382"/>
      <c r="AY940" s="379"/>
      <c r="AZ940" s="384"/>
      <c r="BA940" s="642"/>
    </row>
    <row r="941" spans="1:53" ht="11.25" hidden="1" customHeight="1" x14ac:dyDescent="0.2">
      <c r="A941" s="867"/>
      <c r="C941" s="701"/>
      <c r="D941" s="702"/>
      <c r="E941" s="703"/>
      <c r="F941" s="703"/>
      <c r="G941" s="703"/>
      <c r="H941" s="703"/>
      <c r="I941" s="703"/>
      <c r="J941" s="703"/>
      <c r="K941" s="703"/>
      <c r="L941" s="703"/>
      <c r="M941" s="703"/>
      <c r="N941" s="703"/>
      <c r="O941" s="703"/>
      <c r="P941" s="703"/>
      <c r="Q941" s="703"/>
      <c r="R941" s="703"/>
      <c r="S941" s="703"/>
      <c r="T941" s="703"/>
      <c r="U941" s="703"/>
      <c r="V941" s="703"/>
      <c r="W941" s="703"/>
      <c r="X941" s="703"/>
      <c r="Y941" s="703"/>
      <c r="Z941" s="703"/>
      <c r="AA941" s="703"/>
      <c r="AB941" s="703"/>
      <c r="AC941" s="703"/>
      <c r="AD941" s="703"/>
      <c r="AE941" s="703"/>
      <c r="AF941" s="703"/>
      <c r="AG941" s="703"/>
      <c r="AH941" s="703"/>
      <c r="AI941" s="703"/>
      <c r="AJ941" s="703"/>
      <c r="AK941" s="703"/>
      <c r="AL941" s="703"/>
      <c r="AM941" s="703"/>
      <c r="AN941" s="703"/>
      <c r="AO941" s="704"/>
      <c r="AP941" s="705"/>
      <c r="AQ941" s="698"/>
      <c r="AS941" s="220"/>
      <c r="AV941" s="699"/>
      <c r="AW941" s="700"/>
      <c r="AX941" s="382"/>
      <c r="AY941" s="379"/>
      <c r="AZ941" s="384"/>
      <c r="BA941" s="642"/>
    </row>
    <row r="942" spans="1:53" ht="11.25" hidden="1" customHeight="1" x14ac:dyDescent="0.2">
      <c r="A942" s="867"/>
      <c r="C942" s="701"/>
      <c r="D942" s="702"/>
      <c r="E942" s="703"/>
      <c r="F942" s="703"/>
      <c r="G942" s="703"/>
      <c r="H942" s="703"/>
      <c r="I942" s="703"/>
      <c r="J942" s="703"/>
      <c r="K942" s="703"/>
      <c r="L942" s="703"/>
      <c r="M942" s="703"/>
      <c r="N942" s="703"/>
      <c r="O942" s="703"/>
      <c r="P942" s="703"/>
      <c r="Q942" s="703"/>
      <c r="R942" s="703"/>
      <c r="S942" s="703"/>
      <c r="T942" s="703"/>
      <c r="U942" s="703"/>
      <c r="V942" s="703"/>
      <c r="W942" s="703"/>
      <c r="X942" s="703"/>
      <c r="Y942" s="703"/>
      <c r="Z942" s="703"/>
      <c r="AA942" s="703"/>
      <c r="AB942" s="703"/>
      <c r="AC942" s="703"/>
      <c r="AD942" s="703"/>
      <c r="AE942" s="703"/>
      <c r="AF942" s="703"/>
      <c r="AG942" s="703"/>
      <c r="AH942" s="703"/>
      <c r="AI942" s="703"/>
      <c r="AJ942" s="703"/>
      <c r="AK942" s="703"/>
      <c r="AL942" s="703"/>
      <c r="AM942" s="703"/>
      <c r="AN942" s="703"/>
      <c r="AO942" s="704"/>
      <c r="AP942" s="705"/>
      <c r="AQ942" s="698"/>
      <c r="AS942" s="220"/>
      <c r="AV942" s="699"/>
      <c r="AW942" s="700"/>
      <c r="AX942" s="382"/>
      <c r="AY942" s="379"/>
      <c r="AZ942" s="384"/>
      <c r="BA942" s="642"/>
    </row>
    <row r="943" spans="1:53" ht="11.25" hidden="1" customHeight="1" x14ac:dyDescent="0.2">
      <c r="A943" s="867"/>
      <c r="C943" s="701"/>
      <c r="D943" s="702"/>
      <c r="E943" s="703"/>
      <c r="F943" s="703"/>
      <c r="G943" s="703"/>
      <c r="H943" s="703"/>
      <c r="I943" s="703"/>
      <c r="J943" s="703"/>
      <c r="K943" s="703"/>
      <c r="L943" s="703"/>
      <c r="M943" s="703"/>
      <c r="N943" s="703"/>
      <c r="O943" s="703"/>
      <c r="P943" s="703"/>
      <c r="Q943" s="703"/>
      <c r="R943" s="703"/>
      <c r="S943" s="703"/>
      <c r="T943" s="703"/>
      <c r="U943" s="703"/>
      <c r="V943" s="703"/>
      <c r="W943" s="703"/>
      <c r="X943" s="703"/>
      <c r="Y943" s="703"/>
      <c r="Z943" s="703"/>
      <c r="AA943" s="703"/>
      <c r="AB943" s="703"/>
      <c r="AC943" s="703"/>
      <c r="AD943" s="703"/>
      <c r="AE943" s="703"/>
      <c r="AF943" s="703"/>
      <c r="AG943" s="703"/>
      <c r="AH943" s="703"/>
      <c r="AI943" s="703"/>
      <c r="AJ943" s="703"/>
      <c r="AK943" s="703"/>
      <c r="AL943" s="703"/>
      <c r="AM943" s="703"/>
      <c r="AN943" s="703"/>
      <c r="AO943" s="704"/>
      <c r="AP943" s="705"/>
      <c r="AQ943" s="698"/>
      <c r="AS943" s="220"/>
      <c r="AV943" s="699"/>
      <c r="AW943" s="700"/>
      <c r="AX943" s="382"/>
      <c r="AY943" s="379"/>
      <c r="AZ943" s="384"/>
      <c r="BA943" s="642"/>
    </row>
    <row r="944" spans="1:53" ht="11.25" hidden="1" customHeight="1" x14ac:dyDescent="0.2">
      <c r="A944" s="867"/>
      <c r="C944" s="701"/>
      <c r="D944" s="702"/>
      <c r="E944" s="703"/>
      <c r="F944" s="703"/>
      <c r="G944" s="703"/>
      <c r="H944" s="703"/>
      <c r="I944" s="703"/>
      <c r="J944" s="703"/>
      <c r="K944" s="703"/>
      <c r="L944" s="703"/>
      <c r="M944" s="703"/>
      <c r="N944" s="703"/>
      <c r="O944" s="703"/>
      <c r="P944" s="703"/>
      <c r="Q944" s="703"/>
      <c r="R944" s="703"/>
      <c r="S944" s="703"/>
      <c r="T944" s="703"/>
      <c r="U944" s="703"/>
      <c r="V944" s="703"/>
      <c r="W944" s="703"/>
      <c r="X944" s="703"/>
      <c r="Y944" s="703"/>
      <c r="Z944" s="703"/>
      <c r="AA944" s="703"/>
      <c r="AB944" s="703"/>
      <c r="AC944" s="703"/>
      <c r="AD944" s="703"/>
      <c r="AE944" s="703"/>
      <c r="AF944" s="703"/>
      <c r="AG944" s="703"/>
      <c r="AH944" s="703"/>
      <c r="AI944" s="703"/>
      <c r="AJ944" s="703"/>
      <c r="AK944" s="703"/>
      <c r="AL944" s="703"/>
      <c r="AM944" s="703"/>
      <c r="AN944" s="703"/>
      <c r="AO944" s="704"/>
      <c r="AP944" s="705"/>
      <c r="AQ944" s="698"/>
      <c r="AS944" s="220"/>
      <c r="AV944" s="699"/>
      <c r="AW944" s="700"/>
      <c r="AX944" s="382"/>
      <c r="AY944" s="379"/>
      <c r="AZ944" s="384"/>
      <c r="BA944" s="642"/>
    </row>
    <row r="945" spans="1:54" ht="11.25" hidden="1" customHeight="1" x14ac:dyDescent="0.2">
      <c r="A945" s="867"/>
      <c r="C945" s="701"/>
      <c r="D945" s="702"/>
      <c r="E945" s="703"/>
      <c r="F945" s="703"/>
      <c r="G945" s="703"/>
      <c r="H945" s="703"/>
      <c r="I945" s="703"/>
      <c r="J945" s="703"/>
      <c r="K945" s="703"/>
      <c r="L945" s="703"/>
      <c r="M945" s="703"/>
      <c r="N945" s="703"/>
      <c r="O945" s="703"/>
      <c r="P945" s="703"/>
      <c r="Q945" s="703"/>
      <c r="R945" s="703"/>
      <c r="S945" s="703"/>
      <c r="T945" s="703"/>
      <c r="U945" s="703"/>
      <c r="V945" s="703"/>
      <c r="W945" s="703"/>
      <c r="X945" s="703"/>
      <c r="Y945" s="703"/>
      <c r="Z945" s="703"/>
      <c r="AA945" s="703"/>
      <c r="AB945" s="703"/>
      <c r="AC945" s="703"/>
      <c r="AD945" s="703"/>
      <c r="AE945" s="703"/>
      <c r="AF945" s="703"/>
      <c r="AG945" s="703"/>
      <c r="AH945" s="703"/>
      <c r="AI945" s="703"/>
      <c r="AJ945" s="703"/>
      <c r="AK945" s="703"/>
      <c r="AL945" s="703"/>
      <c r="AM945" s="703"/>
      <c r="AN945" s="703"/>
      <c r="AO945" s="704"/>
      <c r="AP945" s="705"/>
      <c r="AQ945" s="698"/>
      <c r="AS945" s="220"/>
      <c r="AV945" s="699"/>
      <c r="AW945" s="700"/>
      <c r="AX945" s="382"/>
      <c r="AY945" s="379"/>
      <c r="AZ945" s="384"/>
      <c r="BA945" s="642"/>
    </row>
    <row r="946" spans="1:54" ht="11.25" hidden="1" customHeight="1" x14ac:dyDescent="0.2">
      <c r="A946" s="867"/>
      <c r="C946" s="706"/>
      <c r="D946" s="707"/>
      <c r="E946" s="708"/>
      <c r="F946" s="708"/>
      <c r="G946" s="708"/>
      <c r="H946" s="708"/>
      <c r="I946" s="708"/>
      <c r="J946" s="708"/>
      <c r="K946" s="708"/>
      <c r="L946" s="708"/>
      <c r="M946" s="708"/>
      <c r="N946" s="708"/>
      <c r="O946" s="708"/>
      <c r="P946" s="708"/>
      <c r="Q946" s="708"/>
      <c r="R946" s="708"/>
      <c r="S946" s="708"/>
      <c r="T946" s="708"/>
      <c r="U946" s="708"/>
      <c r="V946" s="708"/>
      <c r="W946" s="708"/>
      <c r="X946" s="708"/>
      <c r="Y946" s="708"/>
      <c r="Z946" s="708"/>
      <c r="AA946" s="708"/>
      <c r="AB946" s="708"/>
      <c r="AC946" s="708"/>
      <c r="AD946" s="708"/>
      <c r="AE946" s="708"/>
      <c r="AF946" s="708"/>
      <c r="AG946" s="708"/>
      <c r="AH946" s="708"/>
      <c r="AI946" s="708"/>
      <c r="AJ946" s="708"/>
      <c r="AK946" s="708"/>
      <c r="AL946" s="708"/>
      <c r="AM946" s="708"/>
      <c r="AN946" s="708"/>
      <c r="AO946" s="709"/>
      <c r="AP946" s="710"/>
      <c r="AQ946" s="698"/>
      <c r="AS946" s="220"/>
      <c r="AV946" s="699"/>
      <c r="AW946" s="700"/>
      <c r="AX946" s="382"/>
      <c r="AY946" s="379"/>
      <c r="AZ946" s="384"/>
      <c r="BA946" s="642"/>
    </row>
    <row r="947" spans="1:54" ht="13.5" hidden="1" customHeight="1" x14ac:dyDescent="0.2">
      <c r="A947" s="867"/>
      <c r="AV947" s="699"/>
      <c r="AW947" s="700"/>
      <c r="AX947" s="642"/>
      <c r="AY947" s="642"/>
      <c r="BA947" s="642"/>
    </row>
    <row r="948" spans="1:54" ht="1.5" hidden="1" customHeight="1" x14ac:dyDescent="0.2">
      <c r="A948" s="867"/>
      <c r="AV948" s="699"/>
      <c r="AW948" s="700"/>
    </row>
    <row r="949" spans="1:54" s="186" customFormat="1" ht="11.25" hidden="1" customHeight="1" x14ac:dyDescent="0.2">
      <c r="A949" s="867"/>
      <c r="AS949" s="672"/>
      <c r="AU949" s="669"/>
      <c r="AV949" s="699"/>
      <c r="AW949" s="700"/>
      <c r="AX949" s="643"/>
      <c r="AY949" s="643"/>
      <c r="AZ949" s="671"/>
      <c r="BA949" s="643"/>
      <c r="BB949" s="669"/>
    </row>
    <row r="950" spans="1:54" s="673" customFormat="1" ht="13.5" hidden="1" customHeight="1" x14ac:dyDescent="0.2">
      <c r="A950" s="867"/>
      <c r="D950" s="674"/>
      <c r="E950" s="674"/>
      <c r="F950" s="674"/>
      <c r="G950" s="674"/>
      <c r="H950" s="674"/>
      <c r="I950" s="674"/>
      <c r="J950" s="674"/>
      <c r="K950" s="674"/>
      <c r="L950" s="674"/>
      <c r="M950" s="674"/>
      <c r="N950" s="674"/>
      <c r="O950" s="674"/>
      <c r="P950" s="674"/>
      <c r="Q950" s="674"/>
      <c r="R950" s="674"/>
      <c r="S950" s="674"/>
      <c r="T950" s="674"/>
      <c r="U950" s="674"/>
      <c r="V950" s="674"/>
      <c r="W950" s="674"/>
      <c r="X950" s="674"/>
      <c r="Y950" s="674"/>
      <c r="Z950" s="674"/>
      <c r="AA950" s="674"/>
      <c r="AB950" s="674"/>
      <c r="AC950" s="674"/>
      <c r="AD950" s="674"/>
      <c r="AE950" s="674"/>
      <c r="AF950" s="674"/>
      <c r="AG950" s="674"/>
      <c r="AH950" s="674"/>
      <c r="AI950" s="674"/>
      <c r="AJ950" s="674"/>
      <c r="AK950" s="674"/>
      <c r="AL950" s="674"/>
      <c r="AM950" s="674"/>
      <c r="AN950" s="674"/>
      <c r="AO950" s="674"/>
      <c r="AP950" s="674"/>
      <c r="AS950" s="675"/>
      <c r="AU950" s="643"/>
      <c r="AV950" s="699"/>
      <c r="AW950" s="700"/>
      <c r="AX950" s="643"/>
      <c r="AY950" s="643"/>
      <c r="AZ950" s="671"/>
      <c r="BA950" s="643"/>
      <c r="BB950" s="643"/>
    </row>
    <row r="951" spans="1:54" s="673" customFormat="1" ht="13.5" hidden="1" customHeight="1" x14ac:dyDescent="0.2">
      <c r="A951" s="867"/>
      <c r="C951" s="324"/>
      <c r="D951" s="383"/>
      <c r="E951" s="383"/>
      <c r="F951" s="383"/>
      <c r="G951" s="383"/>
      <c r="H951" s="383"/>
      <c r="I951" s="383"/>
      <c r="J951" s="383"/>
      <c r="K951" s="383"/>
      <c r="L951" s="383"/>
      <c r="M951" s="383"/>
      <c r="N951" s="383"/>
      <c r="O951" s="383"/>
      <c r="P951" s="383"/>
      <c r="Q951" s="383"/>
      <c r="R951" s="383"/>
      <c r="S951" s="383"/>
      <c r="T951" s="383"/>
      <c r="U951" s="383"/>
      <c r="V951" s="383"/>
      <c r="W951" s="383"/>
      <c r="X951" s="383"/>
      <c r="Y951" s="383"/>
      <c r="Z951" s="383"/>
      <c r="AA951" s="383"/>
      <c r="AB951" s="383"/>
      <c r="AC951" s="383"/>
      <c r="AD951" s="383"/>
      <c r="AE951" s="383"/>
      <c r="AF951" s="383"/>
      <c r="AG951" s="383"/>
      <c r="AH951" s="383"/>
      <c r="AI951" s="383"/>
      <c r="AJ951" s="383"/>
      <c r="AK951" s="383"/>
      <c r="AL951" s="383"/>
      <c r="AM951" s="383"/>
      <c r="AN951" s="383"/>
      <c r="AO951" s="383"/>
      <c r="AP951" s="674"/>
      <c r="AS951" s="675"/>
      <c r="AU951" s="643"/>
      <c r="AV951" s="699"/>
      <c r="AW951" s="700"/>
      <c r="AX951" s="643"/>
      <c r="AY951" s="643"/>
      <c r="AZ951" s="671"/>
      <c r="BA951" s="643"/>
      <c r="BB951" s="643"/>
    </row>
    <row r="952" spans="1:54" s="673" customFormat="1" ht="13.5" hidden="1" customHeight="1" x14ac:dyDescent="0.2">
      <c r="A952" s="867"/>
      <c r="D952" s="383"/>
      <c r="E952" s="383"/>
      <c r="F952" s="383"/>
      <c r="G952" s="383"/>
      <c r="H952" s="383"/>
      <c r="I952" s="383"/>
      <c r="J952" s="383"/>
      <c r="K952" s="383"/>
      <c r="L952" s="383"/>
      <c r="M952" s="383"/>
      <c r="N952" s="383"/>
      <c r="O952" s="383"/>
      <c r="P952" s="383"/>
      <c r="Q952" s="383"/>
      <c r="R952" s="383"/>
      <c r="S952" s="383"/>
      <c r="T952" s="383"/>
      <c r="U952" s="383"/>
      <c r="V952" s="383"/>
      <c r="W952" s="383"/>
      <c r="X952" s="383"/>
      <c r="Y952" s="383"/>
      <c r="Z952" s="383"/>
      <c r="AA952" s="383"/>
      <c r="AB952" s="383"/>
      <c r="AC952" s="383"/>
      <c r="AD952" s="383"/>
      <c r="AE952" s="383"/>
      <c r="AF952" s="383"/>
      <c r="AG952" s="383"/>
      <c r="AH952" s="383"/>
      <c r="AI952" s="383"/>
      <c r="AJ952" s="383"/>
      <c r="AK952" s="383"/>
      <c r="AL952" s="383"/>
      <c r="AM952" s="383"/>
      <c r="AN952" s="383"/>
      <c r="AO952" s="383"/>
      <c r="AP952" s="674"/>
      <c r="AS952" s="675"/>
      <c r="AU952" s="643"/>
      <c r="AV952" s="699"/>
      <c r="AW952" s="700"/>
      <c r="AX952" s="643"/>
      <c r="AY952" s="643"/>
      <c r="AZ952" s="671"/>
      <c r="BA952" s="643"/>
      <c r="BB952" s="643"/>
    </row>
    <row r="953" spans="1:54" s="673" customFormat="1" ht="13.5" hidden="1" customHeight="1" x14ac:dyDescent="0.2">
      <c r="A953" s="867"/>
      <c r="D953" s="676"/>
      <c r="E953" s="676"/>
      <c r="F953" s="676"/>
      <c r="G953" s="676"/>
      <c r="H953" s="676"/>
      <c r="I953" s="676"/>
      <c r="J953" s="676"/>
      <c r="K953" s="676"/>
      <c r="L953" s="676"/>
      <c r="M953" s="676"/>
      <c r="N953" s="676"/>
      <c r="O953" s="676"/>
      <c r="P953" s="676"/>
      <c r="Q953" s="676"/>
      <c r="R953" s="676"/>
      <c r="S953" s="676"/>
      <c r="T953" s="676"/>
      <c r="U953" s="676"/>
      <c r="V953" s="676"/>
      <c r="W953" s="676"/>
      <c r="X953" s="676"/>
      <c r="Y953" s="676"/>
      <c r="Z953" s="676"/>
      <c r="AA953" s="676"/>
      <c r="AB953" s="676"/>
      <c r="AC953" s="676"/>
      <c r="AD953" s="676"/>
      <c r="AE953" s="676"/>
      <c r="AF953" s="676"/>
      <c r="AG953" s="676"/>
      <c r="AH953" s="676"/>
      <c r="AI953" s="676"/>
      <c r="AJ953" s="676"/>
      <c r="AK953" s="676"/>
      <c r="AL953" s="676"/>
      <c r="AM953" s="676"/>
      <c r="AN953" s="676"/>
      <c r="AO953" s="676"/>
      <c r="AP953" s="674"/>
      <c r="AS953" s="675"/>
      <c r="AU953" s="643"/>
      <c r="AV953" s="699"/>
      <c r="AW953" s="700"/>
      <c r="AX953" s="643"/>
      <c r="AY953" s="643"/>
      <c r="AZ953" s="671"/>
      <c r="BA953" s="643"/>
      <c r="BB953" s="643"/>
    </row>
    <row r="954" spans="1:54" s="673" customFormat="1" ht="13.5" hidden="1" customHeight="1" x14ac:dyDescent="0.2">
      <c r="A954" s="867"/>
      <c r="D954" s="677"/>
      <c r="E954" s="677"/>
      <c r="F954" s="677"/>
      <c r="G954" s="677"/>
      <c r="H954" s="677"/>
      <c r="I954" s="677"/>
      <c r="J954" s="677"/>
      <c r="K954" s="677"/>
      <c r="L954" s="677"/>
      <c r="M954" s="677"/>
      <c r="N954" s="677"/>
      <c r="O954" s="677"/>
      <c r="P954" s="677"/>
      <c r="Q954" s="677"/>
      <c r="R954" s="677"/>
      <c r="S954" s="677"/>
      <c r="T954" s="677"/>
      <c r="U954" s="677"/>
      <c r="V954" s="677"/>
      <c r="W954" s="677"/>
      <c r="X954" s="677"/>
      <c r="Y954" s="677"/>
      <c r="Z954" s="677"/>
      <c r="AA954" s="677"/>
      <c r="AB954" s="677"/>
      <c r="AC954" s="677"/>
      <c r="AD954" s="677"/>
      <c r="AE954" s="677"/>
      <c r="AF954" s="677"/>
      <c r="AG954" s="677"/>
      <c r="AH954" s="677"/>
      <c r="AI954" s="677"/>
      <c r="AJ954" s="677"/>
      <c r="AK954" s="677"/>
      <c r="AL954" s="677"/>
      <c r="AM954" s="677"/>
      <c r="AN954" s="677"/>
      <c r="AO954" s="677"/>
      <c r="AP954" s="674"/>
      <c r="AS954" s="675"/>
      <c r="AU954" s="643"/>
      <c r="AV954" s="699"/>
      <c r="AW954" s="700"/>
      <c r="AY954" s="643"/>
      <c r="AZ954" s="671"/>
      <c r="BA954" s="643"/>
      <c r="BB954" s="643"/>
    </row>
    <row r="955" spans="1:54" s="673" customFormat="1" ht="13.5" hidden="1" customHeight="1" x14ac:dyDescent="0.2">
      <c r="A955" s="867"/>
      <c r="D955" s="677"/>
      <c r="E955" s="677"/>
      <c r="F955" s="677"/>
      <c r="G955" s="677"/>
      <c r="H955" s="677"/>
      <c r="I955" s="677"/>
      <c r="J955" s="677"/>
      <c r="K955" s="677"/>
      <c r="L955" s="677"/>
      <c r="M955" s="677"/>
      <c r="N955" s="677"/>
      <c r="O955" s="677"/>
      <c r="P955" s="677"/>
      <c r="Q955" s="677"/>
      <c r="R955" s="677"/>
      <c r="S955" s="677"/>
      <c r="T955" s="677"/>
      <c r="U955" s="677"/>
      <c r="V955" s="677"/>
      <c r="W955" s="677"/>
      <c r="X955" s="677"/>
      <c r="Y955" s="677"/>
      <c r="Z955" s="677"/>
      <c r="AA955" s="677"/>
      <c r="AB955" s="677"/>
      <c r="AC955" s="677"/>
      <c r="AD955" s="677"/>
      <c r="AE955" s="677"/>
      <c r="AF955" s="677"/>
      <c r="AG955" s="677"/>
      <c r="AH955" s="677"/>
      <c r="AI955" s="677"/>
      <c r="AJ955" s="677"/>
      <c r="AK955" s="677"/>
      <c r="AL955" s="677"/>
      <c r="AM955" s="677"/>
      <c r="AN955" s="677"/>
      <c r="AO955" s="677"/>
      <c r="AP955" s="674"/>
      <c r="AS955" s="675"/>
      <c r="AU955" s="643"/>
      <c r="AV955" s="699"/>
      <c r="AW955" s="700"/>
      <c r="AX955" s="643"/>
      <c r="AY955" s="643"/>
      <c r="AZ955" s="671"/>
      <c r="BA955" s="643"/>
      <c r="BB955" s="643"/>
    </row>
    <row r="956" spans="1:54" s="673" customFormat="1" ht="13.5" hidden="1" customHeight="1" x14ac:dyDescent="0.2">
      <c r="A956" s="867"/>
      <c r="D956" s="674"/>
      <c r="E956" s="674"/>
      <c r="F956" s="674"/>
      <c r="G956" s="674"/>
      <c r="H956" s="674"/>
      <c r="I956" s="674"/>
      <c r="J956" s="674"/>
      <c r="K956" s="674"/>
      <c r="L956" s="674"/>
      <c r="M956" s="674"/>
      <c r="N956" s="674"/>
      <c r="O956" s="674"/>
      <c r="P956" s="674"/>
      <c r="Q956" s="674"/>
      <c r="R956" s="674"/>
      <c r="S956" s="674"/>
      <c r="T956" s="674"/>
      <c r="U956" s="674"/>
      <c r="V956" s="674"/>
      <c r="W956" s="674"/>
      <c r="X956" s="674"/>
      <c r="Y956" s="674"/>
      <c r="Z956" s="674"/>
      <c r="AA956" s="674"/>
      <c r="AB956" s="674"/>
      <c r="AC956" s="674"/>
      <c r="AD956" s="674"/>
      <c r="AE956" s="674"/>
      <c r="AF956" s="674"/>
      <c r="AG956" s="674"/>
      <c r="AH956" s="674"/>
      <c r="AI956" s="674"/>
      <c r="AJ956" s="674"/>
      <c r="AK956" s="674"/>
      <c r="AL956" s="674"/>
      <c r="AM956" s="674"/>
      <c r="AN956" s="674"/>
      <c r="AO956" s="674"/>
      <c r="AP956" s="674"/>
      <c r="AS956" s="675"/>
      <c r="AU956" s="643"/>
      <c r="AV956" s="699"/>
      <c r="AW956" s="700"/>
      <c r="AX956" s="643"/>
      <c r="AY956" s="643"/>
      <c r="AZ956" s="671"/>
      <c r="BA956" s="643"/>
      <c r="BB956" s="643"/>
    </row>
    <row r="957" spans="1:54" s="673" customFormat="1" ht="13.5" hidden="1" customHeight="1" x14ac:dyDescent="0.2">
      <c r="A957" s="867"/>
      <c r="D957" s="674"/>
      <c r="E957" s="674"/>
      <c r="F957" s="674"/>
      <c r="G957" s="674"/>
      <c r="H957" s="674"/>
      <c r="I957" s="674"/>
      <c r="J957" s="674"/>
      <c r="K957" s="674"/>
      <c r="L957" s="674"/>
      <c r="M957" s="674"/>
      <c r="N957" s="674"/>
      <c r="O957" s="674"/>
      <c r="P957" s="674"/>
      <c r="Q957" s="674"/>
      <c r="R957" s="674"/>
      <c r="S957" s="674"/>
      <c r="T957" s="674"/>
      <c r="U957" s="674"/>
      <c r="V957" s="674"/>
      <c r="W957" s="674"/>
      <c r="X957" s="674"/>
      <c r="Y957" s="674"/>
      <c r="Z957" s="674"/>
      <c r="AA957" s="674"/>
      <c r="AB957" s="674"/>
      <c r="AC957" s="674"/>
      <c r="AD957" s="674"/>
      <c r="AE957" s="674"/>
      <c r="AF957" s="674"/>
      <c r="AG957" s="674"/>
      <c r="AH957" s="674"/>
      <c r="AI957" s="674"/>
      <c r="AJ957" s="674"/>
      <c r="AK957" s="674"/>
      <c r="AL957" s="674"/>
      <c r="AM957" s="674"/>
      <c r="AN957" s="674"/>
      <c r="AO957" s="674"/>
      <c r="AP957" s="674"/>
      <c r="AS957" s="675"/>
      <c r="AU957" s="643"/>
      <c r="AV957" s="699"/>
      <c r="AW957" s="700"/>
      <c r="AX957" s="643"/>
      <c r="AY957" s="643"/>
      <c r="AZ957" s="671"/>
      <c r="BA957" s="643"/>
      <c r="BB957" s="643"/>
    </row>
    <row r="958" spans="1:54" s="673" customFormat="1" ht="13.5" hidden="1" customHeight="1" x14ac:dyDescent="0.2">
      <c r="A958" s="867"/>
      <c r="D958" s="674"/>
      <c r="E958" s="674"/>
      <c r="F958" s="674"/>
      <c r="G958" s="674"/>
      <c r="H958" s="674"/>
      <c r="I958" s="674"/>
      <c r="J958" s="674"/>
      <c r="K958" s="674"/>
      <c r="L958" s="674"/>
      <c r="M958" s="674"/>
      <c r="N958" s="674"/>
      <c r="O958" s="674"/>
      <c r="P958" s="674"/>
      <c r="Q958" s="674"/>
      <c r="R958" s="674"/>
      <c r="S958" s="674"/>
      <c r="T958" s="674"/>
      <c r="U958" s="674"/>
      <c r="V958" s="674"/>
      <c r="W958" s="674"/>
      <c r="X958" s="674"/>
      <c r="Y958" s="674"/>
      <c r="Z958" s="674"/>
      <c r="AA958" s="674"/>
      <c r="AB958" s="674"/>
      <c r="AC958" s="674"/>
      <c r="AD958" s="674"/>
      <c r="AE958" s="674"/>
      <c r="AF958" s="674"/>
      <c r="AG958" s="674"/>
      <c r="AH958" s="674"/>
      <c r="AI958" s="674"/>
      <c r="AJ958" s="674"/>
      <c r="AK958" s="674"/>
      <c r="AL958" s="674"/>
      <c r="AM958" s="674"/>
      <c r="AN958" s="674"/>
      <c r="AO958" s="674"/>
      <c r="AP958" s="674"/>
      <c r="AS958" s="675"/>
      <c r="AU958" s="643"/>
      <c r="AV958" s="699"/>
      <c r="AW958" s="700"/>
      <c r="AX958" s="643"/>
      <c r="AY958" s="643"/>
      <c r="AZ958" s="671"/>
      <c r="BA958" s="643"/>
      <c r="BB958" s="643"/>
    </row>
    <row r="959" spans="1:54" s="673" customFormat="1" ht="13.5" hidden="1" customHeight="1" x14ac:dyDescent="0.2">
      <c r="A959" s="867"/>
      <c r="D959" s="674"/>
      <c r="E959" s="674"/>
      <c r="F959" s="674"/>
      <c r="G959" s="674"/>
      <c r="H959" s="674"/>
      <c r="I959" s="674"/>
      <c r="J959" s="674"/>
      <c r="K959" s="674"/>
      <c r="L959" s="674"/>
      <c r="M959" s="674"/>
      <c r="N959" s="674"/>
      <c r="O959" s="674"/>
      <c r="P959" s="674"/>
      <c r="Q959" s="674"/>
      <c r="R959" s="674"/>
      <c r="S959" s="674"/>
      <c r="T959" s="674"/>
      <c r="U959" s="674"/>
      <c r="V959" s="674"/>
      <c r="W959" s="674"/>
      <c r="X959" s="674"/>
      <c r="Y959" s="674"/>
      <c r="Z959" s="674"/>
      <c r="AA959" s="674"/>
      <c r="AB959" s="674"/>
      <c r="AC959" s="674"/>
      <c r="AD959" s="674"/>
      <c r="AE959" s="674"/>
      <c r="AF959" s="674"/>
      <c r="AG959" s="674"/>
      <c r="AH959" s="674"/>
      <c r="AI959" s="674"/>
      <c r="AJ959" s="674"/>
      <c r="AK959" s="674"/>
      <c r="AL959" s="674"/>
      <c r="AM959" s="674"/>
      <c r="AN959" s="674"/>
      <c r="AO959" s="674"/>
      <c r="AP959" s="674"/>
      <c r="AS959" s="675"/>
      <c r="AU959" s="643"/>
      <c r="AV959" s="699"/>
      <c r="AW959" s="700"/>
      <c r="AX959" s="643"/>
      <c r="AY959" s="643"/>
      <c r="AZ959" s="671"/>
      <c r="BA959" s="643"/>
      <c r="BB959" s="643"/>
    </row>
    <row r="960" spans="1:54" s="673" customFormat="1" ht="13.5" hidden="1" customHeight="1" x14ac:dyDescent="0.2">
      <c r="A960" s="867"/>
      <c r="D960" s="674"/>
      <c r="E960" s="674"/>
      <c r="F960" s="674"/>
      <c r="G960" s="674"/>
      <c r="H960" s="674"/>
      <c r="I960" s="674"/>
      <c r="J960" s="674"/>
      <c r="K960" s="674"/>
      <c r="L960" s="674"/>
      <c r="M960" s="674"/>
      <c r="N960" s="674"/>
      <c r="O960" s="674"/>
      <c r="P960" s="674"/>
      <c r="Q960" s="674"/>
      <c r="R960" s="674"/>
      <c r="S960" s="674"/>
      <c r="T960" s="674"/>
      <c r="U960" s="674"/>
      <c r="V960" s="674"/>
      <c r="W960" s="674"/>
      <c r="X960" s="674"/>
      <c r="Y960" s="674"/>
      <c r="Z960" s="674"/>
      <c r="AA960" s="674"/>
      <c r="AB960" s="674"/>
      <c r="AC960" s="674"/>
      <c r="AD960" s="674"/>
      <c r="AE960" s="674"/>
      <c r="AF960" s="674"/>
      <c r="AG960" s="674"/>
      <c r="AH960" s="674"/>
      <c r="AI960" s="674"/>
      <c r="AJ960" s="674"/>
      <c r="AK960" s="674"/>
      <c r="AL960" s="674"/>
      <c r="AM960" s="674"/>
      <c r="AN960" s="674"/>
      <c r="AO960" s="674"/>
      <c r="AP960" s="674"/>
      <c r="AS960" s="675"/>
      <c r="AU960" s="643"/>
      <c r="AV960" s="699"/>
      <c r="AW960" s="700"/>
      <c r="AX960" s="643"/>
      <c r="AY960" s="643"/>
      <c r="AZ960" s="671"/>
      <c r="BA960" s="643"/>
      <c r="BB960" s="643"/>
    </row>
    <row r="961" spans="1:54" s="186" customFormat="1" ht="11.25" hidden="1" customHeight="1" x14ac:dyDescent="0.2">
      <c r="A961" s="867"/>
      <c r="D961" s="678"/>
      <c r="E961" s="678"/>
      <c r="F961" s="678"/>
      <c r="G961" s="678"/>
      <c r="H961" s="678"/>
      <c r="I961" s="678"/>
      <c r="J961" s="678"/>
      <c r="K961" s="678"/>
      <c r="L961" s="678"/>
      <c r="M961" s="678"/>
      <c r="N961" s="678"/>
      <c r="O961" s="678"/>
      <c r="P961" s="678"/>
      <c r="Q961" s="678"/>
      <c r="R961" s="678"/>
      <c r="S961" s="678"/>
      <c r="T961" s="678"/>
      <c r="U961" s="678"/>
      <c r="V961" s="678"/>
      <c r="W961" s="678"/>
      <c r="X961" s="678"/>
      <c r="Y961" s="678"/>
      <c r="Z961" s="678"/>
      <c r="AA961" s="678"/>
      <c r="AB961" s="678"/>
      <c r="AC961" s="678"/>
      <c r="AD961" s="678"/>
      <c r="AE961" s="678"/>
      <c r="AF961" s="678"/>
      <c r="AG961" s="678"/>
      <c r="AH961" s="678"/>
      <c r="AI961" s="678"/>
      <c r="AJ961" s="678"/>
      <c r="AK961" s="678"/>
      <c r="AL961" s="678"/>
      <c r="AM961" s="678"/>
      <c r="AN961" s="678"/>
      <c r="AO961" s="678"/>
      <c r="AP961" s="678"/>
      <c r="AS961" s="672"/>
      <c r="AU961" s="669"/>
      <c r="AV961" s="699"/>
      <c r="AW961" s="700"/>
      <c r="AX961" s="643"/>
      <c r="AY961" s="643"/>
      <c r="AZ961" s="671"/>
      <c r="BA961" s="643"/>
      <c r="BB961" s="669"/>
    </row>
    <row r="962" spans="1:54" ht="26.25" hidden="1" customHeight="1" x14ac:dyDescent="0.2">
      <c r="A962" s="867"/>
      <c r="C962" s="679"/>
      <c r="D962" s="680"/>
      <c r="E962" s="680"/>
      <c r="F962" s="680"/>
      <c r="G962" s="680"/>
      <c r="H962" s="680"/>
      <c r="I962" s="680"/>
      <c r="J962" s="680"/>
      <c r="K962" s="680"/>
      <c r="L962" s="680"/>
      <c r="M962" s="680"/>
      <c r="N962" s="680"/>
      <c r="O962" s="680"/>
      <c r="P962" s="680"/>
      <c r="Q962" s="680"/>
      <c r="R962" s="680"/>
      <c r="S962" s="680"/>
      <c r="T962" s="680"/>
      <c r="U962" s="680"/>
      <c r="V962" s="680"/>
      <c r="W962" s="680"/>
      <c r="X962" s="680"/>
      <c r="Y962" s="680"/>
      <c r="Z962" s="680"/>
      <c r="AA962" s="680"/>
      <c r="AB962" s="680"/>
      <c r="AC962" s="680"/>
      <c r="AD962" s="680"/>
      <c r="AE962" s="680"/>
      <c r="AF962" s="680"/>
      <c r="AG962" s="680"/>
      <c r="AH962" s="680"/>
      <c r="AI962" s="680"/>
      <c r="AJ962" s="680"/>
      <c r="AK962" s="680"/>
      <c r="AL962" s="680"/>
      <c r="AM962" s="680"/>
      <c r="AN962" s="680"/>
      <c r="AO962" s="680"/>
      <c r="AP962" s="868"/>
      <c r="AV962" s="699"/>
      <c r="AW962" s="700"/>
    </row>
    <row r="963" spans="1:54" ht="11.25" hidden="1" customHeight="1" x14ac:dyDescent="0.2">
      <c r="A963" s="867"/>
      <c r="C963" s="681"/>
      <c r="D963" s="682"/>
      <c r="E963" s="682"/>
      <c r="F963" s="682"/>
      <c r="G963" s="682"/>
      <c r="H963" s="682"/>
      <c r="I963" s="682"/>
      <c r="J963" s="682"/>
      <c r="K963" s="682"/>
      <c r="L963" s="682"/>
      <c r="M963" s="682"/>
      <c r="N963" s="682"/>
      <c r="O963" s="682"/>
      <c r="P963" s="682"/>
      <c r="Q963" s="682"/>
      <c r="R963" s="682"/>
      <c r="S963" s="682"/>
      <c r="T963" s="682"/>
      <c r="U963" s="682"/>
      <c r="V963" s="682"/>
      <c r="W963" s="682"/>
      <c r="X963" s="682"/>
      <c r="Y963" s="682"/>
      <c r="Z963" s="682"/>
      <c r="AA963" s="682"/>
      <c r="AB963" s="682"/>
      <c r="AC963" s="682"/>
      <c r="AD963" s="682"/>
      <c r="AE963" s="682"/>
      <c r="AF963" s="682"/>
      <c r="AG963" s="682"/>
      <c r="AH963" s="682"/>
      <c r="AI963" s="682"/>
      <c r="AJ963" s="682"/>
      <c r="AK963" s="682"/>
      <c r="AL963" s="682"/>
      <c r="AM963" s="682"/>
      <c r="AN963" s="682"/>
      <c r="AO963" s="682"/>
      <c r="AP963" s="868"/>
      <c r="AQ963" s="683"/>
      <c r="AV963" s="699"/>
      <c r="AW963" s="700"/>
    </row>
    <row r="964" spans="1:54" ht="11.25" hidden="1" customHeight="1" x14ac:dyDescent="0.2">
      <c r="A964" s="867"/>
      <c r="C964" s="684"/>
      <c r="D964" s="685"/>
      <c r="E964" s="686"/>
      <c r="F964" s="686"/>
      <c r="G964" s="686"/>
      <c r="H964" s="686"/>
      <c r="I964" s="686"/>
      <c r="J964" s="686"/>
      <c r="K964" s="686"/>
      <c r="L964" s="686"/>
      <c r="M964" s="686"/>
      <c r="N964" s="686"/>
      <c r="O964" s="686"/>
      <c r="P964" s="686"/>
      <c r="Q964" s="686"/>
      <c r="R964" s="686"/>
      <c r="S964" s="686"/>
      <c r="T964" s="686"/>
      <c r="U964" s="686"/>
      <c r="V964" s="686"/>
      <c r="W964" s="686"/>
      <c r="X964" s="686"/>
      <c r="Y964" s="686"/>
      <c r="Z964" s="686"/>
      <c r="AA964" s="686"/>
      <c r="AB964" s="686"/>
      <c r="AC964" s="686"/>
      <c r="AD964" s="686"/>
      <c r="AE964" s="686"/>
      <c r="AF964" s="686"/>
      <c r="AG964" s="686"/>
      <c r="AH964" s="686"/>
      <c r="AI964" s="686"/>
      <c r="AJ964" s="686"/>
      <c r="AK964" s="686"/>
      <c r="AL964" s="686"/>
      <c r="AM964" s="686"/>
      <c r="AN964" s="686"/>
      <c r="AO964" s="687"/>
      <c r="AP964" s="868"/>
      <c r="AQ964" s="688"/>
      <c r="AV964" s="699"/>
      <c r="AW964" s="700"/>
    </row>
    <row r="965" spans="1:54" ht="11.25" hidden="1" customHeight="1" x14ac:dyDescent="0.2">
      <c r="A965" s="867"/>
      <c r="C965" s="689"/>
      <c r="D965" s="690"/>
      <c r="E965" s="690"/>
      <c r="F965" s="690"/>
      <c r="G965" s="690"/>
      <c r="H965" s="690"/>
      <c r="I965" s="690"/>
      <c r="J965" s="690"/>
      <c r="K965" s="690"/>
      <c r="L965" s="690"/>
      <c r="M965" s="690"/>
      <c r="N965" s="690"/>
      <c r="O965" s="690"/>
      <c r="P965" s="690"/>
      <c r="Q965" s="690"/>
      <c r="R965" s="690"/>
      <c r="S965" s="690"/>
      <c r="T965" s="690"/>
      <c r="U965" s="690"/>
      <c r="V965" s="690"/>
      <c r="W965" s="690"/>
      <c r="X965" s="690"/>
      <c r="Y965" s="690"/>
      <c r="Z965" s="690"/>
      <c r="AA965" s="690"/>
      <c r="AB965" s="690"/>
      <c r="AC965" s="690"/>
      <c r="AD965" s="690"/>
      <c r="AE965" s="690"/>
      <c r="AF965" s="690"/>
      <c r="AG965" s="690"/>
      <c r="AH965" s="690"/>
      <c r="AI965" s="690"/>
      <c r="AJ965" s="690"/>
      <c r="AK965" s="690"/>
      <c r="AL965" s="690"/>
      <c r="AM965" s="690"/>
      <c r="AN965" s="690"/>
      <c r="AO965" s="690"/>
      <c r="AP965" s="691"/>
      <c r="AS965" s="692"/>
      <c r="AV965" s="699"/>
      <c r="AW965" s="700"/>
    </row>
    <row r="966" spans="1:54" ht="4.5" hidden="1" customHeight="1" x14ac:dyDescent="0.2">
      <c r="A966" s="867"/>
      <c r="AV966" s="699"/>
      <c r="AW966" s="700"/>
    </row>
    <row r="967" spans="1:54" ht="11.25" hidden="1" customHeight="1" x14ac:dyDescent="0.2">
      <c r="A967" s="867"/>
      <c r="C967" s="693"/>
      <c r="D967" s="694"/>
      <c r="E967" s="695"/>
      <c r="F967" s="695"/>
      <c r="G967" s="695"/>
      <c r="H967" s="695"/>
      <c r="I967" s="695"/>
      <c r="J967" s="695"/>
      <c r="K967" s="695"/>
      <c r="L967" s="695"/>
      <c r="M967" s="695"/>
      <c r="N967" s="695"/>
      <c r="O967" s="695"/>
      <c r="P967" s="695"/>
      <c r="Q967" s="695"/>
      <c r="R967" s="695"/>
      <c r="S967" s="695"/>
      <c r="T967" s="695"/>
      <c r="U967" s="695"/>
      <c r="V967" s="695"/>
      <c r="W967" s="695"/>
      <c r="X967" s="695"/>
      <c r="Y967" s="695"/>
      <c r="Z967" s="695"/>
      <c r="AA967" s="695"/>
      <c r="AB967" s="695"/>
      <c r="AC967" s="695"/>
      <c r="AD967" s="695"/>
      <c r="AE967" s="695"/>
      <c r="AF967" s="695"/>
      <c r="AG967" s="695"/>
      <c r="AH967" s="695"/>
      <c r="AI967" s="695"/>
      <c r="AJ967" s="695"/>
      <c r="AK967" s="695"/>
      <c r="AL967" s="695"/>
      <c r="AM967" s="695"/>
      <c r="AN967" s="695"/>
      <c r="AO967" s="696"/>
      <c r="AP967" s="697"/>
      <c r="AQ967" s="698"/>
      <c r="AS967" s="208"/>
      <c r="AV967" s="699"/>
      <c r="AW967" s="700"/>
      <c r="AX967" s="382"/>
      <c r="AY967" s="379"/>
      <c r="AZ967" s="384"/>
      <c r="BA967" s="642"/>
    </row>
    <row r="968" spans="1:54" ht="11.25" hidden="1" customHeight="1" x14ac:dyDescent="0.2">
      <c r="A968" s="867"/>
      <c r="C968" s="701"/>
      <c r="D968" s="702"/>
      <c r="E968" s="703"/>
      <c r="F968" s="703"/>
      <c r="G968" s="703"/>
      <c r="H968" s="703"/>
      <c r="I968" s="703"/>
      <c r="J968" s="703"/>
      <c r="K968" s="703"/>
      <c r="L968" s="703"/>
      <c r="M968" s="703"/>
      <c r="N968" s="703"/>
      <c r="O968" s="703"/>
      <c r="P968" s="703"/>
      <c r="Q968" s="703"/>
      <c r="R968" s="703"/>
      <c r="S968" s="703"/>
      <c r="T968" s="703"/>
      <c r="U968" s="703"/>
      <c r="V968" s="703"/>
      <c r="W968" s="703"/>
      <c r="X968" s="703"/>
      <c r="Y968" s="703"/>
      <c r="Z968" s="703"/>
      <c r="AA968" s="703"/>
      <c r="AB968" s="703"/>
      <c r="AC968" s="703"/>
      <c r="AD968" s="703"/>
      <c r="AE968" s="703"/>
      <c r="AF968" s="703"/>
      <c r="AG968" s="703"/>
      <c r="AH968" s="703"/>
      <c r="AI968" s="703"/>
      <c r="AJ968" s="703"/>
      <c r="AK968" s="703"/>
      <c r="AL968" s="703"/>
      <c r="AM968" s="703"/>
      <c r="AN968" s="703"/>
      <c r="AO968" s="704"/>
      <c r="AP968" s="705"/>
      <c r="AQ968" s="698"/>
      <c r="AS968" s="220"/>
      <c r="AV968" s="699"/>
      <c r="AW968" s="700"/>
      <c r="AX968" s="382"/>
      <c r="AY968" s="379"/>
      <c r="AZ968" s="384"/>
      <c r="BA968" s="642"/>
    </row>
    <row r="969" spans="1:54" ht="11.25" hidden="1" customHeight="1" x14ac:dyDescent="0.2">
      <c r="A969" s="867"/>
      <c r="C969" s="701"/>
      <c r="D969" s="702"/>
      <c r="E969" s="703"/>
      <c r="F969" s="703"/>
      <c r="G969" s="703"/>
      <c r="H969" s="703"/>
      <c r="I969" s="703"/>
      <c r="J969" s="703"/>
      <c r="K969" s="703"/>
      <c r="L969" s="703"/>
      <c r="M969" s="703"/>
      <c r="N969" s="703"/>
      <c r="O969" s="703"/>
      <c r="P969" s="703"/>
      <c r="Q969" s="703"/>
      <c r="R969" s="703"/>
      <c r="S969" s="703"/>
      <c r="T969" s="703"/>
      <c r="U969" s="703"/>
      <c r="V969" s="703"/>
      <c r="W969" s="703"/>
      <c r="X969" s="703"/>
      <c r="Y969" s="703"/>
      <c r="Z969" s="703"/>
      <c r="AA969" s="703"/>
      <c r="AB969" s="703"/>
      <c r="AC969" s="703"/>
      <c r="AD969" s="703"/>
      <c r="AE969" s="703"/>
      <c r="AF969" s="703"/>
      <c r="AG969" s="703"/>
      <c r="AH969" s="703"/>
      <c r="AI969" s="703"/>
      <c r="AJ969" s="703"/>
      <c r="AK969" s="703"/>
      <c r="AL969" s="703"/>
      <c r="AM969" s="703"/>
      <c r="AN969" s="703"/>
      <c r="AO969" s="704"/>
      <c r="AP969" s="705"/>
      <c r="AQ969" s="698"/>
      <c r="AS969" s="220"/>
      <c r="AV969" s="699"/>
      <c r="AW969" s="700"/>
      <c r="AX969" s="382"/>
      <c r="AY969" s="379"/>
      <c r="AZ969" s="384"/>
      <c r="BA969" s="642"/>
    </row>
    <row r="970" spans="1:54" ht="11.25" hidden="1" customHeight="1" x14ac:dyDescent="0.2">
      <c r="A970" s="867"/>
      <c r="C970" s="701"/>
      <c r="D970" s="702"/>
      <c r="E970" s="703"/>
      <c r="F970" s="703"/>
      <c r="G970" s="703"/>
      <c r="H970" s="703"/>
      <c r="I970" s="703"/>
      <c r="J970" s="703"/>
      <c r="K970" s="703"/>
      <c r="L970" s="703"/>
      <c r="M970" s="703"/>
      <c r="N970" s="703"/>
      <c r="O970" s="703"/>
      <c r="P970" s="703"/>
      <c r="Q970" s="703"/>
      <c r="R970" s="703"/>
      <c r="S970" s="703"/>
      <c r="T970" s="703"/>
      <c r="U970" s="703"/>
      <c r="V970" s="703"/>
      <c r="W970" s="703"/>
      <c r="X970" s="703"/>
      <c r="Y970" s="703"/>
      <c r="Z970" s="703"/>
      <c r="AA970" s="703"/>
      <c r="AB970" s="703"/>
      <c r="AC970" s="703"/>
      <c r="AD970" s="703"/>
      <c r="AE970" s="703"/>
      <c r="AF970" s="703"/>
      <c r="AG970" s="703"/>
      <c r="AH970" s="703"/>
      <c r="AI970" s="703"/>
      <c r="AJ970" s="703"/>
      <c r="AK970" s="703"/>
      <c r="AL970" s="703"/>
      <c r="AM970" s="703"/>
      <c r="AN970" s="703"/>
      <c r="AO970" s="704"/>
      <c r="AP970" s="705"/>
      <c r="AQ970" s="698"/>
      <c r="AS970" s="220"/>
      <c r="AV970" s="699"/>
      <c r="AW970" s="700"/>
      <c r="AX970" s="382"/>
      <c r="AY970" s="379"/>
      <c r="AZ970" s="384"/>
      <c r="BA970" s="642"/>
    </row>
    <row r="971" spans="1:54" ht="11.25" hidden="1" customHeight="1" x14ac:dyDescent="0.2">
      <c r="A971" s="867"/>
      <c r="C971" s="701"/>
      <c r="D971" s="702"/>
      <c r="E971" s="703"/>
      <c r="F971" s="703"/>
      <c r="G971" s="703"/>
      <c r="H971" s="703"/>
      <c r="I971" s="703"/>
      <c r="J971" s="703"/>
      <c r="K971" s="703"/>
      <c r="L971" s="703"/>
      <c r="M971" s="703"/>
      <c r="N971" s="703"/>
      <c r="O971" s="703"/>
      <c r="P971" s="703"/>
      <c r="Q971" s="703"/>
      <c r="R971" s="703"/>
      <c r="S971" s="703"/>
      <c r="T971" s="703"/>
      <c r="U971" s="703"/>
      <c r="V971" s="703"/>
      <c r="W971" s="703"/>
      <c r="X971" s="703"/>
      <c r="Y971" s="703"/>
      <c r="Z971" s="703"/>
      <c r="AA971" s="703"/>
      <c r="AB971" s="703"/>
      <c r="AC971" s="703"/>
      <c r="AD971" s="703"/>
      <c r="AE971" s="703"/>
      <c r="AF971" s="703"/>
      <c r="AG971" s="703"/>
      <c r="AH971" s="703"/>
      <c r="AI971" s="703"/>
      <c r="AJ971" s="703"/>
      <c r="AK971" s="703"/>
      <c r="AL971" s="703"/>
      <c r="AM971" s="703"/>
      <c r="AN971" s="703"/>
      <c r="AO971" s="704"/>
      <c r="AP971" s="705"/>
      <c r="AQ971" s="698"/>
      <c r="AS971" s="220"/>
      <c r="AV971" s="699"/>
      <c r="AW971" s="700"/>
      <c r="AX971" s="382"/>
      <c r="AY971" s="379"/>
      <c r="AZ971" s="384"/>
      <c r="BA971" s="642"/>
    </row>
    <row r="972" spans="1:54" ht="11.25" hidden="1" customHeight="1" x14ac:dyDescent="0.2">
      <c r="A972" s="867"/>
      <c r="C972" s="701"/>
      <c r="D972" s="702"/>
      <c r="E972" s="703"/>
      <c r="F972" s="703"/>
      <c r="G972" s="703"/>
      <c r="H972" s="703"/>
      <c r="I972" s="703"/>
      <c r="J972" s="703"/>
      <c r="K972" s="703"/>
      <c r="L972" s="703"/>
      <c r="M972" s="703"/>
      <c r="N972" s="703"/>
      <c r="O972" s="703"/>
      <c r="P972" s="703"/>
      <c r="Q972" s="703"/>
      <c r="R972" s="703"/>
      <c r="S972" s="703"/>
      <c r="T972" s="703"/>
      <c r="U972" s="703"/>
      <c r="V972" s="703"/>
      <c r="W972" s="703"/>
      <c r="X972" s="703"/>
      <c r="Y972" s="703"/>
      <c r="Z972" s="703"/>
      <c r="AA972" s="703"/>
      <c r="AB972" s="703"/>
      <c r="AC972" s="703"/>
      <c r="AD972" s="703"/>
      <c r="AE972" s="703"/>
      <c r="AF972" s="703"/>
      <c r="AG972" s="703"/>
      <c r="AH972" s="703"/>
      <c r="AI972" s="703"/>
      <c r="AJ972" s="703"/>
      <c r="AK972" s="703"/>
      <c r="AL972" s="703"/>
      <c r="AM972" s="703"/>
      <c r="AN972" s="703"/>
      <c r="AO972" s="704"/>
      <c r="AP972" s="705"/>
      <c r="AQ972" s="698"/>
      <c r="AS972" s="220"/>
      <c r="AV972" s="699"/>
      <c r="AW972" s="700"/>
      <c r="AX972" s="382"/>
      <c r="AY972" s="379"/>
      <c r="AZ972" s="384"/>
      <c r="BA972" s="642"/>
    </row>
    <row r="973" spans="1:54" ht="11.25" hidden="1" customHeight="1" x14ac:dyDescent="0.2">
      <c r="A973" s="867"/>
      <c r="C973" s="701"/>
      <c r="D973" s="702"/>
      <c r="E973" s="703"/>
      <c r="F973" s="703"/>
      <c r="G973" s="703"/>
      <c r="H973" s="703"/>
      <c r="I973" s="703"/>
      <c r="J973" s="703"/>
      <c r="K973" s="703"/>
      <c r="L973" s="703"/>
      <c r="M973" s="703"/>
      <c r="N973" s="703"/>
      <c r="O973" s="703"/>
      <c r="P973" s="703"/>
      <c r="Q973" s="703"/>
      <c r="R973" s="703"/>
      <c r="S973" s="703"/>
      <c r="T973" s="703"/>
      <c r="U973" s="703"/>
      <c r="V973" s="703"/>
      <c r="W973" s="703"/>
      <c r="X973" s="703"/>
      <c r="Y973" s="703"/>
      <c r="Z973" s="703"/>
      <c r="AA973" s="703"/>
      <c r="AB973" s="703"/>
      <c r="AC973" s="703"/>
      <c r="AD973" s="703"/>
      <c r="AE973" s="703"/>
      <c r="AF973" s="703"/>
      <c r="AG973" s="703"/>
      <c r="AH973" s="703"/>
      <c r="AI973" s="703"/>
      <c r="AJ973" s="703"/>
      <c r="AK973" s="703"/>
      <c r="AL973" s="703"/>
      <c r="AM973" s="703"/>
      <c r="AN973" s="703"/>
      <c r="AO973" s="704"/>
      <c r="AP973" s="705"/>
      <c r="AQ973" s="698"/>
      <c r="AS973" s="220"/>
      <c r="AV973" s="699"/>
      <c r="AW973" s="700"/>
      <c r="AX973" s="382"/>
      <c r="AY973" s="379"/>
      <c r="AZ973" s="384"/>
      <c r="BA973" s="642"/>
    </row>
    <row r="974" spans="1:54" ht="11.25" hidden="1" customHeight="1" x14ac:dyDescent="0.2">
      <c r="A974" s="867"/>
      <c r="C974" s="701"/>
      <c r="D974" s="702"/>
      <c r="E974" s="703"/>
      <c r="F974" s="703"/>
      <c r="G974" s="703"/>
      <c r="H974" s="703"/>
      <c r="I974" s="703"/>
      <c r="J974" s="703"/>
      <c r="K974" s="703"/>
      <c r="L974" s="703"/>
      <c r="M974" s="703"/>
      <c r="N974" s="703"/>
      <c r="O974" s="703"/>
      <c r="P974" s="703"/>
      <c r="Q974" s="703"/>
      <c r="R974" s="703"/>
      <c r="S974" s="703"/>
      <c r="T974" s="703"/>
      <c r="U974" s="703"/>
      <c r="V974" s="703"/>
      <c r="W974" s="703"/>
      <c r="X974" s="703"/>
      <c r="Y974" s="703"/>
      <c r="Z974" s="703"/>
      <c r="AA974" s="703"/>
      <c r="AB974" s="703"/>
      <c r="AC974" s="703"/>
      <c r="AD974" s="703"/>
      <c r="AE974" s="703"/>
      <c r="AF974" s="703"/>
      <c r="AG974" s="703"/>
      <c r="AH974" s="703"/>
      <c r="AI974" s="703"/>
      <c r="AJ974" s="703"/>
      <c r="AK974" s="703"/>
      <c r="AL974" s="703"/>
      <c r="AM974" s="703"/>
      <c r="AN974" s="703"/>
      <c r="AO974" s="704"/>
      <c r="AP974" s="705"/>
      <c r="AQ974" s="698"/>
      <c r="AS974" s="220"/>
      <c r="AV974" s="699"/>
      <c r="AW974" s="700"/>
      <c r="AX974" s="382"/>
      <c r="AY974" s="379"/>
      <c r="AZ974" s="384"/>
      <c r="BA974" s="642"/>
    </row>
    <row r="975" spans="1:54" ht="11.25" hidden="1" customHeight="1" x14ac:dyDescent="0.2">
      <c r="A975" s="867"/>
      <c r="C975" s="701"/>
      <c r="D975" s="702"/>
      <c r="E975" s="703"/>
      <c r="F975" s="703"/>
      <c r="G975" s="703"/>
      <c r="H975" s="703"/>
      <c r="I975" s="703"/>
      <c r="J975" s="703"/>
      <c r="K975" s="703"/>
      <c r="L975" s="703"/>
      <c r="M975" s="703"/>
      <c r="N975" s="703"/>
      <c r="O975" s="703"/>
      <c r="P975" s="703"/>
      <c r="Q975" s="703"/>
      <c r="R975" s="703"/>
      <c r="S975" s="703"/>
      <c r="T975" s="703"/>
      <c r="U975" s="703"/>
      <c r="V975" s="703"/>
      <c r="W975" s="703"/>
      <c r="X975" s="703"/>
      <c r="Y975" s="703"/>
      <c r="Z975" s="703"/>
      <c r="AA975" s="703"/>
      <c r="AB975" s="703"/>
      <c r="AC975" s="703"/>
      <c r="AD975" s="703"/>
      <c r="AE975" s="703"/>
      <c r="AF975" s="703"/>
      <c r="AG975" s="703"/>
      <c r="AH975" s="703"/>
      <c r="AI975" s="703"/>
      <c r="AJ975" s="703"/>
      <c r="AK975" s="703"/>
      <c r="AL975" s="703"/>
      <c r="AM975" s="703"/>
      <c r="AN975" s="703"/>
      <c r="AO975" s="704"/>
      <c r="AP975" s="705"/>
      <c r="AQ975" s="698"/>
      <c r="AS975" s="220"/>
      <c r="AV975" s="699"/>
      <c r="AW975" s="700"/>
      <c r="AX975" s="382"/>
      <c r="AY975" s="379"/>
      <c r="AZ975" s="384"/>
      <c r="BA975" s="642"/>
    </row>
    <row r="976" spans="1:54" ht="11.25" hidden="1" customHeight="1" x14ac:dyDescent="0.2">
      <c r="A976" s="867"/>
      <c r="C976" s="701"/>
      <c r="D976" s="702"/>
      <c r="E976" s="703"/>
      <c r="F976" s="703"/>
      <c r="G976" s="703"/>
      <c r="H976" s="703"/>
      <c r="I976" s="703"/>
      <c r="J976" s="703"/>
      <c r="K976" s="703"/>
      <c r="L976" s="703"/>
      <c r="M976" s="703"/>
      <c r="N976" s="703"/>
      <c r="O976" s="703"/>
      <c r="P976" s="703"/>
      <c r="Q976" s="703"/>
      <c r="R976" s="703"/>
      <c r="S976" s="703"/>
      <c r="T976" s="703"/>
      <c r="U976" s="703"/>
      <c r="V976" s="703"/>
      <c r="W976" s="703"/>
      <c r="X976" s="703"/>
      <c r="Y976" s="703"/>
      <c r="Z976" s="703"/>
      <c r="AA976" s="703"/>
      <c r="AB976" s="703"/>
      <c r="AC976" s="703"/>
      <c r="AD976" s="703"/>
      <c r="AE976" s="703"/>
      <c r="AF976" s="703"/>
      <c r="AG976" s="703"/>
      <c r="AH976" s="703"/>
      <c r="AI976" s="703"/>
      <c r="AJ976" s="703"/>
      <c r="AK976" s="703"/>
      <c r="AL976" s="703"/>
      <c r="AM976" s="703"/>
      <c r="AN976" s="703"/>
      <c r="AO976" s="704"/>
      <c r="AP976" s="705"/>
      <c r="AQ976" s="698"/>
      <c r="AS976" s="220"/>
      <c r="AV976" s="699"/>
      <c r="AW976" s="700"/>
      <c r="AX976" s="382"/>
      <c r="AY976" s="379"/>
      <c r="AZ976" s="384"/>
      <c r="BA976" s="642"/>
    </row>
    <row r="977" spans="1:53" ht="11.25" hidden="1" customHeight="1" x14ac:dyDescent="0.2">
      <c r="A977" s="867"/>
      <c r="C977" s="701"/>
      <c r="D977" s="702"/>
      <c r="E977" s="703"/>
      <c r="F977" s="703"/>
      <c r="G977" s="703"/>
      <c r="H977" s="703"/>
      <c r="I977" s="703"/>
      <c r="J977" s="703"/>
      <c r="K977" s="703"/>
      <c r="L977" s="703"/>
      <c r="M977" s="703"/>
      <c r="N977" s="703"/>
      <c r="O977" s="703"/>
      <c r="P977" s="703"/>
      <c r="Q977" s="703"/>
      <c r="R977" s="703"/>
      <c r="S977" s="703"/>
      <c r="T977" s="703"/>
      <c r="U977" s="703"/>
      <c r="V977" s="703"/>
      <c r="W977" s="703"/>
      <c r="X977" s="703"/>
      <c r="Y977" s="703"/>
      <c r="Z977" s="703"/>
      <c r="AA977" s="703"/>
      <c r="AB977" s="703"/>
      <c r="AC977" s="703"/>
      <c r="AD977" s="703"/>
      <c r="AE977" s="703"/>
      <c r="AF977" s="703"/>
      <c r="AG977" s="703"/>
      <c r="AH977" s="703"/>
      <c r="AI977" s="703"/>
      <c r="AJ977" s="703"/>
      <c r="AK977" s="703"/>
      <c r="AL977" s="703"/>
      <c r="AM977" s="703"/>
      <c r="AN977" s="703"/>
      <c r="AO977" s="704"/>
      <c r="AP977" s="705"/>
      <c r="AQ977" s="698"/>
      <c r="AS977" s="220"/>
      <c r="AV977" s="699"/>
      <c r="AW977" s="700"/>
      <c r="AX977" s="382"/>
      <c r="AY977" s="379"/>
      <c r="AZ977" s="384"/>
      <c r="BA977" s="642"/>
    </row>
    <row r="978" spans="1:53" ht="11.25" hidden="1" customHeight="1" x14ac:dyDescent="0.2">
      <c r="A978" s="867"/>
      <c r="C978" s="701"/>
      <c r="D978" s="702"/>
      <c r="E978" s="703"/>
      <c r="F978" s="703"/>
      <c r="G978" s="703"/>
      <c r="H978" s="703"/>
      <c r="I978" s="703"/>
      <c r="J978" s="703"/>
      <c r="K978" s="703"/>
      <c r="L978" s="703"/>
      <c r="M978" s="703"/>
      <c r="N978" s="703"/>
      <c r="O978" s="703"/>
      <c r="P978" s="703"/>
      <c r="Q978" s="703"/>
      <c r="R978" s="703"/>
      <c r="S978" s="703"/>
      <c r="T978" s="703"/>
      <c r="U978" s="703"/>
      <c r="V978" s="703"/>
      <c r="W978" s="703"/>
      <c r="X978" s="703"/>
      <c r="Y978" s="703"/>
      <c r="Z978" s="703"/>
      <c r="AA978" s="703"/>
      <c r="AB978" s="703"/>
      <c r="AC978" s="703"/>
      <c r="AD978" s="703"/>
      <c r="AE978" s="703"/>
      <c r="AF978" s="703"/>
      <c r="AG978" s="703"/>
      <c r="AH978" s="703"/>
      <c r="AI978" s="703"/>
      <c r="AJ978" s="703"/>
      <c r="AK978" s="703"/>
      <c r="AL978" s="703"/>
      <c r="AM978" s="703"/>
      <c r="AN978" s="703"/>
      <c r="AO978" s="704"/>
      <c r="AP978" s="705"/>
      <c r="AQ978" s="698"/>
      <c r="AS978" s="220"/>
      <c r="AV978" s="699"/>
      <c r="AW978" s="700"/>
      <c r="AX978" s="382"/>
      <c r="AY978" s="379"/>
      <c r="AZ978" s="384"/>
      <c r="BA978" s="642"/>
    </row>
    <row r="979" spans="1:53" ht="11.25" hidden="1" customHeight="1" x14ac:dyDescent="0.2">
      <c r="A979" s="867"/>
      <c r="C979" s="701"/>
      <c r="D979" s="702"/>
      <c r="E979" s="703"/>
      <c r="F979" s="703"/>
      <c r="G979" s="703"/>
      <c r="H979" s="703"/>
      <c r="I979" s="703"/>
      <c r="J979" s="703"/>
      <c r="K979" s="703"/>
      <c r="L979" s="703"/>
      <c r="M979" s="703"/>
      <c r="N979" s="703"/>
      <c r="O979" s="703"/>
      <c r="P979" s="703"/>
      <c r="Q979" s="703"/>
      <c r="R979" s="703"/>
      <c r="S979" s="703"/>
      <c r="T979" s="703"/>
      <c r="U979" s="703"/>
      <c r="V979" s="703"/>
      <c r="W979" s="703"/>
      <c r="X979" s="703"/>
      <c r="Y979" s="703"/>
      <c r="Z979" s="703"/>
      <c r="AA979" s="703"/>
      <c r="AB979" s="703"/>
      <c r="AC979" s="703"/>
      <c r="AD979" s="703"/>
      <c r="AE979" s="703"/>
      <c r="AF979" s="703"/>
      <c r="AG979" s="703"/>
      <c r="AH979" s="703"/>
      <c r="AI979" s="703"/>
      <c r="AJ979" s="703"/>
      <c r="AK979" s="703"/>
      <c r="AL979" s="703"/>
      <c r="AM979" s="703"/>
      <c r="AN979" s="703"/>
      <c r="AO979" s="704"/>
      <c r="AP979" s="705"/>
      <c r="AQ979" s="698"/>
      <c r="AS979" s="220"/>
      <c r="AV979" s="699"/>
      <c r="AW979" s="700"/>
      <c r="AX979" s="382"/>
      <c r="AY979" s="379"/>
      <c r="AZ979" s="384"/>
      <c r="BA979" s="642"/>
    </row>
    <row r="980" spans="1:53" ht="11.25" hidden="1" customHeight="1" x14ac:dyDescent="0.2">
      <c r="A980" s="867"/>
      <c r="C980" s="701"/>
      <c r="D980" s="702"/>
      <c r="E980" s="703"/>
      <c r="F980" s="703"/>
      <c r="G980" s="703"/>
      <c r="H980" s="703"/>
      <c r="I980" s="703"/>
      <c r="J980" s="703"/>
      <c r="K980" s="703"/>
      <c r="L980" s="703"/>
      <c r="M980" s="703"/>
      <c r="N980" s="703"/>
      <c r="O980" s="703"/>
      <c r="P980" s="703"/>
      <c r="Q980" s="703"/>
      <c r="R980" s="703"/>
      <c r="S980" s="703"/>
      <c r="T980" s="703"/>
      <c r="U980" s="703"/>
      <c r="V980" s="703"/>
      <c r="W980" s="703"/>
      <c r="X980" s="703"/>
      <c r="Y980" s="703"/>
      <c r="Z980" s="703"/>
      <c r="AA980" s="703"/>
      <c r="AB980" s="703"/>
      <c r="AC980" s="703"/>
      <c r="AD980" s="703"/>
      <c r="AE980" s="703"/>
      <c r="AF980" s="703"/>
      <c r="AG980" s="703"/>
      <c r="AH980" s="703"/>
      <c r="AI980" s="703"/>
      <c r="AJ980" s="703"/>
      <c r="AK980" s="703"/>
      <c r="AL980" s="703"/>
      <c r="AM980" s="703"/>
      <c r="AN980" s="703"/>
      <c r="AO980" s="704"/>
      <c r="AP980" s="705"/>
      <c r="AQ980" s="698"/>
      <c r="AS980" s="220"/>
      <c r="AV980" s="699"/>
      <c r="AW980" s="700"/>
      <c r="AX980" s="382"/>
      <c r="AY980" s="379"/>
      <c r="AZ980" s="384"/>
      <c r="BA980" s="642"/>
    </row>
    <row r="981" spans="1:53" ht="11.25" hidden="1" customHeight="1" x14ac:dyDescent="0.2">
      <c r="A981" s="867"/>
      <c r="C981" s="701"/>
      <c r="D981" s="702"/>
      <c r="E981" s="703"/>
      <c r="F981" s="703"/>
      <c r="G981" s="703"/>
      <c r="H981" s="703"/>
      <c r="I981" s="703"/>
      <c r="J981" s="703"/>
      <c r="K981" s="703"/>
      <c r="L981" s="703"/>
      <c r="M981" s="703"/>
      <c r="N981" s="703"/>
      <c r="O981" s="703"/>
      <c r="P981" s="703"/>
      <c r="Q981" s="703"/>
      <c r="R981" s="703"/>
      <c r="S981" s="703"/>
      <c r="T981" s="703"/>
      <c r="U981" s="703"/>
      <c r="V981" s="703"/>
      <c r="W981" s="703"/>
      <c r="X981" s="703"/>
      <c r="Y981" s="703"/>
      <c r="Z981" s="703"/>
      <c r="AA981" s="703"/>
      <c r="AB981" s="703"/>
      <c r="AC981" s="703"/>
      <c r="AD981" s="703"/>
      <c r="AE981" s="703"/>
      <c r="AF981" s="703"/>
      <c r="AG981" s="703"/>
      <c r="AH981" s="703"/>
      <c r="AI981" s="703"/>
      <c r="AJ981" s="703"/>
      <c r="AK981" s="703"/>
      <c r="AL981" s="703"/>
      <c r="AM981" s="703"/>
      <c r="AN981" s="703"/>
      <c r="AO981" s="704"/>
      <c r="AP981" s="705"/>
      <c r="AQ981" s="698"/>
      <c r="AS981" s="220"/>
      <c r="AV981" s="699"/>
      <c r="AW981" s="700"/>
      <c r="AX981" s="382"/>
      <c r="AY981" s="379"/>
      <c r="AZ981" s="384"/>
      <c r="BA981" s="642"/>
    </row>
    <row r="982" spans="1:53" ht="11.25" hidden="1" customHeight="1" x14ac:dyDescent="0.2">
      <c r="A982" s="867"/>
      <c r="C982" s="701"/>
      <c r="D982" s="702"/>
      <c r="E982" s="703"/>
      <c r="F982" s="703"/>
      <c r="G982" s="703"/>
      <c r="H982" s="703"/>
      <c r="I982" s="703"/>
      <c r="J982" s="703"/>
      <c r="K982" s="703"/>
      <c r="L982" s="703"/>
      <c r="M982" s="703"/>
      <c r="N982" s="703"/>
      <c r="O982" s="703"/>
      <c r="P982" s="703"/>
      <c r="Q982" s="703"/>
      <c r="R982" s="703"/>
      <c r="S982" s="703"/>
      <c r="T982" s="703"/>
      <c r="U982" s="703"/>
      <c r="V982" s="703"/>
      <c r="W982" s="703"/>
      <c r="X982" s="703"/>
      <c r="Y982" s="703"/>
      <c r="Z982" s="703"/>
      <c r="AA982" s="703"/>
      <c r="AB982" s="703"/>
      <c r="AC982" s="703"/>
      <c r="AD982" s="703"/>
      <c r="AE982" s="703"/>
      <c r="AF982" s="703"/>
      <c r="AG982" s="703"/>
      <c r="AH982" s="703"/>
      <c r="AI982" s="703"/>
      <c r="AJ982" s="703"/>
      <c r="AK982" s="703"/>
      <c r="AL982" s="703"/>
      <c r="AM982" s="703"/>
      <c r="AN982" s="703"/>
      <c r="AO982" s="704"/>
      <c r="AP982" s="705"/>
      <c r="AQ982" s="698"/>
      <c r="AS982" s="220"/>
      <c r="AV982" s="699"/>
      <c r="AW982" s="700"/>
      <c r="AX982" s="382"/>
      <c r="AY982" s="379"/>
      <c r="AZ982" s="384"/>
      <c r="BA982" s="642"/>
    </row>
    <row r="983" spans="1:53" ht="11.25" hidden="1" customHeight="1" x14ac:dyDescent="0.2">
      <c r="A983" s="867"/>
      <c r="C983" s="701"/>
      <c r="D983" s="702"/>
      <c r="E983" s="703"/>
      <c r="F983" s="703"/>
      <c r="G983" s="703"/>
      <c r="H983" s="703"/>
      <c r="I983" s="703"/>
      <c r="J983" s="703"/>
      <c r="K983" s="703"/>
      <c r="L983" s="703"/>
      <c r="M983" s="703"/>
      <c r="N983" s="703"/>
      <c r="O983" s="703"/>
      <c r="P983" s="703"/>
      <c r="Q983" s="703"/>
      <c r="R983" s="703"/>
      <c r="S983" s="703"/>
      <c r="T983" s="703"/>
      <c r="U983" s="703"/>
      <c r="V983" s="703"/>
      <c r="W983" s="703"/>
      <c r="X983" s="703"/>
      <c r="Y983" s="703"/>
      <c r="Z983" s="703"/>
      <c r="AA983" s="703"/>
      <c r="AB983" s="703"/>
      <c r="AC983" s="703"/>
      <c r="AD983" s="703"/>
      <c r="AE983" s="703"/>
      <c r="AF983" s="703"/>
      <c r="AG983" s="703"/>
      <c r="AH983" s="703"/>
      <c r="AI983" s="703"/>
      <c r="AJ983" s="703"/>
      <c r="AK983" s="703"/>
      <c r="AL983" s="703"/>
      <c r="AM983" s="703"/>
      <c r="AN983" s="703"/>
      <c r="AO983" s="704"/>
      <c r="AP983" s="705"/>
      <c r="AQ983" s="698"/>
      <c r="AS983" s="220"/>
      <c r="AV983" s="699"/>
      <c r="AW983" s="700"/>
      <c r="AX983" s="382"/>
      <c r="AY983" s="379"/>
      <c r="AZ983" s="384"/>
      <c r="BA983" s="642"/>
    </row>
    <row r="984" spans="1:53" ht="11.25" hidden="1" customHeight="1" x14ac:dyDescent="0.2">
      <c r="A984" s="867"/>
      <c r="C984" s="701"/>
      <c r="D984" s="702"/>
      <c r="E984" s="703"/>
      <c r="F984" s="703"/>
      <c r="G984" s="703"/>
      <c r="H984" s="703"/>
      <c r="I984" s="703"/>
      <c r="J984" s="703"/>
      <c r="K984" s="703"/>
      <c r="L984" s="703"/>
      <c r="M984" s="703"/>
      <c r="N984" s="703"/>
      <c r="O984" s="703"/>
      <c r="P984" s="703"/>
      <c r="Q984" s="703"/>
      <c r="R984" s="703"/>
      <c r="S984" s="703"/>
      <c r="T984" s="703"/>
      <c r="U984" s="703"/>
      <c r="V984" s="703"/>
      <c r="W984" s="703"/>
      <c r="X984" s="703"/>
      <c r="Y984" s="703"/>
      <c r="Z984" s="703"/>
      <c r="AA984" s="703"/>
      <c r="AB984" s="703"/>
      <c r="AC984" s="703"/>
      <c r="AD984" s="703"/>
      <c r="AE984" s="703"/>
      <c r="AF984" s="703"/>
      <c r="AG984" s="703"/>
      <c r="AH984" s="703"/>
      <c r="AI984" s="703"/>
      <c r="AJ984" s="703"/>
      <c r="AK984" s="703"/>
      <c r="AL984" s="703"/>
      <c r="AM984" s="703"/>
      <c r="AN984" s="703"/>
      <c r="AO984" s="704"/>
      <c r="AP984" s="705"/>
      <c r="AQ984" s="698"/>
      <c r="AS984" s="220"/>
      <c r="AV984" s="699"/>
      <c r="AW984" s="700"/>
      <c r="AX984" s="382"/>
      <c r="AY984" s="379"/>
      <c r="AZ984" s="384"/>
      <c r="BA984" s="642"/>
    </row>
    <row r="985" spans="1:53" ht="11.25" hidden="1" customHeight="1" x14ac:dyDescent="0.2">
      <c r="A985" s="867"/>
      <c r="C985" s="701"/>
      <c r="D985" s="702"/>
      <c r="E985" s="703"/>
      <c r="F985" s="703"/>
      <c r="G985" s="703"/>
      <c r="H985" s="703"/>
      <c r="I985" s="703"/>
      <c r="J985" s="703"/>
      <c r="K985" s="703"/>
      <c r="L985" s="703"/>
      <c r="M985" s="703"/>
      <c r="N985" s="703"/>
      <c r="O985" s="703"/>
      <c r="P985" s="703"/>
      <c r="Q985" s="703"/>
      <c r="R985" s="703"/>
      <c r="S985" s="703"/>
      <c r="T985" s="703"/>
      <c r="U985" s="703"/>
      <c r="V985" s="703"/>
      <c r="W985" s="703"/>
      <c r="X985" s="703"/>
      <c r="Y985" s="703"/>
      <c r="Z985" s="703"/>
      <c r="AA985" s="703"/>
      <c r="AB985" s="703"/>
      <c r="AC985" s="703"/>
      <c r="AD985" s="703"/>
      <c r="AE985" s="703"/>
      <c r="AF985" s="703"/>
      <c r="AG985" s="703"/>
      <c r="AH985" s="703"/>
      <c r="AI985" s="703"/>
      <c r="AJ985" s="703"/>
      <c r="AK985" s="703"/>
      <c r="AL985" s="703"/>
      <c r="AM985" s="703"/>
      <c r="AN985" s="703"/>
      <c r="AO985" s="704"/>
      <c r="AP985" s="705"/>
      <c r="AQ985" s="698"/>
      <c r="AS985" s="220"/>
      <c r="AV985" s="699"/>
      <c r="AW985" s="700"/>
      <c r="AX985" s="382"/>
      <c r="AY985" s="379"/>
      <c r="AZ985" s="384"/>
      <c r="BA985" s="642"/>
    </row>
    <row r="986" spans="1:53" ht="11.25" hidden="1" customHeight="1" x14ac:dyDescent="0.2">
      <c r="A986" s="867"/>
      <c r="C986" s="701"/>
      <c r="D986" s="702"/>
      <c r="E986" s="703"/>
      <c r="F986" s="703"/>
      <c r="G986" s="703"/>
      <c r="H986" s="703"/>
      <c r="I986" s="703"/>
      <c r="J986" s="703"/>
      <c r="K986" s="703"/>
      <c r="L986" s="703"/>
      <c r="M986" s="703"/>
      <c r="N986" s="703"/>
      <c r="O986" s="703"/>
      <c r="P986" s="703"/>
      <c r="Q986" s="703"/>
      <c r="R986" s="703"/>
      <c r="S986" s="703"/>
      <c r="T986" s="703"/>
      <c r="U986" s="703"/>
      <c r="V986" s="703"/>
      <c r="W986" s="703"/>
      <c r="X986" s="703"/>
      <c r="Y986" s="703"/>
      <c r="Z986" s="703"/>
      <c r="AA986" s="703"/>
      <c r="AB986" s="703"/>
      <c r="AC986" s="703"/>
      <c r="AD986" s="703"/>
      <c r="AE986" s="703"/>
      <c r="AF986" s="703"/>
      <c r="AG986" s="703"/>
      <c r="AH986" s="703"/>
      <c r="AI986" s="703"/>
      <c r="AJ986" s="703"/>
      <c r="AK986" s="703"/>
      <c r="AL986" s="703"/>
      <c r="AM986" s="703"/>
      <c r="AN986" s="703"/>
      <c r="AO986" s="704"/>
      <c r="AP986" s="705"/>
      <c r="AQ986" s="698"/>
      <c r="AS986" s="220"/>
      <c r="AV986" s="699"/>
      <c r="AW986" s="700"/>
      <c r="AX986" s="382"/>
      <c r="AY986" s="379"/>
      <c r="AZ986" s="384"/>
      <c r="BA986" s="642"/>
    </row>
    <row r="987" spans="1:53" ht="11.25" hidden="1" customHeight="1" x14ac:dyDescent="0.2">
      <c r="A987" s="867"/>
      <c r="C987" s="701"/>
      <c r="D987" s="702"/>
      <c r="E987" s="703"/>
      <c r="F987" s="703"/>
      <c r="G987" s="703"/>
      <c r="H987" s="703"/>
      <c r="I987" s="703"/>
      <c r="J987" s="703"/>
      <c r="K987" s="703"/>
      <c r="L987" s="703"/>
      <c r="M987" s="703"/>
      <c r="N987" s="703"/>
      <c r="O987" s="703"/>
      <c r="P987" s="703"/>
      <c r="Q987" s="703"/>
      <c r="R987" s="703"/>
      <c r="S987" s="703"/>
      <c r="T987" s="703"/>
      <c r="U987" s="703"/>
      <c r="V987" s="703"/>
      <c r="W987" s="703"/>
      <c r="X987" s="703"/>
      <c r="Y987" s="703"/>
      <c r="Z987" s="703"/>
      <c r="AA987" s="703"/>
      <c r="AB987" s="703"/>
      <c r="AC987" s="703"/>
      <c r="AD987" s="703"/>
      <c r="AE987" s="703"/>
      <c r="AF987" s="703"/>
      <c r="AG987" s="703"/>
      <c r="AH987" s="703"/>
      <c r="AI987" s="703"/>
      <c r="AJ987" s="703"/>
      <c r="AK987" s="703"/>
      <c r="AL987" s="703"/>
      <c r="AM987" s="703"/>
      <c r="AN987" s="703"/>
      <c r="AO987" s="704"/>
      <c r="AP987" s="705"/>
      <c r="AQ987" s="698"/>
      <c r="AS987" s="220"/>
      <c r="AV987" s="699"/>
      <c r="AW987" s="700"/>
      <c r="AX987" s="382"/>
      <c r="AY987" s="379"/>
      <c r="AZ987" s="384"/>
      <c r="BA987" s="642"/>
    </row>
    <row r="988" spans="1:53" ht="11.25" hidden="1" customHeight="1" x14ac:dyDescent="0.2">
      <c r="A988" s="867"/>
      <c r="C988" s="701"/>
      <c r="D988" s="702"/>
      <c r="E988" s="703"/>
      <c r="F988" s="703"/>
      <c r="G988" s="703"/>
      <c r="H988" s="703"/>
      <c r="I988" s="703"/>
      <c r="J988" s="703"/>
      <c r="K988" s="703"/>
      <c r="L988" s="703"/>
      <c r="M988" s="703"/>
      <c r="N988" s="703"/>
      <c r="O988" s="703"/>
      <c r="P988" s="703"/>
      <c r="Q988" s="703"/>
      <c r="R988" s="703"/>
      <c r="S988" s="703"/>
      <c r="T988" s="703"/>
      <c r="U988" s="703"/>
      <c r="V988" s="703"/>
      <c r="W988" s="703"/>
      <c r="X988" s="703"/>
      <c r="Y988" s="703"/>
      <c r="Z988" s="703"/>
      <c r="AA988" s="703"/>
      <c r="AB988" s="703"/>
      <c r="AC988" s="703"/>
      <c r="AD988" s="703"/>
      <c r="AE988" s="703"/>
      <c r="AF988" s="703"/>
      <c r="AG988" s="703"/>
      <c r="AH988" s="703"/>
      <c r="AI988" s="703"/>
      <c r="AJ988" s="703"/>
      <c r="AK988" s="703"/>
      <c r="AL988" s="703"/>
      <c r="AM988" s="703"/>
      <c r="AN988" s="703"/>
      <c r="AO988" s="704"/>
      <c r="AP988" s="705"/>
      <c r="AQ988" s="698"/>
      <c r="AS988" s="220"/>
      <c r="AV988" s="699"/>
      <c r="AW988" s="700"/>
      <c r="AX988" s="382"/>
      <c r="AY988" s="379"/>
      <c r="AZ988" s="384"/>
      <c r="BA988" s="642"/>
    </row>
    <row r="989" spans="1:53" ht="11.25" hidden="1" customHeight="1" x14ac:dyDescent="0.2">
      <c r="A989" s="867"/>
      <c r="C989" s="701"/>
      <c r="D989" s="702"/>
      <c r="E989" s="703"/>
      <c r="F989" s="703"/>
      <c r="G989" s="703"/>
      <c r="H989" s="703"/>
      <c r="I989" s="703"/>
      <c r="J989" s="703"/>
      <c r="K989" s="703"/>
      <c r="L989" s="703"/>
      <c r="M989" s="703"/>
      <c r="N989" s="703"/>
      <c r="O989" s="703"/>
      <c r="P989" s="703"/>
      <c r="Q989" s="703"/>
      <c r="R989" s="703"/>
      <c r="S989" s="703"/>
      <c r="T989" s="703"/>
      <c r="U989" s="703"/>
      <c r="V989" s="703"/>
      <c r="W989" s="703"/>
      <c r="X989" s="703"/>
      <c r="Y989" s="703"/>
      <c r="Z989" s="703"/>
      <c r="AA989" s="703"/>
      <c r="AB989" s="703"/>
      <c r="AC989" s="703"/>
      <c r="AD989" s="703"/>
      <c r="AE989" s="703"/>
      <c r="AF989" s="703"/>
      <c r="AG989" s="703"/>
      <c r="AH989" s="703"/>
      <c r="AI989" s="703"/>
      <c r="AJ989" s="703"/>
      <c r="AK989" s="703"/>
      <c r="AL989" s="703"/>
      <c r="AM989" s="703"/>
      <c r="AN989" s="703"/>
      <c r="AO989" s="704"/>
      <c r="AP989" s="705"/>
      <c r="AQ989" s="698"/>
      <c r="AS989" s="220"/>
      <c r="AV989" s="699"/>
      <c r="AW989" s="700"/>
      <c r="AX989" s="382"/>
      <c r="AY989" s="379"/>
      <c r="AZ989" s="384"/>
      <c r="BA989" s="642"/>
    </row>
    <row r="990" spans="1:53" ht="11.25" hidden="1" customHeight="1" x14ac:dyDescent="0.2">
      <c r="A990" s="867"/>
      <c r="C990" s="701"/>
      <c r="D990" s="702"/>
      <c r="E990" s="703"/>
      <c r="F990" s="703"/>
      <c r="G990" s="703"/>
      <c r="H990" s="703"/>
      <c r="I990" s="703"/>
      <c r="J990" s="703"/>
      <c r="K990" s="703"/>
      <c r="L990" s="703"/>
      <c r="M990" s="703"/>
      <c r="N990" s="703"/>
      <c r="O990" s="703"/>
      <c r="P990" s="703"/>
      <c r="Q990" s="703"/>
      <c r="R990" s="703"/>
      <c r="S990" s="703"/>
      <c r="T990" s="703"/>
      <c r="U990" s="703"/>
      <c r="V990" s="703"/>
      <c r="W990" s="703"/>
      <c r="X990" s="703"/>
      <c r="Y990" s="703"/>
      <c r="Z990" s="703"/>
      <c r="AA990" s="703"/>
      <c r="AB990" s="703"/>
      <c r="AC990" s="703"/>
      <c r="AD990" s="703"/>
      <c r="AE990" s="703"/>
      <c r="AF990" s="703"/>
      <c r="AG990" s="703"/>
      <c r="AH990" s="703"/>
      <c r="AI990" s="703"/>
      <c r="AJ990" s="703"/>
      <c r="AK990" s="703"/>
      <c r="AL990" s="703"/>
      <c r="AM990" s="703"/>
      <c r="AN990" s="703"/>
      <c r="AO990" s="704"/>
      <c r="AP990" s="705"/>
      <c r="AQ990" s="698"/>
      <c r="AS990" s="220"/>
      <c r="AV990" s="699"/>
      <c r="AW990" s="700"/>
      <c r="AX990" s="382"/>
      <c r="AY990" s="379"/>
      <c r="AZ990" s="384"/>
      <c r="BA990" s="642"/>
    </row>
    <row r="991" spans="1:53" ht="11.25" hidden="1" customHeight="1" x14ac:dyDescent="0.2">
      <c r="A991" s="867"/>
      <c r="C991" s="701"/>
      <c r="D991" s="702"/>
      <c r="E991" s="703"/>
      <c r="F991" s="703"/>
      <c r="G991" s="703"/>
      <c r="H991" s="703"/>
      <c r="I991" s="703"/>
      <c r="J991" s="703"/>
      <c r="K991" s="703"/>
      <c r="L991" s="703"/>
      <c r="M991" s="703"/>
      <c r="N991" s="703"/>
      <c r="O991" s="703"/>
      <c r="P991" s="703"/>
      <c r="Q991" s="703"/>
      <c r="R991" s="703"/>
      <c r="S991" s="703"/>
      <c r="T991" s="703"/>
      <c r="U991" s="703"/>
      <c r="V991" s="703"/>
      <c r="W991" s="703"/>
      <c r="X991" s="703"/>
      <c r="Y991" s="703"/>
      <c r="Z991" s="703"/>
      <c r="AA991" s="703"/>
      <c r="AB991" s="703"/>
      <c r="AC991" s="703"/>
      <c r="AD991" s="703"/>
      <c r="AE991" s="703"/>
      <c r="AF991" s="703"/>
      <c r="AG991" s="703"/>
      <c r="AH991" s="703"/>
      <c r="AI991" s="703"/>
      <c r="AJ991" s="703"/>
      <c r="AK991" s="703"/>
      <c r="AL991" s="703"/>
      <c r="AM991" s="703"/>
      <c r="AN991" s="703"/>
      <c r="AO991" s="704"/>
      <c r="AP991" s="705"/>
      <c r="AQ991" s="698"/>
      <c r="AS991" s="220"/>
      <c r="AV991" s="699"/>
      <c r="AW991" s="700"/>
      <c r="AX991" s="382"/>
      <c r="AY991" s="379"/>
      <c r="AZ991" s="384"/>
      <c r="BA991" s="642"/>
    </row>
    <row r="992" spans="1:53" ht="11.25" hidden="1" customHeight="1" x14ac:dyDescent="0.2">
      <c r="A992" s="867"/>
      <c r="C992" s="701"/>
      <c r="D992" s="702"/>
      <c r="E992" s="703"/>
      <c r="F992" s="703"/>
      <c r="G992" s="703"/>
      <c r="H992" s="703"/>
      <c r="I992" s="703"/>
      <c r="J992" s="703"/>
      <c r="K992" s="703"/>
      <c r="L992" s="703"/>
      <c r="M992" s="703"/>
      <c r="N992" s="703"/>
      <c r="O992" s="703"/>
      <c r="P992" s="703"/>
      <c r="Q992" s="703"/>
      <c r="R992" s="703"/>
      <c r="S992" s="703"/>
      <c r="T992" s="703"/>
      <c r="U992" s="703"/>
      <c r="V992" s="703"/>
      <c r="W992" s="703"/>
      <c r="X992" s="703"/>
      <c r="Y992" s="703"/>
      <c r="Z992" s="703"/>
      <c r="AA992" s="703"/>
      <c r="AB992" s="703"/>
      <c r="AC992" s="703"/>
      <c r="AD992" s="703"/>
      <c r="AE992" s="703"/>
      <c r="AF992" s="703"/>
      <c r="AG992" s="703"/>
      <c r="AH992" s="703"/>
      <c r="AI992" s="703"/>
      <c r="AJ992" s="703"/>
      <c r="AK992" s="703"/>
      <c r="AL992" s="703"/>
      <c r="AM992" s="703"/>
      <c r="AN992" s="703"/>
      <c r="AO992" s="704"/>
      <c r="AP992" s="705"/>
      <c r="AQ992" s="698"/>
      <c r="AS992" s="220"/>
      <c r="AV992" s="699"/>
      <c r="AW992" s="700"/>
      <c r="AX992" s="382"/>
      <c r="AY992" s="379"/>
      <c r="AZ992" s="384"/>
      <c r="BA992" s="642"/>
    </row>
    <row r="993" spans="1:54" ht="11.25" hidden="1" customHeight="1" x14ac:dyDescent="0.2">
      <c r="A993" s="867"/>
      <c r="C993" s="701"/>
      <c r="D993" s="702"/>
      <c r="E993" s="703"/>
      <c r="F993" s="703"/>
      <c r="G993" s="703"/>
      <c r="H993" s="703"/>
      <c r="I993" s="703"/>
      <c r="J993" s="703"/>
      <c r="K993" s="703"/>
      <c r="L993" s="703"/>
      <c r="M993" s="703"/>
      <c r="N993" s="703"/>
      <c r="O993" s="703"/>
      <c r="P993" s="703"/>
      <c r="Q993" s="703"/>
      <c r="R993" s="703"/>
      <c r="S993" s="703"/>
      <c r="T993" s="703"/>
      <c r="U993" s="703"/>
      <c r="V993" s="703"/>
      <c r="W993" s="703"/>
      <c r="X993" s="703"/>
      <c r="Y993" s="703"/>
      <c r="Z993" s="703"/>
      <c r="AA993" s="703"/>
      <c r="AB993" s="703"/>
      <c r="AC993" s="703"/>
      <c r="AD993" s="703"/>
      <c r="AE993" s="703"/>
      <c r="AF993" s="703"/>
      <c r="AG993" s="703"/>
      <c r="AH993" s="703"/>
      <c r="AI993" s="703"/>
      <c r="AJ993" s="703"/>
      <c r="AK993" s="703"/>
      <c r="AL993" s="703"/>
      <c r="AM993" s="703"/>
      <c r="AN993" s="703"/>
      <c r="AO993" s="704"/>
      <c r="AP993" s="705"/>
      <c r="AQ993" s="698"/>
      <c r="AS993" s="220"/>
      <c r="AV993" s="699"/>
      <c r="AW993" s="700"/>
      <c r="AX993" s="382"/>
      <c r="AY993" s="379"/>
      <c r="AZ993" s="384"/>
      <c r="BA993" s="642"/>
    </row>
    <row r="994" spans="1:54" ht="11.25" hidden="1" customHeight="1" x14ac:dyDescent="0.2">
      <c r="A994" s="867"/>
      <c r="C994" s="701"/>
      <c r="D994" s="702"/>
      <c r="E994" s="703"/>
      <c r="F994" s="703"/>
      <c r="G994" s="703"/>
      <c r="H994" s="703"/>
      <c r="I994" s="703"/>
      <c r="J994" s="703"/>
      <c r="K994" s="703"/>
      <c r="L994" s="703"/>
      <c r="M994" s="703"/>
      <c r="N994" s="703"/>
      <c r="O994" s="703"/>
      <c r="P994" s="703"/>
      <c r="Q994" s="703"/>
      <c r="R994" s="703"/>
      <c r="S994" s="703"/>
      <c r="T994" s="703"/>
      <c r="U994" s="703"/>
      <c r="V994" s="703"/>
      <c r="W994" s="703"/>
      <c r="X994" s="703"/>
      <c r="Y994" s="703"/>
      <c r="Z994" s="703"/>
      <c r="AA994" s="703"/>
      <c r="AB994" s="703"/>
      <c r="AC994" s="703"/>
      <c r="AD994" s="703"/>
      <c r="AE994" s="703"/>
      <c r="AF994" s="703"/>
      <c r="AG994" s="703"/>
      <c r="AH994" s="703"/>
      <c r="AI994" s="703"/>
      <c r="AJ994" s="703"/>
      <c r="AK994" s="703"/>
      <c r="AL994" s="703"/>
      <c r="AM994" s="703"/>
      <c r="AN994" s="703"/>
      <c r="AO994" s="704"/>
      <c r="AP994" s="705"/>
      <c r="AQ994" s="698"/>
      <c r="AS994" s="220"/>
      <c r="AV994" s="699"/>
      <c r="AW994" s="700"/>
      <c r="AX994" s="382"/>
      <c r="AY994" s="379"/>
      <c r="AZ994" s="384"/>
      <c r="BA994" s="642"/>
    </row>
    <row r="995" spans="1:54" ht="11.25" hidden="1" customHeight="1" x14ac:dyDescent="0.2">
      <c r="A995" s="867"/>
      <c r="C995" s="701"/>
      <c r="D995" s="702"/>
      <c r="E995" s="703"/>
      <c r="F995" s="703"/>
      <c r="G995" s="703"/>
      <c r="H995" s="703"/>
      <c r="I995" s="703"/>
      <c r="J995" s="703"/>
      <c r="K995" s="703"/>
      <c r="L995" s="703"/>
      <c r="M995" s="703"/>
      <c r="N995" s="703"/>
      <c r="O995" s="703"/>
      <c r="P995" s="703"/>
      <c r="Q995" s="703"/>
      <c r="R995" s="703"/>
      <c r="S995" s="703"/>
      <c r="T995" s="703"/>
      <c r="U995" s="703"/>
      <c r="V995" s="703"/>
      <c r="W995" s="703"/>
      <c r="X995" s="703"/>
      <c r="Y995" s="703"/>
      <c r="Z995" s="703"/>
      <c r="AA995" s="703"/>
      <c r="AB995" s="703"/>
      <c r="AC995" s="703"/>
      <c r="AD995" s="703"/>
      <c r="AE995" s="703"/>
      <c r="AF995" s="703"/>
      <c r="AG995" s="703"/>
      <c r="AH995" s="703"/>
      <c r="AI995" s="703"/>
      <c r="AJ995" s="703"/>
      <c r="AK995" s="703"/>
      <c r="AL995" s="703"/>
      <c r="AM995" s="703"/>
      <c r="AN995" s="703"/>
      <c r="AO995" s="704"/>
      <c r="AP995" s="705"/>
      <c r="AQ995" s="698"/>
      <c r="AS995" s="220"/>
      <c r="AV995" s="699"/>
      <c r="AW995" s="700"/>
      <c r="AX995" s="382"/>
      <c r="AY995" s="379"/>
      <c r="AZ995" s="384"/>
      <c r="BA995" s="642"/>
    </row>
    <row r="996" spans="1:54" ht="11.25" hidden="1" customHeight="1" x14ac:dyDescent="0.2">
      <c r="A996" s="867"/>
      <c r="C996" s="706"/>
      <c r="D996" s="707"/>
      <c r="E996" s="708"/>
      <c r="F996" s="708"/>
      <c r="G996" s="708"/>
      <c r="H996" s="708"/>
      <c r="I996" s="708"/>
      <c r="J996" s="708"/>
      <c r="K996" s="708"/>
      <c r="L996" s="708"/>
      <c r="M996" s="708"/>
      <c r="N996" s="708"/>
      <c r="O996" s="708"/>
      <c r="P996" s="708"/>
      <c r="Q996" s="708"/>
      <c r="R996" s="708"/>
      <c r="S996" s="708"/>
      <c r="T996" s="708"/>
      <c r="U996" s="708"/>
      <c r="V996" s="708"/>
      <c r="W996" s="708"/>
      <c r="X996" s="708"/>
      <c r="Y996" s="708"/>
      <c r="Z996" s="708"/>
      <c r="AA996" s="708"/>
      <c r="AB996" s="708"/>
      <c r="AC996" s="708"/>
      <c r="AD996" s="708"/>
      <c r="AE996" s="708"/>
      <c r="AF996" s="708"/>
      <c r="AG996" s="708"/>
      <c r="AH996" s="708"/>
      <c r="AI996" s="708"/>
      <c r="AJ996" s="708"/>
      <c r="AK996" s="708"/>
      <c r="AL996" s="708"/>
      <c r="AM996" s="708"/>
      <c r="AN996" s="708"/>
      <c r="AO996" s="709"/>
      <c r="AP996" s="710"/>
      <c r="AQ996" s="698"/>
      <c r="AS996" s="220"/>
      <c r="AV996" s="699"/>
      <c r="AW996" s="700"/>
      <c r="AX996" s="382"/>
      <c r="AY996" s="379"/>
      <c r="AZ996" s="384"/>
      <c r="BA996" s="642"/>
    </row>
    <row r="997" spans="1:54" ht="13.5" hidden="1" customHeight="1" x14ac:dyDescent="0.2">
      <c r="A997" s="867"/>
      <c r="AV997" s="699"/>
      <c r="AW997" s="700"/>
      <c r="AX997" s="642"/>
      <c r="AY997" s="642"/>
      <c r="BA997" s="642"/>
    </row>
    <row r="998" spans="1:54" ht="1.5" hidden="1" customHeight="1" x14ac:dyDescent="0.2">
      <c r="A998" s="867"/>
      <c r="AV998" s="699"/>
      <c r="AW998" s="700"/>
    </row>
    <row r="999" spans="1:54" s="186" customFormat="1" ht="11.25" hidden="1" customHeight="1" x14ac:dyDescent="0.2">
      <c r="A999" s="867"/>
      <c r="AS999" s="672"/>
      <c r="AU999" s="669"/>
      <c r="AV999" s="699"/>
      <c r="AW999" s="700"/>
      <c r="AX999" s="643"/>
      <c r="AY999" s="643"/>
      <c r="AZ999" s="671"/>
      <c r="BA999" s="643"/>
      <c r="BB999" s="669"/>
    </row>
    <row r="1000" spans="1:54" s="673" customFormat="1" ht="13.5" hidden="1" customHeight="1" x14ac:dyDescent="0.2">
      <c r="A1000" s="867"/>
      <c r="D1000" s="674"/>
      <c r="E1000" s="674"/>
      <c r="F1000" s="674"/>
      <c r="G1000" s="674"/>
      <c r="H1000" s="674"/>
      <c r="I1000" s="674"/>
      <c r="J1000" s="674"/>
      <c r="K1000" s="674"/>
      <c r="L1000" s="674"/>
      <c r="M1000" s="674"/>
      <c r="N1000" s="674"/>
      <c r="O1000" s="674"/>
      <c r="P1000" s="674"/>
      <c r="Q1000" s="674"/>
      <c r="R1000" s="674"/>
      <c r="S1000" s="674"/>
      <c r="T1000" s="674"/>
      <c r="U1000" s="674"/>
      <c r="V1000" s="674"/>
      <c r="W1000" s="674"/>
      <c r="X1000" s="674"/>
      <c r="Y1000" s="674"/>
      <c r="Z1000" s="674"/>
      <c r="AA1000" s="674"/>
      <c r="AB1000" s="674"/>
      <c r="AC1000" s="674"/>
      <c r="AD1000" s="674"/>
      <c r="AE1000" s="674"/>
      <c r="AF1000" s="674"/>
      <c r="AG1000" s="674"/>
      <c r="AH1000" s="674"/>
      <c r="AI1000" s="674"/>
      <c r="AJ1000" s="674"/>
      <c r="AK1000" s="674"/>
      <c r="AL1000" s="674"/>
      <c r="AM1000" s="674"/>
      <c r="AN1000" s="674"/>
      <c r="AO1000" s="674"/>
      <c r="AP1000" s="674"/>
      <c r="AS1000" s="675"/>
      <c r="AU1000" s="643"/>
      <c r="AV1000" s="699"/>
      <c r="AW1000" s="700"/>
      <c r="AX1000" s="643"/>
      <c r="AY1000" s="643"/>
      <c r="AZ1000" s="671"/>
      <c r="BA1000" s="643"/>
      <c r="BB1000" s="643"/>
    </row>
    <row r="1001" spans="1:54" s="673" customFormat="1" ht="13.5" hidden="1" customHeight="1" x14ac:dyDescent="0.2">
      <c r="A1001" s="867"/>
      <c r="C1001" s="324"/>
      <c r="D1001" s="383"/>
      <c r="E1001" s="383"/>
      <c r="F1001" s="383"/>
      <c r="G1001" s="383"/>
      <c r="H1001" s="383"/>
      <c r="I1001" s="383"/>
      <c r="J1001" s="383"/>
      <c r="K1001" s="383"/>
      <c r="L1001" s="383"/>
      <c r="M1001" s="383"/>
      <c r="N1001" s="383"/>
      <c r="O1001" s="383"/>
      <c r="P1001" s="383"/>
      <c r="Q1001" s="383"/>
      <c r="R1001" s="383"/>
      <c r="S1001" s="383"/>
      <c r="T1001" s="383"/>
      <c r="U1001" s="383"/>
      <c r="V1001" s="383"/>
      <c r="W1001" s="383"/>
      <c r="X1001" s="383"/>
      <c r="Y1001" s="383"/>
      <c r="Z1001" s="383"/>
      <c r="AA1001" s="383"/>
      <c r="AB1001" s="383"/>
      <c r="AC1001" s="383"/>
      <c r="AD1001" s="383"/>
      <c r="AE1001" s="383"/>
      <c r="AF1001" s="383"/>
      <c r="AG1001" s="383"/>
      <c r="AH1001" s="383"/>
      <c r="AI1001" s="383"/>
      <c r="AJ1001" s="383"/>
      <c r="AK1001" s="383"/>
      <c r="AL1001" s="383"/>
      <c r="AM1001" s="383"/>
      <c r="AN1001" s="383"/>
      <c r="AO1001" s="383"/>
      <c r="AP1001" s="674"/>
      <c r="AS1001" s="675"/>
      <c r="AU1001" s="643"/>
      <c r="AV1001" s="699"/>
      <c r="AW1001" s="700"/>
      <c r="AX1001" s="643"/>
      <c r="AY1001" s="643"/>
      <c r="AZ1001" s="671"/>
      <c r="BA1001" s="643"/>
      <c r="BB1001" s="643"/>
    </row>
    <row r="1002" spans="1:54" s="673" customFormat="1" ht="13.5" hidden="1" customHeight="1" x14ac:dyDescent="0.2">
      <c r="A1002" s="867"/>
      <c r="D1002" s="383"/>
      <c r="E1002" s="383"/>
      <c r="F1002" s="383"/>
      <c r="G1002" s="383"/>
      <c r="H1002" s="383"/>
      <c r="I1002" s="383"/>
      <c r="J1002" s="383"/>
      <c r="K1002" s="383"/>
      <c r="L1002" s="383"/>
      <c r="M1002" s="383"/>
      <c r="N1002" s="383"/>
      <c r="O1002" s="383"/>
      <c r="P1002" s="383"/>
      <c r="Q1002" s="383"/>
      <c r="R1002" s="383"/>
      <c r="S1002" s="383"/>
      <c r="T1002" s="383"/>
      <c r="U1002" s="383"/>
      <c r="V1002" s="383"/>
      <c r="W1002" s="383"/>
      <c r="X1002" s="383"/>
      <c r="Y1002" s="383"/>
      <c r="Z1002" s="383"/>
      <c r="AA1002" s="383"/>
      <c r="AB1002" s="383"/>
      <c r="AC1002" s="383"/>
      <c r="AD1002" s="383"/>
      <c r="AE1002" s="383"/>
      <c r="AF1002" s="383"/>
      <c r="AG1002" s="383"/>
      <c r="AH1002" s="383"/>
      <c r="AI1002" s="383"/>
      <c r="AJ1002" s="383"/>
      <c r="AK1002" s="383"/>
      <c r="AL1002" s="383"/>
      <c r="AM1002" s="383"/>
      <c r="AN1002" s="383"/>
      <c r="AO1002" s="383"/>
      <c r="AP1002" s="674"/>
      <c r="AS1002" s="675"/>
      <c r="AU1002" s="643"/>
      <c r="AV1002" s="699"/>
      <c r="AW1002" s="700"/>
      <c r="AX1002" s="643"/>
      <c r="AY1002" s="643"/>
      <c r="AZ1002" s="671"/>
      <c r="BA1002" s="643"/>
      <c r="BB1002" s="643"/>
    </row>
    <row r="1003" spans="1:54" s="673" customFormat="1" ht="13.5" hidden="1" customHeight="1" x14ac:dyDescent="0.2">
      <c r="A1003" s="867"/>
      <c r="D1003" s="676"/>
      <c r="E1003" s="676"/>
      <c r="F1003" s="676"/>
      <c r="G1003" s="676"/>
      <c r="H1003" s="676"/>
      <c r="I1003" s="676"/>
      <c r="J1003" s="676"/>
      <c r="K1003" s="676"/>
      <c r="L1003" s="676"/>
      <c r="M1003" s="676"/>
      <c r="N1003" s="676"/>
      <c r="O1003" s="676"/>
      <c r="P1003" s="676"/>
      <c r="Q1003" s="676"/>
      <c r="R1003" s="676"/>
      <c r="S1003" s="676"/>
      <c r="T1003" s="676"/>
      <c r="U1003" s="676"/>
      <c r="V1003" s="676"/>
      <c r="W1003" s="676"/>
      <c r="X1003" s="676"/>
      <c r="Y1003" s="676"/>
      <c r="Z1003" s="676"/>
      <c r="AA1003" s="676"/>
      <c r="AB1003" s="676"/>
      <c r="AC1003" s="676"/>
      <c r="AD1003" s="676"/>
      <c r="AE1003" s="676"/>
      <c r="AF1003" s="676"/>
      <c r="AG1003" s="676"/>
      <c r="AH1003" s="676"/>
      <c r="AI1003" s="676"/>
      <c r="AJ1003" s="676"/>
      <c r="AK1003" s="676"/>
      <c r="AL1003" s="676"/>
      <c r="AM1003" s="676"/>
      <c r="AN1003" s="676"/>
      <c r="AO1003" s="676"/>
      <c r="AP1003" s="674"/>
      <c r="AS1003" s="675"/>
      <c r="AU1003" s="643"/>
      <c r="AV1003" s="699"/>
      <c r="AW1003" s="700"/>
      <c r="AX1003" s="643"/>
      <c r="AY1003" s="643"/>
      <c r="AZ1003" s="671"/>
      <c r="BA1003" s="643"/>
      <c r="BB1003" s="643"/>
    </row>
    <row r="1004" spans="1:54" s="673" customFormat="1" ht="13.5" hidden="1" customHeight="1" x14ac:dyDescent="0.2">
      <c r="A1004" s="867"/>
      <c r="D1004" s="677"/>
      <c r="E1004" s="677"/>
      <c r="F1004" s="677"/>
      <c r="G1004" s="677"/>
      <c r="H1004" s="677"/>
      <c r="I1004" s="677"/>
      <c r="J1004" s="677"/>
      <c r="K1004" s="677"/>
      <c r="L1004" s="677"/>
      <c r="M1004" s="677"/>
      <c r="N1004" s="677"/>
      <c r="O1004" s="677"/>
      <c r="P1004" s="677"/>
      <c r="Q1004" s="677"/>
      <c r="R1004" s="677"/>
      <c r="S1004" s="677"/>
      <c r="T1004" s="677"/>
      <c r="U1004" s="677"/>
      <c r="V1004" s="677"/>
      <c r="W1004" s="677"/>
      <c r="X1004" s="677"/>
      <c r="Y1004" s="677"/>
      <c r="Z1004" s="677"/>
      <c r="AA1004" s="677"/>
      <c r="AB1004" s="677"/>
      <c r="AC1004" s="677"/>
      <c r="AD1004" s="677"/>
      <c r="AE1004" s="677"/>
      <c r="AF1004" s="677"/>
      <c r="AG1004" s="677"/>
      <c r="AH1004" s="677"/>
      <c r="AI1004" s="677"/>
      <c r="AJ1004" s="677"/>
      <c r="AK1004" s="677"/>
      <c r="AL1004" s="677"/>
      <c r="AM1004" s="677"/>
      <c r="AN1004" s="677"/>
      <c r="AO1004" s="677"/>
      <c r="AP1004" s="674"/>
      <c r="AS1004" s="675"/>
      <c r="AU1004" s="643"/>
      <c r="AV1004" s="699"/>
      <c r="AW1004" s="700"/>
      <c r="AY1004" s="643"/>
      <c r="AZ1004" s="671"/>
      <c r="BA1004" s="643"/>
      <c r="BB1004" s="643"/>
    </row>
    <row r="1005" spans="1:54" s="673" customFormat="1" ht="13.5" hidden="1" customHeight="1" x14ac:dyDescent="0.2">
      <c r="A1005" s="867"/>
      <c r="D1005" s="677"/>
      <c r="E1005" s="677"/>
      <c r="F1005" s="677"/>
      <c r="G1005" s="677"/>
      <c r="H1005" s="677"/>
      <c r="I1005" s="677"/>
      <c r="J1005" s="677"/>
      <c r="K1005" s="677"/>
      <c r="L1005" s="677"/>
      <c r="M1005" s="677"/>
      <c r="N1005" s="677"/>
      <c r="O1005" s="677"/>
      <c r="P1005" s="677"/>
      <c r="Q1005" s="677"/>
      <c r="R1005" s="677"/>
      <c r="S1005" s="677"/>
      <c r="T1005" s="677"/>
      <c r="U1005" s="677"/>
      <c r="V1005" s="677"/>
      <c r="W1005" s="677"/>
      <c r="X1005" s="677"/>
      <c r="Y1005" s="677"/>
      <c r="Z1005" s="677"/>
      <c r="AA1005" s="677"/>
      <c r="AB1005" s="677"/>
      <c r="AC1005" s="677"/>
      <c r="AD1005" s="677"/>
      <c r="AE1005" s="677"/>
      <c r="AF1005" s="677"/>
      <c r="AG1005" s="677"/>
      <c r="AH1005" s="677"/>
      <c r="AI1005" s="677"/>
      <c r="AJ1005" s="677"/>
      <c r="AK1005" s="677"/>
      <c r="AL1005" s="677"/>
      <c r="AM1005" s="677"/>
      <c r="AN1005" s="677"/>
      <c r="AO1005" s="677"/>
      <c r="AP1005" s="674"/>
      <c r="AS1005" s="675"/>
      <c r="AU1005" s="643"/>
      <c r="AV1005" s="699"/>
      <c r="AW1005" s="700"/>
      <c r="AX1005" s="643"/>
      <c r="AY1005" s="643"/>
      <c r="AZ1005" s="671"/>
      <c r="BA1005" s="643"/>
      <c r="BB1005" s="643"/>
    </row>
    <row r="1006" spans="1:54" s="673" customFormat="1" ht="13.5" hidden="1" customHeight="1" x14ac:dyDescent="0.2">
      <c r="A1006" s="867"/>
      <c r="D1006" s="674"/>
      <c r="E1006" s="674"/>
      <c r="F1006" s="674"/>
      <c r="G1006" s="674"/>
      <c r="H1006" s="674"/>
      <c r="I1006" s="674"/>
      <c r="J1006" s="674"/>
      <c r="K1006" s="674"/>
      <c r="L1006" s="674"/>
      <c r="M1006" s="674"/>
      <c r="N1006" s="674"/>
      <c r="O1006" s="674"/>
      <c r="P1006" s="674"/>
      <c r="Q1006" s="674"/>
      <c r="R1006" s="674"/>
      <c r="S1006" s="674"/>
      <c r="T1006" s="674"/>
      <c r="U1006" s="674"/>
      <c r="V1006" s="674"/>
      <c r="W1006" s="674"/>
      <c r="X1006" s="674"/>
      <c r="Y1006" s="674"/>
      <c r="Z1006" s="674"/>
      <c r="AA1006" s="674"/>
      <c r="AB1006" s="674"/>
      <c r="AC1006" s="674"/>
      <c r="AD1006" s="674"/>
      <c r="AE1006" s="674"/>
      <c r="AF1006" s="674"/>
      <c r="AG1006" s="674"/>
      <c r="AH1006" s="674"/>
      <c r="AI1006" s="674"/>
      <c r="AJ1006" s="674"/>
      <c r="AK1006" s="674"/>
      <c r="AL1006" s="674"/>
      <c r="AM1006" s="674"/>
      <c r="AN1006" s="674"/>
      <c r="AO1006" s="674"/>
      <c r="AP1006" s="674"/>
      <c r="AS1006" s="675"/>
      <c r="AU1006" s="643"/>
      <c r="AV1006" s="699"/>
      <c r="AW1006" s="700"/>
      <c r="AX1006" s="643"/>
      <c r="AY1006" s="643"/>
      <c r="AZ1006" s="671"/>
      <c r="BA1006" s="643"/>
      <c r="BB1006" s="643"/>
    </row>
    <row r="1007" spans="1:54" s="673" customFormat="1" ht="13.5" hidden="1" customHeight="1" x14ac:dyDescent="0.2">
      <c r="A1007" s="867"/>
      <c r="D1007" s="674"/>
      <c r="E1007" s="674"/>
      <c r="F1007" s="674"/>
      <c r="G1007" s="674"/>
      <c r="H1007" s="674"/>
      <c r="I1007" s="674"/>
      <c r="J1007" s="674"/>
      <c r="K1007" s="674"/>
      <c r="L1007" s="674"/>
      <c r="M1007" s="674"/>
      <c r="N1007" s="674"/>
      <c r="O1007" s="674"/>
      <c r="P1007" s="674"/>
      <c r="Q1007" s="674"/>
      <c r="R1007" s="674"/>
      <c r="S1007" s="674"/>
      <c r="T1007" s="674"/>
      <c r="U1007" s="674"/>
      <c r="V1007" s="674"/>
      <c r="W1007" s="674"/>
      <c r="X1007" s="674"/>
      <c r="Y1007" s="674"/>
      <c r="Z1007" s="674"/>
      <c r="AA1007" s="674"/>
      <c r="AB1007" s="674"/>
      <c r="AC1007" s="674"/>
      <c r="AD1007" s="674"/>
      <c r="AE1007" s="674"/>
      <c r="AF1007" s="674"/>
      <c r="AG1007" s="674"/>
      <c r="AH1007" s="674"/>
      <c r="AI1007" s="674"/>
      <c r="AJ1007" s="674"/>
      <c r="AK1007" s="674"/>
      <c r="AL1007" s="674"/>
      <c r="AM1007" s="674"/>
      <c r="AN1007" s="674"/>
      <c r="AO1007" s="674"/>
      <c r="AP1007" s="674"/>
      <c r="AS1007" s="675"/>
      <c r="AU1007" s="643"/>
      <c r="AV1007" s="699"/>
      <c r="AW1007" s="700"/>
      <c r="AX1007" s="643"/>
      <c r="AY1007" s="643"/>
      <c r="AZ1007" s="671"/>
      <c r="BA1007" s="643"/>
      <c r="BB1007" s="643"/>
    </row>
    <row r="1008" spans="1:54" s="673" customFormat="1" ht="13.5" hidden="1" customHeight="1" x14ac:dyDescent="0.2">
      <c r="A1008" s="867"/>
      <c r="D1008" s="674"/>
      <c r="E1008" s="674"/>
      <c r="F1008" s="674"/>
      <c r="G1008" s="674"/>
      <c r="H1008" s="674"/>
      <c r="I1008" s="674"/>
      <c r="J1008" s="674"/>
      <c r="K1008" s="674"/>
      <c r="L1008" s="674"/>
      <c r="M1008" s="674"/>
      <c r="N1008" s="674"/>
      <c r="O1008" s="674"/>
      <c r="P1008" s="674"/>
      <c r="Q1008" s="674"/>
      <c r="R1008" s="674"/>
      <c r="S1008" s="674"/>
      <c r="T1008" s="674"/>
      <c r="U1008" s="674"/>
      <c r="V1008" s="674"/>
      <c r="W1008" s="674"/>
      <c r="X1008" s="674"/>
      <c r="Y1008" s="674"/>
      <c r="Z1008" s="674"/>
      <c r="AA1008" s="674"/>
      <c r="AB1008" s="674"/>
      <c r="AC1008" s="674"/>
      <c r="AD1008" s="674"/>
      <c r="AE1008" s="674"/>
      <c r="AF1008" s="674"/>
      <c r="AG1008" s="674"/>
      <c r="AH1008" s="674"/>
      <c r="AI1008" s="674"/>
      <c r="AJ1008" s="674"/>
      <c r="AK1008" s="674"/>
      <c r="AL1008" s="674"/>
      <c r="AM1008" s="674"/>
      <c r="AN1008" s="674"/>
      <c r="AO1008" s="674"/>
      <c r="AP1008" s="674"/>
      <c r="AS1008" s="675"/>
      <c r="AU1008" s="643"/>
      <c r="AV1008" s="699"/>
      <c r="AW1008" s="700"/>
      <c r="AX1008" s="643"/>
      <c r="AY1008" s="643"/>
      <c r="AZ1008" s="671"/>
      <c r="BA1008" s="643"/>
      <c r="BB1008" s="643"/>
    </row>
    <row r="1009" spans="1:54" s="673" customFormat="1" ht="13.5" hidden="1" customHeight="1" x14ac:dyDescent="0.2">
      <c r="A1009" s="867"/>
      <c r="D1009" s="674"/>
      <c r="E1009" s="674"/>
      <c r="F1009" s="674"/>
      <c r="G1009" s="674"/>
      <c r="H1009" s="674"/>
      <c r="I1009" s="674"/>
      <c r="J1009" s="674"/>
      <c r="K1009" s="674"/>
      <c r="L1009" s="674"/>
      <c r="M1009" s="674"/>
      <c r="N1009" s="674"/>
      <c r="O1009" s="674"/>
      <c r="P1009" s="674"/>
      <c r="Q1009" s="674"/>
      <c r="R1009" s="674"/>
      <c r="S1009" s="674"/>
      <c r="T1009" s="674"/>
      <c r="U1009" s="674"/>
      <c r="V1009" s="674"/>
      <c r="W1009" s="674"/>
      <c r="X1009" s="674"/>
      <c r="Y1009" s="674"/>
      <c r="Z1009" s="674"/>
      <c r="AA1009" s="674"/>
      <c r="AB1009" s="674"/>
      <c r="AC1009" s="674"/>
      <c r="AD1009" s="674"/>
      <c r="AE1009" s="674"/>
      <c r="AF1009" s="674"/>
      <c r="AG1009" s="674"/>
      <c r="AH1009" s="674"/>
      <c r="AI1009" s="674"/>
      <c r="AJ1009" s="674"/>
      <c r="AK1009" s="674"/>
      <c r="AL1009" s="674"/>
      <c r="AM1009" s="674"/>
      <c r="AN1009" s="674"/>
      <c r="AO1009" s="674"/>
      <c r="AP1009" s="674"/>
      <c r="AS1009" s="675"/>
      <c r="AU1009" s="643"/>
      <c r="AV1009" s="699"/>
      <c r="AW1009" s="700"/>
      <c r="AX1009" s="643"/>
      <c r="AY1009" s="643"/>
      <c r="AZ1009" s="671"/>
      <c r="BA1009" s="643"/>
      <c r="BB1009" s="643"/>
    </row>
    <row r="1010" spans="1:54" s="673" customFormat="1" ht="13.5" hidden="1" customHeight="1" x14ac:dyDescent="0.2">
      <c r="A1010" s="867"/>
      <c r="D1010" s="674"/>
      <c r="E1010" s="674"/>
      <c r="F1010" s="674"/>
      <c r="G1010" s="674"/>
      <c r="H1010" s="674"/>
      <c r="I1010" s="674"/>
      <c r="J1010" s="674"/>
      <c r="K1010" s="674"/>
      <c r="L1010" s="674"/>
      <c r="M1010" s="674"/>
      <c r="N1010" s="674"/>
      <c r="O1010" s="674"/>
      <c r="P1010" s="674"/>
      <c r="Q1010" s="674"/>
      <c r="R1010" s="674"/>
      <c r="S1010" s="674"/>
      <c r="T1010" s="674"/>
      <c r="U1010" s="674"/>
      <c r="V1010" s="674"/>
      <c r="W1010" s="674"/>
      <c r="X1010" s="674"/>
      <c r="Y1010" s="674"/>
      <c r="Z1010" s="674"/>
      <c r="AA1010" s="674"/>
      <c r="AB1010" s="674"/>
      <c r="AC1010" s="674"/>
      <c r="AD1010" s="674"/>
      <c r="AE1010" s="674"/>
      <c r="AF1010" s="674"/>
      <c r="AG1010" s="674"/>
      <c r="AH1010" s="674"/>
      <c r="AI1010" s="674"/>
      <c r="AJ1010" s="674"/>
      <c r="AK1010" s="674"/>
      <c r="AL1010" s="674"/>
      <c r="AM1010" s="674"/>
      <c r="AN1010" s="674"/>
      <c r="AO1010" s="674"/>
      <c r="AP1010" s="674"/>
      <c r="AS1010" s="675"/>
      <c r="AU1010" s="643"/>
      <c r="AV1010" s="699"/>
      <c r="AW1010" s="700"/>
      <c r="AX1010" s="643"/>
      <c r="AY1010" s="643"/>
      <c r="AZ1010" s="671"/>
      <c r="BA1010" s="643"/>
      <c r="BB1010" s="643"/>
    </row>
    <row r="1011" spans="1:54" s="186" customFormat="1" ht="11.25" hidden="1" customHeight="1" x14ac:dyDescent="0.2">
      <c r="A1011" s="867"/>
      <c r="D1011" s="678"/>
      <c r="E1011" s="678"/>
      <c r="F1011" s="678"/>
      <c r="G1011" s="678"/>
      <c r="H1011" s="678"/>
      <c r="I1011" s="678"/>
      <c r="J1011" s="678"/>
      <c r="K1011" s="678"/>
      <c r="L1011" s="678"/>
      <c r="M1011" s="678"/>
      <c r="N1011" s="678"/>
      <c r="O1011" s="678"/>
      <c r="P1011" s="678"/>
      <c r="Q1011" s="678"/>
      <c r="R1011" s="678"/>
      <c r="S1011" s="678"/>
      <c r="T1011" s="678"/>
      <c r="U1011" s="678"/>
      <c r="V1011" s="678"/>
      <c r="W1011" s="678"/>
      <c r="X1011" s="678"/>
      <c r="Y1011" s="678"/>
      <c r="Z1011" s="678"/>
      <c r="AA1011" s="678"/>
      <c r="AB1011" s="678"/>
      <c r="AC1011" s="678"/>
      <c r="AD1011" s="678"/>
      <c r="AE1011" s="678"/>
      <c r="AF1011" s="678"/>
      <c r="AG1011" s="678"/>
      <c r="AH1011" s="678"/>
      <c r="AI1011" s="678"/>
      <c r="AJ1011" s="678"/>
      <c r="AK1011" s="678"/>
      <c r="AL1011" s="678"/>
      <c r="AM1011" s="678"/>
      <c r="AN1011" s="678"/>
      <c r="AO1011" s="678"/>
      <c r="AP1011" s="678"/>
      <c r="AS1011" s="672"/>
      <c r="AU1011" s="669"/>
      <c r="AV1011" s="699"/>
      <c r="AW1011" s="700"/>
      <c r="AX1011" s="643"/>
      <c r="AY1011" s="643"/>
      <c r="AZ1011" s="671"/>
      <c r="BA1011" s="643"/>
      <c r="BB1011" s="669"/>
    </row>
    <row r="1012" spans="1:54" ht="26.25" hidden="1" customHeight="1" x14ac:dyDescent="0.2">
      <c r="A1012" s="867"/>
      <c r="C1012" s="679"/>
      <c r="D1012" s="680"/>
      <c r="E1012" s="680"/>
      <c r="F1012" s="680"/>
      <c r="G1012" s="680"/>
      <c r="H1012" s="680"/>
      <c r="I1012" s="680"/>
      <c r="J1012" s="680"/>
      <c r="K1012" s="680"/>
      <c r="L1012" s="680"/>
      <c r="M1012" s="680"/>
      <c r="N1012" s="680"/>
      <c r="O1012" s="680"/>
      <c r="P1012" s="680"/>
      <c r="Q1012" s="680"/>
      <c r="R1012" s="680"/>
      <c r="S1012" s="680"/>
      <c r="T1012" s="680"/>
      <c r="U1012" s="680"/>
      <c r="V1012" s="680"/>
      <c r="W1012" s="680"/>
      <c r="X1012" s="680"/>
      <c r="Y1012" s="680"/>
      <c r="Z1012" s="680"/>
      <c r="AA1012" s="680"/>
      <c r="AB1012" s="680"/>
      <c r="AC1012" s="680"/>
      <c r="AD1012" s="680"/>
      <c r="AE1012" s="680"/>
      <c r="AF1012" s="680"/>
      <c r="AG1012" s="680"/>
      <c r="AH1012" s="680"/>
      <c r="AI1012" s="680"/>
      <c r="AJ1012" s="680"/>
      <c r="AK1012" s="680"/>
      <c r="AL1012" s="680"/>
      <c r="AM1012" s="680"/>
      <c r="AN1012" s="680"/>
      <c r="AO1012" s="680"/>
      <c r="AP1012" s="868"/>
      <c r="AV1012" s="699"/>
      <c r="AW1012" s="700"/>
    </row>
    <row r="1013" spans="1:54" ht="11.25" hidden="1" customHeight="1" x14ac:dyDescent="0.2">
      <c r="A1013" s="867"/>
      <c r="C1013" s="681"/>
      <c r="D1013" s="682"/>
      <c r="E1013" s="682"/>
      <c r="F1013" s="682"/>
      <c r="G1013" s="682"/>
      <c r="H1013" s="682"/>
      <c r="I1013" s="682"/>
      <c r="J1013" s="682"/>
      <c r="K1013" s="682"/>
      <c r="L1013" s="682"/>
      <c r="M1013" s="682"/>
      <c r="N1013" s="682"/>
      <c r="O1013" s="682"/>
      <c r="P1013" s="682"/>
      <c r="Q1013" s="682"/>
      <c r="R1013" s="682"/>
      <c r="S1013" s="682"/>
      <c r="T1013" s="682"/>
      <c r="U1013" s="682"/>
      <c r="V1013" s="682"/>
      <c r="W1013" s="682"/>
      <c r="X1013" s="682"/>
      <c r="Y1013" s="682"/>
      <c r="Z1013" s="682"/>
      <c r="AA1013" s="682"/>
      <c r="AB1013" s="682"/>
      <c r="AC1013" s="682"/>
      <c r="AD1013" s="682"/>
      <c r="AE1013" s="682"/>
      <c r="AF1013" s="682"/>
      <c r="AG1013" s="682"/>
      <c r="AH1013" s="682"/>
      <c r="AI1013" s="682"/>
      <c r="AJ1013" s="682"/>
      <c r="AK1013" s="682"/>
      <c r="AL1013" s="682"/>
      <c r="AM1013" s="682"/>
      <c r="AN1013" s="682"/>
      <c r="AO1013" s="682"/>
      <c r="AP1013" s="868"/>
      <c r="AQ1013" s="683"/>
      <c r="AV1013" s="699"/>
      <c r="AW1013" s="700"/>
    </row>
    <row r="1014" spans="1:54" ht="11.25" hidden="1" customHeight="1" x14ac:dyDescent="0.2">
      <c r="A1014" s="867"/>
      <c r="C1014" s="684"/>
      <c r="D1014" s="685"/>
      <c r="E1014" s="686"/>
      <c r="F1014" s="686"/>
      <c r="G1014" s="686"/>
      <c r="H1014" s="686"/>
      <c r="I1014" s="686"/>
      <c r="J1014" s="686"/>
      <c r="K1014" s="686"/>
      <c r="L1014" s="686"/>
      <c r="M1014" s="686"/>
      <c r="N1014" s="686"/>
      <c r="O1014" s="686"/>
      <c r="P1014" s="686"/>
      <c r="Q1014" s="686"/>
      <c r="R1014" s="686"/>
      <c r="S1014" s="686"/>
      <c r="T1014" s="686"/>
      <c r="U1014" s="686"/>
      <c r="V1014" s="686"/>
      <c r="W1014" s="686"/>
      <c r="X1014" s="686"/>
      <c r="Y1014" s="686"/>
      <c r="Z1014" s="686"/>
      <c r="AA1014" s="686"/>
      <c r="AB1014" s="686"/>
      <c r="AC1014" s="686"/>
      <c r="AD1014" s="686"/>
      <c r="AE1014" s="686"/>
      <c r="AF1014" s="686"/>
      <c r="AG1014" s="686"/>
      <c r="AH1014" s="686"/>
      <c r="AI1014" s="686"/>
      <c r="AJ1014" s="686"/>
      <c r="AK1014" s="686"/>
      <c r="AL1014" s="686"/>
      <c r="AM1014" s="686"/>
      <c r="AN1014" s="686"/>
      <c r="AO1014" s="687"/>
      <c r="AP1014" s="868"/>
      <c r="AQ1014" s="688"/>
      <c r="AV1014" s="699"/>
      <c r="AW1014" s="700"/>
    </row>
    <row r="1015" spans="1:54" ht="11.25" hidden="1" customHeight="1" x14ac:dyDescent="0.2">
      <c r="A1015" s="867"/>
      <c r="C1015" s="689"/>
      <c r="D1015" s="690"/>
      <c r="E1015" s="690"/>
      <c r="F1015" s="690"/>
      <c r="G1015" s="690"/>
      <c r="H1015" s="690"/>
      <c r="I1015" s="690"/>
      <c r="J1015" s="690"/>
      <c r="K1015" s="690"/>
      <c r="L1015" s="690"/>
      <c r="M1015" s="690"/>
      <c r="N1015" s="690"/>
      <c r="O1015" s="690"/>
      <c r="P1015" s="690"/>
      <c r="Q1015" s="690"/>
      <c r="R1015" s="690"/>
      <c r="S1015" s="690"/>
      <c r="T1015" s="690"/>
      <c r="U1015" s="690"/>
      <c r="V1015" s="690"/>
      <c r="W1015" s="690"/>
      <c r="X1015" s="690"/>
      <c r="Y1015" s="690"/>
      <c r="Z1015" s="690"/>
      <c r="AA1015" s="690"/>
      <c r="AB1015" s="690"/>
      <c r="AC1015" s="690"/>
      <c r="AD1015" s="690"/>
      <c r="AE1015" s="690"/>
      <c r="AF1015" s="690"/>
      <c r="AG1015" s="690"/>
      <c r="AH1015" s="690"/>
      <c r="AI1015" s="690"/>
      <c r="AJ1015" s="690"/>
      <c r="AK1015" s="690"/>
      <c r="AL1015" s="690"/>
      <c r="AM1015" s="690"/>
      <c r="AN1015" s="690"/>
      <c r="AO1015" s="690"/>
      <c r="AP1015" s="691"/>
      <c r="AS1015" s="692"/>
      <c r="AV1015" s="699"/>
      <c r="AW1015" s="700"/>
    </row>
    <row r="1016" spans="1:54" ht="4.5" hidden="1" customHeight="1" x14ac:dyDescent="0.2">
      <c r="A1016" s="867"/>
      <c r="AV1016" s="699"/>
      <c r="AW1016" s="700"/>
    </row>
    <row r="1017" spans="1:54" ht="11.25" hidden="1" customHeight="1" x14ac:dyDescent="0.2">
      <c r="A1017" s="867"/>
      <c r="C1017" s="693"/>
      <c r="D1017" s="694"/>
      <c r="E1017" s="695"/>
      <c r="F1017" s="695"/>
      <c r="G1017" s="695"/>
      <c r="H1017" s="695"/>
      <c r="I1017" s="695"/>
      <c r="J1017" s="695"/>
      <c r="K1017" s="695"/>
      <c r="L1017" s="695"/>
      <c r="M1017" s="695"/>
      <c r="N1017" s="695"/>
      <c r="O1017" s="695"/>
      <c r="P1017" s="695"/>
      <c r="Q1017" s="695"/>
      <c r="R1017" s="695"/>
      <c r="S1017" s="695"/>
      <c r="T1017" s="695"/>
      <c r="U1017" s="695"/>
      <c r="V1017" s="695"/>
      <c r="W1017" s="695"/>
      <c r="X1017" s="695"/>
      <c r="Y1017" s="695"/>
      <c r="Z1017" s="695"/>
      <c r="AA1017" s="695"/>
      <c r="AB1017" s="695"/>
      <c r="AC1017" s="695"/>
      <c r="AD1017" s="695"/>
      <c r="AE1017" s="695"/>
      <c r="AF1017" s="695"/>
      <c r="AG1017" s="695"/>
      <c r="AH1017" s="695"/>
      <c r="AI1017" s="695"/>
      <c r="AJ1017" s="695"/>
      <c r="AK1017" s="695"/>
      <c r="AL1017" s="695"/>
      <c r="AM1017" s="695"/>
      <c r="AN1017" s="695"/>
      <c r="AO1017" s="696"/>
      <c r="AP1017" s="697"/>
      <c r="AQ1017" s="698"/>
      <c r="AS1017" s="208"/>
      <c r="AV1017" s="699"/>
      <c r="AW1017" s="700"/>
      <c r="AX1017" s="382"/>
      <c r="AY1017" s="379"/>
      <c r="AZ1017" s="384"/>
      <c r="BA1017" s="642"/>
    </row>
    <row r="1018" spans="1:54" ht="11.25" hidden="1" customHeight="1" x14ac:dyDescent="0.2">
      <c r="A1018" s="867"/>
      <c r="C1018" s="701"/>
      <c r="D1018" s="702"/>
      <c r="E1018" s="703"/>
      <c r="F1018" s="703"/>
      <c r="G1018" s="703"/>
      <c r="H1018" s="703"/>
      <c r="I1018" s="703"/>
      <c r="J1018" s="703"/>
      <c r="K1018" s="703"/>
      <c r="L1018" s="703"/>
      <c r="M1018" s="703"/>
      <c r="N1018" s="703"/>
      <c r="O1018" s="703"/>
      <c r="P1018" s="703"/>
      <c r="Q1018" s="703"/>
      <c r="R1018" s="703"/>
      <c r="S1018" s="703"/>
      <c r="T1018" s="703"/>
      <c r="U1018" s="703"/>
      <c r="V1018" s="703"/>
      <c r="W1018" s="703"/>
      <c r="X1018" s="703"/>
      <c r="Y1018" s="703"/>
      <c r="Z1018" s="703"/>
      <c r="AA1018" s="703"/>
      <c r="AB1018" s="703"/>
      <c r="AC1018" s="703"/>
      <c r="AD1018" s="703"/>
      <c r="AE1018" s="703"/>
      <c r="AF1018" s="703"/>
      <c r="AG1018" s="703"/>
      <c r="AH1018" s="703"/>
      <c r="AI1018" s="703"/>
      <c r="AJ1018" s="703"/>
      <c r="AK1018" s="703"/>
      <c r="AL1018" s="703"/>
      <c r="AM1018" s="703"/>
      <c r="AN1018" s="703"/>
      <c r="AO1018" s="704"/>
      <c r="AP1018" s="705"/>
      <c r="AQ1018" s="698"/>
      <c r="AS1018" s="220"/>
      <c r="AV1018" s="699"/>
      <c r="AW1018" s="700"/>
      <c r="AX1018" s="382"/>
      <c r="AY1018" s="379"/>
      <c r="AZ1018" s="384"/>
      <c r="BA1018" s="642"/>
    </row>
    <row r="1019" spans="1:54" ht="11.25" hidden="1" customHeight="1" x14ac:dyDescent="0.2">
      <c r="A1019" s="867"/>
      <c r="C1019" s="701"/>
      <c r="D1019" s="702"/>
      <c r="E1019" s="703"/>
      <c r="F1019" s="703"/>
      <c r="G1019" s="703"/>
      <c r="H1019" s="703"/>
      <c r="I1019" s="703"/>
      <c r="J1019" s="703"/>
      <c r="K1019" s="703"/>
      <c r="L1019" s="703"/>
      <c r="M1019" s="703"/>
      <c r="N1019" s="703"/>
      <c r="O1019" s="703"/>
      <c r="P1019" s="703"/>
      <c r="Q1019" s="703"/>
      <c r="R1019" s="703"/>
      <c r="S1019" s="703"/>
      <c r="T1019" s="703"/>
      <c r="U1019" s="703"/>
      <c r="V1019" s="703"/>
      <c r="W1019" s="703"/>
      <c r="X1019" s="703"/>
      <c r="Y1019" s="703"/>
      <c r="Z1019" s="703"/>
      <c r="AA1019" s="703"/>
      <c r="AB1019" s="703"/>
      <c r="AC1019" s="703"/>
      <c r="AD1019" s="703"/>
      <c r="AE1019" s="703"/>
      <c r="AF1019" s="703"/>
      <c r="AG1019" s="703"/>
      <c r="AH1019" s="703"/>
      <c r="AI1019" s="703"/>
      <c r="AJ1019" s="703"/>
      <c r="AK1019" s="703"/>
      <c r="AL1019" s="703"/>
      <c r="AM1019" s="703"/>
      <c r="AN1019" s="703"/>
      <c r="AO1019" s="704"/>
      <c r="AP1019" s="705"/>
      <c r="AQ1019" s="698"/>
      <c r="AS1019" s="220"/>
      <c r="AV1019" s="699"/>
      <c r="AW1019" s="700"/>
      <c r="AX1019" s="382"/>
      <c r="AY1019" s="379"/>
      <c r="AZ1019" s="384"/>
      <c r="BA1019" s="642"/>
    </row>
    <row r="1020" spans="1:54" ht="11.25" hidden="1" customHeight="1" x14ac:dyDescent="0.2">
      <c r="A1020" s="867"/>
      <c r="C1020" s="701"/>
      <c r="D1020" s="702"/>
      <c r="E1020" s="703"/>
      <c r="F1020" s="703"/>
      <c r="G1020" s="703"/>
      <c r="H1020" s="703"/>
      <c r="I1020" s="703"/>
      <c r="J1020" s="703"/>
      <c r="K1020" s="703"/>
      <c r="L1020" s="703"/>
      <c r="M1020" s="703"/>
      <c r="N1020" s="703"/>
      <c r="O1020" s="703"/>
      <c r="P1020" s="703"/>
      <c r="Q1020" s="703"/>
      <c r="R1020" s="703"/>
      <c r="S1020" s="703"/>
      <c r="T1020" s="703"/>
      <c r="U1020" s="703"/>
      <c r="V1020" s="703"/>
      <c r="W1020" s="703"/>
      <c r="X1020" s="703"/>
      <c r="Y1020" s="703"/>
      <c r="Z1020" s="703"/>
      <c r="AA1020" s="703"/>
      <c r="AB1020" s="703"/>
      <c r="AC1020" s="703"/>
      <c r="AD1020" s="703"/>
      <c r="AE1020" s="703"/>
      <c r="AF1020" s="703"/>
      <c r="AG1020" s="703"/>
      <c r="AH1020" s="703"/>
      <c r="AI1020" s="703"/>
      <c r="AJ1020" s="703"/>
      <c r="AK1020" s="703"/>
      <c r="AL1020" s="703"/>
      <c r="AM1020" s="703"/>
      <c r="AN1020" s="703"/>
      <c r="AO1020" s="704"/>
      <c r="AP1020" s="705"/>
      <c r="AQ1020" s="698"/>
      <c r="AS1020" s="220"/>
      <c r="AV1020" s="699"/>
      <c r="AW1020" s="700"/>
      <c r="AX1020" s="382"/>
      <c r="AY1020" s="379"/>
      <c r="AZ1020" s="384"/>
      <c r="BA1020" s="642"/>
    </row>
    <row r="1021" spans="1:54" ht="11.25" hidden="1" customHeight="1" x14ac:dyDescent="0.2">
      <c r="A1021" s="867"/>
      <c r="C1021" s="701"/>
      <c r="D1021" s="702"/>
      <c r="E1021" s="703"/>
      <c r="F1021" s="703"/>
      <c r="G1021" s="703"/>
      <c r="H1021" s="703"/>
      <c r="I1021" s="703"/>
      <c r="J1021" s="703"/>
      <c r="K1021" s="703"/>
      <c r="L1021" s="703"/>
      <c r="M1021" s="703"/>
      <c r="N1021" s="703"/>
      <c r="O1021" s="703"/>
      <c r="P1021" s="703"/>
      <c r="Q1021" s="703"/>
      <c r="R1021" s="703"/>
      <c r="S1021" s="703"/>
      <c r="T1021" s="703"/>
      <c r="U1021" s="703"/>
      <c r="V1021" s="703"/>
      <c r="W1021" s="703"/>
      <c r="X1021" s="703"/>
      <c r="Y1021" s="703"/>
      <c r="Z1021" s="703"/>
      <c r="AA1021" s="703"/>
      <c r="AB1021" s="703"/>
      <c r="AC1021" s="703"/>
      <c r="AD1021" s="703"/>
      <c r="AE1021" s="703"/>
      <c r="AF1021" s="703"/>
      <c r="AG1021" s="703"/>
      <c r="AH1021" s="703"/>
      <c r="AI1021" s="703"/>
      <c r="AJ1021" s="703"/>
      <c r="AK1021" s="703"/>
      <c r="AL1021" s="703"/>
      <c r="AM1021" s="703"/>
      <c r="AN1021" s="703"/>
      <c r="AO1021" s="704"/>
      <c r="AP1021" s="705"/>
      <c r="AQ1021" s="698"/>
      <c r="AS1021" s="220"/>
      <c r="AV1021" s="699"/>
      <c r="AW1021" s="700"/>
      <c r="AX1021" s="382"/>
      <c r="AY1021" s="379"/>
      <c r="AZ1021" s="384"/>
      <c r="BA1021" s="642"/>
    </row>
    <row r="1022" spans="1:54" ht="11.25" hidden="1" customHeight="1" x14ac:dyDescent="0.2">
      <c r="A1022" s="867"/>
      <c r="C1022" s="701"/>
      <c r="D1022" s="702"/>
      <c r="E1022" s="703"/>
      <c r="F1022" s="703"/>
      <c r="G1022" s="703"/>
      <c r="H1022" s="703"/>
      <c r="I1022" s="703"/>
      <c r="J1022" s="703"/>
      <c r="K1022" s="703"/>
      <c r="L1022" s="703"/>
      <c r="M1022" s="703"/>
      <c r="N1022" s="703"/>
      <c r="O1022" s="703"/>
      <c r="P1022" s="703"/>
      <c r="Q1022" s="703"/>
      <c r="R1022" s="703"/>
      <c r="S1022" s="703"/>
      <c r="T1022" s="703"/>
      <c r="U1022" s="703"/>
      <c r="V1022" s="703"/>
      <c r="W1022" s="703"/>
      <c r="X1022" s="703"/>
      <c r="Y1022" s="703"/>
      <c r="Z1022" s="703"/>
      <c r="AA1022" s="703"/>
      <c r="AB1022" s="703"/>
      <c r="AC1022" s="703"/>
      <c r="AD1022" s="703"/>
      <c r="AE1022" s="703"/>
      <c r="AF1022" s="703"/>
      <c r="AG1022" s="703"/>
      <c r="AH1022" s="703"/>
      <c r="AI1022" s="703"/>
      <c r="AJ1022" s="703"/>
      <c r="AK1022" s="703"/>
      <c r="AL1022" s="703"/>
      <c r="AM1022" s="703"/>
      <c r="AN1022" s="703"/>
      <c r="AO1022" s="704"/>
      <c r="AP1022" s="705"/>
      <c r="AQ1022" s="698"/>
      <c r="AS1022" s="220"/>
      <c r="AV1022" s="699"/>
      <c r="AW1022" s="700"/>
      <c r="AX1022" s="382"/>
      <c r="AY1022" s="379"/>
      <c r="AZ1022" s="384"/>
      <c r="BA1022" s="642"/>
    </row>
    <row r="1023" spans="1:54" ht="11.25" hidden="1" customHeight="1" x14ac:dyDescent="0.2">
      <c r="A1023" s="867"/>
      <c r="C1023" s="701"/>
      <c r="D1023" s="702"/>
      <c r="E1023" s="703"/>
      <c r="F1023" s="703"/>
      <c r="G1023" s="703"/>
      <c r="H1023" s="703"/>
      <c r="I1023" s="703"/>
      <c r="J1023" s="703"/>
      <c r="K1023" s="703"/>
      <c r="L1023" s="703"/>
      <c r="M1023" s="703"/>
      <c r="N1023" s="703"/>
      <c r="O1023" s="703"/>
      <c r="P1023" s="703"/>
      <c r="Q1023" s="703"/>
      <c r="R1023" s="703"/>
      <c r="S1023" s="703"/>
      <c r="T1023" s="703"/>
      <c r="U1023" s="703"/>
      <c r="V1023" s="703"/>
      <c r="W1023" s="703"/>
      <c r="X1023" s="703"/>
      <c r="Y1023" s="703"/>
      <c r="Z1023" s="703"/>
      <c r="AA1023" s="703"/>
      <c r="AB1023" s="703"/>
      <c r="AC1023" s="703"/>
      <c r="AD1023" s="703"/>
      <c r="AE1023" s="703"/>
      <c r="AF1023" s="703"/>
      <c r="AG1023" s="703"/>
      <c r="AH1023" s="703"/>
      <c r="AI1023" s="703"/>
      <c r="AJ1023" s="703"/>
      <c r="AK1023" s="703"/>
      <c r="AL1023" s="703"/>
      <c r="AM1023" s="703"/>
      <c r="AN1023" s="703"/>
      <c r="AO1023" s="704"/>
      <c r="AP1023" s="705"/>
      <c r="AQ1023" s="698"/>
      <c r="AS1023" s="220"/>
      <c r="AV1023" s="699"/>
      <c r="AW1023" s="700"/>
      <c r="AX1023" s="382"/>
      <c r="AY1023" s="379"/>
      <c r="AZ1023" s="384"/>
      <c r="BA1023" s="642"/>
    </row>
    <row r="1024" spans="1:54" ht="11.25" hidden="1" customHeight="1" x14ac:dyDescent="0.2">
      <c r="A1024" s="867"/>
      <c r="C1024" s="701"/>
      <c r="D1024" s="702"/>
      <c r="E1024" s="703"/>
      <c r="F1024" s="703"/>
      <c r="G1024" s="703"/>
      <c r="H1024" s="703"/>
      <c r="I1024" s="703"/>
      <c r="J1024" s="703"/>
      <c r="K1024" s="703"/>
      <c r="L1024" s="703"/>
      <c r="M1024" s="703"/>
      <c r="N1024" s="703"/>
      <c r="O1024" s="703"/>
      <c r="P1024" s="703"/>
      <c r="Q1024" s="703"/>
      <c r="R1024" s="703"/>
      <c r="S1024" s="703"/>
      <c r="T1024" s="703"/>
      <c r="U1024" s="703"/>
      <c r="V1024" s="703"/>
      <c r="W1024" s="703"/>
      <c r="X1024" s="703"/>
      <c r="Y1024" s="703"/>
      <c r="Z1024" s="703"/>
      <c r="AA1024" s="703"/>
      <c r="AB1024" s="703"/>
      <c r="AC1024" s="703"/>
      <c r="AD1024" s="703"/>
      <c r="AE1024" s="703"/>
      <c r="AF1024" s="703"/>
      <c r="AG1024" s="703"/>
      <c r="AH1024" s="703"/>
      <c r="AI1024" s="703"/>
      <c r="AJ1024" s="703"/>
      <c r="AK1024" s="703"/>
      <c r="AL1024" s="703"/>
      <c r="AM1024" s="703"/>
      <c r="AN1024" s="703"/>
      <c r="AO1024" s="704"/>
      <c r="AP1024" s="705"/>
      <c r="AQ1024" s="698"/>
      <c r="AS1024" s="220"/>
      <c r="AV1024" s="699"/>
      <c r="AW1024" s="700"/>
      <c r="AX1024" s="382"/>
      <c r="AY1024" s="379"/>
      <c r="AZ1024" s="384"/>
      <c r="BA1024" s="642"/>
    </row>
    <row r="1025" spans="1:53" ht="11.25" hidden="1" customHeight="1" x14ac:dyDescent="0.2">
      <c r="A1025" s="867"/>
      <c r="C1025" s="701"/>
      <c r="D1025" s="702"/>
      <c r="E1025" s="703"/>
      <c r="F1025" s="703"/>
      <c r="G1025" s="703"/>
      <c r="H1025" s="703"/>
      <c r="I1025" s="703"/>
      <c r="J1025" s="703"/>
      <c r="K1025" s="703"/>
      <c r="L1025" s="703"/>
      <c r="M1025" s="703"/>
      <c r="N1025" s="703"/>
      <c r="O1025" s="703"/>
      <c r="P1025" s="703"/>
      <c r="Q1025" s="703"/>
      <c r="R1025" s="703"/>
      <c r="S1025" s="703"/>
      <c r="T1025" s="703"/>
      <c r="U1025" s="703"/>
      <c r="V1025" s="703"/>
      <c r="W1025" s="703"/>
      <c r="X1025" s="703"/>
      <c r="Y1025" s="703"/>
      <c r="Z1025" s="703"/>
      <c r="AA1025" s="703"/>
      <c r="AB1025" s="703"/>
      <c r="AC1025" s="703"/>
      <c r="AD1025" s="703"/>
      <c r="AE1025" s="703"/>
      <c r="AF1025" s="703"/>
      <c r="AG1025" s="703"/>
      <c r="AH1025" s="703"/>
      <c r="AI1025" s="703"/>
      <c r="AJ1025" s="703"/>
      <c r="AK1025" s="703"/>
      <c r="AL1025" s="703"/>
      <c r="AM1025" s="703"/>
      <c r="AN1025" s="703"/>
      <c r="AO1025" s="704"/>
      <c r="AP1025" s="705"/>
      <c r="AQ1025" s="698"/>
      <c r="AS1025" s="220"/>
      <c r="AV1025" s="699"/>
      <c r="AW1025" s="700"/>
      <c r="AX1025" s="382"/>
      <c r="AY1025" s="379"/>
      <c r="AZ1025" s="384"/>
      <c r="BA1025" s="642"/>
    </row>
    <row r="1026" spans="1:53" ht="11.25" hidden="1" customHeight="1" x14ac:dyDescent="0.2">
      <c r="A1026" s="867"/>
      <c r="C1026" s="701"/>
      <c r="D1026" s="702"/>
      <c r="E1026" s="703"/>
      <c r="F1026" s="703"/>
      <c r="G1026" s="703"/>
      <c r="H1026" s="703"/>
      <c r="I1026" s="703"/>
      <c r="J1026" s="703"/>
      <c r="K1026" s="703"/>
      <c r="L1026" s="703"/>
      <c r="M1026" s="703"/>
      <c r="N1026" s="703"/>
      <c r="O1026" s="703"/>
      <c r="P1026" s="703"/>
      <c r="Q1026" s="703"/>
      <c r="R1026" s="703"/>
      <c r="S1026" s="703"/>
      <c r="T1026" s="703"/>
      <c r="U1026" s="703"/>
      <c r="V1026" s="703"/>
      <c r="W1026" s="703"/>
      <c r="X1026" s="703"/>
      <c r="Y1026" s="703"/>
      <c r="Z1026" s="703"/>
      <c r="AA1026" s="703"/>
      <c r="AB1026" s="703"/>
      <c r="AC1026" s="703"/>
      <c r="AD1026" s="703"/>
      <c r="AE1026" s="703"/>
      <c r="AF1026" s="703"/>
      <c r="AG1026" s="703"/>
      <c r="AH1026" s="703"/>
      <c r="AI1026" s="703"/>
      <c r="AJ1026" s="703"/>
      <c r="AK1026" s="703"/>
      <c r="AL1026" s="703"/>
      <c r="AM1026" s="703"/>
      <c r="AN1026" s="703"/>
      <c r="AO1026" s="704"/>
      <c r="AP1026" s="705"/>
      <c r="AQ1026" s="698"/>
      <c r="AS1026" s="220"/>
      <c r="AV1026" s="699"/>
      <c r="AW1026" s="700"/>
      <c r="AX1026" s="382"/>
      <c r="AY1026" s="379"/>
      <c r="AZ1026" s="384"/>
      <c r="BA1026" s="642"/>
    </row>
    <row r="1027" spans="1:53" ht="11.25" hidden="1" customHeight="1" x14ac:dyDescent="0.2">
      <c r="A1027" s="867"/>
      <c r="C1027" s="701"/>
      <c r="D1027" s="702"/>
      <c r="E1027" s="703"/>
      <c r="F1027" s="703"/>
      <c r="G1027" s="703"/>
      <c r="H1027" s="703"/>
      <c r="I1027" s="703"/>
      <c r="J1027" s="703"/>
      <c r="K1027" s="703"/>
      <c r="L1027" s="703"/>
      <c r="M1027" s="703"/>
      <c r="N1027" s="703"/>
      <c r="O1027" s="703"/>
      <c r="P1027" s="703"/>
      <c r="Q1027" s="703"/>
      <c r="R1027" s="703"/>
      <c r="S1027" s="703"/>
      <c r="T1027" s="703"/>
      <c r="U1027" s="703"/>
      <c r="V1027" s="703"/>
      <c r="W1027" s="703"/>
      <c r="X1027" s="703"/>
      <c r="Y1027" s="703"/>
      <c r="Z1027" s="703"/>
      <c r="AA1027" s="703"/>
      <c r="AB1027" s="703"/>
      <c r="AC1027" s="703"/>
      <c r="AD1027" s="703"/>
      <c r="AE1027" s="703"/>
      <c r="AF1027" s="703"/>
      <c r="AG1027" s="703"/>
      <c r="AH1027" s="703"/>
      <c r="AI1027" s="703"/>
      <c r="AJ1027" s="703"/>
      <c r="AK1027" s="703"/>
      <c r="AL1027" s="703"/>
      <c r="AM1027" s="703"/>
      <c r="AN1027" s="703"/>
      <c r="AO1027" s="704"/>
      <c r="AP1027" s="705"/>
      <c r="AQ1027" s="698"/>
      <c r="AS1027" s="220"/>
      <c r="AV1027" s="699"/>
      <c r="AW1027" s="700"/>
      <c r="AX1027" s="382"/>
      <c r="AY1027" s="379"/>
      <c r="AZ1027" s="384"/>
      <c r="BA1027" s="642"/>
    </row>
    <row r="1028" spans="1:53" ht="11.25" hidden="1" customHeight="1" x14ac:dyDescent="0.2">
      <c r="A1028" s="867"/>
      <c r="C1028" s="701"/>
      <c r="D1028" s="702"/>
      <c r="E1028" s="703"/>
      <c r="F1028" s="703"/>
      <c r="G1028" s="703"/>
      <c r="H1028" s="703"/>
      <c r="I1028" s="703"/>
      <c r="J1028" s="703"/>
      <c r="K1028" s="703"/>
      <c r="L1028" s="703"/>
      <c r="M1028" s="703"/>
      <c r="N1028" s="703"/>
      <c r="O1028" s="703"/>
      <c r="P1028" s="703"/>
      <c r="Q1028" s="703"/>
      <c r="R1028" s="703"/>
      <c r="S1028" s="703"/>
      <c r="T1028" s="703"/>
      <c r="U1028" s="703"/>
      <c r="V1028" s="703"/>
      <c r="W1028" s="703"/>
      <c r="X1028" s="703"/>
      <c r="Y1028" s="703"/>
      <c r="Z1028" s="703"/>
      <c r="AA1028" s="703"/>
      <c r="AB1028" s="703"/>
      <c r="AC1028" s="703"/>
      <c r="AD1028" s="703"/>
      <c r="AE1028" s="703"/>
      <c r="AF1028" s="703"/>
      <c r="AG1028" s="703"/>
      <c r="AH1028" s="703"/>
      <c r="AI1028" s="703"/>
      <c r="AJ1028" s="703"/>
      <c r="AK1028" s="703"/>
      <c r="AL1028" s="703"/>
      <c r="AM1028" s="703"/>
      <c r="AN1028" s="703"/>
      <c r="AO1028" s="704"/>
      <c r="AP1028" s="705"/>
      <c r="AQ1028" s="698"/>
      <c r="AS1028" s="220"/>
      <c r="AV1028" s="699"/>
      <c r="AW1028" s="700"/>
      <c r="AX1028" s="382"/>
      <c r="AY1028" s="379"/>
      <c r="AZ1028" s="384"/>
      <c r="BA1028" s="642"/>
    </row>
    <row r="1029" spans="1:53" ht="11.25" hidden="1" customHeight="1" x14ac:dyDescent="0.2">
      <c r="A1029" s="867"/>
      <c r="C1029" s="701"/>
      <c r="D1029" s="702"/>
      <c r="E1029" s="703"/>
      <c r="F1029" s="703"/>
      <c r="G1029" s="703"/>
      <c r="H1029" s="703"/>
      <c r="I1029" s="703"/>
      <c r="J1029" s="703"/>
      <c r="K1029" s="703"/>
      <c r="L1029" s="703"/>
      <c r="M1029" s="703"/>
      <c r="N1029" s="703"/>
      <c r="O1029" s="703"/>
      <c r="P1029" s="703"/>
      <c r="Q1029" s="703"/>
      <c r="R1029" s="703"/>
      <c r="S1029" s="703"/>
      <c r="T1029" s="703"/>
      <c r="U1029" s="703"/>
      <c r="V1029" s="703"/>
      <c r="W1029" s="703"/>
      <c r="X1029" s="703"/>
      <c r="Y1029" s="703"/>
      <c r="Z1029" s="703"/>
      <c r="AA1029" s="703"/>
      <c r="AB1029" s="703"/>
      <c r="AC1029" s="703"/>
      <c r="AD1029" s="703"/>
      <c r="AE1029" s="703"/>
      <c r="AF1029" s="703"/>
      <c r="AG1029" s="703"/>
      <c r="AH1029" s="703"/>
      <c r="AI1029" s="703"/>
      <c r="AJ1029" s="703"/>
      <c r="AK1029" s="703"/>
      <c r="AL1029" s="703"/>
      <c r="AM1029" s="703"/>
      <c r="AN1029" s="703"/>
      <c r="AO1029" s="704"/>
      <c r="AP1029" s="705"/>
      <c r="AQ1029" s="698"/>
      <c r="AS1029" s="220"/>
      <c r="AV1029" s="699"/>
      <c r="AW1029" s="700"/>
      <c r="AX1029" s="382"/>
      <c r="AY1029" s="379"/>
      <c r="AZ1029" s="384"/>
      <c r="BA1029" s="642"/>
    </row>
    <row r="1030" spans="1:53" ht="11.25" hidden="1" customHeight="1" x14ac:dyDescent="0.2">
      <c r="A1030" s="867"/>
      <c r="C1030" s="701"/>
      <c r="D1030" s="702"/>
      <c r="E1030" s="703"/>
      <c r="F1030" s="703"/>
      <c r="G1030" s="703"/>
      <c r="H1030" s="703"/>
      <c r="I1030" s="703"/>
      <c r="J1030" s="703"/>
      <c r="K1030" s="703"/>
      <c r="L1030" s="703"/>
      <c r="M1030" s="703"/>
      <c r="N1030" s="703"/>
      <c r="O1030" s="703"/>
      <c r="P1030" s="703"/>
      <c r="Q1030" s="703"/>
      <c r="R1030" s="703"/>
      <c r="S1030" s="703"/>
      <c r="T1030" s="703"/>
      <c r="U1030" s="703"/>
      <c r="V1030" s="703"/>
      <c r="W1030" s="703"/>
      <c r="X1030" s="703"/>
      <c r="Y1030" s="703"/>
      <c r="Z1030" s="703"/>
      <c r="AA1030" s="703"/>
      <c r="AB1030" s="703"/>
      <c r="AC1030" s="703"/>
      <c r="AD1030" s="703"/>
      <c r="AE1030" s="703"/>
      <c r="AF1030" s="703"/>
      <c r="AG1030" s="703"/>
      <c r="AH1030" s="703"/>
      <c r="AI1030" s="703"/>
      <c r="AJ1030" s="703"/>
      <c r="AK1030" s="703"/>
      <c r="AL1030" s="703"/>
      <c r="AM1030" s="703"/>
      <c r="AN1030" s="703"/>
      <c r="AO1030" s="704"/>
      <c r="AP1030" s="705"/>
      <c r="AQ1030" s="698"/>
      <c r="AS1030" s="220"/>
      <c r="AV1030" s="699"/>
      <c r="AW1030" s="700"/>
      <c r="AX1030" s="382"/>
      <c r="AY1030" s="379"/>
      <c r="AZ1030" s="384"/>
      <c r="BA1030" s="642"/>
    </row>
    <row r="1031" spans="1:53" ht="11.25" hidden="1" customHeight="1" x14ac:dyDescent="0.2">
      <c r="A1031" s="867"/>
      <c r="C1031" s="701"/>
      <c r="D1031" s="702"/>
      <c r="E1031" s="703"/>
      <c r="F1031" s="703"/>
      <c r="G1031" s="703"/>
      <c r="H1031" s="703"/>
      <c r="I1031" s="703"/>
      <c r="J1031" s="703"/>
      <c r="K1031" s="703"/>
      <c r="L1031" s="703"/>
      <c r="M1031" s="703"/>
      <c r="N1031" s="703"/>
      <c r="O1031" s="703"/>
      <c r="P1031" s="703"/>
      <c r="Q1031" s="703"/>
      <c r="R1031" s="703"/>
      <c r="S1031" s="703"/>
      <c r="T1031" s="703"/>
      <c r="U1031" s="703"/>
      <c r="V1031" s="703"/>
      <c r="W1031" s="703"/>
      <c r="X1031" s="703"/>
      <c r="Y1031" s="703"/>
      <c r="Z1031" s="703"/>
      <c r="AA1031" s="703"/>
      <c r="AB1031" s="703"/>
      <c r="AC1031" s="703"/>
      <c r="AD1031" s="703"/>
      <c r="AE1031" s="703"/>
      <c r="AF1031" s="703"/>
      <c r="AG1031" s="703"/>
      <c r="AH1031" s="703"/>
      <c r="AI1031" s="703"/>
      <c r="AJ1031" s="703"/>
      <c r="AK1031" s="703"/>
      <c r="AL1031" s="703"/>
      <c r="AM1031" s="703"/>
      <c r="AN1031" s="703"/>
      <c r="AO1031" s="704"/>
      <c r="AP1031" s="705"/>
      <c r="AQ1031" s="698"/>
      <c r="AS1031" s="220"/>
      <c r="AV1031" s="699"/>
      <c r="AW1031" s="700"/>
      <c r="AX1031" s="382"/>
      <c r="AY1031" s="379"/>
      <c r="AZ1031" s="384"/>
      <c r="BA1031" s="642"/>
    </row>
    <row r="1032" spans="1:53" ht="11.25" hidden="1" customHeight="1" x14ac:dyDescent="0.2">
      <c r="A1032" s="867"/>
      <c r="C1032" s="701"/>
      <c r="D1032" s="702"/>
      <c r="E1032" s="703"/>
      <c r="F1032" s="703"/>
      <c r="G1032" s="703"/>
      <c r="H1032" s="703"/>
      <c r="I1032" s="703"/>
      <c r="J1032" s="703"/>
      <c r="K1032" s="703"/>
      <c r="L1032" s="703"/>
      <c r="M1032" s="703"/>
      <c r="N1032" s="703"/>
      <c r="O1032" s="703"/>
      <c r="P1032" s="703"/>
      <c r="Q1032" s="703"/>
      <c r="R1032" s="703"/>
      <c r="S1032" s="703"/>
      <c r="T1032" s="703"/>
      <c r="U1032" s="703"/>
      <c r="V1032" s="703"/>
      <c r="W1032" s="703"/>
      <c r="X1032" s="703"/>
      <c r="Y1032" s="703"/>
      <c r="Z1032" s="703"/>
      <c r="AA1032" s="703"/>
      <c r="AB1032" s="703"/>
      <c r="AC1032" s="703"/>
      <c r="AD1032" s="703"/>
      <c r="AE1032" s="703"/>
      <c r="AF1032" s="703"/>
      <c r="AG1032" s="703"/>
      <c r="AH1032" s="703"/>
      <c r="AI1032" s="703"/>
      <c r="AJ1032" s="703"/>
      <c r="AK1032" s="703"/>
      <c r="AL1032" s="703"/>
      <c r="AM1032" s="703"/>
      <c r="AN1032" s="703"/>
      <c r="AO1032" s="704"/>
      <c r="AP1032" s="705"/>
      <c r="AQ1032" s="698"/>
      <c r="AS1032" s="220"/>
      <c r="AV1032" s="699"/>
      <c r="AW1032" s="700"/>
      <c r="AX1032" s="382"/>
      <c r="AY1032" s="379"/>
      <c r="AZ1032" s="384"/>
      <c r="BA1032" s="642"/>
    </row>
    <row r="1033" spans="1:53" ht="11.25" hidden="1" customHeight="1" x14ac:dyDescent="0.2">
      <c r="A1033" s="867"/>
      <c r="C1033" s="701"/>
      <c r="D1033" s="702"/>
      <c r="E1033" s="703"/>
      <c r="F1033" s="703"/>
      <c r="G1033" s="703"/>
      <c r="H1033" s="703"/>
      <c r="I1033" s="703"/>
      <c r="J1033" s="703"/>
      <c r="K1033" s="703"/>
      <c r="L1033" s="703"/>
      <c r="M1033" s="703"/>
      <c r="N1033" s="703"/>
      <c r="O1033" s="703"/>
      <c r="P1033" s="703"/>
      <c r="Q1033" s="703"/>
      <c r="R1033" s="703"/>
      <c r="S1033" s="703"/>
      <c r="T1033" s="703"/>
      <c r="U1033" s="703"/>
      <c r="V1033" s="703"/>
      <c r="W1033" s="703"/>
      <c r="X1033" s="703"/>
      <c r="Y1033" s="703"/>
      <c r="Z1033" s="703"/>
      <c r="AA1033" s="703"/>
      <c r="AB1033" s="703"/>
      <c r="AC1033" s="703"/>
      <c r="AD1033" s="703"/>
      <c r="AE1033" s="703"/>
      <c r="AF1033" s="703"/>
      <c r="AG1033" s="703"/>
      <c r="AH1033" s="703"/>
      <c r="AI1033" s="703"/>
      <c r="AJ1033" s="703"/>
      <c r="AK1033" s="703"/>
      <c r="AL1033" s="703"/>
      <c r="AM1033" s="703"/>
      <c r="AN1033" s="703"/>
      <c r="AO1033" s="704"/>
      <c r="AP1033" s="705"/>
      <c r="AQ1033" s="698"/>
      <c r="AS1033" s="220"/>
      <c r="AV1033" s="699"/>
      <c r="AW1033" s="700"/>
      <c r="AX1033" s="382"/>
      <c r="AY1033" s="379"/>
      <c r="AZ1033" s="384"/>
      <c r="BA1033" s="642"/>
    </row>
    <row r="1034" spans="1:53" ht="11.25" hidden="1" customHeight="1" x14ac:dyDescent="0.2">
      <c r="A1034" s="867"/>
      <c r="C1034" s="701"/>
      <c r="D1034" s="702"/>
      <c r="E1034" s="703"/>
      <c r="F1034" s="703"/>
      <c r="G1034" s="703"/>
      <c r="H1034" s="703"/>
      <c r="I1034" s="703"/>
      <c r="J1034" s="703"/>
      <c r="K1034" s="703"/>
      <c r="L1034" s="703"/>
      <c r="M1034" s="703"/>
      <c r="N1034" s="703"/>
      <c r="O1034" s="703"/>
      <c r="P1034" s="703"/>
      <c r="Q1034" s="703"/>
      <c r="R1034" s="703"/>
      <c r="S1034" s="703"/>
      <c r="T1034" s="703"/>
      <c r="U1034" s="703"/>
      <c r="V1034" s="703"/>
      <c r="W1034" s="703"/>
      <c r="X1034" s="703"/>
      <c r="Y1034" s="703"/>
      <c r="Z1034" s="703"/>
      <c r="AA1034" s="703"/>
      <c r="AB1034" s="703"/>
      <c r="AC1034" s="703"/>
      <c r="AD1034" s="703"/>
      <c r="AE1034" s="703"/>
      <c r="AF1034" s="703"/>
      <c r="AG1034" s="703"/>
      <c r="AH1034" s="703"/>
      <c r="AI1034" s="703"/>
      <c r="AJ1034" s="703"/>
      <c r="AK1034" s="703"/>
      <c r="AL1034" s="703"/>
      <c r="AM1034" s="703"/>
      <c r="AN1034" s="703"/>
      <c r="AO1034" s="704"/>
      <c r="AP1034" s="705"/>
      <c r="AQ1034" s="698"/>
      <c r="AS1034" s="220"/>
      <c r="AV1034" s="699"/>
      <c r="AW1034" s="700"/>
      <c r="AX1034" s="382"/>
      <c r="AY1034" s="379"/>
      <c r="AZ1034" s="384"/>
      <c r="BA1034" s="642"/>
    </row>
    <row r="1035" spans="1:53" ht="11.25" hidden="1" customHeight="1" x14ac:dyDescent="0.2">
      <c r="A1035" s="867"/>
      <c r="C1035" s="701"/>
      <c r="D1035" s="702"/>
      <c r="E1035" s="703"/>
      <c r="F1035" s="703"/>
      <c r="G1035" s="703"/>
      <c r="H1035" s="703"/>
      <c r="I1035" s="703"/>
      <c r="J1035" s="703"/>
      <c r="K1035" s="703"/>
      <c r="L1035" s="703"/>
      <c r="M1035" s="703"/>
      <c r="N1035" s="703"/>
      <c r="O1035" s="703"/>
      <c r="P1035" s="703"/>
      <c r="Q1035" s="703"/>
      <c r="R1035" s="703"/>
      <c r="S1035" s="703"/>
      <c r="T1035" s="703"/>
      <c r="U1035" s="703"/>
      <c r="V1035" s="703"/>
      <c r="W1035" s="703"/>
      <c r="X1035" s="703"/>
      <c r="Y1035" s="703"/>
      <c r="Z1035" s="703"/>
      <c r="AA1035" s="703"/>
      <c r="AB1035" s="703"/>
      <c r="AC1035" s="703"/>
      <c r="AD1035" s="703"/>
      <c r="AE1035" s="703"/>
      <c r="AF1035" s="703"/>
      <c r="AG1035" s="703"/>
      <c r="AH1035" s="703"/>
      <c r="AI1035" s="703"/>
      <c r="AJ1035" s="703"/>
      <c r="AK1035" s="703"/>
      <c r="AL1035" s="703"/>
      <c r="AM1035" s="703"/>
      <c r="AN1035" s="703"/>
      <c r="AO1035" s="704"/>
      <c r="AP1035" s="705"/>
      <c r="AQ1035" s="698"/>
      <c r="AS1035" s="220"/>
      <c r="AV1035" s="699"/>
      <c r="AW1035" s="700"/>
      <c r="AX1035" s="382"/>
      <c r="AY1035" s="379"/>
      <c r="AZ1035" s="384"/>
      <c r="BA1035" s="642"/>
    </row>
    <row r="1036" spans="1:53" ht="11.25" hidden="1" customHeight="1" x14ac:dyDescent="0.2">
      <c r="A1036" s="867"/>
      <c r="C1036" s="701"/>
      <c r="D1036" s="702"/>
      <c r="E1036" s="703"/>
      <c r="F1036" s="703"/>
      <c r="G1036" s="703"/>
      <c r="H1036" s="703"/>
      <c r="I1036" s="703"/>
      <c r="J1036" s="703"/>
      <c r="K1036" s="703"/>
      <c r="L1036" s="703"/>
      <c r="M1036" s="703"/>
      <c r="N1036" s="703"/>
      <c r="O1036" s="703"/>
      <c r="P1036" s="703"/>
      <c r="Q1036" s="703"/>
      <c r="R1036" s="703"/>
      <c r="S1036" s="703"/>
      <c r="T1036" s="703"/>
      <c r="U1036" s="703"/>
      <c r="V1036" s="703"/>
      <c r="W1036" s="703"/>
      <c r="X1036" s="703"/>
      <c r="Y1036" s="703"/>
      <c r="Z1036" s="703"/>
      <c r="AA1036" s="703"/>
      <c r="AB1036" s="703"/>
      <c r="AC1036" s="703"/>
      <c r="AD1036" s="703"/>
      <c r="AE1036" s="703"/>
      <c r="AF1036" s="703"/>
      <c r="AG1036" s="703"/>
      <c r="AH1036" s="703"/>
      <c r="AI1036" s="703"/>
      <c r="AJ1036" s="703"/>
      <c r="AK1036" s="703"/>
      <c r="AL1036" s="703"/>
      <c r="AM1036" s="703"/>
      <c r="AN1036" s="703"/>
      <c r="AO1036" s="704"/>
      <c r="AP1036" s="705"/>
      <c r="AQ1036" s="698"/>
      <c r="AS1036" s="220"/>
      <c r="AV1036" s="699"/>
      <c r="AW1036" s="700"/>
      <c r="AX1036" s="382"/>
      <c r="AY1036" s="379"/>
      <c r="AZ1036" s="384"/>
      <c r="BA1036" s="642"/>
    </row>
    <row r="1037" spans="1:53" ht="11.25" hidden="1" customHeight="1" x14ac:dyDescent="0.2">
      <c r="A1037" s="867"/>
      <c r="C1037" s="701"/>
      <c r="D1037" s="702"/>
      <c r="E1037" s="703"/>
      <c r="F1037" s="703"/>
      <c r="G1037" s="703"/>
      <c r="H1037" s="703"/>
      <c r="I1037" s="703"/>
      <c r="J1037" s="703"/>
      <c r="K1037" s="703"/>
      <c r="L1037" s="703"/>
      <c r="M1037" s="703"/>
      <c r="N1037" s="703"/>
      <c r="O1037" s="703"/>
      <c r="P1037" s="703"/>
      <c r="Q1037" s="703"/>
      <c r="R1037" s="703"/>
      <c r="S1037" s="703"/>
      <c r="T1037" s="703"/>
      <c r="U1037" s="703"/>
      <c r="V1037" s="703"/>
      <c r="W1037" s="703"/>
      <c r="X1037" s="703"/>
      <c r="Y1037" s="703"/>
      <c r="Z1037" s="703"/>
      <c r="AA1037" s="703"/>
      <c r="AB1037" s="703"/>
      <c r="AC1037" s="703"/>
      <c r="AD1037" s="703"/>
      <c r="AE1037" s="703"/>
      <c r="AF1037" s="703"/>
      <c r="AG1037" s="703"/>
      <c r="AH1037" s="703"/>
      <c r="AI1037" s="703"/>
      <c r="AJ1037" s="703"/>
      <c r="AK1037" s="703"/>
      <c r="AL1037" s="703"/>
      <c r="AM1037" s="703"/>
      <c r="AN1037" s="703"/>
      <c r="AO1037" s="704"/>
      <c r="AP1037" s="705"/>
      <c r="AQ1037" s="698"/>
      <c r="AS1037" s="220"/>
      <c r="AV1037" s="699"/>
      <c r="AW1037" s="700"/>
      <c r="AX1037" s="382"/>
      <c r="AY1037" s="379"/>
      <c r="AZ1037" s="384"/>
      <c r="BA1037" s="642"/>
    </row>
    <row r="1038" spans="1:53" ht="11.25" hidden="1" customHeight="1" x14ac:dyDescent="0.2">
      <c r="A1038" s="867"/>
      <c r="C1038" s="701"/>
      <c r="D1038" s="702"/>
      <c r="E1038" s="703"/>
      <c r="F1038" s="703"/>
      <c r="G1038" s="703"/>
      <c r="H1038" s="703"/>
      <c r="I1038" s="703"/>
      <c r="J1038" s="703"/>
      <c r="K1038" s="703"/>
      <c r="L1038" s="703"/>
      <c r="M1038" s="703"/>
      <c r="N1038" s="703"/>
      <c r="O1038" s="703"/>
      <c r="P1038" s="703"/>
      <c r="Q1038" s="703"/>
      <c r="R1038" s="703"/>
      <c r="S1038" s="703"/>
      <c r="T1038" s="703"/>
      <c r="U1038" s="703"/>
      <c r="V1038" s="703"/>
      <c r="W1038" s="703"/>
      <c r="X1038" s="703"/>
      <c r="Y1038" s="703"/>
      <c r="Z1038" s="703"/>
      <c r="AA1038" s="703"/>
      <c r="AB1038" s="703"/>
      <c r="AC1038" s="703"/>
      <c r="AD1038" s="703"/>
      <c r="AE1038" s="703"/>
      <c r="AF1038" s="703"/>
      <c r="AG1038" s="703"/>
      <c r="AH1038" s="703"/>
      <c r="AI1038" s="703"/>
      <c r="AJ1038" s="703"/>
      <c r="AK1038" s="703"/>
      <c r="AL1038" s="703"/>
      <c r="AM1038" s="703"/>
      <c r="AN1038" s="703"/>
      <c r="AO1038" s="704"/>
      <c r="AP1038" s="705"/>
      <c r="AQ1038" s="698"/>
      <c r="AS1038" s="220"/>
      <c r="AV1038" s="699"/>
      <c r="AW1038" s="700"/>
      <c r="AX1038" s="382"/>
      <c r="AY1038" s="379"/>
      <c r="AZ1038" s="384"/>
      <c r="BA1038" s="642"/>
    </row>
    <row r="1039" spans="1:53" ht="11.25" hidden="1" customHeight="1" x14ac:dyDescent="0.2">
      <c r="A1039" s="867"/>
      <c r="C1039" s="701"/>
      <c r="D1039" s="702"/>
      <c r="E1039" s="703"/>
      <c r="F1039" s="703"/>
      <c r="G1039" s="703"/>
      <c r="H1039" s="703"/>
      <c r="I1039" s="703"/>
      <c r="J1039" s="703"/>
      <c r="K1039" s="703"/>
      <c r="L1039" s="703"/>
      <c r="M1039" s="703"/>
      <c r="N1039" s="703"/>
      <c r="O1039" s="703"/>
      <c r="P1039" s="703"/>
      <c r="Q1039" s="703"/>
      <c r="R1039" s="703"/>
      <c r="S1039" s="703"/>
      <c r="T1039" s="703"/>
      <c r="U1039" s="703"/>
      <c r="V1039" s="703"/>
      <c r="W1039" s="703"/>
      <c r="X1039" s="703"/>
      <c r="Y1039" s="703"/>
      <c r="Z1039" s="703"/>
      <c r="AA1039" s="703"/>
      <c r="AB1039" s="703"/>
      <c r="AC1039" s="703"/>
      <c r="AD1039" s="703"/>
      <c r="AE1039" s="703"/>
      <c r="AF1039" s="703"/>
      <c r="AG1039" s="703"/>
      <c r="AH1039" s="703"/>
      <c r="AI1039" s="703"/>
      <c r="AJ1039" s="703"/>
      <c r="AK1039" s="703"/>
      <c r="AL1039" s="703"/>
      <c r="AM1039" s="703"/>
      <c r="AN1039" s="703"/>
      <c r="AO1039" s="704"/>
      <c r="AP1039" s="705"/>
      <c r="AQ1039" s="698"/>
      <c r="AS1039" s="220"/>
      <c r="AV1039" s="699"/>
      <c r="AW1039" s="700"/>
      <c r="AX1039" s="382"/>
      <c r="AY1039" s="379"/>
      <c r="AZ1039" s="384"/>
      <c r="BA1039" s="642"/>
    </row>
    <row r="1040" spans="1:53" ht="11.25" hidden="1" customHeight="1" x14ac:dyDescent="0.2">
      <c r="A1040" s="867"/>
      <c r="C1040" s="701"/>
      <c r="D1040" s="702"/>
      <c r="E1040" s="703"/>
      <c r="F1040" s="703"/>
      <c r="G1040" s="703"/>
      <c r="H1040" s="703"/>
      <c r="I1040" s="703"/>
      <c r="J1040" s="703"/>
      <c r="K1040" s="703"/>
      <c r="L1040" s="703"/>
      <c r="M1040" s="703"/>
      <c r="N1040" s="703"/>
      <c r="O1040" s="703"/>
      <c r="P1040" s="703"/>
      <c r="Q1040" s="703"/>
      <c r="R1040" s="703"/>
      <c r="S1040" s="703"/>
      <c r="T1040" s="703"/>
      <c r="U1040" s="703"/>
      <c r="V1040" s="703"/>
      <c r="W1040" s="703"/>
      <c r="X1040" s="703"/>
      <c r="Y1040" s="703"/>
      <c r="Z1040" s="703"/>
      <c r="AA1040" s="703"/>
      <c r="AB1040" s="703"/>
      <c r="AC1040" s="703"/>
      <c r="AD1040" s="703"/>
      <c r="AE1040" s="703"/>
      <c r="AF1040" s="703"/>
      <c r="AG1040" s="703"/>
      <c r="AH1040" s="703"/>
      <c r="AI1040" s="703"/>
      <c r="AJ1040" s="703"/>
      <c r="AK1040" s="703"/>
      <c r="AL1040" s="703"/>
      <c r="AM1040" s="703"/>
      <c r="AN1040" s="703"/>
      <c r="AO1040" s="704"/>
      <c r="AP1040" s="705"/>
      <c r="AQ1040" s="698"/>
      <c r="AS1040" s="220"/>
      <c r="AV1040" s="699"/>
      <c r="AW1040" s="700"/>
      <c r="AX1040" s="382"/>
      <c r="AY1040" s="379"/>
      <c r="AZ1040" s="384"/>
      <c r="BA1040" s="642"/>
    </row>
    <row r="1041" spans="1:53" ht="11.25" hidden="1" customHeight="1" x14ac:dyDescent="0.2">
      <c r="A1041" s="867"/>
      <c r="C1041" s="701"/>
      <c r="D1041" s="702"/>
      <c r="E1041" s="703"/>
      <c r="F1041" s="703"/>
      <c r="G1041" s="703"/>
      <c r="H1041" s="703"/>
      <c r="I1041" s="703"/>
      <c r="J1041" s="703"/>
      <c r="K1041" s="703"/>
      <c r="L1041" s="703"/>
      <c r="M1041" s="703"/>
      <c r="N1041" s="703"/>
      <c r="O1041" s="703"/>
      <c r="P1041" s="703"/>
      <c r="Q1041" s="703"/>
      <c r="R1041" s="703"/>
      <c r="S1041" s="703"/>
      <c r="T1041" s="703"/>
      <c r="U1041" s="703"/>
      <c r="V1041" s="703"/>
      <c r="W1041" s="703"/>
      <c r="X1041" s="703"/>
      <c r="Y1041" s="703"/>
      <c r="Z1041" s="703"/>
      <c r="AA1041" s="703"/>
      <c r="AB1041" s="703"/>
      <c r="AC1041" s="703"/>
      <c r="AD1041" s="703"/>
      <c r="AE1041" s="703"/>
      <c r="AF1041" s="703"/>
      <c r="AG1041" s="703"/>
      <c r="AH1041" s="703"/>
      <c r="AI1041" s="703"/>
      <c r="AJ1041" s="703"/>
      <c r="AK1041" s="703"/>
      <c r="AL1041" s="703"/>
      <c r="AM1041" s="703"/>
      <c r="AN1041" s="703"/>
      <c r="AO1041" s="704"/>
      <c r="AP1041" s="705"/>
      <c r="AQ1041" s="698"/>
      <c r="AS1041" s="220"/>
      <c r="AV1041" s="699"/>
      <c r="AW1041" s="700"/>
      <c r="AX1041" s="382"/>
      <c r="AY1041" s="379"/>
      <c r="AZ1041" s="384"/>
      <c r="BA1041" s="642"/>
    </row>
    <row r="1042" spans="1:53" ht="11.25" hidden="1" customHeight="1" x14ac:dyDescent="0.2">
      <c r="A1042" s="867"/>
      <c r="C1042" s="701"/>
      <c r="D1042" s="702"/>
      <c r="E1042" s="703"/>
      <c r="F1042" s="703"/>
      <c r="G1042" s="703"/>
      <c r="H1042" s="703"/>
      <c r="I1042" s="703"/>
      <c r="J1042" s="703"/>
      <c r="K1042" s="703"/>
      <c r="L1042" s="703"/>
      <c r="M1042" s="703"/>
      <c r="N1042" s="703"/>
      <c r="O1042" s="703"/>
      <c r="P1042" s="703"/>
      <c r="Q1042" s="703"/>
      <c r="R1042" s="703"/>
      <c r="S1042" s="703"/>
      <c r="T1042" s="703"/>
      <c r="U1042" s="703"/>
      <c r="V1042" s="703"/>
      <c r="W1042" s="703"/>
      <c r="X1042" s="703"/>
      <c r="Y1042" s="703"/>
      <c r="Z1042" s="703"/>
      <c r="AA1042" s="703"/>
      <c r="AB1042" s="703"/>
      <c r="AC1042" s="703"/>
      <c r="AD1042" s="703"/>
      <c r="AE1042" s="703"/>
      <c r="AF1042" s="703"/>
      <c r="AG1042" s="703"/>
      <c r="AH1042" s="703"/>
      <c r="AI1042" s="703"/>
      <c r="AJ1042" s="703"/>
      <c r="AK1042" s="703"/>
      <c r="AL1042" s="703"/>
      <c r="AM1042" s="703"/>
      <c r="AN1042" s="703"/>
      <c r="AO1042" s="704"/>
      <c r="AP1042" s="705"/>
      <c r="AQ1042" s="698"/>
      <c r="AS1042" s="220"/>
      <c r="AV1042" s="699"/>
      <c r="AW1042" s="700"/>
      <c r="AX1042" s="382"/>
      <c r="AY1042" s="379"/>
      <c r="AZ1042" s="384"/>
      <c r="BA1042" s="642"/>
    </row>
    <row r="1043" spans="1:53" ht="11.25" hidden="1" customHeight="1" x14ac:dyDescent="0.2">
      <c r="A1043" s="867"/>
      <c r="C1043" s="701"/>
      <c r="D1043" s="702"/>
      <c r="E1043" s="703"/>
      <c r="F1043" s="703"/>
      <c r="G1043" s="703"/>
      <c r="H1043" s="703"/>
      <c r="I1043" s="703"/>
      <c r="J1043" s="703"/>
      <c r="K1043" s="703"/>
      <c r="L1043" s="703"/>
      <c r="M1043" s="703"/>
      <c r="N1043" s="703"/>
      <c r="O1043" s="703"/>
      <c r="P1043" s="703"/>
      <c r="Q1043" s="703"/>
      <c r="R1043" s="703"/>
      <c r="S1043" s="703"/>
      <c r="T1043" s="703"/>
      <c r="U1043" s="703"/>
      <c r="V1043" s="703"/>
      <c r="W1043" s="703"/>
      <c r="X1043" s="703"/>
      <c r="Y1043" s="703"/>
      <c r="Z1043" s="703"/>
      <c r="AA1043" s="703"/>
      <c r="AB1043" s="703"/>
      <c r="AC1043" s="703"/>
      <c r="AD1043" s="703"/>
      <c r="AE1043" s="703"/>
      <c r="AF1043" s="703"/>
      <c r="AG1043" s="703"/>
      <c r="AH1043" s="703"/>
      <c r="AI1043" s="703"/>
      <c r="AJ1043" s="703"/>
      <c r="AK1043" s="703"/>
      <c r="AL1043" s="703"/>
      <c r="AM1043" s="703"/>
      <c r="AN1043" s="703"/>
      <c r="AO1043" s="704"/>
      <c r="AP1043" s="705"/>
      <c r="AQ1043" s="698"/>
      <c r="AS1043" s="220"/>
      <c r="AV1043" s="699"/>
      <c r="AW1043" s="700"/>
      <c r="AX1043" s="382"/>
      <c r="AY1043" s="379"/>
      <c r="AZ1043" s="384"/>
      <c r="BA1043" s="642"/>
    </row>
    <row r="1044" spans="1:53" ht="11.25" hidden="1" customHeight="1" x14ac:dyDescent="0.2">
      <c r="A1044" s="867"/>
      <c r="C1044" s="701"/>
      <c r="D1044" s="702"/>
      <c r="E1044" s="703"/>
      <c r="F1044" s="703"/>
      <c r="G1044" s="703"/>
      <c r="H1044" s="703"/>
      <c r="I1044" s="703"/>
      <c r="J1044" s="703"/>
      <c r="K1044" s="703"/>
      <c r="L1044" s="703"/>
      <c r="M1044" s="703"/>
      <c r="N1044" s="703"/>
      <c r="O1044" s="703"/>
      <c r="P1044" s="703"/>
      <c r="Q1044" s="703"/>
      <c r="R1044" s="703"/>
      <c r="S1044" s="703"/>
      <c r="T1044" s="703"/>
      <c r="U1044" s="703"/>
      <c r="V1044" s="703"/>
      <c r="W1044" s="703"/>
      <c r="X1044" s="703"/>
      <c r="Y1044" s="703"/>
      <c r="Z1044" s="703"/>
      <c r="AA1044" s="703"/>
      <c r="AB1044" s="703"/>
      <c r="AC1044" s="703"/>
      <c r="AD1044" s="703"/>
      <c r="AE1044" s="703"/>
      <c r="AF1044" s="703"/>
      <c r="AG1044" s="703"/>
      <c r="AH1044" s="703"/>
      <c r="AI1044" s="703"/>
      <c r="AJ1044" s="703"/>
      <c r="AK1044" s="703"/>
      <c r="AL1044" s="703"/>
      <c r="AM1044" s="703"/>
      <c r="AN1044" s="703"/>
      <c r="AO1044" s="704"/>
      <c r="AP1044" s="705"/>
      <c r="AQ1044" s="698"/>
      <c r="AS1044" s="220"/>
      <c r="AV1044" s="699"/>
      <c r="AW1044" s="700"/>
      <c r="AX1044" s="382"/>
      <c r="AY1044" s="379"/>
      <c r="AZ1044" s="384"/>
      <c r="BA1044" s="642"/>
    </row>
    <row r="1045" spans="1:53" ht="11.25" hidden="1" customHeight="1" x14ac:dyDescent="0.2">
      <c r="A1045" s="867"/>
      <c r="C1045" s="701"/>
      <c r="D1045" s="702"/>
      <c r="E1045" s="703"/>
      <c r="F1045" s="703"/>
      <c r="G1045" s="703"/>
      <c r="H1045" s="703"/>
      <c r="I1045" s="703"/>
      <c r="J1045" s="703"/>
      <c r="K1045" s="703"/>
      <c r="L1045" s="703"/>
      <c r="M1045" s="703"/>
      <c r="N1045" s="703"/>
      <c r="O1045" s="703"/>
      <c r="P1045" s="703"/>
      <c r="Q1045" s="703"/>
      <c r="R1045" s="703"/>
      <c r="S1045" s="703"/>
      <c r="T1045" s="703"/>
      <c r="U1045" s="703"/>
      <c r="V1045" s="703"/>
      <c r="W1045" s="703"/>
      <c r="X1045" s="703"/>
      <c r="Y1045" s="703"/>
      <c r="Z1045" s="703"/>
      <c r="AA1045" s="703"/>
      <c r="AB1045" s="703"/>
      <c r="AC1045" s="703"/>
      <c r="AD1045" s="703"/>
      <c r="AE1045" s="703"/>
      <c r="AF1045" s="703"/>
      <c r="AG1045" s="703"/>
      <c r="AH1045" s="703"/>
      <c r="AI1045" s="703"/>
      <c r="AJ1045" s="703"/>
      <c r="AK1045" s="703"/>
      <c r="AL1045" s="703"/>
      <c r="AM1045" s="703"/>
      <c r="AN1045" s="703"/>
      <c r="AO1045" s="704"/>
      <c r="AP1045" s="705"/>
      <c r="AQ1045" s="698"/>
      <c r="AS1045" s="220"/>
      <c r="AV1045" s="699"/>
      <c r="AW1045" s="700"/>
      <c r="AX1045" s="382"/>
      <c r="AY1045" s="379"/>
      <c r="AZ1045" s="384"/>
      <c r="BA1045" s="642"/>
    </row>
    <row r="1046" spans="1:53" ht="11.25" hidden="1" customHeight="1" x14ac:dyDescent="0.2">
      <c r="A1046" s="867"/>
      <c r="C1046" s="706"/>
      <c r="D1046" s="707"/>
      <c r="E1046" s="708"/>
      <c r="F1046" s="708"/>
      <c r="G1046" s="708"/>
      <c r="H1046" s="708"/>
      <c r="I1046" s="708"/>
      <c r="J1046" s="708"/>
      <c r="K1046" s="708"/>
      <c r="L1046" s="708"/>
      <c r="M1046" s="708"/>
      <c r="N1046" s="708"/>
      <c r="O1046" s="708"/>
      <c r="P1046" s="708"/>
      <c r="Q1046" s="708"/>
      <c r="R1046" s="708"/>
      <c r="S1046" s="708"/>
      <c r="T1046" s="708"/>
      <c r="U1046" s="708"/>
      <c r="V1046" s="708"/>
      <c r="W1046" s="708"/>
      <c r="X1046" s="708"/>
      <c r="Y1046" s="708"/>
      <c r="Z1046" s="708"/>
      <c r="AA1046" s="708"/>
      <c r="AB1046" s="708"/>
      <c r="AC1046" s="708"/>
      <c r="AD1046" s="708"/>
      <c r="AE1046" s="708"/>
      <c r="AF1046" s="708"/>
      <c r="AG1046" s="708"/>
      <c r="AH1046" s="708"/>
      <c r="AI1046" s="708"/>
      <c r="AJ1046" s="708"/>
      <c r="AK1046" s="708"/>
      <c r="AL1046" s="708"/>
      <c r="AM1046" s="708"/>
      <c r="AN1046" s="708"/>
      <c r="AO1046" s="709"/>
      <c r="AP1046" s="710"/>
      <c r="AQ1046" s="698"/>
      <c r="AS1046" s="220"/>
      <c r="AV1046" s="699"/>
      <c r="AW1046" s="700"/>
      <c r="AX1046" s="382"/>
      <c r="AY1046" s="379"/>
      <c r="AZ1046" s="384"/>
      <c r="BA1046" s="642"/>
    </row>
    <row r="1047" spans="1:53" ht="13.5" hidden="1" customHeight="1" x14ac:dyDescent="0.2">
      <c r="A1047" s="867"/>
      <c r="AV1047" s="699"/>
      <c r="AW1047" s="700"/>
      <c r="AX1047" s="642"/>
      <c r="AY1047" s="642"/>
      <c r="BA1047" s="642"/>
    </row>
  </sheetData>
  <sheetProtection password="CE76" sheet="1" objects="1" scenarios="1"/>
  <mergeCells count="54">
    <mergeCell ref="A198:A247"/>
    <mergeCell ref="D39:AQ39"/>
    <mergeCell ref="C41:C44"/>
    <mergeCell ref="T41:AA41"/>
    <mergeCell ref="T42:AA42"/>
    <mergeCell ref="T43:AA43"/>
    <mergeCell ref="T44:AA44"/>
    <mergeCell ref="L41:S41"/>
    <mergeCell ref="L42:S42"/>
    <mergeCell ref="AP112:AP114"/>
    <mergeCell ref="A48:A97"/>
    <mergeCell ref="A98:A147"/>
    <mergeCell ref="A148:A197"/>
    <mergeCell ref="AP362:AP364"/>
    <mergeCell ref="AP712:AP714"/>
    <mergeCell ref="L43:S43"/>
    <mergeCell ref="D41:K41"/>
    <mergeCell ref="D42:K42"/>
    <mergeCell ref="D43:K43"/>
    <mergeCell ref="L44:S44"/>
    <mergeCell ref="D44:K44"/>
    <mergeCell ref="AP62:AP64"/>
    <mergeCell ref="AP962:AP964"/>
    <mergeCell ref="AP1012:AP1014"/>
    <mergeCell ref="AP662:AP664"/>
    <mergeCell ref="AP162:AP164"/>
    <mergeCell ref="AP212:AP214"/>
    <mergeCell ref="AP512:AP514"/>
    <mergeCell ref="AP562:AP564"/>
    <mergeCell ref="AP912:AP914"/>
    <mergeCell ref="AP812:AP814"/>
    <mergeCell ref="AP862:AP864"/>
    <mergeCell ref="AP262:AP264"/>
    <mergeCell ref="AP312:AP314"/>
    <mergeCell ref="AP612:AP614"/>
    <mergeCell ref="AP762:AP764"/>
    <mergeCell ref="AP412:AP414"/>
    <mergeCell ref="AP462:AP464"/>
    <mergeCell ref="A248:A297"/>
    <mergeCell ref="A298:A347"/>
    <mergeCell ref="A348:A397"/>
    <mergeCell ref="A398:A447"/>
    <mergeCell ref="A598:A647"/>
    <mergeCell ref="A448:A497"/>
    <mergeCell ref="A498:A547"/>
    <mergeCell ref="A548:A597"/>
    <mergeCell ref="A998:A1047"/>
    <mergeCell ref="A648:A697"/>
    <mergeCell ref="A698:A747"/>
    <mergeCell ref="A748:A797"/>
    <mergeCell ref="A798:A847"/>
    <mergeCell ref="A848:A897"/>
    <mergeCell ref="A948:A997"/>
    <mergeCell ref="A898:A947"/>
  </mergeCells>
  <phoneticPr fontId="0" type="noConversion"/>
  <conditionalFormatting sqref="AQ1017:AQ1046 AQ117:AQ146 AQ67:AQ96 AQ617:AQ646 AQ967:AQ996 AQ667:AQ696 AQ717:AQ746 AQ767:AQ796 AQ817:AQ846 AQ867:AQ896 AQ917:AQ946 AQ167:AQ196 AQ217:AQ246 AQ267:AQ296 AQ317:AQ346 AQ367:AQ396 AQ417:AQ446 AQ467:AQ496 AQ517:AQ546 AQ567:AQ596">
    <cfRule type="expression" dxfId="19" priority="1" stopIfTrue="1">
      <formula>OR($C67&lt;&gt;"",AQ67&lt;&gt;"")</formula>
    </cfRule>
  </conditionalFormatting>
  <conditionalFormatting sqref="AP115 AP915 AP65 AP615 AP965 AP665 AP715 AP765 AP815 AP865 AP1015 AP165 AP215 AP265 AP315 AP365 AP415 AP465 AP515 AP565">
    <cfRule type="cellIs" dxfId="18" priority="2" stopIfTrue="1" operator="lessThan">
      <formula>0</formula>
    </cfRule>
    <cfRule type="expression" dxfId="17" priority="3" stopIfTrue="1">
      <formula>AND(ISNUMBER(AP65),AP65&gt;0)</formula>
    </cfRule>
  </conditionalFormatting>
  <conditionalFormatting sqref="D1015:AO1015 D915:AO915 E115:AO115 E65:AO65 D615:AO615 D965:AO965 D665:AO665 D715:AO715 D765:AO765 D815:AO815 D865:AO865 E165:AO165 E215:AO215 E265:AO265 E315:AO315 E365:AO365 E415:AO415 E465:AO465 E515:AO515 E565:AO565">
    <cfRule type="cellIs" dxfId="16" priority="4" stopIfTrue="1" operator="lessThan">
      <formula>0</formula>
    </cfRule>
    <cfRule type="expression" dxfId="15" priority="5" stopIfTrue="1">
      <formula>AND(ISNUMBER(D65),D65&gt;0)</formula>
    </cfRule>
  </conditionalFormatting>
  <conditionalFormatting sqref="C1017:C1046 C967:C996 C667:C696 C717:C746 C767:C796 C817:C846 C867:C896 C917:C946 C67:D96 C617:C646 C167:D196 C317:D346 C567:D596 C467:D496 C517:D546 C367:D396 AS478 C117:D146 C417:D446 C267:D296 C217:D246">
    <cfRule type="cellIs" dxfId="14" priority="6" stopIfTrue="1" operator="notEqual">
      <formula>""</formula>
    </cfRule>
  </conditionalFormatting>
  <conditionalFormatting sqref="D1014:AO1014 D914:AO914 E114:AO114 E64:AO64 D614:AO614 D964:AO964 D664:AO664 D714:AO714 D764:AO764 D814:AO814 D864:AO864 E164:AO164 E214:AO214 E264:AO264 E314:AO314 E364:AO364 E414:AO414 E464:AO464 E514:AO514 E564:AO564">
    <cfRule type="cellIs" dxfId="13" priority="7" stopIfTrue="1" operator="notEqual">
      <formula>""</formula>
    </cfRule>
  </conditionalFormatting>
  <conditionalFormatting sqref="D1013:AO1013 D913:AO913 E113:AO113 E63:AO63 D613:AO613 D963:AO963 D663:AO663 D713:AO713 D763:AO763 D813:AO813 D863:AO863 E163:AO163 E213:AO213 E263:AO263 E313:AO313 E363:AO363 E413:AO413 E463:AO463 E513:AO513 E563:AO563">
    <cfRule type="expression" dxfId="12" priority="8" stopIfTrue="1">
      <formula>ISNA(D63)</formula>
    </cfRule>
    <cfRule type="cellIs" dxfId="11" priority="9" stopIfTrue="1" operator="notEqual">
      <formula>""</formula>
    </cfRule>
  </conditionalFormatting>
  <conditionalFormatting sqref="AP917:AP946 AP117:AP146 AP67:AP96 AP617:AP646 AP967:AP996 AP667:AP696 AP717:AP746 AP767:AP796 AP817:AP846 AP867:AP896 AP1017:AP1046 AP167:AP196 AP217:AP246 AP267:AP296 AP317:AP346 AP367:AP396 AP417:AP446 AP467:AP496 AP517:AP546 AP567:AP596">
    <cfRule type="cellIs" dxfId="10" priority="10" stopIfTrue="1" operator="notEqual">
      <formula>""</formula>
    </cfRule>
  </conditionalFormatting>
  <conditionalFormatting sqref="E46:AO46">
    <cfRule type="cellIs" dxfId="9" priority="11" stopIfTrue="1" operator="equal">
      <formula>$C$58</formula>
    </cfRule>
  </conditionalFormatting>
  <conditionalFormatting sqref="D1016:AO1016 E116:AO116 D1012:AO1012 D612:AO612 D616:AO616 E66:AO66 D962:AO962 D966:AO966 D662:AO662 D666:AO666 D712:AO712 D716:AO716 D762:AO762 D766:AO766 D812:AO812 D816:AO816 D862:AO862 D866:AO866 D912:AO912 D916:AO916 E112:AO112 E62:AO62 E166:AO166 E216:AO216 E266:AO266 E316:AO316 E366:AO366 E416:AO416 E466:AO466 E516:AO516 E566:AO566 E162:AO162 E212:AO212 E262:AO262 E312:AO312 E362:AO362 E412:AO412 E462:AO462 E512:AO512 E562:AO562">
    <cfRule type="expression" dxfId="8" priority="12" stopIfTrue="1">
      <formula>D$46=$C$58</formula>
    </cfRule>
  </conditionalFormatting>
  <dataValidations count="2">
    <dataValidation type="whole" allowBlank="1" showInputMessage="1" showErrorMessage="1" sqref="D964:AO964 D914:AO914 E64:AO64 E114:AO114 E164:AO164 E214:AO214 E264:AO264 E314:AO314 E364:AO364 E414:AO414 E464:AO464 E514:AO514 D614:AO614 D1014:AO1014 D664:AO664 D714:AO714 D764:AO764 D814:AO814 D864:AO864 E564:AO564">
      <formula1>0</formula1>
      <formula2>10</formula2>
    </dataValidation>
    <dataValidation type="whole" allowBlank="1" showInputMessage="1" showErrorMessage="1" sqref="AP717:AP746 AP967:AP996 AP917:AP946 AP867:AP896 AP817:AP846 AP767:AP796 AP667:AP696 AP67:AP96 AP617:AP646 AP567:AP596 AP517:AP546 AP467:AP496 AP417:AP446 AP367:AP396 AP317:AP346 AP267:AP296 AP217:AP246 AP167:AP196 AP117:AP146 AP1017:AP1046">
      <formula1>-99</formula1>
      <formula2>99</formula2>
    </dataValidation>
  </dataValidations>
  <hyperlinks>
    <hyperlink ref="D41:K41" location="Gszer!A48" tooltip="Ugrás a csapathoz" display="Gszer!A48"/>
    <hyperlink ref="D42:K44" location="Gszer!A48" tooltip="Ugrás a csapathoz" display="Gszer!A48"/>
    <hyperlink ref="L41:S41" location="Gszer!A248" tooltip="Ugrás a csapathoz" display="Gszer!A248"/>
    <hyperlink ref="T41:AA41" location="Gszer!A448" tooltip="Ugrás a csapathoz" display="Gszer!A448"/>
    <hyperlink ref="L42:S44" location="Gszer!A48" tooltip="Ugrás a csapathoz" display="Gszer!A48"/>
    <hyperlink ref="D42:K42" location="Gszer!A98" tooltip="Ugrás a csapathoz" display="Gszer!A98"/>
    <hyperlink ref="D43:K43" location="Gszer!A148" tooltip="Ugrás a csapathoz" display="Gszer!A148"/>
    <hyperlink ref="D44:K44" location="Gszer!A198" tooltip="Ugrás a csapathoz" display="Gszer!A198"/>
    <hyperlink ref="L42:S42" location="Gszer!A298" tooltip="Ugrás a csapathoz" display="Gszer!A298"/>
    <hyperlink ref="L43:S43" location="Gszer!A348" tooltip="Ugrás a csapathoz" display="Gszer!A348"/>
    <hyperlink ref="L44:S44" location="Gszer!A398" tooltip="Ugrás a csapathoz" display="Gszer!A398"/>
    <hyperlink ref="T42:AA42" location="Gszer!A498" tooltip="Ugrás a csapathoz" display="Gszer!A498"/>
    <hyperlink ref="T43:AA43" location="Gszer!A548" tooltip="Ugrás a csapathoz" display="Gszer!A548"/>
  </hyperlinks>
  <pageMargins left="0.31496062992125984" right="0.31496062992125984" top="0.51181102362204722" bottom="0.51181102362204722" header="0.51181102362204722" footer="0.51181102362204722"/>
  <pageSetup paperSize="9" orientation="landscape" r:id="rId1"/>
  <headerFooter alignWithMargins="0"/>
  <rowBreaks count="19" manualBreakCount="19">
    <brk id="97" max="45" man="1"/>
    <brk id="147" max="45" man="1"/>
    <brk id="197" max="45" man="1"/>
    <brk id="247" max="45" man="1"/>
    <brk id="297" max="45" man="1"/>
    <brk id="347" max="45" man="1"/>
    <brk id="397" max="45" man="1"/>
    <brk id="447" max="45" man="1"/>
    <brk id="497" max="45" man="1"/>
    <brk id="547" max="45" man="1"/>
    <brk id="597" max="45" man="1"/>
    <brk id="647" max="45" man="1"/>
    <brk id="697" max="45" man="1"/>
    <brk id="747" max="45" man="1"/>
    <brk id="797" max="45" man="1"/>
    <brk id="847" max="45" man="1"/>
    <brk id="897" max="45" man="1"/>
    <brk id="947" max="45" man="1"/>
    <brk id="997" max="45" man="1"/>
  </rowBreaks>
  <drawing r:id="rId2"/>
  <picture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3">
    <pageSetUpPr autoPageBreaks="0"/>
  </sheetPr>
  <dimension ref="A1:R370"/>
  <sheetViews>
    <sheetView showGridLines="0" showRowColHeaders="0" zoomScaleNormal="100" workbookViewId="0">
      <pane ySplit="39" topLeftCell="A40" activePane="bottomLeft" state="frozen"/>
      <selection pane="bottomLeft"/>
    </sheetView>
  </sheetViews>
  <sheetFormatPr defaultColWidth="9.140625" defaultRowHeight="11.25" customHeight="1" x14ac:dyDescent="0.2"/>
  <cols>
    <col min="1" max="1" width="1.7109375" style="713" customWidth="1"/>
    <col min="2" max="2" width="4.28515625" style="169" customWidth="1"/>
    <col min="3" max="3" width="2.5703125" style="641" hidden="1" customWidth="1"/>
    <col min="4" max="4" width="3.7109375" style="642" hidden="1" customWidth="1"/>
    <col min="5" max="5" width="3.7109375" style="643" hidden="1" customWidth="1"/>
    <col min="6" max="6" width="5.7109375" style="642" hidden="1" customWidth="1"/>
    <col min="7" max="7" width="3.7109375" style="642" hidden="1" customWidth="1"/>
    <col min="8" max="8" width="3" style="641" hidden="1" customWidth="1"/>
    <col min="9" max="9" width="9.7109375" style="169" customWidth="1"/>
    <col min="10" max="10" width="34.42578125" style="644" customWidth="1"/>
    <col min="11" max="11" width="40.140625" style="644" customWidth="1"/>
    <col min="12" max="16" width="9.140625" style="169"/>
    <col min="17" max="17" width="7.7109375" style="169" customWidth="1"/>
    <col min="18" max="18" width="3.28515625" style="169" customWidth="1"/>
    <col min="19" max="16384" width="9.140625" style="169"/>
  </cols>
  <sheetData>
    <row r="1" spans="3:18" s="257" customFormat="1" ht="1.5" customHeight="1" x14ac:dyDescent="0.2">
      <c r="C1" s="714"/>
      <c r="D1" s="715"/>
      <c r="E1" s="716"/>
      <c r="F1" s="717"/>
      <c r="G1" s="718"/>
      <c r="H1" s="719"/>
      <c r="I1" s="764"/>
      <c r="J1" s="727"/>
      <c r="K1" s="727"/>
      <c r="L1" s="264"/>
      <c r="M1" s="264"/>
      <c r="N1" s="721"/>
      <c r="O1" s="721"/>
      <c r="P1" s="721"/>
      <c r="Q1" s="721"/>
      <c r="R1" s="721"/>
    </row>
    <row r="2" spans="3:18" s="257" customFormat="1" ht="0.75" customHeight="1" x14ac:dyDescent="0.2">
      <c r="C2" s="714"/>
      <c r="D2" s="715"/>
      <c r="E2" s="716"/>
      <c r="F2" s="717"/>
      <c r="G2" s="718"/>
      <c r="H2" s="719"/>
      <c r="I2" s="764"/>
      <c r="J2" s="727"/>
      <c r="K2" s="727"/>
      <c r="L2" s="264"/>
      <c r="M2" s="264"/>
      <c r="N2" s="721"/>
      <c r="O2" s="721"/>
      <c r="P2" s="721"/>
      <c r="Q2" s="721"/>
      <c r="R2" s="721"/>
    </row>
    <row r="3" spans="3:18" s="257" customFormat="1" ht="8.25" hidden="1" customHeight="1" x14ac:dyDescent="0.2">
      <c r="C3" s="714"/>
      <c r="D3" s="715"/>
      <c r="E3" s="716"/>
      <c r="F3" s="717"/>
      <c r="G3" s="718"/>
      <c r="H3" s="719"/>
      <c r="I3" s="764"/>
      <c r="J3" s="727"/>
      <c r="K3" s="727"/>
      <c r="L3" s="264"/>
      <c r="M3" s="264"/>
      <c r="N3" s="721"/>
      <c r="O3" s="721"/>
      <c r="P3" s="721"/>
      <c r="Q3" s="721"/>
      <c r="R3" s="721"/>
    </row>
    <row r="4" spans="3:18" s="257" customFormat="1" ht="9" hidden="1" customHeight="1" x14ac:dyDescent="0.2">
      <c r="C4" s="714"/>
      <c r="D4" s="715"/>
      <c r="E4" s="716"/>
      <c r="F4" s="717"/>
      <c r="G4" s="718"/>
      <c r="H4" s="719"/>
      <c r="I4" s="764"/>
      <c r="J4" s="727"/>
      <c r="K4" s="727"/>
      <c r="L4" s="264"/>
      <c r="M4" s="264"/>
      <c r="N4" s="721"/>
      <c r="O4" s="721"/>
      <c r="P4" s="721"/>
      <c r="Q4" s="721"/>
      <c r="R4" s="721"/>
    </row>
    <row r="5" spans="3:18" s="257" customFormat="1" ht="9" hidden="1" customHeight="1" x14ac:dyDescent="0.2">
      <c r="C5" s="714"/>
      <c r="D5" s="715"/>
      <c r="E5" s="716"/>
      <c r="F5" s="717"/>
      <c r="G5" s="718"/>
      <c r="H5" s="719"/>
      <c r="I5" s="764"/>
      <c r="J5" s="727"/>
      <c r="K5" s="727"/>
      <c r="L5" s="264"/>
      <c r="M5" s="264"/>
      <c r="N5" s="721"/>
      <c r="O5" s="721"/>
      <c r="P5" s="721"/>
      <c r="Q5" s="721"/>
      <c r="R5" s="721"/>
    </row>
    <row r="6" spans="3:18" s="257" customFormat="1" ht="9" hidden="1" customHeight="1" x14ac:dyDescent="0.2">
      <c r="C6" s="714"/>
      <c r="D6" s="715"/>
      <c r="E6" s="716"/>
      <c r="F6" s="717"/>
      <c r="G6" s="718"/>
      <c r="H6" s="719"/>
      <c r="I6" s="764"/>
      <c r="J6" s="727"/>
      <c r="K6" s="727"/>
      <c r="L6" s="264"/>
      <c r="M6" s="264"/>
      <c r="N6" s="721"/>
      <c r="O6" s="721"/>
      <c r="P6" s="721"/>
      <c r="Q6" s="721"/>
      <c r="R6" s="721"/>
    </row>
    <row r="7" spans="3:18" s="257" customFormat="1" ht="1.5" customHeight="1" x14ac:dyDescent="0.2">
      <c r="C7" s="714"/>
      <c r="D7" s="715"/>
      <c r="E7" s="716"/>
      <c r="F7" s="717"/>
      <c r="G7" s="718"/>
      <c r="H7" s="719"/>
      <c r="I7" s="764"/>
      <c r="J7" s="727"/>
      <c r="K7" s="727"/>
      <c r="L7" s="264"/>
      <c r="M7" s="264"/>
      <c r="N7" s="721"/>
      <c r="O7" s="721"/>
      <c r="P7" s="721"/>
      <c r="Q7" s="721"/>
      <c r="R7" s="721"/>
    </row>
    <row r="8" spans="3:18" s="257" customFormat="1" ht="0.75" customHeight="1" x14ac:dyDescent="0.2">
      <c r="C8" s="714"/>
      <c r="D8" s="715"/>
      <c r="E8" s="716"/>
      <c r="F8" s="717"/>
      <c r="G8" s="718"/>
      <c r="H8" s="719"/>
      <c r="I8" s="764"/>
      <c r="J8" s="727"/>
      <c r="K8" s="727"/>
      <c r="L8" s="264"/>
      <c r="M8" s="264"/>
      <c r="N8" s="721"/>
      <c r="O8" s="721"/>
      <c r="P8" s="721"/>
      <c r="Q8" s="721"/>
      <c r="R8" s="721"/>
    </row>
    <row r="9" spans="3:18" s="257" customFormat="1" ht="1.5" customHeight="1" x14ac:dyDescent="0.2">
      <c r="C9" s="714"/>
      <c r="D9" s="715"/>
      <c r="E9" s="716"/>
      <c r="F9" s="717"/>
      <c r="G9" s="718"/>
      <c r="H9" s="719"/>
      <c r="I9" s="764"/>
      <c r="J9" s="727"/>
      <c r="K9" s="727"/>
      <c r="L9" s="264"/>
      <c r="M9" s="264"/>
      <c r="N9" s="721"/>
      <c r="O9" s="721"/>
      <c r="P9" s="721"/>
      <c r="Q9" s="721"/>
      <c r="R9" s="721"/>
    </row>
    <row r="10" spans="3:18" s="257" customFormat="1" ht="0.75" customHeight="1" x14ac:dyDescent="0.2">
      <c r="C10" s="714"/>
      <c r="D10" s="715"/>
      <c r="E10" s="716"/>
      <c r="F10" s="717"/>
      <c r="G10" s="718"/>
      <c r="H10" s="719"/>
      <c r="I10" s="764"/>
      <c r="J10" s="727"/>
      <c r="K10" s="727"/>
      <c r="L10" s="264"/>
      <c r="M10" s="264"/>
      <c r="N10" s="721"/>
      <c r="O10" s="721"/>
      <c r="P10" s="721"/>
      <c r="Q10" s="721"/>
      <c r="R10" s="721"/>
    </row>
    <row r="11" spans="3:18" s="257" customFormat="1" ht="1.5" customHeight="1" x14ac:dyDescent="0.2">
      <c r="C11" s="714"/>
      <c r="D11" s="715"/>
      <c r="E11" s="716"/>
      <c r="F11" s="717"/>
      <c r="G11" s="718"/>
      <c r="H11" s="719"/>
      <c r="I11" s="764"/>
      <c r="J11" s="727"/>
      <c r="K11" s="727"/>
      <c r="L11" s="264"/>
      <c r="M11" s="264"/>
      <c r="N11" s="721"/>
      <c r="O11" s="721"/>
      <c r="P11" s="721"/>
      <c r="Q11" s="721"/>
      <c r="R11" s="721"/>
    </row>
    <row r="12" spans="3:18" s="257" customFormat="1" ht="0.75" customHeight="1" x14ac:dyDescent="0.2">
      <c r="C12" s="714"/>
      <c r="D12" s="715"/>
      <c r="E12" s="716"/>
      <c r="F12" s="717"/>
      <c r="G12" s="718"/>
      <c r="H12" s="719"/>
      <c r="I12" s="764"/>
      <c r="J12" s="727"/>
      <c r="K12" s="727"/>
      <c r="L12" s="264"/>
      <c r="M12" s="264"/>
      <c r="N12" s="721"/>
      <c r="O12" s="721"/>
      <c r="P12" s="721"/>
      <c r="Q12" s="721"/>
      <c r="R12" s="721"/>
    </row>
    <row r="13" spans="3:18" s="257" customFormat="1" ht="1.5" customHeight="1" x14ac:dyDescent="0.2">
      <c r="C13" s="714"/>
      <c r="D13" s="715"/>
      <c r="E13" s="716"/>
      <c r="F13" s="717"/>
      <c r="G13" s="718"/>
      <c r="H13" s="719"/>
      <c r="I13" s="764"/>
      <c r="J13" s="727"/>
      <c r="K13" s="727"/>
      <c r="L13" s="264"/>
      <c r="M13" s="264"/>
      <c r="N13" s="721"/>
      <c r="O13" s="721"/>
      <c r="P13" s="721"/>
      <c r="Q13" s="721"/>
      <c r="R13" s="721"/>
    </row>
    <row r="14" spans="3:18" s="257" customFormat="1" ht="0.75" customHeight="1" x14ac:dyDescent="0.2">
      <c r="C14" s="714"/>
      <c r="D14" s="715"/>
      <c r="E14" s="716"/>
      <c r="F14" s="717"/>
      <c r="G14" s="718"/>
      <c r="H14" s="719"/>
      <c r="I14" s="764"/>
      <c r="J14" s="727"/>
      <c r="K14" s="727"/>
      <c r="L14" s="264"/>
      <c r="M14" s="264"/>
      <c r="N14" s="721"/>
      <c r="O14" s="721"/>
      <c r="P14" s="721"/>
      <c r="Q14" s="721"/>
      <c r="R14" s="721"/>
    </row>
    <row r="15" spans="3:18" s="257" customFormat="1" ht="1.5" customHeight="1" x14ac:dyDescent="0.2">
      <c r="C15" s="714"/>
      <c r="D15" s="715"/>
      <c r="E15" s="716"/>
      <c r="F15" s="717"/>
      <c r="G15" s="718"/>
      <c r="H15" s="719"/>
      <c r="I15" s="764"/>
      <c r="J15" s="727"/>
      <c r="K15" s="727"/>
      <c r="L15" s="264"/>
      <c r="M15" s="264"/>
      <c r="N15" s="721"/>
      <c r="O15" s="721"/>
      <c r="P15" s="721"/>
      <c r="Q15" s="721"/>
      <c r="R15" s="721"/>
    </row>
    <row r="16" spans="3:18" s="257" customFormat="1" ht="0.75" customHeight="1" x14ac:dyDescent="0.2">
      <c r="C16" s="714"/>
      <c r="D16" s="715"/>
      <c r="E16" s="716"/>
      <c r="F16" s="717"/>
      <c r="G16" s="718"/>
      <c r="H16" s="719"/>
      <c r="I16" s="764"/>
      <c r="J16" s="727"/>
      <c r="K16" s="727"/>
      <c r="L16" s="264"/>
      <c r="M16" s="264"/>
      <c r="N16" s="721"/>
      <c r="O16" s="721"/>
      <c r="P16" s="721"/>
      <c r="Q16" s="721"/>
      <c r="R16" s="721"/>
    </row>
    <row r="17" spans="3:18" s="257" customFormat="1" ht="1.5" customHeight="1" x14ac:dyDescent="0.2">
      <c r="C17" s="714"/>
      <c r="D17" s="715"/>
      <c r="E17" s="716"/>
      <c r="F17" s="717"/>
      <c r="G17" s="718"/>
      <c r="H17" s="719"/>
      <c r="I17" s="764"/>
      <c r="J17" s="727"/>
      <c r="K17" s="727"/>
      <c r="L17" s="264"/>
      <c r="M17" s="264"/>
      <c r="N17" s="721"/>
      <c r="O17" s="721"/>
      <c r="P17" s="721"/>
      <c r="Q17" s="721"/>
      <c r="R17" s="721"/>
    </row>
    <row r="18" spans="3:18" s="257" customFormat="1" ht="0.75" customHeight="1" x14ac:dyDescent="0.2">
      <c r="C18" s="714"/>
      <c r="D18" s="715"/>
      <c r="E18" s="716"/>
      <c r="F18" s="717"/>
      <c r="G18" s="718"/>
      <c r="H18" s="719"/>
      <c r="I18" s="764"/>
      <c r="J18" s="727"/>
      <c r="K18" s="727"/>
      <c r="L18" s="264"/>
      <c r="M18" s="264"/>
      <c r="N18" s="721"/>
      <c r="O18" s="721"/>
      <c r="P18" s="721"/>
      <c r="Q18" s="721"/>
      <c r="R18" s="721"/>
    </row>
    <row r="19" spans="3:18" s="257" customFormat="1" ht="1.5" customHeight="1" x14ac:dyDescent="0.2">
      <c r="C19" s="714"/>
      <c r="D19" s="715"/>
      <c r="E19" s="716"/>
      <c r="F19" s="717"/>
      <c r="G19" s="718"/>
      <c r="H19" s="719"/>
      <c r="I19" s="764"/>
      <c r="J19" s="727"/>
      <c r="K19" s="727"/>
      <c r="L19" s="264"/>
      <c r="M19" s="264"/>
      <c r="N19" s="721"/>
      <c r="O19" s="721"/>
      <c r="P19" s="721"/>
      <c r="Q19" s="721"/>
      <c r="R19" s="721"/>
    </row>
    <row r="20" spans="3:18" s="257" customFormat="1" ht="0.75" customHeight="1" x14ac:dyDescent="0.2">
      <c r="C20" s="714"/>
      <c r="D20" s="715"/>
      <c r="E20" s="716"/>
      <c r="F20" s="717"/>
      <c r="G20" s="718"/>
      <c r="H20" s="719"/>
      <c r="I20" s="764"/>
      <c r="J20" s="727"/>
      <c r="K20" s="727"/>
      <c r="L20" s="264"/>
      <c r="M20" s="264"/>
      <c r="N20" s="721"/>
      <c r="O20" s="721"/>
      <c r="P20" s="721"/>
      <c r="Q20" s="721"/>
      <c r="R20" s="721"/>
    </row>
    <row r="21" spans="3:18" s="257" customFormat="1" ht="1.5" customHeight="1" x14ac:dyDescent="0.2">
      <c r="C21" s="714"/>
      <c r="D21" s="715"/>
      <c r="E21" s="716"/>
      <c r="F21" s="717"/>
      <c r="G21" s="718"/>
      <c r="H21" s="719"/>
      <c r="I21" s="764"/>
      <c r="J21" s="727"/>
      <c r="K21" s="727"/>
      <c r="L21" s="264"/>
      <c r="M21" s="264"/>
      <c r="N21" s="721"/>
      <c r="O21" s="721"/>
      <c r="P21" s="721"/>
      <c r="Q21" s="721"/>
      <c r="R21" s="721"/>
    </row>
    <row r="22" spans="3:18" s="257" customFormat="1" ht="0.75" customHeight="1" x14ac:dyDescent="0.2">
      <c r="C22" s="714"/>
      <c r="D22" s="715"/>
      <c r="E22" s="716"/>
      <c r="F22" s="717"/>
      <c r="G22" s="718"/>
      <c r="H22" s="719"/>
      <c r="I22" s="764"/>
      <c r="J22" s="727"/>
      <c r="K22" s="727"/>
      <c r="L22" s="264"/>
      <c r="M22" s="264"/>
      <c r="N22" s="721"/>
      <c r="O22" s="721"/>
      <c r="P22" s="721"/>
      <c r="Q22" s="721"/>
      <c r="R22" s="721"/>
    </row>
    <row r="23" spans="3:18" s="257" customFormat="1" ht="1.5" customHeight="1" x14ac:dyDescent="0.2">
      <c r="C23" s="714"/>
      <c r="D23" s="715"/>
      <c r="E23" s="716"/>
      <c r="F23" s="717"/>
      <c r="G23" s="718"/>
      <c r="H23" s="719"/>
      <c r="I23" s="764"/>
      <c r="J23" s="727"/>
      <c r="K23" s="727"/>
      <c r="L23" s="264"/>
      <c r="M23" s="264"/>
      <c r="N23" s="721"/>
      <c r="O23" s="721"/>
      <c r="P23" s="721"/>
      <c r="Q23" s="721"/>
      <c r="R23" s="721"/>
    </row>
    <row r="24" spans="3:18" s="257" customFormat="1" ht="0.75" customHeight="1" x14ac:dyDescent="0.2">
      <c r="C24" s="714"/>
      <c r="D24" s="715"/>
      <c r="E24" s="716"/>
      <c r="F24" s="717"/>
      <c r="G24" s="718"/>
      <c r="H24" s="719"/>
      <c r="I24" s="764"/>
      <c r="J24" s="727"/>
      <c r="K24" s="727"/>
      <c r="L24" s="264"/>
      <c r="M24" s="264"/>
      <c r="N24" s="721"/>
      <c r="O24" s="721"/>
      <c r="P24" s="721"/>
      <c r="Q24" s="721"/>
      <c r="R24" s="721"/>
    </row>
    <row r="25" spans="3:18" s="257" customFormat="1" ht="1.5" customHeight="1" x14ac:dyDescent="0.2">
      <c r="C25" s="714"/>
      <c r="D25" s="715"/>
      <c r="E25" s="716"/>
      <c r="F25" s="717"/>
      <c r="G25" s="718"/>
      <c r="H25" s="719"/>
      <c r="I25" s="764"/>
      <c r="J25" s="727"/>
      <c r="K25" s="727"/>
      <c r="L25" s="264"/>
      <c r="M25" s="264"/>
      <c r="N25" s="721"/>
      <c r="O25" s="721"/>
      <c r="P25" s="721"/>
      <c r="Q25" s="721"/>
      <c r="R25" s="721"/>
    </row>
    <row r="26" spans="3:18" s="257" customFormat="1" ht="0.75" customHeight="1" x14ac:dyDescent="0.2">
      <c r="C26" s="714"/>
      <c r="D26" s="715"/>
      <c r="E26" s="716"/>
      <c r="F26" s="717"/>
      <c r="G26" s="718"/>
      <c r="H26" s="719"/>
      <c r="I26" s="764"/>
      <c r="J26" s="727"/>
      <c r="K26" s="727"/>
      <c r="L26" s="264"/>
      <c r="M26" s="264"/>
      <c r="N26" s="721"/>
      <c r="O26" s="721"/>
      <c r="P26" s="721"/>
      <c r="Q26" s="721"/>
      <c r="R26" s="721"/>
    </row>
    <row r="27" spans="3:18" s="257" customFormat="1" ht="1.5" customHeight="1" x14ac:dyDescent="0.2">
      <c r="C27" s="714"/>
      <c r="D27" s="715"/>
      <c r="E27" s="716"/>
      <c r="F27" s="717"/>
      <c r="G27" s="718"/>
      <c r="H27" s="719"/>
      <c r="I27" s="764"/>
      <c r="J27" s="727"/>
      <c r="K27" s="727"/>
      <c r="L27" s="264"/>
      <c r="M27" s="264"/>
      <c r="N27" s="721"/>
      <c r="O27" s="721"/>
      <c r="P27" s="721"/>
      <c r="Q27" s="721"/>
      <c r="R27" s="721"/>
    </row>
    <row r="28" spans="3:18" s="257" customFormat="1" ht="0.75" customHeight="1" x14ac:dyDescent="0.2">
      <c r="C28" s="714"/>
      <c r="D28" s="715"/>
      <c r="E28" s="716"/>
      <c r="F28" s="717"/>
      <c r="G28" s="718"/>
      <c r="H28" s="719"/>
      <c r="I28" s="764"/>
      <c r="J28" s="727"/>
      <c r="K28" s="727"/>
      <c r="L28" s="264"/>
      <c r="M28" s="264"/>
      <c r="N28" s="721"/>
      <c r="O28" s="721"/>
      <c r="P28" s="721"/>
      <c r="Q28" s="721"/>
      <c r="R28" s="721"/>
    </row>
    <row r="29" spans="3:18" s="257" customFormat="1" ht="1.5" customHeight="1" x14ac:dyDescent="0.2">
      <c r="C29" s="714"/>
      <c r="D29" s="715"/>
      <c r="E29" s="716"/>
      <c r="F29" s="717"/>
      <c r="G29" s="718"/>
      <c r="H29" s="719"/>
      <c r="I29" s="764"/>
      <c r="J29" s="727"/>
      <c r="K29" s="727"/>
      <c r="L29" s="264"/>
      <c r="M29" s="264"/>
      <c r="N29" s="721"/>
      <c r="O29" s="721"/>
      <c r="P29" s="721"/>
      <c r="Q29" s="721"/>
      <c r="R29" s="721"/>
    </row>
    <row r="30" spans="3:18" s="257" customFormat="1" ht="0.75" customHeight="1" x14ac:dyDescent="0.2">
      <c r="C30" s="714"/>
      <c r="D30" s="715"/>
      <c r="E30" s="716"/>
      <c r="F30" s="717"/>
      <c r="G30" s="718"/>
      <c r="H30" s="719"/>
      <c r="I30" s="764"/>
      <c r="J30" s="727"/>
      <c r="K30" s="727"/>
      <c r="L30" s="264"/>
      <c r="M30" s="264"/>
      <c r="N30" s="721"/>
      <c r="O30" s="721"/>
      <c r="P30" s="721"/>
      <c r="Q30" s="721"/>
      <c r="R30" s="721"/>
    </row>
    <row r="31" spans="3:18" s="257" customFormat="1" ht="1.5" customHeight="1" x14ac:dyDescent="0.2">
      <c r="C31" s="714"/>
      <c r="D31" s="715"/>
      <c r="E31" s="716"/>
      <c r="F31" s="717"/>
      <c r="G31" s="718"/>
      <c r="H31" s="719"/>
      <c r="I31" s="764"/>
      <c r="J31" s="727"/>
      <c r="K31" s="727"/>
      <c r="L31" s="264"/>
      <c r="M31" s="264"/>
      <c r="N31" s="721"/>
      <c r="O31" s="721"/>
      <c r="P31" s="721"/>
      <c r="Q31" s="721"/>
      <c r="R31" s="721"/>
    </row>
    <row r="32" spans="3:18" s="257" customFormat="1" ht="0.75" customHeight="1" x14ac:dyDescent="0.2">
      <c r="C32" s="714"/>
      <c r="D32" s="715"/>
      <c r="E32" s="716"/>
      <c r="F32" s="717"/>
      <c r="G32" s="718"/>
      <c r="H32" s="719"/>
      <c r="I32" s="764"/>
      <c r="J32" s="727"/>
      <c r="K32" s="727"/>
      <c r="L32" s="264"/>
      <c r="M32" s="264"/>
      <c r="N32" s="721"/>
      <c r="O32" s="721"/>
      <c r="P32" s="721"/>
      <c r="Q32" s="721"/>
      <c r="R32" s="721"/>
    </row>
    <row r="33" spans="1:18" s="257" customFormat="1" ht="1.5" customHeight="1" x14ac:dyDescent="0.2">
      <c r="C33" s="714"/>
      <c r="D33" s="715"/>
      <c r="E33" s="716"/>
      <c r="F33" s="717"/>
      <c r="G33" s="718"/>
      <c r="H33" s="719"/>
      <c r="I33" s="764"/>
      <c r="J33" s="727"/>
      <c r="K33" s="727"/>
      <c r="L33" s="264"/>
      <c r="M33" s="264"/>
      <c r="N33" s="721"/>
      <c r="O33" s="721"/>
      <c r="P33" s="721"/>
      <c r="Q33" s="721"/>
      <c r="R33" s="721"/>
    </row>
    <row r="34" spans="1:18" s="257" customFormat="1" ht="0.75" customHeight="1" x14ac:dyDescent="0.2">
      <c r="C34" s="714"/>
      <c r="D34" s="715"/>
      <c r="E34" s="716"/>
      <c r="F34" s="717"/>
      <c r="G34" s="718"/>
      <c r="H34" s="719"/>
      <c r="I34" s="764"/>
      <c r="J34" s="727"/>
      <c r="K34" s="727"/>
      <c r="L34" s="264"/>
      <c r="M34" s="264"/>
      <c r="N34" s="721"/>
      <c r="O34" s="721"/>
      <c r="P34" s="721"/>
      <c r="Q34" s="721"/>
      <c r="R34" s="721"/>
    </row>
    <row r="35" spans="1:18" s="257" customFormat="1" ht="1.5" customHeight="1" x14ac:dyDescent="0.2">
      <c r="C35" s="714"/>
      <c r="D35" s="715"/>
      <c r="E35" s="716"/>
      <c r="F35" s="717"/>
      <c r="G35" s="718"/>
      <c r="H35" s="719"/>
      <c r="I35" s="764"/>
      <c r="J35" s="727"/>
      <c r="K35" s="727"/>
      <c r="L35" s="264"/>
      <c r="M35" s="264"/>
      <c r="N35" s="721"/>
      <c r="O35" s="721"/>
      <c r="P35" s="721"/>
      <c r="Q35" s="721"/>
      <c r="R35" s="721"/>
    </row>
    <row r="36" spans="1:18" s="257" customFormat="1" ht="0.75" customHeight="1" x14ac:dyDescent="0.2">
      <c r="C36" s="714"/>
      <c r="D36" s="715"/>
      <c r="E36" s="716"/>
      <c r="F36" s="717"/>
      <c r="G36" s="718"/>
      <c r="H36" s="719"/>
      <c r="I36" s="764"/>
      <c r="J36" s="727"/>
      <c r="K36" s="727"/>
      <c r="L36" s="264"/>
      <c r="M36" s="264"/>
      <c r="N36" s="721"/>
      <c r="O36" s="721"/>
      <c r="P36" s="721"/>
      <c r="Q36" s="721"/>
      <c r="R36" s="721"/>
    </row>
    <row r="37" spans="1:18" s="257" customFormat="1" ht="1.5" customHeight="1" x14ac:dyDescent="0.2">
      <c r="C37" s="714"/>
      <c r="D37" s="715"/>
      <c r="E37" s="716"/>
      <c r="F37" s="717"/>
      <c r="G37" s="718"/>
      <c r="H37" s="719"/>
      <c r="I37" s="764"/>
      <c r="J37" s="727"/>
      <c r="K37" s="727"/>
      <c r="L37" s="264"/>
      <c r="M37" s="264"/>
      <c r="N37" s="721"/>
      <c r="O37" s="721"/>
      <c r="P37" s="721"/>
      <c r="Q37" s="721"/>
      <c r="R37" s="721"/>
    </row>
    <row r="38" spans="1:18" s="257" customFormat="1" ht="0.75" customHeight="1" x14ac:dyDescent="0.2">
      <c r="C38" s="714"/>
      <c r="D38" s="715"/>
      <c r="E38" s="716"/>
      <c r="F38" s="717"/>
      <c r="G38" s="718"/>
      <c r="H38" s="719"/>
      <c r="I38" s="764"/>
      <c r="J38" s="727"/>
      <c r="K38" s="727"/>
      <c r="L38" s="264"/>
      <c r="M38" s="264"/>
      <c r="N38" s="721"/>
      <c r="O38" s="721"/>
      <c r="P38" s="721"/>
      <c r="Q38" s="721"/>
      <c r="R38" s="721"/>
    </row>
    <row r="39" spans="1:18" s="726" customFormat="1" ht="12" customHeight="1" x14ac:dyDescent="0.2">
      <c r="A39" s="723"/>
      <c r="B39" s="256" t="s">
        <v>511</v>
      </c>
      <c r="C39" s="724"/>
      <c r="D39" s="728"/>
      <c r="E39" s="729"/>
      <c r="F39" s="730"/>
      <c r="G39" s="731"/>
      <c r="H39" s="732"/>
      <c r="I39" s="765"/>
      <c r="J39" s="733"/>
      <c r="K39" s="733"/>
      <c r="L39" s="734"/>
      <c r="M39" s="734"/>
      <c r="N39" s="725"/>
      <c r="O39" s="725"/>
      <c r="P39" s="725"/>
      <c r="Q39" s="725"/>
      <c r="R39" s="725"/>
    </row>
    <row r="40" spans="1:18" ht="13.5" customHeight="1" x14ac:dyDescent="0.2"/>
    <row r="41" spans="1:18" ht="15" customHeight="1" x14ac:dyDescent="0.2">
      <c r="E41" s="643">
        <v>1</v>
      </c>
      <c r="F41" s="645">
        <f t="shared" ref="F41:F104" si="0">LARGE(goalrank,E41)</f>
        <v>27.0304</v>
      </c>
      <c r="I41" s="766" t="str">
        <f t="shared" ref="I41:I104" si="1">IF(OR(F41&lt;1,ROUNDDOWN(F41,0)=ROUNDDOWN(F40,0)),"",CONCATENATE(ROUNDDOWN(F41,0)," GÓL "))</f>
        <v xml:space="preserve">27 GÓL </v>
      </c>
      <c r="J41" s="646" t="str">
        <f t="shared" ref="J41:J104" si="2">IF(F41&lt;1,"",CONCATENATE(" ",VLOOKUP(F41,goalname,3,FALSE)))</f>
        <v xml:space="preserve"> Nagy Gergő</v>
      </c>
      <c r="K41" s="646" t="str">
        <f t="shared" ref="K41:K104" ca="1" si="3">IF(F41&lt;1,"",CONCATENATE(" ",VLOOKUP(F41,goalname,2,FALSE)))</f>
        <v xml:space="preserve"> HERCULES-LUDOVIKA</v>
      </c>
    </row>
    <row r="42" spans="1:18" ht="15" customHeight="1" x14ac:dyDescent="0.2">
      <c r="E42" s="643">
        <v>2</v>
      </c>
      <c r="F42" s="645">
        <f t="shared" si="0"/>
        <v>20.035900000000002</v>
      </c>
      <c r="I42" s="766" t="str">
        <f t="shared" si="1"/>
        <v xml:space="preserve">20 GÓL </v>
      </c>
      <c r="J42" s="646" t="str">
        <f t="shared" si="2"/>
        <v xml:space="preserve"> Pap Zoltán</v>
      </c>
      <c r="K42" s="646" t="str">
        <f t="shared" ca="1" si="3"/>
        <v xml:space="preserve"> K&amp;H</v>
      </c>
    </row>
    <row r="43" spans="1:18" ht="15" customHeight="1" x14ac:dyDescent="0.2">
      <c r="E43" s="643">
        <v>3</v>
      </c>
      <c r="F43" s="645">
        <f t="shared" si="0"/>
        <v>19.0505</v>
      </c>
      <c r="I43" s="766" t="str">
        <f t="shared" si="1"/>
        <v xml:space="preserve">19 GÓL </v>
      </c>
      <c r="J43" s="646" t="str">
        <f t="shared" si="2"/>
        <v xml:space="preserve"> Holubák Tamás</v>
      </c>
      <c r="K43" s="646" t="str">
        <f t="shared" ca="1" si="3"/>
        <v xml:space="preserve"> ZRÍNYIGYÖNGYE</v>
      </c>
    </row>
    <row r="44" spans="1:18" ht="15" customHeight="1" x14ac:dyDescent="0.2">
      <c r="E44" s="643">
        <v>4</v>
      </c>
      <c r="F44" s="645">
        <f t="shared" si="0"/>
        <v>19.005700000000001</v>
      </c>
      <c r="I44" s="766" t="str">
        <f t="shared" si="1"/>
        <v/>
      </c>
      <c r="J44" s="646" t="str">
        <f t="shared" si="2"/>
        <v xml:space="preserve"> Fehér Krisztián</v>
      </c>
      <c r="K44" s="646" t="str">
        <f t="shared" ca="1" si="3"/>
        <v xml:space="preserve"> BBK</v>
      </c>
    </row>
    <row r="45" spans="1:18" ht="15" customHeight="1" x14ac:dyDescent="0.2">
      <c r="E45" s="643">
        <v>5</v>
      </c>
      <c r="F45" s="645">
        <f t="shared" si="0"/>
        <v>18.006399999999999</v>
      </c>
      <c r="I45" s="766" t="str">
        <f t="shared" si="1"/>
        <v xml:space="preserve">18 GÓL </v>
      </c>
      <c r="J45" s="646" t="str">
        <f t="shared" si="2"/>
        <v xml:space="preserve"> ifj. Nagy Rudolf</v>
      </c>
      <c r="K45" s="646" t="str">
        <f t="shared" ca="1" si="3"/>
        <v xml:space="preserve"> BBK</v>
      </c>
    </row>
    <row r="46" spans="1:18" ht="15" customHeight="1" x14ac:dyDescent="0.2">
      <c r="E46" s="643">
        <v>6</v>
      </c>
      <c r="F46" s="645">
        <f t="shared" si="0"/>
        <v>18.005800000000001</v>
      </c>
      <c r="I46" s="766" t="str">
        <f t="shared" si="1"/>
        <v/>
      </c>
      <c r="J46" s="646" t="str">
        <f t="shared" si="2"/>
        <v xml:space="preserve"> Fehér Norbert</v>
      </c>
      <c r="K46" s="646" t="str">
        <f t="shared" ca="1" si="3"/>
        <v xml:space="preserve"> BBK</v>
      </c>
    </row>
    <row r="47" spans="1:18" ht="15" customHeight="1" x14ac:dyDescent="0.2">
      <c r="E47" s="643">
        <v>7</v>
      </c>
      <c r="F47" s="645">
        <f t="shared" si="0"/>
        <v>17.036000000000001</v>
      </c>
      <c r="I47" s="766" t="str">
        <f t="shared" si="1"/>
        <v xml:space="preserve">17 GÓL </v>
      </c>
      <c r="J47" s="646" t="str">
        <f t="shared" si="2"/>
        <v xml:space="preserve"> Koczák Attila</v>
      </c>
      <c r="K47" s="646" t="str">
        <f t="shared" ca="1" si="3"/>
        <v xml:space="preserve"> K&amp;H</v>
      </c>
    </row>
    <row r="48" spans="1:18" ht="15" customHeight="1" x14ac:dyDescent="0.2">
      <c r="E48" s="643">
        <v>8</v>
      </c>
      <c r="F48" s="645">
        <f t="shared" si="0"/>
        <v>15.0456</v>
      </c>
      <c r="I48" s="766" t="str">
        <f t="shared" si="1"/>
        <v xml:space="preserve">15 GÓL </v>
      </c>
      <c r="J48" s="646" t="str">
        <f t="shared" si="2"/>
        <v xml:space="preserve"> Tóth István</v>
      </c>
      <c r="K48" s="646" t="str">
        <f t="shared" ca="1" si="3"/>
        <v xml:space="preserve"> VAKANA</v>
      </c>
    </row>
    <row r="49" spans="5:11" ht="15" customHeight="1" x14ac:dyDescent="0.2">
      <c r="E49" s="643">
        <v>9</v>
      </c>
      <c r="F49" s="645">
        <f t="shared" si="0"/>
        <v>15.0161</v>
      </c>
      <c r="I49" s="766" t="str">
        <f t="shared" si="1"/>
        <v/>
      </c>
      <c r="J49" s="646" t="str">
        <f t="shared" si="2"/>
        <v xml:space="preserve"> Nagy József</v>
      </c>
      <c r="K49" s="646" t="str">
        <f t="shared" ca="1" si="3"/>
        <v xml:space="preserve"> BŐRDÍSZMŰ</v>
      </c>
    </row>
    <row r="50" spans="5:11" ht="15" customHeight="1" x14ac:dyDescent="0.2">
      <c r="E50" s="643">
        <v>10</v>
      </c>
      <c r="F50" s="645">
        <f t="shared" si="0"/>
        <v>15.011200000000001</v>
      </c>
      <c r="I50" s="766" t="str">
        <f t="shared" si="1"/>
        <v/>
      </c>
      <c r="J50" s="646" t="str">
        <f t="shared" si="2"/>
        <v xml:space="preserve"> Mészáros Géza</v>
      </c>
      <c r="K50" s="646" t="str">
        <f t="shared" ca="1" si="3"/>
        <v xml:space="preserve"> BHD</v>
      </c>
    </row>
    <row r="51" spans="5:11" ht="15" customHeight="1" x14ac:dyDescent="0.2">
      <c r="E51" s="643">
        <v>11</v>
      </c>
      <c r="F51" s="645">
        <f t="shared" si="0"/>
        <v>15.010999999999999</v>
      </c>
      <c r="I51" s="766" t="str">
        <f t="shared" si="1"/>
        <v/>
      </c>
      <c r="J51" s="646" t="str">
        <f t="shared" si="2"/>
        <v xml:space="preserve"> Sárkány István</v>
      </c>
      <c r="K51" s="646" t="str">
        <f t="shared" ca="1" si="3"/>
        <v xml:space="preserve"> BHD</v>
      </c>
    </row>
    <row r="52" spans="5:11" ht="15" customHeight="1" x14ac:dyDescent="0.2">
      <c r="E52" s="643">
        <v>12</v>
      </c>
      <c r="F52" s="645">
        <f t="shared" si="0"/>
        <v>15.0059</v>
      </c>
      <c r="I52" s="766" t="str">
        <f t="shared" si="1"/>
        <v/>
      </c>
      <c r="J52" s="646" t="str">
        <f t="shared" si="2"/>
        <v xml:space="preserve"> Ferencz Péter</v>
      </c>
      <c r="K52" s="646" t="str">
        <f t="shared" ca="1" si="3"/>
        <v xml:space="preserve"> BBK</v>
      </c>
    </row>
    <row r="53" spans="5:11" ht="15" customHeight="1" x14ac:dyDescent="0.2">
      <c r="E53" s="643">
        <v>13</v>
      </c>
      <c r="F53" s="645">
        <f t="shared" si="0"/>
        <v>14.050599999999999</v>
      </c>
      <c r="I53" s="766" t="str">
        <f t="shared" si="1"/>
        <v xml:space="preserve">14 GÓL </v>
      </c>
      <c r="J53" s="646" t="str">
        <f t="shared" si="2"/>
        <v xml:space="preserve"> Szívós Sándor</v>
      </c>
      <c r="K53" s="646" t="str">
        <f t="shared" ca="1" si="3"/>
        <v xml:space="preserve"> ZRÍNYIGYÖNGYE</v>
      </c>
    </row>
    <row r="54" spans="5:11" ht="15" customHeight="1" x14ac:dyDescent="0.2">
      <c r="E54" s="643">
        <v>14</v>
      </c>
      <c r="F54" s="645">
        <f t="shared" si="0"/>
        <v>14.0261</v>
      </c>
      <c r="I54" s="766" t="str">
        <f t="shared" si="1"/>
        <v/>
      </c>
      <c r="J54" s="646" t="str">
        <f t="shared" si="2"/>
        <v xml:space="preserve"> Horváth Attila</v>
      </c>
      <c r="K54" s="646" t="str">
        <f t="shared" ca="1" si="3"/>
        <v xml:space="preserve"> ÉLELMESEK</v>
      </c>
    </row>
    <row r="55" spans="5:11" ht="15" customHeight="1" x14ac:dyDescent="0.2">
      <c r="E55" s="643">
        <v>15</v>
      </c>
      <c r="F55" s="645">
        <f t="shared" si="0"/>
        <v>13.035299999999999</v>
      </c>
      <c r="I55" s="766" t="str">
        <f t="shared" si="1"/>
        <v xml:space="preserve">13 GÓL </v>
      </c>
      <c r="J55" s="646" t="str">
        <f t="shared" si="2"/>
        <v xml:space="preserve"> Kiss Tamás</v>
      </c>
      <c r="K55" s="646" t="str">
        <f t="shared" ca="1" si="3"/>
        <v xml:space="preserve"> K&amp;H</v>
      </c>
    </row>
    <row r="56" spans="5:11" ht="15" customHeight="1" x14ac:dyDescent="0.2">
      <c r="E56" s="643">
        <v>16</v>
      </c>
      <c r="F56" s="645">
        <f t="shared" si="0"/>
        <v>13.0205</v>
      </c>
      <c r="I56" s="766" t="str">
        <f t="shared" si="1"/>
        <v/>
      </c>
      <c r="J56" s="646" t="str">
        <f t="shared" si="2"/>
        <v xml:space="preserve"> Oláh Sándor</v>
      </c>
      <c r="K56" s="646" t="str">
        <f t="shared" ca="1" si="3"/>
        <v xml:space="preserve"> CARBONÁSZ</v>
      </c>
    </row>
    <row r="57" spans="5:11" ht="15" customHeight="1" x14ac:dyDescent="0.2">
      <c r="E57" s="643">
        <v>17</v>
      </c>
      <c r="F57" s="645">
        <f t="shared" si="0"/>
        <v>12.051299999999999</v>
      </c>
      <c r="I57" s="766" t="str">
        <f t="shared" si="1"/>
        <v xml:space="preserve">12 GÓL </v>
      </c>
      <c r="J57" s="646" t="str">
        <f t="shared" si="2"/>
        <v xml:space="preserve"> Lénárt László</v>
      </c>
      <c r="K57" s="646" t="str">
        <f t="shared" ca="1" si="3"/>
        <v xml:space="preserve"> ZRÍNYIGYÖNGYE</v>
      </c>
    </row>
    <row r="58" spans="5:11" ht="13.5" customHeight="1" x14ac:dyDescent="0.2">
      <c r="E58" s="643">
        <v>18</v>
      </c>
      <c r="F58" s="645">
        <f t="shared" si="0"/>
        <v>12.045400000000001</v>
      </c>
      <c r="I58" s="766" t="str">
        <f t="shared" si="1"/>
        <v/>
      </c>
      <c r="J58" s="646" t="str">
        <f t="shared" si="2"/>
        <v xml:space="preserve"> Ballai Péter</v>
      </c>
      <c r="K58" s="646" t="str">
        <f t="shared" ca="1" si="3"/>
        <v xml:space="preserve"> VAKANA</v>
      </c>
    </row>
    <row r="59" spans="5:11" ht="13.5" customHeight="1" x14ac:dyDescent="0.2">
      <c r="E59" s="643">
        <v>19</v>
      </c>
      <c r="F59" s="645">
        <f t="shared" si="0"/>
        <v>11.0357</v>
      </c>
      <c r="I59" s="766" t="str">
        <f t="shared" si="1"/>
        <v xml:space="preserve">11 GÓL </v>
      </c>
      <c r="J59" s="646" t="str">
        <f t="shared" si="2"/>
        <v xml:space="preserve"> Kapala Krisztián</v>
      </c>
      <c r="K59" s="646" t="str">
        <f t="shared" ca="1" si="3"/>
        <v xml:space="preserve"> K&amp;H</v>
      </c>
    </row>
    <row r="60" spans="5:11" ht="13.5" customHeight="1" x14ac:dyDescent="0.2">
      <c r="E60" s="643">
        <v>20</v>
      </c>
      <c r="F60" s="645">
        <f t="shared" si="0"/>
        <v>11.0252</v>
      </c>
      <c r="I60" s="766" t="str">
        <f t="shared" si="1"/>
        <v/>
      </c>
      <c r="J60" s="646" t="str">
        <f t="shared" si="2"/>
        <v xml:space="preserve"> Domokos László</v>
      </c>
      <c r="K60" s="646" t="str">
        <f t="shared" ca="1" si="3"/>
        <v xml:space="preserve"> ÉLELMESEK</v>
      </c>
    </row>
    <row r="61" spans="5:11" ht="13.5" customHeight="1" x14ac:dyDescent="0.2">
      <c r="E61" s="643">
        <v>21</v>
      </c>
      <c r="F61" s="645">
        <f t="shared" si="0"/>
        <v>11.0063</v>
      </c>
      <c r="I61" s="766" t="str">
        <f t="shared" si="1"/>
        <v/>
      </c>
      <c r="J61" s="646" t="str">
        <f t="shared" si="2"/>
        <v xml:space="preserve"> Farkas Miklós</v>
      </c>
      <c r="K61" s="646" t="str">
        <f t="shared" ca="1" si="3"/>
        <v xml:space="preserve"> BBK</v>
      </c>
    </row>
    <row r="62" spans="5:11" ht="13.5" customHeight="1" x14ac:dyDescent="0.2">
      <c r="E62" s="643">
        <v>22</v>
      </c>
      <c r="F62" s="645">
        <f t="shared" si="0"/>
        <v>11.0014</v>
      </c>
      <c r="I62" s="766" t="str">
        <f t="shared" si="1"/>
        <v/>
      </c>
      <c r="J62" s="646" t="str">
        <f t="shared" si="2"/>
        <v xml:space="preserve"> Mándi Béla</v>
      </c>
      <c r="K62" s="646" t="str">
        <f t="shared" ca="1" si="3"/>
        <v xml:space="preserve"> BAKAFOGÓ-HONVÉD-SASHEGY SE</v>
      </c>
    </row>
    <row r="63" spans="5:11" ht="13.5" customHeight="1" x14ac:dyDescent="0.2">
      <c r="E63" s="643">
        <v>23</v>
      </c>
      <c r="F63" s="645">
        <f t="shared" si="0"/>
        <v>10.0509</v>
      </c>
      <c r="I63" s="766" t="str">
        <f t="shared" si="1"/>
        <v xml:space="preserve">10 GÓL </v>
      </c>
      <c r="J63" s="646" t="str">
        <f t="shared" si="2"/>
        <v xml:space="preserve"> Horváth László</v>
      </c>
      <c r="K63" s="646" t="str">
        <f t="shared" ca="1" si="3"/>
        <v xml:space="preserve"> ZRÍNYIGYÖNGYE</v>
      </c>
    </row>
    <row r="64" spans="5:11" ht="13.5" customHeight="1" x14ac:dyDescent="0.2">
      <c r="E64" s="643">
        <v>24</v>
      </c>
      <c r="F64" s="645">
        <f t="shared" si="0"/>
        <v>10.000299999999999</v>
      </c>
      <c r="I64" s="766" t="str">
        <f t="shared" si="1"/>
        <v/>
      </c>
      <c r="J64" s="646" t="str">
        <f t="shared" si="2"/>
        <v xml:space="preserve"> Torják Gábor</v>
      </c>
      <c r="K64" s="646" t="str">
        <f t="shared" ca="1" si="3"/>
        <v xml:space="preserve"> BAKAFOGÓ-HONVÉD-SASHEGY SE</v>
      </c>
    </row>
    <row r="65" spans="5:11" ht="13.5" customHeight="1" x14ac:dyDescent="0.2">
      <c r="E65" s="643">
        <v>25</v>
      </c>
      <c r="F65" s="645">
        <f t="shared" si="0"/>
        <v>9.0311000000000003</v>
      </c>
      <c r="I65" s="766" t="str">
        <f t="shared" si="1"/>
        <v xml:space="preserve">9 GÓL </v>
      </c>
      <c r="J65" s="646" t="str">
        <f t="shared" si="2"/>
        <v xml:space="preserve"> Soós Mihály</v>
      </c>
      <c r="K65" s="646" t="str">
        <f t="shared" ca="1" si="3"/>
        <v xml:space="preserve"> HERCULES-LUDOVIKA</v>
      </c>
    </row>
    <row r="66" spans="5:11" ht="13.5" customHeight="1" x14ac:dyDescent="0.2">
      <c r="E66" s="643">
        <v>26</v>
      </c>
      <c r="F66" s="645">
        <f t="shared" si="0"/>
        <v>9.0259999999999998</v>
      </c>
      <c r="I66" s="766" t="str">
        <f t="shared" si="1"/>
        <v/>
      </c>
      <c r="J66" s="646" t="str">
        <f t="shared" si="2"/>
        <v xml:space="preserve"> Lengyel Ákos</v>
      </c>
      <c r="K66" s="646" t="str">
        <f t="shared" ca="1" si="3"/>
        <v xml:space="preserve"> ÉLELMESEK</v>
      </c>
    </row>
    <row r="67" spans="5:11" ht="13.5" customHeight="1" x14ac:dyDescent="0.2">
      <c r="E67" s="643">
        <v>27</v>
      </c>
      <c r="F67" s="645">
        <f t="shared" si="0"/>
        <v>9.0106999999999999</v>
      </c>
      <c r="I67" s="766" t="str">
        <f t="shared" si="1"/>
        <v/>
      </c>
      <c r="J67" s="646" t="str">
        <f t="shared" si="2"/>
        <v xml:space="preserve"> Kálmán Dávid</v>
      </c>
      <c r="K67" s="646" t="str">
        <f t="shared" ca="1" si="3"/>
        <v xml:space="preserve"> BHD</v>
      </c>
    </row>
    <row r="68" spans="5:11" ht="13.5" customHeight="1" x14ac:dyDescent="0.2">
      <c r="E68" s="643">
        <v>28</v>
      </c>
      <c r="F68" s="645">
        <f t="shared" si="0"/>
        <v>8.0501000000000005</v>
      </c>
      <c r="I68" s="766" t="str">
        <f t="shared" si="1"/>
        <v xml:space="preserve">8 GÓL </v>
      </c>
      <c r="J68" s="646" t="str">
        <f t="shared" si="2"/>
        <v xml:space="preserve"> Török János</v>
      </c>
      <c r="K68" s="646" t="str">
        <f t="shared" ca="1" si="3"/>
        <v xml:space="preserve"> ZRÍNYIGYÖNGYE</v>
      </c>
    </row>
    <row r="69" spans="5:11" ht="13.5" customHeight="1" x14ac:dyDescent="0.2">
      <c r="E69" s="643">
        <v>29</v>
      </c>
      <c r="F69" s="645">
        <f t="shared" si="0"/>
        <v>8.0457000000000001</v>
      </c>
      <c r="I69" s="766" t="str">
        <f t="shared" si="1"/>
        <v/>
      </c>
      <c r="J69" s="646" t="str">
        <f t="shared" si="2"/>
        <v xml:space="preserve"> Hofekker József</v>
      </c>
      <c r="K69" s="646" t="str">
        <f t="shared" ca="1" si="3"/>
        <v xml:space="preserve"> VAKANA</v>
      </c>
    </row>
    <row r="70" spans="5:11" ht="13.5" customHeight="1" x14ac:dyDescent="0.2">
      <c r="E70" s="643">
        <v>30</v>
      </c>
      <c r="F70" s="645">
        <f t="shared" si="0"/>
        <v>8.0409000000000006</v>
      </c>
      <c r="I70" s="766" t="str">
        <f t="shared" si="1"/>
        <v/>
      </c>
      <c r="J70" s="646" t="str">
        <f t="shared" si="2"/>
        <v xml:space="preserve"> Tóth Gyula</v>
      </c>
      <c r="K70" s="646" t="str">
        <f t="shared" ca="1" si="3"/>
        <v xml:space="preserve"> ROYAL GUARD'S</v>
      </c>
    </row>
    <row r="71" spans="5:11" ht="13.5" customHeight="1" x14ac:dyDescent="0.2">
      <c r="E71" s="643">
        <v>31</v>
      </c>
      <c r="F71" s="645">
        <f t="shared" si="0"/>
        <v>8.0356000000000005</v>
      </c>
      <c r="I71" s="766" t="str">
        <f t="shared" si="1"/>
        <v/>
      </c>
      <c r="J71" s="646" t="str">
        <f t="shared" si="2"/>
        <v xml:space="preserve"> Revák Sándor</v>
      </c>
      <c r="K71" s="646" t="str">
        <f t="shared" ca="1" si="3"/>
        <v xml:space="preserve"> K&amp;H</v>
      </c>
    </row>
    <row r="72" spans="5:11" ht="13.5" customHeight="1" x14ac:dyDescent="0.2">
      <c r="E72" s="643">
        <v>32</v>
      </c>
      <c r="F72" s="645">
        <f t="shared" si="0"/>
        <v>8.0351999999999997</v>
      </c>
      <c r="I72" s="766" t="str">
        <f t="shared" si="1"/>
        <v/>
      </c>
      <c r="J72" s="646" t="str">
        <f t="shared" si="2"/>
        <v xml:space="preserve"> Demeter Róbert</v>
      </c>
      <c r="K72" s="646" t="str">
        <f t="shared" ca="1" si="3"/>
        <v xml:space="preserve"> K&amp;H</v>
      </c>
    </row>
    <row r="73" spans="5:11" ht="13.5" customHeight="1" x14ac:dyDescent="0.2">
      <c r="E73" s="643">
        <v>33</v>
      </c>
      <c r="F73" s="645">
        <f t="shared" si="0"/>
        <v>8.0203000000000007</v>
      </c>
      <c r="I73" s="766" t="str">
        <f t="shared" si="1"/>
        <v/>
      </c>
      <c r="J73" s="646" t="str">
        <f t="shared" si="2"/>
        <v xml:space="preserve"> Tokár Zoltán</v>
      </c>
      <c r="K73" s="646" t="str">
        <f t="shared" ca="1" si="3"/>
        <v xml:space="preserve"> CARBONÁSZ</v>
      </c>
    </row>
    <row r="74" spans="5:11" ht="13.5" customHeight="1" x14ac:dyDescent="0.2">
      <c r="E74" s="643">
        <v>34</v>
      </c>
      <c r="F74" s="645">
        <f t="shared" si="0"/>
        <v>8.016</v>
      </c>
      <c r="I74" s="766" t="str">
        <f t="shared" si="1"/>
        <v/>
      </c>
      <c r="J74" s="646" t="str">
        <f t="shared" si="2"/>
        <v xml:space="preserve"> ifj. Barsánszki János</v>
      </c>
      <c r="K74" s="646" t="str">
        <f t="shared" ca="1" si="3"/>
        <v xml:space="preserve"> BŐRDÍSZMŰ</v>
      </c>
    </row>
    <row r="75" spans="5:11" ht="13.5" customHeight="1" x14ac:dyDescent="0.2">
      <c r="E75" s="643">
        <v>35</v>
      </c>
      <c r="F75" s="645">
        <f t="shared" si="0"/>
        <v>8.0158000000000005</v>
      </c>
      <c r="I75" s="766" t="str">
        <f t="shared" si="1"/>
        <v/>
      </c>
      <c r="J75" s="646" t="str">
        <f t="shared" si="2"/>
        <v xml:space="preserve"> Kováts Vince</v>
      </c>
      <c r="K75" s="646" t="str">
        <f t="shared" ca="1" si="3"/>
        <v xml:space="preserve"> BŐRDÍSZMŰ</v>
      </c>
    </row>
    <row r="76" spans="5:11" ht="13.5" customHeight="1" x14ac:dyDescent="0.2">
      <c r="E76" s="643">
        <v>36</v>
      </c>
      <c r="F76" s="645">
        <f t="shared" si="0"/>
        <v>8.0108999999999995</v>
      </c>
      <c r="I76" s="766" t="str">
        <f t="shared" si="1"/>
        <v/>
      </c>
      <c r="J76" s="646" t="str">
        <f t="shared" si="2"/>
        <v xml:space="preserve"> Király János</v>
      </c>
      <c r="K76" s="646" t="str">
        <f t="shared" ca="1" si="3"/>
        <v xml:space="preserve"> BHD</v>
      </c>
    </row>
    <row r="77" spans="5:11" ht="13.5" customHeight="1" x14ac:dyDescent="0.2">
      <c r="E77" s="643">
        <v>37</v>
      </c>
      <c r="F77" s="645">
        <f t="shared" si="0"/>
        <v>8.0105000000000004</v>
      </c>
      <c r="I77" s="766" t="str">
        <f t="shared" si="1"/>
        <v/>
      </c>
      <c r="J77" s="646" t="str">
        <f t="shared" si="2"/>
        <v xml:space="preserve"> Koncz János</v>
      </c>
      <c r="K77" s="646" t="str">
        <f t="shared" ca="1" si="3"/>
        <v xml:space="preserve"> BHD</v>
      </c>
    </row>
    <row r="78" spans="5:11" ht="13.5" customHeight="1" x14ac:dyDescent="0.2">
      <c r="E78" s="643">
        <v>38</v>
      </c>
      <c r="F78" s="645">
        <f t="shared" si="0"/>
        <v>8.0001999999999995</v>
      </c>
      <c r="I78" s="766" t="str">
        <f t="shared" si="1"/>
        <v/>
      </c>
      <c r="J78" s="646" t="str">
        <f t="shared" si="2"/>
        <v xml:space="preserve"> Varga Attila</v>
      </c>
      <c r="K78" s="646" t="str">
        <f t="shared" ca="1" si="3"/>
        <v xml:space="preserve"> BAKAFOGÓ-HONVÉD-SASHEGY SE</v>
      </c>
    </row>
    <row r="79" spans="5:11" ht="13.5" customHeight="1" x14ac:dyDescent="0.2">
      <c r="E79" s="643">
        <v>39</v>
      </c>
      <c r="F79" s="645">
        <f t="shared" si="0"/>
        <v>7.0510999999999999</v>
      </c>
      <c r="I79" s="766" t="str">
        <f t="shared" si="1"/>
        <v xml:space="preserve">7 GÓL </v>
      </c>
      <c r="J79" s="646" t="str">
        <f t="shared" si="2"/>
        <v xml:space="preserve"> Simon Dániel</v>
      </c>
      <c r="K79" s="646" t="str">
        <f t="shared" ca="1" si="3"/>
        <v xml:space="preserve"> ZRÍNYIGYÖNGYE</v>
      </c>
    </row>
    <row r="80" spans="5:11" ht="13.5" customHeight="1" x14ac:dyDescent="0.2">
      <c r="E80" s="643">
        <v>40</v>
      </c>
      <c r="F80" s="645">
        <f t="shared" si="0"/>
        <v>7.0407000000000002</v>
      </c>
      <c r="I80" s="766" t="str">
        <f t="shared" si="1"/>
        <v/>
      </c>
      <c r="J80" s="646" t="str">
        <f t="shared" si="2"/>
        <v xml:space="preserve"> Breznyánszky Gracián</v>
      </c>
      <c r="K80" s="646" t="str">
        <f t="shared" ca="1" si="3"/>
        <v xml:space="preserve"> ROYAL GUARD'S</v>
      </c>
    </row>
    <row r="81" spans="5:11" ht="13.5" customHeight="1" x14ac:dyDescent="0.2">
      <c r="E81" s="643">
        <v>41</v>
      </c>
      <c r="F81" s="645">
        <f t="shared" si="0"/>
        <v>7.0354000000000001</v>
      </c>
      <c r="I81" s="766" t="str">
        <f t="shared" si="1"/>
        <v/>
      </c>
      <c r="J81" s="646" t="str">
        <f t="shared" si="2"/>
        <v xml:space="preserve"> Máté Ferenc</v>
      </c>
      <c r="K81" s="646" t="str">
        <f t="shared" ca="1" si="3"/>
        <v xml:space="preserve"> K&amp;H</v>
      </c>
    </row>
    <row r="82" spans="5:11" ht="13.5" customHeight="1" x14ac:dyDescent="0.2">
      <c r="E82" s="643">
        <v>42</v>
      </c>
      <c r="F82" s="645">
        <f t="shared" si="0"/>
        <v>7.0308999999999999</v>
      </c>
      <c r="I82" s="766" t="str">
        <f t="shared" si="1"/>
        <v/>
      </c>
      <c r="J82" s="646" t="str">
        <f t="shared" si="2"/>
        <v xml:space="preserve"> Karászi Olivér</v>
      </c>
      <c r="K82" s="646" t="str">
        <f t="shared" ca="1" si="3"/>
        <v xml:space="preserve"> HERCULES-LUDOVIKA</v>
      </c>
    </row>
    <row r="83" spans="5:11" ht="13.5" customHeight="1" x14ac:dyDescent="0.2">
      <c r="E83" s="643">
        <v>43</v>
      </c>
      <c r="F83" s="645">
        <f t="shared" si="0"/>
        <v>7.0259</v>
      </c>
      <c r="I83" s="766" t="str">
        <f t="shared" si="1"/>
        <v/>
      </c>
      <c r="J83" s="646" t="str">
        <f t="shared" si="2"/>
        <v xml:space="preserve"> Takács Jenő György</v>
      </c>
      <c r="K83" s="646" t="str">
        <f t="shared" ca="1" si="3"/>
        <v xml:space="preserve"> ÉLELMESEK</v>
      </c>
    </row>
    <row r="84" spans="5:11" ht="13.5" customHeight="1" x14ac:dyDescent="0.2">
      <c r="E84" s="643">
        <v>44</v>
      </c>
      <c r="F84" s="645">
        <f t="shared" si="0"/>
        <v>7.0255000000000001</v>
      </c>
      <c r="I84" s="766" t="str">
        <f t="shared" si="1"/>
        <v/>
      </c>
      <c r="J84" s="646" t="str">
        <f t="shared" si="2"/>
        <v xml:space="preserve"> Szaulik György</v>
      </c>
      <c r="K84" s="646" t="str">
        <f t="shared" ca="1" si="3"/>
        <v xml:space="preserve"> ÉLELMESEK</v>
      </c>
    </row>
    <row r="85" spans="5:11" ht="13.5" customHeight="1" x14ac:dyDescent="0.2">
      <c r="E85" s="643">
        <v>45</v>
      </c>
      <c r="F85" s="645">
        <f t="shared" si="0"/>
        <v>6.0454999999999997</v>
      </c>
      <c r="I85" s="766" t="str">
        <f t="shared" si="1"/>
        <v xml:space="preserve">6 GÓL </v>
      </c>
      <c r="J85" s="646" t="str">
        <f t="shared" si="2"/>
        <v xml:space="preserve"> Ubornyák Attila</v>
      </c>
      <c r="K85" s="646" t="str">
        <f t="shared" ca="1" si="3"/>
        <v xml:space="preserve"> VAKANA</v>
      </c>
    </row>
    <row r="86" spans="5:11" ht="13.5" customHeight="1" x14ac:dyDescent="0.2">
      <c r="E86" s="643">
        <v>46</v>
      </c>
      <c r="F86" s="645">
        <f t="shared" si="0"/>
        <v>6.0404</v>
      </c>
      <c r="I86" s="766" t="str">
        <f t="shared" si="1"/>
        <v/>
      </c>
      <c r="J86" s="646" t="str">
        <f t="shared" si="2"/>
        <v xml:space="preserve"> Zoványi Richárd</v>
      </c>
      <c r="K86" s="646" t="str">
        <f t="shared" ca="1" si="3"/>
        <v xml:space="preserve"> ROYAL GUARD'S</v>
      </c>
    </row>
    <row r="87" spans="5:11" ht="13.5" customHeight="1" x14ac:dyDescent="0.2">
      <c r="E87" s="643">
        <v>47</v>
      </c>
      <c r="F87" s="645">
        <f t="shared" si="0"/>
        <v>6.0354999999999999</v>
      </c>
      <c r="I87" s="766" t="str">
        <f t="shared" si="1"/>
        <v/>
      </c>
      <c r="J87" s="646" t="str">
        <f t="shared" si="2"/>
        <v xml:space="preserve"> Cellár Imre</v>
      </c>
      <c r="K87" s="646" t="str">
        <f t="shared" ca="1" si="3"/>
        <v xml:space="preserve"> K&amp;H</v>
      </c>
    </row>
    <row r="88" spans="5:11" ht="13.5" customHeight="1" x14ac:dyDescent="0.2">
      <c r="E88" s="643">
        <v>48</v>
      </c>
      <c r="F88" s="645">
        <f t="shared" si="0"/>
        <v>6.0308000000000002</v>
      </c>
      <c r="I88" s="766" t="str">
        <f t="shared" si="1"/>
        <v/>
      </c>
      <c r="J88" s="646" t="str">
        <f t="shared" si="2"/>
        <v xml:space="preserve"> Motkó Dávid</v>
      </c>
      <c r="K88" s="646" t="str">
        <f t="shared" ca="1" si="3"/>
        <v xml:space="preserve"> HERCULES-LUDOVIKA</v>
      </c>
    </row>
    <row r="89" spans="5:11" ht="13.5" customHeight="1" x14ac:dyDescent="0.2">
      <c r="E89" s="643">
        <v>49</v>
      </c>
      <c r="F89" s="645">
        <f t="shared" si="0"/>
        <v>6.0208000000000004</v>
      </c>
      <c r="I89" s="766" t="str">
        <f t="shared" si="1"/>
        <v/>
      </c>
      <c r="J89" s="646" t="str">
        <f t="shared" si="2"/>
        <v xml:space="preserve"> Berényi Ádám</v>
      </c>
      <c r="K89" s="646" t="str">
        <f t="shared" ca="1" si="3"/>
        <v xml:space="preserve"> CARBONÁSZ</v>
      </c>
    </row>
    <row r="90" spans="5:11" ht="13.5" customHeight="1" x14ac:dyDescent="0.2">
      <c r="E90" s="643">
        <v>50</v>
      </c>
      <c r="F90" s="645">
        <f t="shared" si="0"/>
        <v>6.0156999999999998</v>
      </c>
      <c r="I90" s="766" t="str">
        <f t="shared" si="1"/>
        <v/>
      </c>
      <c r="J90" s="646" t="str">
        <f t="shared" si="2"/>
        <v xml:space="preserve"> Ruszin Romulusz</v>
      </c>
      <c r="K90" s="646" t="str">
        <f t="shared" ca="1" si="3"/>
        <v xml:space="preserve"> BŐRDÍSZMŰ</v>
      </c>
    </row>
    <row r="91" spans="5:11" ht="13.5" customHeight="1" x14ac:dyDescent="0.2">
      <c r="E91" s="643">
        <v>51</v>
      </c>
      <c r="F91" s="645">
        <f t="shared" si="0"/>
        <v>6.0103999999999997</v>
      </c>
      <c r="I91" s="766" t="str">
        <f t="shared" si="1"/>
        <v/>
      </c>
      <c r="J91" s="646" t="str">
        <f t="shared" si="2"/>
        <v xml:space="preserve"> Nahaj Gergely</v>
      </c>
      <c r="K91" s="646" t="str">
        <f t="shared" ca="1" si="3"/>
        <v xml:space="preserve"> BHD</v>
      </c>
    </row>
    <row r="92" spans="5:11" ht="13.5" customHeight="1" x14ac:dyDescent="0.2">
      <c r="E92" s="643">
        <v>52</v>
      </c>
      <c r="F92" s="645">
        <f t="shared" si="0"/>
        <v>6.0054999999999996</v>
      </c>
      <c r="I92" s="766" t="str">
        <f t="shared" si="1"/>
        <v/>
      </c>
      <c r="J92" s="646" t="str">
        <f t="shared" si="2"/>
        <v xml:space="preserve"> Jóni Ádám</v>
      </c>
      <c r="K92" s="646" t="str">
        <f t="shared" ca="1" si="3"/>
        <v xml:space="preserve"> BBK</v>
      </c>
    </row>
    <row r="93" spans="5:11" ht="13.5" customHeight="1" x14ac:dyDescent="0.2">
      <c r="E93" s="643">
        <v>53</v>
      </c>
      <c r="F93" s="645">
        <f t="shared" si="0"/>
        <v>6.0010000000000003</v>
      </c>
      <c r="I93" s="766" t="str">
        <f t="shared" si="1"/>
        <v/>
      </c>
      <c r="J93" s="646" t="str">
        <f t="shared" si="2"/>
        <v xml:space="preserve"> Chladny Zoltán</v>
      </c>
      <c r="K93" s="646" t="str">
        <f t="shared" ca="1" si="3"/>
        <v xml:space="preserve"> BAKAFOGÓ-HONVÉD-SASHEGY SE</v>
      </c>
    </row>
    <row r="94" spans="5:11" ht="13.5" customHeight="1" x14ac:dyDescent="0.2">
      <c r="E94" s="643">
        <v>54</v>
      </c>
      <c r="F94" s="645">
        <f t="shared" si="0"/>
        <v>5.0507999999999997</v>
      </c>
      <c r="I94" s="766" t="str">
        <f t="shared" si="1"/>
        <v xml:space="preserve">5 GÓL </v>
      </c>
      <c r="J94" s="646" t="str">
        <f t="shared" si="2"/>
        <v xml:space="preserve"> Löffler András</v>
      </c>
      <c r="K94" s="646" t="str">
        <f t="shared" ca="1" si="3"/>
        <v xml:space="preserve"> ZRÍNYIGYÖNGYE</v>
      </c>
    </row>
    <row r="95" spans="5:11" ht="13.5" customHeight="1" x14ac:dyDescent="0.2">
      <c r="E95" s="643">
        <v>55</v>
      </c>
      <c r="F95" s="645">
        <f t="shared" si="0"/>
        <v>5.0503999999999998</v>
      </c>
      <c r="I95" s="766" t="str">
        <f t="shared" si="1"/>
        <v/>
      </c>
      <c r="J95" s="646" t="str">
        <f t="shared" si="2"/>
        <v xml:space="preserve"> Baran János</v>
      </c>
      <c r="K95" s="646" t="str">
        <f t="shared" ca="1" si="3"/>
        <v xml:space="preserve"> ZRÍNYIGYÖNGYE</v>
      </c>
    </row>
    <row r="96" spans="5:11" ht="13.5" customHeight="1" x14ac:dyDescent="0.2">
      <c r="E96" s="643">
        <v>56</v>
      </c>
      <c r="F96" s="645">
        <f t="shared" si="0"/>
        <v>5.0403000000000002</v>
      </c>
      <c r="I96" s="766" t="str">
        <f t="shared" si="1"/>
        <v/>
      </c>
      <c r="J96" s="646" t="str">
        <f t="shared" si="2"/>
        <v xml:space="preserve"> Matula János</v>
      </c>
      <c r="K96" s="646" t="str">
        <f t="shared" ca="1" si="3"/>
        <v xml:space="preserve"> ROYAL GUARD'S</v>
      </c>
    </row>
    <row r="97" spans="5:11" ht="13.5" customHeight="1" x14ac:dyDescent="0.2">
      <c r="E97" s="643">
        <v>57</v>
      </c>
      <c r="F97" s="645">
        <f t="shared" si="0"/>
        <v>5.0309999999999997</v>
      </c>
      <c r="I97" s="766" t="str">
        <f t="shared" si="1"/>
        <v/>
      </c>
      <c r="J97" s="646" t="str">
        <f t="shared" si="2"/>
        <v xml:space="preserve"> Vatai Nándor</v>
      </c>
      <c r="K97" s="646" t="str">
        <f t="shared" ca="1" si="3"/>
        <v xml:space="preserve"> HERCULES-LUDOVIKA</v>
      </c>
    </row>
    <row r="98" spans="5:11" ht="13.5" customHeight="1" x14ac:dyDescent="0.2">
      <c r="E98" s="643">
        <v>58</v>
      </c>
      <c r="F98" s="645">
        <f t="shared" si="0"/>
        <v>5.0301999999999998</v>
      </c>
      <c r="I98" s="766" t="str">
        <f t="shared" si="1"/>
        <v/>
      </c>
      <c r="J98" s="646" t="str">
        <f t="shared" si="2"/>
        <v xml:space="preserve"> Szűcs Ottó</v>
      </c>
      <c r="K98" s="646" t="str">
        <f t="shared" ca="1" si="3"/>
        <v xml:space="preserve"> HERCULES-LUDOVIKA</v>
      </c>
    </row>
    <row r="99" spans="5:11" ht="13.5" customHeight="1" x14ac:dyDescent="0.2">
      <c r="E99" s="643">
        <v>59</v>
      </c>
      <c r="F99" s="645">
        <f t="shared" si="0"/>
        <v>5.0255999999999998</v>
      </c>
      <c r="I99" s="766" t="str">
        <f t="shared" si="1"/>
        <v/>
      </c>
      <c r="J99" s="646" t="str">
        <f t="shared" si="2"/>
        <v xml:space="preserve"> Tátrai Tibor</v>
      </c>
      <c r="K99" s="646" t="str">
        <f t="shared" ca="1" si="3"/>
        <v xml:space="preserve"> ÉLELMESEK</v>
      </c>
    </row>
    <row r="100" spans="5:11" ht="13.5" customHeight="1" x14ac:dyDescent="0.2">
      <c r="E100" s="643">
        <v>60</v>
      </c>
      <c r="F100" s="645">
        <f t="shared" si="0"/>
        <v>5.0254000000000003</v>
      </c>
      <c r="I100" s="766" t="str">
        <f t="shared" si="1"/>
        <v/>
      </c>
      <c r="J100" s="646" t="str">
        <f t="shared" si="2"/>
        <v xml:space="preserve"> Békési Zsolt</v>
      </c>
      <c r="K100" s="646" t="str">
        <f t="shared" ca="1" si="3"/>
        <v xml:space="preserve"> ÉLELMESEK</v>
      </c>
    </row>
    <row r="101" spans="5:11" ht="13.5" customHeight="1" x14ac:dyDescent="0.2">
      <c r="E101" s="643">
        <v>61</v>
      </c>
      <c r="F101" s="645">
        <f t="shared" si="0"/>
        <v>5.0202</v>
      </c>
      <c r="I101" s="766" t="str">
        <f t="shared" si="1"/>
        <v/>
      </c>
      <c r="J101" s="646" t="str">
        <f t="shared" si="2"/>
        <v xml:space="preserve"> Carbonász ismeretlen 4-es</v>
      </c>
      <c r="K101" s="646" t="str">
        <f t="shared" ca="1" si="3"/>
        <v xml:space="preserve"> CARBONÁSZ</v>
      </c>
    </row>
    <row r="102" spans="5:11" ht="13.5" customHeight="1" x14ac:dyDescent="0.2">
      <c r="E102" s="643">
        <v>62</v>
      </c>
      <c r="F102" s="645">
        <f t="shared" si="0"/>
        <v>5.0201000000000002</v>
      </c>
      <c r="I102" s="766" t="str">
        <f t="shared" si="1"/>
        <v/>
      </c>
      <c r="J102" s="646" t="str">
        <f t="shared" si="2"/>
        <v xml:space="preserve"> Hornyák Endre</v>
      </c>
      <c r="K102" s="646" t="str">
        <f t="shared" ca="1" si="3"/>
        <v xml:space="preserve"> CARBONÁSZ</v>
      </c>
    </row>
    <row r="103" spans="5:11" ht="13.5" customHeight="1" x14ac:dyDescent="0.2">
      <c r="E103" s="643">
        <v>63</v>
      </c>
      <c r="F103" s="645">
        <f t="shared" si="0"/>
        <v>5.0114999999999998</v>
      </c>
      <c r="I103" s="766" t="str">
        <f t="shared" si="1"/>
        <v/>
      </c>
      <c r="J103" s="646" t="str">
        <f t="shared" si="2"/>
        <v xml:space="preserve"> Vadászi Norbert</v>
      </c>
      <c r="K103" s="646" t="str">
        <f t="shared" ca="1" si="3"/>
        <v xml:space="preserve"> BHD</v>
      </c>
    </row>
    <row r="104" spans="5:11" ht="13.5" customHeight="1" x14ac:dyDescent="0.2">
      <c r="E104" s="643">
        <v>64</v>
      </c>
      <c r="F104" s="645">
        <f t="shared" si="0"/>
        <v>5.0012999999999996</v>
      </c>
      <c r="I104" s="766" t="str">
        <f t="shared" si="1"/>
        <v/>
      </c>
      <c r="J104" s="646" t="str">
        <f t="shared" si="2"/>
        <v xml:space="preserve"> Musszer Roland</v>
      </c>
      <c r="K104" s="646" t="str">
        <f t="shared" ca="1" si="3"/>
        <v xml:space="preserve"> BAKAFOGÓ-HONVÉD-SASHEGY SE</v>
      </c>
    </row>
    <row r="105" spans="5:11" ht="13.5" customHeight="1" x14ac:dyDescent="0.2">
      <c r="E105" s="643">
        <v>65</v>
      </c>
      <c r="F105" s="645">
        <f t="shared" ref="F105:F168" si="4">LARGE(goalrank,E105)</f>
        <v>4.0458999999999996</v>
      </c>
      <c r="I105" s="766" t="str">
        <f t="shared" ref="I105:I168" si="5">IF(OR(F105&lt;1,ROUNDDOWN(F105,0)=ROUNDDOWN(F104,0)),"",CONCATENATE(ROUNDDOWN(F105,0)," GÓL "))</f>
        <v xml:space="preserve">4 GÓL </v>
      </c>
      <c r="J105" s="646" t="str">
        <f t="shared" ref="J105:J168" si="6">IF(F105&lt;1,"",CONCATENATE(" ",VLOOKUP(F105,goalname,3,FALSE)))</f>
        <v xml:space="preserve"> Harmath Zsolt</v>
      </c>
      <c r="K105" s="646" t="str">
        <f t="shared" ref="K105:K168" ca="1" si="7">IF(F105&lt;1,"",CONCATENATE(" ",VLOOKUP(F105,goalname,2,FALSE)))</f>
        <v xml:space="preserve"> VAKANA</v>
      </c>
    </row>
    <row r="106" spans="5:11" ht="13.5" customHeight="1" x14ac:dyDescent="0.2">
      <c r="E106" s="643">
        <v>66</v>
      </c>
      <c r="F106" s="645">
        <f t="shared" si="4"/>
        <v>4.0358000000000001</v>
      </c>
      <c r="I106" s="766" t="str">
        <f t="shared" si="5"/>
        <v/>
      </c>
      <c r="J106" s="646" t="str">
        <f t="shared" si="6"/>
        <v xml:space="preserve"> Illés Bálint</v>
      </c>
      <c r="K106" s="646" t="str">
        <f t="shared" ca="1" si="7"/>
        <v xml:space="preserve"> K&amp;H</v>
      </c>
    </row>
    <row r="107" spans="5:11" ht="13.5" customHeight="1" x14ac:dyDescent="0.2">
      <c r="E107" s="643">
        <v>67</v>
      </c>
      <c r="F107" s="645">
        <f t="shared" si="4"/>
        <v>4.0258000000000003</v>
      </c>
      <c r="I107" s="766" t="str">
        <f t="shared" si="5"/>
        <v/>
      </c>
      <c r="J107" s="646" t="str">
        <f t="shared" si="6"/>
        <v xml:space="preserve"> Sándor Roland</v>
      </c>
      <c r="K107" s="646" t="str">
        <f t="shared" ca="1" si="7"/>
        <v xml:space="preserve"> ÉLELMESEK</v>
      </c>
    </row>
    <row r="108" spans="5:11" ht="13.5" customHeight="1" x14ac:dyDescent="0.2">
      <c r="E108" s="643">
        <v>68</v>
      </c>
      <c r="F108" s="645">
        <f t="shared" si="4"/>
        <v>4.0206</v>
      </c>
      <c r="I108" s="766" t="str">
        <f t="shared" si="5"/>
        <v/>
      </c>
      <c r="J108" s="646" t="str">
        <f t="shared" si="6"/>
        <v xml:space="preserve"> Szabó Szabolcs</v>
      </c>
      <c r="K108" s="646" t="str">
        <f t="shared" ca="1" si="7"/>
        <v xml:space="preserve"> CARBONÁSZ</v>
      </c>
    </row>
    <row r="109" spans="5:11" ht="13.5" customHeight="1" x14ac:dyDescent="0.2">
      <c r="E109" s="643">
        <v>69</v>
      </c>
      <c r="F109" s="645">
        <f t="shared" si="4"/>
        <v>4.0204000000000004</v>
      </c>
      <c r="I109" s="766" t="str">
        <f t="shared" si="5"/>
        <v/>
      </c>
      <c r="J109" s="646" t="str">
        <f t="shared" si="6"/>
        <v xml:space="preserve"> Carbonász ismeretlen 7-es</v>
      </c>
      <c r="K109" s="646" t="str">
        <f t="shared" ca="1" si="7"/>
        <v xml:space="preserve"> CARBONÁSZ</v>
      </c>
    </row>
    <row r="110" spans="5:11" ht="13.5" customHeight="1" x14ac:dyDescent="0.2">
      <c r="E110" s="643">
        <v>70</v>
      </c>
      <c r="F110" s="645">
        <f t="shared" si="4"/>
        <v>4.0162000000000004</v>
      </c>
      <c r="I110" s="766" t="str">
        <f t="shared" si="5"/>
        <v/>
      </c>
      <c r="J110" s="646" t="str">
        <f t="shared" si="6"/>
        <v xml:space="preserve"> Kiss Ernő</v>
      </c>
      <c r="K110" s="646" t="str">
        <f t="shared" ca="1" si="7"/>
        <v xml:space="preserve"> BŐRDÍSZMŰ</v>
      </c>
    </row>
    <row r="111" spans="5:11" ht="13.5" customHeight="1" x14ac:dyDescent="0.2">
      <c r="E111" s="643">
        <v>71</v>
      </c>
      <c r="F111" s="645">
        <f t="shared" si="4"/>
        <v>4.0110999999999999</v>
      </c>
      <c r="I111" s="766" t="str">
        <f t="shared" si="5"/>
        <v/>
      </c>
      <c r="J111" s="646" t="str">
        <f t="shared" si="6"/>
        <v xml:space="preserve"> Bonivárt Erik</v>
      </c>
      <c r="K111" s="646" t="str">
        <f t="shared" ca="1" si="7"/>
        <v xml:space="preserve"> BHD</v>
      </c>
    </row>
    <row r="112" spans="5:11" ht="13.5" customHeight="1" x14ac:dyDescent="0.2">
      <c r="E112" s="643">
        <v>72</v>
      </c>
      <c r="F112" s="645">
        <f t="shared" si="4"/>
        <v>4.0060000000000002</v>
      </c>
      <c r="I112" s="766" t="str">
        <f t="shared" si="5"/>
        <v/>
      </c>
      <c r="J112" s="646" t="str">
        <f t="shared" si="6"/>
        <v xml:space="preserve"> Süle Zoltán</v>
      </c>
      <c r="K112" s="646" t="str">
        <f t="shared" ca="1" si="7"/>
        <v xml:space="preserve"> BBK</v>
      </c>
    </row>
    <row r="113" spans="5:11" ht="13.5" customHeight="1" x14ac:dyDescent="0.2">
      <c r="E113" s="643">
        <v>73</v>
      </c>
      <c r="F113" s="645">
        <f t="shared" si="4"/>
        <v>4.0053000000000001</v>
      </c>
      <c r="I113" s="766" t="str">
        <f t="shared" si="5"/>
        <v/>
      </c>
      <c r="J113" s="646" t="str">
        <f t="shared" si="6"/>
        <v xml:space="preserve"> Nagy Géza</v>
      </c>
      <c r="K113" s="646" t="str">
        <f t="shared" ca="1" si="7"/>
        <v xml:space="preserve"> BBK</v>
      </c>
    </row>
    <row r="114" spans="5:11" ht="13.5" customHeight="1" x14ac:dyDescent="0.2">
      <c r="E114" s="643">
        <v>74</v>
      </c>
      <c r="F114" s="645">
        <f t="shared" si="4"/>
        <v>3.0503</v>
      </c>
      <c r="I114" s="766" t="str">
        <f t="shared" si="5"/>
        <v xml:space="preserve">3 GÓL </v>
      </c>
      <c r="J114" s="646" t="str">
        <f t="shared" si="6"/>
        <v xml:space="preserve"> Krausz Bálint</v>
      </c>
      <c r="K114" s="646" t="str">
        <f t="shared" ca="1" si="7"/>
        <v xml:space="preserve"> ZRÍNYIGYÖNGYE</v>
      </c>
    </row>
    <row r="115" spans="5:11" ht="13.5" customHeight="1" x14ac:dyDescent="0.2">
      <c r="E115" s="643">
        <v>75</v>
      </c>
      <c r="F115" s="645">
        <f t="shared" si="4"/>
        <v>3.0413999999999999</v>
      </c>
      <c r="I115" s="766" t="str">
        <f t="shared" si="5"/>
        <v/>
      </c>
      <c r="J115" s="646" t="str">
        <f t="shared" si="6"/>
        <v xml:space="preserve"> Káplár Jenő</v>
      </c>
      <c r="K115" s="646" t="str">
        <f t="shared" ca="1" si="7"/>
        <v xml:space="preserve"> ROYAL GUARD'S</v>
      </c>
    </row>
    <row r="116" spans="5:11" ht="13.5" customHeight="1" x14ac:dyDescent="0.2">
      <c r="E116" s="643">
        <v>76</v>
      </c>
      <c r="F116" s="645">
        <f t="shared" si="4"/>
        <v>3.0312000000000001</v>
      </c>
      <c r="I116" s="766" t="str">
        <f t="shared" si="5"/>
        <v/>
      </c>
      <c r="J116" s="646" t="str">
        <f t="shared" si="6"/>
        <v xml:space="preserve"> Ismeretlen 17-es</v>
      </c>
      <c r="K116" s="646" t="str">
        <f t="shared" ca="1" si="7"/>
        <v xml:space="preserve"> HERCULES-LUDOVIKA</v>
      </c>
    </row>
    <row r="117" spans="5:11" ht="13.5" customHeight="1" x14ac:dyDescent="0.2">
      <c r="E117" s="643">
        <v>77</v>
      </c>
      <c r="F117" s="645">
        <f t="shared" si="4"/>
        <v>3.0207000000000002</v>
      </c>
      <c r="I117" s="766" t="str">
        <f t="shared" si="5"/>
        <v/>
      </c>
      <c r="J117" s="646" t="str">
        <f t="shared" si="6"/>
        <v xml:space="preserve"> Schutz Ferenc</v>
      </c>
      <c r="K117" s="646" t="str">
        <f t="shared" ca="1" si="7"/>
        <v xml:space="preserve"> CARBONÁSZ</v>
      </c>
    </row>
    <row r="118" spans="5:11" ht="13.5" customHeight="1" x14ac:dyDescent="0.2">
      <c r="E118" s="643">
        <v>78</v>
      </c>
      <c r="F118" s="645">
        <f t="shared" si="4"/>
        <v>3.0152000000000001</v>
      </c>
      <c r="I118" s="766" t="str">
        <f t="shared" si="5"/>
        <v/>
      </c>
      <c r="J118" s="646" t="str">
        <f t="shared" si="6"/>
        <v xml:space="preserve"> Sikesdi László</v>
      </c>
      <c r="K118" s="646" t="str">
        <f t="shared" ca="1" si="7"/>
        <v xml:space="preserve"> BŐRDÍSZMŰ</v>
      </c>
    </row>
    <row r="119" spans="5:11" ht="13.5" customHeight="1" x14ac:dyDescent="0.2">
      <c r="E119" s="643">
        <v>79</v>
      </c>
      <c r="F119" s="645">
        <f t="shared" si="4"/>
        <v>3.0114000000000001</v>
      </c>
      <c r="I119" s="766" t="str">
        <f t="shared" si="5"/>
        <v/>
      </c>
      <c r="J119" s="646" t="str">
        <f t="shared" si="6"/>
        <v xml:space="preserve"> Demkovics Gábor</v>
      </c>
      <c r="K119" s="646" t="str">
        <f t="shared" ca="1" si="7"/>
        <v xml:space="preserve"> BHD</v>
      </c>
    </row>
    <row r="120" spans="5:11" ht="13.5" customHeight="1" x14ac:dyDescent="0.2">
      <c r="E120" s="643">
        <v>80</v>
      </c>
      <c r="F120" s="645">
        <f t="shared" si="4"/>
        <v>3.0112999999999999</v>
      </c>
      <c r="I120" s="766" t="str">
        <f t="shared" si="5"/>
        <v/>
      </c>
      <c r="J120" s="646" t="str">
        <f t="shared" si="6"/>
        <v xml:space="preserve"> Lotheridesz Balázs</v>
      </c>
      <c r="K120" s="646" t="str">
        <f t="shared" ca="1" si="7"/>
        <v xml:space="preserve"> BHD</v>
      </c>
    </row>
    <row r="121" spans="5:11" ht="13.5" customHeight="1" x14ac:dyDescent="0.2">
      <c r="E121" s="643">
        <v>81</v>
      </c>
      <c r="F121" s="645">
        <f t="shared" si="4"/>
        <v>3.0108000000000001</v>
      </c>
      <c r="I121" s="766" t="str">
        <f t="shared" si="5"/>
        <v/>
      </c>
      <c r="J121" s="646" t="str">
        <f t="shared" si="6"/>
        <v xml:space="preserve"> Koncz Tibor</v>
      </c>
      <c r="K121" s="646" t="str">
        <f t="shared" ca="1" si="7"/>
        <v xml:space="preserve"> BHD</v>
      </c>
    </row>
    <row r="122" spans="5:11" ht="13.5" customHeight="1" x14ac:dyDescent="0.2">
      <c r="E122" s="643">
        <v>82</v>
      </c>
      <c r="F122" s="645">
        <f t="shared" si="4"/>
        <v>3.0055999999999998</v>
      </c>
      <c r="I122" s="766" t="str">
        <f t="shared" si="5"/>
        <v/>
      </c>
      <c r="J122" s="646" t="str">
        <f t="shared" si="6"/>
        <v xml:space="preserve"> Nagy Rudolf</v>
      </c>
      <c r="K122" s="646" t="str">
        <f t="shared" ca="1" si="7"/>
        <v xml:space="preserve"> BBK</v>
      </c>
    </row>
    <row r="123" spans="5:11" ht="13.5" customHeight="1" x14ac:dyDescent="0.2">
      <c r="E123" s="643">
        <v>83</v>
      </c>
      <c r="F123" s="645">
        <f t="shared" si="4"/>
        <v>3.0053999999999998</v>
      </c>
      <c r="I123" s="766" t="str">
        <f t="shared" si="5"/>
        <v/>
      </c>
      <c r="J123" s="646" t="str">
        <f t="shared" si="6"/>
        <v xml:space="preserve"> Kiss Benjámin</v>
      </c>
      <c r="K123" s="646" t="str">
        <f t="shared" ca="1" si="7"/>
        <v xml:space="preserve"> BBK</v>
      </c>
    </row>
    <row r="124" spans="5:11" ht="13.5" customHeight="1" x14ac:dyDescent="0.2">
      <c r="E124" s="643">
        <v>84</v>
      </c>
      <c r="F124" s="645">
        <f t="shared" si="4"/>
        <v>3.0011999999999999</v>
      </c>
      <c r="I124" s="766" t="str">
        <f t="shared" si="5"/>
        <v/>
      </c>
      <c r="J124" s="646" t="str">
        <f t="shared" si="6"/>
        <v xml:space="preserve"> Kosztel Róbert</v>
      </c>
      <c r="K124" s="646" t="str">
        <f t="shared" ca="1" si="7"/>
        <v xml:space="preserve"> BAKAFOGÓ-HONVÉD-SASHEGY SE</v>
      </c>
    </row>
    <row r="125" spans="5:11" ht="13.5" customHeight="1" x14ac:dyDescent="0.2">
      <c r="E125" s="643">
        <v>85</v>
      </c>
      <c r="F125" s="645">
        <f t="shared" si="4"/>
        <v>3.0007999999999999</v>
      </c>
      <c r="I125" s="766" t="str">
        <f t="shared" si="5"/>
        <v/>
      </c>
      <c r="J125" s="646" t="str">
        <f t="shared" si="6"/>
        <v xml:space="preserve"> Bakafogó: 8</v>
      </c>
      <c r="K125" s="646" t="str">
        <f t="shared" ca="1" si="7"/>
        <v xml:space="preserve"> BAKAFOGÓ-HONVÉD-SASHEGY SE</v>
      </c>
    </row>
    <row r="126" spans="5:11" ht="13.5" customHeight="1" x14ac:dyDescent="0.2">
      <c r="E126" s="643">
        <v>86</v>
      </c>
      <c r="F126" s="645">
        <f t="shared" si="4"/>
        <v>2.0411000000000001</v>
      </c>
      <c r="I126" s="766" t="str">
        <f t="shared" si="5"/>
        <v xml:space="preserve">2 GÓL </v>
      </c>
      <c r="J126" s="646" t="str">
        <f t="shared" si="6"/>
        <v xml:space="preserve"> Kovács Péter</v>
      </c>
      <c r="K126" s="646" t="str">
        <f t="shared" ca="1" si="7"/>
        <v xml:space="preserve"> ROYAL GUARD'S</v>
      </c>
    </row>
    <row r="127" spans="5:11" ht="13.5" customHeight="1" x14ac:dyDescent="0.2">
      <c r="E127" s="643">
        <v>87</v>
      </c>
      <c r="F127" s="645">
        <f t="shared" si="4"/>
        <v>2.0406</v>
      </c>
      <c r="I127" s="766" t="str">
        <f t="shared" si="5"/>
        <v/>
      </c>
      <c r="J127" s="646" t="str">
        <f t="shared" si="6"/>
        <v xml:space="preserve"> Takács János</v>
      </c>
      <c r="K127" s="646" t="str">
        <f t="shared" ca="1" si="7"/>
        <v xml:space="preserve"> ROYAL GUARD'S</v>
      </c>
    </row>
    <row r="128" spans="5:11" ht="13.5" customHeight="1" x14ac:dyDescent="0.2">
      <c r="E128" s="643">
        <v>88</v>
      </c>
      <c r="F128" s="645">
        <f t="shared" si="4"/>
        <v>2.0364</v>
      </c>
      <c r="I128" s="766" t="str">
        <f t="shared" si="5"/>
        <v/>
      </c>
      <c r="J128" s="646" t="str">
        <f t="shared" si="6"/>
        <v xml:space="preserve"> Németh Zsolt</v>
      </c>
      <c r="K128" s="646" t="str">
        <f t="shared" ca="1" si="7"/>
        <v xml:space="preserve"> K&amp;H</v>
      </c>
    </row>
    <row r="129" spans="5:11" ht="13.5" customHeight="1" x14ac:dyDescent="0.2">
      <c r="E129" s="643">
        <v>89</v>
      </c>
      <c r="F129" s="645">
        <f t="shared" si="4"/>
        <v>2.0362999999999998</v>
      </c>
      <c r="I129" s="766" t="str">
        <f t="shared" si="5"/>
        <v/>
      </c>
      <c r="J129" s="646" t="str">
        <f t="shared" si="6"/>
        <v xml:space="preserve"> Ismeretlen 7-es</v>
      </c>
      <c r="K129" s="646" t="str">
        <f t="shared" ca="1" si="7"/>
        <v xml:space="preserve"> K&amp;H</v>
      </c>
    </row>
    <row r="130" spans="5:11" ht="13.5" customHeight="1" x14ac:dyDescent="0.2">
      <c r="E130" s="643">
        <v>90</v>
      </c>
      <c r="F130" s="645">
        <f t="shared" si="4"/>
        <v>2.0306999999999999</v>
      </c>
      <c r="I130" s="766" t="str">
        <f t="shared" si="5"/>
        <v/>
      </c>
      <c r="J130" s="646" t="str">
        <f t="shared" si="6"/>
        <v xml:space="preserve"> Ács János</v>
      </c>
      <c r="K130" s="646" t="str">
        <f t="shared" ca="1" si="7"/>
        <v xml:space="preserve"> HERCULES-LUDOVIKA</v>
      </c>
    </row>
    <row r="131" spans="5:11" ht="13.5" customHeight="1" x14ac:dyDescent="0.2">
      <c r="E131" s="643">
        <v>91</v>
      </c>
      <c r="F131" s="645">
        <f t="shared" si="4"/>
        <v>2.0262000000000002</v>
      </c>
      <c r="I131" s="766" t="str">
        <f t="shared" si="5"/>
        <v/>
      </c>
      <c r="J131" s="646" t="str">
        <f t="shared" si="6"/>
        <v xml:space="preserve"> Ferenczi Attila</v>
      </c>
      <c r="K131" s="646" t="str">
        <f t="shared" ca="1" si="7"/>
        <v xml:space="preserve"> ÉLELMESEK</v>
      </c>
    </row>
    <row r="132" spans="5:11" ht="13.5" customHeight="1" x14ac:dyDescent="0.2">
      <c r="E132" s="643">
        <v>92</v>
      </c>
      <c r="F132" s="645">
        <f t="shared" si="4"/>
        <v>2.0253000000000001</v>
      </c>
      <c r="I132" s="766" t="str">
        <f t="shared" si="5"/>
        <v/>
      </c>
      <c r="J132" s="646" t="str">
        <f t="shared" si="6"/>
        <v xml:space="preserve"> Horváth Zsolt</v>
      </c>
      <c r="K132" s="646" t="str">
        <f t="shared" ca="1" si="7"/>
        <v xml:space="preserve"> ÉLELMESEK</v>
      </c>
    </row>
    <row r="133" spans="5:11" ht="13.5" customHeight="1" x14ac:dyDescent="0.2">
      <c r="E133" s="643">
        <v>93</v>
      </c>
      <c r="F133" s="645">
        <f t="shared" si="4"/>
        <v>2.0213000000000001</v>
      </c>
      <c r="I133" s="766" t="str">
        <f t="shared" si="5"/>
        <v/>
      </c>
      <c r="J133" s="646" t="str">
        <f t="shared" si="6"/>
        <v xml:space="preserve"> Carbonász ismeretlen 3-as</v>
      </c>
      <c r="K133" s="646" t="str">
        <f t="shared" ca="1" si="7"/>
        <v xml:space="preserve"> CARBONÁSZ</v>
      </c>
    </row>
    <row r="134" spans="5:11" ht="13.5" customHeight="1" x14ac:dyDescent="0.2">
      <c r="E134" s="643">
        <v>94</v>
      </c>
      <c r="F134" s="645">
        <f t="shared" si="4"/>
        <v>2.0154999999999998</v>
      </c>
      <c r="I134" s="766" t="str">
        <f t="shared" si="5"/>
        <v/>
      </c>
      <c r="J134" s="646" t="str">
        <f t="shared" si="6"/>
        <v xml:space="preserve"> Hangya Gábor</v>
      </c>
      <c r="K134" s="646" t="str">
        <f t="shared" ca="1" si="7"/>
        <v xml:space="preserve"> BŐRDÍSZMŰ</v>
      </c>
    </row>
    <row r="135" spans="5:11" ht="13.5" customHeight="1" x14ac:dyDescent="0.2">
      <c r="E135" s="643">
        <v>95</v>
      </c>
      <c r="F135" s="645">
        <f t="shared" si="4"/>
        <v>2.0106000000000002</v>
      </c>
      <c r="I135" s="766" t="str">
        <f t="shared" si="5"/>
        <v/>
      </c>
      <c r="J135" s="646" t="str">
        <f t="shared" si="6"/>
        <v xml:space="preserve"> Budavári Ádám</v>
      </c>
      <c r="K135" s="646" t="str">
        <f t="shared" ca="1" si="7"/>
        <v xml:space="preserve"> BHD</v>
      </c>
    </row>
    <row r="136" spans="5:11" ht="13.5" customHeight="1" x14ac:dyDescent="0.2">
      <c r="E136" s="643">
        <v>96</v>
      </c>
      <c r="F136" s="645">
        <f t="shared" si="4"/>
        <v>2.0102000000000002</v>
      </c>
      <c r="I136" s="766" t="str">
        <f t="shared" si="5"/>
        <v/>
      </c>
      <c r="J136" s="646" t="str">
        <f t="shared" si="6"/>
        <v xml:space="preserve"> Forgó János</v>
      </c>
      <c r="K136" s="646" t="str">
        <f t="shared" ca="1" si="7"/>
        <v xml:space="preserve"> BHD</v>
      </c>
    </row>
    <row r="137" spans="5:11" ht="13.5" customHeight="1" x14ac:dyDescent="0.2">
      <c r="E137" s="643">
        <v>97</v>
      </c>
      <c r="F137" s="645">
        <f t="shared" si="4"/>
        <v>2.0007000000000001</v>
      </c>
      <c r="I137" s="766" t="str">
        <f t="shared" si="5"/>
        <v/>
      </c>
      <c r="J137" s="646" t="str">
        <f t="shared" si="6"/>
        <v xml:space="preserve"> Réti Gergely</v>
      </c>
      <c r="K137" s="646" t="str">
        <f t="shared" ca="1" si="7"/>
        <v xml:space="preserve"> BAKAFOGÓ-HONVÉD-SASHEGY SE</v>
      </c>
    </row>
    <row r="138" spans="5:11" ht="13.5" customHeight="1" x14ac:dyDescent="0.2">
      <c r="E138" s="643">
        <v>98</v>
      </c>
      <c r="F138" s="645">
        <f t="shared" si="4"/>
        <v>1.0509999999999999</v>
      </c>
      <c r="I138" s="766" t="str">
        <f t="shared" si="5"/>
        <v xml:space="preserve">1 GÓL </v>
      </c>
      <c r="J138" s="646" t="str">
        <f t="shared" si="6"/>
        <v xml:space="preserve"> Király Ákos</v>
      </c>
      <c r="K138" s="646" t="str">
        <f t="shared" ca="1" si="7"/>
        <v xml:space="preserve"> ZRÍNYIGYÖNGYE</v>
      </c>
    </row>
    <row r="139" spans="5:11" ht="13.5" customHeight="1" x14ac:dyDescent="0.2">
      <c r="E139" s="643">
        <v>99</v>
      </c>
      <c r="F139" s="645">
        <f t="shared" si="4"/>
        <v>1.0462</v>
      </c>
      <c r="I139" s="766" t="str">
        <f t="shared" si="5"/>
        <v/>
      </c>
      <c r="J139" s="646" t="str">
        <f t="shared" si="6"/>
        <v xml:space="preserve"> Vakana ismeretlen 15</v>
      </c>
      <c r="K139" s="646" t="str">
        <f t="shared" ca="1" si="7"/>
        <v xml:space="preserve"> VAKANA</v>
      </c>
    </row>
    <row r="140" spans="5:11" ht="13.5" customHeight="1" x14ac:dyDescent="0.2">
      <c r="E140" s="643">
        <v>100</v>
      </c>
      <c r="F140" s="645">
        <f t="shared" si="4"/>
        <v>1.0452999999999999</v>
      </c>
      <c r="I140" s="766" t="str">
        <f t="shared" si="5"/>
        <v/>
      </c>
      <c r="J140" s="646" t="str">
        <f t="shared" si="6"/>
        <v xml:space="preserve"> Pécsi András</v>
      </c>
      <c r="K140" s="646" t="str">
        <f t="shared" ca="1" si="7"/>
        <v xml:space="preserve"> VAKANA</v>
      </c>
    </row>
    <row r="141" spans="5:11" ht="13.5" customHeight="1" x14ac:dyDescent="0.2">
      <c r="E141" s="643">
        <v>101</v>
      </c>
      <c r="F141" s="645">
        <f t="shared" si="4"/>
        <v>1.0416000000000001</v>
      </c>
      <c r="I141" s="766" t="str">
        <f t="shared" si="5"/>
        <v/>
      </c>
      <c r="J141" s="646" t="str">
        <f t="shared" si="6"/>
        <v xml:space="preserve"> Horváth Ádám</v>
      </c>
      <c r="K141" s="646" t="str">
        <f t="shared" ca="1" si="7"/>
        <v xml:space="preserve"> ROYAL GUARD'S</v>
      </c>
    </row>
    <row r="142" spans="5:11" ht="13.5" customHeight="1" x14ac:dyDescent="0.2">
      <c r="E142" s="643">
        <v>102</v>
      </c>
      <c r="F142" s="645">
        <f t="shared" si="4"/>
        <v>1.0409999999999999</v>
      </c>
      <c r="I142" s="766" t="str">
        <f t="shared" si="5"/>
        <v/>
      </c>
      <c r="J142" s="646" t="str">
        <f t="shared" si="6"/>
        <v xml:space="preserve"> Horváth Dániel</v>
      </c>
      <c r="K142" s="646" t="str">
        <f t="shared" ca="1" si="7"/>
        <v xml:space="preserve"> ROYAL GUARD'S</v>
      </c>
    </row>
    <row r="143" spans="5:11" ht="13.5" customHeight="1" x14ac:dyDescent="0.2">
      <c r="E143" s="643">
        <v>103</v>
      </c>
      <c r="F143" s="645">
        <f t="shared" si="4"/>
        <v>1.0365</v>
      </c>
      <c r="I143" s="766" t="str">
        <f t="shared" si="5"/>
        <v/>
      </c>
      <c r="J143" s="646" t="str">
        <f t="shared" si="6"/>
        <v xml:space="preserve"> Török János</v>
      </c>
      <c r="K143" s="646" t="str">
        <f t="shared" ca="1" si="7"/>
        <v xml:space="preserve"> K&amp;H</v>
      </c>
    </row>
    <row r="144" spans="5:11" ht="13.5" customHeight="1" x14ac:dyDescent="0.2">
      <c r="E144" s="643">
        <v>104</v>
      </c>
      <c r="F144" s="645">
        <f t="shared" si="4"/>
        <v>1.0350999999999999</v>
      </c>
      <c r="I144" s="766" t="str">
        <f t="shared" si="5"/>
        <v/>
      </c>
      <c r="J144" s="646" t="str">
        <f t="shared" si="6"/>
        <v xml:space="preserve"> Szabó Dénes</v>
      </c>
      <c r="K144" s="646" t="str">
        <f t="shared" ca="1" si="7"/>
        <v xml:space="preserve"> K&amp;H</v>
      </c>
    </row>
    <row r="145" spans="5:11" ht="13.5" customHeight="1" x14ac:dyDescent="0.2">
      <c r="E145" s="643">
        <v>105</v>
      </c>
      <c r="F145" s="645">
        <f t="shared" si="4"/>
        <v>1.0305</v>
      </c>
      <c r="I145" s="766" t="str">
        <f t="shared" si="5"/>
        <v/>
      </c>
      <c r="J145" s="646" t="str">
        <f t="shared" si="6"/>
        <v xml:space="preserve"> Katona Krisztián</v>
      </c>
      <c r="K145" s="646" t="str">
        <f t="shared" ca="1" si="7"/>
        <v xml:space="preserve"> HERCULES-LUDOVIKA</v>
      </c>
    </row>
    <row r="146" spans="5:11" ht="13.5" customHeight="1" x14ac:dyDescent="0.2">
      <c r="E146" s="643">
        <v>106</v>
      </c>
      <c r="F146" s="645">
        <f t="shared" si="4"/>
        <v>1.0263</v>
      </c>
      <c r="I146" s="766" t="str">
        <f t="shared" si="5"/>
        <v/>
      </c>
      <c r="J146" s="646" t="str">
        <f t="shared" si="6"/>
        <v xml:space="preserve"> Ismeretlen 5-ös</v>
      </c>
      <c r="K146" s="646" t="str">
        <f t="shared" ca="1" si="7"/>
        <v xml:space="preserve"> ÉLELMESEK</v>
      </c>
    </row>
    <row r="147" spans="5:11" ht="13.5" customHeight="1" x14ac:dyDescent="0.2">
      <c r="E147" s="643">
        <v>107</v>
      </c>
      <c r="F147" s="645">
        <f t="shared" si="4"/>
        <v>1.0257000000000001</v>
      </c>
      <c r="I147" s="766" t="str">
        <f t="shared" si="5"/>
        <v/>
      </c>
      <c r="J147" s="646" t="str">
        <f t="shared" si="6"/>
        <v xml:space="preserve"> Szántó Tamás</v>
      </c>
      <c r="K147" s="646" t="str">
        <f t="shared" ca="1" si="7"/>
        <v xml:space="preserve"> ÉLELMESEK</v>
      </c>
    </row>
    <row r="148" spans="5:11" ht="13.5" customHeight="1" x14ac:dyDescent="0.2">
      <c r="E148" s="643">
        <v>108</v>
      </c>
      <c r="F148" s="645">
        <f t="shared" si="4"/>
        <v>1.0159</v>
      </c>
      <c r="I148" s="766" t="str">
        <f t="shared" si="5"/>
        <v/>
      </c>
      <c r="J148" s="646" t="str">
        <f t="shared" si="6"/>
        <v xml:space="preserve"> Tószegi Zoltán</v>
      </c>
      <c r="K148" s="646" t="str">
        <f t="shared" ca="1" si="7"/>
        <v xml:space="preserve"> BŐRDÍSZMŰ</v>
      </c>
    </row>
    <row r="149" spans="5:11" ht="13.5" customHeight="1" x14ac:dyDescent="0.2">
      <c r="E149" s="643">
        <v>109</v>
      </c>
      <c r="F149" s="645">
        <f t="shared" si="4"/>
        <v>1.0156000000000001</v>
      </c>
      <c r="I149" s="766" t="str">
        <f t="shared" si="5"/>
        <v/>
      </c>
      <c r="J149" s="646" t="str">
        <f t="shared" si="6"/>
        <v xml:space="preserve"> Szkala Zsolt</v>
      </c>
      <c r="K149" s="646" t="str">
        <f t="shared" ca="1" si="7"/>
        <v xml:space="preserve"> BŐRDÍSZMŰ</v>
      </c>
    </row>
    <row r="150" spans="5:11" ht="13.5" customHeight="1" x14ac:dyDescent="0.2">
      <c r="E150" s="643">
        <v>110</v>
      </c>
      <c r="F150" s="645">
        <f t="shared" si="4"/>
        <v>1.0154000000000001</v>
      </c>
      <c r="I150" s="766" t="str">
        <f t="shared" si="5"/>
        <v/>
      </c>
      <c r="J150" s="646" t="str">
        <f t="shared" si="6"/>
        <v xml:space="preserve"> Hajdú György</v>
      </c>
      <c r="K150" s="646" t="str">
        <f t="shared" ca="1" si="7"/>
        <v xml:space="preserve"> BŐRDÍSZMŰ</v>
      </c>
    </row>
    <row r="151" spans="5:11" ht="13.5" customHeight="1" x14ac:dyDescent="0.2">
      <c r="E151" s="643">
        <v>111</v>
      </c>
      <c r="F151" s="645">
        <f t="shared" si="4"/>
        <v>1.0116000000000001</v>
      </c>
      <c r="I151" s="766" t="str">
        <f t="shared" si="5"/>
        <v/>
      </c>
      <c r="J151" s="646" t="str">
        <f t="shared" si="6"/>
        <v xml:space="preserve"> BHD ismeretlen 33</v>
      </c>
      <c r="K151" s="646" t="str">
        <f t="shared" ca="1" si="7"/>
        <v xml:space="preserve"> BHD</v>
      </c>
    </row>
    <row r="152" spans="5:11" ht="13.5" customHeight="1" x14ac:dyDescent="0.2">
      <c r="E152" s="643">
        <v>112</v>
      </c>
      <c r="F152" s="645">
        <f t="shared" si="4"/>
        <v>1.0066999999999999</v>
      </c>
      <c r="I152" s="766" t="str">
        <f t="shared" si="5"/>
        <v/>
      </c>
      <c r="J152" s="646" t="str">
        <f t="shared" si="6"/>
        <v xml:space="preserve"> BBK ismeretlen 20</v>
      </c>
      <c r="K152" s="646" t="str">
        <f t="shared" ca="1" si="7"/>
        <v xml:space="preserve"> BBK</v>
      </c>
    </row>
    <row r="153" spans="5:11" ht="13.5" customHeight="1" x14ac:dyDescent="0.2">
      <c r="E153" s="643">
        <v>113</v>
      </c>
      <c r="F153" s="645">
        <f t="shared" si="4"/>
        <v>1.0065999999999999</v>
      </c>
      <c r="I153" s="766" t="str">
        <f t="shared" si="5"/>
        <v/>
      </c>
      <c r="J153" s="646" t="str">
        <f t="shared" si="6"/>
        <v xml:space="preserve"> BBK ismeretlen 16</v>
      </c>
      <c r="K153" s="646" t="str">
        <f t="shared" ca="1" si="7"/>
        <v xml:space="preserve"> BBK</v>
      </c>
    </row>
    <row r="154" spans="5:11" ht="13.5" customHeight="1" x14ac:dyDescent="0.2">
      <c r="E154" s="643">
        <v>114</v>
      </c>
      <c r="F154" s="645">
        <f t="shared" si="4"/>
        <v>1.0062</v>
      </c>
      <c r="I154" s="766" t="str">
        <f t="shared" si="5"/>
        <v/>
      </c>
      <c r="J154" s="646" t="str">
        <f t="shared" si="6"/>
        <v xml:space="preserve"> Jóni László</v>
      </c>
      <c r="K154" s="646" t="str">
        <f t="shared" ca="1" si="7"/>
        <v xml:space="preserve"> BBK</v>
      </c>
    </row>
    <row r="155" spans="5:11" ht="13.5" customHeight="1" x14ac:dyDescent="0.2">
      <c r="E155" s="643">
        <v>115</v>
      </c>
      <c r="F155" s="645">
        <f t="shared" si="4"/>
        <v>1.0015000000000001</v>
      </c>
      <c r="I155" s="766" t="str">
        <f t="shared" si="5"/>
        <v/>
      </c>
      <c r="J155" s="646" t="str">
        <f t="shared" si="6"/>
        <v xml:space="preserve"> Bakafogó ismeretlen 16</v>
      </c>
      <c r="K155" s="646" t="str">
        <f t="shared" ca="1" si="7"/>
        <v xml:space="preserve"> BAKAFOGÓ-HONVÉD-SASHEGY SE</v>
      </c>
    </row>
    <row r="156" spans="5:11" ht="13.5" customHeight="1" x14ac:dyDescent="0.2">
      <c r="E156" s="643">
        <v>116</v>
      </c>
      <c r="F156" s="645">
        <f t="shared" si="4"/>
        <v>1.0008999999999999</v>
      </c>
      <c r="I156" s="766" t="str">
        <f t="shared" si="5"/>
        <v/>
      </c>
      <c r="J156" s="646" t="str">
        <f t="shared" si="6"/>
        <v xml:space="preserve"> Batik Zoltán</v>
      </c>
      <c r="K156" s="646" t="str">
        <f t="shared" ca="1" si="7"/>
        <v xml:space="preserve"> BAKAFOGÓ-HONVÉD-SASHEGY SE</v>
      </c>
    </row>
    <row r="157" spans="5:11" ht="13.5" customHeight="1" x14ac:dyDescent="0.2">
      <c r="E157" s="643">
        <v>117</v>
      </c>
      <c r="F157" s="645">
        <f t="shared" si="4"/>
        <v>1.0005999999999999</v>
      </c>
      <c r="I157" s="766" t="str">
        <f t="shared" si="5"/>
        <v/>
      </c>
      <c r="J157" s="646" t="str">
        <f t="shared" si="6"/>
        <v xml:space="preserve"> Gots Márk Dávid</v>
      </c>
      <c r="K157" s="646" t="str">
        <f t="shared" ca="1" si="7"/>
        <v xml:space="preserve"> BAKAFOGÓ-HONVÉD-SASHEGY SE</v>
      </c>
    </row>
    <row r="158" spans="5:11" ht="13.5" customHeight="1" x14ac:dyDescent="0.2">
      <c r="E158" s="643">
        <v>118</v>
      </c>
      <c r="F158" s="645">
        <f t="shared" si="4"/>
        <v>0</v>
      </c>
      <c r="I158" s="766" t="str">
        <f t="shared" si="5"/>
        <v/>
      </c>
      <c r="J158" s="646" t="str">
        <f t="shared" si="6"/>
        <v/>
      </c>
      <c r="K158" s="646" t="str">
        <f t="shared" si="7"/>
        <v/>
      </c>
    </row>
    <row r="159" spans="5:11" ht="13.5" customHeight="1" x14ac:dyDescent="0.2">
      <c r="E159" s="643">
        <v>119</v>
      </c>
      <c r="F159" s="645">
        <f t="shared" si="4"/>
        <v>0</v>
      </c>
      <c r="I159" s="766" t="str">
        <f t="shared" si="5"/>
        <v/>
      </c>
      <c r="J159" s="646" t="str">
        <f t="shared" si="6"/>
        <v/>
      </c>
      <c r="K159" s="646" t="str">
        <f t="shared" si="7"/>
        <v/>
      </c>
    </row>
    <row r="160" spans="5:11" ht="13.5" customHeight="1" x14ac:dyDescent="0.2">
      <c r="E160" s="643">
        <v>120</v>
      </c>
      <c r="F160" s="645">
        <f t="shared" si="4"/>
        <v>0</v>
      </c>
      <c r="I160" s="766" t="str">
        <f t="shared" si="5"/>
        <v/>
      </c>
      <c r="J160" s="646" t="str">
        <f t="shared" si="6"/>
        <v/>
      </c>
      <c r="K160" s="646" t="str">
        <f t="shared" si="7"/>
        <v/>
      </c>
    </row>
    <row r="161" spans="5:11" ht="13.5" customHeight="1" x14ac:dyDescent="0.2">
      <c r="E161" s="643">
        <v>121</v>
      </c>
      <c r="F161" s="645">
        <f t="shared" si="4"/>
        <v>0</v>
      </c>
      <c r="I161" s="766" t="str">
        <f t="shared" si="5"/>
        <v/>
      </c>
      <c r="J161" s="646" t="str">
        <f t="shared" si="6"/>
        <v/>
      </c>
      <c r="K161" s="646" t="str">
        <f t="shared" si="7"/>
        <v/>
      </c>
    </row>
    <row r="162" spans="5:11" ht="13.5" customHeight="1" x14ac:dyDescent="0.2">
      <c r="E162" s="643">
        <v>122</v>
      </c>
      <c r="F162" s="645">
        <f t="shared" si="4"/>
        <v>0</v>
      </c>
      <c r="I162" s="766" t="str">
        <f t="shared" si="5"/>
        <v/>
      </c>
      <c r="J162" s="646" t="str">
        <f t="shared" si="6"/>
        <v/>
      </c>
      <c r="K162" s="646" t="str">
        <f t="shared" si="7"/>
        <v/>
      </c>
    </row>
    <row r="163" spans="5:11" ht="13.5" customHeight="1" x14ac:dyDescent="0.2">
      <c r="E163" s="643">
        <v>123</v>
      </c>
      <c r="F163" s="645">
        <f t="shared" si="4"/>
        <v>0</v>
      </c>
      <c r="I163" s="766" t="str">
        <f t="shared" si="5"/>
        <v/>
      </c>
      <c r="J163" s="646" t="str">
        <f t="shared" si="6"/>
        <v/>
      </c>
      <c r="K163" s="646" t="str">
        <f t="shared" si="7"/>
        <v/>
      </c>
    </row>
    <row r="164" spans="5:11" ht="13.5" customHeight="1" x14ac:dyDescent="0.2">
      <c r="E164" s="643">
        <v>124</v>
      </c>
      <c r="F164" s="645">
        <f t="shared" si="4"/>
        <v>0</v>
      </c>
      <c r="I164" s="766" t="str">
        <f t="shared" si="5"/>
        <v/>
      </c>
      <c r="J164" s="646" t="str">
        <f t="shared" si="6"/>
        <v/>
      </c>
      <c r="K164" s="646" t="str">
        <f t="shared" si="7"/>
        <v/>
      </c>
    </row>
    <row r="165" spans="5:11" ht="13.5" customHeight="1" x14ac:dyDescent="0.2">
      <c r="E165" s="643">
        <v>125</v>
      </c>
      <c r="F165" s="645">
        <f t="shared" si="4"/>
        <v>0</v>
      </c>
      <c r="I165" s="766" t="str">
        <f t="shared" si="5"/>
        <v/>
      </c>
      <c r="J165" s="646" t="str">
        <f t="shared" si="6"/>
        <v/>
      </c>
      <c r="K165" s="646" t="str">
        <f t="shared" si="7"/>
        <v/>
      </c>
    </row>
    <row r="166" spans="5:11" ht="13.5" customHeight="1" x14ac:dyDescent="0.2">
      <c r="E166" s="643">
        <v>126</v>
      </c>
      <c r="F166" s="645">
        <f t="shared" si="4"/>
        <v>0</v>
      </c>
      <c r="I166" s="766" t="str">
        <f t="shared" si="5"/>
        <v/>
      </c>
      <c r="J166" s="646" t="str">
        <f t="shared" si="6"/>
        <v/>
      </c>
      <c r="K166" s="646" t="str">
        <f t="shared" si="7"/>
        <v/>
      </c>
    </row>
    <row r="167" spans="5:11" ht="13.5" customHeight="1" x14ac:dyDescent="0.2">
      <c r="E167" s="643">
        <v>127</v>
      </c>
      <c r="F167" s="645">
        <f t="shared" si="4"/>
        <v>0</v>
      </c>
      <c r="I167" s="766" t="str">
        <f t="shared" si="5"/>
        <v/>
      </c>
      <c r="J167" s="646" t="str">
        <f t="shared" si="6"/>
        <v/>
      </c>
      <c r="K167" s="646" t="str">
        <f t="shared" si="7"/>
        <v/>
      </c>
    </row>
    <row r="168" spans="5:11" ht="13.5" customHeight="1" x14ac:dyDescent="0.2">
      <c r="E168" s="643">
        <v>128</v>
      </c>
      <c r="F168" s="645">
        <f t="shared" si="4"/>
        <v>0</v>
      </c>
      <c r="I168" s="766" t="str">
        <f t="shared" si="5"/>
        <v/>
      </c>
      <c r="J168" s="646" t="str">
        <f t="shared" si="6"/>
        <v/>
      </c>
      <c r="K168" s="646" t="str">
        <f t="shared" si="7"/>
        <v/>
      </c>
    </row>
    <row r="169" spans="5:11" ht="13.5" customHeight="1" x14ac:dyDescent="0.2">
      <c r="E169" s="643">
        <v>129</v>
      </c>
      <c r="F169" s="645">
        <f t="shared" ref="F169:F232" si="8">LARGE(goalrank,E169)</f>
        <v>0</v>
      </c>
      <c r="I169" s="766" t="str">
        <f t="shared" ref="I169:I232" si="9">IF(OR(F169&lt;1,ROUNDDOWN(F169,0)=ROUNDDOWN(F168,0)),"",CONCATENATE(ROUNDDOWN(F169,0)," GÓL "))</f>
        <v/>
      </c>
      <c r="J169" s="646" t="str">
        <f t="shared" ref="J169:J232" si="10">IF(F169&lt;1,"",CONCATENATE(" ",VLOOKUP(F169,goalname,3,FALSE)))</f>
        <v/>
      </c>
      <c r="K169" s="646" t="str">
        <f t="shared" ref="K169:K232" si="11">IF(F169&lt;1,"",CONCATENATE(" ",VLOOKUP(F169,goalname,2,FALSE)))</f>
        <v/>
      </c>
    </row>
    <row r="170" spans="5:11" ht="13.5" customHeight="1" x14ac:dyDescent="0.2">
      <c r="E170" s="643">
        <v>130</v>
      </c>
      <c r="F170" s="645">
        <f t="shared" si="8"/>
        <v>0</v>
      </c>
      <c r="I170" s="766" t="str">
        <f t="shared" si="9"/>
        <v/>
      </c>
      <c r="J170" s="646" t="str">
        <f t="shared" si="10"/>
        <v/>
      </c>
      <c r="K170" s="646" t="str">
        <f t="shared" si="11"/>
        <v/>
      </c>
    </row>
    <row r="171" spans="5:11" ht="13.5" customHeight="1" x14ac:dyDescent="0.2">
      <c r="E171" s="643">
        <v>131</v>
      </c>
      <c r="F171" s="645">
        <f t="shared" si="8"/>
        <v>0</v>
      </c>
      <c r="I171" s="766" t="str">
        <f t="shared" si="9"/>
        <v/>
      </c>
      <c r="J171" s="646" t="str">
        <f t="shared" si="10"/>
        <v/>
      </c>
      <c r="K171" s="646" t="str">
        <f t="shared" si="11"/>
        <v/>
      </c>
    </row>
    <row r="172" spans="5:11" ht="13.5" customHeight="1" x14ac:dyDescent="0.2">
      <c r="E172" s="643">
        <v>132</v>
      </c>
      <c r="F172" s="645">
        <f t="shared" si="8"/>
        <v>0</v>
      </c>
      <c r="I172" s="766" t="str">
        <f t="shared" si="9"/>
        <v/>
      </c>
      <c r="J172" s="646" t="str">
        <f t="shared" si="10"/>
        <v/>
      </c>
      <c r="K172" s="646" t="str">
        <f t="shared" si="11"/>
        <v/>
      </c>
    </row>
    <row r="173" spans="5:11" ht="13.5" customHeight="1" x14ac:dyDescent="0.2">
      <c r="E173" s="643">
        <v>133</v>
      </c>
      <c r="F173" s="645">
        <f t="shared" si="8"/>
        <v>0</v>
      </c>
      <c r="I173" s="766" t="str">
        <f t="shared" si="9"/>
        <v/>
      </c>
      <c r="J173" s="646" t="str">
        <f t="shared" si="10"/>
        <v/>
      </c>
      <c r="K173" s="646" t="str">
        <f t="shared" si="11"/>
        <v/>
      </c>
    </row>
    <row r="174" spans="5:11" ht="13.5" customHeight="1" x14ac:dyDescent="0.2">
      <c r="E174" s="643">
        <v>134</v>
      </c>
      <c r="F174" s="645">
        <f t="shared" si="8"/>
        <v>0</v>
      </c>
      <c r="I174" s="766" t="str">
        <f t="shared" si="9"/>
        <v/>
      </c>
      <c r="J174" s="646" t="str">
        <f t="shared" si="10"/>
        <v/>
      </c>
      <c r="K174" s="646" t="str">
        <f t="shared" si="11"/>
        <v/>
      </c>
    </row>
    <row r="175" spans="5:11" ht="13.5" customHeight="1" x14ac:dyDescent="0.2">
      <c r="E175" s="643">
        <v>135</v>
      </c>
      <c r="F175" s="645">
        <f t="shared" si="8"/>
        <v>0</v>
      </c>
      <c r="I175" s="766" t="str">
        <f t="shared" si="9"/>
        <v/>
      </c>
      <c r="J175" s="646" t="str">
        <f t="shared" si="10"/>
        <v/>
      </c>
      <c r="K175" s="646" t="str">
        <f t="shared" si="11"/>
        <v/>
      </c>
    </row>
    <row r="176" spans="5:11" ht="13.5" customHeight="1" x14ac:dyDescent="0.2">
      <c r="E176" s="643">
        <v>136</v>
      </c>
      <c r="F176" s="645">
        <f t="shared" si="8"/>
        <v>0</v>
      </c>
      <c r="I176" s="766" t="str">
        <f t="shared" si="9"/>
        <v/>
      </c>
      <c r="J176" s="646" t="str">
        <f t="shared" si="10"/>
        <v/>
      </c>
      <c r="K176" s="646" t="str">
        <f t="shared" si="11"/>
        <v/>
      </c>
    </row>
    <row r="177" spans="5:11" ht="13.5" customHeight="1" x14ac:dyDescent="0.2">
      <c r="E177" s="643">
        <v>137</v>
      </c>
      <c r="F177" s="645">
        <f t="shared" si="8"/>
        <v>0</v>
      </c>
      <c r="I177" s="766" t="str">
        <f t="shared" si="9"/>
        <v/>
      </c>
      <c r="J177" s="646" t="str">
        <f t="shared" si="10"/>
        <v/>
      </c>
      <c r="K177" s="646" t="str">
        <f t="shared" si="11"/>
        <v/>
      </c>
    </row>
    <row r="178" spans="5:11" ht="13.5" customHeight="1" x14ac:dyDescent="0.2">
      <c r="E178" s="643">
        <v>138</v>
      </c>
      <c r="F178" s="645">
        <f t="shared" si="8"/>
        <v>0</v>
      </c>
      <c r="I178" s="766" t="str">
        <f t="shared" si="9"/>
        <v/>
      </c>
      <c r="J178" s="646" t="str">
        <f t="shared" si="10"/>
        <v/>
      </c>
      <c r="K178" s="646" t="str">
        <f t="shared" si="11"/>
        <v/>
      </c>
    </row>
    <row r="179" spans="5:11" ht="13.5" customHeight="1" x14ac:dyDescent="0.2">
      <c r="E179" s="643">
        <v>139</v>
      </c>
      <c r="F179" s="645">
        <f t="shared" si="8"/>
        <v>0</v>
      </c>
      <c r="I179" s="766" t="str">
        <f t="shared" si="9"/>
        <v/>
      </c>
      <c r="J179" s="646" t="str">
        <f t="shared" si="10"/>
        <v/>
      </c>
      <c r="K179" s="646" t="str">
        <f t="shared" si="11"/>
        <v/>
      </c>
    </row>
    <row r="180" spans="5:11" ht="13.5" customHeight="1" x14ac:dyDescent="0.2">
      <c r="E180" s="643">
        <v>140</v>
      </c>
      <c r="F180" s="645">
        <f t="shared" si="8"/>
        <v>0</v>
      </c>
      <c r="I180" s="766" t="str">
        <f t="shared" si="9"/>
        <v/>
      </c>
      <c r="J180" s="646" t="str">
        <f t="shared" si="10"/>
        <v/>
      </c>
      <c r="K180" s="646" t="str">
        <f t="shared" si="11"/>
        <v/>
      </c>
    </row>
    <row r="181" spans="5:11" ht="13.5" customHeight="1" x14ac:dyDescent="0.2">
      <c r="E181" s="643">
        <v>141</v>
      </c>
      <c r="F181" s="645">
        <f t="shared" si="8"/>
        <v>0</v>
      </c>
      <c r="I181" s="766" t="str">
        <f t="shared" si="9"/>
        <v/>
      </c>
      <c r="J181" s="646" t="str">
        <f t="shared" si="10"/>
        <v/>
      </c>
      <c r="K181" s="646" t="str">
        <f t="shared" si="11"/>
        <v/>
      </c>
    </row>
    <row r="182" spans="5:11" ht="13.5" customHeight="1" x14ac:dyDescent="0.2">
      <c r="E182" s="643">
        <v>142</v>
      </c>
      <c r="F182" s="645">
        <f t="shared" si="8"/>
        <v>0</v>
      </c>
      <c r="I182" s="766" t="str">
        <f t="shared" si="9"/>
        <v/>
      </c>
      <c r="J182" s="646" t="str">
        <f t="shared" si="10"/>
        <v/>
      </c>
      <c r="K182" s="646" t="str">
        <f t="shared" si="11"/>
        <v/>
      </c>
    </row>
    <row r="183" spans="5:11" ht="13.5" customHeight="1" x14ac:dyDescent="0.2">
      <c r="E183" s="643">
        <v>143</v>
      </c>
      <c r="F183" s="645">
        <f t="shared" si="8"/>
        <v>0</v>
      </c>
      <c r="I183" s="766" t="str">
        <f t="shared" si="9"/>
        <v/>
      </c>
      <c r="J183" s="646" t="str">
        <f t="shared" si="10"/>
        <v/>
      </c>
      <c r="K183" s="646" t="str">
        <f t="shared" si="11"/>
        <v/>
      </c>
    </row>
    <row r="184" spans="5:11" ht="13.5" customHeight="1" x14ac:dyDescent="0.2">
      <c r="E184" s="643">
        <v>144</v>
      </c>
      <c r="F184" s="645">
        <f t="shared" si="8"/>
        <v>0</v>
      </c>
      <c r="I184" s="766" t="str">
        <f t="shared" si="9"/>
        <v/>
      </c>
      <c r="J184" s="646" t="str">
        <f t="shared" si="10"/>
        <v/>
      </c>
      <c r="K184" s="646" t="str">
        <f t="shared" si="11"/>
        <v/>
      </c>
    </row>
    <row r="185" spans="5:11" ht="13.5" customHeight="1" x14ac:dyDescent="0.2">
      <c r="E185" s="643">
        <v>145</v>
      </c>
      <c r="F185" s="645">
        <f t="shared" si="8"/>
        <v>0</v>
      </c>
      <c r="I185" s="766" t="str">
        <f t="shared" si="9"/>
        <v/>
      </c>
      <c r="J185" s="646" t="str">
        <f t="shared" si="10"/>
        <v/>
      </c>
      <c r="K185" s="646" t="str">
        <f t="shared" si="11"/>
        <v/>
      </c>
    </row>
    <row r="186" spans="5:11" ht="13.5" customHeight="1" x14ac:dyDescent="0.2">
      <c r="E186" s="643">
        <v>146</v>
      </c>
      <c r="F186" s="645">
        <f t="shared" si="8"/>
        <v>0</v>
      </c>
      <c r="I186" s="766" t="str">
        <f t="shared" si="9"/>
        <v/>
      </c>
      <c r="J186" s="646" t="str">
        <f t="shared" si="10"/>
        <v/>
      </c>
      <c r="K186" s="646" t="str">
        <f t="shared" si="11"/>
        <v/>
      </c>
    </row>
    <row r="187" spans="5:11" ht="13.5" customHeight="1" x14ac:dyDescent="0.2">
      <c r="E187" s="643">
        <v>147</v>
      </c>
      <c r="F187" s="645">
        <f t="shared" si="8"/>
        <v>0</v>
      </c>
      <c r="I187" s="766" t="str">
        <f t="shared" si="9"/>
        <v/>
      </c>
      <c r="J187" s="646" t="str">
        <f t="shared" si="10"/>
        <v/>
      </c>
      <c r="K187" s="646" t="str">
        <f t="shared" si="11"/>
        <v/>
      </c>
    </row>
    <row r="188" spans="5:11" ht="13.5" customHeight="1" x14ac:dyDescent="0.2">
      <c r="E188" s="643">
        <v>148</v>
      </c>
      <c r="F188" s="645">
        <f t="shared" si="8"/>
        <v>0</v>
      </c>
      <c r="I188" s="766" t="str">
        <f t="shared" si="9"/>
        <v/>
      </c>
      <c r="J188" s="646" t="str">
        <f t="shared" si="10"/>
        <v/>
      </c>
      <c r="K188" s="646" t="str">
        <f t="shared" si="11"/>
        <v/>
      </c>
    </row>
    <row r="189" spans="5:11" ht="13.5" customHeight="1" x14ac:dyDescent="0.2">
      <c r="E189" s="643">
        <v>149</v>
      </c>
      <c r="F189" s="645">
        <f t="shared" si="8"/>
        <v>0</v>
      </c>
      <c r="I189" s="766" t="str">
        <f t="shared" si="9"/>
        <v/>
      </c>
      <c r="J189" s="646" t="str">
        <f t="shared" si="10"/>
        <v/>
      </c>
      <c r="K189" s="646" t="str">
        <f t="shared" si="11"/>
        <v/>
      </c>
    </row>
    <row r="190" spans="5:11" ht="13.5" customHeight="1" x14ac:dyDescent="0.2">
      <c r="E190" s="643">
        <v>150</v>
      </c>
      <c r="F190" s="645">
        <f t="shared" si="8"/>
        <v>0</v>
      </c>
      <c r="I190" s="766" t="str">
        <f t="shared" si="9"/>
        <v/>
      </c>
      <c r="J190" s="646" t="str">
        <f t="shared" si="10"/>
        <v/>
      </c>
      <c r="K190" s="646" t="str">
        <f t="shared" si="11"/>
        <v/>
      </c>
    </row>
    <row r="191" spans="5:11" ht="13.5" customHeight="1" x14ac:dyDescent="0.2">
      <c r="E191" s="643">
        <v>151</v>
      </c>
      <c r="F191" s="645">
        <f t="shared" si="8"/>
        <v>0</v>
      </c>
      <c r="I191" s="766" t="str">
        <f t="shared" si="9"/>
        <v/>
      </c>
      <c r="J191" s="646" t="str">
        <f t="shared" si="10"/>
        <v/>
      </c>
      <c r="K191" s="646" t="str">
        <f t="shared" si="11"/>
        <v/>
      </c>
    </row>
    <row r="192" spans="5:11" ht="13.5" customHeight="1" x14ac:dyDescent="0.2">
      <c r="E192" s="643">
        <v>152</v>
      </c>
      <c r="F192" s="645">
        <f t="shared" si="8"/>
        <v>0</v>
      </c>
      <c r="I192" s="766" t="str">
        <f t="shared" si="9"/>
        <v/>
      </c>
      <c r="J192" s="646" t="str">
        <f t="shared" si="10"/>
        <v/>
      </c>
      <c r="K192" s="646" t="str">
        <f t="shared" si="11"/>
        <v/>
      </c>
    </row>
    <row r="193" spans="5:11" ht="13.5" customHeight="1" x14ac:dyDescent="0.2">
      <c r="E193" s="643">
        <v>153</v>
      </c>
      <c r="F193" s="645">
        <f t="shared" si="8"/>
        <v>0</v>
      </c>
      <c r="I193" s="766" t="str">
        <f t="shared" si="9"/>
        <v/>
      </c>
      <c r="J193" s="646" t="str">
        <f t="shared" si="10"/>
        <v/>
      </c>
      <c r="K193" s="646" t="str">
        <f t="shared" si="11"/>
        <v/>
      </c>
    </row>
    <row r="194" spans="5:11" ht="13.5" customHeight="1" x14ac:dyDescent="0.2">
      <c r="E194" s="643">
        <v>154</v>
      </c>
      <c r="F194" s="645">
        <f t="shared" si="8"/>
        <v>0</v>
      </c>
      <c r="I194" s="766" t="str">
        <f t="shared" si="9"/>
        <v/>
      </c>
      <c r="J194" s="646" t="str">
        <f t="shared" si="10"/>
        <v/>
      </c>
      <c r="K194" s="646" t="str">
        <f t="shared" si="11"/>
        <v/>
      </c>
    </row>
    <row r="195" spans="5:11" ht="13.5" customHeight="1" x14ac:dyDescent="0.2">
      <c r="E195" s="643">
        <v>155</v>
      </c>
      <c r="F195" s="645">
        <f t="shared" si="8"/>
        <v>0</v>
      </c>
      <c r="I195" s="766" t="str">
        <f t="shared" si="9"/>
        <v/>
      </c>
      <c r="J195" s="646" t="str">
        <f t="shared" si="10"/>
        <v/>
      </c>
      <c r="K195" s="646" t="str">
        <f t="shared" si="11"/>
        <v/>
      </c>
    </row>
    <row r="196" spans="5:11" ht="13.5" customHeight="1" x14ac:dyDescent="0.2">
      <c r="E196" s="643">
        <v>156</v>
      </c>
      <c r="F196" s="645">
        <f t="shared" si="8"/>
        <v>0</v>
      </c>
      <c r="I196" s="766" t="str">
        <f t="shared" si="9"/>
        <v/>
      </c>
      <c r="J196" s="646" t="str">
        <f t="shared" si="10"/>
        <v/>
      </c>
      <c r="K196" s="646" t="str">
        <f t="shared" si="11"/>
        <v/>
      </c>
    </row>
    <row r="197" spans="5:11" ht="13.5" customHeight="1" x14ac:dyDescent="0.2">
      <c r="E197" s="643">
        <v>157</v>
      </c>
      <c r="F197" s="645">
        <f t="shared" si="8"/>
        <v>0</v>
      </c>
      <c r="I197" s="766" t="str">
        <f t="shared" si="9"/>
        <v/>
      </c>
      <c r="J197" s="646" t="str">
        <f t="shared" si="10"/>
        <v/>
      </c>
      <c r="K197" s="646" t="str">
        <f t="shared" si="11"/>
        <v/>
      </c>
    </row>
    <row r="198" spans="5:11" ht="13.5" customHeight="1" x14ac:dyDescent="0.2">
      <c r="E198" s="643">
        <v>158</v>
      </c>
      <c r="F198" s="645">
        <f t="shared" si="8"/>
        <v>0</v>
      </c>
      <c r="I198" s="766" t="str">
        <f t="shared" si="9"/>
        <v/>
      </c>
      <c r="J198" s="646" t="str">
        <f t="shared" si="10"/>
        <v/>
      </c>
      <c r="K198" s="646" t="str">
        <f t="shared" si="11"/>
        <v/>
      </c>
    </row>
    <row r="199" spans="5:11" ht="13.5" customHeight="1" x14ac:dyDescent="0.2">
      <c r="E199" s="643">
        <v>159</v>
      </c>
      <c r="F199" s="645">
        <f t="shared" si="8"/>
        <v>0</v>
      </c>
      <c r="I199" s="766" t="str">
        <f t="shared" si="9"/>
        <v/>
      </c>
      <c r="J199" s="646" t="str">
        <f t="shared" si="10"/>
        <v/>
      </c>
      <c r="K199" s="646" t="str">
        <f t="shared" si="11"/>
        <v/>
      </c>
    </row>
    <row r="200" spans="5:11" ht="13.5" customHeight="1" x14ac:dyDescent="0.2">
      <c r="E200" s="643">
        <v>160</v>
      </c>
      <c r="F200" s="645">
        <f t="shared" si="8"/>
        <v>0</v>
      </c>
      <c r="I200" s="766" t="str">
        <f t="shared" si="9"/>
        <v/>
      </c>
      <c r="J200" s="646" t="str">
        <f t="shared" si="10"/>
        <v/>
      </c>
      <c r="K200" s="646" t="str">
        <f t="shared" si="11"/>
        <v/>
      </c>
    </row>
    <row r="201" spans="5:11" ht="13.5" customHeight="1" x14ac:dyDescent="0.2">
      <c r="E201" s="643">
        <v>161</v>
      </c>
      <c r="F201" s="645">
        <f t="shared" si="8"/>
        <v>0</v>
      </c>
      <c r="I201" s="766" t="str">
        <f t="shared" si="9"/>
        <v/>
      </c>
      <c r="J201" s="646" t="str">
        <f t="shared" si="10"/>
        <v/>
      </c>
      <c r="K201" s="646" t="str">
        <f t="shared" si="11"/>
        <v/>
      </c>
    </row>
    <row r="202" spans="5:11" ht="13.5" customHeight="1" x14ac:dyDescent="0.2">
      <c r="E202" s="643">
        <v>162</v>
      </c>
      <c r="F202" s="645">
        <f t="shared" si="8"/>
        <v>0</v>
      </c>
      <c r="I202" s="766" t="str">
        <f t="shared" si="9"/>
        <v/>
      </c>
      <c r="J202" s="646" t="str">
        <f t="shared" si="10"/>
        <v/>
      </c>
      <c r="K202" s="646" t="str">
        <f t="shared" si="11"/>
        <v/>
      </c>
    </row>
    <row r="203" spans="5:11" ht="13.5" customHeight="1" x14ac:dyDescent="0.2">
      <c r="E203" s="643">
        <v>163</v>
      </c>
      <c r="F203" s="645">
        <f t="shared" si="8"/>
        <v>0</v>
      </c>
      <c r="I203" s="766" t="str">
        <f t="shared" si="9"/>
        <v/>
      </c>
      <c r="J203" s="646" t="str">
        <f t="shared" si="10"/>
        <v/>
      </c>
      <c r="K203" s="646" t="str">
        <f t="shared" si="11"/>
        <v/>
      </c>
    </row>
    <row r="204" spans="5:11" ht="13.5" customHeight="1" x14ac:dyDescent="0.2">
      <c r="E204" s="643">
        <v>164</v>
      </c>
      <c r="F204" s="645">
        <f t="shared" si="8"/>
        <v>0</v>
      </c>
      <c r="I204" s="766" t="str">
        <f t="shared" si="9"/>
        <v/>
      </c>
      <c r="J204" s="646" t="str">
        <f t="shared" si="10"/>
        <v/>
      </c>
      <c r="K204" s="646" t="str">
        <f t="shared" si="11"/>
        <v/>
      </c>
    </row>
    <row r="205" spans="5:11" ht="13.5" customHeight="1" x14ac:dyDescent="0.2">
      <c r="E205" s="643">
        <v>165</v>
      </c>
      <c r="F205" s="645">
        <f t="shared" si="8"/>
        <v>0</v>
      </c>
      <c r="I205" s="766" t="str">
        <f t="shared" si="9"/>
        <v/>
      </c>
      <c r="J205" s="646" t="str">
        <f t="shared" si="10"/>
        <v/>
      </c>
      <c r="K205" s="646" t="str">
        <f t="shared" si="11"/>
        <v/>
      </c>
    </row>
    <row r="206" spans="5:11" ht="13.5" customHeight="1" x14ac:dyDescent="0.2">
      <c r="E206" s="643">
        <v>166</v>
      </c>
      <c r="F206" s="645">
        <f t="shared" si="8"/>
        <v>0</v>
      </c>
      <c r="I206" s="766" t="str">
        <f t="shared" si="9"/>
        <v/>
      </c>
      <c r="J206" s="646" t="str">
        <f t="shared" si="10"/>
        <v/>
      </c>
      <c r="K206" s="646" t="str">
        <f t="shared" si="11"/>
        <v/>
      </c>
    </row>
    <row r="207" spans="5:11" ht="13.5" customHeight="1" x14ac:dyDescent="0.2">
      <c r="E207" s="643">
        <v>167</v>
      </c>
      <c r="F207" s="645">
        <f t="shared" si="8"/>
        <v>0</v>
      </c>
      <c r="I207" s="766" t="str">
        <f t="shared" si="9"/>
        <v/>
      </c>
      <c r="J207" s="646" t="str">
        <f t="shared" si="10"/>
        <v/>
      </c>
      <c r="K207" s="646" t="str">
        <f t="shared" si="11"/>
        <v/>
      </c>
    </row>
    <row r="208" spans="5:11" ht="13.5" customHeight="1" x14ac:dyDescent="0.2">
      <c r="E208" s="643">
        <v>168</v>
      </c>
      <c r="F208" s="645">
        <f t="shared" si="8"/>
        <v>0</v>
      </c>
      <c r="I208" s="766" t="str">
        <f t="shared" si="9"/>
        <v/>
      </c>
      <c r="J208" s="646" t="str">
        <f t="shared" si="10"/>
        <v/>
      </c>
      <c r="K208" s="646" t="str">
        <f t="shared" si="11"/>
        <v/>
      </c>
    </row>
    <row r="209" spans="5:11" ht="13.5" customHeight="1" x14ac:dyDescent="0.2">
      <c r="E209" s="643">
        <v>169</v>
      </c>
      <c r="F209" s="645">
        <f t="shared" si="8"/>
        <v>0</v>
      </c>
      <c r="I209" s="766" t="str">
        <f t="shared" si="9"/>
        <v/>
      </c>
      <c r="J209" s="646" t="str">
        <f t="shared" si="10"/>
        <v/>
      </c>
      <c r="K209" s="646" t="str">
        <f t="shared" si="11"/>
        <v/>
      </c>
    </row>
    <row r="210" spans="5:11" ht="13.5" customHeight="1" x14ac:dyDescent="0.2">
      <c r="E210" s="643">
        <v>170</v>
      </c>
      <c r="F210" s="645">
        <f t="shared" si="8"/>
        <v>0</v>
      </c>
      <c r="I210" s="766" t="str">
        <f t="shared" si="9"/>
        <v/>
      </c>
      <c r="J210" s="646" t="str">
        <f t="shared" si="10"/>
        <v/>
      </c>
      <c r="K210" s="646" t="str">
        <f t="shared" si="11"/>
        <v/>
      </c>
    </row>
    <row r="211" spans="5:11" ht="13.5" customHeight="1" x14ac:dyDescent="0.2">
      <c r="E211" s="643">
        <v>171</v>
      </c>
      <c r="F211" s="645">
        <f t="shared" si="8"/>
        <v>0</v>
      </c>
      <c r="I211" s="766" t="str">
        <f t="shared" si="9"/>
        <v/>
      </c>
      <c r="J211" s="646" t="str">
        <f t="shared" si="10"/>
        <v/>
      </c>
      <c r="K211" s="646" t="str">
        <f t="shared" si="11"/>
        <v/>
      </c>
    </row>
    <row r="212" spans="5:11" ht="13.5" customHeight="1" x14ac:dyDescent="0.2">
      <c r="E212" s="643">
        <v>172</v>
      </c>
      <c r="F212" s="645">
        <f t="shared" si="8"/>
        <v>0</v>
      </c>
      <c r="I212" s="766" t="str">
        <f t="shared" si="9"/>
        <v/>
      </c>
      <c r="J212" s="646" t="str">
        <f t="shared" si="10"/>
        <v/>
      </c>
      <c r="K212" s="646" t="str">
        <f t="shared" si="11"/>
        <v/>
      </c>
    </row>
    <row r="213" spans="5:11" ht="13.5" customHeight="1" x14ac:dyDescent="0.2">
      <c r="E213" s="643">
        <v>173</v>
      </c>
      <c r="F213" s="645">
        <f t="shared" si="8"/>
        <v>0</v>
      </c>
      <c r="I213" s="766" t="str">
        <f t="shared" si="9"/>
        <v/>
      </c>
      <c r="J213" s="646" t="str">
        <f t="shared" si="10"/>
        <v/>
      </c>
      <c r="K213" s="646" t="str">
        <f t="shared" si="11"/>
        <v/>
      </c>
    </row>
    <row r="214" spans="5:11" ht="13.5" customHeight="1" x14ac:dyDescent="0.2">
      <c r="E214" s="643">
        <v>174</v>
      </c>
      <c r="F214" s="645">
        <f t="shared" si="8"/>
        <v>0</v>
      </c>
      <c r="I214" s="766" t="str">
        <f t="shared" si="9"/>
        <v/>
      </c>
      <c r="J214" s="646" t="str">
        <f t="shared" si="10"/>
        <v/>
      </c>
      <c r="K214" s="646" t="str">
        <f t="shared" si="11"/>
        <v/>
      </c>
    </row>
    <row r="215" spans="5:11" ht="13.5" customHeight="1" x14ac:dyDescent="0.2">
      <c r="E215" s="643">
        <v>175</v>
      </c>
      <c r="F215" s="645">
        <f t="shared" si="8"/>
        <v>0</v>
      </c>
      <c r="I215" s="766" t="str">
        <f t="shared" si="9"/>
        <v/>
      </c>
      <c r="J215" s="646" t="str">
        <f t="shared" si="10"/>
        <v/>
      </c>
      <c r="K215" s="646" t="str">
        <f t="shared" si="11"/>
        <v/>
      </c>
    </row>
    <row r="216" spans="5:11" ht="13.5" customHeight="1" x14ac:dyDescent="0.2">
      <c r="E216" s="643">
        <v>176</v>
      </c>
      <c r="F216" s="645">
        <f t="shared" si="8"/>
        <v>0</v>
      </c>
      <c r="I216" s="766" t="str">
        <f t="shared" si="9"/>
        <v/>
      </c>
      <c r="J216" s="646" t="str">
        <f t="shared" si="10"/>
        <v/>
      </c>
      <c r="K216" s="646" t="str">
        <f t="shared" si="11"/>
        <v/>
      </c>
    </row>
    <row r="217" spans="5:11" ht="13.5" customHeight="1" x14ac:dyDescent="0.2">
      <c r="E217" s="643">
        <v>177</v>
      </c>
      <c r="F217" s="645">
        <f t="shared" si="8"/>
        <v>0</v>
      </c>
      <c r="I217" s="766" t="str">
        <f t="shared" si="9"/>
        <v/>
      </c>
      <c r="J217" s="646" t="str">
        <f t="shared" si="10"/>
        <v/>
      </c>
      <c r="K217" s="646" t="str">
        <f t="shared" si="11"/>
        <v/>
      </c>
    </row>
    <row r="218" spans="5:11" ht="13.5" customHeight="1" x14ac:dyDescent="0.2">
      <c r="E218" s="643">
        <v>178</v>
      </c>
      <c r="F218" s="645">
        <f t="shared" si="8"/>
        <v>0</v>
      </c>
      <c r="I218" s="766" t="str">
        <f t="shared" si="9"/>
        <v/>
      </c>
      <c r="J218" s="646" t="str">
        <f t="shared" si="10"/>
        <v/>
      </c>
      <c r="K218" s="646" t="str">
        <f t="shared" si="11"/>
        <v/>
      </c>
    </row>
    <row r="219" spans="5:11" ht="13.5" customHeight="1" x14ac:dyDescent="0.2">
      <c r="E219" s="643">
        <v>179</v>
      </c>
      <c r="F219" s="645">
        <f t="shared" si="8"/>
        <v>0</v>
      </c>
      <c r="I219" s="766" t="str">
        <f t="shared" si="9"/>
        <v/>
      </c>
      <c r="J219" s="646" t="str">
        <f t="shared" si="10"/>
        <v/>
      </c>
      <c r="K219" s="646" t="str">
        <f t="shared" si="11"/>
        <v/>
      </c>
    </row>
    <row r="220" spans="5:11" ht="13.5" customHeight="1" x14ac:dyDescent="0.2">
      <c r="E220" s="643">
        <v>180</v>
      </c>
      <c r="F220" s="645">
        <f t="shared" si="8"/>
        <v>0</v>
      </c>
      <c r="I220" s="766" t="str">
        <f t="shared" si="9"/>
        <v/>
      </c>
      <c r="J220" s="646" t="str">
        <f t="shared" si="10"/>
        <v/>
      </c>
      <c r="K220" s="646" t="str">
        <f t="shared" si="11"/>
        <v/>
      </c>
    </row>
    <row r="221" spans="5:11" ht="13.5" customHeight="1" x14ac:dyDescent="0.2">
      <c r="E221" s="643">
        <v>181</v>
      </c>
      <c r="F221" s="645">
        <f t="shared" si="8"/>
        <v>0</v>
      </c>
      <c r="I221" s="766" t="str">
        <f t="shared" si="9"/>
        <v/>
      </c>
      <c r="J221" s="646" t="str">
        <f t="shared" si="10"/>
        <v/>
      </c>
      <c r="K221" s="646" t="str">
        <f t="shared" si="11"/>
        <v/>
      </c>
    </row>
    <row r="222" spans="5:11" ht="13.5" customHeight="1" x14ac:dyDescent="0.2">
      <c r="E222" s="643">
        <v>182</v>
      </c>
      <c r="F222" s="645">
        <f t="shared" si="8"/>
        <v>0</v>
      </c>
      <c r="I222" s="766" t="str">
        <f t="shared" si="9"/>
        <v/>
      </c>
      <c r="J222" s="646" t="str">
        <f t="shared" si="10"/>
        <v/>
      </c>
      <c r="K222" s="646" t="str">
        <f t="shared" si="11"/>
        <v/>
      </c>
    </row>
    <row r="223" spans="5:11" ht="13.5" customHeight="1" x14ac:dyDescent="0.2">
      <c r="E223" s="643">
        <v>183</v>
      </c>
      <c r="F223" s="645">
        <f t="shared" si="8"/>
        <v>0</v>
      </c>
      <c r="I223" s="766" t="str">
        <f t="shared" si="9"/>
        <v/>
      </c>
      <c r="J223" s="646" t="str">
        <f t="shared" si="10"/>
        <v/>
      </c>
      <c r="K223" s="646" t="str">
        <f t="shared" si="11"/>
        <v/>
      </c>
    </row>
    <row r="224" spans="5:11" ht="13.5" customHeight="1" x14ac:dyDescent="0.2">
      <c r="E224" s="643">
        <v>184</v>
      </c>
      <c r="F224" s="645">
        <f t="shared" si="8"/>
        <v>0</v>
      </c>
      <c r="I224" s="766" t="str">
        <f t="shared" si="9"/>
        <v/>
      </c>
      <c r="J224" s="646" t="str">
        <f t="shared" si="10"/>
        <v/>
      </c>
      <c r="K224" s="646" t="str">
        <f t="shared" si="11"/>
        <v/>
      </c>
    </row>
    <row r="225" spans="5:11" ht="13.5" customHeight="1" x14ac:dyDescent="0.2">
      <c r="E225" s="643">
        <v>185</v>
      </c>
      <c r="F225" s="645">
        <f t="shared" si="8"/>
        <v>0</v>
      </c>
      <c r="I225" s="766" t="str">
        <f t="shared" si="9"/>
        <v/>
      </c>
      <c r="J225" s="646" t="str">
        <f t="shared" si="10"/>
        <v/>
      </c>
      <c r="K225" s="646" t="str">
        <f t="shared" si="11"/>
        <v/>
      </c>
    </row>
    <row r="226" spans="5:11" ht="13.5" customHeight="1" x14ac:dyDescent="0.2">
      <c r="E226" s="643">
        <v>186</v>
      </c>
      <c r="F226" s="645">
        <f t="shared" si="8"/>
        <v>0</v>
      </c>
      <c r="I226" s="766" t="str">
        <f t="shared" si="9"/>
        <v/>
      </c>
      <c r="J226" s="646" t="str">
        <f t="shared" si="10"/>
        <v/>
      </c>
      <c r="K226" s="646" t="str">
        <f t="shared" si="11"/>
        <v/>
      </c>
    </row>
    <row r="227" spans="5:11" ht="13.5" customHeight="1" x14ac:dyDescent="0.2">
      <c r="E227" s="643">
        <v>187</v>
      </c>
      <c r="F227" s="645">
        <f t="shared" si="8"/>
        <v>0</v>
      </c>
      <c r="I227" s="766" t="str">
        <f t="shared" si="9"/>
        <v/>
      </c>
      <c r="J227" s="646" t="str">
        <f t="shared" si="10"/>
        <v/>
      </c>
      <c r="K227" s="646" t="str">
        <f t="shared" si="11"/>
        <v/>
      </c>
    </row>
    <row r="228" spans="5:11" ht="13.5" customHeight="1" x14ac:dyDescent="0.2">
      <c r="E228" s="643">
        <v>188</v>
      </c>
      <c r="F228" s="645">
        <f t="shared" si="8"/>
        <v>0</v>
      </c>
      <c r="I228" s="766" t="str">
        <f t="shared" si="9"/>
        <v/>
      </c>
      <c r="J228" s="646" t="str">
        <f t="shared" si="10"/>
        <v/>
      </c>
      <c r="K228" s="646" t="str">
        <f t="shared" si="11"/>
        <v/>
      </c>
    </row>
    <row r="229" spans="5:11" ht="13.5" customHeight="1" x14ac:dyDescent="0.2">
      <c r="E229" s="643">
        <v>189</v>
      </c>
      <c r="F229" s="645">
        <f t="shared" si="8"/>
        <v>0</v>
      </c>
      <c r="I229" s="766" t="str">
        <f t="shared" si="9"/>
        <v/>
      </c>
      <c r="J229" s="646" t="str">
        <f t="shared" si="10"/>
        <v/>
      </c>
      <c r="K229" s="646" t="str">
        <f t="shared" si="11"/>
        <v/>
      </c>
    </row>
    <row r="230" spans="5:11" ht="13.5" customHeight="1" x14ac:dyDescent="0.2">
      <c r="E230" s="643">
        <v>190</v>
      </c>
      <c r="F230" s="645">
        <f t="shared" si="8"/>
        <v>0</v>
      </c>
      <c r="I230" s="766" t="str">
        <f t="shared" si="9"/>
        <v/>
      </c>
      <c r="J230" s="646" t="str">
        <f t="shared" si="10"/>
        <v/>
      </c>
      <c r="K230" s="646" t="str">
        <f t="shared" si="11"/>
        <v/>
      </c>
    </row>
    <row r="231" spans="5:11" ht="13.5" customHeight="1" x14ac:dyDescent="0.2">
      <c r="E231" s="643">
        <v>191</v>
      </c>
      <c r="F231" s="645">
        <f t="shared" si="8"/>
        <v>0</v>
      </c>
      <c r="I231" s="766" t="str">
        <f t="shared" si="9"/>
        <v/>
      </c>
      <c r="J231" s="646" t="str">
        <f t="shared" si="10"/>
        <v/>
      </c>
      <c r="K231" s="646" t="str">
        <f t="shared" si="11"/>
        <v/>
      </c>
    </row>
    <row r="232" spans="5:11" ht="13.5" customHeight="1" x14ac:dyDescent="0.2">
      <c r="E232" s="643">
        <v>192</v>
      </c>
      <c r="F232" s="645">
        <f t="shared" si="8"/>
        <v>0</v>
      </c>
      <c r="I232" s="766" t="str">
        <f t="shared" si="9"/>
        <v/>
      </c>
      <c r="J232" s="646" t="str">
        <f t="shared" si="10"/>
        <v/>
      </c>
      <c r="K232" s="646" t="str">
        <f t="shared" si="11"/>
        <v/>
      </c>
    </row>
    <row r="233" spans="5:11" ht="13.5" customHeight="1" x14ac:dyDescent="0.2">
      <c r="E233" s="643">
        <v>193</v>
      </c>
      <c r="F233" s="645">
        <f t="shared" ref="F233:F296" si="12">LARGE(goalrank,E233)</f>
        <v>0</v>
      </c>
      <c r="I233" s="766" t="str">
        <f t="shared" ref="I233:I296" si="13">IF(OR(F233&lt;1,ROUNDDOWN(F233,0)=ROUNDDOWN(F232,0)),"",CONCATENATE(ROUNDDOWN(F233,0)," GÓL "))</f>
        <v/>
      </c>
      <c r="J233" s="646" t="str">
        <f t="shared" ref="J233:J296" si="14">IF(F233&lt;1,"",CONCATENATE(" ",VLOOKUP(F233,goalname,3,FALSE)))</f>
        <v/>
      </c>
      <c r="K233" s="646" t="str">
        <f t="shared" ref="K233:K296" si="15">IF(F233&lt;1,"",CONCATENATE(" ",VLOOKUP(F233,goalname,2,FALSE)))</f>
        <v/>
      </c>
    </row>
    <row r="234" spans="5:11" ht="13.5" customHeight="1" x14ac:dyDescent="0.2">
      <c r="E234" s="643">
        <v>194</v>
      </c>
      <c r="F234" s="645">
        <f t="shared" si="12"/>
        <v>0</v>
      </c>
      <c r="I234" s="766" t="str">
        <f t="shared" si="13"/>
        <v/>
      </c>
      <c r="J234" s="646" t="str">
        <f t="shared" si="14"/>
        <v/>
      </c>
      <c r="K234" s="646" t="str">
        <f t="shared" si="15"/>
        <v/>
      </c>
    </row>
    <row r="235" spans="5:11" ht="13.5" customHeight="1" x14ac:dyDescent="0.2">
      <c r="E235" s="643">
        <v>195</v>
      </c>
      <c r="F235" s="645">
        <f t="shared" si="12"/>
        <v>0</v>
      </c>
      <c r="I235" s="766" t="str">
        <f t="shared" si="13"/>
        <v/>
      </c>
      <c r="J235" s="646" t="str">
        <f t="shared" si="14"/>
        <v/>
      </c>
      <c r="K235" s="646" t="str">
        <f t="shared" si="15"/>
        <v/>
      </c>
    </row>
    <row r="236" spans="5:11" ht="13.5" customHeight="1" x14ac:dyDescent="0.2">
      <c r="E236" s="643">
        <v>196</v>
      </c>
      <c r="F236" s="645">
        <f t="shared" si="12"/>
        <v>0</v>
      </c>
      <c r="I236" s="766" t="str">
        <f t="shared" si="13"/>
        <v/>
      </c>
      <c r="J236" s="646" t="str">
        <f t="shared" si="14"/>
        <v/>
      </c>
      <c r="K236" s="646" t="str">
        <f t="shared" si="15"/>
        <v/>
      </c>
    </row>
    <row r="237" spans="5:11" ht="13.5" customHeight="1" x14ac:dyDescent="0.2">
      <c r="E237" s="643">
        <v>197</v>
      </c>
      <c r="F237" s="645">
        <f t="shared" si="12"/>
        <v>0</v>
      </c>
      <c r="I237" s="766" t="str">
        <f t="shared" si="13"/>
        <v/>
      </c>
      <c r="J237" s="646" t="str">
        <f t="shared" si="14"/>
        <v/>
      </c>
      <c r="K237" s="646" t="str">
        <f t="shared" si="15"/>
        <v/>
      </c>
    </row>
    <row r="238" spans="5:11" ht="13.5" customHeight="1" x14ac:dyDescent="0.2">
      <c r="E238" s="643">
        <v>198</v>
      </c>
      <c r="F238" s="645">
        <f t="shared" si="12"/>
        <v>0</v>
      </c>
      <c r="I238" s="766" t="str">
        <f t="shared" si="13"/>
        <v/>
      </c>
      <c r="J238" s="646" t="str">
        <f t="shared" si="14"/>
        <v/>
      </c>
      <c r="K238" s="646" t="str">
        <f t="shared" si="15"/>
        <v/>
      </c>
    </row>
    <row r="239" spans="5:11" ht="13.5" customHeight="1" x14ac:dyDescent="0.2">
      <c r="E239" s="643">
        <v>199</v>
      </c>
      <c r="F239" s="645">
        <f t="shared" si="12"/>
        <v>0</v>
      </c>
      <c r="I239" s="766" t="str">
        <f t="shared" si="13"/>
        <v/>
      </c>
      <c r="J239" s="646" t="str">
        <f t="shared" si="14"/>
        <v/>
      </c>
      <c r="K239" s="646" t="str">
        <f t="shared" si="15"/>
        <v/>
      </c>
    </row>
    <row r="240" spans="5:11" ht="13.5" customHeight="1" x14ac:dyDescent="0.2">
      <c r="E240" s="643">
        <v>200</v>
      </c>
      <c r="F240" s="645">
        <f t="shared" si="12"/>
        <v>0</v>
      </c>
      <c r="I240" s="766" t="str">
        <f t="shared" si="13"/>
        <v/>
      </c>
      <c r="J240" s="646" t="str">
        <f t="shared" si="14"/>
        <v/>
      </c>
      <c r="K240" s="646" t="str">
        <f t="shared" si="15"/>
        <v/>
      </c>
    </row>
    <row r="241" spans="5:11" ht="13.5" customHeight="1" x14ac:dyDescent="0.2">
      <c r="E241" s="643">
        <v>201</v>
      </c>
      <c r="F241" s="645">
        <f t="shared" si="12"/>
        <v>0</v>
      </c>
      <c r="I241" s="766" t="str">
        <f t="shared" si="13"/>
        <v/>
      </c>
      <c r="J241" s="646" t="str">
        <f t="shared" si="14"/>
        <v/>
      </c>
      <c r="K241" s="646" t="str">
        <f t="shared" si="15"/>
        <v/>
      </c>
    </row>
    <row r="242" spans="5:11" ht="13.5" customHeight="1" x14ac:dyDescent="0.2">
      <c r="E242" s="643">
        <v>202</v>
      </c>
      <c r="F242" s="645">
        <f t="shared" si="12"/>
        <v>0</v>
      </c>
      <c r="I242" s="766" t="str">
        <f t="shared" si="13"/>
        <v/>
      </c>
      <c r="J242" s="646" t="str">
        <f t="shared" si="14"/>
        <v/>
      </c>
      <c r="K242" s="646" t="str">
        <f t="shared" si="15"/>
        <v/>
      </c>
    </row>
    <row r="243" spans="5:11" ht="13.5" customHeight="1" x14ac:dyDescent="0.2">
      <c r="E243" s="643">
        <v>203</v>
      </c>
      <c r="F243" s="645">
        <f t="shared" si="12"/>
        <v>0</v>
      </c>
      <c r="I243" s="766" t="str">
        <f t="shared" si="13"/>
        <v/>
      </c>
      <c r="J243" s="646" t="str">
        <f t="shared" si="14"/>
        <v/>
      </c>
      <c r="K243" s="646" t="str">
        <f t="shared" si="15"/>
        <v/>
      </c>
    </row>
    <row r="244" spans="5:11" ht="13.5" customHeight="1" x14ac:dyDescent="0.2">
      <c r="E244" s="643">
        <v>204</v>
      </c>
      <c r="F244" s="645">
        <f t="shared" si="12"/>
        <v>0</v>
      </c>
      <c r="I244" s="766" t="str">
        <f t="shared" si="13"/>
        <v/>
      </c>
      <c r="J244" s="646" t="str">
        <f t="shared" si="14"/>
        <v/>
      </c>
      <c r="K244" s="646" t="str">
        <f t="shared" si="15"/>
        <v/>
      </c>
    </row>
    <row r="245" spans="5:11" ht="13.5" customHeight="1" x14ac:dyDescent="0.2">
      <c r="E245" s="643">
        <v>205</v>
      </c>
      <c r="F245" s="645">
        <f t="shared" si="12"/>
        <v>0</v>
      </c>
      <c r="I245" s="766" t="str">
        <f t="shared" si="13"/>
        <v/>
      </c>
      <c r="J245" s="646" t="str">
        <f t="shared" si="14"/>
        <v/>
      </c>
      <c r="K245" s="646" t="str">
        <f t="shared" si="15"/>
        <v/>
      </c>
    </row>
    <row r="246" spans="5:11" ht="13.5" customHeight="1" x14ac:dyDescent="0.2">
      <c r="E246" s="643">
        <v>206</v>
      </c>
      <c r="F246" s="645">
        <f t="shared" si="12"/>
        <v>0</v>
      </c>
      <c r="I246" s="766" t="str">
        <f t="shared" si="13"/>
        <v/>
      </c>
      <c r="J246" s="646" t="str">
        <f t="shared" si="14"/>
        <v/>
      </c>
      <c r="K246" s="646" t="str">
        <f t="shared" si="15"/>
        <v/>
      </c>
    </row>
    <row r="247" spans="5:11" ht="13.5" customHeight="1" x14ac:dyDescent="0.2">
      <c r="E247" s="643">
        <v>207</v>
      </c>
      <c r="F247" s="645">
        <f t="shared" si="12"/>
        <v>0</v>
      </c>
      <c r="I247" s="766" t="str">
        <f t="shared" si="13"/>
        <v/>
      </c>
      <c r="J247" s="646" t="str">
        <f t="shared" si="14"/>
        <v/>
      </c>
      <c r="K247" s="646" t="str">
        <f t="shared" si="15"/>
        <v/>
      </c>
    </row>
    <row r="248" spans="5:11" ht="13.5" customHeight="1" x14ac:dyDescent="0.2">
      <c r="E248" s="643">
        <v>208</v>
      </c>
      <c r="F248" s="645">
        <f t="shared" si="12"/>
        <v>0</v>
      </c>
      <c r="I248" s="766" t="str">
        <f t="shared" si="13"/>
        <v/>
      </c>
      <c r="J248" s="646" t="str">
        <f t="shared" si="14"/>
        <v/>
      </c>
      <c r="K248" s="646" t="str">
        <f t="shared" si="15"/>
        <v/>
      </c>
    </row>
    <row r="249" spans="5:11" ht="13.5" customHeight="1" x14ac:dyDescent="0.2">
      <c r="E249" s="643">
        <v>209</v>
      </c>
      <c r="F249" s="645">
        <f t="shared" si="12"/>
        <v>0</v>
      </c>
      <c r="I249" s="766" t="str">
        <f t="shared" si="13"/>
        <v/>
      </c>
      <c r="J249" s="646" t="str">
        <f t="shared" si="14"/>
        <v/>
      </c>
      <c r="K249" s="646" t="str">
        <f t="shared" si="15"/>
        <v/>
      </c>
    </row>
    <row r="250" spans="5:11" ht="13.5" customHeight="1" x14ac:dyDescent="0.2">
      <c r="E250" s="643">
        <v>210</v>
      </c>
      <c r="F250" s="645">
        <f t="shared" si="12"/>
        <v>0</v>
      </c>
      <c r="I250" s="766" t="str">
        <f t="shared" si="13"/>
        <v/>
      </c>
      <c r="J250" s="646" t="str">
        <f t="shared" si="14"/>
        <v/>
      </c>
      <c r="K250" s="646" t="str">
        <f t="shared" si="15"/>
        <v/>
      </c>
    </row>
    <row r="251" spans="5:11" ht="13.5" customHeight="1" x14ac:dyDescent="0.2">
      <c r="E251" s="643">
        <v>211</v>
      </c>
      <c r="F251" s="645">
        <f t="shared" si="12"/>
        <v>0</v>
      </c>
      <c r="I251" s="766" t="str">
        <f t="shared" si="13"/>
        <v/>
      </c>
      <c r="J251" s="646" t="str">
        <f t="shared" si="14"/>
        <v/>
      </c>
      <c r="K251" s="646" t="str">
        <f t="shared" si="15"/>
        <v/>
      </c>
    </row>
    <row r="252" spans="5:11" ht="13.5" customHeight="1" x14ac:dyDescent="0.2">
      <c r="E252" s="643">
        <v>212</v>
      </c>
      <c r="F252" s="645">
        <f t="shared" si="12"/>
        <v>0</v>
      </c>
      <c r="I252" s="766" t="str">
        <f t="shared" si="13"/>
        <v/>
      </c>
      <c r="J252" s="646" t="str">
        <f t="shared" si="14"/>
        <v/>
      </c>
      <c r="K252" s="646" t="str">
        <f t="shared" si="15"/>
        <v/>
      </c>
    </row>
    <row r="253" spans="5:11" ht="13.5" customHeight="1" x14ac:dyDescent="0.2">
      <c r="E253" s="643">
        <v>213</v>
      </c>
      <c r="F253" s="645">
        <f t="shared" si="12"/>
        <v>0</v>
      </c>
      <c r="I253" s="766" t="str">
        <f t="shared" si="13"/>
        <v/>
      </c>
      <c r="J253" s="646" t="str">
        <f t="shared" si="14"/>
        <v/>
      </c>
      <c r="K253" s="646" t="str">
        <f t="shared" si="15"/>
        <v/>
      </c>
    </row>
    <row r="254" spans="5:11" ht="13.5" customHeight="1" x14ac:dyDescent="0.2">
      <c r="E254" s="643">
        <v>214</v>
      </c>
      <c r="F254" s="645">
        <f t="shared" si="12"/>
        <v>0</v>
      </c>
      <c r="I254" s="766" t="str">
        <f t="shared" si="13"/>
        <v/>
      </c>
      <c r="J254" s="646" t="str">
        <f t="shared" si="14"/>
        <v/>
      </c>
      <c r="K254" s="646" t="str">
        <f t="shared" si="15"/>
        <v/>
      </c>
    </row>
    <row r="255" spans="5:11" ht="13.5" customHeight="1" x14ac:dyDescent="0.2">
      <c r="E255" s="643">
        <v>215</v>
      </c>
      <c r="F255" s="645">
        <f t="shared" si="12"/>
        <v>0</v>
      </c>
      <c r="I255" s="766" t="str">
        <f t="shared" si="13"/>
        <v/>
      </c>
      <c r="J255" s="646" t="str">
        <f t="shared" si="14"/>
        <v/>
      </c>
      <c r="K255" s="646" t="str">
        <f t="shared" si="15"/>
        <v/>
      </c>
    </row>
    <row r="256" spans="5:11" ht="13.5" customHeight="1" x14ac:dyDescent="0.2">
      <c r="E256" s="643">
        <v>216</v>
      </c>
      <c r="F256" s="645">
        <f t="shared" si="12"/>
        <v>0</v>
      </c>
      <c r="I256" s="766" t="str">
        <f t="shared" si="13"/>
        <v/>
      </c>
      <c r="J256" s="646" t="str">
        <f t="shared" si="14"/>
        <v/>
      </c>
      <c r="K256" s="646" t="str">
        <f t="shared" si="15"/>
        <v/>
      </c>
    </row>
    <row r="257" spans="5:11" ht="13.5" customHeight="1" x14ac:dyDescent="0.2">
      <c r="E257" s="643">
        <v>217</v>
      </c>
      <c r="F257" s="645">
        <f t="shared" si="12"/>
        <v>0</v>
      </c>
      <c r="I257" s="766" t="str">
        <f t="shared" si="13"/>
        <v/>
      </c>
      <c r="J257" s="646" t="str">
        <f t="shared" si="14"/>
        <v/>
      </c>
      <c r="K257" s="646" t="str">
        <f t="shared" si="15"/>
        <v/>
      </c>
    </row>
    <row r="258" spans="5:11" ht="13.5" customHeight="1" x14ac:dyDescent="0.2">
      <c r="E258" s="643">
        <v>218</v>
      </c>
      <c r="F258" s="645">
        <f t="shared" si="12"/>
        <v>0</v>
      </c>
      <c r="I258" s="766" t="str">
        <f t="shared" si="13"/>
        <v/>
      </c>
      <c r="J258" s="646" t="str">
        <f t="shared" si="14"/>
        <v/>
      </c>
      <c r="K258" s="646" t="str">
        <f t="shared" si="15"/>
        <v/>
      </c>
    </row>
    <row r="259" spans="5:11" ht="13.5" customHeight="1" x14ac:dyDescent="0.2">
      <c r="E259" s="643">
        <v>219</v>
      </c>
      <c r="F259" s="645">
        <f t="shared" si="12"/>
        <v>0</v>
      </c>
      <c r="I259" s="766" t="str">
        <f t="shared" si="13"/>
        <v/>
      </c>
      <c r="J259" s="646" t="str">
        <f t="shared" si="14"/>
        <v/>
      </c>
      <c r="K259" s="646" t="str">
        <f t="shared" si="15"/>
        <v/>
      </c>
    </row>
    <row r="260" spans="5:11" ht="13.5" customHeight="1" x14ac:dyDescent="0.2">
      <c r="E260" s="643">
        <v>220</v>
      </c>
      <c r="F260" s="645">
        <f t="shared" si="12"/>
        <v>0</v>
      </c>
      <c r="I260" s="766" t="str">
        <f t="shared" si="13"/>
        <v/>
      </c>
      <c r="J260" s="646" t="str">
        <f t="shared" si="14"/>
        <v/>
      </c>
      <c r="K260" s="646" t="str">
        <f t="shared" si="15"/>
        <v/>
      </c>
    </row>
    <row r="261" spans="5:11" ht="13.5" customHeight="1" x14ac:dyDescent="0.2">
      <c r="E261" s="643">
        <v>221</v>
      </c>
      <c r="F261" s="645">
        <f t="shared" si="12"/>
        <v>0</v>
      </c>
      <c r="I261" s="766" t="str">
        <f t="shared" si="13"/>
        <v/>
      </c>
      <c r="J261" s="646" t="str">
        <f t="shared" si="14"/>
        <v/>
      </c>
      <c r="K261" s="646" t="str">
        <f t="shared" si="15"/>
        <v/>
      </c>
    </row>
    <row r="262" spans="5:11" ht="13.5" customHeight="1" x14ac:dyDescent="0.2">
      <c r="E262" s="643">
        <v>222</v>
      </c>
      <c r="F262" s="645">
        <f t="shared" si="12"/>
        <v>0</v>
      </c>
      <c r="I262" s="766" t="str">
        <f t="shared" si="13"/>
        <v/>
      </c>
      <c r="J262" s="646" t="str">
        <f t="shared" si="14"/>
        <v/>
      </c>
      <c r="K262" s="646" t="str">
        <f t="shared" si="15"/>
        <v/>
      </c>
    </row>
    <row r="263" spans="5:11" ht="13.5" customHeight="1" x14ac:dyDescent="0.2">
      <c r="E263" s="643">
        <v>223</v>
      </c>
      <c r="F263" s="645">
        <f t="shared" si="12"/>
        <v>0</v>
      </c>
      <c r="I263" s="766" t="str">
        <f t="shared" si="13"/>
        <v/>
      </c>
      <c r="J263" s="646" t="str">
        <f t="shared" si="14"/>
        <v/>
      </c>
      <c r="K263" s="646" t="str">
        <f t="shared" si="15"/>
        <v/>
      </c>
    </row>
    <row r="264" spans="5:11" ht="13.5" customHeight="1" x14ac:dyDescent="0.2">
      <c r="E264" s="643">
        <v>224</v>
      </c>
      <c r="F264" s="645">
        <f t="shared" si="12"/>
        <v>0</v>
      </c>
      <c r="I264" s="766" t="str">
        <f t="shared" si="13"/>
        <v/>
      </c>
      <c r="J264" s="646" t="str">
        <f t="shared" si="14"/>
        <v/>
      </c>
      <c r="K264" s="646" t="str">
        <f t="shared" si="15"/>
        <v/>
      </c>
    </row>
    <row r="265" spans="5:11" ht="13.5" customHeight="1" x14ac:dyDescent="0.2">
      <c r="E265" s="643">
        <v>225</v>
      </c>
      <c r="F265" s="645">
        <f t="shared" si="12"/>
        <v>0</v>
      </c>
      <c r="I265" s="766" t="str">
        <f t="shared" si="13"/>
        <v/>
      </c>
      <c r="J265" s="646" t="str">
        <f t="shared" si="14"/>
        <v/>
      </c>
      <c r="K265" s="646" t="str">
        <f t="shared" si="15"/>
        <v/>
      </c>
    </row>
    <row r="266" spans="5:11" ht="13.5" customHeight="1" x14ac:dyDescent="0.2">
      <c r="E266" s="643">
        <v>226</v>
      </c>
      <c r="F266" s="645">
        <f t="shared" si="12"/>
        <v>0</v>
      </c>
      <c r="I266" s="766" t="str">
        <f t="shared" si="13"/>
        <v/>
      </c>
      <c r="J266" s="646" t="str">
        <f t="shared" si="14"/>
        <v/>
      </c>
      <c r="K266" s="646" t="str">
        <f t="shared" si="15"/>
        <v/>
      </c>
    </row>
    <row r="267" spans="5:11" ht="13.5" customHeight="1" x14ac:dyDescent="0.2">
      <c r="E267" s="643">
        <v>227</v>
      </c>
      <c r="F267" s="645">
        <f t="shared" si="12"/>
        <v>0</v>
      </c>
      <c r="I267" s="766" t="str">
        <f t="shared" si="13"/>
        <v/>
      </c>
      <c r="J267" s="646" t="str">
        <f t="shared" si="14"/>
        <v/>
      </c>
      <c r="K267" s="646" t="str">
        <f t="shared" si="15"/>
        <v/>
      </c>
    </row>
    <row r="268" spans="5:11" ht="13.5" customHeight="1" x14ac:dyDescent="0.2">
      <c r="E268" s="643">
        <v>228</v>
      </c>
      <c r="F268" s="645">
        <f t="shared" si="12"/>
        <v>0</v>
      </c>
      <c r="I268" s="766" t="str">
        <f t="shared" si="13"/>
        <v/>
      </c>
      <c r="J268" s="646" t="str">
        <f t="shared" si="14"/>
        <v/>
      </c>
      <c r="K268" s="646" t="str">
        <f t="shared" si="15"/>
        <v/>
      </c>
    </row>
    <row r="269" spans="5:11" ht="13.5" customHeight="1" x14ac:dyDescent="0.2">
      <c r="E269" s="643">
        <v>229</v>
      </c>
      <c r="F269" s="645">
        <f t="shared" si="12"/>
        <v>0</v>
      </c>
      <c r="I269" s="766" t="str">
        <f t="shared" si="13"/>
        <v/>
      </c>
      <c r="J269" s="646" t="str">
        <f t="shared" si="14"/>
        <v/>
      </c>
      <c r="K269" s="646" t="str">
        <f t="shared" si="15"/>
        <v/>
      </c>
    </row>
    <row r="270" spans="5:11" ht="13.5" customHeight="1" x14ac:dyDescent="0.2">
      <c r="E270" s="643">
        <v>230</v>
      </c>
      <c r="F270" s="645">
        <f t="shared" si="12"/>
        <v>0</v>
      </c>
      <c r="I270" s="766" t="str">
        <f t="shared" si="13"/>
        <v/>
      </c>
      <c r="J270" s="646" t="str">
        <f t="shared" si="14"/>
        <v/>
      </c>
      <c r="K270" s="646" t="str">
        <f t="shared" si="15"/>
        <v/>
      </c>
    </row>
    <row r="271" spans="5:11" ht="13.5" customHeight="1" x14ac:dyDescent="0.2">
      <c r="E271" s="643">
        <v>231</v>
      </c>
      <c r="F271" s="645">
        <f t="shared" si="12"/>
        <v>0</v>
      </c>
      <c r="I271" s="766" t="str">
        <f t="shared" si="13"/>
        <v/>
      </c>
      <c r="J271" s="646" t="str">
        <f t="shared" si="14"/>
        <v/>
      </c>
      <c r="K271" s="646" t="str">
        <f t="shared" si="15"/>
        <v/>
      </c>
    </row>
    <row r="272" spans="5:11" ht="13.5" customHeight="1" x14ac:dyDescent="0.2">
      <c r="E272" s="643">
        <v>232</v>
      </c>
      <c r="F272" s="645">
        <f t="shared" si="12"/>
        <v>0</v>
      </c>
      <c r="I272" s="766" t="str">
        <f t="shared" si="13"/>
        <v/>
      </c>
      <c r="J272" s="646" t="str">
        <f t="shared" si="14"/>
        <v/>
      </c>
      <c r="K272" s="646" t="str">
        <f t="shared" si="15"/>
        <v/>
      </c>
    </row>
    <row r="273" spans="5:11" ht="13.5" customHeight="1" x14ac:dyDescent="0.2">
      <c r="E273" s="643">
        <v>233</v>
      </c>
      <c r="F273" s="645">
        <f t="shared" si="12"/>
        <v>0</v>
      </c>
      <c r="I273" s="766" t="str">
        <f t="shared" si="13"/>
        <v/>
      </c>
      <c r="J273" s="646" t="str">
        <f t="shared" si="14"/>
        <v/>
      </c>
      <c r="K273" s="646" t="str">
        <f t="shared" si="15"/>
        <v/>
      </c>
    </row>
    <row r="274" spans="5:11" ht="13.5" customHeight="1" x14ac:dyDescent="0.2">
      <c r="E274" s="643">
        <v>234</v>
      </c>
      <c r="F274" s="645">
        <f t="shared" si="12"/>
        <v>0</v>
      </c>
      <c r="I274" s="766" t="str">
        <f t="shared" si="13"/>
        <v/>
      </c>
      <c r="J274" s="646" t="str">
        <f t="shared" si="14"/>
        <v/>
      </c>
      <c r="K274" s="646" t="str">
        <f t="shared" si="15"/>
        <v/>
      </c>
    </row>
    <row r="275" spans="5:11" ht="13.5" customHeight="1" x14ac:dyDescent="0.2">
      <c r="E275" s="643">
        <v>235</v>
      </c>
      <c r="F275" s="645">
        <f t="shared" si="12"/>
        <v>0</v>
      </c>
      <c r="I275" s="766" t="str">
        <f t="shared" si="13"/>
        <v/>
      </c>
      <c r="J275" s="646" t="str">
        <f t="shared" si="14"/>
        <v/>
      </c>
      <c r="K275" s="646" t="str">
        <f t="shared" si="15"/>
        <v/>
      </c>
    </row>
    <row r="276" spans="5:11" ht="13.5" customHeight="1" x14ac:dyDescent="0.2">
      <c r="E276" s="643">
        <v>236</v>
      </c>
      <c r="F276" s="645">
        <f t="shared" si="12"/>
        <v>0</v>
      </c>
      <c r="I276" s="766" t="str">
        <f t="shared" si="13"/>
        <v/>
      </c>
      <c r="J276" s="646" t="str">
        <f t="shared" si="14"/>
        <v/>
      </c>
      <c r="K276" s="646" t="str">
        <f t="shared" si="15"/>
        <v/>
      </c>
    </row>
    <row r="277" spans="5:11" ht="13.5" customHeight="1" x14ac:dyDescent="0.2">
      <c r="E277" s="643">
        <v>237</v>
      </c>
      <c r="F277" s="645">
        <f t="shared" si="12"/>
        <v>0</v>
      </c>
      <c r="I277" s="766" t="str">
        <f t="shared" si="13"/>
        <v/>
      </c>
      <c r="J277" s="646" t="str">
        <f t="shared" si="14"/>
        <v/>
      </c>
      <c r="K277" s="646" t="str">
        <f t="shared" si="15"/>
        <v/>
      </c>
    </row>
    <row r="278" spans="5:11" ht="13.5" customHeight="1" x14ac:dyDescent="0.2">
      <c r="E278" s="643">
        <v>238</v>
      </c>
      <c r="F278" s="645">
        <f t="shared" si="12"/>
        <v>0</v>
      </c>
      <c r="I278" s="766" t="str">
        <f t="shared" si="13"/>
        <v/>
      </c>
      <c r="J278" s="646" t="str">
        <f t="shared" si="14"/>
        <v/>
      </c>
      <c r="K278" s="646" t="str">
        <f t="shared" si="15"/>
        <v/>
      </c>
    </row>
    <row r="279" spans="5:11" ht="13.5" customHeight="1" x14ac:dyDescent="0.2">
      <c r="E279" s="643">
        <v>239</v>
      </c>
      <c r="F279" s="645">
        <f t="shared" si="12"/>
        <v>0</v>
      </c>
      <c r="I279" s="766" t="str">
        <f t="shared" si="13"/>
        <v/>
      </c>
      <c r="J279" s="646" t="str">
        <f t="shared" si="14"/>
        <v/>
      </c>
      <c r="K279" s="646" t="str">
        <f t="shared" si="15"/>
        <v/>
      </c>
    </row>
    <row r="280" spans="5:11" ht="13.5" customHeight="1" x14ac:dyDescent="0.2">
      <c r="E280" s="643">
        <v>240</v>
      </c>
      <c r="F280" s="645">
        <f t="shared" si="12"/>
        <v>0</v>
      </c>
      <c r="I280" s="766" t="str">
        <f t="shared" si="13"/>
        <v/>
      </c>
      <c r="J280" s="646" t="str">
        <f t="shared" si="14"/>
        <v/>
      </c>
      <c r="K280" s="646" t="str">
        <f t="shared" si="15"/>
        <v/>
      </c>
    </row>
    <row r="281" spans="5:11" ht="13.5" customHeight="1" x14ac:dyDescent="0.2">
      <c r="E281" s="643">
        <v>241</v>
      </c>
      <c r="F281" s="645">
        <f t="shared" si="12"/>
        <v>0</v>
      </c>
      <c r="I281" s="766" t="str">
        <f t="shared" si="13"/>
        <v/>
      </c>
      <c r="J281" s="646" t="str">
        <f t="shared" si="14"/>
        <v/>
      </c>
      <c r="K281" s="646" t="str">
        <f t="shared" si="15"/>
        <v/>
      </c>
    </row>
    <row r="282" spans="5:11" ht="13.5" customHeight="1" x14ac:dyDescent="0.2">
      <c r="E282" s="643">
        <v>242</v>
      </c>
      <c r="F282" s="645">
        <f t="shared" si="12"/>
        <v>0</v>
      </c>
      <c r="I282" s="766" t="str">
        <f t="shared" si="13"/>
        <v/>
      </c>
      <c r="J282" s="646" t="str">
        <f t="shared" si="14"/>
        <v/>
      </c>
      <c r="K282" s="646" t="str">
        <f t="shared" si="15"/>
        <v/>
      </c>
    </row>
    <row r="283" spans="5:11" ht="13.5" customHeight="1" x14ac:dyDescent="0.2">
      <c r="E283" s="643">
        <v>243</v>
      </c>
      <c r="F283" s="645">
        <f t="shared" si="12"/>
        <v>0</v>
      </c>
      <c r="I283" s="766" t="str">
        <f t="shared" si="13"/>
        <v/>
      </c>
      <c r="J283" s="646" t="str">
        <f t="shared" si="14"/>
        <v/>
      </c>
      <c r="K283" s="646" t="str">
        <f t="shared" si="15"/>
        <v/>
      </c>
    </row>
    <row r="284" spans="5:11" ht="13.5" customHeight="1" x14ac:dyDescent="0.2">
      <c r="E284" s="643">
        <v>244</v>
      </c>
      <c r="F284" s="645">
        <f t="shared" si="12"/>
        <v>0</v>
      </c>
      <c r="I284" s="766" t="str">
        <f t="shared" si="13"/>
        <v/>
      </c>
      <c r="J284" s="646" t="str">
        <f t="shared" si="14"/>
        <v/>
      </c>
      <c r="K284" s="646" t="str">
        <f t="shared" si="15"/>
        <v/>
      </c>
    </row>
    <row r="285" spans="5:11" ht="13.5" customHeight="1" x14ac:dyDescent="0.2">
      <c r="E285" s="643">
        <v>245</v>
      </c>
      <c r="F285" s="645">
        <f t="shared" si="12"/>
        <v>0</v>
      </c>
      <c r="I285" s="766" t="str">
        <f t="shared" si="13"/>
        <v/>
      </c>
      <c r="J285" s="646" t="str">
        <f t="shared" si="14"/>
        <v/>
      </c>
      <c r="K285" s="646" t="str">
        <f t="shared" si="15"/>
        <v/>
      </c>
    </row>
    <row r="286" spans="5:11" ht="13.5" customHeight="1" x14ac:dyDescent="0.2">
      <c r="E286" s="643">
        <v>246</v>
      </c>
      <c r="F286" s="645">
        <f t="shared" si="12"/>
        <v>0</v>
      </c>
      <c r="I286" s="766" t="str">
        <f t="shared" si="13"/>
        <v/>
      </c>
      <c r="J286" s="646" t="str">
        <f t="shared" si="14"/>
        <v/>
      </c>
      <c r="K286" s="646" t="str">
        <f t="shared" si="15"/>
        <v/>
      </c>
    </row>
    <row r="287" spans="5:11" ht="13.5" customHeight="1" x14ac:dyDescent="0.2">
      <c r="E287" s="643">
        <v>247</v>
      </c>
      <c r="F287" s="645">
        <f t="shared" si="12"/>
        <v>0</v>
      </c>
      <c r="I287" s="766" t="str">
        <f t="shared" si="13"/>
        <v/>
      </c>
      <c r="J287" s="646" t="str">
        <f t="shared" si="14"/>
        <v/>
      </c>
      <c r="K287" s="646" t="str">
        <f t="shared" si="15"/>
        <v/>
      </c>
    </row>
    <row r="288" spans="5:11" ht="13.5" customHeight="1" x14ac:dyDescent="0.2">
      <c r="E288" s="643">
        <v>248</v>
      </c>
      <c r="F288" s="645">
        <f t="shared" si="12"/>
        <v>0</v>
      </c>
      <c r="I288" s="766" t="str">
        <f t="shared" si="13"/>
        <v/>
      </c>
      <c r="J288" s="646" t="str">
        <f t="shared" si="14"/>
        <v/>
      </c>
      <c r="K288" s="646" t="str">
        <f t="shared" si="15"/>
        <v/>
      </c>
    </row>
    <row r="289" spans="5:11" ht="13.5" customHeight="1" x14ac:dyDescent="0.2">
      <c r="E289" s="643">
        <v>249</v>
      </c>
      <c r="F289" s="645">
        <f t="shared" si="12"/>
        <v>0</v>
      </c>
      <c r="I289" s="766" t="str">
        <f t="shared" si="13"/>
        <v/>
      </c>
      <c r="J289" s="646" t="str">
        <f t="shared" si="14"/>
        <v/>
      </c>
      <c r="K289" s="646" t="str">
        <f t="shared" si="15"/>
        <v/>
      </c>
    </row>
    <row r="290" spans="5:11" ht="13.5" customHeight="1" x14ac:dyDescent="0.2">
      <c r="E290" s="643">
        <v>250</v>
      </c>
      <c r="F290" s="645">
        <f t="shared" si="12"/>
        <v>0</v>
      </c>
      <c r="I290" s="766" t="str">
        <f t="shared" si="13"/>
        <v/>
      </c>
      <c r="J290" s="646" t="str">
        <f t="shared" si="14"/>
        <v/>
      </c>
      <c r="K290" s="646" t="str">
        <f t="shared" si="15"/>
        <v/>
      </c>
    </row>
    <row r="291" spans="5:11" ht="13.5" customHeight="1" x14ac:dyDescent="0.2">
      <c r="E291" s="643">
        <v>251</v>
      </c>
      <c r="F291" s="645">
        <f t="shared" si="12"/>
        <v>0</v>
      </c>
      <c r="I291" s="766" t="str">
        <f t="shared" si="13"/>
        <v/>
      </c>
      <c r="J291" s="646" t="str">
        <f t="shared" si="14"/>
        <v/>
      </c>
      <c r="K291" s="646" t="str">
        <f t="shared" si="15"/>
        <v/>
      </c>
    </row>
    <row r="292" spans="5:11" ht="13.5" customHeight="1" x14ac:dyDescent="0.2">
      <c r="E292" s="643">
        <v>252</v>
      </c>
      <c r="F292" s="645">
        <f t="shared" si="12"/>
        <v>0</v>
      </c>
      <c r="I292" s="766" t="str">
        <f t="shared" si="13"/>
        <v/>
      </c>
      <c r="J292" s="646" t="str">
        <f t="shared" si="14"/>
        <v/>
      </c>
      <c r="K292" s="646" t="str">
        <f t="shared" si="15"/>
        <v/>
      </c>
    </row>
    <row r="293" spans="5:11" ht="13.5" customHeight="1" x14ac:dyDescent="0.2">
      <c r="E293" s="643">
        <v>253</v>
      </c>
      <c r="F293" s="645">
        <f t="shared" si="12"/>
        <v>0</v>
      </c>
      <c r="I293" s="766" t="str">
        <f t="shared" si="13"/>
        <v/>
      </c>
      <c r="J293" s="646" t="str">
        <f t="shared" si="14"/>
        <v/>
      </c>
      <c r="K293" s="646" t="str">
        <f t="shared" si="15"/>
        <v/>
      </c>
    </row>
    <row r="294" spans="5:11" ht="13.5" customHeight="1" x14ac:dyDescent="0.2">
      <c r="E294" s="643">
        <v>254</v>
      </c>
      <c r="F294" s="645">
        <f t="shared" si="12"/>
        <v>0</v>
      </c>
      <c r="I294" s="766" t="str">
        <f t="shared" si="13"/>
        <v/>
      </c>
      <c r="J294" s="646" t="str">
        <f t="shared" si="14"/>
        <v/>
      </c>
      <c r="K294" s="646" t="str">
        <f t="shared" si="15"/>
        <v/>
      </c>
    </row>
    <row r="295" spans="5:11" ht="13.5" customHeight="1" x14ac:dyDescent="0.2">
      <c r="E295" s="643">
        <v>255</v>
      </c>
      <c r="F295" s="645">
        <f t="shared" si="12"/>
        <v>0</v>
      </c>
      <c r="I295" s="766" t="str">
        <f t="shared" si="13"/>
        <v/>
      </c>
      <c r="J295" s="646" t="str">
        <f t="shared" si="14"/>
        <v/>
      </c>
      <c r="K295" s="646" t="str">
        <f t="shared" si="15"/>
        <v/>
      </c>
    </row>
    <row r="296" spans="5:11" ht="13.5" customHeight="1" x14ac:dyDescent="0.2">
      <c r="E296" s="643">
        <v>256</v>
      </c>
      <c r="F296" s="645">
        <f t="shared" si="12"/>
        <v>0</v>
      </c>
      <c r="I296" s="766" t="str">
        <f t="shared" si="13"/>
        <v/>
      </c>
      <c r="J296" s="646" t="str">
        <f t="shared" si="14"/>
        <v/>
      </c>
      <c r="K296" s="646" t="str">
        <f t="shared" si="15"/>
        <v/>
      </c>
    </row>
    <row r="297" spans="5:11" ht="13.5" customHeight="1" x14ac:dyDescent="0.2">
      <c r="E297" s="643">
        <v>257</v>
      </c>
      <c r="F297" s="645">
        <f t="shared" ref="F297:F360" si="16">LARGE(goalrank,E297)</f>
        <v>0</v>
      </c>
      <c r="I297" s="766" t="str">
        <f t="shared" ref="I297:I360" si="17">IF(OR(F297&lt;1,ROUNDDOWN(F297,0)=ROUNDDOWN(F296,0)),"",CONCATENATE(ROUNDDOWN(F297,0)," GÓL "))</f>
        <v/>
      </c>
      <c r="J297" s="646" t="str">
        <f t="shared" ref="J297:J360" si="18">IF(F297&lt;1,"",CONCATENATE(" ",VLOOKUP(F297,goalname,3,FALSE)))</f>
        <v/>
      </c>
      <c r="K297" s="646" t="str">
        <f t="shared" ref="K297:K360" si="19">IF(F297&lt;1,"",CONCATENATE(" ",VLOOKUP(F297,goalname,2,FALSE)))</f>
        <v/>
      </c>
    </row>
    <row r="298" spans="5:11" ht="13.5" customHeight="1" x14ac:dyDescent="0.2">
      <c r="E298" s="643">
        <v>258</v>
      </c>
      <c r="F298" s="645">
        <f t="shared" si="16"/>
        <v>0</v>
      </c>
      <c r="I298" s="766" t="str">
        <f t="shared" si="17"/>
        <v/>
      </c>
      <c r="J298" s="646" t="str">
        <f t="shared" si="18"/>
        <v/>
      </c>
      <c r="K298" s="646" t="str">
        <f t="shared" si="19"/>
        <v/>
      </c>
    </row>
    <row r="299" spans="5:11" ht="13.5" customHeight="1" x14ac:dyDescent="0.2">
      <c r="E299" s="643">
        <v>259</v>
      </c>
      <c r="F299" s="645">
        <f t="shared" si="16"/>
        <v>0</v>
      </c>
      <c r="I299" s="766" t="str">
        <f t="shared" si="17"/>
        <v/>
      </c>
      <c r="J299" s="646" t="str">
        <f t="shared" si="18"/>
        <v/>
      </c>
      <c r="K299" s="646" t="str">
        <f t="shared" si="19"/>
        <v/>
      </c>
    </row>
    <row r="300" spans="5:11" ht="13.5" customHeight="1" x14ac:dyDescent="0.2">
      <c r="E300" s="643">
        <v>260</v>
      </c>
      <c r="F300" s="645">
        <f t="shared" si="16"/>
        <v>0</v>
      </c>
      <c r="I300" s="766" t="str">
        <f t="shared" si="17"/>
        <v/>
      </c>
      <c r="J300" s="646" t="str">
        <f t="shared" si="18"/>
        <v/>
      </c>
      <c r="K300" s="646" t="str">
        <f t="shared" si="19"/>
        <v/>
      </c>
    </row>
    <row r="301" spans="5:11" ht="13.5" customHeight="1" x14ac:dyDescent="0.2">
      <c r="E301" s="643">
        <v>261</v>
      </c>
      <c r="F301" s="645">
        <f t="shared" si="16"/>
        <v>0</v>
      </c>
      <c r="I301" s="766" t="str">
        <f t="shared" si="17"/>
        <v/>
      </c>
      <c r="J301" s="646" t="str">
        <f t="shared" si="18"/>
        <v/>
      </c>
      <c r="K301" s="646" t="str">
        <f t="shared" si="19"/>
        <v/>
      </c>
    </row>
    <row r="302" spans="5:11" ht="13.5" customHeight="1" x14ac:dyDescent="0.2">
      <c r="E302" s="643">
        <v>262</v>
      </c>
      <c r="F302" s="645">
        <f t="shared" si="16"/>
        <v>0</v>
      </c>
      <c r="I302" s="766" t="str">
        <f t="shared" si="17"/>
        <v/>
      </c>
      <c r="J302" s="646" t="str">
        <f t="shared" si="18"/>
        <v/>
      </c>
      <c r="K302" s="646" t="str">
        <f t="shared" si="19"/>
        <v/>
      </c>
    </row>
    <row r="303" spans="5:11" ht="13.5" customHeight="1" x14ac:dyDescent="0.2">
      <c r="E303" s="643">
        <v>263</v>
      </c>
      <c r="F303" s="645">
        <f t="shared" si="16"/>
        <v>0</v>
      </c>
      <c r="I303" s="766" t="str">
        <f t="shared" si="17"/>
        <v/>
      </c>
      <c r="J303" s="646" t="str">
        <f t="shared" si="18"/>
        <v/>
      </c>
      <c r="K303" s="646" t="str">
        <f t="shared" si="19"/>
        <v/>
      </c>
    </row>
    <row r="304" spans="5:11" ht="13.5" customHeight="1" x14ac:dyDescent="0.2">
      <c r="E304" s="643">
        <v>264</v>
      </c>
      <c r="F304" s="645">
        <f t="shared" si="16"/>
        <v>0</v>
      </c>
      <c r="I304" s="766" t="str">
        <f t="shared" si="17"/>
        <v/>
      </c>
      <c r="J304" s="646" t="str">
        <f t="shared" si="18"/>
        <v/>
      </c>
      <c r="K304" s="646" t="str">
        <f t="shared" si="19"/>
        <v/>
      </c>
    </row>
    <row r="305" spans="5:11" ht="13.5" customHeight="1" x14ac:dyDescent="0.2">
      <c r="E305" s="643">
        <v>265</v>
      </c>
      <c r="F305" s="645">
        <f t="shared" si="16"/>
        <v>0</v>
      </c>
      <c r="I305" s="766" t="str">
        <f t="shared" si="17"/>
        <v/>
      </c>
      <c r="J305" s="646" t="str">
        <f t="shared" si="18"/>
        <v/>
      </c>
      <c r="K305" s="646" t="str">
        <f t="shared" si="19"/>
        <v/>
      </c>
    </row>
    <row r="306" spans="5:11" ht="13.5" customHeight="1" x14ac:dyDescent="0.2">
      <c r="E306" s="643">
        <v>266</v>
      </c>
      <c r="F306" s="645">
        <f t="shared" si="16"/>
        <v>0</v>
      </c>
      <c r="I306" s="766" t="str">
        <f t="shared" si="17"/>
        <v/>
      </c>
      <c r="J306" s="646" t="str">
        <f t="shared" si="18"/>
        <v/>
      </c>
      <c r="K306" s="646" t="str">
        <f t="shared" si="19"/>
        <v/>
      </c>
    </row>
    <row r="307" spans="5:11" ht="13.5" customHeight="1" x14ac:dyDescent="0.2">
      <c r="E307" s="643">
        <v>267</v>
      </c>
      <c r="F307" s="645">
        <f t="shared" si="16"/>
        <v>0</v>
      </c>
      <c r="I307" s="766" t="str">
        <f t="shared" si="17"/>
        <v/>
      </c>
      <c r="J307" s="646" t="str">
        <f t="shared" si="18"/>
        <v/>
      </c>
      <c r="K307" s="646" t="str">
        <f t="shared" si="19"/>
        <v/>
      </c>
    </row>
    <row r="308" spans="5:11" ht="13.5" customHeight="1" x14ac:dyDescent="0.2">
      <c r="E308" s="643">
        <v>268</v>
      </c>
      <c r="F308" s="645">
        <f t="shared" si="16"/>
        <v>0</v>
      </c>
      <c r="I308" s="766" t="str">
        <f t="shared" si="17"/>
        <v/>
      </c>
      <c r="J308" s="646" t="str">
        <f t="shared" si="18"/>
        <v/>
      </c>
      <c r="K308" s="646" t="str">
        <f t="shared" si="19"/>
        <v/>
      </c>
    </row>
    <row r="309" spans="5:11" ht="13.5" customHeight="1" x14ac:dyDescent="0.2">
      <c r="E309" s="643">
        <v>269</v>
      </c>
      <c r="F309" s="645">
        <f t="shared" si="16"/>
        <v>0</v>
      </c>
      <c r="I309" s="766" t="str">
        <f t="shared" si="17"/>
        <v/>
      </c>
      <c r="J309" s="646" t="str">
        <f t="shared" si="18"/>
        <v/>
      </c>
      <c r="K309" s="646" t="str">
        <f t="shared" si="19"/>
        <v/>
      </c>
    </row>
    <row r="310" spans="5:11" ht="13.5" customHeight="1" x14ac:dyDescent="0.2">
      <c r="E310" s="643">
        <v>270</v>
      </c>
      <c r="F310" s="645">
        <f t="shared" si="16"/>
        <v>0</v>
      </c>
      <c r="I310" s="766" t="str">
        <f t="shared" si="17"/>
        <v/>
      </c>
      <c r="J310" s="646" t="str">
        <f t="shared" si="18"/>
        <v/>
      </c>
      <c r="K310" s="646" t="str">
        <f t="shared" si="19"/>
        <v/>
      </c>
    </row>
    <row r="311" spans="5:11" ht="13.5" customHeight="1" x14ac:dyDescent="0.2">
      <c r="E311" s="643">
        <v>271</v>
      </c>
      <c r="F311" s="645">
        <f t="shared" si="16"/>
        <v>0</v>
      </c>
      <c r="I311" s="766" t="str">
        <f t="shared" si="17"/>
        <v/>
      </c>
      <c r="J311" s="646" t="str">
        <f t="shared" si="18"/>
        <v/>
      </c>
      <c r="K311" s="646" t="str">
        <f t="shared" si="19"/>
        <v/>
      </c>
    </row>
    <row r="312" spans="5:11" ht="13.5" customHeight="1" x14ac:dyDescent="0.2">
      <c r="E312" s="643">
        <v>272</v>
      </c>
      <c r="F312" s="645">
        <f t="shared" si="16"/>
        <v>0</v>
      </c>
      <c r="I312" s="766" t="str">
        <f t="shared" si="17"/>
        <v/>
      </c>
      <c r="J312" s="646" t="str">
        <f t="shared" si="18"/>
        <v/>
      </c>
      <c r="K312" s="646" t="str">
        <f t="shared" si="19"/>
        <v/>
      </c>
    </row>
    <row r="313" spans="5:11" ht="13.5" customHeight="1" x14ac:dyDescent="0.2">
      <c r="E313" s="643">
        <v>273</v>
      </c>
      <c r="F313" s="645">
        <f t="shared" si="16"/>
        <v>0</v>
      </c>
      <c r="I313" s="766" t="str">
        <f t="shared" si="17"/>
        <v/>
      </c>
      <c r="J313" s="646" t="str">
        <f t="shared" si="18"/>
        <v/>
      </c>
      <c r="K313" s="646" t="str">
        <f t="shared" si="19"/>
        <v/>
      </c>
    </row>
    <row r="314" spans="5:11" ht="13.5" customHeight="1" x14ac:dyDescent="0.2">
      <c r="E314" s="643">
        <v>274</v>
      </c>
      <c r="F314" s="645">
        <f t="shared" si="16"/>
        <v>0</v>
      </c>
      <c r="I314" s="766" t="str">
        <f t="shared" si="17"/>
        <v/>
      </c>
      <c r="J314" s="646" t="str">
        <f t="shared" si="18"/>
        <v/>
      </c>
      <c r="K314" s="646" t="str">
        <f t="shared" si="19"/>
        <v/>
      </c>
    </row>
    <row r="315" spans="5:11" ht="13.5" customHeight="1" x14ac:dyDescent="0.2">
      <c r="E315" s="643">
        <v>275</v>
      </c>
      <c r="F315" s="645">
        <f t="shared" si="16"/>
        <v>0</v>
      </c>
      <c r="I315" s="766" t="str">
        <f t="shared" si="17"/>
        <v/>
      </c>
      <c r="J315" s="646" t="str">
        <f t="shared" si="18"/>
        <v/>
      </c>
      <c r="K315" s="646" t="str">
        <f t="shared" si="19"/>
        <v/>
      </c>
    </row>
    <row r="316" spans="5:11" ht="13.5" customHeight="1" x14ac:dyDescent="0.2">
      <c r="E316" s="643">
        <v>276</v>
      </c>
      <c r="F316" s="645">
        <f t="shared" si="16"/>
        <v>0</v>
      </c>
      <c r="I316" s="766" t="str">
        <f t="shared" si="17"/>
        <v/>
      </c>
      <c r="J316" s="646" t="str">
        <f t="shared" si="18"/>
        <v/>
      </c>
      <c r="K316" s="646" t="str">
        <f t="shared" si="19"/>
        <v/>
      </c>
    </row>
    <row r="317" spans="5:11" ht="13.5" customHeight="1" x14ac:dyDescent="0.2">
      <c r="E317" s="643">
        <v>277</v>
      </c>
      <c r="F317" s="645">
        <f t="shared" si="16"/>
        <v>0</v>
      </c>
      <c r="I317" s="766" t="str">
        <f t="shared" si="17"/>
        <v/>
      </c>
      <c r="J317" s="646" t="str">
        <f t="shared" si="18"/>
        <v/>
      </c>
      <c r="K317" s="646" t="str">
        <f t="shared" si="19"/>
        <v/>
      </c>
    </row>
    <row r="318" spans="5:11" ht="13.5" customHeight="1" x14ac:dyDescent="0.2">
      <c r="E318" s="643">
        <v>278</v>
      </c>
      <c r="F318" s="645">
        <f t="shared" si="16"/>
        <v>0</v>
      </c>
      <c r="I318" s="766" t="str">
        <f t="shared" si="17"/>
        <v/>
      </c>
      <c r="J318" s="646" t="str">
        <f t="shared" si="18"/>
        <v/>
      </c>
      <c r="K318" s="646" t="str">
        <f t="shared" si="19"/>
        <v/>
      </c>
    </row>
    <row r="319" spans="5:11" ht="13.5" customHeight="1" x14ac:dyDescent="0.2">
      <c r="E319" s="643">
        <v>279</v>
      </c>
      <c r="F319" s="645">
        <f t="shared" si="16"/>
        <v>0</v>
      </c>
      <c r="I319" s="766" t="str">
        <f t="shared" si="17"/>
        <v/>
      </c>
      <c r="J319" s="646" t="str">
        <f t="shared" si="18"/>
        <v/>
      </c>
      <c r="K319" s="646" t="str">
        <f t="shared" si="19"/>
        <v/>
      </c>
    </row>
    <row r="320" spans="5:11" ht="13.5" customHeight="1" x14ac:dyDescent="0.2">
      <c r="E320" s="643">
        <v>280</v>
      </c>
      <c r="F320" s="645">
        <f t="shared" si="16"/>
        <v>0</v>
      </c>
      <c r="I320" s="766" t="str">
        <f t="shared" si="17"/>
        <v/>
      </c>
      <c r="J320" s="646" t="str">
        <f t="shared" si="18"/>
        <v/>
      </c>
      <c r="K320" s="646" t="str">
        <f t="shared" si="19"/>
        <v/>
      </c>
    </row>
    <row r="321" spans="5:11" ht="13.5" customHeight="1" x14ac:dyDescent="0.2">
      <c r="E321" s="643">
        <v>281</v>
      </c>
      <c r="F321" s="645">
        <f t="shared" si="16"/>
        <v>0</v>
      </c>
      <c r="I321" s="766" t="str">
        <f t="shared" si="17"/>
        <v/>
      </c>
      <c r="J321" s="646" t="str">
        <f t="shared" si="18"/>
        <v/>
      </c>
      <c r="K321" s="646" t="str">
        <f t="shared" si="19"/>
        <v/>
      </c>
    </row>
    <row r="322" spans="5:11" ht="13.5" customHeight="1" x14ac:dyDescent="0.2">
      <c r="E322" s="643">
        <v>282</v>
      </c>
      <c r="F322" s="645">
        <f t="shared" si="16"/>
        <v>0</v>
      </c>
      <c r="I322" s="766" t="str">
        <f t="shared" si="17"/>
        <v/>
      </c>
      <c r="J322" s="646" t="str">
        <f t="shared" si="18"/>
        <v/>
      </c>
      <c r="K322" s="646" t="str">
        <f t="shared" si="19"/>
        <v/>
      </c>
    </row>
    <row r="323" spans="5:11" ht="13.5" customHeight="1" x14ac:dyDescent="0.2">
      <c r="E323" s="643">
        <v>283</v>
      </c>
      <c r="F323" s="645">
        <f t="shared" si="16"/>
        <v>0</v>
      </c>
      <c r="I323" s="766" t="str">
        <f t="shared" si="17"/>
        <v/>
      </c>
      <c r="J323" s="646" t="str">
        <f t="shared" si="18"/>
        <v/>
      </c>
      <c r="K323" s="646" t="str">
        <f t="shared" si="19"/>
        <v/>
      </c>
    </row>
    <row r="324" spans="5:11" ht="13.5" customHeight="1" x14ac:dyDescent="0.2">
      <c r="E324" s="643">
        <v>284</v>
      </c>
      <c r="F324" s="645">
        <f t="shared" si="16"/>
        <v>0</v>
      </c>
      <c r="I324" s="766" t="str">
        <f t="shared" si="17"/>
        <v/>
      </c>
      <c r="J324" s="646" t="str">
        <f t="shared" si="18"/>
        <v/>
      </c>
      <c r="K324" s="646" t="str">
        <f t="shared" si="19"/>
        <v/>
      </c>
    </row>
    <row r="325" spans="5:11" ht="13.5" customHeight="1" x14ac:dyDescent="0.2">
      <c r="E325" s="643">
        <v>285</v>
      </c>
      <c r="F325" s="645">
        <f t="shared" si="16"/>
        <v>0</v>
      </c>
      <c r="I325" s="766" t="str">
        <f t="shared" si="17"/>
        <v/>
      </c>
      <c r="J325" s="646" t="str">
        <f t="shared" si="18"/>
        <v/>
      </c>
      <c r="K325" s="646" t="str">
        <f t="shared" si="19"/>
        <v/>
      </c>
    </row>
    <row r="326" spans="5:11" ht="13.5" customHeight="1" x14ac:dyDescent="0.2">
      <c r="E326" s="643">
        <v>286</v>
      </c>
      <c r="F326" s="645">
        <f t="shared" si="16"/>
        <v>0</v>
      </c>
      <c r="I326" s="766" t="str">
        <f t="shared" si="17"/>
        <v/>
      </c>
      <c r="J326" s="646" t="str">
        <f t="shared" si="18"/>
        <v/>
      </c>
      <c r="K326" s="646" t="str">
        <f t="shared" si="19"/>
        <v/>
      </c>
    </row>
    <row r="327" spans="5:11" ht="13.5" customHeight="1" x14ac:dyDescent="0.2">
      <c r="E327" s="643">
        <v>287</v>
      </c>
      <c r="F327" s="645">
        <f t="shared" si="16"/>
        <v>0</v>
      </c>
      <c r="I327" s="766" t="str">
        <f t="shared" si="17"/>
        <v/>
      </c>
      <c r="J327" s="646" t="str">
        <f t="shared" si="18"/>
        <v/>
      </c>
      <c r="K327" s="646" t="str">
        <f t="shared" si="19"/>
        <v/>
      </c>
    </row>
    <row r="328" spans="5:11" ht="13.5" customHeight="1" x14ac:dyDescent="0.2">
      <c r="E328" s="643">
        <v>288</v>
      </c>
      <c r="F328" s="645">
        <f t="shared" si="16"/>
        <v>0</v>
      </c>
      <c r="I328" s="766" t="str">
        <f t="shared" si="17"/>
        <v/>
      </c>
      <c r="J328" s="646" t="str">
        <f t="shared" si="18"/>
        <v/>
      </c>
      <c r="K328" s="646" t="str">
        <f t="shared" si="19"/>
        <v/>
      </c>
    </row>
    <row r="329" spans="5:11" ht="13.5" customHeight="1" x14ac:dyDescent="0.2">
      <c r="E329" s="643">
        <v>289</v>
      </c>
      <c r="F329" s="645">
        <f t="shared" si="16"/>
        <v>0</v>
      </c>
      <c r="I329" s="766" t="str">
        <f t="shared" si="17"/>
        <v/>
      </c>
      <c r="J329" s="646" t="str">
        <f t="shared" si="18"/>
        <v/>
      </c>
      <c r="K329" s="646" t="str">
        <f t="shared" si="19"/>
        <v/>
      </c>
    </row>
    <row r="330" spans="5:11" ht="13.5" customHeight="1" x14ac:dyDescent="0.2">
      <c r="E330" s="643">
        <v>290</v>
      </c>
      <c r="F330" s="645">
        <f t="shared" si="16"/>
        <v>0</v>
      </c>
      <c r="I330" s="766" t="str">
        <f t="shared" si="17"/>
        <v/>
      </c>
      <c r="J330" s="646" t="str">
        <f t="shared" si="18"/>
        <v/>
      </c>
      <c r="K330" s="646" t="str">
        <f t="shared" si="19"/>
        <v/>
      </c>
    </row>
    <row r="331" spans="5:11" ht="13.5" customHeight="1" x14ac:dyDescent="0.2">
      <c r="E331" s="643">
        <v>291</v>
      </c>
      <c r="F331" s="645">
        <f t="shared" si="16"/>
        <v>0</v>
      </c>
      <c r="I331" s="766" t="str">
        <f t="shared" si="17"/>
        <v/>
      </c>
      <c r="J331" s="646" t="str">
        <f t="shared" si="18"/>
        <v/>
      </c>
      <c r="K331" s="646" t="str">
        <f t="shared" si="19"/>
        <v/>
      </c>
    </row>
    <row r="332" spans="5:11" ht="13.5" customHeight="1" x14ac:dyDescent="0.2">
      <c r="E332" s="643">
        <v>292</v>
      </c>
      <c r="F332" s="645">
        <f t="shared" si="16"/>
        <v>0</v>
      </c>
      <c r="I332" s="766" t="str">
        <f t="shared" si="17"/>
        <v/>
      </c>
      <c r="J332" s="646" t="str">
        <f t="shared" si="18"/>
        <v/>
      </c>
      <c r="K332" s="646" t="str">
        <f t="shared" si="19"/>
        <v/>
      </c>
    </row>
    <row r="333" spans="5:11" ht="13.5" customHeight="1" x14ac:dyDescent="0.2">
      <c r="E333" s="643">
        <v>293</v>
      </c>
      <c r="F333" s="645">
        <f t="shared" si="16"/>
        <v>0</v>
      </c>
      <c r="I333" s="766" t="str">
        <f t="shared" si="17"/>
        <v/>
      </c>
      <c r="J333" s="646" t="str">
        <f t="shared" si="18"/>
        <v/>
      </c>
      <c r="K333" s="646" t="str">
        <f t="shared" si="19"/>
        <v/>
      </c>
    </row>
    <row r="334" spans="5:11" ht="13.5" customHeight="1" x14ac:dyDescent="0.2">
      <c r="E334" s="643">
        <v>294</v>
      </c>
      <c r="F334" s="645">
        <f t="shared" si="16"/>
        <v>0</v>
      </c>
      <c r="I334" s="766" t="str">
        <f t="shared" si="17"/>
        <v/>
      </c>
      <c r="J334" s="646" t="str">
        <f t="shared" si="18"/>
        <v/>
      </c>
      <c r="K334" s="646" t="str">
        <f t="shared" si="19"/>
        <v/>
      </c>
    </row>
    <row r="335" spans="5:11" ht="13.5" customHeight="1" x14ac:dyDescent="0.2">
      <c r="E335" s="643">
        <v>295</v>
      </c>
      <c r="F335" s="645">
        <f t="shared" si="16"/>
        <v>0</v>
      </c>
      <c r="I335" s="766" t="str">
        <f t="shared" si="17"/>
        <v/>
      </c>
      <c r="J335" s="646" t="str">
        <f t="shared" si="18"/>
        <v/>
      </c>
      <c r="K335" s="646" t="str">
        <f t="shared" si="19"/>
        <v/>
      </c>
    </row>
    <row r="336" spans="5:11" ht="13.5" customHeight="1" x14ac:dyDescent="0.2">
      <c r="E336" s="643">
        <v>296</v>
      </c>
      <c r="F336" s="645">
        <f t="shared" si="16"/>
        <v>0</v>
      </c>
      <c r="I336" s="766" t="str">
        <f t="shared" si="17"/>
        <v/>
      </c>
      <c r="J336" s="646" t="str">
        <f t="shared" si="18"/>
        <v/>
      </c>
      <c r="K336" s="646" t="str">
        <f t="shared" si="19"/>
        <v/>
      </c>
    </row>
    <row r="337" spans="5:11" ht="13.5" customHeight="1" x14ac:dyDescent="0.2">
      <c r="E337" s="643">
        <v>297</v>
      </c>
      <c r="F337" s="645">
        <f t="shared" si="16"/>
        <v>0</v>
      </c>
      <c r="I337" s="766" t="str">
        <f t="shared" si="17"/>
        <v/>
      </c>
      <c r="J337" s="646" t="str">
        <f t="shared" si="18"/>
        <v/>
      </c>
      <c r="K337" s="646" t="str">
        <f t="shared" si="19"/>
        <v/>
      </c>
    </row>
    <row r="338" spans="5:11" ht="13.5" customHeight="1" x14ac:dyDescent="0.2">
      <c r="E338" s="643">
        <v>298</v>
      </c>
      <c r="F338" s="645">
        <f t="shared" si="16"/>
        <v>0</v>
      </c>
      <c r="I338" s="766" t="str">
        <f t="shared" si="17"/>
        <v/>
      </c>
      <c r="J338" s="646" t="str">
        <f t="shared" si="18"/>
        <v/>
      </c>
      <c r="K338" s="646" t="str">
        <f t="shared" si="19"/>
        <v/>
      </c>
    </row>
    <row r="339" spans="5:11" ht="13.5" customHeight="1" x14ac:dyDescent="0.2">
      <c r="E339" s="643">
        <v>299</v>
      </c>
      <c r="F339" s="645">
        <f t="shared" si="16"/>
        <v>0</v>
      </c>
      <c r="I339" s="766" t="str">
        <f t="shared" si="17"/>
        <v/>
      </c>
      <c r="J339" s="646" t="str">
        <f t="shared" si="18"/>
        <v/>
      </c>
      <c r="K339" s="646" t="str">
        <f t="shared" si="19"/>
        <v/>
      </c>
    </row>
    <row r="340" spans="5:11" ht="13.5" customHeight="1" x14ac:dyDescent="0.2">
      <c r="E340" s="643">
        <v>300</v>
      </c>
      <c r="F340" s="645">
        <f t="shared" si="16"/>
        <v>0</v>
      </c>
      <c r="I340" s="766" t="str">
        <f t="shared" si="17"/>
        <v/>
      </c>
      <c r="J340" s="646" t="str">
        <f t="shared" si="18"/>
        <v/>
      </c>
      <c r="K340" s="646" t="str">
        <f t="shared" si="19"/>
        <v/>
      </c>
    </row>
    <row r="341" spans="5:11" ht="13.5" customHeight="1" x14ac:dyDescent="0.2">
      <c r="E341" s="643">
        <v>301</v>
      </c>
      <c r="F341" s="645">
        <f t="shared" si="16"/>
        <v>0</v>
      </c>
      <c r="I341" s="766" t="str">
        <f t="shared" si="17"/>
        <v/>
      </c>
      <c r="J341" s="646" t="str">
        <f t="shared" si="18"/>
        <v/>
      </c>
      <c r="K341" s="646" t="str">
        <f t="shared" si="19"/>
        <v/>
      </c>
    </row>
    <row r="342" spans="5:11" ht="13.5" customHeight="1" x14ac:dyDescent="0.2">
      <c r="E342" s="643">
        <v>302</v>
      </c>
      <c r="F342" s="645">
        <f t="shared" si="16"/>
        <v>0</v>
      </c>
      <c r="I342" s="766" t="str">
        <f t="shared" si="17"/>
        <v/>
      </c>
      <c r="J342" s="646" t="str">
        <f t="shared" si="18"/>
        <v/>
      </c>
      <c r="K342" s="646" t="str">
        <f t="shared" si="19"/>
        <v/>
      </c>
    </row>
    <row r="343" spans="5:11" ht="13.5" customHeight="1" x14ac:dyDescent="0.2">
      <c r="E343" s="643">
        <v>303</v>
      </c>
      <c r="F343" s="645">
        <f t="shared" si="16"/>
        <v>0</v>
      </c>
      <c r="I343" s="766" t="str">
        <f t="shared" si="17"/>
        <v/>
      </c>
      <c r="J343" s="646" t="str">
        <f t="shared" si="18"/>
        <v/>
      </c>
      <c r="K343" s="646" t="str">
        <f t="shared" si="19"/>
        <v/>
      </c>
    </row>
    <row r="344" spans="5:11" ht="13.5" customHeight="1" x14ac:dyDescent="0.2">
      <c r="E344" s="643">
        <v>304</v>
      </c>
      <c r="F344" s="645">
        <f t="shared" si="16"/>
        <v>0</v>
      </c>
      <c r="I344" s="766" t="str">
        <f t="shared" si="17"/>
        <v/>
      </c>
      <c r="J344" s="646" t="str">
        <f t="shared" si="18"/>
        <v/>
      </c>
      <c r="K344" s="646" t="str">
        <f t="shared" si="19"/>
        <v/>
      </c>
    </row>
    <row r="345" spans="5:11" ht="13.5" customHeight="1" x14ac:dyDescent="0.2">
      <c r="E345" s="643">
        <v>305</v>
      </c>
      <c r="F345" s="645">
        <f t="shared" si="16"/>
        <v>0</v>
      </c>
      <c r="I345" s="766" t="str">
        <f t="shared" si="17"/>
        <v/>
      </c>
      <c r="J345" s="646" t="str">
        <f t="shared" si="18"/>
        <v/>
      </c>
      <c r="K345" s="646" t="str">
        <f t="shared" si="19"/>
        <v/>
      </c>
    </row>
    <row r="346" spans="5:11" ht="13.5" customHeight="1" x14ac:dyDescent="0.2">
      <c r="E346" s="643">
        <v>306</v>
      </c>
      <c r="F346" s="645">
        <f t="shared" si="16"/>
        <v>0</v>
      </c>
      <c r="I346" s="766" t="str">
        <f t="shared" si="17"/>
        <v/>
      </c>
      <c r="J346" s="646" t="str">
        <f t="shared" si="18"/>
        <v/>
      </c>
      <c r="K346" s="646" t="str">
        <f t="shared" si="19"/>
        <v/>
      </c>
    </row>
    <row r="347" spans="5:11" ht="13.5" customHeight="1" x14ac:dyDescent="0.2">
      <c r="E347" s="643">
        <v>307</v>
      </c>
      <c r="F347" s="645">
        <f t="shared" si="16"/>
        <v>0</v>
      </c>
      <c r="I347" s="766" t="str">
        <f t="shared" si="17"/>
        <v/>
      </c>
      <c r="J347" s="646" t="str">
        <f t="shared" si="18"/>
        <v/>
      </c>
      <c r="K347" s="646" t="str">
        <f t="shared" si="19"/>
        <v/>
      </c>
    </row>
    <row r="348" spans="5:11" ht="13.5" customHeight="1" x14ac:dyDescent="0.2">
      <c r="E348" s="643">
        <v>308</v>
      </c>
      <c r="F348" s="645">
        <f t="shared" si="16"/>
        <v>0</v>
      </c>
      <c r="I348" s="766" t="str">
        <f t="shared" si="17"/>
        <v/>
      </c>
      <c r="J348" s="646" t="str">
        <f t="shared" si="18"/>
        <v/>
      </c>
      <c r="K348" s="646" t="str">
        <f t="shared" si="19"/>
        <v/>
      </c>
    </row>
    <row r="349" spans="5:11" ht="13.5" customHeight="1" x14ac:dyDescent="0.2">
      <c r="E349" s="643">
        <v>309</v>
      </c>
      <c r="F349" s="645">
        <f t="shared" si="16"/>
        <v>0</v>
      </c>
      <c r="I349" s="766" t="str">
        <f t="shared" si="17"/>
        <v/>
      </c>
      <c r="J349" s="646" t="str">
        <f t="shared" si="18"/>
        <v/>
      </c>
      <c r="K349" s="646" t="str">
        <f t="shared" si="19"/>
        <v/>
      </c>
    </row>
    <row r="350" spans="5:11" ht="13.5" customHeight="1" x14ac:dyDescent="0.2">
      <c r="E350" s="643">
        <v>310</v>
      </c>
      <c r="F350" s="645">
        <f t="shared" si="16"/>
        <v>0</v>
      </c>
      <c r="I350" s="766" t="str">
        <f t="shared" si="17"/>
        <v/>
      </c>
      <c r="J350" s="646" t="str">
        <f t="shared" si="18"/>
        <v/>
      </c>
      <c r="K350" s="646" t="str">
        <f t="shared" si="19"/>
        <v/>
      </c>
    </row>
    <row r="351" spans="5:11" ht="13.5" customHeight="1" x14ac:dyDescent="0.2">
      <c r="E351" s="643">
        <v>311</v>
      </c>
      <c r="F351" s="645">
        <f t="shared" si="16"/>
        <v>0</v>
      </c>
      <c r="I351" s="766" t="str">
        <f t="shared" si="17"/>
        <v/>
      </c>
      <c r="J351" s="646" t="str">
        <f t="shared" si="18"/>
        <v/>
      </c>
      <c r="K351" s="646" t="str">
        <f t="shared" si="19"/>
        <v/>
      </c>
    </row>
    <row r="352" spans="5:11" ht="13.5" customHeight="1" x14ac:dyDescent="0.2">
      <c r="E352" s="643">
        <v>312</v>
      </c>
      <c r="F352" s="645">
        <f t="shared" si="16"/>
        <v>0</v>
      </c>
      <c r="I352" s="766" t="str">
        <f t="shared" si="17"/>
        <v/>
      </c>
      <c r="J352" s="646" t="str">
        <f t="shared" si="18"/>
        <v/>
      </c>
      <c r="K352" s="646" t="str">
        <f t="shared" si="19"/>
        <v/>
      </c>
    </row>
    <row r="353" spans="5:11" ht="13.5" customHeight="1" x14ac:dyDescent="0.2">
      <c r="E353" s="643">
        <v>313</v>
      </c>
      <c r="F353" s="645">
        <f t="shared" si="16"/>
        <v>0</v>
      </c>
      <c r="I353" s="766" t="str">
        <f t="shared" si="17"/>
        <v/>
      </c>
      <c r="J353" s="646" t="str">
        <f t="shared" si="18"/>
        <v/>
      </c>
      <c r="K353" s="646" t="str">
        <f t="shared" si="19"/>
        <v/>
      </c>
    </row>
    <row r="354" spans="5:11" ht="13.5" customHeight="1" x14ac:dyDescent="0.2">
      <c r="E354" s="643">
        <v>314</v>
      </c>
      <c r="F354" s="645">
        <f t="shared" si="16"/>
        <v>0</v>
      </c>
      <c r="I354" s="766" t="str">
        <f t="shared" si="17"/>
        <v/>
      </c>
      <c r="J354" s="646" t="str">
        <f t="shared" si="18"/>
        <v/>
      </c>
      <c r="K354" s="646" t="str">
        <f t="shared" si="19"/>
        <v/>
      </c>
    </row>
    <row r="355" spans="5:11" ht="13.5" customHeight="1" x14ac:dyDescent="0.2">
      <c r="E355" s="643">
        <v>315</v>
      </c>
      <c r="F355" s="645">
        <f t="shared" si="16"/>
        <v>0</v>
      </c>
      <c r="I355" s="766" t="str">
        <f t="shared" si="17"/>
        <v/>
      </c>
      <c r="J355" s="646" t="str">
        <f t="shared" si="18"/>
        <v/>
      </c>
      <c r="K355" s="646" t="str">
        <f t="shared" si="19"/>
        <v/>
      </c>
    </row>
    <row r="356" spans="5:11" ht="13.5" customHeight="1" x14ac:dyDescent="0.2">
      <c r="E356" s="643">
        <v>316</v>
      </c>
      <c r="F356" s="645">
        <f t="shared" si="16"/>
        <v>0</v>
      </c>
      <c r="I356" s="766" t="str">
        <f t="shared" si="17"/>
        <v/>
      </c>
      <c r="J356" s="646" t="str">
        <f t="shared" si="18"/>
        <v/>
      </c>
      <c r="K356" s="646" t="str">
        <f t="shared" si="19"/>
        <v/>
      </c>
    </row>
    <row r="357" spans="5:11" ht="13.5" customHeight="1" x14ac:dyDescent="0.2">
      <c r="E357" s="643">
        <v>317</v>
      </c>
      <c r="F357" s="645">
        <f t="shared" si="16"/>
        <v>0</v>
      </c>
      <c r="I357" s="766" t="str">
        <f t="shared" si="17"/>
        <v/>
      </c>
      <c r="J357" s="646" t="str">
        <f t="shared" si="18"/>
        <v/>
      </c>
      <c r="K357" s="646" t="str">
        <f t="shared" si="19"/>
        <v/>
      </c>
    </row>
    <row r="358" spans="5:11" ht="13.5" customHeight="1" x14ac:dyDescent="0.2">
      <c r="E358" s="643">
        <v>318</v>
      </c>
      <c r="F358" s="645">
        <f t="shared" si="16"/>
        <v>0</v>
      </c>
      <c r="I358" s="766" t="str">
        <f t="shared" si="17"/>
        <v/>
      </c>
      <c r="J358" s="646" t="str">
        <f t="shared" si="18"/>
        <v/>
      </c>
      <c r="K358" s="646" t="str">
        <f t="shared" si="19"/>
        <v/>
      </c>
    </row>
    <row r="359" spans="5:11" ht="13.5" customHeight="1" x14ac:dyDescent="0.2">
      <c r="E359" s="643">
        <v>319</v>
      </c>
      <c r="F359" s="645">
        <f t="shared" si="16"/>
        <v>0</v>
      </c>
      <c r="I359" s="766" t="str">
        <f t="shared" si="17"/>
        <v/>
      </c>
      <c r="J359" s="646" t="str">
        <f t="shared" si="18"/>
        <v/>
      </c>
      <c r="K359" s="646" t="str">
        <f t="shared" si="19"/>
        <v/>
      </c>
    </row>
    <row r="360" spans="5:11" ht="13.5" customHeight="1" x14ac:dyDescent="0.2">
      <c r="E360" s="643">
        <v>320</v>
      </c>
      <c r="F360" s="645">
        <f t="shared" si="16"/>
        <v>0</v>
      </c>
      <c r="I360" s="766" t="str">
        <f t="shared" si="17"/>
        <v/>
      </c>
      <c r="J360" s="646" t="str">
        <f t="shared" si="18"/>
        <v/>
      </c>
      <c r="K360" s="646" t="str">
        <f t="shared" si="19"/>
        <v/>
      </c>
    </row>
    <row r="361" spans="5:11" ht="13.5" customHeight="1" x14ac:dyDescent="0.2">
      <c r="E361" s="643">
        <v>321</v>
      </c>
      <c r="F361" s="645">
        <f t="shared" ref="F361:F370" si="20">LARGE(goalrank,E361)</f>
        <v>0</v>
      </c>
      <c r="I361" s="766" t="str">
        <f t="shared" ref="I361:I370" si="21">IF(OR(F361&lt;1,ROUNDDOWN(F361,0)=ROUNDDOWN(F360,0)),"",CONCATENATE(ROUNDDOWN(F361,0)," GÓL "))</f>
        <v/>
      </c>
      <c r="J361" s="646" t="str">
        <f t="shared" ref="J361:J370" si="22">IF(F361&lt;1,"",CONCATENATE(" ",VLOOKUP(F361,goalname,3,FALSE)))</f>
        <v/>
      </c>
      <c r="K361" s="646" t="str">
        <f t="shared" ref="K361:K370" si="23">IF(F361&lt;1,"",CONCATENATE(" ",VLOOKUP(F361,goalname,2,FALSE)))</f>
        <v/>
      </c>
    </row>
    <row r="362" spans="5:11" ht="13.5" customHeight="1" x14ac:dyDescent="0.2">
      <c r="E362" s="643">
        <v>322</v>
      </c>
      <c r="F362" s="645">
        <f t="shared" si="20"/>
        <v>0</v>
      </c>
      <c r="I362" s="766" t="str">
        <f t="shared" si="21"/>
        <v/>
      </c>
      <c r="J362" s="646" t="str">
        <f t="shared" si="22"/>
        <v/>
      </c>
      <c r="K362" s="646" t="str">
        <f t="shared" si="23"/>
        <v/>
      </c>
    </row>
    <row r="363" spans="5:11" ht="13.5" customHeight="1" x14ac:dyDescent="0.2">
      <c r="E363" s="643">
        <v>323</v>
      </c>
      <c r="F363" s="645">
        <f t="shared" si="20"/>
        <v>0</v>
      </c>
      <c r="I363" s="766" t="str">
        <f t="shared" si="21"/>
        <v/>
      </c>
      <c r="J363" s="646" t="str">
        <f t="shared" si="22"/>
        <v/>
      </c>
      <c r="K363" s="646" t="str">
        <f t="shared" si="23"/>
        <v/>
      </c>
    </row>
    <row r="364" spans="5:11" ht="13.5" customHeight="1" x14ac:dyDescent="0.2">
      <c r="E364" s="643">
        <v>324</v>
      </c>
      <c r="F364" s="645">
        <f t="shared" si="20"/>
        <v>0</v>
      </c>
      <c r="I364" s="766" t="str">
        <f t="shared" si="21"/>
        <v/>
      </c>
      <c r="J364" s="646" t="str">
        <f t="shared" si="22"/>
        <v/>
      </c>
      <c r="K364" s="646" t="str">
        <f t="shared" si="23"/>
        <v/>
      </c>
    </row>
    <row r="365" spans="5:11" ht="13.5" customHeight="1" x14ac:dyDescent="0.2">
      <c r="E365" s="643">
        <v>325</v>
      </c>
      <c r="F365" s="645">
        <f t="shared" si="20"/>
        <v>0</v>
      </c>
      <c r="I365" s="766" t="str">
        <f t="shared" si="21"/>
        <v/>
      </c>
      <c r="J365" s="646" t="str">
        <f t="shared" si="22"/>
        <v/>
      </c>
      <c r="K365" s="646" t="str">
        <f t="shared" si="23"/>
        <v/>
      </c>
    </row>
    <row r="366" spans="5:11" ht="13.5" customHeight="1" x14ac:dyDescent="0.2">
      <c r="E366" s="643">
        <v>326</v>
      </c>
      <c r="F366" s="645">
        <f t="shared" si="20"/>
        <v>0</v>
      </c>
      <c r="I366" s="766" t="str">
        <f t="shared" si="21"/>
        <v/>
      </c>
      <c r="J366" s="646" t="str">
        <f t="shared" si="22"/>
        <v/>
      </c>
      <c r="K366" s="646" t="str">
        <f t="shared" si="23"/>
        <v/>
      </c>
    </row>
    <row r="367" spans="5:11" ht="13.5" customHeight="1" x14ac:dyDescent="0.2">
      <c r="E367" s="643">
        <v>327</v>
      </c>
      <c r="F367" s="645">
        <f t="shared" si="20"/>
        <v>0</v>
      </c>
      <c r="I367" s="766" t="str">
        <f t="shared" si="21"/>
        <v/>
      </c>
      <c r="J367" s="646" t="str">
        <f t="shared" si="22"/>
        <v/>
      </c>
      <c r="K367" s="646" t="str">
        <f t="shared" si="23"/>
        <v/>
      </c>
    </row>
    <row r="368" spans="5:11" ht="13.5" customHeight="1" x14ac:dyDescent="0.2">
      <c r="E368" s="643">
        <v>328</v>
      </c>
      <c r="F368" s="645">
        <f t="shared" si="20"/>
        <v>0</v>
      </c>
      <c r="I368" s="766" t="str">
        <f t="shared" si="21"/>
        <v/>
      </c>
      <c r="J368" s="646" t="str">
        <f t="shared" si="22"/>
        <v/>
      </c>
      <c r="K368" s="646" t="str">
        <f t="shared" si="23"/>
        <v/>
      </c>
    </row>
    <row r="369" spans="5:11" ht="13.5" customHeight="1" x14ac:dyDescent="0.2">
      <c r="E369" s="643">
        <v>329</v>
      </c>
      <c r="F369" s="645">
        <f t="shared" si="20"/>
        <v>0</v>
      </c>
      <c r="I369" s="766" t="str">
        <f t="shared" si="21"/>
        <v/>
      </c>
      <c r="J369" s="646" t="str">
        <f t="shared" si="22"/>
        <v/>
      </c>
      <c r="K369" s="646" t="str">
        <f t="shared" si="23"/>
        <v/>
      </c>
    </row>
    <row r="370" spans="5:11" ht="13.5" customHeight="1" x14ac:dyDescent="0.2">
      <c r="E370" s="643">
        <v>330</v>
      </c>
      <c r="F370" s="645">
        <f t="shared" si="20"/>
        <v>0</v>
      </c>
      <c r="I370" s="766" t="str">
        <f t="shared" si="21"/>
        <v/>
      </c>
      <c r="J370" s="646" t="str">
        <f t="shared" si="22"/>
        <v/>
      </c>
      <c r="K370" s="646" t="str">
        <f t="shared" si="23"/>
        <v/>
      </c>
    </row>
  </sheetData>
  <sheetProtection password="CE76" sheet="1" objects="1" scenarios="1"/>
  <phoneticPr fontId="0" type="noConversion"/>
  <conditionalFormatting sqref="I41:I369">
    <cfRule type="expression" dxfId="7" priority="1" stopIfTrue="1">
      <formula>F41&lt;1</formula>
    </cfRule>
    <cfRule type="expression" dxfId="6" priority="2" stopIfTrue="1">
      <formula>I42&lt;&gt;""</formula>
    </cfRule>
  </conditionalFormatting>
  <conditionalFormatting sqref="I370">
    <cfRule type="expression" dxfId="5" priority="3" stopIfTrue="1">
      <formula>F370&lt;1</formula>
    </cfRule>
    <cfRule type="expression" dxfId="4" priority="4" stopIfTrue="1">
      <formula>#REF!&lt;&gt;""</formula>
    </cfRule>
  </conditionalFormatting>
  <conditionalFormatting sqref="J41:J370">
    <cfRule type="expression" dxfId="3" priority="5" stopIfTrue="1">
      <formula>I42&lt;&gt;""</formula>
    </cfRule>
    <cfRule type="expression" dxfId="2" priority="6" stopIfTrue="1">
      <formula>F41&lt;1</formula>
    </cfRule>
  </conditionalFormatting>
  <conditionalFormatting sqref="K41:K370">
    <cfRule type="expression" dxfId="1" priority="7" stopIfTrue="1">
      <formula>I42&lt;&gt;""</formula>
    </cfRule>
    <cfRule type="expression" dxfId="0" priority="8" stopIfTrue="1">
      <formula>F41&lt;1</formula>
    </cfRule>
  </conditionalFormatting>
  <pageMargins left="0.31496062992125984" right="0.31496062992125984" top="0.51181102362204722" bottom="0.51181102362204722" header="0.51181102362204722" footer="0.51181102362204722"/>
  <pageSetup paperSize="9" orientation="landscape" r:id="rId1"/>
  <headerFooter alignWithMargins="0"/>
  <drawing r:id="rId2"/>
  <picture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5">
    <pageSetUpPr autoPageBreaks="0"/>
  </sheetPr>
  <dimension ref="A1:F158"/>
  <sheetViews>
    <sheetView showGridLines="0" showRowColHeaders="0" zoomScaleNormal="100" workbookViewId="0">
      <pane ySplit="39" topLeftCell="A40" activePane="bottomLeft" state="frozen"/>
      <selection pane="bottomLeft"/>
    </sheetView>
  </sheetViews>
  <sheetFormatPr defaultColWidth="9.140625" defaultRowHeight="12" x14ac:dyDescent="0.2"/>
  <cols>
    <col min="1" max="1" width="1.7109375" style="635" customWidth="1"/>
    <col min="2" max="2" width="5.28515625" style="291" customWidth="1"/>
    <col min="3" max="3" width="1.85546875" style="790" customWidth="1"/>
    <col min="4" max="4" width="127.28515625" style="636" customWidth="1"/>
    <col min="5" max="5" width="7.42578125" style="291" customWidth="1"/>
    <col min="6" max="6" width="3.28515625" style="291" customWidth="1"/>
    <col min="7" max="16384" width="9.140625" style="291"/>
  </cols>
  <sheetData>
    <row r="1" spans="3:6" s="257" customFormat="1" ht="1.5" customHeight="1" x14ac:dyDescent="0.2">
      <c r="C1" s="788"/>
      <c r="D1" s="258"/>
      <c r="E1" s="258"/>
      <c r="F1" s="258"/>
    </row>
    <row r="2" spans="3:6" s="257" customFormat="1" ht="0.75" customHeight="1" x14ac:dyDescent="0.2">
      <c r="C2" s="788"/>
      <c r="D2" s="259"/>
      <c r="E2" s="260"/>
      <c r="F2" s="260"/>
    </row>
    <row r="3" spans="3:6" s="257" customFormat="1" ht="1.5" hidden="1" customHeight="1" x14ac:dyDescent="0.2">
      <c r="C3" s="788"/>
      <c r="D3" s="261"/>
      <c r="E3" s="262"/>
      <c r="F3" s="263"/>
    </row>
    <row r="4" spans="3:6" s="257" customFormat="1" ht="0.75" hidden="1" customHeight="1" x14ac:dyDescent="0.2">
      <c r="C4" s="788"/>
      <c r="D4" s="261"/>
      <c r="E4" s="262"/>
      <c r="F4" s="263"/>
    </row>
    <row r="5" spans="3:6" s="257" customFormat="1" ht="1.5" hidden="1" customHeight="1" x14ac:dyDescent="0.2">
      <c r="C5" s="788"/>
      <c r="D5" s="261"/>
      <c r="E5" s="262"/>
      <c r="F5" s="263"/>
    </row>
    <row r="6" spans="3:6" s="257" customFormat="1" ht="0.75" hidden="1" customHeight="1" x14ac:dyDescent="0.2">
      <c r="C6" s="788"/>
      <c r="D6" s="261"/>
      <c r="E6" s="262"/>
      <c r="F6" s="263"/>
    </row>
    <row r="7" spans="3:6" s="257" customFormat="1" ht="1.5" customHeight="1" x14ac:dyDescent="0.2">
      <c r="C7" s="788"/>
      <c r="D7" s="261"/>
      <c r="E7" s="262"/>
      <c r="F7" s="263"/>
    </row>
    <row r="8" spans="3:6" s="257" customFormat="1" ht="0.75" customHeight="1" x14ac:dyDescent="0.2">
      <c r="C8" s="788"/>
      <c r="D8" s="261"/>
      <c r="E8" s="262"/>
      <c r="F8" s="263"/>
    </row>
    <row r="9" spans="3:6" s="257" customFormat="1" ht="1.5" customHeight="1" x14ac:dyDescent="0.2">
      <c r="C9" s="788"/>
      <c r="D9" s="261"/>
      <c r="E9" s="262"/>
      <c r="F9" s="263"/>
    </row>
    <row r="10" spans="3:6" s="257" customFormat="1" ht="0.75" customHeight="1" x14ac:dyDescent="0.2">
      <c r="C10" s="788"/>
      <c r="D10" s="261"/>
      <c r="E10" s="262"/>
      <c r="F10" s="263"/>
    </row>
    <row r="11" spans="3:6" s="257" customFormat="1" ht="1.5" customHeight="1" x14ac:dyDescent="0.2">
      <c r="C11" s="788"/>
      <c r="D11" s="261"/>
      <c r="E11" s="262"/>
      <c r="F11" s="263"/>
    </row>
    <row r="12" spans="3:6" s="257" customFormat="1" ht="0.75" customHeight="1" x14ac:dyDescent="0.2">
      <c r="C12" s="788"/>
      <c r="D12" s="261"/>
      <c r="E12" s="262"/>
      <c r="F12" s="263"/>
    </row>
    <row r="13" spans="3:6" s="257" customFormat="1" ht="1.5" customHeight="1" x14ac:dyDescent="0.2">
      <c r="C13" s="788"/>
      <c r="D13" s="261"/>
      <c r="E13" s="262"/>
      <c r="F13" s="263"/>
    </row>
    <row r="14" spans="3:6" s="257" customFormat="1" ht="0.75" customHeight="1" x14ac:dyDescent="0.2">
      <c r="C14" s="788"/>
      <c r="D14" s="261"/>
      <c r="E14" s="262"/>
      <c r="F14" s="263"/>
    </row>
    <row r="15" spans="3:6" s="257" customFormat="1" ht="1.5" customHeight="1" x14ac:dyDescent="0.2">
      <c r="C15" s="788"/>
      <c r="D15" s="261"/>
      <c r="E15" s="262"/>
      <c r="F15" s="263"/>
    </row>
    <row r="16" spans="3:6" s="257" customFormat="1" ht="0.75" customHeight="1" x14ac:dyDescent="0.2">
      <c r="C16" s="788"/>
      <c r="D16" s="261"/>
      <c r="E16" s="262"/>
      <c r="F16" s="263"/>
    </row>
    <row r="17" spans="3:6" s="257" customFormat="1" ht="1.5" customHeight="1" x14ac:dyDescent="0.2">
      <c r="C17" s="788"/>
      <c r="D17" s="261"/>
      <c r="E17" s="262"/>
      <c r="F17" s="263"/>
    </row>
    <row r="18" spans="3:6" s="257" customFormat="1" ht="0.75" customHeight="1" x14ac:dyDescent="0.2">
      <c r="C18" s="788"/>
      <c r="D18" s="261"/>
      <c r="E18" s="262"/>
      <c r="F18" s="263"/>
    </row>
    <row r="19" spans="3:6" s="257" customFormat="1" ht="1.5" customHeight="1" x14ac:dyDescent="0.2">
      <c r="C19" s="788"/>
      <c r="D19" s="261"/>
      <c r="E19" s="262"/>
      <c r="F19" s="263"/>
    </row>
    <row r="20" spans="3:6" s="257" customFormat="1" ht="0.75" customHeight="1" x14ac:dyDescent="0.2">
      <c r="C20" s="788"/>
      <c r="D20" s="261"/>
      <c r="E20" s="262"/>
      <c r="F20" s="263"/>
    </row>
    <row r="21" spans="3:6" s="257" customFormat="1" ht="1.5" customHeight="1" x14ac:dyDescent="0.2">
      <c r="C21" s="788"/>
      <c r="D21" s="261"/>
      <c r="E21" s="262"/>
      <c r="F21" s="263"/>
    </row>
    <row r="22" spans="3:6" s="257" customFormat="1" ht="0.75" customHeight="1" x14ac:dyDescent="0.2">
      <c r="C22" s="788"/>
      <c r="D22" s="261"/>
      <c r="E22" s="262"/>
      <c r="F22" s="263"/>
    </row>
    <row r="23" spans="3:6" s="257" customFormat="1" ht="1.5" customHeight="1" x14ac:dyDescent="0.2">
      <c r="C23" s="788"/>
      <c r="D23" s="261"/>
      <c r="E23" s="262"/>
      <c r="F23" s="263"/>
    </row>
    <row r="24" spans="3:6" s="257" customFormat="1" ht="0.75" customHeight="1" x14ac:dyDescent="0.2">
      <c r="C24" s="788"/>
      <c r="D24" s="261"/>
      <c r="E24" s="262"/>
      <c r="F24" s="263"/>
    </row>
    <row r="25" spans="3:6" s="257" customFormat="1" ht="1.5" customHeight="1" x14ac:dyDescent="0.2">
      <c r="C25" s="788"/>
      <c r="D25" s="261"/>
      <c r="E25" s="262"/>
      <c r="F25" s="263"/>
    </row>
    <row r="26" spans="3:6" s="257" customFormat="1" ht="0.75" customHeight="1" x14ac:dyDescent="0.2">
      <c r="C26" s="788"/>
      <c r="D26" s="261"/>
      <c r="E26" s="262"/>
      <c r="F26" s="263"/>
    </row>
    <row r="27" spans="3:6" s="257" customFormat="1" ht="1.5" customHeight="1" x14ac:dyDescent="0.2">
      <c r="C27" s="788"/>
      <c r="D27" s="261"/>
      <c r="E27" s="262"/>
      <c r="F27" s="263"/>
    </row>
    <row r="28" spans="3:6" s="257" customFormat="1" ht="0.75" customHeight="1" x14ac:dyDescent="0.2">
      <c r="C28" s="788"/>
      <c r="D28" s="261"/>
      <c r="E28" s="262"/>
      <c r="F28" s="263"/>
    </row>
    <row r="29" spans="3:6" s="257" customFormat="1" ht="1.5" customHeight="1" x14ac:dyDescent="0.2">
      <c r="C29" s="788"/>
      <c r="D29" s="261"/>
      <c r="E29" s="262"/>
      <c r="F29" s="263"/>
    </row>
    <row r="30" spans="3:6" s="257" customFormat="1" ht="0.75" customHeight="1" x14ac:dyDescent="0.2">
      <c r="C30" s="788"/>
      <c r="D30" s="261"/>
      <c r="E30" s="262"/>
      <c r="F30" s="263"/>
    </row>
    <row r="31" spans="3:6" s="257" customFormat="1" ht="1.5" customHeight="1" x14ac:dyDescent="0.2">
      <c r="C31" s="788"/>
      <c r="D31" s="261"/>
      <c r="E31" s="262"/>
      <c r="F31" s="263"/>
    </row>
    <row r="32" spans="3:6" s="257" customFormat="1" ht="0.75" customHeight="1" x14ac:dyDescent="0.2">
      <c r="C32" s="788"/>
      <c r="D32" s="261"/>
      <c r="E32" s="262"/>
      <c r="F32" s="263"/>
    </row>
    <row r="33" spans="2:6" s="257" customFormat="1" ht="1.5" customHeight="1" x14ac:dyDescent="0.2">
      <c r="C33" s="788"/>
      <c r="D33" s="261"/>
      <c r="E33" s="262"/>
      <c r="F33" s="263"/>
    </row>
    <row r="34" spans="2:6" s="257" customFormat="1" ht="0.75" customHeight="1" x14ac:dyDescent="0.2">
      <c r="C34" s="788"/>
      <c r="D34" s="261"/>
      <c r="E34" s="262"/>
      <c r="F34" s="263"/>
    </row>
    <row r="35" spans="2:6" s="257" customFormat="1" ht="1.5" customHeight="1" x14ac:dyDescent="0.2">
      <c r="C35" s="788"/>
      <c r="D35" s="261"/>
      <c r="E35" s="262"/>
      <c r="F35" s="263"/>
    </row>
    <row r="36" spans="2:6" s="257" customFormat="1" ht="0.75" customHeight="1" x14ac:dyDescent="0.2">
      <c r="C36" s="788"/>
      <c r="D36" s="261"/>
      <c r="E36" s="262"/>
      <c r="F36" s="263"/>
    </row>
    <row r="37" spans="2:6" s="257" customFormat="1" ht="1.5" customHeight="1" x14ac:dyDescent="0.2">
      <c r="C37" s="788"/>
      <c r="D37" s="261"/>
      <c r="E37" s="262"/>
      <c r="F37" s="263"/>
    </row>
    <row r="38" spans="2:6" s="257" customFormat="1" ht="0.75" customHeight="1" x14ac:dyDescent="0.2">
      <c r="C38" s="788"/>
      <c r="D38" s="261"/>
      <c r="E38" s="262"/>
      <c r="F38" s="263"/>
    </row>
    <row r="39" spans="2:6" s="164" customFormat="1" ht="12" customHeight="1" x14ac:dyDescent="0.2">
      <c r="B39" s="256" t="s">
        <v>95</v>
      </c>
      <c r="C39" s="789"/>
      <c r="D39" s="166"/>
      <c r="E39" s="167"/>
      <c r="F39" s="168"/>
    </row>
    <row r="40" spans="2:6" ht="24" customHeight="1" x14ac:dyDescent="0.2">
      <c r="B40" s="804"/>
      <c r="C40" s="791"/>
      <c r="D40" s="794"/>
      <c r="E40" s="804"/>
    </row>
    <row r="41" spans="2:6" ht="28.5" x14ac:dyDescent="0.2">
      <c r="B41" s="804"/>
      <c r="C41" s="791"/>
      <c r="D41" s="792" t="s">
        <v>684</v>
      </c>
      <c r="E41" s="804"/>
    </row>
    <row r="42" spans="2:6" ht="28.5" x14ac:dyDescent="0.2">
      <c r="B42" s="804"/>
      <c r="C42" s="791"/>
      <c r="D42" s="792" t="s">
        <v>685</v>
      </c>
      <c r="E42" s="804"/>
    </row>
    <row r="43" spans="2:6" ht="28.5" customHeight="1" x14ac:dyDescent="0.2">
      <c r="B43" s="804"/>
      <c r="C43" s="793"/>
      <c r="D43" s="792" t="s">
        <v>686</v>
      </c>
      <c r="E43" s="804"/>
    </row>
    <row r="44" spans="2:6" x14ac:dyDescent="0.2">
      <c r="B44" s="804"/>
      <c r="C44" s="793"/>
      <c r="D44" s="794"/>
      <c r="E44" s="804"/>
    </row>
    <row r="45" spans="2:6" x14ac:dyDescent="0.2">
      <c r="B45" s="804"/>
      <c r="C45" s="793"/>
      <c r="D45" s="794"/>
      <c r="E45" s="804"/>
    </row>
    <row r="46" spans="2:6" x14ac:dyDescent="0.2">
      <c r="B46" s="804"/>
      <c r="C46" s="793"/>
      <c r="D46" s="794"/>
      <c r="E46" s="804"/>
    </row>
    <row r="47" spans="2:6" x14ac:dyDescent="0.2">
      <c r="B47" s="804"/>
      <c r="C47" s="793" t="s">
        <v>687</v>
      </c>
      <c r="D47" s="794"/>
      <c r="E47" s="804"/>
    </row>
    <row r="48" spans="2:6" x14ac:dyDescent="0.2">
      <c r="B48" s="804"/>
      <c r="C48" s="793"/>
      <c r="D48" s="794" t="s">
        <v>688</v>
      </c>
      <c r="E48" s="804"/>
    </row>
    <row r="49" spans="2:5" x14ac:dyDescent="0.2">
      <c r="B49" s="804"/>
      <c r="C49" s="793"/>
      <c r="D49" s="794"/>
      <c r="E49" s="804"/>
    </row>
    <row r="50" spans="2:5" x14ac:dyDescent="0.2">
      <c r="B50" s="804"/>
      <c r="C50" s="793" t="s">
        <v>689</v>
      </c>
      <c r="D50" s="794"/>
      <c r="E50" s="804"/>
    </row>
    <row r="51" spans="2:5" ht="22.5" x14ac:dyDescent="0.2">
      <c r="B51" s="804"/>
      <c r="C51" s="793"/>
      <c r="D51" s="794" t="s">
        <v>690</v>
      </c>
      <c r="E51" s="804"/>
    </row>
    <row r="52" spans="2:5" x14ac:dyDescent="0.2">
      <c r="B52" s="804"/>
      <c r="C52" s="793"/>
      <c r="D52" s="794" t="s">
        <v>52</v>
      </c>
      <c r="E52" s="804"/>
    </row>
    <row r="53" spans="2:5" x14ac:dyDescent="0.2">
      <c r="B53" s="804"/>
      <c r="C53" s="793"/>
      <c r="D53" s="794" t="s">
        <v>53</v>
      </c>
      <c r="E53" s="804"/>
    </row>
    <row r="54" spans="2:5" x14ac:dyDescent="0.2">
      <c r="B54" s="804"/>
      <c r="C54" s="793"/>
      <c r="D54" s="794" t="s">
        <v>54</v>
      </c>
      <c r="E54" s="804"/>
    </row>
    <row r="55" spans="2:5" x14ac:dyDescent="0.2">
      <c r="B55" s="804"/>
      <c r="C55" s="793"/>
      <c r="D55" s="794"/>
      <c r="E55" s="804"/>
    </row>
    <row r="56" spans="2:5" x14ac:dyDescent="0.2">
      <c r="B56" s="804"/>
      <c r="C56" s="793" t="s">
        <v>691</v>
      </c>
      <c r="D56" s="794"/>
      <c r="E56" s="804"/>
    </row>
    <row r="57" spans="2:5" ht="22.5" x14ac:dyDescent="0.2">
      <c r="B57" s="804"/>
      <c r="C57" s="793"/>
      <c r="D57" s="794" t="s">
        <v>55</v>
      </c>
      <c r="E57" s="804"/>
    </row>
    <row r="58" spans="2:5" x14ac:dyDescent="0.2">
      <c r="B58" s="804"/>
      <c r="C58" s="793"/>
      <c r="D58" s="794"/>
      <c r="E58" s="804"/>
    </row>
    <row r="59" spans="2:5" x14ac:dyDescent="0.2">
      <c r="B59" s="804"/>
      <c r="C59" s="793" t="s">
        <v>692</v>
      </c>
      <c r="D59" s="794"/>
      <c r="E59" s="804"/>
    </row>
    <row r="60" spans="2:5" x14ac:dyDescent="0.2">
      <c r="B60" s="804"/>
      <c r="C60" s="793"/>
      <c r="D60" s="794" t="s">
        <v>56</v>
      </c>
      <c r="E60" s="804"/>
    </row>
    <row r="61" spans="2:5" x14ac:dyDescent="0.2">
      <c r="B61" s="804"/>
      <c r="C61" s="793"/>
      <c r="D61" s="794" t="s">
        <v>57</v>
      </c>
      <c r="E61" s="804"/>
    </row>
    <row r="62" spans="2:5" x14ac:dyDescent="0.2">
      <c r="B62" s="804"/>
      <c r="C62" s="793"/>
      <c r="D62" s="794" t="s">
        <v>693</v>
      </c>
      <c r="E62" s="804"/>
    </row>
    <row r="63" spans="2:5" x14ac:dyDescent="0.2">
      <c r="B63" s="804"/>
      <c r="C63" s="793"/>
      <c r="D63" s="794" t="s">
        <v>694</v>
      </c>
      <c r="E63" s="804"/>
    </row>
    <row r="64" spans="2:5" x14ac:dyDescent="0.2">
      <c r="B64" s="804"/>
      <c r="C64" s="793"/>
      <c r="D64" s="794" t="s">
        <v>695</v>
      </c>
      <c r="E64" s="804"/>
    </row>
    <row r="65" spans="2:5" x14ac:dyDescent="0.2">
      <c r="B65" s="804"/>
      <c r="C65" s="793"/>
      <c r="D65" s="794" t="s">
        <v>696</v>
      </c>
      <c r="E65" s="804"/>
    </row>
    <row r="66" spans="2:5" x14ac:dyDescent="0.2">
      <c r="B66" s="804"/>
      <c r="C66" s="793"/>
      <c r="D66" s="794" t="s">
        <v>697</v>
      </c>
      <c r="E66" s="804"/>
    </row>
    <row r="67" spans="2:5" x14ac:dyDescent="0.2">
      <c r="B67" s="804"/>
      <c r="C67" s="793"/>
      <c r="D67" s="794" t="s">
        <v>698</v>
      </c>
      <c r="E67" s="804"/>
    </row>
    <row r="68" spans="2:5" x14ac:dyDescent="0.2">
      <c r="B68" s="804"/>
      <c r="C68" s="793"/>
      <c r="D68" s="794" t="s">
        <v>699</v>
      </c>
      <c r="E68" s="804"/>
    </row>
    <row r="69" spans="2:5" x14ac:dyDescent="0.2">
      <c r="B69" s="804"/>
      <c r="C69" s="793"/>
      <c r="D69" s="794" t="s">
        <v>700</v>
      </c>
      <c r="E69" s="804"/>
    </row>
    <row r="70" spans="2:5" ht="22.5" x14ac:dyDescent="0.2">
      <c r="B70" s="804"/>
      <c r="C70" s="793"/>
      <c r="D70" s="794" t="s">
        <v>701</v>
      </c>
      <c r="E70" s="804"/>
    </row>
    <row r="71" spans="2:5" x14ac:dyDescent="0.2">
      <c r="B71" s="804"/>
      <c r="C71" s="793"/>
      <c r="D71" s="794"/>
      <c r="E71" s="804"/>
    </row>
    <row r="72" spans="2:5" x14ac:dyDescent="0.2">
      <c r="B72" s="804"/>
      <c r="C72" s="793" t="s">
        <v>702</v>
      </c>
      <c r="D72" s="794"/>
      <c r="E72" s="804"/>
    </row>
    <row r="73" spans="2:5" x14ac:dyDescent="0.2">
      <c r="B73" s="804"/>
      <c r="C73" s="793"/>
      <c r="D73" s="794" t="s">
        <v>58</v>
      </c>
      <c r="E73" s="804"/>
    </row>
    <row r="74" spans="2:5" x14ac:dyDescent="0.2">
      <c r="B74" s="804"/>
      <c r="C74" s="793"/>
      <c r="D74" s="794"/>
      <c r="E74" s="804"/>
    </row>
    <row r="75" spans="2:5" x14ac:dyDescent="0.2">
      <c r="B75" s="804"/>
      <c r="C75" s="793" t="s">
        <v>703</v>
      </c>
      <c r="D75" s="794"/>
      <c r="E75" s="804"/>
    </row>
    <row r="76" spans="2:5" ht="33.75" x14ac:dyDescent="0.2">
      <c r="B76" s="804"/>
      <c r="C76" s="793"/>
      <c r="D76" s="795" t="s">
        <v>59</v>
      </c>
      <c r="E76" s="804"/>
    </row>
    <row r="77" spans="2:5" x14ac:dyDescent="0.2">
      <c r="B77" s="804"/>
      <c r="C77" s="793"/>
      <c r="D77" s="794" t="s">
        <v>704</v>
      </c>
      <c r="E77" s="804"/>
    </row>
    <row r="78" spans="2:5" x14ac:dyDescent="0.2">
      <c r="B78" s="804"/>
      <c r="C78" s="793"/>
      <c r="D78" s="794" t="s">
        <v>705</v>
      </c>
      <c r="E78" s="804"/>
    </row>
    <row r="79" spans="2:5" x14ac:dyDescent="0.2">
      <c r="B79" s="804"/>
      <c r="C79" s="793"/>
      <c r="D79" s="794" t="s">
        <v>706</v>
      </c>
      <c r="E79" s="804"/>
    </row>
    <row r="80" spans="2:5" x14ac:dyDescent="0.2">
      <c r="B80" s="804"/>
      <c r="C80" s="793"/>
      <c r="D80" s="794" t="s">
        <v>707</v>
      </c>
      <c r="E80" s="804"/>
    </row>
    <row r="81" spans="2:5" x14ac:dyDescent="0.2">
      <c r="B81" s="804"/>
      <c r="C81" s="793"/>
      <c r="D81" s="794"/>
      <c r="E81" s="804"/>
    </row>
    <row r="82" spans="2:5" ht="45" x14ac:dyDescent="0.2">
      <c r="B82" s="804"/>
      <c r="C82" s="793"/>
      <c r="D82" s="795" t="s">
        <v>708</v>
      </c>
      <c r="E82" s="804"/>
    </row>
    <row r="83" spans="2:5" ht="67.5" x14ac:dyDescent="0.2">
      <c r="B83" s="804"/>
      <c r="C83" s="793"/>
      <c r="D83" s="795" t="s">
        <v>709</v>
      </c>
      <c r="E83" s="804"/>
    </row>
    <row r="84" spans="2:5" x14ac:dyDescent="0.2">
      <c r="B84" s="804"/>
      <c r="C84" s="793"/>
      <c r="D84" s="794" t="s">
        <v>710</v>
      </c>
      <c r="E84" s="804"/>
    </row>
    <row r="85" spans="2:5" x14ac:dyDescent="0.2">
      <c r="B85" s="804"/>
      <c r="C85" s="793"/>
      <c r="D85" s="794"/>
      <c r="E85" s="804"/>
    </row>
    <row r="86" spans="2:5" x14ac:dyDescent="0.2">
      <c r="B86" s="804"/>
      <c r="C86" s="793" t="s">
        <v>711</v>
      </c>
      <c r="D86" s="794"/>
      <c r="E86" s="804"/>
    </row>
    <row r="87" spans="2:5" ht="22.5" x14ac:dyDescent="0.2">
      <c r="B87" s="804"/>
      <c r="C87" s="793"/>
      <c r="D87" s="795" t="s">
        <v>712</v>
      </c>
      <c r="E87" s="804"/>
    </row>
    <row r="88" spans="2:5" ht="45" x14ac:dyDescent="0.2">
      <c r="B88" s="804"/>
      <c r="C88" s="793"/>
      <c r="D88" s="795" t="s">
        <v>0</v>
      </c>
      <c r="E88" s="804"/>
    </row>
    <row r="89" spans="2:5" ht="33.75" x14ac:dyDescent="0.2">
      <c r="B89" s="804"/>
      <c r="C89" s="793"/>
      <c r="D89" s="795" t="s">
        <v>1</v>
      </c>
      <c r="E89" s="804"/>
    </row>
    <row r="90" spans="2:5" x14ac:dyDescent="0.2">
      <c r="B90" s="804"/>
      <c r="C90" s="793"/>
      <c r="D90" s="794" t="s">
        <v>2</v>
      </c>
      <c r="E90" s="804"/>
    </row>
    <row r="91" spans="2:5" x14ac:dyDescent="0.2">
      <c r="B91" s="804"/>
      <c r="C91" s="793"/>
      <c r="D91" s="794"/>
      <c r="E91" s="804"/>
    </row>
    <row r="92" spans="2:5" x14ac:dyDescent="0.2">
      <c r="B92" s="804"/>
      <c r="C92" s="793" t="s">
        <v>3</v>
      </c>
      <c r="D92" s="794"/>
      <c r="E92" s="804"/>
    </row>
    <row r="93" spans="2:5" ht="22.5" x14ac:dyDescent="0.2">
      <c r="B93" s="804"/>
      <c r="C93" s="793"/>
      <c r="D93" s="794" t="s">
        <v>4</v>
      </c>
      <c r="E93" s="804"/>
    </row>
    <row r="94" spans="2:5" x14ac:dyDescent="0.2">
      <c r="B94" s="804"/>
      <c r="C94" s="793"/>
      <c r="D94" s="794"/>
      <c r="E94" s="804"/>
    </row>
    <row r="95" spans="2:5" x14ac:dyDescent="0.2">
      <c r="B95" s="804"/>
      <c r="C95" s="793" t="s">
        <v>5</v>
      </c>
      <c r="D95" s="794"/>
      <c r="E95" s="804"/>
    </row>
    <row r="96" spans="2:5" ht="22.5" x14ac:dyDescent="0.2">
      <c r="B96" s="804"/>
      <c r="C96" s="793"/>
      <c r="D96" s="795" t="s">
        <v>6</v>
      </c>
      <c r="E96" s="804"/>
    </row>
    <row r="97" spans="2:5" x14ac:dyDescent="0.2">
      <c r="B97" s="804"/>
      <c r="C97" s="793"/>
      <c r="D97" s="794"/>
      <c r="E97" s="804"/>
    </row>
    <row r="98" spans="2:5" x14ac:dyDescent="0.2">
      <c r="B98" s="804"/>
      <c r="C98" s="793" t="s">
        <v>7</v>
      </c>
      <c r="D98" s="794"/>
      <c r="E98" s="804"/>
    </row>
    <row r="99" spans="2:5" ht="56.25" x14ac:dyDescent="0.2">
      <c r="B99" s="804"/>
      <c r="C99" s="793"/>
      <c r="D99" s="795" t="s">
        <v>8</v>
      </c>
      <c r="E99" s="804"/>
    </row>
    <row r="100" spans="2:5" x14ac:dyDescent="0.2">
      <c r="B100" s="804"/>
      <c r="C100" s="793"/>
      <c r="D100" s="794" t="s">
        <v>9</v>
      </c>
      <c r="E100" s="804"/>
    </row>
    <row r="101" spans="2:5" x14ac:dyDescent="0.2">
      <c r="B101" s="804"/>
      <c r="C101" s="793"/>
      <c r="D101" s="794" t="s">
        <v>10</v>
      </c>
      <c r="E101" s="804"/>
    </row>
    <row r="102" spans="2:5" ht="22.5" x14ac:dyDescent="0.2">
      <c r="B102" s="804"/>
      <c r="C102" s="793"/>
      <c r="D102" s="795" t="s">
        <v>11</v>
      </c>
      <c r="E102" s="804"/>
    </row>
    <row r="103" spans="2:5" ht="45" x14ac:dyDescent="0.2">
      <c r="B103" s="804"/>
      <c r="C103" s="793"/>
      <c r="D103" s="795" t="s">
        <v>12</v>
      </c>
      <c r="E103" s="804"/>
    </row>
    <row r="104" spans="2:5" ht="22.5" x14ac:dyDescent="0.2">
      <c r="B104" s="804"/>
      <c r="C104" s="793"/>
      <c r="D104" s="795" t="s">
        <v>13</v>
      </c>
      <c r="E104" s="804"/>
    </row>
    <row r="105" spans="2:5" x14ac:dyDescent="0.2">
      <c r="B105" s="804"/>
      <c r="C105" s="793"/>
      <c r="D105" s="794"/>
      <c r="E105" s="804"/>
    </row>
    <row r="106" spans="2:5" x14ac:dyDescent="0.2">
      <c r="B106" s="804"/>
      <c r="C106" s="793" t="s">
        <v>14</v>
      </c>
      <c r="D106" s="794"/>
      <c r="E106" s="804"/>
    </row>
    <row r="107" spans="2:5" x14ac:dyDescent="0.2">
      <c r="B107" s="804"/>
      <c r="C107" s="793"/>
      <c r="D107" s="794" t="s">
        <v>15</v>
      </c>
      <c r="E107" s="804"/>
    </row>
    <row r="108" spans="2:5" x14ac:dyDescent="0.2">
      <c r="B108" s="804"/>
      <c r="C108" s="793"/>
      <c r="D108" s="794" t="s">
        <v>16</v>
      </c>
      <c r="E108" s="804"/>
    </row>
    <row r="109" spans="2:5" x14ac:dyDescent="0.2">
      <c r="B109" s="804"/>
      <c r="C109" s="793"/>
      <c r="D109" s="794" t="s">
        <v>17</v>
      </c>
      <c r="E109" s="804"/>
    </row>
    <row r="110" spans="2:5" x14ac:dyDescent="0.2">
      <c r="B110" s="804"/>
      <c r="C110" s="793"/>
      <c r="D110" s="794"/>
      <c r="E110" s="804"/>
    </row>
    <row r="111" spans="2:5" x14ac:dyDescent="0.2">
      <c r="B111" s="804"/>
      <c r="C111" s="793" t="s">
        <v>18</v>
      </c>
      <c r="D111" s="794"/>
      <c r="E111" s="804"/>
    </row>
    <row r="112" spans="2:5" ht="90" x14ac:dyDescent="0.2">
      <c r="B112" s="804"/>
      <c r="C112" s="791"/>
      <c r="D112" s="795" t="s">
        <v>31</v>
      </c>
      <c r="E112" s="804"/>
    </row>
    <row r="113" spans="2:5" x14ac:dyDescent="0.2">
      <c r="B113" s="804"/>
      <c r="C113" s="791"/>
      <c r="D113" s="794" t="s">
        <v>32</v>
      </c>
      <c r="E113" s="804"/>
    </row>
    <row r="114" spans="2:5" ht="22.5" x14ac:dyDescent="0.2">
      <c r="B114" s="804"/>
      <c r="C114" s="791"/>
      <c r="D114" s="794" t="s">
        <v>33</v>
      </c>
      <c r="E114" s="804"/>
    </row>
    <row r="115" spans="2:5" x14ac:dyDescent="0.2">
      <c r="B115" s="804"/>
      <c r="C115" s="791"/>
      <c r="D115" s="794" t="s">
        <v>34</v>
      </c>
      <c r="E115" s="804"/>
    </row>
    <row r="116" spans="2:5" x14ac:dyDescent="0.2">
      <c r="B116" s="804"/>
      <c r="C116" s="791"/>
      <c r="D116" s="794"/>
      <c r="E116" s="804"/>
    </row>
    <row r="117" spans="2:5" x14ac:dyDescent="0.2">
      <c r="B117" s="804"/>
      <c r="C117" s="791" t="s">
        <v>35</v>
      </c>
      <c r="D117" s="794"/>
      <c r="E117" s="804"/>
    </row>
    <row r="118" spans="2:5" ht="22.5" x14ac:dyDescent="0.2">
      <c r="B118" s="804"/>
      <c r="C118" s="791"/>
      <c r="D118" s="795" t="s">
        <v>36</v>
      </c>
      <c r="E118" s="804"/>
    </row>
    <row r="119" spans="2:5" x14ac:dyDescent="0.2">
      <c r="B119" s="804"/>
      <c r="C119" s="791"/>
      <c r="D119" s="795"/>
      <c r="E119" s="804"/>
    </row>
    <row r="120" spans="2:5" x14ac:dyDescent="0.2">
      <c r="B120" s="804"/>
      <c r="C120" s="791"/>
      <c r="D120" s="796" t="s">
        <v>37</v>
      </c>
      <c r="E120" s="804"/>
    </row>
    <row r="121" spans="2:5" x14ac:dyDescent="0.2">
      <c r="B121" s="804"/>
      <c r="C121" s="791"/>
      <c r="D121" s="794" t="s">
        <v>38</v>
      </c>
      <c r="E121" s="804"/>
    </row>
    <row r="122" spans="2:5" x14ac:dyDescent="0.2">
      <c r="B122" s="804"/>
      <c r="C122" s="791"/>
      <c r="D122" s="794" t="s">
        <v>39</v>
      </c>
      <c r="E122" s="804"/>
    </row>
    <row r="123" spans="2:5" x14ac:dyDescent="0.2">
      <c r="B123" s="804"/>
      <c r="C123" s="791"/>
      <c r="D123" s="794"/>
      <c r="E123" s="804"/>
    </row>
    <row r="124" spans="2:5" x14ac:dyDescent="0.2">
      <c r="B124" s="804"/>
      <c r="C124" s="791"/>
      <c r="D124" s="796" t="s">
        <v>587</v>
      </c>
      <c r="E124" s="804"/>
    </row>
    <row r="125" spans="2:5" x14ac:dyDescent="0.2">
      <c r="B125" s="804"/>
      <c r="C125" s="791"/>
      <c r="D125" s="794" t="s">
        <v>40</v>
      </c>
      <c r="E125" s="804"/>
    </row>
    <row r="126" spans="2:5" x14ac:dyDescent="0.2">
      <c r="B126" s="804"/>
      <c r="C126" s="791"/>
      <c r="D126" s="794" t="s">
        <v>41</v>
      </c>
      <c r="E126" s="804"/>
    </row>
    <row r="127" spans="2:5" x14ac:dyDescent="0.2">
      <c r="B127" s="804"/>
      <c r="C127" s="791"/>
      <c r="D127" s="794"/>
      <c r="E127" s="804"/>
    </row>
    <row r="128" spans="2:5" x14ac:dyDescent="0.2">
      <c r="B128" s="804"/>
      <c r="C128" s="791"/>
      <c r="D128" s="796" t="s">
        <v>42</v>
      </c>
      <c r="E128" s="804"/>
    </row>
    <row r="129" spans="2:5" x14ac:dyDescent="0.2">
      <c r="B129" s="804"/>
      <c r="C129" s="791"/>
      <c r="D129" s="794" t="s">
        <v>43</v>
      </c>
      <c r="E129" s="804"/>
    </row>
    <row r="130" spans="2:5" x14ac:dyDescent="0.2">
      <c r="B130" s="804"/>
      <c r="C130" s="791"/>
      <c r="D130" s="794" t="s">
        <v>44</v>
      </c>
      <c r="E130" s="804"/>
    </row>
    <row r="131" spans="2:5" x14ac:dyDescent="0.2">
      <c r="B131" s="804"/>
      <c r="C131" s="791"/>
      <c r="D131" s="794"/>
      <c r="E131" s="804"/>
    </row>
    <row r="132" spans="2:5" x14ac:dyDescent="0.2">
      <c r="B132" s="804"/>
      <c r="C132" s="791"/>
      <c r="D132" s="794" t="s">
        <v>45</v>
      </c>
      <c r="E132" s="804"/>
    </row>
    <row r="133" spans="2:5" x14ac:dyDescent="0.2">
      <c r="B133" s="804"/>
      <c r="C133" s="791"/>
      <c r="D133" s="794" t="s">
        <v>46</v>
      </c>
      <c r="E133" s="804"/>
    </row>
    <row r="134" spans="2:5" x14ac:dyDescent="0.2">
      <c r="B134" s="804"/>
      <c r="C134" s="791"/>
      <c r="D134" s="794" t="s">
        <v>47</v>
      </c>
      <c r="E134" s="804"/>
    </row>
    <row r="135" spans="2:5" x14ac:dyDescent="0.2">
      <c r="B135" s="804"/>
      <c r="C135" s="791"/>
      <c r="D135" s="794"/>
      <c r="E135" s="804"/>
    </row>
    <row r="136" spans="2:5" x14ac:dyDescent="0.2">
      <c r="B136" s="804"/>
      <c r="C136" s="791"/>
      <c r="D136" s="794" t="s">
        <v>48</v>
      </c>
      <c r="E136" s="804"/>
    </row>
    <row r="137" spans="2:5" x14ac:dyDescent="0.2">
      <c r="B137" s="804"/>
      <c r="C137" s="791"/>
      <c r="D137" s="794"/>
      <c r="E137" s="804"/>
    </row>
    <row r="138" spans="2:5" x14ac:dyDescent="0.2">
      <c r="B138" s="804"/>
      <c r="C138" s="791"/>
      <c r="D138" s="794" t="s">
        <v>49</v>
      </c>
      <c r="E138" s="804"/>
    </row>
    <row r="139" spans="2:5" x14ac:dyDescent="0.2">
      <c r="B139" s="804"/>
      <c r="C139" s="791"/>
      <c r="D139" s="796" t="s">
        <v>50</v>
      </c>
      <c r="E139" s="804"/>
    </row>
    <row r="140" spans="2:5" x14ac:dyDescent="0.2">
      <c r="B140" s="804"/>
      <c r="C140" s="791"/>
      <c r="D140" s="794" t="s">
        <v>51</v>
      </c>
      <c r="E140" s="804"/>
    </row>
    <row r="141" spans="2:5" x14ac:dyDescent="0.2">
      <c r="B141" s="804"/>
      <c r="C141" s="791"/>
      <c r="D141" s="794"/>
      <c r="E141" s="804"/>
    </row>
    <row r="142" spans="2:5" x14ac:dyDescent="0.2">
      <c r="B142" s="804"/>
      <c r="C142" s="791"/>
      <c r="D142" s="794"/>
      <c r="E142" s="804"/>
    </row>
    <row r="143" spans="2:5" x14ac:dyDescent="0.2">
      <c r="B143" s="804"/>
      <c r="C143" s="791"/>
      <c r="D143" s="794"/>
      <c r="E143" s="804"/>
    </row>
    <row r="144" spans="2:5" x14ac:dyDescent="0.2">
      <c r="B144" s="804"/>
      <c r="C144" s="791"/>
      <c r="D144" s="794"/>
      <c r="E144" s="804"/>
    </row>
    <row r="145" spans="2:5" x14ac:dyDescent="0.2">
      <c r="B145" s="804"/>
      <c r="C145" s="791"/>
      <c r="D145" s="794"/>
      <c r="E145" s="804"/>
    </row>
    <row r="146" spans="2:5" x14ac:dyDescent="0.2">
      <c r="B146" s="804"/>
      <c r="C146" s="791"/>
      <c r="D146" s="794"/>
      <c r="E146" s="804"/>
    </row>
    <row r="147" spans="2:5" x14ac:dyDescent="0.2">
      <c r="B147" s="804"/>
      <c r="C147" s="791"/>
      <c r="D147" s="794"/>
      <c r="E147" s="804"/>
    </row>
    <row r="148" spans="2:5" x14ac:dyDescent="0.2">
      <c r="B148" s="804"/>
      <c r="C148" s="791"/>
      <c r="D148" s="794"/>
      <c r="E148" s="804"/>
    </row>
    <row r="149" spans="2:5" x14ac:dyDescent="0.2">
      <c r="B149" s="804"/>
      <c r="C149" s="791"/>
      <c r="D149" s="794"/>
      <c r="E149" s="804"/>
    </row>
    <row r="150" spans="2:5" x14ac:dyDescent="0.2">
      <c r="B150" s="804"/>
      <c r="C150" s="791"/>
      <c r="D150" s="794"/>
      <c r="E150" s="804"/>
    </row>
    <row r="151" spans="2:5" x14ac:dyDescent="0.2">
      <c r="B151" s="804"/>
      <c r="C151" s="791"/>
      <c r="D151" s="794"/>
      <c r="E151" s="804"/>
    </row>
    <row r="152" spans="2:5" x14ac:dyDescent="0.2">
      <c r="B152" s="804"/>
      <c r="C152" s="791"/>
      <c r="D152" s="794"/>
      <c r="E152" s="804"/>
    </row>
    <row r="153" spans="2:5" x14ac:dyDescent="0.2">
      <c r="B153" s="804"/>
      <c r="C153" s="791"/>
      <c r="D153" s="794"/>
      <c r="E153" s="804"/>
    </row>
    <row r="154" spans="2:5" x14ac:dyDescent="0.2">
      <c r="B154" s="804"/>
      <c r="C154" s="791"/>
      <c r="D154" s="794"/>
      <c r="E154" s="804"/>
    </row>
    <row r="155" spans="2:5" x14ac:dyDescent="0.2">
      <c r="B155" s="804"/>
      <c r="C155" s="791"/>
      <c r="D155" s="794"/>
      <c r="E155" s="804"/>
    </row>
    <row r="156" spans="2:5" x14ac:dyDescent="0.2">
      <c r="B156" s="804"/>
      <c r="C156" s="791"/>
      <c r="D156" s="794"/>
      <c r="E156" s="804"/>
    </row>
    <row r="157" spans="2:5" x14ac:dyDescent="0.2">
      <c r="B157" s="804"/>
      <c r="C157" s="791"/>
      <c r="D157" s="794"/>
      <c r="E157" s="804"/>
    </row>
    <row r="158" spans="2:5" x14ac:dyDescent="0.2">
      <c r="B158" s="804"/>
      <c r="C158" s="791"/>
      <c r="D158" s="794"/>
      <c r="E158" s="804"/>
    </row>
  </sheetData>
  <sheetProtection password="CE76" sheet="1" objects="1" scenarios="1" formatCells="0" formatColumns="0" formatRows="0" insertColumns="0" insertRows="0" deleteColumns="0" deleteRows="0" sort="0" autoFilter="0"/>
  <phoneticPr fontId="3" type="noConversion"/>
  <pageMargins left="0.31496062992125984" right="0.31496062992125984" top="0.51181102362204722" bottom="0.51181102362204722" header="0.51181102362204722" footer="0.51181102362204722"/>
  <pageSetup paperSize="9" orientation="landscape" horizontalDpi="300" verticalDpi="300" r:id="rId1"/>
  <headerFooter alignWithMargins="0"/>
  <rowBreaks count="3" manualBreakCount="3">
    <brk id="71" max="4" man="1"/>
    <brk id="91" max="4" man="1"/>
    <brk id="110" max="4" man="1"/>
  </rowBreaks>
  <drawing r:id="rId2"/>
  <picture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6">
    <pageSetUpPr autoPageBreaks="0"/>
  </sheetPr>
  <dimension ref="A1:I69"/>
  <sheetViews>
    <sheetView showGridLines="0" showRowColHeaders="0" zoomScaleNormal="100" workbookViewId="0">
      <pane ySplit="39" topLeftCell="A40" activePane="bottomLeft" state="frozen"/>
      <selection pane="bottomLeft" activeCell="G58" sqref="G58"/>
    </sheetView>
  </sheetViews>
  <sheetFormatPr defaultColWidth="9.140625" defaultRowHeight="12" x14ac:dyDescent="0.2"/>
  <cols>
    <col min="1" max="1" width="1.7109375" style="635" customWidth="1"/>
    <col min="2" max="2" width="3.7109375" style="291" customWidth="1"/>
    <col min="3" max="3" width="18.7109375" style="784" customWidth="1"/>
    <col min="4" max="4" width="22.28515625" style="636" bestFit="1" customWidth="1"/>
    <col min="5" max="5" width="19.85546875" style="291" bestFit="1" customWidth="1"/>
    <col min="6" max="6" width="32.7109375" style="799" bestFit="1" customWidth="1"/>
    <col min="7" max="7" width="40.7109375" style="291" customWidth="1"/>
    <col min="8" max="8" width="4.28515625" style="291" customWidth="1"/>
    <col min="9" max="16384" width="9.140625" style="291"/>
  </cols>
  <sheetData>
    <row r="1" spans="3:6" s="257" customFormat="1" ht="1.5" customHeight="1" x14ac:dyDescent="0.2">
      <c r="C1" s="797"/>
      <c r="D1" s="258"/>
      <c r="E1" s="258"/>
      <c r="F1" s="800"/>
    </row>
    <row r="2" spans="3:6" s="257" customFormat="1" ht="0.75" customHeight="1" x14ac:dyDescent="0.2">
      <c r="C2" s="797"/>
      <c r="D2" s="259"/>
      <c r="E2" s="260"/>
      <c r="F2" s="801"/>
    </row>
    <row r="3" spans="3:6" s="257" customFormat="1" ht="1.5" hidden="1" customHeight="1" x14ac:dyDescent="0.2">
      <c r="C3" s="797"/>
      <c r="D3" s="261"/>
      <c r="E3" s="262"/>
      <c r="F3" s="802"/>
    </row>
    <row r="4" spans="3:6" s="257" customFormat="1" ht="0.75" hidden="1" customHeight="1" x14ac:dyDescent="0.2">
      <c r="C4" s="797"/>
      <c r="D4" s="261"/>
      <c r="E4" s="262"/>
      <c r="F4" s="802"/>
    </row>
    <row r="5" spans="3:6" s="257" customFormat="1" ht="1.5" hidden="1" customHeight="1" x14ac:dyDescent="0.2">
      <c r="C5" s="797"/>
      <c r="D5" s="261"/>
      <c r="E5" s="262"/>
      <c r="F5" s="802"/>
    </row>
    <row r="6" spans="3:6" s="257" customFormat="1" ht="0.75" hidden="1" customHeight="1" x14ac:dyDescent="0.2">
      <c r="C6" s="797"/>
      <c r="D6" s="261"/>
      <c r="E6" s="262"/>
      <c r="F6" s="802"/>
    </row>
    <row r="7" spans="3:6" s="257" customFormat="1" ht="1.5" customHeight="1" x14ac:dyDescent="0.2">
      <c r="C7" s="797"/>
      <c r="D7" s="261"/>
      <c r="E7" s="262"/>
      <c r="F7" s="802"/>
    </row>
    <row r="8" spans="3:6" s="257" customFormat="1" ht="0.75" customHeight="1" x14ac:dyDescent="0.2">
      <c r="C8" s="797"/>
      <c r="D8" s="261"/>
      <c r="E8" s="262"/>
      <c r="F8" s="802"/>
    </row>
    <row r="9" spans="3:6" s="257" customFormat="1" ht="1.5" customHeight="1" x14ac:dyDescent="0.2">
      <c r="C9" s="797"/>
      <c r="D9" s="261"/>
      <c r="E9" s="262"/>
      <c r="F9" s="802"/>
    </row>
    <row r="10" spans="3:6" s="257" customFormat="1" ht="0.75" customHeight="1" x14ac:dyDescent="0.2">
      <c r="C10" s="797"/>
      <c r="D10" s="261"/>
      <c r="E10" s="262"/>
      <c r="F10" s="802"/>
    </row>
    <row r="11" spans="3:6" s="257" customFormat="1" ht="1.5" customHeight="1" x14ac:dyDescent="0.2">
      <c r="C11" s="797"/>
      <c r="D11" s="261"/>
      <c r="E11" s="262"/>
      <c r="F11" s="802"/>
    </row>
    <row r="12" spans="3:6" s="257" customFormat="1" ht="0.75" customHeight="1" x14ac:dyDescent="0.2">
      <c r="C12" s="797"/>
      <c r="D12" s="261"/>
      <c r="E12" s="262"/>
      <c r="F12" s="802"/>
    </row>
    <row r="13" spans="3:6" s="257" customFormat="1" ht="1.5" customHeight="1" x14ac:dyDescent="0.2">
      <c r="C13" s="797"/>
      <c r="D13" s="261"/>
      <c r="E13" s="262"/>
      <c r="F13" s="802"/>
    </row>
    <row r="14" spans="3:6" s="257" customFormat="1" ht="0.75" customHeight="1" x14ac:dyDescent="0.2">
      <c r="C14" s="797"/>
      <c r="D14" s="261"/>
      <c r="E14" s="262"/>
      <c r="F14" s="802"/>
    </row>
    <row r="15" spans="3:6" s="257" customFormat="1" ht="1.5" customHeight="1" x14ac:dyDescent="0.2">
      <c r="C15" s="797"/>
      <c r="D15" s="261"/>
      <c r="E15" s="262"/>
      <c r="F15" s="802"/>
    </row>
    <row r="16" spans="3:6" s="257" customFormat="1" ht="0.75" customHeight="1" x14ac:dyDescent="0.2">
      <c r="C16" s="797"/>
      <c r="D16" s="261"/>
      <c r="E16" s="262"/>
      <c r="F16" s="802"/>
    </row>
    <row r="17" spans="3:6" s="257" customFormat="1" ht="1.5" customHeight="1" x14ac:dyDescent="0.2">
      <c r="C17" s="797"/>
      <c r="D17" s="261"/>
      <c r="E17" s="262"/>
      <c r="F17" s="802"/>
    </row>
    <row r="18" spans="3:6" s="257" customFormat="1" ht="0.75" customHeight="1" x14ac:dyDescent="0.2">
      <c r="C18" s="797"/>
      <c r="D18" s="261"/>
      <c r="E18" s="262"/>
      <c r="F18" s="802"/>
    </row>
    <row r="19" spans="3:6" s="257" customFormat="1" ht="1.5" customHeight="1" x14ac:dyDescent="0.2">
      <c r="C19" s="797"/>
      <c r="D19" s="261"/>
      <c r="E19" s="262"/>
      <c r="F19" s="802"/>
    </row>
    <row r="20" spans="3:6" s="257" customFormat="1" ht="0.75" customHeight="1" x14ac:dyDescent="0.2">
      <c r="C20" s="797"/>
      <c r="D20" s="261"/>
      <c r="E20" s="262"/>
      <c r="F20" s="802"/>
    </row>
    <row r="21" spans="3:6" s="257" customFormat="1" ht="1.5" customHeight="1" x14ac:dyDescent="0.2">
      <c r="C21" s="797"/>
      <c r="D21" s="261"/>
      <c r="E21" s="262"/>
      <c r="F21" s="802"/>
    </row>
    <row r="22" spans="3:6" s="257" customFormat="1" ht="0.75" customHeight="1" x14ac:dyDescent="0.2">
      <c r="C22" s="797"/>
      <c r="D22" s="261"/>
      <c r="E22" s="262"/>
      <c r="F22" s="802"/>
    </row>
    <row r="23" spans="3:6" s="257" customFormat="1" ht="1.5" customHeight="1" x14ac:dyDescent="0.2">
      <c r="C23" s="797"/>
      <c r="D23" s="261"/>
      <c r="E23" s="262"/>
      <c r="F23" s="802"/>
    </row>
    <row r="24" spans="3:6" s="257" customFormat="1" ht="0.75" customHeight="1" x14ac:dyDescent="0.2">
      <c r="C24" s="797"/>
      <c r="D24" s="261"/>
      <c r="E24" s="262"/>
      <c r="F24" s="802"/>
    </row>
    <row r="25" spans="3:6" s="257" customFormat="1" ht="1.5" customHeight="1" x14ac:dyDescent="0.2">
      <c r="C25" s="797"/>
      <c r="D25" s="261"/>
      <c r="E25" s="262"/>
      <c r="F25" s="802"/>
    </row>
    <row r="26" spans="3:6" s="257" customFormat="1" ht="0.75" customHeight="1" x14ac:dyDescent="0.2">
      <c r="C26" s="797"/>
      <c r="D26" s="261"/>
      <c r="E26" s="262"/>
      <c r="F26" s="802"/>
    </row>
    <row r="27" spans="3:6" s="257" customFormat="1" ht="1.5" customHeight="1" x14ac:dyDescent="0.2">
      <c r="C27" s="797"/>
      <c r="D27" s="261"/>
      <c r="E27" s="262"/>
      <c r="F27" s="802"/>
    </row>
    <row r="28" spans="3:6" s="257" customFormat="1" ht="0.75" customHeight="1" x14ac:dyDescent="0.2">
      <c r="C28" s="797"/>
      <c r="D28" s="261"/>
      <c r="E28" s="262"/>
      <c r="F28" s="802"/>
    </row>
    <row r="29" spans="3:6" s="257" customFormat="1" ht="1.5" customHeight="1" x14ac:dyDescent="0.2">
      <c r="C29" s="797"/>
      <c r="D29" s="261"/>
      <c r="E29" s="262"/>
      <c r="F29" s="802"/>
    </row>
    <row r="30" spans="3:6" s="257" customFormat="1" ht="0.75" customHeight="1" x14ac:dyDescent="0.2">
      <c r="C30" s="797"/>
      <c r="D30" s="261"/>
      <c r="E30" s="262"/>
      <c r="F30" s="802"/>
    </row>
    <row r="31" spans="3:6" s="257" customFormat="1" ht="1.5" customHeight="1" x14ac:dyDescent="0.2">
      <c r="C31" s="797"/>
      <c r="D31" s="261"/>
      <c r="E31" s="262"/>
      <c r="F31" s="802"/>
    </row>
    <row r="32" spans="3:6" s="257" customFormat="1" ht="0.75" customHeight="1" x14ac:dyDescent="0.2">
      <c r="C32" s="797"/>
      <c r="D32" s="261"/>
      <c r="E32" s="262"/>
      <c r="F32" s="802"/>
    </row>
    <row r="33" spans="2:9" s="257" customFormat="1" ht="1.5" customHeight="1" x14ac:dyDescent="0.2">
      <c r="C33" s="797"/>
      <c r="D33" s="261"/>
      <c r="E33" s="262"/>
      <c r="F33" s="802"/>
    </row>
    <row r="34" spans="2:9" s="257" customFormat="1" ht="0.75" customHeight="1" x14ac:dyDescent="0.2">
      <c r="C34" s="797"/>
      <c r="D34" s="261"/>
      <c r="E34" s="262"/>
      <c r="F34" s="802"/>
    </row>
    <row r="35" spans="2:9" s="257" customFormat="1" ht="1.5" customHeight="1" x14ac:dyDescent="0.2">
      <c r="C35" s="797"/>
      <c r="D35" s="261"/>
      <c r="E35" s="262"/>
      <c r="F35" s="802"/>
    </row>
    <row r="36" spans="2:9" s="257" customFormat="1" ht="0.75" customHeight="1" x14ac:dyDescent="0.2">
      <c r="C36" s="797"/>
      <c r="D36" s="261"/>
      <c r="E36" s="262"/>
      <c r="F36" s="802"/>
    </row>
    <row r="37" spans="2:9" s="257" customFormat="1" ht="1.5" customHeight="1" x14ac:dyDescent="0.2">
      <c r="C37" s="797"/>
      <c r="D37" s="261"/>
      <c r="E37" s="262"/>
      <c r="F37" s="802"/>
    </row>
    <row r="38" spans="2:9" s="257" customFormat="1" ht="0.75" customHeight="1" x14ac:dyDescent="0.2">
      <c r="C38" s="797"/>
      <c r="D38" s="261"/>
      <c r="E38" s="262"/>
      <c r="F38" s="802"/>
    </row>
    <row r="39" spans="2:9" s="164" customFormat="1" ht="12" customHeight="1" x14ac:dyDescent="0.2">
      <c r="B39" s="256" t="s">
        <v>96</v>
      </c>
      <c r="C39" s="798"/>
      <c r="D39" s="166"/>
      <c r="E39" s="167"/>
      <c r="F39" s="803"/>
    </row>
    <row r="40" spans="2:9" x14ac:dyDescent="0.2">
      <c r="B40" s="804"/>
      <c r="C40" s="805"/>
      <c r="D40" s="806"/>
      <c r="E40" s="806"/>
      <c r="F40" s="805"/>
      <c r="G40" s="806"/>
      <c r="H40" s="804"/>
      <c r="I40" s="804"/>
    </row>
    <row r="41" spans="2:9" x14ac:dyDescent="0.2">
      <c r="B41" s="804"/>
      <c r="C41" s="805"/>
      <c r="D41" s="806"/>
      <c r="E41" s="806"/>
      <c r="F41" s="805"/>
      <c r="G41" s="806"/>
      <c r="H41" s="804"/>
      <c r="I41" s="804"/>
    </row>
    <row r="42" spans="2:9" ht="15.75" x14ac:dyDescent="0.2">
      <c r="B42" s="804"/>
      <c r="C42" s="807" t="s">
        <v>97</v>
      </c>
      <c r="D42" s="808" t="s">
        <v>100</v>
      </c>
      <c r="E42" s="809" t="s">
        <v>101</v>
      </c>
      <c r="F42" s="810" t="s">
        <v>102</v>
      </c>
      <c r="G42" s="809" t="s">
        <v>98</v>
      </c>
      <c r="H42" s="804"/>
      <c r="I42" s="804"/>
    </row>
    <row r="43" spans="2:9" ht="24" x14ac:dyDescent="0.2">
      <c r="B43" s="804"/>
      <c r="C43" s="811" t="s">
        <v>99</v>
      </c>
      <c r="D43" s="839" t="s">
        <v>650</v>
      </c>
      <c r="E43" s="840" t="s">
        <v>60</v>
      </c>
      <c r="F43" s="841" t="s">
        <v>61</v>
      </c>
      <c r="G43" s="812"/>
      <c r="H43" s="804"/>
      <c r="I43" s="804"/>
    </row>
    <row r="44" spans="2:9" ht="15" customHeight="1" x14ac:dyDescent="0.2">
      <c r="B44" s="804"/>
      <c r="C44" s="811" t="s">
        <v>485</v>
      </c>
      <c r="D44" s="813" t="s">
        <v>562</v>
      </c>
      <c r="E44" s="814" t="s">
        <v>62</v>
      </c>
      <c r="F44" s="815" t="s">
        <v>63</v>
      </c>
      <c r="G44" s="816"/>
      <c r="H44" s="804"/>
      <c r="I44" s="804"/>
    </row>
    <row r="45" spans="2:9" ht="15" customHeight="1" x14ac:dyDescent="0.2">
      <c r="B45" s="804"/>
      <c r="C45" s="811" t="s">
        <v>487</v>
      </c>
      <c r="D45" s="813" t="s">
        <v>525</v>
      </c>
      <c r="E45" s="814" t="s">
        <v>64</v>
      </c>
      <c r="F45" s="815" t="s">
        <v>65</v>
      </c>
      <c r="G45" s="816" t="s">
        <v>66</v>
      </c>
      <c r="H45" s="804"/>
      <c r="I45" s="804"/>
    </row>
    <row r="46" spans="2:9" ht="15" customHeight="1" x14ac:dyDescent="0.2">
      <c r="B46" s="804"/>
      <c r="C46" s="811" t="s">
        <v>67</v>
      </c>
      <c r="D46" s="813" t="s">
        <v>587</v>
      </c>
      <c r="E46" s="814" t="s">
        <v>68</v>
      </c>
      <c r="F46" s="815" t="s">
        <v>69</v>
      </c>
      <c r="G46" s="816"/>
      <c r="H46" s="804"/>
      <c r="I46" s="804"/>
    </row>
    <row r="47" spans="2:9" ht="15" customHeight="1" x14ac:dyDescent="0.2">
      <c r="B47" s="804"/>
      <c r="C47" s="811" t="s">
        <v>20</v>
      </c>
      <c r="D47" s="813" t="s">
        <v>668</v>
      </c>
      <c r="E47" s="836" t="s">
        <v>22</v>
      </c>
      <c r="F47" s="815" t="s">
        <v>23</v>
      </c>
      <c r="G47" s="816" t="s">
        <v>21</v>
      </c>
      <c r="H47" s="804"/>
      <c r="I47" s="804"/>
    </row>
    <row r="48" spans="2:9" ht="15" customHeight="1" x14ac:dyDescent="0.2">
      <c r="B48" s="804"/>
      <c r="C48" s="811" t="s">
        <v>490</v>
      </c>
      <c r="D48" s="813" t="s">
        <v>70</v>
      </c>
      <c r="E48" s="814" t="s">
        <v>71</v>
      </c>
      <c r="F48" s="815" t="s">
        <v>72</v>
      </c>
      <c r="G48" s="816"/>
      <c r="H48" s="804"/>
      <c r="I48" s="804"/>
    </row>
    <row r="49" spans="2:9" ht="15" customHeight="1" x14ac:dyDescent="0.2">
      <c r="B49" s="804"/>
      <c r="C49" s="811" t="s">
        <v>73</v>
      </c>
      <c r="D49" s="813" t="s">
        <v>657</v>
      </c>
      <c r="E49" s="814" t="s">
        <v>74</v>
      </c>
      <c r="F49" s="815" t="s">
        <v>75</v>
      </c>
      <c r="G49" s="816"/>
      <c r="H49" s="804"/>
      <c r="I49" s="804"/>
    </row>
    <row r="50" spans="2:9" ht="15" customHeight="1" x14ac:dyDescent="0.2">
      <c r="B50" s="804"/>
      <c r="C50" s="811" t="s">
        <v>76</v>
      </c>
      <c r="D50" s="813" t="s">
        <v>536</v>
      </c>
      <c r="E50" s="814" t="s">
        <v>77</v>
      </c>
      <c r="F50" s="815" t="s">
        <v>78</v>
      </c>
      <c r="G50" s="816" t="s">
        <v>79</v>
      </c>
      <c r="H50" s="804"/>
      <c r="I50" s="804"/>
    </row>
    <row r="51" spans="2:9" ht="15" customHeight="1" x14ac:dyDescent="0.2">
      <c r="B51" s="804"/>
      <c r="C51" s="811" t="s">
        <v>493</v>
      </c>
      <c r="D51" s="813" t="s">
        <v>24</v>
      </c>
      <c r="E51" s="837" t="s">
        <v>25</v>
      </c>
      <c r="F51" s="838" t="s">
        <v>26</v>
      </c>
      <c r="G51" s="816"/>
      <c r="H51" s="804"/>
      <c r="I51" s="804"/>
    </row>
    <row r="52" spans="2:9" ht="15" customHeight="1" x14ac:dyDescent="0.2">
      <c r="B52" s="804"/>
      <c r="C52" s="811" t="s">
        <v>494</v>
      </c>
      <c r="D52" s="813" t="s">
        <v>567</v>
      </c>
      <c r="E52" s="836" t="s">
        <v>80</v>
      </c>
      <c r="F52" s="815" t="s">
        <v>81</v>
      </c>
      <c r="G52" s="816"/>
      <c r="H52" s="804"/>
      <c r="I52" s="804"/>
    </row>
    <row r="53" spans="2:9" ht="15" customHeight="1" x14ac:dyDescent="0.2">
      <c r="B53" s="804"/>
      <c r="C53" s="811" t="s">
        <v>82</v>
      </c>
      <c r="D53" s="817" t="s">
        <v>83</v>
      </c>
      <c r="E53" s="818" t="s">
        <v>84</v>
      </c>
      <c r="F53" s="819" t="s">
        <v>85</v>
      </c>
      <c r="G53" s="820" t="s">
        <v>86</v>
      </c>
      <c r="H53" s="804"/>
      <c r="I53" s="804"/>
    </row>
    <row r="54" spans="2:9" x14ac:dyDescent="0.2">
      <c r="B54" s="804"/>
      <c r="C54" s="821"/>
      <c r="D54" s="822"/>
      <c r="E54" s="804"/>
      <c r="F54" s="823"/>
      <c r="G54" s="804"/>
      <c r="H54" s="804"/>
      <c r="I54" s="804"/>
    </row>
    <row r="55" spans="2:9" x14ac:dyDescent="0.2">
      <c r="B55" s="804"/>
      <c r="C55" s="821"/>
      <c r="D55" s="822"/>
      <c r="E55" s="804"/>
      <c r="F55" s="823"/>
      <c r="G55" s="804"/>
      <c r="H55" s="804"/>
      <c r="I55" s="804"/>
    </row>
    <row r="56" spans="2:9" x14ac:dyDescent="0.2">
      <c r="B56" s="804"/>
      <c r="C56" s="824" t="s">
        <v>103</v>
      </c>
      <c r="D56" s="825"/>
      <c r="E56" s="804"/>
      <c r="F56" s="823"/>
      <c r="G56" s="804"/>
      <c r="H56" s="804"/>
      <c r="I56" s="804"/>
    </row>
    <row r="57" spans="2:9" x14ac:dyDescent="0.2">
      <c r="B57" s="804"/>
      <c r="C57" s="825"/>
      <c r="D57" s="826" t="s">
        <v>19</v>
      </c>
      <c r="E57" s="804" t="s">
        <v>87</v>
      </c>
      <c r="F57" s="823"/>
      <c r="G57" s="804"/>
      <c r="H57" s="804"/>
      <c r="I57" s="804"/>
    </row>
    <row r="58" spans="2:9" x14ac:dyDescent="0.2">
      <c r="B58" s="804"/>
      <c r="C58" s="825"/>
      <c r="D58" s="822"/>
      <c r="E58" s="804"/>
      <c r="F58" s="823"/>
      <c r="G58" s="804"/>
      <c r="H58" s="804"/>
      <c r="I58" s="804"/>
    </row>
    <row r="59" spans="2:9" x14ac:dyDescent="0.2">
      <c r="B59" s="804"/>
      <c r="C59" s="825"/>
      <c r="D59" s="822"/>
      <c r="E59" s="804"/>
      <c r="F59" s="823"/>
      <c r="G59" s="804"/>
      <c r="H59" s="804"/>
      <c r="I59" s="804"/>
    </row>
    <row r="60" spans="2:9" x14ac:dyDescent="0.2">
      <c r="B60" s="804"/>
      <c r="C60" s="824" t="s">
        <v>104</v>
      </c>
      <c r="D60" s="822"/>
      <c r="E60" s="804"/>
      <c r="F60" s="823"/>
      <c r="G60" s="804"/>
      <c r="H60" s="804"/>
      <c r="I60" s="804"/>
    </row>
    <row r="61" spans="2:9" x14ac:dyDescent="0.2">
      <c r="B61" s="804"/>
      <c r="C61" s="825"/>
      <c r="D61" s="827" t="s">
        <v>587</v>
      </c>
      <c r="E61" s="828" t="s">
        <v>68</v>
      </c>
      <c r="F61" s="829" t="s">
        <v>69</v>
      </c>
      <c r="G61" s="828" t="s">
        <v>88</v>
      </c>
      <c r="H61" s="804"/>
      <c r="I61" s="804"/>
    </row>
    <row r="62" spans="2:9" x14ac:dyDescent="0.2">
      <c r="B62" s="804"/>
      <c r="C62" s="821"/>
      <c r="D62" s="830" t="s">
        <v>89</v>
      </c>
      <c r="E62" s="831" t="s">
        <v>90</v>
      </c>
      <c r="F62" s="832" t="s">
        <v>91</v>
      </c>
      <c r="G62" s="831" t="s">
        <v>92</v>
      </c>
      <c r="H62" s="804"/>
      <c r="I62" s="804"/>
    </row>
    <row r="63" spans="2:9" x14ac:dyDescent="0.2">
      <c r="B63" s="804"/>
      <c r="C63" s="821"/>
      <c r="D63" s="833" t="s">
        <v>530</v>
      </c>
      <c r="E63" s="834" t="s">
        <v>93</v>
      </c>
      <c r="F63" s="835" t="s">
        <v>94</v>
      </c>
      <c r="G63" s="834"/>
      <c r="H63" s="804"/>
      <c r="I63" s="804"/>
    </row>
    <row r="64" spans="2:9" x14ac:dyDescent="0.2">
      <c r="B64" s="804"/>
      <c r="C64" s="805"/>
      <c r="D64" s="794"/>
      <c r="E64" s="804"/>
      <c r="F64" s="823"/>
      <c r="G64" s="804"/>
      <c r="H64" s="804"/>
      <c r="I64" s="804"/>
    </row>
    <row r="65" spans="2:9" x14ac:dyDescent="0.2">
      <c r="B65" s="804"/>
      <c r="C65" s="805"/>
      <c r="D65" s="794"/>
      <c r="E65" s="804"/>
      <c r="F65" s="823"/>
      <c r="G65" s="804"/>
      <c r="H65" s="804"/>
      <c r="I65" s="804"/>
    </row>
    <row r="66" spans="2:9" x14ac:dyDescent="0.2">
      <c r="B66" s="804"/>
      <c r="C66" s="805"/>
      <c r="D66" s="794"/>
      <c r="E66" s="804"/>
      <c r="F66" s="823"/>
      <c r="G66" s="804"/>
      <c r="H66" s="804"/>
      <c r="I66" s="804"/>
    </row>
    <row r="67" spans="2:9" x14ac:dyDescent="0.2">
      <c r="B67" s="804"/>
      <c r="C67" s="805"/>
      <c r="D67" s="794"/>
      <c r="E67" s="804"/>
      <c r="F67" s="823"/>
      <c r="G67" s="804"/>
      <c r="H67" s="804"/>
      <c r="I67" s="804"/>
    </row>
    <row r="68" spans="2:9" x14ac:dyDescent="0.2">
      <c r="B68" s="804"/>
      <c r="C68" s="805"/>
      <c r="D68" s="794"/>
      <c r="E68" s="804"/>
      <c r="F68" s="823"/>
      <c r="G68" s="804"/>
      <c r="H68" s="804"/>
      <c r="I68" s="804"/>
    </row>
    <row r="69" spans="2:9" x14ac:dyDescent="0.2">
      <c r="B69" s="804"/>
      <c r="C69" s="805"/>
      <c r="D69" s="794"/>
      <c r="E69" s="804"/>
      <c r="F69" s="823"/>
      <c r="G69" s="804"/>
      <c r="H69" s="804"/>
      <c r="I69" s="804"/>
    </row>
  </sheetData>
  <sheetProtection password="CE76" sheet="1" objects="1" scenarios="1" formatCells="0" formatColumns="0" formatRows="0" insertColumns="0" insertRows="0" deleteColumns="0" deleteRows="0" sort="0" autoFilter="0"/>
  <phoneticPr fontId="3" type="noConversion"/>
  <hyperlinks>
    <hyperlink ref="F51" r:id="rId1" display="mailto:81.toth.istvan@gmail.com"/>
  </hyperlinks>
  <pageMargins left="0.31496062992125984" right="0.31496062992125984" top="0.51181102362204722" bottom="0.51181102362204722" header="0.51181102362204722" footer="0.51181102362204722"/>
  <pageSetup paperSize="9" orientation="landscape" horizontalDpi="300" verticalDpi="300" r:id="rId2"/>
  <headerFooter alignWithMargins="0"/>
  <drawing r:id="rId3"/>
  <picture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1">
    <pageSetUpPr autoPageBreaks="0"/>
  </sheetPr>
  <dimension ref="A1:F107"/>
  <sheetViews>
    <sheetView showGridLines="0" showRowColHeaders="0" zoomScaleNormal="100" workbookViewId="0">
      <pane ySplit="39" topLeftCell="A40" activePane="bottomLeft" state="frozen"/>
      <selection pane="bottomLeft"/>
    </sheetView>
  </sheetViews>
  <sheetFormatPr defaultColWidth="9.140625" defaultRowHeight="12" x14ac:dyDescent="0.2"/>
  <cols>
    <col min="1" max="1" width="1.7109375" style="635" customWidth="1"/>
    <col min="2" max="2" width="5.28515625" style="291" customWidth="1"/>
    <col min="3" max="3" width="13.140625" style="784" customWidth="1"/>
    <col min="4" max="4" width="114.28515625" style="636" customWidth="1"/>
    <col min="5" max="5" width="9.5703125" style="291" customWidth="1"/>
    <col min="6" max="6" width="3.28515625" style="291" customWidth="1"/>
    <col min="7" max="16384" width="9.140625" style="291"/>
  </cols>
  <sheetData>
    <row r="1" spans="3:6" s="257" customFormat="1" ht="1.5" customHeight="1" x14ac:dyDescent="0.2">
      <c r="C1" s="782"/>
      <c r="D1" s="258"/>
      <c r="E1" s="258"/>
      <c r="F1" s="258"/>
    </row>
    <row r="2" spans="3:6" s="257" customFormat="1" ht="0.75" customHeight="1" x14ac:dyDescent="0.2">
      <c r="C2" s="782"/>
      <c r="D2" s="259"/>
      <c r="E2" s="260"/>
      <c r="F2" s="260"/>
    </row>
    <row r="3" spans="3:6" s="257" customFormat="1" ht="1.5" hidden="1" customHeight="1" x14ac:dyDescent="0.2">
      <c r="C3" s="782"/>
      <c r="D3" s="261"/>
      <c r="E3" s="262"/>
      <c r="F3" s="263"/>
    </row>
    <row r="4" spans="3:6" s="257" customFormat="1" ht="0.75" hidden="1" customHeight="1" x14ac:dyDescent="0.2">
      <c r="C4" s="782"/>
      <c r="D4" s="261"/>
      <c r="E4" s="262"/>
      <c r="F4" s="263"/>
    </row>
    <row r="5" spans="3:6" s="257" customFormat="1" ht="1.5" hidden="1" customHeight="1" x14ac:dyDescent="0.2">
      <c r="C5" s="782"/>
      <c r="D5" s="261"/>
      <c r="E5" s="262"/>
      <c r="F5" s="263"/>
    </row>
    <row r="6" spans="3:6" s="257" customFormat="1" ht="0.75" hidden="1" customHeight="1" x14ac:dyDescent="0.2">
      <c r="C6" s="782"/>
      <c r="D6" s="261"/>
      <c r="E6" s="262"/>
      <c r="F6" s="263"/>
    </row>
    <row r="7" spans="3:6" s="257" customFormat="1" ht="1.5" customHeight="1" x14ac:dyDescent="0.2">
      <c r="C7" s="782"/>
      <c r="D7" s="261"/>
      <c r="E7" s="262"/>
      <c r="F7" s="263"/>
    </row>
    <row r="8" spans="3:6" s="257" customFormat="1" ht="0.75" customHeight="1" x14ac:dyDescent="0.2">
      <c r="C8" s="782"/>
      <c r="D8" s="261"/>
      <c r="E8" s="262"/>
      <c r="F8" s="263"/>
    </row>
    <row r="9" spans="3:6" s="257" customFormat="1" ht="1.5" customHeight="1" x14ac:dyDescent="0.2">
      <c r="C9" s="782"/>
      <c r="D9" s="261"/>
      <c r="E9" s="262"/>
      <c r="F9" s="263"/>
    </row>
    <row r="10" spans="3:6" s="257" customFormat="1" ht="0.75" customHeight="1" x14ac:dyDescent="0.2">
      <c r="C10" s="782"/>
      <c r="D10" s="261"/>
      <c r="E10" s="262"/>
      <c r="F10" s="263"/>
    </row>
    <row r="11" spans="3:6" s="257" customFormat="1" ht="1.5" customHeight="1" x14ac:dyDescent="0.2">
      <c r="C11" s="782"/>
      <c r="D11" s="261"/>
      <c r="E11" s="262"/>
      <c r="F11" s="263"/>
    </row>
    <row r="12" spans="3:6" s="257" customFormat="1" ht="0.75" customHeight="1" x14ac:dyDescent="0.2">
      <c r="C12" s="782"/>
      <c r="D12" s="261"/>
      <c r="E12" s="262"/>
      <c r="F12" s="263"/>
    </row>
    <row r="13" spans="3:6" s="257" customFormat="1" ht="1.5" customHeight="1" x14ac:dyDescent="0.2">
      <c r="C13" s="782"/>
      <c r="D13" s="261"/>
      <c r="E13" s="262"/>
      <c r="F13" s="263"/>
    </row>
    <row r="14" spans="3:6" s="257" customFormat="1" ht="0.75" customHeight="1" x14ac:dyDescent="0.2">
      <c r="C14" s="782"/>
      <c r="D14" s="261"/>
      <c r="E14" s="262"/>
      <c r="F14" s="263"/>
    </row>
    <row r="15" spans="3:6" s="257" customFormat="1" ht="1.5" customHeight="1" x14ac:dyDescent="0.2">
      <c r="C15" s="782"/>
      <c r="D15" s="261"/>
      <c r="E15" s="262"/>
      <c r="F15" s="263"/>
    </row>
    <row r="16" spans="3:6" s="257" customFormat="1" ht="0.75" customHeight="1" x14ac:dyDescent="0.2">
      <c r="C16" s="782"/>
      <c r="D16" s="261"/>
      <c r="E16" s="262"/>
      <c r="F16" s="263"/>
    </row>
    <row r="17" spans="3:6" s="257" customFormat="1" ht="1.5" customHeight="1" x14ac:dyDescent="0.2">
      <c r="C17" s="782"/>
      <c r="D17" s="261"/>
      <c r="E17" s="262"/>
      <c r="F17" s="263"/>
    </row>
    <row r="18" spans="3:6" s="257" customFormat="1" ht="0.75" customHeight="1" x14ac:dyDescent="0.2">
      <c r="C18" s="782"/>
      <c r="D18" s="261"/>
      <c r="E18" s="262"/>
      <c r="F18" s="263"/>
    </row>
    <row r="19" spans="3:6" s="257" customFormat="1" ht="1.5" customHeight="1" x14ac:dyDescent="0.2">
      <c r="C19" s="782"/>
      <c r="D19" s="261"/>
      <c r="E19" s="262"/>
      <c r="F19" s="263"/>
    </row>
    <row r="20" spans="3:6" s="257" customFormat="1" ht="0.75" customHeight="1" x14ac:dyDescent="0.2">
      <c r="C20" s="782"/>
      <c r="D20" s="261"/>
      <c r="E20" s="262"/>
      <c r="F20" s="263"/>
    </row>
    <row r="21" spans="3:6" s="257" customFormat="1" ht="1.5" customHeight="1" x14ac:dyDescent="0.2">
      <c r="C21" s="782"/>
      <c r="D21" s="261"/>
      <c r="E21" s="262"/>
      <c r="F21" s="263"/>
    </row>
    <row r="22" spans="3:6" s="257" customFormat="1" ht="0.75" customHeight="1" x14ac:dyDescent="0.2">
      <c r="C22" s="782"/>
      <c r="D22" s="261"/>
      <c r="E22" s="262"/>
      <c r="F22" s="263"/>
    </row>
    <row r="23" spans="3:6" s="257" customFormat="1" ht="1.5" customHeight="1" x14ac:dyDescent="0.2">
      <c r="C23" s="782"/>
      <c r="D23" s="261"/>
      <c r="E23" s="262"/>
      <c r="F23" s="263"/>
    </row>
    <row r="24" spans="3:6" s="257" customFormat="1" ht="0.75" customHeight="1" x14ac:dyDescent="0.2">
      <c r="C24" s="782"/>
      <c r="D24" s="261"/>
      <c r="E24" s="262"/>
      <c r="F24" s="263"/>
    </row>
    <row r="25" spans="3:6" s="257" customFormat="1" ht="1.5" customHeight="1" x14ac:dyDescent="0.2">
      <c r="C25" s="782"/>
      <c r="D25" s="261"/>
      <c r="E25" s="262"/>
      <c r="F25" s="263"/>
    </row>
    <row r="26" spans="3:6" s="257" customFormat="1" ht="0.75" customHeight="1" x14ac:dyDescent="0.2">
      <c r="C26" s="782"/>
      <c r="D26" s="261"/>
      <c r="E26" s="262"/>
      <c r="F26" s="263"/>
    </row>
    <row r="27" spans="3:6" s="257" customFormat="1" ht="1.5" customHeight="1" x14ac:dyDescent="0.2">
      <c r="C27" s="782"/>
      <c r="D27" s="261"/>
      <c r="E27" s="262"/>
      <c r="F27" s="263"/>
    </row>
    <row r="28" spans="3:6" s="257" customFormat="1" ht="0.75" customHeight="1" x14ac:dyDescent="0.2">
      <c r="C28" s="782"/>
      <c r="D28" s="261"/>
      <c r="E28" s="262"/>
      <c r="F28" s="263"/>
    </row>
    <row r="29" spans="3:6" s="257" customFormat="1" ht="1.5" customHeight="1" x14ac:dyDescent="0.2">
      <c r="C29" s="782"/>
      <c r="D29" s="261"/>
      <c r="E29" s="262"/>
      <c r="F29" s="263"/>
    </row>
    <row r="30" spans="3:6" s="257" customFormat="1" ht="0.75" customHeight="1" x14ac:dyDescent="0.2">
      <c r="C30" s="782"/>
      <c r="D30" s="261"/>
      <c r="E30" s="262"/>
      <c r="F30" s="263"/>
    </row>
    <row r="31" spans="3:6" s="257" customFormat="1" ht="1.5" customHeight="1" x14ac:dyDescent="0.2">
      <c r="C31" s="782"/>
      <c r="D31" s="261"/>
      <c r="E31" s="262"/>
      <c r="F31" s="263"/>
    </row>
    <row r="32" spans="3:6" s="257" customFormat="1" ht="0.75" customHeight="1" x14ac:dyDescent="0.2">
      <c r="C32" s="782"/>
      <c r="D32" s="261"/>
      <c r="E32" s="262"/>
      <c r="F32" s="263"/>
    </row>
    <row r="33" spans="2:6" s="257" customFormat="1" ht="1.5" customHeight="1" x14ac:dyDescent="0.2">
      <c r="C33" s="782"/>
      <c r="D33" s="261"/>
      <c r="E33" s="262"/>
      <c r="F33" s="263"/>
    </row>
    <row r="34" spans="2:6" s="257" customFormat="1" ht="0.75" customHeight="1" x14ac:dyDescent="0.2">
      <c r="C34" s="782"/>
      <c r="D34" s="261"/>
      <c r="E34" s="262"/>
      <c r="F34" s="263"/>
    </row>
    <row r="35" spans="2:6" s="257" customFormat="1" ht="1.5" customHeight="1" x14ac:dyDescent="0.2">
      <c r="C35" s="782"/>
      <c r="D35" s="261"/>
      <c r="E35" s="262"/>
      <c r="F35" s="263"/>
    </row>
    <row r="36" spans="2:6" s="257" customFormat="1" ht="0.75" customHeight="1" x14ac:dyDescent="0.2">
      <c r="C36" s="782"/>
      <c r="D36" s="261"/>
      <c r="E36" s="262"/>
      <c r="F36" s="263"/>
    </row>
    <row r="37" spans="2:6" s="257" customFormat="1" ht="1.5" customHeight="1" x14ac:dyDescent="0.2">
      <c r="C37" s="782"/>
      <c r="D37" s="261"/>
      <c r="E37" s="262"/>
      <c r="F37" s="263"/>
    </row>
    <row r="38" spans="2:6" s="257" customFormat="1" ht="0.75" customHeight="1" x14ac:dyDescent="0.2">
      <c r="C38" s="782"/>
      <c r="D38" s="261"/>
      <c r="E38" s="262"/>
      <c r="F38" s="263"/>
    </row>
    <row r="39" spans="2:6" s="164" customFormat="1" ht="12" customHeight="1" x14ac:dyDescent="0.2">
      <c r="B39" s="256" t="s">
        <v>452</v>
      </c>
      <c r="C39" s="783"/>
      <c r="D39" s="166"/>
      <c r="E39" s="167"/>
      <c r="F39" s="168"/>
    </row>
    <row r="40" spans="2:6" ht="24" customHeight="1" x14ac:dyDescent="0.2"/>
    <row r="41" spans="2:6" ht="22.5" customHeight="1" x14ac:dyDescent="0.2">
      <c r="D41" s="637" t="s">
        <v>149</v>
      </c>
    </row>
    <row r="43" spans="2:6" ht="22.5" x14ac:dyDescent="0.2">
      <c r="C43" s="785" t="s">
        <v>436</v>
      </c>
      <c r="D43" s="636" t="s">
        <v>619</v>
      </c>
    </row>
    <row r="44" spans="2:6" x14ac:dyDescent="0.2">
      <c r="C44" s="785"/>
    </row>
    <row r="45" spans="2:6" ht="22.5" x14ac:dyDescent="0.2">
      <c r="C45" s="785" t="s">
        <v>467</v>
      </c>
      <c r="D45" s="636" t="s">
        <v>468</v>
      </c>
    </row>
    <row r="46" spans="2:6" x14ac:dyDescent="0.2">
      <c r="C46" s="785"/>
    </row>
    <row r="47" spans="2:6" ht="45" x14ac:dyDescent="0.2">
      <c r="C47" s="785" t="s">
        <v>437</v>
      </c>
      <c r="D47" s="636" t="s">
        <v>620</v>
      </c>
    </row>
    <row r="48" spans="2:6" x14ac:dyDescent="0.2">
      <c r="C48" s="785"/>
    </row>
    <row r="49" spans="3:4" ht="22.5" x14ac:dyDescent="0.2">
      <c r="C49" s="785" t="s">
        <v>438</v>
      </c>
      <c r="D49" s="636" t="s">
        <v>148</v>
      </c>
    </row>
    <row r="50" spans="3:4" x14ac:dyDescent="0.2">
      <c r="C50" s="785"/>
    </row>
    <row r="51" spans="3:4" ht="33.75" x14ac:dyDescent="0.2">
      <c r="C51" s="785" t="s">
        <v>439</v>
      </c>
      <c r="D51" s="636" t="s">
        <v>351</v>
      </c>
    </row>
    <row r="52" spans="3:4" x14ac:dyDescent="0.2">
      <c r="C52" s="785"/>
    </row>
    <row r="53" spans="3:4" ht="22.5" x14ac:dyDescent="0.2">
      <c r="C53" s="785" t="s">
        <v>346</v>
      </c>
      <c r="D53" s="636" t="s">
        <v>469</v>
      </c>
    </row>
    <row r="54" spans="3:4" x14ac:dyDescent="0.2">
      <c r="C54" s="785"/>
    </row>
    <row r="55" spans="3:4" ht="33.75" x14ac:dyDescent="0.2">
      <c r="C55" s="785" t="s">
        <v>470</v>
      </c>
      <c r="D55" s="636" t="s">
        <v>621</v>
      </c>
    </row>
    <row r="56" spans="3:4" x14ac:dyDescent="0.2">
      <c r="C56" s="785"/>
      <c r="D56" s="636" t="s">
        <v>622</v>
      </c>
    </row>
    <row r="57" spans="3:4" x14ac:dyDescent="0.2">
      <c r="C57" s="785"/>
    </row>
    <row r="58" spans="3:4" ht="22.5" x14ac:dyDescent="0.2">
      <c r="C58" s="785" t="s">
        <v>285</v>
      </c>
      <c r="D58" s="636" t="s">
        <v>475</v>
      </c>
    </row>
    <row r="59" spans="3:4" x14ac:dyDescent="0.2">
      <c r="C59" s="785"/>
    </row>
    <row r="60" spans="3:4" ht="33.75" x14ac:dyDescent="0.2">
      <c r="C60" s="785" t="s">
        <v>345</v>
      </c>
      <c r="D60" s="636" t="s">
        <v>431</v>
      </c>
    </row>
    <row r="61" spans="3:4" x14ac:dyDescent="0.2">
      <c r="C61" s="785"/>
    </row>
    <row r="62" spans="3:4" ht="33.75" x14ac:dyDescent="0.2">
      <c r="C62" s="785" t="s">
        <v>471</v>
      </c>
      <c r="D62" s="636" t="s">
        <v>432</v>
      </c>
    </row>
    <row r="63" spans="3:4" x14ac:dyDescent="0.2">
      <c r="C63" s="785"/>
    </row>
    <row r="64" spans="3:4" ht="24" x14ac:dyDescent="0.2">
      <c r="C64" s="785" t="s">
        <v>449</v>
      </c>
      <c r="D64" s="636" t="s">
        <v>623</v>
      </c>
    </row>
    <row r="65" spans="3:4" ht="22.5" x14ac:dyDescent="0.2">
      <c r="C65" s="785"/>
      <c r="D65" s="636" t="s">
        <v>433</v>
      </c>
    </row>
    <row r="66" spans="3:4" x14ac:dyDescent="0.2">
      <c r="C66" s="785"/>
    </row>
    <row r="67" spans="3:4" ht="22.5" x14ac:dyDescent="0.2">
      <c r="C67" s="785" t="s">
        <v>472</v>
      </c>
      <c r="D67" s="636" t="s">
        <v>624</v>
      </c>
    </row>
    <row r="68" spans="3:4" ht="33.75" x14ac:dyDescent="0.2">
      <c r="C68" s="785"/>
      <c r="D68" s="636" t="s">
        <v>644</v>
      </c>
    </row>
    <row r="69" spans="3:4" x14ac:dyDescent="0.2">
      <c r="C69" s="785"/>
    </row>
    <row r="70" spans="3:4" x14ac:dyDescent="0.2">
      <c r="C70" s="785" t="s">
        <v>473</v>
      </c>
      <c r="D70" s="636" t="s">
        <v>474</v>
      </c>
    </row>
    <row r="71" spans="3:4" x14ac:dyDescent="0.2">
      <c r="C71" s="785"/>
    </row>
    <row r="72" spans="3:4" ht="36" x14ac:dyDescent="0.2">
      <c r="C72" s="785" t="s">
        <v>347</v>
      </c>
      <c r="D72" s="636" t="s">
        <v>476</v>
      </c>
    </row>
    <row r="73" spans="3:4" x14ac:dyDescent="0.2">
      <c r="C73" s="785"/>
    </row>
    <row r="74" spans="3:4" ht="24" x14ac:dyDescent="0.2">
      <c r="C74" s="785" t="s">
        <v>477</v>
      </c>
      <c r="D74" s="636" t="s">
        <v>105</v>
      </c>
    </row>
    <row r="75" spans="3:4" ht="33.75" x14ac:dyDescent="0.2">
      <c r="C75" s="785"/>
      <c r="D75" s="636" t="s">
        <v>106</v>
      </c>
    </row>
    <row r="76" spans="3:4" x14ac:dyDescent="0.2">
      <c r="C76" s="785"/>
      <c r="D76" s="636" t="s">
        <v>625</v>
      </c>
    </row>
    <row r="77" spans="3:4" x14ac:dyDescent="0.2">
      <c r="C77" s="785"/>
    </row>
    <row r="78" spans="3:4" ht="24" x14ac:dyDescent="0.2">
      <c r="C78" s="785" t="s">
        <v>348</v>
      </c>
      <c r="D78" s="636" t="s">
        <v>349</v>
      </c>
    </row>
    <row r="79" spans="3:4" ht="22.5" x14ac:dyDescent="0.2">
      <c r="C79" s="785"/>
      <c r="D79" s="636" t="s">
        <v>350</v>
      </c>
    </row>
    <row r="80" spans="3:4" x14ac:dyDescent="0.2">
      <c r="C80" s="785"/>
    </row>
    <row r="81" spans="3:4" ht="22.5" x14ac:dyDescent="0.2">
      <c r="C81" s="785" t="s">
        <v>626</v>
      </c>
      <c r="D81" s="636" t="s">
        <v>639</v>
      </c>
    </row>
    <row r="82" spans="3:4" ht="33.75" x14ac:dyDescent="0.2">
      <c r="C82" s="785"/>
      <c r="D82" s="636" t="s">
        <v>635</v>
      </c>
    </row>
    <row r="83" spans="3:4" x14ac:dyDescent="0.2">
      <c r="C83" s="785"/>
    </row>
    <row r="84" spans="3:4" ht="33.75" x14ac:dyDescent="0.2">
      <c r="C84" s="785" t="s">
        <v>636</v>
      </c>
      <c r="D84" s="636" t="s">
        <v>637</v>
      </c>
    </row>
    <row r="85" spans="3:4" x14ac:dyDescent="0.2">
      <c r="C85" s="785"/>
    </row>
    <row r="86" spans="3:4" x14ac:dyDescent="0.2">
      <c r="C86" s="785" t="s">
        <v>511</v>
      </c>
      <c r="D86" s="636" t="s">
        <v>638</v>
      </c>
    </row>
    <row r="87" spans="3:4" x14ac:dyDescent="0.2">
      <c r="C87" s="785"/>
    </row>
    <row r="88" spans="3:4" ht="12.75" customHeight="1" x14ac:dyDescent="0.2">
      <c r="C88" s="785" t="s">
        <v>107</v>
      </c>
      <c r="D88" s="636" t="s">
        <v>108</v>
      </c>
    </row>
    <row r="89" spans="3:4" x14ac:dyDescent="0.2">
      <c r="C89" s="786"/>
    </row>
    <row r="90" spans="3:4" ht="33.75" x14ac:dyDescent="0.2">
      <c r="C90" s="785" t="s">
        <v>109</v>
      </c>
      <c r="D90" s="636" t="s">
        <v>110</v>
      </c>
    </row>
    <row r="91" spans="3:4" x14ac:dyDescent="0.2">
      <c r="C91" s="786"/>
    </row>
    <row r="92" spans="3:4" ht="33.75" x14ac:dyDescent="0.2">
      <c r="C92" s="785" t="s">
        <v>111</v>
      </c>
      <c r="D92" s="636" t="s">
        <v>112</v>
      </c>
    </row>
    <row r="93" spans="3:4" x14ac:dyDescent="0.2">
      <c r="C93" s="786"/>
    </row>
    <row r="94" spans="3:4" ht="24" x14ac:dyDescent="0.2">
      <c r="C94" s="785" t="s">
        <v>113</v>
      </c>
      <c r="D94" s="636" t="s">
        <v>164</v>
      </c>
    </row>
    <row r="95" spans="3:4" x14ac:dyDescent="0.2">
      <c r="C95" s="786"/>
    </row>
    <row r="96" spans="3:4" ht="45" x14ac:dyDescent="0.2">
      <c r="C96" s="785" t="s">
        <v>114</v>
      </c>
      <c r="D96" s="636" t="s">
        <v>640</v>
      </c>
    </row>
    <row r="97" spans="3:4" x14ac:dyDescent="0.2">
      <c r="C97" s="786"/>
    </row>
    <row r="98" spans="3:4" ht="22.5" x14ac:dyDescent="0.2">
      <c r="C98" s="785" t="s">
        <v>115</v>
      </c>
      <c r="D98" s="636" t="s">
        <v>116</v>
      </c>
    </row>
    <row r="99" spans="3:4" x14ac:dyDescent="0.2">
      <c r="C99" s="785"/>
    </row>
    <row r="100" spans="3:4" x14ac:dyDescent="0.2">
      <c r="C100" s="785" t="s">
        <v>440</v>
      </c>
      <c r="D100" s="636" t="s">
        <v>641</v>
      </c>
    </row>
    <row r="101" spans="3:4" x14ac:dyDescent="0.2">
      <c r="C101" s="785"/>
      <c r="D101" s="638" t="s">
        <v>642</v>
      </c>
    </row>
    <row r="102" spans="3:4" x14ac:dyDescent="0.2">
      <c r="C102" s="785"/>
    </row>
    <row r="103" spans="3:4" x14ac:dyDescent="0.2">
      <c r="C103" s="785" t="s">
        <v>117</v>
      </c>
      <c r="D103" s="638" t="s">
        <v>150</v>
      </c>
    </row>
    <row r="104" spans="3:4" x14ac:dyDescent="0.2">
      <c r="C104" s="785"/>
    </row>
    <row r="105" spans="3:4" x14ac:dyDescent="0.2">
      <c r="C105" s="785" t="s">
        <v>118</v>
      </c>
      <c r="D105" s="636" t="s">
        <v>643</v>
      </c>
    </row>
    <row r="106" spans="3:4" x14ac:dyDescent="0.2">
      <c r="C106" s="785"/>
      <c r="D106" s="638" t="s">
        <v>119</v>
      </c>
    </row>
    <row r="107" spans="3:4" x14ac:dyDescent="0.2">
      <c r="C107" s="785"/>
    </row>
  </sheetData>
  <sheetProtection password="CE76" sheet="1" objects="1" scenarios="1"/>
  <phoneticPr fontId="3" type="noConversion"/>
  <hyperlinks>
    <hyperlink ref="D101" r:id="rId1" tooltip="HASEFOCI"/>
    <hyperlink ref="D103" r:id="rId2" tooltip="Mail to Gyworks"/>
    <hyperlink ref="D106" r:id="rId3" tooltip="További szurkolói füzetek"/>
  </hyperlinks>
  <pageMargins left="0.31496062992125984" right="0.31496062992125984" top="0.51181102362204722" bottom="0.51181102362204722" header="0.51181102362204722" footer="0.51181102362204722"/>
  <pageSetup paperSize="9" orientation="landscape" horizontalDpi="300" verticalDpi="300" r:id="rId4"/>
  <headerFooter alignWithMargins="0"/>
  <drawing r:id="rId5"/>
  <picture r:id="rId6"/>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2"/>
  <dimension ref="A1:F37"/>
  <sheetViews>
    <sheetView workbookViewId="0"/>
  </sheetViews>
  <sheetFormatPr defaultColWidth="9.140625" defaultRowHeight="12.75" x14ac:dyDescent="0.2"/>
  <cols>
    <col min="1" max="1" width="9.140625" style="767"/>
    <col min="2" max="2" width="9.140625" style="769"/>
    <col min="3" max="3" width="9.140625" style="768"/>
    <col min="4" max="6" width="9.140625" style="769"/>
    <col min="7" max="16384" width="9.140625" style="735"/>
  </cols>
  <sheetData>
    <row r="1" spans="1:6" x14ac:dyDescent="0.2">
      <c r="A1" s="767" t="s">
        <v>484</v>
      </c>
      <c r="B1" s="767"/>
      <c r="C1" s="768">
        <v>42088</v>
      </c>
      <c r="D1" s="767" t="s">
        <v>497</v>
      </c>
      <c r="E1" s="769">
        <v>1</v>
      </c>
      <c r="F1" s="769">
        <v>23</v>
      </c>
    </row>
    <row r="2" spans="1:6" x14ac:dyDescent="0.2">
      <c r="A2" s="767" t="s">
        <v>485</v>
      </c>
      <c r="B2" s="767"/>
      <c r="C2" s="768">
        <f>C1+7</f>
        <v>42095</v>
      </c>
      <c r="D2" s="767" t="s">
        <v>498</v>
      </c>
      <c r="E2" s="769">
        <f>E1+1</f>
        <v>2</v>
      </c>
      <c r="F2" s="769">
        <f>F1+1</f>
        <v>24</v>
      </c>
    </row>
    <row r="3" spans="1:6" x14ac:dyDescent="0.2">
      <c r="A3" s="767" t="s">
        <v>486</v>
      </c>
      <c r="B3" s="767"/>
      <c r="C3" s="768">
        <f t="shared" ref="C3:C37" si="0">C2+7</f>
        <v>42102</v>
      </c>
      <c r="D3" s="767" t="s">
        <v>499</v>
      </c>
      <c r="E3" s="769">
        <f t="shared" ref="E3:E22" si="1">E2+1</f>
        <v>3</v>
      </c>
      <c r="F3" s="769">
        <f>F2+1</f>
        <v>25</v>
      </c>
    </row>
    <row r="4" spans="1:6" x14ac:dyDescent="0.2">
      <c r="A4" s="767" t="s">
        <v>487</v>
      </c>
      <c r="B4" s="767"/>
      <c r="C4" s="768">
        <f t="shared" si="0"/>
        <v>42109</v>
      </c>
      <c r="D4" s="767" t="s">
        <v>500</v>
      </c>
      <c r="E4" s="769">
        <f t="shared" si="1"/>
        <v>4</v>
      </c>
      <c r="F4" s="769">
        <f>F3+1</f>
        <v>26</v>
      </c>
    </row>
    <row r="5" spans="1:6" x14ac:dyDescent="0.2">
      <c r="A5" s="767" t="s">
        <v>488</v>
      </c>
      <c r="B5" s="767"/>
      <c r="C5" s="768">
        <f t="shared" si="0"/>
        <v>42116</v>
      </c>
      <c r="D5" s="767" t="s">
        <v>501</v>
      </c>
      <c r="E5" s="769">
        <f t="shared" si="1"/>
        <v>5</v>
      </c>
      <c r="F5" s="769">
        <f>F4+1</f>
        <v>27</v>
      </c>
    </row>
    <row r="6" spans="1:6" x14ac:dyDescent="0.2">
      <c r="A6" s="767" t="s">
        <v>489</v>
      </c>
      <c r="B6" s="767"/>
      <c r="C6" s="768">
        <f t="shared" si="0"/>
        <v>42123</v>
      </c>
      <c r="D6" s="767" t="s">
        <v>502</v>
      </c>
      <c r="E6" s="769">
        <f t="shared" si="1"/>
        <v>6</v>
      </c>
    </row>
    <row r="7" spans="1:6" x14ac:dyDescent="0.2">
      <c r="A7" s="767" t="s">
        <v>490</v>
      </c>
      <c r="B7" s="767"/>
      <c r="C7" s="768">
        <f t="shared" si="0"/>
        <v>42130</v>
      </c>
      <c r="E7" s="769">
        <f t="shared" si="1"/>
        <v>7</v>
      </c>
    </row>
    <row r="8" spans="1:6" x14ac:dyDescent="0.2">
      <c r="A8" s="767" t="s">
        <v>491</v>
      </c>
      <c r="B8" s="767"/>
      <c r="C8" s="768">
        <f t="shared" si="0"/>
        <v>42137</v>
      </c>
      <c r="E8" s="769">
        <f t="shared" si="1"/>
        <v>8</v>
      </c>
    </row>
    <row r="9" spans="1:6" x14ac:dyDescent="0.2">
      <c r="A9" s="767" t="s">
        <v>492</v>
      </c>
      <c r="B9" s="767"/>
      <c r="C9" s="768">
        <f t="shared" si="0"/>
        <v>42144</v>
      </c>
      <c r="E9" s="769">
        <f t="shared" si="1"/>
        <v>9</v>
      </c>
    </row>
    <row r="10" spans="1:6" x14ac:dyDescent="0.2">
      <c r="A10" s="767" t="s">
        <v>493</v>
      </c>
      <c r="B10" s="767"/>
      <c r="C10" s="768">
        <f t="shared" si="0"/>
        <v>42151</v>
      </c>
      <c r="E10" s="769">
        <f t="shared" si="1"/>
        <v>10</v>
      </c>
    </row>
    <row r="11" spans="1:6" x14ac:dyDescent="0.2">
      <c r="A11" s="767" t="s">
        <v>494</v>
      </c>
      <c r="B11" s="767"/>
      <c r="C11" s="768">
        <f t="shared" si="0"/>
        <v>42158</v>
      </c>
      <c r="E11" s="769">
        <f t="shared" si="1"/>
        <v>11</v>
      </c>
    </row>
    <row r="12" spans="1:6" x14ac:dyDescent="0.2">
      <c r="B12" s="767"/>
      <c r="C12" s="768">
        <f t="shared" si="0"/>
        <v>42165</v>
      </c>
      <c r="E12" s="769">
        <f t="shared" si="1"/>
        <v>12</v>
      </c>
    </row>
    <row r="13" spans="1:6" x14ac:dyDescent="0.2">
      <c r="B13" s="767"/>
      <c r="C13" s="768">
        <f t="shared" si="0"/>
        <v>42172</v>
      </c>
      <c r="E13" s="769">
        <f t="shared" si="1"/>
        <v>13</v>
      </c>
    </row>
    <row r="14" spans="1:6" x14ac:dyDescent="0.2">
      <c r="B14" s="767"/>
      <c r="C14" s="768">
        <f t="shared" si="0"/>
        <v>42179</v>
      </c>
      <c r="E14" s="769">
        <f t="shared" si="1"/>
        <v>14</v>
      </c>
    </row>
    <row r="15" spans="1:6" x14ac:dyDescent="0.2">
      <c r="C15" s="768">
        <f t="shared" si="0"/>
        <v>42186</v>
      </c>
      <c r="E15" s="769">
        <f t="shared" si="1"/>
        <v>15</v>
      </c>
    </row>
    <row r="16" spans="1:6" x14ac:dyDescent="0.2">
      <c r="C16" s="768">
        <f t="shared" si="0"/>
        <v>42193</v>
      </c>
      <c r="E16" s="769">
        <f t="shared" si="1"/>
        <v>16</v>
      </c>
    </row>
    <row r="17" spans="3:5" x14ac:dyDescent="0.2">
      <c r="C17" s="768">
        <f t="shared" si="0"/>
        <v>42200</v>
      </c>
      <c r="E17" s="769">
        <f t="shared" si="1"/>
        <v>17</v>
      </c>
    </row>
    <row r="18" spans="3:5" x14ac:dyDescent="0.2">
      <c r="C18" s="768">
        <f t="shared" si="0"/>
        <v>42207</v>
      </c>
      <c r="E18" s="769">
        <f t="shared" si="1"/>
        <v>18</v>
      </c>
    </row>
    <row r="19" spans="3:5" x14ac:dyDescent="0.2">
      <c r="C19" s="768">
        <f t="shared" si="0"/>
        <v>42214</v>
      </c>
      <c r="E19" s="769">
        <f t="shared" si="1"/>
        <v>19</v>
      </c>
    </row>
    <row r="20" spans="3:5" x14ac:dyDescent="0.2">
      <c r="C20" s="768">
        <f t="shared" si="0"/>
        <v>42221</v>
      </c>
      <c r="E20" s="769">
        <f t="shared" si="1"/>
        <v>20</v>
      </c>
    </row>
    <row r="21" spans="3:5" x14ac:dyDescent="0.2">
      <c r="C21" s="768">
        <f t="shared" si="0"/>
        <v>42228</v>
      </c>
      <c r="E21" s="769">
        <f t="shared" si="1"/>
        <v>21</v>
      </c>
    </row>
    <row r="22" spans="3:5" x14ac:dyDescent="0.2">
      <c r="C22" s="768">
        <f t="shared" si="0"/>
        <v>42235</v>
      </c>
      <c r="E22" s="769">
        <f t="shared" si="1"/>
        <v>22</v>
      </c>
    </row>
    <row r="23" spans="3:5" x14ac:dyDescent="0.2">
      <c r="C23" s="768">
        <f t="shared" si="0"/>
        <v>42242</v>
      </c>
    </row>
    <row r="24" spans="3:5" x14ac:dyDescent="0.2">
      <c r="C24" s="768">
        <f t="shared" si="0"/>
        <v>42249</v>
      </c>
    </row>
    <row r="25" spans="3:5" x14ac:dyDescent="0.2">
      <c r="C25" s="768">
        <f t="shared" si="0"/>
        <v>42256</v>
      </c>
    </row>
    <row r="26" spans="3:5" x14ac:dyDescent="0.2">
      <c r="C26" s="768">
        <f t="shared" si="0"/>
        <v>42263</v>
      </c>
    </row>
    <row r="27" spans="3:5" x14ac:dyDescent="0.2">
      <c r="C27" s="768">
        <f t="shared" si="0"/>
        <v>42270</v>
      </c>
    </row>
    <row r="28" spans="3:5" x14ac:dyDescent="0.2">
      <c r="C28" s="768">
        <f t="shared" si="0"/>
        <v>42277</v>
      </c>
    </row>
    <row r="29" spans="3:5" x14ac:dyDescent="0.2">
      <c r="C29" s="768">
        <f t="shared" si="0"/>
        <v>42284</v>
      </c>
    </row>
    <row r="30" spans="3:5" x14ac:dyDescent="0.2">
      <c r="C30" s="768">
        <f t="shared" si="0"/>
        <v>42291</v>
      </c>
    </row>
    <row r="31" spans="3:5" x14ac:dyDescent="0.2">
      <c r="C31" s="768">
        <f t="shared" si="0"/>
        <v>42298</v>
      </c>
    </row>
    <row r="32" spans="3:5" x14ac:dyDescent="0.2">
      <c r="C32" s="768">
        <f t="shared" si="0"/>
        <v>42305</v>
      </c>
    </row>
    <row r="33" spans="3:3" x14ac:dyDescent="0.2">
      <c r="C33" s="768">
        <f t="shared" si="0"/>
        <v>42312</v>
      </c>
    </row>
    <row r="34" spans="3:3" x14ac:dyDescent="0.2">
      <c r="C34" s="768">
        <f t="shared" si="0"/>
        <v>42319</v>
      </c>
    </row>
    <row r="35" spans="3:3" x14ac:dyDescent="0.2">
      <c r="C35" s="768">
        <f t="shared" si="0"/>
        <v>42326</v>
      </c>
    </row>
    <row r="36" spans="3:3" x14ac:dyDescent="0.2">
      <c r="C36" s="768">
        <f t="shared" si="0"/>
        <v>42333</v>
      </c>
    </row>
    <row r="37" spans="3:3" x14ac:dyDescent="0.2">
      <c r="C37" s="768">
        <f t="shared" si="0"/>
        <v>42340</v>
      </c>
    </row>
  </sheetData>
  <sheetProtection password="CE76" sheet="1" objects="1" scenarios="1" selectLockedCells="1" selectUnlockedCells="1"/>
  <phoneticPr fontId="3"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16</vt:i4>
      </vt:variant>
      <vt:variant>
        <vt:lpstr>Névvel ellátott tartományok</vt:lpstr>
      </vt:variant>
      <vt:variant>
        <vt:i4>191</vt:i4>
      </vt:variant>
    </vt:vector>
  </HeadingPairs>
  <TitlesOfParts>
    <vt:vector size="207" baseType="lpstr">
      <vt:lpstr>ASZ</vt:lpstr>
      <vt:lpstr>ASZTAB</vt:lpstr>
      <vt:lpstr>ASZKER</vt:lpstr>
      <vt:lpstr>RCSOP</vt:lpstr>
      <vt:lpstr>RTAB</vt:lpstr>
      <vt:lpstr>RKER</vt:lpstr>
      <vt:lpstr>REKI</vt:lpstr>
      <vt:lpstr>RAGR</vt:lpstr>
      <vt:lpstr>VEGER</vt:lpstr>
      <vt:lpstr>Kedvenc</vt:lpstr>
      <vt:lpstr>Gszer</vt:lpstr>
      <vt:lpstr>Glis</vt:lpstr>
      <vt:lpstr>Kiírás</vt:lpstr>
      <vt:lpstr>Kapcsolat</vt:lpstr>
      <vt:lpstr>Súgó</vt:lpstr>
      <vt:lpstr>Adatok</vt:lpstr>
      <vt:lpstr>calend</vt:lpstr>
      <vt:lpstr>eee.aa</vt:lpstr>
      <vt:lpstr>eee.an</vt:lpstr>
      <vt:lpstr>eee.av</vt:lpstr>
      <vt:lpstr>eee.rn</vt:lpstr>
      <vt:lpstr>eee.rr</vt:lpstr>
      <vt:lpstr>eee.rv</vt:lpstr>
      <vt:lpstr>games.a</vt:lpstr>
      <vt:lpstr>games.r</vt:lpstr>
      <vt:lpstr>gamesfav</vt:lpstr>
      <vt:lpstr>gdays.a</vt:lpstr>
      <vt:lpstr>gdays.r</vt:lpstr>
      <vt:lpstr>goalname</vt:lpstr>
      <vt:lpstr>goalrank</vt:lpstr>
      <vt:lpstr>index.a</vt:lpstr>
      <vt:lpstr>index.r</vt:lpstr>
      <vt:lpstr>ASZ!Nyomtatási_cím</vt:lpstr>
      <vt:lpstr>ASZKER!Nyomtatási_cím</vt:lpstr>
      <vt:lpstr>ASZTAB!Nyomtatási_cím</vt:lpstr>
      <vt:lpstr>Glis!Nyomtatási_cím</vt:lpstr>
      <vt:lpstr>Gszer!Nyomtatási_cím</vt:lpstr>
      <vt:lpstr>Kapcsolat!Nyomtatási_cím</vt:lpstr>
      <vt:lpstr>Kedvenc!Nyomtatási_cím</vt:lpstr>
      <vt:lpstr>Kiírás!Nyomtatási_cím</vt:lpstr>
      <vt:lpstr>RAGR!Nyomtatási_cím</vt:lpstr>
      <vt:lpstr>RCSOP!Nyomtatási_cím</vt:lpstr>
      <vt:lpstr>REKI!Nyomtatási_cím</vt:lpstr>
      <vt:lpstr>RKER!Nyomtatási_cím</vt:lpstr>
      <vt:lpstr>RTAB!Nyomtatási_cím</vt:lpstr>
      <vt:lpstr>Súgó!Nyomtatási_cím</vt:lpstr>
      <vt:lpstr>VEGER!Nyomtatási_cím</vt:lpstr>
      <vt:lpstr>ASZ!Nyomtatási_terület</vt:lpstr>
      <vt:lpstr>ASZKER!Nyomtatási_terület</vt:lpstr>
      <vt:lpstr>ASZTAB!Nyomtatási_terület</vt:lpstr>
      <vt:lpstr>Glis!Nyomtatási_terület</vt:lpstr>
      <vt:lpstr>Gszer!Nyomtatási_terület</vt:lpstr>
      <vt:lpstr>Kapcsolat!Nyomtatási_terület</vt:lpstr>
      <vt:lpstr>Kedvenc!Nyomtatási_terület</vt:lpstr>
      <vt:lpstr>Kiírás!Nyomtatási_terület</vt:lpstr>
      <vt:lpstr>RAGR!Nyomtatási_terület</vt:lpstr>
      <vt:lpstr>RCSOP!Nyomtatási_terület</vt:lpstr>
      <vt:lpstr>REKI!Nyomtatási_terület</vt:lpstr>
      <vt:lpstr>RKER!Nyomtatási_terület</vt:lpstr>
      <vt:lpstr>RTAB!Nyomtatási_terület</vt:lpstr>
      <vt:lpstr>Súgó!Nyomtatási_terület</vt:lpstr>
      <vt:lpstr>VEGER!Nyomtatási_terület</vt:lpstr>
      <vt:lpstr>penalty.a</vt:lpstr>
      <vt:lpstr>penalty.r</vt:lpstr>
      <vt:lpstr>rank.a1</vt:lpstr>
      <vt:lpstr>rank.a2</vt:lpstr>
      <vt:lpstr>rank.r1</vt:lpstr>
      <vt:lpstr>rank.r2</vt:lpstr>
      <vt:lpstr>rank.r3</vt:lpstr>
      <vt:lpstr>rank.v1</vt:lpstr>
      <vt:lpstr>rankname.a</vt:lpstr>
      <vt:lpstr>rankname.r</vt:lpstr>
      <vt:lpstr>result.e</vt:lpstr>
      <vt:lpstr>rsors</vt:lpstr>
      <vt:lpstr>table.aa1</vt:lpstr>
      <vt:lpstr>table.aa2</vt:lpstr>
      <vt:lpstr>table.ad.av1</vt:lpstr>
      <vt:lpstr>table.ad.av2</vt:lpstr>
      <vt:lpstr>table.ad.rv1</vt:lpstr>
      <vt:lpstr>table.ad.rv2</vt:lpstr>
      <vt:lpstr>table.ad.rv3</vt:lpstr>
      <vt:lpstr>table.aur</vt:lpstr>
      <vt:lpstr>table.av1</vt:lpstr>
      <vt:lpstr>table.av2</vt:lpstr>
      <vt:lpstr>table.n.av1</vt:lpstr>
      <vt:lpstr>table.n.av2</vt:lpstr>
      <vt:lpstr>table.n.rv1</vt:lpstr>
      <vt:lpstr>table.n.rv2</vt:lpstr>
      <vt:lpstr>table.n.rv3</vt:lpstr>
      <vt:lpstr>table.rr1</vt:lpstr>
      <vt:lpstr>table.rr2</vt:lpstr>
      <vt:lpstr>table.rr3</vt:lpstr>
      <vt:lpstr>table.rv1</vt:lpstr>
      <vt:lpstr>table.rv2</vt:lpstr>
      <vt:lpstr>table.rv3</vt:lpstr>
      <vt:lpstr>teams</vt:lpstr>
      <vt:lpstr>times</vt:lpstr>
      <vt:lpstr>xxd.aa</vt:lpstr>
      <vt:lpstr>xxd.an</vt:lpstr>
      <vt:lpstr>xxd.av</vt:lpstr>
      <vt:lpstr>xxd.rn</vt:lpstr>
      <vt:lpstr>xxd.rr</vt:lpstr>
      <vt:lpstr>xxd.rv</vt:lpstr>
      <vt:lpstr>xxgy.aa</vt:lpstr>
      <vt:lpstr>xxgy.an</vt:lpstr>
      <vt:lpstr>xxgy.av</vt:lpstr>
      <vt:lpstr>xxgy.rn</vt:lpstr>
      <vt:lpstr>xxgy.rr</vt:lpstr>
      <vt:lpstr>xxgy.rv</vt:lpstr>
      <vt:lpstr>xxi.aa</vt:lpstr>
      <vt:lpstr>xxi.an</vt:lpstr>
      <vt:lpstr>xxi.av</vt:lpstr>
      <vt:lpstr>xxi.rn</vt:lpstr>
      <vt:lpstr>xxi.rr</vt:lpstr>
      <vt:lpstr>xxi.rv</vt:lpstr>
      <vt:lpstr>xxk.aa</vt:lpstr>
      <vt:lpstr>xxk.an</vt:lpstr>
      <vt:lpstr>xxk.av</vt:lpstr>
      <vt:lpstr>xxk.rn</vt:lpstr>
      <vt:lpstr>xxk.rr</vt:lpstr>
      <vt:lpstr>xxk.rv</vt:lpstr>
      <vt:lpstr>xxl.aa</vt:lpstr>
      <vt:lpstr>xxl.an</vt:lpstr>
      <vt:lpstr>xxl.av</vt:lpstr>
      <vt:lpstr>xxl.rn</vt:lpstr>
      <vt:lpstr>xxl.rr</vt:lpstr>
      <vt:lpstr>xxl.rv</vt:lpstr>
      <vt:lpstr>xxo.aa</vt:lpstr>
      <vt:lpstr>xxo.an</vt:lpstr>
      <vt:lpstr>xxo.av</vt:lpstr>
      <vt:lpstr>xxo.rn</vt:lpstr>
      <vt:lpstr>xxo.rr</vt:lpstr>
      <vt:lpstr>xxo.rv</vt:lpstr>
      <vt:lpstr>xxx.aa1</vt:lpstr>
      <vt:lpstr>xxx.aa2</vt:lpstr>
      <vt:lpstr>xxx.an1</vt:lpstr>
      <vt:lpstr>xxx.an2</vt:lpstr>
      <vt:lpstr>xxx.av1</vt:lpstr>
      <vt:lpstr>xxx.av2</vt:lpstr>
      <vt:lpstr>xxx.rn1</vt:lpstr>
      <vt:lpstr>xxx.rn2</vt:lpstr>
      <vt:lpstr>xxx.rn3</vt:lpstr>
      <vt:lpstr>xxx.rr1</vt:lpstr>
      <vt:lpstr>xxx.rr2</vt:lpstr>
      <vt:lpstr>xxx.rr3</vt:lpstr>
      <vt:lpstr>xxx.rv1</vt:lpstr>
      <vt:lpstr>xxx.rv2</vt:lpstr>
      <vt:lpstr>xxx.rv3</vt:lpstr>
      <vt:lpstr>yygy.aa</vt:lpstr>
      <vt:lpstr>yygy.an</vt:lpstr>
      <vt:lpstr>yygy.av</vt:lpstr>
      <vt:lpstr>yygy.rn</vt:lpstr>
      <vt:lpstr>yygy.rr</vt:lpstr>
      <vt:lpstr>yygy.rv</vt:lpstr>
      <vt:lpstr>yyi.aa</vt:lpstr>
      <vt:lpstr>yyi.an</vt:lpstr>
      <vt:lpstr>yyi.av</vt:lpstr>
      <vt:lpstr>yyi.rn</vt:lpstr>
      <vt:lpstr>yyi.rr</vt:lpstr>
      <vt:lpstr>yyi.rv</vt:lpstr>
      <vt:lpstr>yyk.aa</vt:lpstr>
      <vt:lpstr>yyk.an</vt:lpstr>
      <vt:lpstr>yyk.av</vt:lpstr>
      <vt:lpstr>yyk.rn</vt:lpstr>
      <vt:lpstr>yyk.rr</vt:lpstr>
      <vt:lpstr>yyk.rv</vt:lpstr>
      <vt:lpstr>yyl.aa</vt:lpstr>
      <vt:lpstr>yyl.an</vt:lpstr>
      <vt:lpstr>yyl.av</vt:lpstr>
      <vt:lpstr>yyl.rn</vt:lpstr>
      <vt:lpstr>yyl.rr</vt:lpstr>
      <vt:lpstr>yyl.rv</vt:lpstr>
      <vt:lpstr>yyo.aa</vt:lpstr>
      <vt:lpstr>yyo.an</vt:lpstr>
      <vt:lpstr>yyo.av</vt:lpstr>
      <vt:lpstr>yyo.rn</vt:lpstr>
      <vt:lpstr>yyo.rr</vt:lpstr>
      <vt:lpstr>yyo.rv</vt:lpstr>
      <vt:lpstr>yyy.aa1.10</vt:lpstr>
      <vt:lpstr>yyy.aa1.7</vt:lpstr>
      <vt:lpstr>yyy.aa2</vt:lpstr>
      <vt:lpstr>yyy.an1.10</vt:lpstr>
      <vt:lpstr>yyy.an1.7</vt:lpstr>
      <vt:lpstr>yyy.an2</vt:lpstr>
      <vt:lpstr>yyy.av1.10</vt:lpstr>
      <vt:lpstr>yyy.av1.7</vt:lpstr>
      <vt:lpstr>yyy.av2</vt:lpstr>
      <vt:lpstr>yyy.rn1</vt:lpstr>
      <vt:lpstr>yyy.rn2</vt:lpstr>
      <vt:lpstr>yyy.rn3</vt:lpstr>
      <vt:lpstr>yyy.rr1</vt:lpstr>
      <vt:lpstr>yyy.rr2</vt:lpstr>
      <vt:lpstr>yyy.rr3</vt:lpstr>
      <vt:lpstr>yyy.rv1</vt:lpstr>
      <vt:lpstr>yyy.rv2</vt:lpstr>
      <vt:lpstr>yyy.rv3</vt:lpstr>
      <vt:lpstr>zagainst</vt:lpstr>
      <vt:lpstr>zaway</vt:lpstr>
      <vt:lpstr>zdrawa</vt:lpstr>
      <vt:lpstr>zdrawh</vt:lpstr>
      <vt:lpstr>zfor</vt:lpstr>
      <vt:lpstr>zhome</vt:lpstr>
      <vt:lpstr>zlossa</vt:lpstr>
      <vt:lpstr>zlossh</vt:lpstr>
      <vt:lpstr>zpoint</vt:lpstr>
      <vt:lpstr>zwina</vt:lpstr>
      <vt:lpstr>zwinh</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Szilárd</dc:creator>
  <cp:lastModifiedBy>Hososz HM</cp:lastModifiedBy>
  <cp:lastPrinted>2015-07-11T12:53:49Z</cp:lastPrinted>
  <dcterms:created xsi:type="dcterms:W3CDTF">2003-04-14T11:42:12Z</dcterms:created>
  <dcterms:modified xsi:type="dcterms:W3CDTF">2015-11-20T12:55:01Z</dcterms:modified>
</cp:coreProperties>
</file>